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CacheDefinition+xml" PartName="/xl/pivotCache/pivotCacheDefinition2.xml"/>
  <Override ContentType="application/vnd.openxmlformats-officedocument.spreadsheetml.pivotCacheRecords+xml" PartName="/xl/pivotCache/pivotCacheRecords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ustomProperty" PartName="/xl/customProperty1.bin"/>
  <Override ContentType="application/vnd.openxmlformats-officedocument.spreadsheetml.comments+xml" PartName="/xl/comments1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customProperty" PartName="/xl/customProperty2.bin"/>
  <Override ContentType="application/vnd.openxmlformats-officedocument.spreadsheetml.customProperty" PartName="/xl/customProperty3.bin"/>
  <Override ContentType="application/vnd.openxmlformats-officedocument.spreadsheetml.customProperty" PartName="/xl/customProperty4.bin"/>
  <Override ContentType="application/vnd.openxmlformats-officedocument.spreadsheetml.table+xml" PartName="/xl/tables/table1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customProperty" PartName="/xl/customProperty5.bin"/>
  <Override ContentType="application/vnd.openxmlformats-officedocument.spreadsheetml.pivotTable+xml" PartName="/xl/pivotTables/pivotTable7.xml"/>
  <Override ContentType="application/vnd.openxmlformats-officedocument.spreadsheetml.customProperty" PartName="/xl/customProperty6.bin"/>
  <Override ContentType="application/vnd.openxmlformats-officedocument.spreadsheetml.customProperty" PartName="/xl/customProperty7.bin"/>
  <Override ContentType="application/vnd.openxmlformats-officedocument.spreadsheetml.customProperty" PartName="/xl/customProperty8.bin"/>
  <Override ContentType="application/vnd.openxmlformats-officedocument.spreadsheetml.calcChain+xml" PartName="/xl/calcChain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hwang17\Desktop\"/>
    </mc:Choice>
  </mc:AlternateContent>
  <bookViews>
    <workbookView xWindow="2805" yWindow="0" windowWidth="6480" windowHeight="5415" tabRatio="599"/>
  </bookViews>
  <sheets>
    <sheet name="Nodes" sheetId="11" r:id="rId1"/>
    <sheet name="Pivot per RAT" sheetId="20" r:id="rId2"/>
    <sheet name="Values" sheetId="2" r:id="rId3"/>
    <sheet name="Sheet1" sheetId="17" r:id="rId4"/>
    <sheet name="Pivot" sheetId="15" r:id="rId5"/>
    <sheet name="Pivot2" sheetId="18" r:id="rId6"/>
    <sheet name="Drop 2" sheetId="16" r:id="rId7"/>
    <sheet name="Stock" sheetId="14" r:id="rId8"/>
    <sheet name="D%$&amp;01_DevSheet" sheetId="19" state="veryHidden" r:id="rId9"/>
  </sheets>
  <externalReferences>
    <externalReference r:id="rId10"/>
    <externalReference r:id="rId11"/>
    <externalReference r:id="rId12"/>
  </externalReferences>
  <definedNames>
    <definedName name="_xlnm._FilterDatabase" localSheetId="0" hidden="1">Nodes!$A$1:$AF$1742</definedName>
    <definedName name="_xlnm._FilterDatabase" localSheetId="7" hidden="1">Stock!$N$1:$X$1520</definedName>
  </definedNames>
  <calcPr calcId="152511"/>
  <pivotCaches>
    <pivotCache cacheId="0" r:id="rId13"/>
    <pivotCache cacheId="8" r:id="rId14"/>
  </pivotCaches>
</workbook>
</file>

<file path=xl/calcChain.xml><?xml version="1.0" encoding="utf-8"?>
<calcChain xmlns="http://schemas.openxmlformats.org/spreadsheetml/2006/main">
  <c r="F298" i="19" l="1"/>
  <c r="G298" i="19"/>
  <c r="H298" i="19"/>
  <c r="I298" i="19"/>
  <c r="J298" i="19"/>
  <c r="K298" i="19"/>
  <c r="L298" i="19"/>
  <c r="M298" i="19"/>
  <c r="N298" i="19"/>
  <c r="O298" i="19"/>
  <c r="P298" i="19"/>
  <c r="Q298" i="19"/>
  <c r="R298" i="19"/>
  <c r="S298" i="19"/>
  <c r="T298" i="19"/>
  <c r="U298" i="19"/>
  <c r="V298" i="19"/>
  <c r="W298" i="19"/>
  <c r="X298" i="19"/>
  <c r="Y298" i="19"/>
  <c r="Z298" i="19"/>
  <c r="AA298" i="19"/>
  <c r="AB298" i="19"/>
  <c r="AC298" i="19"/>
  <c r="AD298" i="19"/>
  <c r="AE298" i="19"/>
  <c r="AF298" i="19"/>
  <c r="AG298" i="19"/>
  <c r="AH298" i="19"/>
  <c r="AI298" i="19"/>
  <c r="AJ298" i="19"/>
  <c r="AK298" i="19"/>
  <c r="AL298" i="19"/>
  <c r="AM298" i="19"/>
  <c r="AN298" i="19"/>
  <c r="AO298" i="19"/>
  <c r="AP298" i="19"/>
  <c r="AQ298" i="19"/>
  <c r="AR298" i="19"/>
  <c r="AS298" i="19"/>
  <c r="AT298" i="19"/>
  <c r="AU298" i="19"/>
  <c r="AV298" i="19"/>
  <c r="AW298" i="19"/>
  <c r="AX298" i="19"/>
  <c r="AY298" i="19"/>
  <c r="AZ298" i="19"/>
  <c r="BA298" i="19"/>
  <c r="BB298" i="19"/>
  <c r="BC298" i="19"/>
  <c r="BD298" i="19"/>
  <c r="BE298" i="19"/>
  <c r="BF298" i="19"/>
  <c r="BG298" i="19"/>
  <c r="BH298" i="19"/>
  <c r="BI298" i="19"/>
  <c r="BJ298" i="19"/>
  <c r="BK298" i="19"/>
  <c r="BL298" i="19"/>
  <c r="BM298" i="19"/>
  <c r="BN298" i="19"/>
  <c r="BO298" i="19"/>
  <c r="BP298" i="19"/>
  <c r="BQ298" i="19"/>
  <c r="BR298" i="19"/>
  <c r="BS298" i="19"/>
  <c r="BT298" i="19"/>
  <c r="BU298" i="19"/>
  <c r="BV298" i="19"/>
  <c r="BW298" i="19"/>
  <c r="BX298" i="19"/>
  <c r="BY298" i="19"/>
  <c r="BZ298" i="19"/>
  <c r="CA298" i="19"/>
  <c r="CB298" i="19"/>
  <c r="CC298" i="19"/>
  <c r="CD298" i="19"/>
  <c r="CE298" i="19"/>
  <c r="CF298" i="19"/>
  <c r="CG298" i="19"/>
  <c r="CH298" i="19"/>
  <c r="CI298" i="19"/>
  <c r="CJ298" i="19"/>
  <c r="CK298" i="19"/>
  <c r="CL298" i="19"/>
  <c r="CM298" i="19"/>
  <c r="CN298" i="19"/>
  <c r="CO298" i="19"/>
  <c r="CP298" i="19"/>
  <c r="CQ298" i="19"/>
  <c r="CR298" i="19"/>
  <c r="CS298" i="19"/>
  <c r="CT298" i="19"/>
  <c r="CU298" i="19"/>
  <c r="CV298" i="19"/>
  <c r="CW298" i="19"/>
  <c r="CX298" i="19"/>
  <c r="CY298" i="19"/>
  <c r="CZ298" i="19"/>
  <c r="DA298" i="19"/>
  <c r="DB298" i="19"/>
  <c r="DC298" i="19"/>
  <c r="DD298" i="19"/>
  <c r="DE298" i="19"/>
  <c r="DF298" i="19"/>
  <c r="DG298" i="19"/>
  <c r="DH298" i="19"/>
  <c r="DI298" i="19"/>
  <c r="DJ298" i="19"/>
  <c r="DK298" i="19"/>
  <c r="DL298" i="19"/>
  <c r="DM298" i="19"/>
  <c r="DN298" i="19"/>
  <c r="DO298" i="19"/>
  <c r="DP298" i="19"/>
  <c r="DQ298" i="19"/>
  <c r="DR298" i="19"/>
  <c r="DS298" i="19"/>
  <c r="DT298" i="19"/>
  <c r="DU298" i="19"/>
  <c r="DV298" i="19"/>
  <c r="DW298" i="19"/>
  <c r="DX298" i="19"/>
  <c r="DY298" i="19"/>
  <c r="DZ298" i="19"/>
  <c r="EA298" i="19"/>
  <c r="EB298" i="19"/>
  <c r="EC298" i="19"/>
  <c r="ED298" i="19"/>
  <c r="EE298" i="19"/>
  <c r="EF298" i="19"/>
  <c r="EG298" i="19"/>
  <c r="EH298" i="19"/>
  <c r="EI298" i="19"/>
  <c r="EJ298" i="19"/>
  <c r="EK298" i="19"/>
  <c r="EL298" i="19"/>
  <c r="EM298" i="19"/>
  <c r="EN298" i="19"/>
  <c r="EO298" i="19"/>
  <c r="EP298" i="19"/>
  <c r="EQ298" i="19"/>
  <c r="ER298" i="19"/>
  <c r="ES298" i="19"/>
  <c r="ET298" i="19"/>
  <c r="EU298" i="19"/>
  <c r="EV298" i="19"/>
  <c r="EW298" i="19"/>
  <c r="EX298" i="19"/>
  <c r="EY298" i="19"/>
  <c r="EZ298" i="19"/>
  <c r="FA298" i="19"/>
  <c r="FB298" i="19"/>
  <c r="FC298" i="19"/>
  <c r="FD298" i="19"/>
  <c r="FE298" i="19"/>
  <c r="FF298" i="19"/>
  <c r="FG298" i="19"/>
  <c r="FH298" i="19"/>
  <c r="FI298" i="19"/>
  <c r="FJ298" i="19"/>
  <c r="FK298" i="19"/>
  <c r="FL298" i="19"/>
  <c r="FM298" i="19"/>
  <c r="FN298" i="19"/>
  <c r="FO298" i="19"/>
  <c r="FP298" i="19"/>
  <c r="FQ298" i="19"/>
  <c r="FR298" i="19"/>
  <c r="FS298" i="19"/>
  <c r="FT298" i="19"/>
  <c r="FU298" i="19"/>
  <c r="FV298" i="19"/>
  <c r="FW298" i="19"/>
  <c r="FX298" i="19"/>
  <c r="FY298" i="19"/>
  <c r="FZ298" i="19"/>
  <c r="GA298" i="19"/>
  <c r="GB298" i="19"/>
  <c r="GC298" i="19"/>
  <c r="GD298" i="19"/>
  <c r="GE298" i="19"/>
  <c r="GF298" i="19"/>
  <c r="GG298" i="19"/>
  <c r="GH298" i="19"/>
  <c r="GI298" i="19"/>
  <c r="GJ298" i="19"/>
  <c r="GK298" i="19"/>
  <c r="GL298" i="19"/>
  <c r="GM298" i="19"/>
  <c r="GN298" i="19"/>
  <c r="GO298" i="19"/>
  <c r="GP298" i="19"/>
  <c r="GQ298" i="19"/>
  <c r="GR298" i="19"/>
  <c r="GS298" i="19"/>
  <c r="GT298" i="19"/>
  <c r="GU298" i="19"/>
  <c r="GV298" i="19"/>
  <c r="GW298" i="19"/>
  <c r="GX298" i="19"/>
  <c r="GY298" i="19"/>
  <c r="GZ298" i="19"/>
  <c r="HA298" i="19"/>
  <c r="HB298" i="19"/>
  <c r="HC298" i="19"/>
  <c r="HD298" i="19"/>
  <c r="HE298" i="19"/>
  <c r="HF298" i="19"/>
  <c r="HG298" i="19"/>
  <c r="HH298" i="19"/>
  <c r="HI298" i="19"/>
  <c r="HJ298" i="19"/>
  <c r="HK298" i="19"/>
  <c r="HL298" i="19"/>
  <c r="HM298" i="19"/>
  <c r="HN298" i="19"/>
  <c r="HO298" i="19"/>
  <c r="HP298" i="19"/>
  <c r="HQ298" i="19"/>
  <c r="HR298" i="19"/>
  <c r="HS298" i="19"/>
  <c r="HT298" i="19"/>
  <c r="HU298" i="19"/>
  <c r="HV298" i="19"/>
  <c r="HW298" i="19"/>
  <c r="HX298" i="19"/>
  <c r="HY298" i="19"/>
  <c r="HZ298" i="19"/>
  <c r="IA298" i="19"/>
  <c r="IB298" i="19"/>
  <c r="IC298" i="19"/>
  <c r="ID298" i="19"/>
  <c r="IE298" i="19"/>
  <c r="IF298" i="19"/>
  <c r="IG298" i="19"/>
  <c r="IH298" i="19"/>
  <c r="II298" i="19"/>
  <c r="IJ298" i="19"/>
  <c r="IK298" i="19"/>
  <c r="IL298" i="19"/>
  <c r="IM298" i="19"/>
  <c r="IN298" i="19"/>
  <c r="IO298" i="19"/>
  <c r="IP298" i="19"/>
  <c r="IQ298" i="19"/>
  <c r="IR298" i="19"/>
  <c r="IS298" i="19"/>
  <c r="IT298" i="19"/>
  <c r="IU298" i="19"/>
  <c r="IV298" i="19"/>
  <c r="F299" i="19"/>
  <c r="G299" i="19"/>
  <c r="H299" i="19"/>
  <c r="I299" i="19"/>
  <c r="J299" i="19"/>
  <c r="K299" i="19"/>
  <c r="L299" i="19"/>
  <c r="M299" i="19"/>
  <c r="N299" i="19"/>
  <c r="O299" i="19"/>
  <c r="P299" i="19"/>
  <c r="Q299" i="19"/>
  <c r="R299" i="19"/>
  <c r="S299" i="19"/>
  <c r="T299" i="19"/>
  <c r="U299" i="19"/>
  <c r="V299" i="19"/>
  <c r="W299" i="19"/>
  <c r="X299" i="19"/>
  <c r="Y299" i="19"/>
  <c r="Z299" i="19"/>
  <c r="AA299" i="19"/>
  <c r="AB299" i="19"/>
  <c r="AC299" i="19"/>
  <c r="AD299" i="19"/>
  <c r="AE299" i="19"/>
  <c r="AF299" i="19"/>
  <c r="AG299" i="19"/>
  <c r="AH299" i="19"/>
  <c r="AI299" i="19"/>
  <c r="AJ299" i="19"/>
  <c r="AK299" i="19"/>
  <c r="AL299" i="19"/>
  <c r="AM299" i="19"/>
  <c r="AN299" i="19"/>
  <c r="AO299" i="19"/>
  <c r="AP299" i="19"/>
  <c r="AQ299" i="19"/>
  <c r="AR299" i="19"/>
  <c r="AS299" i="19"/>
  <c r="AT299" i="19"/>
  <c r="AU299" i="19"/>
  <c r="AV299" i="19"/>
  <c r="AW299" i="19"/>
  <c r="AX299" i="19"/>
  <c r="AY299" i="19"/>
  <c r="AZ299" i="19"/>
  <c r="BA299" i="19"/>
  <c r="BB299" i="19"/>
  <c r="BC299" i="19"/>
  <c r="BD299" i="19"/>
  <c r="BE299" i="19"/>
  <c r="BF299" i="19"/>
  <c r="BG299" i="19"/>
  <c r="BH299" i="19"/>
  <c r="BI299" i="19"/>
  <c r="BJ299" i="19"/>
  <c r="BK299" i="19"/>
  <c r="BL299" i="19"/>
  <c r="BM299" i="19"/>
  <c r="BN299" i="19"/>
  <c r="BO299" i="19"/>
  <c r="BP299" i="19"/>
  <c r="BQ299" i="19"/>
  <c r="BR299" i="19"/>
  <c r="BS299" i="19"/>
  <c r="BT299" i="19"/>
  <c r="BU299" i="19"/>
  <c r="BV299" i="19"/>
  <c r="BW299" i="19"/>
  <c r="BX299" i="19"/>
  <c r="BY299" i="19"/>
  <c r="BZ299" i="19"/>
  <c r="CA299" i="19"/>
  <c r="CB299" i="19"/>
  <c r="CC299" i="19"/>
  <c r="CD299" i="19"/>
  <c r="CE299" i="19"/>
  <c r="CF299" i="19"/>
  <c r="CG299" i="19"/>
  <c r="CH299" i="19"/>
  <c r="CI299" i="19"/>
  <c r="CJ299" i="19"/>
  <c r="CK299" i="19"/>
  <c r="CL299" i="19"/>
  <c r="CM299" i="19"/>
  <c r="CN299" i="19"/>
  <c r="CO299" i="19"/>
  <c r="CP299" i="19"/>
  <c r="CQ299" i="19"/>
  <c r="CR299" i="19"/>
  <c r="CS299" i="19"/>
  <c r="CT299" i="19"/>
  <c r="CU299" i="19"/>
  <c r="CV299" i="19"/>
  <c r="CW299" i="19"/>
  <c r="CX299" i="19"/>
  <c r="CY299" i="19"/>
  <c r="CZ299" i="19"/>
  <c r="DA299" i="19"/>
  <c r="DB299" i="19"/>
  <c r="DC299" i="19"/>
  <c r="DD299" i="19"/>
  <c r="DE299" i="19"/>
  <c r="DF299" i="19"/>
  <c r="DG299" i="19"/>
  <c r="DH299" i="19"/>
  <c r="DI299" i="19"/>
  <c r="DJ299" i="19"/>
  <c r="DK299" i="19"/>
  <c r="DL299" i="19"/>
  <c r="DM299" i="19"/>
  <c r="DN299" i="19"/>
  <c r="DO299" i="19"/>
  <c r="DP299" i="19"/>
  <c r="DQ299" i="19"/>
  <c r="DR299" i="19"/>
  <c r="DS299" i="19"/>
  <c r="DT299" i="19"/>
  <c r="DU299" i="19"/>
  <c r="DV299" i="19"/>
  <c r="DW299" i="19"/>
  <c r="DX299" i="19"/>
  <c r="DY299" i="19"/>
  <c r="DZ299" i="19"/>
  <c r="EA299" i="19"/>
  <c r="EB299" i="19"/>
  <c r="EC299" i="19"/>
  <c r="ED299" i="19"/>
  <c r="EE299" i="19"/>
  <c r="EF299" i="19"/>
  <c r="EG299" i="19"/>
  <c r="EH299" i="19"/>
  <c r="EI299" i="19"/>
  <c r="EJ299" i="19"/>
  <c r="EK299" i="19"/>
  <c r="EL299" i="19"/>
  <c r="EM299" i="19"/>
  <c r="EN299" i="19"/>
  <c r="EO299" i="19"/>
  <c r="EP299" i="19"/>
  <c r="EQ299" i="19"/>
  <c r="ER299" i="19"/>
  <c r="ES299" i="19"/>
  <c r="ET299" i="19"/>
  <c r="EU299" i="19"/>
  <c r="EV299" i="19"/>
  <c r="EW299" i="19"/>
  <c r="EX299" i="19"/>
  <c r="EY299" i="19"/>
  <c r="EZ299" i="19"/>
  <c r="FA299" i="19"/>
  <c r="FB299" i="19"/>
  <c r="FC299" i="19"/>
  <c r="FD299" i="19"/>
  <c r="FE299" i="19"/>
  <c r="FF299" i="19"/>
  <c r="ER297" i="19"/>
  <c r="ES297" i="19"/>
  <c r="ET297" i="19"/>
  <c r="EU297" i="19"/>
  <c r="EV297" i="19"/>
  <c r="EW297" i="19"/>
  <c r="EX297" i="19"/>
  <c r="EY297" i="19"/>
  <c r="EZ297" i="19"/>
  <c r="FA297" i="19"/>
  <c r="FB297" i="19"/>
  <c r="FC297" i="19"/>
  <c r="FD297" i="19"/>
  <c r="FE297" i="19"/>
  <c r="FF297" i="19"/>
  <c r="FG297" i="19"/>
  <c r="FH297" i="19"/>
  <c r="FI297" i="19"/>
  <c r="FJ297" i="19"/>
  <c r="FK297" i="19"/>
  <c r="FL297" i="19"/>
  <c r="FM297" i="19"/>
  <c r="FN297" i="19"/>
  <c r="FO297" i="19"/>
  <c r="FP297" i="19"/>
  <c r="FQ297" i="19"/>
  <c r="FR297" i="19"/>
  <c r="FS297" i="19"/>
  <c r="FT297" i="19"/>
  <c r="FU297" i="19"/>
  <c r="FV297" i="19"/>
  <c r="FW297" i="19"/>
  <c r="FX297" i="19"/>
  <c r="FY297" i="19"/>
  <c r="FZ297" i="19"/>
  <c r="GA297" i="19"/>
  <c r="GB297" i="19"/>
  <c r="GC297" i="19"/>
  <c r="GD297" i="19"/>
  <c r="GE297" i="19"/>
  <c r="GF297" i="19"/>
  <c r="GG297" i="19"/>
  <c r="GH297" i="19"/>
  <c r="GI297" i="19"/>
  <c r="GJ297" i="19"/>
  <c r="GK297" i="19"/>
  <c r="GL297" i="19"/>
  <c r="GM297" i="19"/>
  <c r="GN297" i="19"/>
  <c r="GO297" i="19"/>
  <c r="GP297" i="19"/>
  <c r="GQ297" i="19"/>
  <c r="GR297" i="19"/>
  <c r="GS297" i="19"/>
  <c r="GT297" i="19"/>
  <c r="GU297" i="19"/>
  <c r="GV297" i="19"/>
  <c r="GW297" i="19"/>
  <c r="GX297" i="19"/>
  <c r="GY297" i="19"/>
  <c r="GZ297" i="19"/>
  <c r="HA297" i="19"/>
  <c r="HB297" i="19"/>
  <c r="HC297" i="19"/>
  <c r="HD297" i="19"/>
  <c r="HE297" i="19"/>
  <c r="HF297" i="19"/>
  <c r="HG297" i="19"/>
  <c r="HH297" i="19"/>
  <c r="HI297" i="19"/>
  <c r="HJ297" i="19"/>
  <c r="HK297" i="19"/>
  <c r="HL297" i="19"/>
  <c r="HM297" i="19"/>
  <c r="HN297" i="19"/>
  <c r="HO297" i="19"/>
  <c r="HP297" i="19"/>
  <c r="HQ297" i="19"/>
  <c r="HR297" i="19"/>
  <c r="HS297" i="19"/>
  <c r="HT297" i="19"/>
  <c r="HU297" i="19"/>
  <c r="HV297" i="19"/>
  <c r="HW297" i="19"/>
  <c r="HX297" i="19"/>
  <c r="HY297" i="19"/>
  <c r="HZ297" i="19"/>
  <c r="IA297" i="19"/>
  <c r="IB297" i="19"/>
  <c r="IC297" i="19"/>
  <c r="ID297" i="19"/>
  <c r="IE297" i="19"/>
  <c r="IF297" i="19"/>
  <c r="IG297" i="19"/>
  <c r="IH297" i="19"/>
  <c r="II297" i="19"/>
  <c r="IJ297" i="19"/>
  <c r="IK297" i="19"/>
  <c r="IL297" i="19"/>
  <c r="IM297" i="19"/>
  <c r="IN297" i="19"/>
  <c r="IO297" i="19"/>
  <c r="IP297" i="19"/>
  <c r="IQ297" i="19"/>
  <c r="IR297" i="19"/>
  <c r="IS297" i="19"/>
  <c r="IT297" i="19"/>
  <c r="IU297" i="19"/>
  <c r="IV297" i="19"/>
  <c r="E1" i="19" l="1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AP2" i="19"/>
  <c r="AQ2" i="19"/>
  <c r="AR2" i="19"/>
  <c r="AS2" i="19"/>
  <c r="AT2" i="19"/>
  <c r="AU2" i="19"/>
  <c r="AV2" i="19"/>
  <c r="AW2" i="19"/>
  <c r="AX2" i="19"/>
  <c r="AY2" i="19"/>
  <c r="AZ2" i="19"/>
  <c r="BA2" i="19"/>
  <c r="BB2" i="19"/>
  <c r="BC2" i="19"/>
  <c r="BD2" i="19"/>
  <c r="BE2" i="19"/>
  <c r="BF2" i="19"/>
  <c r="BG2" i="19"/>
  <c r="BH2" i="19"/>
  <c r="BI2" i="19"/>
  <c r="BJ2" i="19"/>
  <c r="BK2" i="19"/>
  <c r="BL2" i="19"/>
  <c r="BM2" i="19"/>
  <c r="BN2" i="19"/>
  <c r="BO2" i="19"/>
  <c r="BP2" i="19"/>
  <c r="BQ2" i="19"/>
  <c r="BR2" i="19"/>
  <c r="BS2" i="19"/>
  <c r="BT2" i="19"/>
  <c r="BU2" i="19"/>
  <c r="BV2" i="19"/>
  <c r="BW2" i="19"/>
  <c r="BX2" i="19"/>
  <c r="BY2" i="19"/>
  <c r="BZ2" i="19"/>
  <c r="CA2" i="19"/>
  <c r="CB2" i="19"/>
  <c r="CC2" i="19"/>
  <c r="CD2" i="19"/>
  <c r="CE2" i="19"/>
  <c r="CF2" i="19"/>
  <c r="CG2" i="19"/>
  <c r="CH2" i="19"/>
  <c r="CI2" i="19"/>
  <c r="CJ2" i="19"/>
  <c r="CK2" i="19"/>
  <c r="CL2" i="19"/>
  <c r="CM2" i="19"/>
  <c r="CN2" i="19"/>
  <c r="CO2" i="19"/>
  <c r="CP2" i="19"/>
  <c r="CQ2" i="19"/>
  <c r="CR2" i="19"/>
  <c r="CS2" i="19"/>
  <c r="CT2" i="19"/>
  <c r="CU2" i="19"/>
  <c r="CV2" i="19"/>
  <c r="CW2" i="19"/>
  <c r="CX2" i="19"/>
  <c r="CY2" i="19"/>
  <c r="CZ2" i="19"/>
  <c r="DA2" i="19"/>
  <c r="DB2" i="19"/>
  <c r="DC2" i="19"/>
  <c r="DD2" i="19"/>
  <c r="DE2" i="19"/>
  <c r="DF2" i="19"/>
  <c r="DG2" i="19"/>
  <c r="DH2" i="19"/>
  <c r="DI2" i="19"/>
  <c r="DJ2" i="19"/>
  <c r="DK2" i="19"/>
  <c r="DL2" i="19"/>
  <c r="DM2" i="19"/>
  <c r="DN2" i="19"/>
  <c r="DO2" i="19"/>
  <c r="DP2" i="19"/>
  <c r="DQ2" i="19"/>
  <c r="DR2" i="19"/>
  <c r="DS2" i="19"/>
  <c r="DT2" i="19"/>
  <c r="DU2" i="19"/>
  <c r="DV2" i="19"/>
  <c r="DW2" i="19"/>
  <c r="DX2" i="19"/>
  <c r="DY2" i="19"/>
  <c r="DZ2" i="19"/>
  <c r="EA2" i="19"/>
  <c r="EB2" i="19"/>
  <c r="EC2" i="19"/>
  <c r="ED2" i="19"/>
  <c r="EE2" i="19"/>
  <c r="EF2" i="19"/>
  <c r="EG2" i="19"/>
  <c r="EH2" i="19"/>
  <c r="EI2" i="19"/>
  <c r="EJ2" i="19"/>
  <c r="EK2" i="19"/>
  <c r="EL2" i="19"/>
  <c r="EM2" i="19"/>
  <c r="EN2" i="19"/>
  <c r="EO2" i="19"/>
  <c r="EP2" i="19"/>
  <c r="EQ2" i="19"/>
  <c r="ER2" i="19"/>
  <c r="ES2" i="19"/>
  <c r="ET2" i="19"/>
  <c r="EU2" i="19"/>
  <c r="EV2" i="19"/>
  <c r="EW2" i="19"/>
  <c r="EX2" i="19"/>
  <c r="EY2" i="19"/>
  <c r="EZ2" i="19"/>
  <c r="FA2" i="19"/>
  <c r="FB2" i="19"/>
  <c r="FC2" i="19"/>
  <c r="FD2" i="19"/>
  <c r="FE2" i="19"/>
  <c r="FF2" i="19"/>
  <c r="FG2" i="19"/>
  <c r="FH2" i="19"/>
  <c r="FI2" i="19"/>
  <c r="FJ2" i="19"/>
  <c r="FK2" i="19"/>
  <c r="FL2" i="19"/>
  <c r="FM2" i="19"/>
  <c r="FN2" i="19"/>
  <c r="FO2" i="19"/>
  <c r="FP2" i="19"/>
  <c r="FQ2" i="19"/>
  <c r="FR2" i="19"/>
  <c r="FS2" i="19"/>
  <c r="FT2" i="19"/>
  <c r="FU2" i="19"/>
  <c r="FV2" i="19"/>
  <c r="FW2" i="19"/>
  <c r="FX2" i="19"/>
  <c r="FY2" i="19"/>
  <c r="FZ2" i="19"/>
  <c r="GA2" i="19"/>
  <c r="GB2" i="19"/>
  <c r="GC2" i="19"/>
  <c r="GD2" i="19"/>
  <c r="GE2" i="19"/>
  <c r="GF2" i="19"/>
  <c r="GG2" i="19"/>
  <c r="GH2" i="19"/>
  <c r="GI2" i="19"/>
  <c r="GJ2" i="19"/>
  <c r="GK2" i="19"/>
  <c r="GL2" i="19"/>
  <c r="GM2" i="19"/>
  <c r="GN2" i="19"/>
  <c r="GO2" i="19"/>
  <c r="GP2" i="19"/>
  <c r="GQ2" i="19"/>
  <c r="GR2" i="19"/>
  <c r="GS2" i="19"/>
  <c r="GT2" i="19"/>
  <c r="GU2" i="19"/>
  <c r="GV2" i="19"/>
  <c r="GW2" i="19"/>
  <c r="GX2" i="19"/>
  <c r="GY2" i="19"/>
  <c r="GZ2" i="19"/>
  <c r="HA2" i="19"/>
  <c r="HB2" i="19"/>
  <c r="HC2" i="19"/>
  <c r="HD2" i="19"/>
  <c r="HE2" i="19"/>
  <c r="HF2" i="19"/>
  <c r="HG2" i="19"/>
  <c r="HH2" i="19"/>
  <c r="HI2" i="19"/>
  <c r="HJ2" i="19"/>
  <c r="HK2" i="19"/>
  <c r="HL2" i="19"/>
  <c r="HM2" i="19"/>
  <c r="HN2" i="19"/>
  <c r="HO2" i="19"/>
  <c r="HP2" i="19"/>
  <c r="HQ2" i="19"/>
  <c r="HR2" i="19"/>
  <c r="HS2" i="19"/>
  <c r="HT2" i="19"/>
  <c r="HU2" i="19"/>
  <c r="HV2" i="19"/>
  <c r="HW2" i="19"/>
  <c r="HX2" i="19"/>
  <c r="HY2" i="19"/>
  <c r="HZ2" i="19"/>
  <c r="IA2" i="19"/>
  <c r="IB2" i="19"/>
  <c r="IC2" i="19"/>
  <c r="ID2" i="19"/>
  <c r="IE2" i="19"/>
  <c r="IF2" i="19"/>
  <c r="IG2" i="19"/>
  <c r="IH2" i="19"/>
  <c r="II2" i="19"/>
  <c r="IJ2" i="19"/>
  <c r="IK2" i="19"/>
  <c r="IL2" i="19"/>
  <c r="IM2" i="19"/>
  <c r="IN2" i="19"/>
  <c r="IO2" i="19"/>
  <c r="IP2" i="19"/>
  <c r="IQ2" i="19"/>
  <c r="IR2" i="19"/>
  <c r="IS2" i="19"/>
  <c r="IT2" i="19"/>
  <c r="IU2" i="19"/>
  <c r="IV2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AB3" i="19"/>
  <c r="AC3" i="19"/>
  <c r="AD3" i="19"/>
  <c r="AE3" i="19"/>
  <c r="AF3" i="19"/>
  <c r="AG3" i="19"/>
  <c r="AH3" i="19"/>
  <c r="AI3" i="19"/>
  <c r="AJ3" i="19"/>
  <c r="AK3" i="19"/>
  <c r="AL3" i="19"/>
  <c r="AM3" i="19"/>
  <c r="AN3" i="19"/>
  <c r="AO3" i="19"/>
  <c r="AP3" i="19"/>
  <c r="AQ3" i="19"/>
  <c r="AR3" i="19"/>
  <c r="AS3" i="19"/>
  <c r="AT3" i="19"/>
  <c r="AU3" i="19"/>
  <c r="AV3" i="19"/>
  <c r="AW3" i="19"/>
  <c r="AX3" i="19"/>
  <c r="AY3" i="19"/>
  <c r="AZ3" i="19"/>
  <c r="BA3" i="19"/>
  <c r="BB3" i="19"/>
  <c r="BC3" i="19"/>
  <c r="BD3" i="19"/>
  <c r="BE3" i="19"/>
  <c r="BF3" i="19"/>
  <c r="BG3" i="19"/>
  <c r="BH3" i="19"/>
  <c r="BI3" i="19"/>
  <c r="BJ3" i="19"/>
  <c r="BK3" i="19"/>
  <c r="BL3" i="19"/>
  <c r="BM3" i="19"/>
  <c r="BN3" i="19"/>
  <c r="BO3" i="19"/>
  <c r="BP3" i="19"/>
  <c r="BQ3" i="19"/>
  <c r="BR3" i="19"/>
  <c r="BS3" i="19"/>
  <c r="BT3" i="19"/>
  <c r="BU3" i="19"/>
  <c r="BV3" i="19"/>
  <c r="BW3" i="19"/>
  <c r="BX3" i="19"/>
  <c r="BY3" i="19"/>
  <c r="BZ3" i="19"/>
  <c r="CA3" i="19"/>
  <c r="CB3" i="19"/>
  <c r="CC3" i="19"/>
  <c r="CD3" i="19"/>
  <c r="CE3" i="19"/>
  <c r="CF3" i="19"/>
  <c r="CG3" i="19"/>
  <c r="CH3" i="19"/>
  <c r="CI3" i="19"/>
  <c r="CJ3" i="19"/>
  <c r="CK3" i="19"/>
  <c r="CL3" i="19"/>
  <c r="CM3" i="19"/>
  <c r="CN3" i="19"/>
  <c r="CO3" i="19"/>
  <c r="CP3" i="19"/>
  <c r="CQ3" i="19"/>
  <c r="CR3" i="19"/>
  <c r="CS3" i="19"/>
  <c r="CT3" i="19"/>
  <c r="CU3" i="19"/>
  <c r="CV3" i="19"/>
  <c r="CW3" i="19"/>
  <c r="CX3" i="19"/>
  <c r="CY3" i="19"/>
  <c r="CZ3" i="19"/>
  <c r="DA3" i="19"/>
  <c r="DB3" i="19"/>
  <c r="DC3" i="19"/>
  <c r="DD3" i="19"/>
  <c r="DE3" i="19"/>
  <c r="DF3" i="19"/>
  <c r="DG3" i="19"/>
  <c r="DH3" i="19"/>
  <c r="DI3" i="19"/>
  <c r="DJ3" i="19"/>
  <c r="DK3" i="19"/>
  <c r="DL3" i="19"/>
  <c r="DM3" i="19"/>
  <c r="DN3" i="19"/>
  <c r="DO3" i="19"/>
  <c r="DP3" i="19"/>
  <c r="DQ3" i="19"/>
  <c r="DR3" i="19"/>
  <c r="DS3" i="19"/>
  <c r="DT3" i="19"/>
  <c r="DU3" i="19"/>
  <c r="DV3" i="19"/>
  <c r="DW3" i="19"/>
  <c r="DX3" i="19"/>
  <c r="DY3" i="19"/>
  <c r="DZ3" i="19"/>
  <c r="EA3" i="19"/>
  <c r="EB3" i="19"/>
  <c r="EC3" i="19"/>
  <c r="ED3" i="19"/>
  <c r="EE3" i="19"/>
  <c r="EF3" i="19"/>
  <c r="EG3" i="19"/>
  <c r="EH3" i="19"/>
  <c r="EI3" i="19"/>
  <c r="EJ3" i="19"/>
  <c r="EK3" i="19"/>
  <c r="EL3" i="19"/>
  <c r="EM3" i="19"/>
  <c r="EN3" i="19"/>
  <c r="EO3" i="19"/>
  <c r="EP3" i="19"/>
  <c r="EQ3" i="19"/>
  <c r="ER3" i="19"/>
  <c r="ES3" i="19"/>
  <c r="ET3" i="19"/>
  <c r="EU3" i="19"/>
  <c r="EV3" i="19"/>
  <c r="EW3" i="19"/>
  <c r="EX3" i="19"/>
  <c r="EY3" i="19"/>
  <c r="EZ3" i="19"/>
  <c r="FA3" i="19"/>
  <c r="FB3" i="19"/>
  <c r="FC3" i="19"/>
  <c r="FD3" i="19"/>
  <c r="FE3" i="19"/>
  <c r="FF3" i="19"/>
  <c r="FG3" i="19"/>
  <c r="FH3" i="19"/>
  <c r="FI3" i="19"/>
  <c r="FJ3" i="19"/>
  <c r="FK3" i="19"/>
  <c r="FL3" i="19"/>
  <c r="FM3" i="19"/>
  <c r="FN3" i="19"/>
  <c r="FO3" i="19"/>
  <c r="FP3" i="19"/>
  <c r="FQ3" i="19"/>
  <c r="FR3" i="19"/>
  <c r="FS3" i="19"/>
  <c r="FT3" i="19"/>
  <c r="FU3" i="19"/>
  <c r="FV3" i="19"/>
  <c r="FW3" i="19"/>
  <c r="FX3" i="19"/>
  <c r="FY3" i="19"/>
  <c r="FZ3" i="19"/>
  <c r="GA3" i="19"/>
  <c r="GB3" i="19"/>
  <c r="GC3" i="19"/>
  <c r="GD3" i="19"/>
  <c r="GE3" i="19"/>
  <c r="GF3" i="19"/>
  <c r="GG3" i="19"/>
  <c r="GH3" i="19"/>
  <c r="GI3" i="19"/>
  <c r="GJ3" i="19"/>
  <c r="GK3" i="19"/>
  <c r="GL3" i="19"/>
  <c r="GM3" i="19"/>
  <c r="GN3" i="19"/>
  <c r="GO3" i="19"/>
  <c r="GP3" i="19"/>
  <c r="GQ3" i="19"/>
  <c r="GR3" i="19"/>
  <c r="GS3" i="19"/>
  <c r="GT3" i="19"/>
  <c r="GU3" i="19"/>
  <c r="GV3" i="19"/>
  <c r="GW3" i="19"/>
  <c r="GX3" i="19"/>
  <c r="GY3" i="19"/>
  <c r="GZ3" i="19"/>
  <c r="HA3" i="19"/>
  <c r="HB3" i="19"/>
  <c r="HC3" i="19"/>
  <c r="HD3" i="19"/>
  <c r="HE3" i="19"/>
  <c r="HF3" i="19"/>
  <c r="HG3" i="19"/>
  <c r="HH3" i="19"/>
  <c r="HI3" i="19"/>
  <c r="HJ3" i="19"/>
  <c r="HK3" i="19"/>
  <c r="HL3" i="19"/>
  <c r="HM3" i="19"/>
  <c r="HN3" i="19"/>
  <c r="HO3" i="19"/>
  <c r="HP3" i="19"/>
  <c r="HQ3" i="19"/>
  <c r="HR3" i="19"/>
  <c r="HS3" i="19"/>
  <c r="HT3" i="19"/>
  <c r="HU3" i="19"/>
  <c r="HV3" i="19"/>
  <c r="HW3" i="19"/>
  <c r="HX3" i="19"/>
  <c r="HY3" i="19"/>
  <c r="HZ3" i="19"/>
  <c r="IA3" i="19"/>
  <c r="IB3" i="19"/>
  <c r="IC3" i="19"/>
  <c r="ID3" i="19"/>
  <c r="IE3" i="19"/>
  <c r="IF3" i="19"/>
  <c r="IG3" i="19"/>
  <c r="IH3" i="19"/>
  <c r="II3" i="19"/>
  <c r="IJ3" i="19"/>
  <c r="IK3" i="19"/>
  <c r="IL3" i="19"/>
  <c r="IM3" i="19"/>
  <c r="IN3" i="19"/>
  <c r="IO3" i="19"/>
  <c r="IP3" i="19"/>
  <c r="IQ3" i="19"/>
  <c r="IR3" i="19"/>
  <c r="IS3" i="19"/>
  <c r="IT3" i="19"/>
  <c r="IU3" i="19"/>
  <c r="IV3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AN4" i="19"/>
  <c r="AO4" i="19"/>
  <c r="AP4" i="19"/>
  <c r="AQ4" i="19"/>
  <c r="AR4" i="19"/>
  <c r="AS4" i="19"/>
  <c r="AT4" i="19"/>
  <c r="AU4" i="19"/>
  <c r="AV4" i="19"/>
  <c r="AW4" i="19"/>
  <c r="AX4" i="19"/>
  <c r="AY4" i="19"/>
  <c r="AZ4" i="19"/>
  <c r="BA4" i="19"/>
  <c r="BB4" i="19"/>
  <c r="BC4" i="19"/>
  <c r="BD4" i="19"/>
  <c r="BE4" i="19"/>
  <c r="BF4" i="19"/>
  <c r="BG4" i="19"/>
  <c r="BH4" i="19"/>
  <c r="BI4" i="19"/>
  <c r="BJ4" i="19"/>
  <c r="BK4" i="19"/>
  <c r="BL4" i="19"/>
  <c r="BM4" i="19"/>
  <c r="BN4" i="19"/>
  <c r="BO4" i="19"/>
  <c r="BP4" i="19"/>
  <c r="BQ4" i="19"/>
  <c r="BR4" i="19"/>
  <c r="BS4" i="19"/>
  <c r="BT4" i="19"/>
  <c r="BU4" i="19"/>
  <c r="BV4" i="19"/>
  <c r="BW4" i="19"/>
  <c r="BX4" i="19"/>
  <c r="BY4" i="19"/>
  <c r="BZ4" i="19"/>
  <c r="CA4" i="19"/>
  <c r="CB4" i="19"/>
  <c r="CC4" i="19"/>
  <c r="CD4" i="19"/>
  <c r="CE4" i="19"/>
  <c r="CF4" i="19"/>
  <c r="CG4" i="19"/>
  <c r="CH4" i="19"/>
  <c r="CI4" i="19"/>
  <c r="CJ4" i="19"/>
  <c r="CK4" i="19"/>
  <c r="CL4" i="19"/>
  <c r="CM4" i="19"/>
  <c r="CN4" i="19"/>
  <c r="CO4" i="19"/>
  <c r="CP4" i="19"/>
  <c r="CQ4" i="19"/>
  <c r="CR4" i="19"/>
  <c r="CS4" i="19"/>
  <c r="CT4" i="19"/>
  <c r="CU4" i="19"/>
  <c r="CV4" i="19"/>
  <c r="CW4" i="19"/>
  <c r="CX4" i="19"/>
  <c r="CY4" i="19"/>
  <c r="CZ4" i="19"/>
  <c r="DA4" i="19"/>
  <c r="DB4" i="19"/>
  <c r="DC4" i="19"/>
  <c r="DD4" i="19"/>
  <c r="DE4" i="19"/>
  <c r="DF4" i="19"/>
  <c r="DG4" i="19"/>
  <c r="DH4" i="19"/>
  <c r="DI4" i="19"/>
  <c r="DJ4" i="19"/>
  <c r="DK4" i="19"/>
  <c r="DL4" i="19"/>
  <c r="DM4" i="19"/>
  <c r="DN4" i="19"/>
  <c r="DO4" i="19"/>
  <c r="DP4" i="19"/>
  <c r="DQ4" i="19"/>
  <c r="DR4" i="19"/>
  <c r="DS4" i="19"/>
  <c r="DT4" i="19"/>
  <c r="DU4" i="19"/>
  <c r="DV4" i="19"/>
  <c r="DW4" i="19"/>
  <c r="DX4" i="19"/>
  <c r="DY4" i="19"/>
  <c r="DZ4" i="19"/>
  <c r="EA4" i="19"/>
  <c r="EB4" i="19"/>
  <c r="EC4" i="19"/>
  <c r="ED4" i="19"/>
  <c r="EE4" i="19"/>
  <c r="EF4" i="19"/>
  <c r="EG4" i="19"/>
  <c r="EH4" i="19"/>
  <c r="EI4" i="19"/>
  <c r="EJ4" i="19"/>
  <c r="EK4" i="19"/>
  <c r="EL4" i="19"/>
  <c r="EM4" i="19"/>
  <c r="EN4" i="19"/>
  <c r="EO4" i="19"/>
  <c r="EP4" i="19"/>
  <c r="EQ4" i="19"/>
  <c r="ER4" i="19"/>
  <c r="ES4" i="19"/>
  <c r="ET4" i="19"/>
  <c r="EU4" i="19"/>
  <c r="EV4" i="19"/>
  <c r="EW4" i="19"/>
  <c r="EX4" i="19"/>
  <c r="EY4" i="19"/>
  <c r="EZ4" i="19"/>
  <c r="FA4" i="19"/>
  <c r="FB4" i="19"/>
  <c r="FC4" i="19"/>
  <c r="FD4" i="19"/>
  <c r="FE4" i="19"/>
  <c r="FF4" i="19"/>
  <c r="FG4" i="19"/>
  <c r="FH4" i="19"/>
  <c r="FI4" i="19"/>
  <c r="FJ4" i="19"/>
  <c r="FK4" i="19"/>
  <c r="FL4" i="19"/>
  <c r="FM4" i="19"/>
  <c r="FN4" i="19"/>
  <c r="FO4" i="19"/>
  <c r="FP4" i="19"/>
  <c r="FQ4" i="19"/>
  <c r="FR4" i="19"/>
  <c r="FS4" i="19"/>
  <c r="FT4" i="19"/>
  <c r="FU4" i="19"/>
  <c r="FV4" i="19"/>
  <c r="FW4" i="19"/>
  <c r="FX4" i="19"/>
  <c r="FY4" i="19"/>
  <c r="FZ4" i="19"/>
  <c r="GA4" i="19"/>
  <c r="GB4" i="19"/>
  <c r="GC4" i="19"/>
  <c r="GD4" i="19"/>
  <c r="GE4" i="19"/>
  <c r="GF4" i="19"/>
  <c r="GG4" i="19"/>
  <c r="GH4" i="19"/>
  <c r="GI4" i="19"/>
  <c r="GJ4" i="19"/>
  <c r="GK4" i="19"/>
  <c r="GL4" i="19"/>
  <c r="GM4" i="19"/>
  <c r="GN4" i="19"/>
  <c r="GO4" i="19"/>
  <c r="GP4" i="19"/>
  <c r="GQ4" i="19"/>
  <c r="GR4" i="19"/>
  <c r="GS4" i="19"/>
  <c r="GT4" i="19"/>
  <c r="GU4" i="19"/>
  <c r="GV4" i="19"/>
  <c r="GW4" i="19"/>
  <c r="GX4" i="19"/>
  <c r="GY4" i="19"/>
  <c r="GZ4" i="19"/>
  <c r="HA4" i="19"/>
  <c r="HB4" i="19"/>
  <c r="HC4" i="19"/>
  <c r="HD4" i="19"/>
  <c r="HE4" i="19"/>
  <c r="HF4" i="19"/>
  <c r="HG4" i="19"/>
  <c r="HH4" i="19"/>
  <c r="HI4" i="19"/>
  <c r="HJ4" i="19"/>
  <c r="HK4" i="19"/>
  <c r="HL4" i="19"/>
  <c r="HM4" i="19"/>
  <c r="HN4" i="19"/>
  <c r="HO4" i="19"/>
  <c r="HP4" i="19"/>
  <c r="HQ4" i="19"/>
  <c r="HR4" i="19"/>
  <c r="HS4" i="19"/>
  <c r="HT4" i="19"/>
  <c r="HU4" i="19"/>
  <c r="HV4" i="19"/>
  <c r="HW4" i="19"/>
  <c r="HX4" i="19"/>
  <c r="HY4" i="19"/>
  <c r="HZ4" i="19"/>
  <c r="IA4" i="19"/>
  <c r="IB4" i="19"/>
  <c r="IC4" i="19"/>
  <c r="ID4" i="19"/>
  <c r="IE4" i="19"/>
  <c r="IF4" i="19"/>
  <c r="IG4" i="19"/>
  <c r="IH4" i="19"/>
  <c r="II4" i="19"/>
  <c r="IJ4" i="19"/>
  <c r="IK4" i="19"/>
  <c r="IL4" i="19"/>
  <c r="IM4" i="19"/>
  <c r="IN4" i="19"/>
  <c r="IO4" i="19"/>
  <c r="IP4" i="19"/>
  <c r="IQ4" i="19"/>
  <c r="IR4" i="19"/>
  <c r="IS4" i="19"/>
  <c r="IT4" i="19"/>
  <c r="IU4" i="19"/>
  <c r="IV4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AO5" i="19"/>
  <c r="AP5" i="19"/>
  <c r="AQ5" i="19"/>
  <c r="AR5" i="19"/>
  <c r="AS5" i="19"/>
  <c r="AT5" i="19"/>
  <c r="AU5" i="19"/>
  <c r="AV5" i="19"/>
  <c r="AW5" i="19"/>
  <c r="AX5" i="19"/>
  <c r="AY5" i="19"/>
  <c r="AZ5" i="19"/>
  <c r="BA5" i="19"/>
  <c r="BB5" i="19"/>
  <c r="BC5" i="19"/>
  <c r="BD5" i="19"/>
  <c r="BE5" i="19"/>
  <c r="BF5" i="19"/>
  <c r="BG5" i="19"/>
  <c r="BH5" i="19"/>
  <c r="BI5" i="19"/>
  <c r="BJ5" i="19"/>
  <c r="BK5" i="19"/>
  <c r="BL5" i="19"/>
  <c r="BM5" i="19"/>
  <c r="BN5" i="19"/>
  <c r="BO5" i="19"/>
  <c r="BP5" i="19"/>
  <c r="BQ5" i="19"/>
  <c r="BR5" i="19"/>
  <c r="BS5" i="19"/>
  <c r="BT5" i="19"/>
  <c r="BU5" i="19"/>
  <c r="BV5" i="19"/>
  <c r="BW5" i="19"/>
  <c r="BX5" i="19"/>
  <c r="BY5" i="19"/>
  <c r="BZ5" i="19"/>
  <c r="CA5" i="19"/>
  <c r="CB5" i="19"/>
  <c r="CC5" i="19"/>
  <c r="CD5" i="19"/>
  <c r="CE5" i="19"/>
  <c r="CF5" i="19"/>
  <c r="CG5" i="19"/>
  <c r="CH5" i="19"/>
  <c r="CI5" i="19"/>
  <c r="CJ5" i="19"/>
  <c r="CK5" i="19"/>
  <c r="CL5" i="19"/>
  <c r="CM5" i="19"/>
  <c r="CN5" i="19"/>
  <c r="CO5" i="19"/>
  <c r="CP5" i="19"/>
  <c r="CQ5" i="19"/>
  <c r="CR5" i="19"/>
  <c r="CS5" i="19"/>
  <c r="CT5" i="19"/>
  <c r="CU5" i="19"/>
  <c r="CV5" i="19"/>
  <c r="CW5" i="19"/>
  <c r="CX5" i="19"/>
  <c r="CY5" i="19"/>
  <c r="CZ5" i="19"/>
  <c r="DA5" i="19"/>
  <c r="DB5" i="19"/>
  <c r="DC5" i="19"/>
  <c r="DD5" i="19"/>
  <c r="DE5" i="19"/>
  <c r="DF5" i="19"/>
  <c r="DG5" i="19"/>
  <c r="DH5" i="19"/>
  <c r="DI5" i="19"/>
  <c r="DJ5" i="19"/>
  <c r="DK5" i="19"/>
  <c r="DL5" i="19"/>
  <c r="DM5" i="19"/>
  <c r="DN5" i="19"/>
  <c r="DO5" i="19"/>
  <c r="DP5" i="19"/>
  <c r="DQ5" i="19"/>
  <c r="DR5" i="19"/>
  <c r="DS5" i="19"/>
  <c r="DT5" i="19"/>
  <c r="DU5" i="19"/>
  <c r="DV5" i="19"/>
  <c r="DW5" i="19"/>
  <c r="DX5" i="19"/>
  <c r="DY5" i="19"/>
  <c r="DZ5" i="19"/>
  <c r="EA5" i="19"/>
  <c r="EB5" i="19"/>
  <c r="EC5" i="19"/>
  <c r="ED5" i="19"/>
  <c r="EE5" i="19"/>
  <c r="EF5" i="19"/>
  <c r="EG5" i="19"/>
  <c r="EH5" i="19"/>
  <c r="EI5" i="19"/>
  <c r="EJ5" i="19"/>
  <c r="EK5" i="19"/>
  <c r="EL5" i="19"/>
  <c r="EM5" i="19"/>
  <c r="EN5" i="19"/>
  <c r="EO5" i="19"/>
  <c r="EP5" i="19"/>
  <c r="EQ5" i="19"/>
  <c r="ER5" i="19"/>
  <c r="ES5" i="19"/>
  <c r="ET5" i="19"/>
  <c r="EU5" i="19"/>
  <c r="EV5" i="19"/>
  <c r="EW5" i="19"/>
  <c r="EX5" i="19"/>
  <c r="EY5" i="19"/>
  <c r="EZ5" i="19"/>
  <c r="FA5" i="19"/>
  <c r="FB5" i="19"/>
  <c r="FC5" i="19"/>
  <c r="FD5" i="19"/>
  <c r="FE5" i="19"/>
  <c r="FF5" i="19"/>
  <c r="FG5" i="19"/>
  <c r="FH5" i="19"/>
  <c r="FI5" i="19"/>
  <c r="FJ5" i="19"/>
  <c r="FK5" i="19"/>
  <c r="FL5" i="19"/>
  <c r="FM5" i="19"/>
  <c r="FN5" i="19"/>
  <c r="FO5" i="19"/>
  <c r="FP5" i="19"/>
  <c r="FQ5" i="19"/>
  <c r="FR5" i="19"/>
  <c r="FS5" i="19"/>
  <c r="FT5" i="19"/>
  <c r="FU5" i="19"/>
  <c r="FV5" i="19"/>
  <c r="FW5" i="19"/>
  <c r="FX5" i="19"/>
  <c r="FY5" i="19"/>
  <c r="FZ5" i="19"/>
  <c r="GA5" i="19"/>
  <c r="GB5" i="19"/>
  <c r="GC5" i="19"/>
  <c r="GD5" i="19"/>
  <c r="GE5" i="19"/>
  <c r="GF5" i="19"/>
  <c r="GG5" i="19"/>
  <c r="GH5" i="19"/>
  <c r="GI5" i="19"/>
  <c r="GJ5" i="19"/>
  <c r="GK5" i="19"/>
  <c r="GL5" i="19"/>
  <c r="GM5" i="19"/>
  <c r="GN5" i="19"/>
  <c r="GO5" i="19"/>
  <c r="GP5" i="19"/>
  <c r="GQ5" i="19"/>
  <c r="GR5" i="19"/>
  <c r="GS5" i="19"/>
  <c r="GT5" i="19"/>
  <c r="GU5" i="19"/>
  <c r="GV5" i="19"/>
  <c r="GW5" i="19"/>
  <c r="GX5" i="19"/>
  <c r="GY5" i="19"/>
  <c r="GZ5" i="19"/>
  <c r="HA5" i="19"/>
  <c r="HB5" i="19"/>
  <c r="HC5" i="19"/>
  <c r="HD5" i="19"/>
  <c r="HE5" i="19"/>
  <c r="HF5" i="19"/>
  <c r="HG5" i="19"/>
  <c r="HH5" i="19"/>
  <c r="HI5" i="19"/>
  <c r="HJ5" i="19"/>
  <c r="HK5" i="19"/>
  <c r="HL5" i="19"/>
  <c r="HM5" i="19"/>
  <c r="HN5" i="19"/>
  <c r="HO5" i="19"/>
  <c r="HP5" i="19"/>
  <c r="HQ5" i="19"/>
  <c r="HR5" i="19"/>
  <c r="HS5" i="19"/>
  <c r="HT5" i="19"/>
  <c r="HU5" i="19"/>
  <c r="HV5" i="19"/>
  <c r="HW5" i="19"/>
  <c r="HX5" i="19"/>
  <c r="HY5" i="19"/>
  <c r="HZ5" i="19"/>
  <c r="IA5" i="19"/>
  <c r="IB5" i="19"/>
  <c r="IC5" i="19"/>
  <c r="ID5" i="19"/>
  <c r="IE5" i="19"/>
  <c r="IF5" i="19"/>
  <c r="IG5" i="19"/>
  <c r="IH5" i="19"/>
  <c r="II5" i="19"/>
  <c r="IJ5" i="19"/>
  <c r="IK5" i="19"/>
  <c r="IL5" i="19"/>
  <c r="IM5" i="19"/>
  <c r="IN5" i="19"/>
  <c r="IO5" i="19"/>
  <c r="IP5" i="19"/>
  <c r="IQ5" i="19"/>
  <c r="IR5" i="19"/>
  <c r="IS5" i="19"/>
  <c r="IT5" i="19"/>
  <c r="IU5" i="19"/>
  <c r="IV5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AN6" i="19"/>
  <c r="AO6" i="19"/>
  <c r="AP6" i="19"/>
  <c r="AQ6" i="19"/>
  <c r="AR6" i="19"/>
  <c r="AS6" i="19"/>
  <c r="AT6" i="19"/>
  <c r="AU6" i="19"/>
  <c r="AV6" i="19"/>
  <c r="AW6" i="19"/>
  <c r="AX6" i="19"/>
  <c r="AY6" i="19"/>
  <c r="AZ6" i="19"/>
  <c r="BA6" i="19"/>
  <c r="BB6" i="19"/>
  <c r="BC6" i="19"/>
  <c r="BD6" i="19"/>
  <c r="BE6" i="19"/>
  <c r="BF6" i="19"/>
  <c r="BG6" i="19"/>
  <c r="BH6" i="19"/>
  <c r="BI6" i="19"/>
  <c r="BJ6" i="19"/>
  <c r="BK6" i="19"/>
  <c r="BL6" i="19"/>
  <c r="BM6" i="19"/>
  <c r="BN6" i="19"/>
  <c r="BO6" i="19"/>
  <c r="BP6" i="19"/>
  <c r="BQ6" i="19"/>
  <c r="BR6" i="19"/>
  <c r="BS6" i="19"/>
  <c r="BT6" i="19"/>
  <c r="BU6" i="19"/>
  <c r="BV6" i="19"/>
  <c r="BW6" i="19"/>
  <c r="BX6" i="19"/>
  <c r="BY6" i="19"/>
  <c r="BZ6" i="19"/>
  <c r="CA6" i="19"/>
  <c r="CB6" i="19"/>
  <c r="CC6" i="19"/>
  <c r="CD6" i="19"/>
  <c r="CE6" i="19"/>
  <c r="CF6" i="19"/>
  <c r="CG6" i="19"/>
  <c r="CH6" i="19"/>
  <c r="CI6" i="19"/>
  <c r="CJ6" i="19"/>
  <c r="CK6" i="19"/>
  <c r="CL6" i="19"/>
  <c r="CM6" i="19"/>
  <c r="CN6" i="19"/>
  <c r="CO6" i="19"/>
  <c r="CP6" i="19"/>
  <c r="CQ6" i="19"/>
  <c r="CR6" i="19"/>
  <c r="CS6" i="19"/>
  <c r="CT6" i="19"/>
  <c r="CU6" i="19"/>
  <c r="CV6" i="19"/>
  <c r="CW6" i="19"/>
  <c r="CX6" i="19"/>
  <c r="CY6" i="19"/>
  <c r="CZ6" i="19"/>
  <c r="DA6" i="19"/>
  <c r="DB6" i="19"/>
  <c r="DC6" i="19"/>
  <c r="DD6" i="19"/>
  <c r="DE6" i="19"/>
  <c r="DF6" i="19"/>
  <c r="DG6" i="19"/>
  <c r="DH6" i="19"/>
  <c r="DI6" i="19"/>
  <c r="DJ6" i="19"/>
  <c r="DK6" i="19"/>
  <c r="DL6" i="19"/>
  <c r="DM6" i="19"/>
  <c r="DN6" i="19"/>
  <c r="DO6" i="19"/>
  <c r="DP6" i="19"/>
  <c r="DQ6" i="19"/>
  <c r="DR6" i="19"/>
  <c r="DS6" i="19"/>
  <c r="DT6" i="19"/>
  <c r="DU6" i="19"/>
  <c r="DV6" i="19"/>
  <c r="DW6" i="19"/>
  <c r="DX6" i="19"/>
  <c r="DY6" i="19"/>
  <c r="DZ6" i="19"/>
  <c r="EA6" i="19"/>
  <c r="EB6" i="19"/>
  <c r="EC6" i="19"/>
  <c r="ED6" i="19"/>
  <c r="EE6" i="19"/>
  <c r="EF6" i="19"/>
  <c r="EG6" i="19"/>
  <c r="EH6" i="19"/>
  <c r="EI6" i="19"/>
  <c r="EJ6" i="19"/>
  <c r="EK6" i="19"/>
  <c r="EL6" i="19"/>
  <c r="EM6" i="19"/>
  <c r="EN6" i="19"/>
  <c r="EO6" i="19"/>
  <c r="EP6" i="19"/>
  <c r="EQ6" i="19"/>
  <c r="ER6" i="19"/>
  <c r="ES6" i="19"/>
  <c r="ET6" i="19"/>
  <c r="EU6" i="19"/>
  <c r="EV6" i="19"/>
  <c r="EW6" i="19"/>
  <c r="EX6" i="19"/>
  <c r="EY6" i="19"/>
  <c r="EZ6" i="19"/>
  <c r="FA6" i="19"/>
  <c r="FB6" i="19"/>
  <c r="FC6" i="19"/>
  <c r="FD6" i="19"/>
  <c r="FE6" i="19"/>
  <c r="FF6" i="19"/>
  <c r="FG6" i="19"/>
  <c r="FH6" i="19"/>
  <c r="FI6" i="19"/>
  <c r="FJ6" i="19"/>
  <c r="FK6" i="19"/>
  <c r="FL6" i="19"/>
  <c r="FM6" i="19"/>
  <c r="FN6" i="19"/>
  <c r="FO6" i="19"/>
  <c r="FP6" i="19"/>
  <c r="FQ6" i="19"/>
  <c r="FR6" i="19"/>
  <c r="FS6" i="19"/>
  <c r="FT6" i="19"/>
  <c r="FU6" i="19"/>
  <c r="FV6" i="19"/>
  <c r="FW6" i="19"/>
  <c r="FX6" i="19"/>
  <c r="FY6" i="19"/>
  <c r="FZ6" i="19"/>
  <c r="GA6" i="19"/>
  <c r="GB6" i="19"/>
  <c r="GC6" i="19"/>
  <c r="GD6" i="19"/>
  <c r="GE6" i="19"/>
  <c r="GF6" i="19"/>
  <c r="GG6" i="19"/>
  <c r="GH6" i="19"/>
  <c r="GI6" i="19"/>
  <c r="GJ6" i="19"/>
  <c r="GK6" i="19"/>
  <c r="GL6" i="19"/>
  <c r="GM6" i="19"/>
  <c r="GN6" i="19"/>
  <c r="GO6" i="19"/>
  <c r="GP6" i="19"/>
  <c r="GQ6" i="19"/>
  <c r="GR6" i="19"/>
  <c r="GS6" i="19"/>
  <c r="GT6" i="19"/>
  <c r="GU6" i="19"/>
  <c r="GV6" i="19"/>
  <c r="GW6" i="19"/>
  <c r="GX6" i="19"/>
  <c r="GY6" i="19"/>
  <c r="GZ6" i="19"/>
  <c r="HA6" i="19"/>
  <c r="HB6" i="19"/>
  <c r="HC6" i="19"/>
  <c r="HD6" i="19"/>
  <c r="HE6" i="19"/>
  <c r="HF6" i="19"/>
  <c r="HG6" i="19"/>
  <c r="HH6" i="19"/>
  <c r="HI6" i="19"/>
  <c r="HJ6" i="19"/>
  <c r="HK6" i="19"/>
  <c r="HL6" i="19"/>
  <c r="HM6" i="19"/>
  <c r="HN6" i="19"/>
  <c r="HO6" i="19"/>
  <c r="HP6" i="19"/>
  <c r="HQ6" i="19"/>
  <c r="HR6" i="19"/>
  <c r="HS6" i="19"/>
  <c r="HT6" i="19"/>
  <c r="HU6" i="19"/>
  <c r="HV6" i="19"/>
  <c r="HW6" i="19"/>
  <c r="HX6" i="19"/>
  <c r="HY6" i="19"/>
  <c r="HZ6" i="19"/>
  <c r="IA6" i="19"/>
  <c r="IB6" i="19"/>
  <c r="IC6" i="19"/>
  <c r="ID6" i="19"/>
  <c r="IE6" i="19"/>
  <c r="IF6" i="19"/>
  <c r="IG6" i="19"/>
  <c r="IH6" i="19"/>
  <c r="II6" i="19"/>
  <c r="IJ6" i="19"/>
  <c r="IK6" i="19"/>
  <c r="IL6" i="19"/>
  <c r="IM6" i="19"/>
  <c r="IN6" i="19"/>
  <c r="IO6" i="19"/>
  <c r="IP6" i="19"/>
  <c r="IQ6" i="19"/>
  <c r="IR6" i="19"/>
  <c r="IS6" i="19"/>
  <c r="IT6" i="19"/>
  <c r="IU6" i="19"/>
  <c r="IV6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V7" i="19"/>
  <c r="AW7" i="19"/>
  <c r="AX7" i="19"/>
  <c r="AY7" i="19"/>
  <c r="AZ7" i="19"/>
  <c r="BA7" i="19"/>
  <c r="BB7" i="19"/>
  <c r="BC7" i="19"/>
  <c r="BD7" i="19"/>
  <c r="BE7" i="19"/>
  <c r="BF7" i="19"/>
  <c r="BG7" i="19"/>
  <c r="BH7" i="19"/>
  <c r="BI7" i="19"/>
  <c r="BJ7" i="19"/>
  <c r="BK7" i="19"/>
  <c r="BL7" i="19"/>
  <c r="BM7" i="19"/>
  <c r="BN7" i="19"/>
  <c r="BO7" i="19"/>
  <c r="BP7" i="19"/>
  <c r="BQ7" i="19"/>
  <c r="BR7" i="19"/>
  <c r="BS7" i="19"/>
  <c r="BT7" i="19"/>
  <c r="BU7" i="19"/>
  <c r="BV7" i="19"/>
  <c r="BW7" i="19"/>
  <c r="BX7" i="19"/>
  <c r="BY7" i="19"/>
  <c r="BZ7" i="19"/>
  <c r="CA7" i="19"/>
  <c r="CB7" i="19"/>
  <c r="CC7" i="19"/>
  <c r="CD7" i="19"/>
  <c r="CE7" i="19"/>
  <c r="CF7" i="19"/>
  <c r="CG7" i="19"/>
  <c r="CH7" i="19"/>
  <c r="CI7" i="19"/>
  <c r="CJ7" i="19"/>
  <c r="CK7" i="19"/>
  <c r="CL7" i="19"/>
  <c r="CM7" i="19"/>
  <c r="CN7" i="19"/>
  <c r="CO7" i="19"/>
  <c r="CP7" i="19"/>
  <c r="CQ7" i="19"/>
  <c r="CR7" i="19"/>
  <c r="CS7" i="19"/>
  <c r="CT7" i="19"/>
  <c r="CU7" i="19"/>
  <c r="CV7" i="19"/>
  <c r="CW7" i="19"/>
  <c r="CX7" i="19"/>
  <c r="CY7" i="19"/>
  <c r="CZ7" i="19"/>
  <c r="DA7" i="19"/>
  <c r="DB7" i="19"/>
  <c r="DC7" i="19"/>
  <c r="DD7" i="19"/>
  <c r="DE7" i="19"/>
  <c r="DF7" i="19"/>
  <c r="DG7" i="19"/>
  <c r="DH7" i="19"/>
  <c r="DI7" i="19"/>
  <c r="DJ7" i="19"/>
  <c r="DK7" i="19"/>
  <c r="DL7" i="19"/>
  <c r="DM7" i="19"/>
  <c r="DN7" i="19"/>
  <c r="DO7" i="19"/>
  <c r="DP7" i="19"/>
  <c r="DQ7" i="19"/>
  <c r="DR7" i="19"/>
  <c r="DS7" i="19"/>
  <c r="DT7" i="19"/>
  <c r="DU7" i="19"/>
  <c r="DV7" i="19"/>
  <c r="DW7" i="19"/>
  <c r="DX7" i="19"/>
  <c r="DY7" i="19"/>
  <c r="DZ7" i="19"/>
  <c r="EA7" i="19"/>
  <c r="EB7" i="19"/>
  <c r="EC7" i="19"/>
  <c r="ED7" i="19"/>
  <c r="EE7" i="19"/>
  <c r="EF7" i="19"/>
  <c r="EG7" i="19"/>
  <c r="EH7" i="19"/>
  <c r="EI7" i="19"/>
  <c r="EJ7" i="19"/>
  <c r="EK7" i="19"/>
  <c r="EL7" i="19"/>
  <c r="EM7" i="19"/>
  <c r="EN7" i="19"/>
  <c r="EO7" i="19"/>
  <c r="EP7" i="19"/>
  <c r="EQ7" i="19"/>
  <c r="ER7" i="19"/>
  <c r="ES7" i="19"/>
  <c r="ET7" i="19"/>
  <c r="EU7" i="19"/>
  <c r="EV7" i="19"/>
  <c r="EW7" i="19"/>
  <c r="EX7" i="19"/>
  <c r="EY7" i="19"/>
  <c r="EZ7" i="19"/>
  <c r="FA7" i="19"/>
  <c r="FB7" i="19"/>
  <c r="FC7" i="19"/>
  <c r="FD7" i="19"/>
  <c r="FE7" i="19"/>
  <c r="FF7" i="19"/>
  <c r="FG7" i="19"/>
  <c r="FH7" i="19"/>
  <c r="FI7" i="19"/>
  <c r="FJ7" i="19"/>
  <c r="FK7" i="19"/>
  <c r="FL7" i="19"/>
  <c r="FM7" i="19"/>
  <c r="FN7" i="19"/>
  <c r="FO7" i="19"/>
  <c r="FP7" i="19"/>
  <c r="FQ7" i="19"/>
  <c r="FR7" i="19"/>
  <c r="FS7" i="19"/>
  <c r="FT7" i="19"/>
  <c r="FU7" i="19"/>
  <c r="FV7" i="19"/>
  <c r="FW7" i="19"/>
  <c r="FX7" i="19"/>
  <c r="FY7" i="19"/>
  <c r="FZ7" i="19"/>
  <c r="GA7" i="19"/>
  <c r="GB7" i="19"/>
  <c r="GC7" i="19"/>
  <c r="GD7" i="19"/>
  <c r="GE7" i="19"/>
  <c r="GF7" i="19"/>
  <c r="GG7" i="19"/>
  <c r="GH7" i="19"/>
  <c r="GI7" i="19"/>
  <c r="GJ7" i="19"/>
  <c r="GK7" i="19"/>
  <c r="GL7" i="19"/>
  <c r="GM7" i="19"/>
  <c r="GN7" i="19"/>
  <c r="GO7" i="19"/>
  <c r="GP7" i="19"/>
  <c r="GQ7" i="19"/>
  <c r="GR7" i="19"/>
  <c r="GS7" i="19"/>
  <c r="GT7" i="19"/>
  <c r="GU7" i="19"/>
  <c r="GV7" i="19"/>
  <c r="GW7" i="19"/>
  <c r="GX7" i="19"/>
  <c r="GY7" i="19"/>
  <c r="GZ7" i="19"/>
  <c r="HA7" i="19"/>
  <c r="HB7" i="19"/>
  <c r="HC7" i="19"/>
  <c r="HD7" i="19"/>
  <c r="HE7" i="19"/>
  <c r="HF7" i="19"/>
  <c r="HG7" i="19"/>
  <c r="HH7" i="19"/>
  <c r="HI7" i="19"/>
  <c r="HJ7" i="19"/>
  <c r="HK7" i="19"/>
  <c r="HL7" i="19"/>
  <c r="HM7" i="19"/>
  <c r="HN7" i="19"/>
  <c r="HO7" i="19"/>
  <c r="HP7" i="19"/>
  <c r="HQ7" i="19"/>
  <c r="HR7" i="19"/>
  <c r="HS7" i="19"/>
  <c r="HT7" i="19"/>
  <c r="HU7" i="19"/>
  <c r="HV7" i="19"/>
  <c r="HW7" i="19"/>
  <c r="HX7" i="19"/>
  <c r="HY7" i="19"/>
  <c r="HZ7" i="19"/>
  <c r="IA7" i="19"/>
  <c r="IB7" i="19"/>
  <c r="IC7" i="19"/>
  <c r="ID7" i="19"/>
  <c r="IE7" i="19"/>
  <c r="IF7" i="19"/>
  <c r="IG7" i="19"/>
  <c r="IH7" i="19"/>
  <c r="II7" i="19"/>
  <c r="IJ7" i="19"/>
  <c r="IK7" i="19"/>
  <c r="IL7" i="19"/>
  <c r="IM7" i="19"/>
  <c r="IN7" i="19"/>
  <c r="IO7" i="19"/>
  <c r="IP7" i="19"/>
  <c r="IQ7" i="19"/>
  <c r="IR7" i="19"/>
  <c r="IS7" i="19"/>
  <c r="IT7" i="19"/>
  <c r="IU7" i="19"/>
  <c r="IV7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AP8" i="19"/>
  <c r="AQ8" i="19"/>
  <c r="AR8" i="19"/>
  <c r="AS8" i="19"/>
  <c r="AT8" i="19"/>
  <c r="AU8" i="19"/>
  <c r="AV8" i="19"/>
  <c r="AW8" i="19"/>
  <c r="AX8" i="19"/>
  <c r="AY8" i="19"/>
  <c r="AZ8" i="19"/>
  <c r="BA8" i="19"/>
  <c r="BB8" i="19"/>
  <c r="BC8" i="19"/>
  <c r="BD8" i="19"/>
  <c r="BE8" i="19"/>
  <c r="BF8" i="19"/>
  <c r="BG8" i="19"/>
  <c r="BH8" i="19"/>
  <c r="BI8" i="19"/>
  <c r="BJ8" i="19"/>
  <c r="BK8" i="19"/>
  <c r="BL8" i="19"/>
  <c r="BM8" i="19"/>
  <c r="BN8" i="19"/>
  <c r="BO8" i="19"/>
  <c r="BP8" i="19"/>
  <c r="BQ8" i="19"/>
  <c r="BR8" i="19"/>
  <c r="BS8" i="19"/>
  <c r="BT8" i="19"/>
  <c r="BU8" i="19"/>
  <c r="BV8" i="19"/>
  <c r="BW8" i="19"/>
  <c r="BX8" i="19"/>
  <c r="BY8" i="19"/>
  <c r="BZ8" i="19"/>
  <c r="CA8" i="19"/>
  <c r="CB8" i="19"/>
  <c r="CC8" i="19"/>
  <c r="CD8" i="19"/>
  <c r="CE8" i="19"/>
  <c r="CF8" i="19"/>
  <c r="CG8" i="19"/>
  <c r="CH8" i="19"/>
  <c r="CI8" i="19"/>
  <c r="CJ8" i="19"/>
  <c r="CK8" i="19"/>
  <c r="CL8" i="19"/>
  <c r="CM8" i="19"/>
  <c r="CN8" i="19"/>
  <c r="CO8" i="19"/>
  <c r="CP8" i="19"/>
  <c r="CQ8" i="19"/>
  <c r="CR8" i="19"/>
  <c r="CS8" i="19"/>
  <c r="CT8" i="19"/>
  <c r="CU8" i="19"/>
  <c r="CV8" i="19"/>
  <c r="CW8" i="19"/>
  <c r="CX8" i="19"/>
  <c r="CY8" i="19"/>
  <c r="CZ8" i="19"/>
  <c r="DA8" i="19"/>
  <c r="DB8" i="19"/>
  <c r="DC8" i="19"/>
  <c r="DD8" i="19"/>
  <c r="DE8" i="19"/>
  <c r="DF8" i="19"/>
  <c r="DG8" i="19"/>
  <c r="DH8" i="19"/>
  <c r="DI8" i="19"/>
  <c r="DJ8" i="19"/>
  <c r="DK8" i="19"/>
  <c r="DL8" i="19"/>
  <c r="DM8" i="19"/>
  <c r="DN8" i="19"/>
  <c r="DO8" i="19"/>
  <c r="DP8" i="19"/>
  <c r="DQ8" i="19"/>
  <c r="DR8" i="19"/>
  <c r="DS8" i="19"/>
  <c r="DT8" i="19"/>
  <c r="DU8" i="19"/>
  <c r="DV8" i="19"/>
  <c r="DW8" i="19"/>
  <c r="DX8" i="19"/>
  <c r="DY8" i="19"/>
  <c r="DZ8" i="19"/>
  <c r="EA8" i="19"/>
  <c r="EB8" i="19"/>
  <c r="EC8" i="19"/>
  <c r="ED8" i="19"/>
  <c r="EE8" i="19"/>
  <c r="EF8" i="19"/>
  <c r="EG8" i="19"/>
  <c r="EH8" i="19"/>
  <c r="EI8" i="19"/>
  <c r="EJ8" i="19"/>
  <c r="EK8" i="19"/>
  <c r="EL8" i="19"/>
  <c r="EM8" i="19"/>
  <c r="EN8" i="19"/>
  <c r="EO8" i="19"/>
  <c r="EP8" i="19"/>
  <c r="EQ8" i="19"/>
  <c r="ER8" i="19"/>
  <c r="ES8" i="19"/>
  <c r="ET8" i="19"/>
  <c r="EU8" i="19"/>
  <c r="EV8" i="19"/>
  <c r="EW8" i="19"/>
  <c r="EX8" i="19"/>
  <c r="EY8" i="19"/>
  <c r="EZ8" i="19"/>
  <c r="FA8" i="19"/>
  <c r="FB8" i="19"/>
  <c r="FC8" i="19"/>
  <c r="FD8" i="19"/>
  <c r="FE8" i="19"/>
  <c r="FF8" i="19"/>
  <c r="FG8" i="19"/>
  <c r="FH8" i="19"/>
  <c r="FI8" i="19"/>
  <c r="FJ8" i="19"/>
  <c r="FK8" i="19"/>
  <c r="FL8" i="19"/>
  <c r="FM8" i="19"/>
  <c r="FN8" i="19"/>
  <c r="FO8" i="19"/>
  <c r="FP8" i="19"/>
  <c r="FQ8" i="19"/>
  <c r="FR8" i="19"/>
  <c r="FS8" i="19"/>
  <c r="FT8" i="19"/>
  <c r="FU8" i="19"/>
  <c r="FV8" i="19"/>
  <c r="FW8" i="19"/>
  <c r="FX8" i="19"/>
  <c r="FY8" i="19"/>
  <c r="FZ8" i="19"/>
  <c r="GA8" i="19"/>
  <c r="GB8" i="19"/>
  <c r="GC8" i="19"/>
  <c r="GD8" i="19"/>
  <c r="GE8" i="19"/>
  <c r="GF8" i="19"/>
  <c r="GG8" i="19"/>
  <c r="GH8" i="19"/>
  <c r="GI8" i="19"/>
  <c r="GJ8" i="19"/>
  <c r="GK8" i="19"/>
  <c r="GL8" i="19"/>
  <c r="GM8" i="19"/>
  <c r="GN8" i="19"/>
  <c r="GO8" i="19"/>
  <c r="GP8" i="19"/>
  <c r="GQ8" i="19"/>
  <c r="GR8" i="19"/>
  <c r="GS8" i="19"/>
  <c r="GT8" i="19"/>
  <c r="GU8" i="19"/>
  <c r="GV8" i="19"/>
  <c r="GW8" i="19"/>
  <c r="GX8" i="19"/>
  <c r="GY8" i="19"/>
  <c r="GZ8" i="19"/>
  <c r="HA8" i="19"/>
  <c r="HB8" i="19"/>
  <c r="HC8" i="19"/>
  <c r="HD8" i="19"/>
  <c r="HE8" i="19"/>
  <c r="HF8" i="19"/>
  <c r="HG8" i="19"/>
  <c r="HH8" i="19"/>
  <c r="HI8" i="19"/>
  <c r="HJ8" i="19"/>
  <c r="HK8" i="19"/>
  <c r="HL8" i="19"/>
  <c r="HM8" i="19"/>
  <c r="HN8" i="19"/>
  <c r="HO8" i="19"/>
  <c r="HP8" i="19"/>
  <c r="HQ8" i="19"/>
  <c r="HR8" i="19"/>
  <c r="HS8" i="19"/>
  <c r="HT8" i="19"/>
  <c r="HU8" i="19"/>
  <c r="HV8" i="19"/>
  <c r="HW8" i="19"/>
  <c r="HX8" i="19"/>
  <c r="HY8" i="19"/>
  <c r="HZ8" i="19"/>
  <c r="IA8" i="19"/>
  <c r="IB8" i="19"/>
  <c r="IC8" i="19"/>
  <c r="ID8" i="19"/>
  <c r="IE8" i="19"/>
  <c r="IF8" i="19"/>
  <c r="IG8" i="19"/>
  <c r="IH8" i="19"/>
  <c r="II8" i="19"/>
  <c r="IJ8" i="19"/>
  <c r="IK8" i="19"/>
  <c r="IL8" i="19"/>
  <c r="IM8" i="19"/>
  <c r="IN8" i="19"/>
  <c r="IO8" i="19"/>
  <c r="IP8" i="19"/>
  <c r="IQ8" i="19"/>
  <c r="IR8" i="19"/>
  <c r="IS8" i="19"/>
  <c r="IT8" i="19"/>
  <c r="IU8" i="19"/>
  <c r="IV8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V9" i="19"/>
  <c r="AW9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BJ9" i="19"/>
  <c r="BK9" i="19"/>
  <c r="BL9" i="19"/>
  <c r="BM9" i="19"/>
  <c r="BN9" i="19"/>
  <c r="BO9" i="19"/>
  <c r="BP9" i="19"/>
  <c r="BQ9" i="19"/>
  <c r="BR9" i="19"/>
  <c r="BS9" i="19"/>
  <c r="BT9" i="19"/>
  <c r="BU9" i="19"/>
  <c r="BV9" i="19"/>
  <c r="BW9" i="19"/>
  <c r="BX9" i="19"/>
  <c r="BY9" i="19"/>
  <c r="BZ9" i="19"/>
  <c r="CA9" i="19"/>
  <c r="CB9" i="19"/>
  <c r="CC9" i="19"/>
  <c r="CD9" i="19"/>
  <c r="CE9" i="19"/>
  <c r="CF9" i="19"/>
  <c r="CG9" i="19"/>
  <c r="CH9" i="19"/>
  <c r="CI9" i="19"/>
  <c r="CJ9" i="19"/>
  <c r="CK9" i="19"/>
  <c r="CL9" i="19"/>
  <c r="CM9" i="19"/>
  <c r="CN9" i="19"/>
  <c r="CO9" i="19"/>
  <c r="CP9" i="19"/>
  <c r="CQ9" i="19"/>
  <c r="CR9" i="19"/>
  <c r="CS9" i="19"/>
  <c r="CT9" i="19"/>
  <c r="CU9" i="19"/>
  <c r="CV9" i="19"/>
  <c r="CW9" i="19"/>
  <c r="CX9" i="19"/>
  <c r="CY9" i="19"/>
  <c r="CZ9" i="19"/>
  <c r="DA9" i="19"/>
  <c r="DB9" i="19"/>
  <c r="DC9" i="19"/>
  <c r="DD9" i="19"/>
  <c r="DE9" i="19"/>
  <c r="DF9" i="19"/>
  <c r="DG9" i="19"/>
  <c r="DH9" i="19"/>
  <c r="DI9" i="19"/>
  <c r="DJ9" i="19"/>
  <c r="DK9" i="19"/>
  <c r="DL9" i="19"/>
  <c r="DM9" i="19"/>
  <c r="DN9" i="19"/>
  <c r="DO9" i="19"/>
  <c r="DP9" i="19"/>
  <c r="DQ9" i="19"/>
  <c r="DR9" i="19"/>
  <c r="DS9" i="19"/>
  <c r="DT9" i="19"/>
  <c r="DU9" i="19"/>
  <c r="DV9" i="19"/>
  <c r="DW9" i="19"/>
  <c r="DX9" i="19"/>
  <c r="DY9" i="19"/>
  <c r="DZ9" i="19"/>
  <c r="EA9" i="19"/>
  <c r="EB9" i="19"/>
  <c r="EC9" i="19"/>
  <c r="ED9" i="19"/>
  <c r="EE9" i="19"/>
  <c r="EF9" i="19"/>
  <c r="EG9" i="19"/>
  <c r="EH9" i="19"/>
  <c r="EI9" i="19"/>
  <c r="EJ9" i="19"/>
  <c r="EK9" i="19"/>
  <c r="EL9" i="19"/>
  <c r="EM9" i="19"/>
  <c r="EN9" i="19"/>
  <c r="EO9" i="19"/>
  <c r="EP9" i="19"/>
  <c r="EQ9" i="19"/>
  <c r="ER9" i="19"/>
  <c r="ES9" i="19"/>
  <c r="ET9" i="19"/>
  <c r="EU9" i="19"/>
  <c r="EV9" i="19"/>
  <c r="EW9" i="19"/>
  <c r="EX9" i="19"/>
  <c r="EY9" i="19"/>
  <c r="EZ9" i="19"/>
  <c r="FA9" i="19"/>
  <c r="FB9" i="19"/>
  <c r="FC9" i="19"/>
  <c r="FD9" i="19"/>
  <c r="FE9" i="19"/>
  <c r="FF9" i="19"/>
  <c r="FG9" i="19"/>
  <c r="FH9" i="19"/>
  <c r="FI9" i="19"/>
  <c r="FJ9" i="19"/>
  <c r="FK9" i="19"/>
  <c r="FL9" i="19"/>
  <c r="FM9" i="19"/>
  <c r="FN9" i="19"/>
  <c r="FO9" i="19"/>
  <c r="FP9" i="19"/>
  <c r="FQ9" i="19"/>
  <c r="FR9" i="19"/>
  <c r="FS9" i="19"/>
  <c r="FT9" i="19"/>
  <c r="FU9" i="19"/>
  <c r="FV9" i="19"/>
  <c r="FW9" i="19"/>
  <c r="FX9" i="19"/>
  <c r="FY9" i="19"/>
  <c r="FZ9" i="19"/>
  <c r="GA9" i="19"/>
  <c r="GB9" i="19"/>
  <c r="GC9" i="19"/>
  <c r="GD9" i="19"/>
  <c r="GE9" i="19"/>
  <c r="GF9" i="19"/>
  <c r="GG9" i="19"/>
  <c r="GH9" i="19"/>
  <c r="GI9" i="19"/>
  <c r="GJ9" i="19"/>
  <c r="GK9" i="19"/>
  <c r="GL9" i="19"/>
  <c r="GM9" i="19"/>
  <c r="GN9" i="19"/>
  <c r="GO9" i="19"/>
  <c r="GP9" i="19"/>
  <c r="GQ9" i="19"/>
  <c r="GR9" i="19"/>
  <c r="GS9" i="19"/>
  <c r="GT9" i="19"/>
  <c r="GU9" i="19"/>
  <c r="GV9" i="19"/>
  <c r="GW9" i="19"/>
  <c r="GX9" i="19"/>
  <c r="GY9" i="19"/>
  <c r="GZ9" i="19"/>
  <c r="HA9" i="19"/>
  <c r="HB9" i="19"/>
  <c r="HC9" i="19"/>
  <c r="HD9" i="19"/>
  <c r="HE9" i="19"/>
  <c r="HF9" i="19"/>
  <c r="HG9" i="19"/>
  <c r="HH9" i="19"/>
  <c r="HI9" i="19"/>
  <c r="HJ9" i="19"/>
  <c r="HK9" i="19"/>
  <c r="HL9" i="19"/>
  <c r="HM9" i="19"/>
  <c r="HN9" i="19"/>
  <c r="HO9" i="19"/>
  <c r="HP9" i="19"/>
  <c r="HQ9" i="19"/>
  <c r="HR9" i="19"/>
  <c r="HS9" i="19"/>
  <c r="HT9" i="19"/>
  <c r="HU9" i="19"/>
  <c r="HV9" i="19"/>
  <c r="HW9" i="19"/>
  <c r="HX9" i="19"/>
  <c r="HY9" i="19"/>
  <c r="HZ9" i="19"/>
  <c r="IA9" i="19"/>
  <c r="IB9" i="19"/>
  <c r="IC9" i="19"/>
  <c r="ID9" i="19"/>
  <c r="IE9" i="19"/>
  <c r="IF9" i="19"/>
  <c r="IG9" i="19"/>
  <c r="IH9" i="19"/>
  <c r="II9" i="19"/>
  <c r="IJ9" i="19"/>
  <c r="IK9" i="19"/>
  <c r="IL9" i="19"/>
  <c r="IM9" i="19"/>
  <c r="IN9" i="19"/>
  <c r="IO9" i="19"/>
  <c r="IP9" i="19"/>
  <c r="IQ9" i="19"/>
  <c r="IR9" i="19"/>
  <c r="IS9" i="19"/>
  <c r="IT9" i="19"/>
  <c r="IU9" i="19"/>
  <c r="IV9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BL10" i="19"/>
  <c r="BM10" i="19"/>
  <c r="BN10" i="19"/>
  <c r="BO10" i="19"/>
  <c r="BP10" i="19"/>
  <c r="BQ10" i="19"/>
  <c r="BR10" i="19"/>
  <c r="BS10" i="19"/>
  <c r="BT10" i="19"/>
  <c r="BU10" i="19"/>
  <c r="BV10" i="19"/>
  <c r="BW10" i="19"/>
  <c r="BX10" i="19"/>
  <c r="BY10" i="19"/>
  <c r="BZ10" i="19"/>
  <c r="CA10" i="19"/>
  <c r="CB10" i="19"/>
  <c r="CC10" i="19"/>
  <c r="CD10" i="19"/>
  <c r="CE10" i="19"/>
  <c r="CF10" i="19"/>
  <c r="CG10" i="19"/>
  <c r="CH10" i="19"/>
  <c r="CI10" i="19"/>
  <c r="CJ10" i="19"/>
  <c r="CK10" i="19"/>
  <c r="CL10" i="19"/>
  <c r="CM10" i="19"/>
  <c r="CN10" i="19"/>
  <c r="CO10" i="19"/>
  <c r="CP10" i="19"/>
  <c r="CQ10" i="19"/>
  <c r="CR10" i="19"/>
  <c r="CS10" i="19"/>
  <c r="CT10" i="19"/>
  <c r="CU10" i="19"/>
  <c r="CV10" i="19"/>
  <c r="CW10" i="19"/>
  <c r="CX10" i="19"/>
  <c r="CY10" i="19"/>
  <c r="CZ10" i="19"/>
  <c r="DA10" i="19"/>
  <c r="DB10" i="19"/>
  <c r="DC10" i="19"/>
  <c r="DD10" i="19"/>
  <c r="DE10" i="19"/>
  <c r="DF10" i="19"/>
  <c r="DG10" i="19"/>
  <c r="DH10" i="19"/>
  <c r="DI10" i="19"/>
  <c r="DJ10" i="19"/>
  <c r="DK10" i="19"/>
  <c r="DL10" i="19"/>
  <c r="DM10" i="19"/>
  <c r="DN10" i="19"/>
  <c r="DO10" i="19"/>
  <c r="DP10" i="19"/>
  <c r="DQ10" i="19"/>
  <c r="DR10" i="19"/>
  <c r="DS10" i="19"/>
  <c r="DT10" i="19"/>
  <c r="DU10" i="19"/>
  <c r="DV10" i="19"/>
  <c r="DW10" i="19"/>
  <c r="DX10" i="19"/>
  <c r="DY10" i="19"/>
  <c r="DZ10" i="19"/>
  <c r="EA10" i="19"/>
  <c r="EB10" i="19"/>
  <c r="EC10" i="19"/>
  <c r="ED10" i="19"/>
  <c r="EE10" i="19"/>
  <c r="EF10" i="19"/>
  <c r="EG10" i="19"/>
  <c r="EH10" i="19"/>
  <c r="EI10" i="19"/>
  <c r="EJ10" i="19"/>
  <c r="EK10" i="19"/>
  <c r="EL10" i="19"/>
  <c r="EM10" i="19"/>
  <c r="EN10" i="19"/>
  <c r="EO10" i="19"/>
  <c r="EP10" i="19"/>
  <c r="EQ10" i="19"/>
  <c r="ER10" i="19"/>
  <c r="ES10" i="19"/>
  <c r="ET10" i="19"/>
  <c r="EU10" i="19"/>
  <c r="EV10" i="19"/>
  <c r="EW10" i="19"/>
  <c r="EX10" i="19"/>
  <c r="EY10" i="19"/>
  <c r="EZ10" i="19"/>
  <c r="FA10" i="19"/>
  <c r="FB10" i="19"/>
  <c r="FC10" i="19"/>
  <c r="FD10" i="19"/>
  <c r="FE10" i="19"/>
  <c r="FF10" i="19"/>
  <c r="FG10" i="19"/>
  <c r="FH10" i="19"/>
  <c r="FI10" i="19"/>
  <c r="FJ10" i="19"/>
  <c r="FK10" i="19"/>
  <c r="FL10" i="19"/>
  <c r="FM10" i="19"/>
  <c r="FN10" i="19"/>
  <c r="FO10" i="19"/>
  <c r="FP10" i="19"/>
  <c r="FQ10" i="19"/>
  <c r="FR10" i="19"/>
  <c r="FS10" i="19"/>
  <c r="FT10" i="19"/>
  <c r="FU10" i="19"/>
  <c r="FV10" i="19"/>
  <c r="FW10" i="19"/>
  <c r="FX10" i="19"/>
  <c r="FY10" i="19"/>
  <c r="FZ10" i="19"/>
  <c r="GA10" i="19"/>
  <c r="GB10" i="19"/>
  <c r="GC10" i="19"/>
  <c r="GD10" i="19"/>
  <c r="GE10" i="19"/>
  <c r="GF10" i="19"/>
  <c r="GG10" i="19"/>
  <c r="GH10" i="19"/>
  <c r="GI10" i="19"/>
  <c r="GJ10" i="19"/>
  <c r="GK10" i="19"/>
  <c r="GL10" i="19"/>
  <c r="GM10" i="19"/>
  <c r="GN10" i="19"/>
  <c r="GO10" i="19"/>
  <c r="GP10" i="19"/>
  <c r="GQ10" i="19"/>
  <c r="GR10" i="19"/>
  <c r="GS10" i="19"/>
  <c r="GT10" i="19"/>
  <c r="GU10" i="19"/>
  <c r="GV10" i="19"/>
  <c r="GW10" i="19"/>
  <c r="GX10" i="19"/>
  <c r="GY10" i="19"/>
  <c r="GZ10" i="19"/>
  <c r="HA10" i="19"/>
  <c r="HB10" i="19"/>
  <c r="HC10" i="19"/>
  <c r="HD10" i="19"/>
  <c r="HE10" i="19"/>
  <c r="HF10" i="19"/>
  <c r="HG10" i="19"/>
  <c r="HH10" i="19"/>
  <c r="HI10" i="19"/>
  <c r="HJ10" i="19"/>
  <c r="HK10" i="19"/>
  <c r="HL10" i="19"/>
  <c r="HM10" i="19"/>
  <c r="HN10" i="19"/>
  <c r="HO10" i="19"/>
  <c r="HP10" i="19"/>
  <c r="HQ10" i="19"/>
  <c r="HR10" i="19"/>
  <c r="HS10" i="19"/>
  <c r="HT10" i="19"/>
  <c r="HU10" i="19"/>
  <c r="HV10" i="19"/>
  <c r="HW10" i="19"/>
  <c r="HX10" i="19"/>
  <c r="HY10" i="19"/>
  <c r="HZ10" i="19"/>
  <c r="IA10" i="19"/>
  <c r="IB10" i="19"/>
  <c r="IC10" i="19"/>
  <c r="ID10" i="19"/>
  <c r="IE10" i="19"/>
  <c r="IF10" i="19"/>
  <c r="IG10" i="19"/>
  <c r="IH10" i="19"/>
  <c r="II10" i="19"/>
  <c r="IJ10" i="19"/>
  <c r="IK10" i="19"/>
  <c r="IL10" i="19"/>
  <c r="IM10" i="19"/>
  <c r="IN10" i="19"/>
  <c r="IO10" i="19"/>
  <c r="IP10" i="19"/>
  <c r="IQ10" i="19"/>
  <c r="IR10" i="19"/>
  <c r="IS10" i="19"/>
  <c r="IT10" i="19"/>
  <c r="IU10" i="19"/>
  <c r="IV10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V11" i="19"/>
  <c r="AW11" i="19"/>
  <c r="AX11" i="19"/>
  <c r="AY11" i="19"/>
  <c r="AZ11" i="19"/>
  <c r="BA11" i="19"/>
  <c r="BB11" i="19"/>
  <c r="BC11" i="19"/>
  <c r="BD11" i="19"/>
  <c r="BE11" i="19"/>
  <c r="BF11" i="19"/>
  <c r="BG11" i="19"/>
  <c r="BH11" i="19"/>
  <c r="BI11" i="19"/>
  <c r="BJ11" i="19"/>
  <c r="BK11" i="19"/>
  <c r="BL11" i="19"/>
  <c r="BM11" i="19"/>
  <c r="BN11" i="19"/>
  <c r="BO11" i="19"/>
  <c r="BP11" i="19"/>
  <c r="BQ11" i="19"/>
  <c r="BR11" i="19"/>
  <c r="BS11" i="19"/>
  <c r="BT11" i="19"/>
  <c r="BU11" i="19"/>
  <c r="BV11" i="19"/>
  <c r="BW11" i="19"/>
  <c r="BX11" i="19"/>
  <c r="BY11" i="19"/>
  <c r="BZ11" i="19"/>
  <c r="CA11" i="19"/>
  <c r="CB11" i="19"/>
  <c r="CC11" i="19"/>
  <c r="CD11" i="19"/>
  <c r="CE11" i="19"/>
  <c r="CF11" i="19"/>
  <c r="CG11" i="19"/>
  <c r="CH11" i="19"/>
  <c r="CI11" i="19"/>
  <c r="CJ11" i="19"/>
  <c r="CK11" i="19"/>
  <c r="CL11" i="19"/>
  <c r="CM11" i="19"/>
  <c r="CN11" i="19"/>
  <c r="CO11" i="19"/>
  <c r="CP11" i="19"/>
  <c r="CQ11" i="19"/>
  <c r="CR11" i="19"/>
  <c r="CS11" i="19"/>
  <c r="CT11" i="19"/>
  <c r="CU11" i="19"/>
  <c r="CV11" i="19"/>
  <c r="CW11" i="19"/>
  <c r="CX11" i="19"/>
  <c r="CY11" i="19"/>
  <c r="CZ11" i="19"/>
  <c r="DA11" i="19"/>
  <c r="DB11" i="19"/>
  <c r="DC11" i="19"/>
  <c r="DD11" i="19"/>
  <c r="DE11" i="19"/>
  <c r="DF11" i="19"/>
  <c r="DG11" i="19"/>
  <c r="DH11" i="19"/>
  <c r="DI11" i="19"/>
  <c r="DJ11" i="19"/>
  <c r="DK11" i="19"/>
  <c r="DL11" i="19"/>
  <c r="DM11" i="19"/>
  <c r="DN11" i="19"/>
  <c r="DO11" i="19"/>
  <c r="DP11" i="19"/>
  <c r="DQ11" i="19"/>
  <c r="DR11" i="19"/>
  <c r="DS11" i="19"/>
  <c r="DT11" i="19"/>
  <c r="DU11" i="19"/>
  <c r="DV11" i="19"/>
  <c r="DW11" i="19"/>
  <c r="DX11" i="19"/>
  <c r="DY11" i="19"/>
  <c r="DZ11" i="19"/>
  <c r="EA11" i="19"/>
  <c r="EB11" i="19"/>
  <c r="EC11" i="19"/>
  <c r="ED11" i="19"/>
  <c r="EE11" i="19"/>
  <c r="EF11" i="19"/>
  <c r="EG11" i="19"/>
  <c r="EH11" i="19"/>
  <c r="EI11" i="19"/>
  <c r="EJ11" i="19"/>
  <c r="EK11" i="19"/>
  <c r="EL11" i="19"/>
  <c r="EM11" i="19"/>
  <c r="EN11" i="19"/>
  <c r="EO11" i="19"/>
  <c r="EP11" i="19"/>
  <c r="EQ11" i="19"/>
  <c r="ER11" i="19"/>
  <c r="ES11" i="19"/>
  <c r="ET11" i="19"/>
  <c r="EU11" i="19"/>
  <c r="EV11" i="19"/>
  <c r="EW11" i="19"/>
  <c r="EX11" i="19"/>
  <c r="EY11" i="19"/>
  <c r="EZ11" i="19"/>
  <c r="FA11" i="19"/>
  <c r="FB11" i="19"/>
  <c r="FC11" i="19"/>
  <c r="FD11" i="19"/>
  <c r="FE11" i="19"/>
  <c r="FF11" i="19"/>
  <c r="FG11" i="19"/>
  <c r="FH11" i="19"/>
  <c r="FI11" i="19"/>
  <c r="FJ11" i="19"/>
  <c r="FK11" i="19"/>
  <c r="FL11" i="19"/>
  <c r="FM11" i="19"/>
  <c r="FN11" i="19"/>
  <c r="FO11" i="19"/>
  <c r="FP11" i="19"/>
  <c r="FQ11" i="19"/>
  <c r="FR11" i="19"/>
  <c r="FS11" i="19"/>
  <c r="FT11" i="19"/>
  <c r="FU11" i="19"/>
  <c r="FV11" i="19"/>
  <c r="FW11" i="19"/>
  <c r="FX11" i="19"/>
  <c r="FY11" i="19"/>
  <c r="FZ11" i="19"/>
  <c r="GA11" i="19"/>
  <c r="GB11" i="19"/>
  <c r="GC11" i="19"/>
  <c r="GD11" i="19"/>
  <c r="GE11" i="19"/>
  <c r="GF11" i="19"/>
  <c r="GG11" i="19"/>
  <c r="GH11" i="19"/>
  <c r="GI11" i="19"/>
  <c r="GJ11" i="19"/>
  <c r="GK11" i="19"/>
  <c r="GL11" i="19"/>
  <c r="GM11" i="19"/>
  <c r="GN11" i="19"/>
  <c r="GO11" i="19"/>
  <c r="GP11" i="19"/>
  <c r="GQ11" i="19"/>
  <c r="GR11" i="19"/>
  <c r="GS11" i="19"/>
  <c r="GT11" i="19"/>
  <c r="GU11" i="19"/>
  <c r="GV11" i="19"/>
  <c r="GW11" i="19"/>
  <c r="GX11" i="19"/>
  <c r="GY11" i="19"/>
  <c r="GZ11" i="19"/>
  <c r="HA11" i="19"/>
  <c r="HB11" i="19"/>
  <c r="HC11" i="19"/>
  <c r="HD11" i="19"/>
  <c r="HE11" i="19"/>
  <c r="HF11" i="19"/>
  <c r="HG11" i="19"/>
  <c r="HH11" i="19"/>
  <c r="HI11" i="19"/>
  <c r="HJ11" i="19"/>
  <c r="HK11" i="19"/>
  <c r="HL11" i="19"/>
  <c r="HM11" i="19"/>
  <c r="HN11" i="19"/>
  <c r="HO11" i="19"/>
  <c r="HP11" i="19"/>
  <c r="HQ11" i="19"/>
  <c r="HR11" i="19"/>
  <c r="HS11" i="19"/>
  <c r="HT11" i="19"/>
  <c r="HU11" i="19"/>
  <c r="HV11" i="19"/>
  <c r="HW11" i="19"/>
  <c r="HX11" i="19"/>
  <c r="HY11" i="19"/>
  <c r="HZ11" i="19"/>
  <c r="IA11" i="19"/>
  <c r="IB11" i="19"/>
  <c r="IC11" i="19"/>
  <c r="ID11" i="19"/>
  <c r="IE11" i="19"/>
  <c r="IF11" i="19"/>
  <c r="IG11" i="19"/>
  <c r="IH11" i="19"/>
  <c r="II11" i="19"/>
  <c r="IJ11" i="19"/>
  <c r="IK11" i="19"/>
  <c r="IL11" i="19"/>
  <c r="IM11" i="19"/>
  <c r="IN11" i="19"/>
  <c r="IO11" i="19"/>
  <c r="IP11" i="19"/>
  <c r="IQ11" i="19"/>
  <c r="IR11" i="19"/>
  <c r="IS11" i="19"/>
  <c r="IT11" i="19"/>
  <c r="IU11" i="19"/>
  <c r="IV11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AV12" i="19"/>
  <c r="AW12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BL12" i="19"/>
  <c r="BM12" i="19"/>
  <c r="BN12" i="19"/>
  <c r="BO12" i="19"/>
  <c r="BP12" i="19"/>
  <c r="BQ12" i="19"/>
  <c r="BR12" i="19"/>
  <c r="BS12" i="19"/>
  <c r="BT12" i="19"/>
  <c r="BU12" i="19"/>
  <c r="BV12" i="19"/>
  <c r="BW12" i="19"/>
  <c r="BX12" i="19"/>
  <c r="BY12" i="19"/>
  <c r="BZ12" i="19"/>
  <c r="CA12" i="19"/>
  <c r="CB12" i="19"/>
  <c r="CC12" i="19"/>
  <c r="CD12" i="19"/>
  <c r="CE12" i="19"/>
  <c r="CF12" i="19"/>
  <c r="CG12" i="19"/>
  <c r="CH12" i="19"/>
  <c r="CI12" i="19"/>
  <c r="CJ12" i="19"/>
  <c r="CK12" i="19"/>
  <c r="CL12" i="19"/>
  <c r="CM12" i="19"/>
  <c r="CN12" i="19"/>
  <c r="CO12" i="19"/>
  <c r="CP12" i="19"/>
  <c r="CQ12" i="19"/>
  <c r="CR12" i="19"/>
  <c r="CS12" i="19"/>
  <c r="CT12" i="19"/>
  <c r="CU12" i="19"/>
  <c r="CV12" i="19"/>
  <c r="CW12" i="19"/>
  <c r="CX12" i="19"/>
  <c r="CY12" i="19"/>
  <c r="CZ12" i="19"/>
  <c r="DA12" i="19"/>
  <c r="DB12" i="19"/>
  <c r="DC12" i="19"/>
  <c r="DD12" i="19"/>
  <c r="DE12" i="19"/>
  <c r="DF12" i="19"/>
  <c r="DG12" i="19"/>
  <c r="DH12" i="19"/>
  <c r="DI12" i="19"/>
  <c r="DJ12" i="19"/>
  <c r="DK12" i="19"/>
  <c r="DL12" i="19"/>
  <c r="DM12" i="19"/>
  <c r="DN12" i="19"/>
  <c r="DO12" i="19"/>
  <c r="DP12" i="19"/>
  <c r="DQ12" i="19"/>
  <c r="DR12" i="19"/>
  <c r="DS12" i="19"/>
  <c r="DT12" i="19"/>
  <c r="DU12" i="19"/>
  <c r="DV12" i="19"/>
  <c r="DW12" i="19"/>
  <c r="DX12" i="19"/>
  <c r="DY12" i="19"/>
  <c r="DZ12" i="19"/>
  <c r="EA12" i="19"/>
  <c r="EB12" i="19"/>
  <c r="EC12" i="19"/>
  <c r="ED12" i="19"/>
  <c r="EE12" i="19"/>
  <c r="EF12" i="19"/>
  <c r="EG12" i="19"/>
  <c r="EH12" i="19"/>
  <c r="EI12" i="19"/>
  <c r="EJ12" i="19"/>
  <c r="EK12" i="19"/>
  <c r="EL12" i="19"/>
  <c r="EM12" i="19"/>
  <c r="EN12" i="19"/>
  <c r="EO12" i="19"/>
  <c r="EP12" i="19"/>
  <c r="EQ12" i="19"/>
  <c r="ER12" i="19"/>
  <c r="ES12" i="19"/>
  <c r="ET12" i="19"/>
  <c r="EU12" i="19"/>
  <c r="EV12" i="19"/>
  <c r="EW12" i="19"/>
  <c r="EX12" i="19"/>
  <c r="EY12" i="19"/>
  <c r="EZ12" i="19"/>
  <c r="FA12" i="19"/>
  <c r="FB12" i="19"/>
  <c r="FC12" i="19"/>
  <c r="FD12" i="19"/>
  <c r="FE12" i="19"/>
  <c r="FF12" i="19"/>
  <c r="FG12" i="19"/>
  <c r="FH12" i="19"/>
  <c r="FI12" i="19"/>
  <c r="FJ12" i="19"/>
  <c r="FK12" i="19"/>
  <c r="FL12" i="19"/>
  <c r="FM12" i="19"/>
  <c r="FN12" i="19"/>
  <c r="FO12" i="19"/>
  <c r="FP12" i="19"/>
  <c r="FQ12" i="19"/>
  <c r="FR12" i="19"/>
  <c r="FS12" i="19"/>
  <c r="FT12" i="19"/>
  <c r="FU12" i="19"/>
  <c r="FV12" i="19"/>
  <c r="FW12" i="19"/>
  <c r="FX12" i="19"/>
  <c r="FY12" i="19"/>
  <c r="FZ12" i="19"/>
  <c r="GA12" i="19"/>
  <c r="GB12" i="19"/>
  <c r="GC12" i="19"/>
  <c r="GD12" i="19"/>
  <c r="GE12" i="19"/>
  <c r="GF12" i="19"/>
  <c r="GG12" i="19"/>
  <c r="GH12" i="19"/>
  <c r="GI12" i="19"/>
  <c r="GJ12" i="19"/>
  <c r="GK12" i="19"/>
  <c r="GL12" i="19"/>
  <c r="GM12" i="19"/>
  <c r="GN12" i="19"/>
  <c r="GO12" i="19"/>
  <c r="GP12" i="19"/>
  <c r="GQ12" i="19"/>
  <c r="GR12" i="19"/>
  <c r="GS12" i="19"/>
  <c r="GT12" i="19"/>
  <c r="GU12" i="19"/>
  <c r="GV12" i="19"/>
  <c r="GW12" i="19"/>
  <c r="GX12" i="19"/>
  <c r="GY12" i="19"/>
  <c r="GZ12" i="19"/>
  <c r="HA12" i="19"/>
  <c r="HB12" i="19"/>
  <c r="HC12" i="19"/>
  <c r="HD12" i="19"/>
  <c r="HE12" i="19"/>
  <c r="HF12" i="19"/>
  <c r="HG12" i="19"/>
  <c r="HH12" i="19"/>
  <c r="HI12" i="19"/>
  <c r="HJ12" i="19"/>
  <c r="HK12" i="19"/>
  <c r="HL12" i="19"/>
  <c r="HM12" i="19"/>
  <c r="HN12" i="19"/>
  <c r="HO12" i="19"/>
  <c r="HP12" i="19"/>
  <c r="HQ12" i="19"/>
  <c r="HR12" i="19"/>
  <c r="HS12" i="19"/>
  <c r="HT12" i="19"/>
  <c r="HU12" i="19"/>
  <c r="HV12" i="19"/>
  <c r="HW12" i="19"/>
  <c r="HX12" i="19"/>
  <c r="HY12" i="19"/>
  <c r="HZ12" i="19"/>
  <c r="IA12" i="19"/>
  <c r="IB12" i="19"/>
  <c r="IC12" i="19"/>
  <c r="ID12" i="19"/>
  <c r="IE12" i="19"/>
  <c r="IF12" i="19"/>
  <c r="IG12" i="19"/>
  <c r="IH12" i="19"/>
  <c r="II12" i="19"/>
  <c r="IJ12" i="19"/>
  <c r="IK12" i="19"/>
  <c r="IL12" i="19"/>
  <c r="IM12" i="19"/>
  <c r="IN12" i="19"/>
  <c r="IO12" i="19"/>
  <c r="IP12" i="19"/>
  <c r="IQ12" i="19"/>
  <c r="IR12" i="19"/>
  <c r="IS12" i="19"/>
  <c r="IT12" i="19"/>
  <c r="IU12" i="19"/>
  <c r="IV12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AP13" i="19"/>
  <c r="AQ13" i="19"/>
  <c r="AR13" i="19"/>
  <c r="AS13" i="19"/>
  <c r="AT13" i="19"/>
  <c r="AU13" i="19"/>
  <c r="AV13" i="19"/>
  <c r="AW13" i="19"/>
  <c r="AX13" i="19"/>
  <c r="AY13" i="19"/>
  <c r="AZ13" i="19"/>
  <c r="BA13" i="19"/>
  <c r="BB13" i="19"/>
  <c r="BC13" i="19"/>
  <c r="BD13" i="19"/>
  <c r="BE13" i="19"/>
  <c r="BF13" i="19"/>
  <c r="BG13" i="19"/>
  <c r="BH13" i="19"/>
  <c r="BI13" i="19"/>
  <c r="BJ13" i="19"/>
  <c r="BK13" i="19"/>
  <c r="BL13" i="19"/>
  <c r="BM13" i="19"/>
  <c r="BN13" i="19"/>
  <c r="BO13" i="19"/>
  <c r="BP13" i="19"/>
  <c r="BQ13" i="19"/>
  <c r="BR13" i="19"/>
  <c r="BS13" i="19"/>
  <c r="BT13" i="19"/>
  <c r="BU13" i="19"/>
  <c r="BV13" i="19"/>
  <c r="BW13" i="19"/>
  <c r="BX13" i="19"/>
  <c r="BY13" i="19"/>
  <c r="BZ13" i="19"/>
  <c r="CA13" i="19"/>
  <c r="CB13" i="19"/>
  <c r="CC13" i="19"/>
  <c r="CD13" i="19"/>
  <c r="CE13" i="19"/>
  <c r="CF13" i="19"/>
  <c r="CG13" i="19"/>
  <c r="CH13" i="19"/>
  <c r="CI13" i="19"/>
  <c r="CJ13" i="19"/>
  <c r="CK13" i="19"/>
  <c r="CL13" i="19"/>
  <c r="CM13" i="19"/>
  <c r="CN13" i="19"/>
  <c r="CO13" i="19"/>
  <c r="CP13" i="19"/>
  <c r="CQ13" i="19"/>
  <c r="CR13" i="19"/>
  <c r="CS13" i="19"/>
  <c r="CT13" i="19"/>
  <c r="CU13" i="19"/>
  <c r="CV13" i="19"/>
  <c r="CW13" i="19"/>
  <c r="CX13" i="19"/>
  <c r="CY13" i="19"/>
  <c r="CZ13" i="19"/>
  <c r="DA13" i="19"/>
  <c r="DB13" i="19"/>
  <c r="DC13" i="19"/>
  <c r="DD13" i="19"/>
  <c r="DE13" i="19"/>
  <c r="DF13" i="19"/>
  <c r="DG13" i="19"/>
  <c r="DH13" i="19"/>
  <c r="DI13" i="19"/>
  <c r="DJ13" i="19"/>
  <c r="DK13" i="19"/>
  <c r="DL13" i="19"/>
  <c r="DM13" i="19"/>
  <c r="DN13" i="19"/>
  <c r="DO13" i="19"/>
  <c r="DP13" i="19"/>
  <c r="DQ13" i="19"/>
  <c r="DR13" i="19"/>
  <c r="DS13" i="19"/>
  <c r="DT13" i="19"/>
  <c r="DU13" i="19"/>
  <c r="DV13" i="19"/>
  <c r="DW13" i="19"/>
  <c r="DX13" i="19"/>
  <c r="DY13" i="19"/>
  <c r="DZ13" i="19"/>
  <c r="EA13" i="19"/>
  <c r="EB13" i="19"/>
  <c r="EC13" i="19"/>
  <c r="ED13" i="19"/>
  <c r="EE13" i="19"/>
  <c r="EF13" i="19"/>
  <c r="EG13" i="19"/>
  <c r="EH13" i="19"/>
  <c r="EI13" i="19"/>
  <c r="EJ13" i="19"/>
  <c r="EK13" i="19"/>
  <c r="EL13" i="19"/>
  <c r="EM13" i="19"/>
  <c r="EN13" i="19"/>
  <c r="EO13" i="19"/>
  <c r="EP13" i="19"/>
  <c r="EQ13" i="19"/>
  <c r="ER13" i="19"/>
  <c r="ES13" i="19"/>
  <c r="ET13" i="19"/>
  <c r="EU13" i="19"/>
  <c r="EV13" i="19"/>
  <c r="EW13" i="19"/>
  <c r="EX13" i="19"/>
  <c r="EY13" i="19"/>
  <c r="EZ13" i="19"/>
  <c r="FA13" i="19"/>
  <c r="FB13" i="19"/>
  <c r="FC13" i="19"/>
  <c r="FD13" i="19"/>
  <c r="FE13" i="19"/>
  <c r="FF13" i="19"/>
  <c r="FG13" i="19"/>
  <c r="FH13" i="19"/>
  <c r="FI13" i="19"/>
  <c r="FJ13" i="19"/>
  <c r="FK13" i="19"/>
  <c r="FL13" i="19"/>
  <c r="FM13" i="19"/>
  <c r="FN13" i="19"/>
  <c r="FO13" i="19"/>
  <c r="FP13" i="19"/>
  <c r="FQ13" i="19"/>
  <c r="FR13" i="19"/>
  <c r="FS13" i="19"/>
  <c r="FT13" i="19"/>
  <c r="FU13" i="19"/>
  <c r="FV13" i="19"/>
  <c r="FW13" i="19"/>
  <c r="FX13" i="19"/>
  <c r="FY13" i="19"/>
  <c r="FZ13" i="19"/>
  <c r="GA13" i="19"/>
  <c r="GB13" i="19"/>
  <c r="GC13" i="19"/>
  <c r="GD13" i="19"/>
  <c r="GE13" i="19"/>
  <c r="GF13" i="19"/>
  <c r="GG13" i="19"/>
  <c r="GH13" i="19"/>
  <c r="GI13" i="19"/>
  <c r="GJ13" i="19"/>
  <c r="GK13" i="19"/>
  <c r="GL13" i="19"/>
  <c r="GM13" i="19"/>
  <c r="GN13" i="19"/>
  <c r="GO13" i="19"/>
  <c r="GP13" i="19"/>
  <c r="GQ13" i="19"/>
  <c r="GR13" i="19"/>
  <c r="GS13" i="19"/>
  <c r="GT13" i="19"/>
  <c r="GU13" i="19"/>
  <c r="GV13" i="19"/>
  <c r="GW13" i="19"/>
  <c r="GX13" i="19"/>
  <c r="GY13" i="19"/>
  <c r="GZ13" i="19"/>
  <c r="HA13" i="19"/>
  <c r="HB13" i="19"/>
  <c r="HC13" i="19"/>
  <c r="HD13" i="19"/>
  <c r="HE13" i="19"/>
  <c r="HF13" i="19"/>
  <c r="HG13" i="19"/>
  <c r="HH13" i="19"/>
  <c r="HI13" i="19"/>
  <c r="HJ13" i="19"/>
  <c r="HK13" i="19"/>
  <c r="HL13" i="19"/>
  <c r="HM13" i="19"/>
  <c r="HN13" i="19"/>
  <c r="HO13" i="19"/>
  <c r="HP13" i="19"/>
  <c r="HQ13" i="19"/>
  <c r="HR13" i="19"/>
  <c r="HS13" i="19"/>
  <c r="HT13" i="19"/>
  <c r="HU13" i="19"/>
  <c r="HV13" i="19"/>
  <c r="HW13" i="19"/>
  <c r="HX13" i="19"/>
  <c r="HY13" i="19"/>
  <c r="HZ13" i="19"/>
  <c r="IA13" i="19"/>
  <c r="IB13" i="19"/>
  <c r="IC13" i="19"/>
  <c r="ID13" i="19"/>
  <c r="IE13" i="19"/>
  <c r="IF13" i="19"/>
  <c r="IG13" i="19"/>
  <c r="IH13" i="19"/>
  <c r="II13" i="19"/>
  <c r="IJ13" i="19"/>
  <c r="IK13" i="19"/>
  <c r="IL13" i="19"/>
  <c r="IM13" i="19"/>
  <c r="IN13" i="19"/>
  <c r="IO13" i="19"/>
  <c r="IP13" i="19"/>
  <c r="IQ13" i="19"/>
  <c r="IR13" i="19"/>
  <c r="IS13" i="19"/>
  <c r="IT13" i="19"/>
  <c r="IU13" i="19"/>
  <c r="IV13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BL14" i="19"/>
  <c r="BM14" i="19"/>
  <c r="BN14" i="19"/>
  <c r="BO14" i="19"/>
  <c r="BP14" i="19"/>
  <c r="BQ14" i="19"/>
  <c r="BR14" i="19"/>
  <c r="BS14" i="19"/>
  <c r="BT14" i="19"/>
  <c r="BU14" i="19"/>
  <c r="BV14" i="19"/>
  <c r="BW14" i="19"/>
  <c r="BX14" i="19"/>
  <c r="BY14" i="19"/>
  <c r="BZ14" i="19"/>
  <c r="CA14" i="19"/>
  <c r="CB14" i="19"/>
  <c r="CC14" i="19"/>
  <c r="CD14" i="19"/>
  <c r="CE14" i="19"/>
  <c r="CF14" i="19"/>
  <c r="CG14" i="19"/>
  <c r="CH14" i="19"/>
  <c r="CI14" i="19"/>
  <c r="CJ14" i="19"/>
  <c r="CK14" i="19"/>
  <c r="CL14" i="19"/>
  <c r="CM14" i="19"/>
  <c r="CN14" i="19"/>
  <c r="CO14" i="19"/>
  <c r="CP14" i="19"/>
  <c r="CQ14" i="19"/>
  <c r="CR14" i="19"/>
  <c r="CS14" i="19"/>
  <c r="CT14" i="19"/>
  <c r="CU14" i="19"/>
  <c r="CV14" i="19"/>
  <c r="CW14" i="19"/>
  <c r="CX14" i="19"/>
  <c r="CY14" i="19"/>
  <c r="CZ14" i="19"/>
  <c r="DA14" i="19"/>
  <c r="DB14" i="19"/>
  <c r="DC14" i="19"/>
  <c r="DD14" i="19"/>
  <c r="DE14" i="19"/>
  <c r="DF14" i="19"/>
  <c r="DG14" i="19"/>
  <c r="DH14" i="19"/>
  <c r="DI14" i="19"/>
  <c r="DJ14" i="19"/>
  <c r="DK14" i="19"/>
  <c r="DL14" i="19"/>
  <c r="DM14" i="19"/>
  <c r="DN14" i="19"/>
  <c r="DO14" i="19"/>
  <c r="DP14" i="19"/>
  <c r="DQ14" i="19"/>
  <c r="DR14" i="19"/>
  <c r="DS14" i="19"/>
  <c r="DT14" i="19"/>
  <c r="DU14" i="19"/>
  <c r="DV14" i="19"/>
  <c r="DW14" i="19"/>
  <c r="DX14" i="19"/>
  <c r="DY14" i="19"/>
  <c r="DZ14" i="19"/>
  <c r="EA14" i="19"/>
  <c r="EB14" i="19"/>
  <c r="EC14" i="19"/>
  <c r="ED14" i="19"/>
  <c r="EE14" i="19"/>
  <c r="EF14" i="19"/>
  <c r="EG14" i="19"/>
  <c r="EH14" i="19"/>
  <c r="EI14" i="19"/>
  <c r="EJ14" i="19"/>
  <c r="EK14" i="19"/>
  <c r="EL14" i="19"/>
  <c r="EM14" i="19"/>
  <c r="EN14" i="19"/>
  <c r="EO14" i="19"/>
  <c r="EP14" i="19"/>
  <c r="EQ14" i="19"/>
  <c r="ER14" i="19"/>
  <c r="ES14" i="19"/>
  <c r="ET14" i="19"/>
  <c r="EU14" i="19"/>
  <c r="EV14" i="19"/>
  <c r="EW14" i="19"/>
  <c r="EX14" i="19"/>
  <c r="EY14" i="19"/>
  <c r="EZ14" i="19"/>
  <c r="FA14" i="19"/>
  <c r="FB14" i="19"/>
  <c r="FC14" i="19"/>
  <c r="FD14" i="19"/>
  <c r="FE14" i="19"/>
  <c r="FF14" i="19"/>
  <c r="FG14" i="19"/>
  <c r="FH14" i="19"/>
  <c r="FI14" i="19"/>
  <c r="FJ14" i="19"/>
  <c r="FK14" i="19"/>
  <c r="FL14" i="19"/>
  <c r="FM14" i="19"/>
  <c r="FN14" i="19"/>
  <c r="FO14" i="19"/>
  <c r="FP14" i="19"/>
  <c r="FQ14" i="19"/>
  <c r="FR14" i="19"/>
  <c r="FS14" i="19"/>
  <c r="FT14" i="19"/>
  <c r="FU14" i="19"/>
  <c r="FV14" i="19"/>
  <c r="FW14" i="19"/>
  <c r="FX14" i="19"/>
  <c r="FY14" i="19"/>
  <c r="FZ14" i="19"/>
  <c r="GA14" i="19"/>
  <c r="GB14" i="19"/>
  <c r="GC14" i="19"/>
  <c r="GD14" i="19"/>
  <c r="GE14" i="19"/>
  <c r="GF14" i="19"/>
  <c r="GG14" i="19"/>
  <c r="GH14" i="19"/>
  <c r="GI14" i="19"/>
  <c r="GJ14" i="19"/>
  <c r="GK14" i="19"/>
  <c r="GL14" i="19"/>
  <c r="GM14" i="19"/>
  <c r="GN14" i="19"/>
  <c r="GO14" i="19"/>
  <c r="GP14" i="19"/>
  <c r="GQ14" i="19"/>
  <c r="GR14" i="19"/>
  <c r="GS14" i="19"/>
  <c r="GT14" i="19"/>
  <c r="GU14" i="19"/>
  <c r="GV14" i="19"/>
  <c r="GW14" i="19"/>
  <c r="GX14" i="19"/>
  <c r="GY14" i="19"/>
  <c r="GZ14" i="19"/>
  <c r="HA14" i="19"/>
  <c r="HB14" i="19"/>
  <c r="HC14" i="19"/>
  <c r="HD14" i="19"/>
  <c r="HE14" i="19"/>
  <c r="HF14" i="19"/>
  <c r="HG14" i="19"/>
  <c r="HH14" i="19"/>
  <c r="HI14" i="19"/>
  <c r="HJ14" i="19"/>
  <c r="HK14" i="19"/>
  <c r="HL14" i="19"/>
  <c r="HM14" i="19"/>
  <c r="HN14" i="19"/>
  <c r="HO14" i="19"/>
  <c r="HP14" i="19"/>
  <c r="HQ14" i="19"/>
  <c r="HR14" i="19"/>
  <c r="HS14" i="19"/>
  <c r="HT14" i="19"/>
  <c r="HU14" i="19"/>
  <c r="HV14" i="19"/>
  <c r="HW14" i="19"/>
  <c r="HX14" i="19"/>
  <c r="HY14" i="19"/>
  <c r="HZ14" i="19"/>
  <c r="IA14" i="19"/>
  <c r="IB14" i="19"/>
  <c r="IC14" i="19"/>
  <c r="ID14" i="19"/>
  <c r="IE14" i="19"/>
  <c r="IF14" i="19"/>
  <c r="IG14" i="19"/>
  <c r="IH14" i="19"/>
  <c r="II14" i="19"/>
  <c r="IJ14" i="19"/>
  <c r="IK14" i="19"/>
  <c r="IL14" i="19"/>
  <c r="IM14" i="19"/>
  <c r="IN14" i="19"/>
  <c r="IO14" i="19"/>
  <c r="IP14" i="19"/>
  <c r="IQ14" i="19"/>
  <c r="IR14" i="19"/>
  <c r="IS14" i="19"/>
  <c r="IT14" i="19"/>
  <c r="IU14" i="19"/>
  <c r="IV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AP15" i="19"/>
  <c r="AQ15" i="19"/>
  <c r="AR15" i="19"/>
  <c r="AS15" i="19"/>
  <c r="AT15" i="19"/>
  <c r="AU15" i="19"/>
  <c r="AV15" i="19"/>
  <c r="AW15" i="19"/>
  <c r="AX15" i="19"/>
  <c r="AY15" i="19"/>
  <c r="AZ15" i="19"/>
  <c r="BA15" i="19"/>
  <c r="BB15" i="19"/>
  <c r="BC15" i="19"/>
  <c r="BD15" i="19"/>
  <c r="BE15" i="19"/>
  <c r="BF15" i="19"/>
  <c r="BG15" i="19"/>
  <c r="BH15" i="19"/>
  <c r="BI15" i="19"/>
  <c r="BJ15" i="19"/>
  <c r="BK15" i="19"/>
  <c r="BL15" i="19"/>
  <c r="BM15" i="19"/>
  <c r="BN15" i="19"/>
  <c r="BO15" i="19"/>
  <c r="BP15" i="19"/>
  <c r="BQ15" i="19"/>
  <c r="BR15" i="19"/>
  <c r="BS15" i="19"/>
  <c r="BT15" i="19"/>
  <c r="BU15" i="19"/>
  <c r="BV15" i="19"/>
  <c r="BW15" i="19"/>
  <c r="BX15" i="19"/>
  <c r="BY15" i="19"/>
  <c r="BZ15" i="19"/>
  <c r="CA15" i="19"/>
  <c r="CB15" i="19"/>
  <c r="CC15" i="19"/>
  <c r="CD15" i="19"/>
  <c r="CE15" i="19"/>
  <c r="CF15" i="19"/>
  <c r="CG15" i="19"/>
  <c r="CH15" i="19"/>
  <c r="CI15" i="19"/>
  <c r="CJ15" i="19"/>
  <c r="CK15" i="19"/>
  <c r="CL15" i="19"/>
  <c r="CM15" i="19"/>
  <c r="CN15" i="19"/>
  <c r="CO15" i="19"/>
  <c r="CP15" i="19"/>
  <c r="CQ15" i="19"/>
  <c r="CR15" i="19"/>
  <c r="CS15" i="19"/>
  <c r="CT15" i="19"/>
  <c r="CU15" i="19"/>
  <c r="CV15" i="19"/>
  <c r="CW15" i="19"/>
  <c r="CX15" i="19"/>
  <c r="CY15" i="19"/>
  <c r="CZ15" i="19"/>
  <c r="DA15" i="19"/>
  <c r="DB15" i="19"/>
  <c r="DC15" i="19"/>
  <c r="DD15" i="19"/>
  <c r="DE15" i="19"/>
  <c r="DF15" i="19"/>
  <c r="DG15" i="19"/>
  <c r="DH15" i="19"/>
  <c r="DI15" i="19"/>
  <c r="DJ15" i="19"/>
  <c r="DK15" i="19"/>
  <c r="DL15" i="19"/>
  <c r="DM15" i="19"/>
  <c r="DN15" i="19"/>
  <c r="DO15" i="19"/>
  <c r="DP15" i="19"/>
  <c r="DQ15" i="19"/>
  <c r="DR15" i="19"/>
  <c r="DS15" i="19"/>
  <c r="DT15" i="19"/>
  <c r="DU15" i="19"/>
  <c r="DV15" i="19"/>
  <c r="DW15" i="19"/>
  <c r="DX15" i="19"/>
  <c r="DY15" i="19"/>
  <c r="DZ15" i="19"/>
  <c r="EA15" i="19"/>
  <c r="EB15" i="19"/>
  <c r="EC15" i="19"/>
  <c r="ED15" i="19"/>
  <c r="EE15" i="19"/>
  <c r="EF15" i="19"/>
  <c r="EG15" i="19"/>
  <c r="EH15" i="19"/>
  <c r="EI15" i="19"/>
  <c r="EJ15" i="19"/>
  <c r="EK15" i="19"/>
  <c r="EL15" i="19"/>
  <c r="EM15" i="19"/>
  <c r="EN15" i="19"/>
  <c r="EO15" i="19"/>
  <c r="EP15" i="19"/>
  <c r="EQ15" i="19"/>
  <c r="ER15" i="19"/>
  <c r="ES15" i="19"/>
  <c r="ET15" i="19"/>
  <c r="EU15" i="19"/>
  <c r="EV15" i="19"/>
  <c r="EW15" i="19"/>
  <c r="EX15" i="19"/>
  <c r="EY15" i="19"/>
  <c r="EZ15" i="19"/>
  <c r="FA15" i="19"/>
  <c r="FB15" i="19"/>
  <c r="FC15" i="19"/>
  <c r="FD15" i="19"/>
  <c r="FE15" i="19"/>
  <c r="FF15" i="19"/>
  <c r="FG15" i="19"/>
  <c r="FH15" i="19"/>
  <c r="FI15" i="19"/>
  <c r="FJ15" i="19"/>
  <c r="FK15" i="19"/>
  <c r="FL15" i="19"/>
  <c r="FM15" i="19"/>
  <c r="FN15" i="19"/>
  <c r="FO15" i="19"/>
  <c r="FP15" i="19"/>
  <c r="FQ15" i="19"/>
  <c r="FR15" i="19"/>
  <c r="FS15" i="19"/>
  <c r="FT15" i="19"/>
  <c r="FU15" i="19"/>
  <c r="FV15" i="19"/>
  <c r="FW15" i="19"/>
  <c r="FX15" i="19"/>
  <c r="FY15" i="19"/>
  <c r="FZ15" i="19"/>
  <c r="GA15" i="19"/>
  <c r="GB15" i="19"/>
  <c r="GC15" i="19"/>
  <c r="GD15" i="19"/>
  <c r="GE15" i="19"/>
  <c r="GF15" i="19"/>
  <c r="GG15" i="19"/>
  <c r="GH15" i="19"/>
  <c r="GI15" i="19"/>
  <c r="GJ15" i="19"/>
  <c r="GK15" i="19"/>
  <c r="GL15" i="19"/>
  <c r="GM15" i="19"/>
  <c r="GN15" i="19"/>
  <c r="GO15" i="19"/>
  <c r="GP15" i="19"/>
  <c r="GQ15" i="19"/>
  <c r="GR15" i="19"/>
  <c r="GS15" i="19"/>
  <c r="GT15" i="19"/>
  <c r="GU15" i="19"/>
  <c r="GV15" i="19"/>
  <c r="GW15" i="19"/>
  <c r="GX15" i="19"/>
  <c r="GY15" i="19"/>
  <c r="GZ15" i="19"/>
  <c r="HA15" i="19"/>
  <c r="HB15" i="19"/>
  <c r="HC15" i="19"/>
  <c r="HD15" i="19"/>
  <c r="HE15" i="19"/>
  <c r="HF15" i="19"/>
  <c r="HG15" i="19"/>
  <c r="HH15" i="19"/>
  <c r="HI15" i="19"/>
  <c r="HJ15" i="19"/>
  <c r="HK15" i="19"/>
  <c r="HL15" i="19"/>
  <c r="HM15" i="19"/>
  <c r="HN15" i="19"/>
  <c r="HO15" i="19"/>
  <c r="HP15" i="19"/>
  <c r="HQ15" i="19"/>
  <c r="HR15" i="19"/>
  <c r="HS15" i="19"/>
  <c r="HT15" i="19"/>
  <c r="HU15" i="19"/>
  <c r="HV15" i="19"/>
  <c r="HW15" i="19"/>
  <c r="HX15" i="19"/>
  <c r="HY15" i="19"/>
  <c r="HZ15" i="19"/>
  <c r="IA15" i="19"/>
  <c r="IB15" i="19"/>
  <c r="IC15" i="19"/>
  <c r="ID15" i="19"/>
  <c r="IE15" i="19"/>
  <c r="IF15" i="19"/>
  <c r="IG15" i="19"/>
  <c r="IH15" i="19"/>
  <c r="II15" i="19"/>
  <c r="IJ15" i="19"/>
  <c r="IK15" i="19"/>
  <c r="IL15" i="19"/>
  <c r="IM15" i="19"/>
  <c r="IN15" i="19"/>
  <c r="IO15" i="19"/>
  <c r="IP15" i="19"/>
  <c r="IQ15" i="19"/>
  <c r="IR15" i="19"/>
  <c r="IS15" i="19"/>
  <c r="IT15" i="19"/>
  <c r="IU15" i="19"/>
  <c r="IV15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V16" i="19"/>
  <c r="AW16" i="19"/>
  <c r="AX16" i="19"/>
  <c r="AY16" i="19"/>
  <c r="AZ16" i="19"/>
  <c r="BA16" i="19"/>
  <c r="BB16" i="19"/>
  <c r="BC16" i="19"/>
  <c r="BD16" i="19"/>
  <c r="BE16" i="19"/>
  <c r="BF16" i="19"/>
  <c r="BG16" i="19"/>
  <c r="BH16" i="19"/>
  <c r="BI16" i="19"/>
  <c r="BJ16" i="19"/>
  <c r="BK16" i="19"/>
  <c r="BL16" i="19"/>
  <c r="BM16" i="19"/>
  <c r="BN16" i="19"/>
  <c r="BO16" i="19"/>
  <c r="BP16" i="19"/>
  <c r="BQ16" i="19"/>
  <c r="BR16" i="19"/>
  <c r="BS16" i="19"/>
  <c r="BT16" i="19"/>
  <c r="BU16" i="19"/>
  <c r="BV16" i="19"/>
  <c r="BW16" i="19"/>
  <c r="BX16" i="19"/>
  <c r="BY16" i="19"/>
  <c r="BZ16" i="19"/>
  <c r="CA16" i="19"/>
  <c r="CB16" i="19"/>
  <c r="CC16" i="19"/>
  <c r="CD16" i="19"/>
  <c r="CE16" i="19"/>
  <c r="CF16" i="19"/>
  <c r="CG16" i="19"/>
  <c r="CH16" i="19"/>
  <c r="CI16" i="19"/>
  <c r="CJ16" i="19"/>
  <c r="CK16" i="19"/>
  <c r="CL16" i="19"/>
  <c r="CM16" i="19"/>
  <c r="CN16" i="19"/>
  <c r="CO16" i="19"/>
  <c r="CP16" i="19"/>
  <c r="CQ16" i="19"/>
  <c r="CR16" i="19"/>
  <c r="CS16" i="19"/>
  <c r="CT16" i="19"/>
  <c r="CU16" i="19"/>
  <c r="CV16" i="19"/>
  <c r="CW16" i="19"/>
  <c r="CX16" i="19"/>
  <c r="CY16" i="19"/>
  <c r="CZ16" i="19"/>
  <c r="DA16" i="19"/>
  <c r="DB16" i="19"/>
  <c r="DC16" i="19"/>
  <c r="DD16" i="19"/>
  <c r="DE16" i="19"/>
  <c r="DF16" i="19"/>
  <c r="DG16" i="19"/>
  <c r="DH16" i="19"/>
  <c r="DI16" i="19"/>
  <c r="DJ16" i="19"/>
  <c r="DK16" i="19"/>
  <c r="DL16" i="19"/>
  <c r="DM16" i="19"/>
  <c r="DN16" i="19"/>
  <c r="DO16" i="19"/>
  <c r="DP16" i="19"/>
  <c r="DQ16" i="19"/>
  <c r="DR16" i="19"/>
  <c r="DS16" i="19"/>
  <c r="DT16" i="19"/>
  <c r="DU16" i="19"/>
  <c r="DV16" i="19"/>
  <c r="DW16" i="19"/>
  <c r="DX16" i="19"/>
  <c r="DY16" i="19"/>
  <c r="DZ16" i="19"/>
  <c r="EA16" i="19"/>
  <c r="EB16" i="19"/>
  <c r="EC16" i="19"/>
  <c r="ED16" i="19"/>
  <c r="EE16" i="19"/>
  <c r="EF16" i="19"/>
  <c r="EG16" i="19"/>
  <c r="EH16" i="19"/>
  <c r="EI16" i="19"/>
  <c r="EJ16" i="19"/>
  <c r="EK16" i="19"/>
  <c r="EL16" i="19"/>
  <c r="EM16" i="19"/>
  <c r="EN16" i="19"/>
  <c r="EO16" i="19"/>
  <c r="EP16" i="19"/>
  <c r="EQ16" i="19"/>
  <c r="ER16" i="19"/>
  <c r="ES16" i="19"/>
  <c r="ET16" i="19"/>
  <c r="EU16" i="19"/>
  <c r="EV16" i="19"/>
  <c r="EW16" i="19"/>
  <c r="EX16" i="19"/>
  <c r="EY16" i="19"/>
  <c r="EZ16" i="19"/>
  <c r="FA16" i="19"/>
  <c r="FB16" i="19"/>
  <c r="FC16" i="19"/>
  <c r="FD16" i="19"/>
  <c r="FE16" i="19"/>
  <c r="FF16" i="19"/>
  <c r="FG16" i="19"/>
  <c r="FH16" i="19"/>
  <c r="FI16" i="19"/>
  <c r="FJ16" i="19"/>
  <c r="FK16" i="19"/>
  <c r="FL16" i="19"/>
  <c r="FM16" i="19"/>
  <c r="FN16" i="19"/>
  <c r="FO16" i="19"/>
  <c r="FP16" i="19"/>
  <c r="FQ16" i="19"/>
  <c r="FR16" i="19"/>
  <c r="FS16" i="19"/>
  <c r="FT16" i="19"/>
  <c r="FU16" i="19"/>
  <c r="FV16" i="19"/>
  <c r="FW16" i="19"/>
  <c r="FX16" i="19"/>
  <c r="FY16" i="19"/>
  <c r="FZ16" i="19"/>
  <c r="GA16" i="19"/>
  <c r="GB16" i="19"/>
  <c r="GC16" i="19"/>
  <c r="GD16" i="19"/>
  <c r="GE16" i="19"/>
  <c r="GF16" i="19"/>
  <c r="GG16" i="19"/>
  <c r="GH16" i="19"/>
  <c r="GI16" i="19"/>
  <c r="GJ16" i="19"/>
  <c r="GK16" i="19"/>
  <c r="GL16" i="19"/>
  <c r="GM16" i="19"/>
  <c r="GN16" i="19"/>
  <c r="GO16" i="19"/>
  <c r="GP16" i="19"/>
  <c r="GQ16" i="19"/>
  <c r="GR16" i="19"/>
  <c r="GS16" i="19"/>
  <c r="GT16" i="19"/>
  <c r="GU16" i="19"/>
  <c r="GV16" i="19"/>
  <c r="GW16" i="19"/>
  <c r="GX16" i="19"/>
  <c r="GY16" i="19"/>
  <c r="GZ16" i="19"/>
  <c r="HA16" i="19"/>
  <c r="HB16" i="19"/>
  <c r="HC16" i="19"/>
  <c r="HD16" i="19"/>
  <c r="HE16" i="19"/>
  <c r="HF16" i="19"/>
  <c r="HG16" i="19"/>
  <c r="HH16" i="19"/>
  <c r="HI16" i="19"/>
  <c r="HJ16" i="19"/>
  <c r="HK16" i="19"/>
  <c r="HL16" i="19"/>
  <c r="HM16" i="19"/>
  <c r="HN16" i="19"/>
  <c r="HO16" i="19"/>
  <c r="HP16" i="19"/>
  <c r="HQ16" i="19"/>
  <c r="HR16" i="19"/>
  <c r="HS16" i="19"/>
  <c r="HT16" i="19"/>
  <c r="HU16" i="19"/>
  <c r="HV16" i="19"/>
  <c r="HW16" i="19"/>
  <c r="HX16" i="19"/>
  <c r="HY16" i="19"/>
  <c r="HZ16" i="19"/>
  <c r="IA16" i="19"/>
  <c r="IB16" i="19"/>
  <c r="IC16" i="19"/>
  <c r="ID16" i="19"/>
  <c r="IE16" i="19"/>
  <c r="IF16" i="19"/>
  <c r="IG16" i="19"/>
  <c r="IH16" i="19"/>
  <c r="II16" i="19"/>
  <c r="IJ16" i="19"/>
  <c r="IK16" i="19"/>
  <c r="IL16" i="19"/>
  <c r="IM16" i="19"/>
  <c r="IN16" i="19"/>
  <c r="IO16" i="19"/>
  <c r="IP16" i="19"/>
  <c r="IQ16" i="19"/>
  <c r="IR16" i="19"/>
  <c r="IS16" i="19"/>
  <c r="IT16" i="19"/>
  <c r="IU16" i="19"/>
  <c r="IV16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N17" i="19"/>
  <c r="AO17" i="19"/>
  <c r="AP17" i="19"/>
  <c r="AQ17" i="19"/>
  <c r="AR17" i="19"/>
  <c r="AS17" i="19"/>
  <c r="AT17" i="19"/>
  <c r="AU17" i="19"/>
  <c r="AV17" i="19"/>
  <c r="AW17" i="19"/>
  <c r="AX17" i="19"/>
  <c r="AY17" i="19"/>
  <c r="AZ17" i="19"/>
  <c r="BA17" i="19"/>
  <c r="BB17" i="19"/>
  <c r="BC17" i="19"/>
  <c r="BD17" i="19"/>
  <c r="BE17" i="19"/>
  <c r="BF17" i="19"/>
  <c r="BG17" i="19"/>
  <c r="BH17" i="19"/>
  <c r="BI17" i="19"/>
  <c r="BJ17" i="19"/>
  <c r="BK17" i="19"/>
  <c r="BL17" i="19"/>
  <c r="BM17" i="19"/>
  <c r="BN17" i="19"/>
  <c r="BO17" i="19"/>
  <c r="BP17" i="19"/>
  <c r="BQ17" i="19"/>
  <c r="BR17" i="19"/>
  <c r="BS17" i="19"/>
  <c r="BT17" i="19"/>
  <c r="BU17" i="19"/>
  <c r="BV17" i="19"/>
  <c r="BW17" i="19"/>
  <c r="BX17" i="19"/>
  <c r="BY17" i="19"/>
  <c r="BZ17" i="19"/>
  <c r="CA17" i="19"/>
  <c r="CB17" i="19"/>
  <c r="CC17" i="19"/>
  <c r="CD17" i="19"/>
  <c r="CE17" i="19"/>
  <c r="CF17" i="19"/>
  <c r="CG17" i="19"/>
  <c r="CH17" i="19"/>
  <c r="CI17" i="19"/>
  <c r="CJ17" i="19"/>
  <c r="CK17" i="19"/>
  <c r="CL17" i="19"/>
  <c r="CM17" i="19"/>
  <c r="CN17" i="19"/>
  <c r="CO17" i="19"/>
  <c r="CP17" i="19"/>
  <c r="CQ17" i="19"/>
  <c r="CR17" i="19"/>
  <c r="CS17" i="19"/>
  <c r="CT17" i="19"/>
  <c r="CU17" i="19"/>
  <c r="CV17" i="19"/>
  <c r="CW17" i="19"/>
  <c r="CX17" i="19"/>
  <c r="CY17" i="19"/>
  <c r="CZ17" i="19"/>
  <c r="DA17" i="19"/>
  <c r="DB17" i="19"/>
  <c r="DC17" i="19"/>
  <c r="DD17" i="19"/>
  <c r="DE17" i="19"/>
  <c r="DF17" i="19"/>
  <c r="DG17" i="19"/>
  <c r="DH17" i="19"/>
  <c r="DI17" i="19"/>
  <c r="DJ17" i="19"/>
  <c r="DK17" i="19"/>
  <c r="DL17" i="19"/>
  <c r="DM17" i="19"/>
  <c r="DN17" i="19"/>
  <c r="DO17" i="19"/>
  <c r="DP17" i="19"/>
  <c r="DQ17" i="19"/>
  <c r="DR17" i="19"/>
  <c r="DS17" i="19"/>
  <c r="DT17" i="19"/>
  <c r="DU17" i="19"/>
  <c r="DV17" i="19"/>
  <c r="DW17" i="19"/>
  <c r="DX17" i="19"/>
  <c r="DY17" i="19"/>
  <c r="DZ17" i="19"/>
  <c r="EA17" i="19"/>
  <c r="EB17" i="19"/>
  <c r="EC17" i="19"/>
  <c r="ED17" i="19"/>
  <c r="EE17" i="19"/>
  <c r="EF17" i="19"/>
  <c r="EG17" i="19"/>
  <c r="EH17" i="19"/>
  <c r="EI17" i="19"/>
  <c r="EJ17" i="19"/>
  <c r="EK17" i="19"/>
  <c r="EL17" i="19"/>
  <c r="EM17" i="19"/>
  <c r="EN17" i="19"/>
  <c r="EO17" i="19"/>
  <c r="EP17" i="19"/>
  <c r="EQ17" i="19"/>
  <c r="ER17" i="19"/>
  <c r="ES17" i="19"/>
  <c r="ET17" i="19"/>
  <c r="EU17" i="19"/>
  <c r="EV17" i="19"/>
  <c r="EW17" i="19"/>
  <c r="EX17" i="19"/>
  <c r="EY17" i="19"/>
  <c r="EZ17" i="19"/>
  <c r="FA17" i="19"/>
  <c r="FB17" i="19"/>
  <c r="FC17" i="19"/>
  <c r="FD17" i="19"/>
  <c r="FE17" i="19"/>
  <c r="FF17" i="19"/>
  <c r="FG17" i="19"/>
  <c r="FH17" i="19"/>
  <c r="FI17" i="19"/>
  <c r="FJ17" i="19"/>
  <c r="FK17" i="19"/>
  <c r="FL17" i="19"/>
  <c r="FM17" i="19"/>
  <c r="FN17" i="19"/>
  <c r="FO17" i="19"/>
  <c r="FP17" i="19"/>
  <c r="FQ17" i="19"/>
  <c r="FR17" i="19"/>
  <c r="FS17" i="19"/>
  <c r="FT17" i="19"/>
  <c r="FU17" i="19"/>
  <c r="FV17" i="19"/>
  <c r="FW17" i="19"/>
  <c r="FX17" i="19"/>
  <c r="FY17" i="19"/>
  <c r="FZ17" i="19"/>
  <c r="GA17" i="19"/>
  <c r="GB17" i="19"/>
  <c r="GC17" i="19"/>
  <c r="GD17" i="19"/>
  <c r="GE17" i="19"/>
  <c r="GF17" i="19"/>
  <c r="GG17" i="19"/>
  <c r="GH17" i="19"/>
  <c r="GI17" i="19"/>
  <c r="GJ17" i="19"/>
  <c r="GK17" i="19"/>
  <c r="GL17" i="19"/>
  <c r="GM17" i="19"/>
  <c r="GN17" i="19"/>
  <c r="GO17" i="19"/>
  <c r="GP17" i="19"/>
  <c r="GQ17" i="19"/>
  <c r="GR17" i="19"/>
  <c r="GS17" i="19"/>
  <c r="GT17" i="19"/>
  <c r="GU17" i="19"/>
  <c r="GV17" i="19"/>
  <c r="GW17" i="19"/>
  <c r="GX17" i="19"/>
  <c r="GY17" i="19"/>
  <c r="GZ17" i="19"/>
  <c r="HA17" i="19"/>
  <c r="HB17" i="19"/>
  <c r="HC17" i="19"/>
  <c r="HD17" i="19"/>
  <c r="HE17" i="19"/>
  <c r="HF17" i="19"/>
  <c r="HG17" i="19"/>
  <c r="HH17" i="19"/>
  <c r="HI17" i="19"/>
  <c r="HJ17" i="19"/>
  <c r="HK17" i="19"/>
  <c r="HL17" i="19"/>
  <c r="HM17" i="19"/>
  <c r="HN17" i="19"/>
  <c r="HO17" i="19"/>
  <c r="HP17" i="19"/>
  <c r="HQ17" i="19"/>
  <c r="HR17" i="19"/>
  <c r="HS17" i="19"/>
  <c r="HT17" i="19"/>
  <c r="HU17" i="19"/>
  <c r="HV17" i="19"/>
  <c r="HW17" i="19"/>
  <c r="HX17" i="19"/>
  <c r="HY17" i="19"/>
  <c r="HZ17" i="19"/>
  <c r="IA17" i="19"/>
  <c r="IB17" i="19"/>
  <c r="IC17" i="19"/>
  <c r="ID17" i="19"/>
  <c r="IE17" i="19"/>
  <c r="IF17" i="19"/>
  <c r="IG17" i="19"/>
  <c r="IH17" i="19"/>
  <c r="II17" i="19"/>
  <c r="IJ17" i="19"/>
  <c r="IK17" i="19"/>
  <c r="IL17" i="19"/>
  <c r="IM17" i="19"/>
  <c r="IN17" i="19"/>
  <c r="IO17" i="19"/>
  <c r="IP17" i="19"/>
  <c r="IQ17" i="19"/>
  <c r="IR17" i="19"/>
  <c r="IS17" i="19"/>
  <c r="IT17" i="19"/>
  <c r="IU17" i="19"/>
  <c r="IV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V18" i="19"/>
  <c r="AW18" i="19"/>
  <c r="AX18" i="19"/>
  <c r="AY18" i="19"/>
  <c r="AZ18" i="19"/>
  <c r="BA18" i="19"/>
  <c r="BB18" i="19"/>
  <c r="BC18" i="19"/>
  <c r="BD18" i="19"/>
  <c r="BE18" i="19"/>
  <c r="BF18" i="19"/>
  <c r="BG18" i="19"/>
  <c r="BH18" i="19"/>
  <c r="BI18" i="19"/>
  <c r="BJ18" i="19"/>
  <c r="BK18" i="19"/>
  <c r="BL18" i="19"/>
  <c r="BM18" i="19"/>
  <c r="BN18" i="19"/>
  <c r="BO18" i="19"/>
  <c r="BP18" i="19"/>
  <c r="BQ18" i="19"/>
  <c r="BR18" i="19"/>
  <c r="BS18" i="19"/>
  <c r="BT18" i="19"/>
  <c r="BU18" i="19"/>
  <c r="BV18" i="19"/>
  <c r="BW18" i="19"/>
  <c r="BX18" i="19"/>
  <c r="BY18" i="19"/>
  <c r="BZ18" i="19"/>
  <c r="CA18" i="19"/>
  <c r="CB18" i="19"/>
  <c r="CC18" i="19"/>
  <c r="CD18" i="19"/>
  <c r="CE18" i="19"/>
  <c r="CF18" i="19"/>
  <c r="CG18" i="19"/>
  <c r="CH18" i="19"/>
  <c r="CI18" i="19"/>
  <c r="CJ18" i="19"/>
  <c r="CK18" i="19"/>
  <c r="CL18" i="19"/>
  <c r="CM18" i="19"/>
  <c r="CN18" i="19"/>
  <c r="CO18" i="19"/>
  <c r="CP18" i="19"/>
  <c r="CQ18" i="19"/>
  <c r="CR18" i="19"/>
  <c r="CS18" i="19"/>
  <c r="CT18" i="19"/>
  <c r="CU18" i="19"/>
  <c r="CV18" i="19"/>
  <c r="CW18" i="19"/>
  <c r="CX18" i="19"/>
  <c r="CY18" i="19"/>
  <c r="CZ18" i="19"/>
  <c r="DA18" i="19"/>
  <c r="DB18" i="19"/>
  <c r="DC18" i="19"/>
  <c r="DD18" i="19"/>
  <c r="DE18" i="19"/>
  <c r="DF18" i="19"/>
  <c r="DG18" i="19"/>
  <c r="DH18" i="19"/>
  <c r="DI18" i="19"/>
  <c r="DJ18" i="19"/>
  <c r="DK18" i="19"/>
  <c r="DL18" i="19"/>
  <c r="DM18" i="19"/>
  <c r="DN18" i="19"/>
  <c r="DO18" i="19"/>
  <c r="DP18" i="19"/>
  <c r="DQ18" i="19"/>
  <c r="DR18" i="19"/>
  <c r="DS18" i="19"/>
  <c r="DT18" i="19"/>
  <c r="DU18" i="19"/>
  <c r="DV18" i="19"/>
  <c r="DW18" i="19"/>
  <c r="DX18" i="19"/>
  <c r="DY18" i="19"/>
  <c r="DZ18" i="19"/>
  <c r="EA18" i="19"/>
  <c r="EB18" i="19"/>
  <c r="EC18" i="19"/>
  <c r="ED18" i="19"/>
  <c r="EE18" i="19"/>
  <c r="EF18" i="19"/>
  <c r="EG18" i="19"/>
  <c r="EH18" i="19"/>
  <c r="EI18" i="19"/>
  <c r="EJ18" i="19"/>
  <c r="EK18" i="19"/>
  <c r="EL18" i="19"/>
  <c r="EM18" i="19"/>
  <c r="EN18" i="19"/>
  <c r="EO18" i="19"/>
  <c r="EP18" i="19"/>
  <c r="EQ18" i="19"/>
  <c r="ER18" i="19"/>
  <c r="ES18" i="19"/>
  <c r="ET18" i="19"/>
  <c r="EU18" i="19"/>
  <c r="EV18" i="19"/>
  <c r="EW18" i="19"/>
  <c r="EX18" i="19"/>
  <c r="EY18" i="19"/>
  <c r="EZ18" i="19"/>
  <c r="FA18" i="19"/>
  <c r="FB18" i="19"/>
  <c r="FC18" i="19"/>
  <c r="FD18" i="19"/>
  <c r="FE18" i="19"/>
  <c r="FF18" i="19"/>
  <c r="FG18" i="19"/>
  <c r="FH18" i="19"/>
  <c r="FI18" i="19"/>
  <c r="FJ18" i="19"/>
  <c r="FK18" i="19"/>
  <c r="FL18" i="19"/>
  <c r="FM18" i="19"/>
  <c r="FN18" i="19"/>
  <c r="FO18" i="19"/>
  <c r="FP18" i="19"/>
  <c r="FQ18" i="19"/>
  <c r="FR18" i="19"/>
  <c r="FS18" i="19"/>
  <c r="FT18" i="19"/>
  <c r="FU18" i="19"/>
  <c r="FV18" i="19"/>
  <c r="FW18" i="19"/>
  <c r="FX18" i="19"/>
  <c r="FY18" i="19"/>
  <c r="FZ18" i="19"/>
  <c r="GA18" i="19"/>
  <c r="GB18" i="19"/>
  <c r="GC18" i="19"/>
  <c r="GD18" i="19"/>
  <c r="GE18" i="19"/>
  <c r="GF18" i="19"/>
  <c r="GG18" i="19"/>
  <c r="GH18" i="19"/>
  <c r="GI18" i="19"/>
  <c r="GJ18" i="19"/>
  <c r="GK18" i="19"/>
  <c r="GL18" i="19"/>
  <c r="GM18" i="19"/>
  <c r="GN18" i="19"/>
  <c r="GO18" i="19"/>
  <c r="GP18" i="19"/>
  <c r="GQ18" i="19"/>
  <c r="GR18" i="19"/>
  <c r="GS18" i="19"/>
  <c r="GT18" i="19"/>
  <c r="GU18" i="19"/>
  <c r="GV18" i="19"/>
  <c r="GW18" i="19"/>
  <c r="GX18" i="19"/>
  <c r="GY18" i="19"/>
  <c r="GZ18" i="19"/>
  <c r="HA18" i="19"/>
  <c r="HB18" i="19"/>
  <c r="HC18" i="19"/>
  <c r="HD18" i="19"/>
  <c r="HE18" i="19"/>
  <c r="HF18" i="19"/>
  <c r="HG18" i="19"/>
  <c r="HH18" i="19"/>
  <c r="HI18" i="19"/>
  <c r="HJ18" i="19"/>
  <c r="HK18" i="19"/>
  <c r="HL18" i="19"/>
  <c r="HM18" i="19"/>
  <c r="HN18" i="19"/>
  <c r="HO18" i="19"/>
  <c r="HP18" i="19"/>
  <c r="HQ18" i="19"/>
  <c r="HR18" i="19"/>
  <c r="HS18" i="19"/>
  <c r="HT18" i="19"/>
  <c r="HU18" i="19"/>
  <c r="HV18" i="19"/>
  <c r="HW18" i="19"/>
  <c r="HX18" i="19"/>
  <c r="HY18" i="19"/>
  <c r="HZ18" i="19"/>
  <c r="IA18" i="19"/>
  <c r="IB18" i="19"/>
  <c r="IC18" i="19"/>
  <c r="ID18" i="19"/>
  <c r="IE18" i="19"/>
  <c r="IF18" i="19"/>
  <c r="IG18" i="19"/>
  <c r="IH18" i="19"/>
  <c r="II18" i="19"/>
  <c r="IJ18" i="19"/>
  <c r="IK18" i="19"/>
  <c r="IL18" i="19"/>
  <c r="IM18" i="19"/>
  <c r="IN18" i="19"/>
  <c r="IO18" i="19"/>
  <c r="IP18" i="19"/>
  <c r="IQ18" i="19"/>
  <c r="IR18" i="19"/>
  <c r="IS18" i="19"/>
  <c r="IT18" i="19"/>
  <c r="IU18" i="19"/>
  <c r="IV18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AP19" i="19"/>
  <c r="AQ19" i="19"/>
  <c r="AR19" i="19"/>
  <c r="AS19" i="19"/>
  <c r="AT19" i="19"/>
  <c r="AU19" i="19"/>
  <c r="AV19" i="19"/>
  <c r="AW19" i="19"/>
  <c r="AX19" i="19"/>
  <c r="AY19" i="19"/>
  <c r="AZ19" i="19"/>
  <c r="BA19" i="19"/>
  <c r="BB19" i="19"/>
  <c r="BC19" i="19"/>
  <c r="BD19" i="19"/>
  <c r="BE19" i="19"/>
  <c r="BF19" i="19"/>
  <c r="BG19" i="19"/>
  <c r="BH19" i="19"/>
  <c r="BI19" i="19"/>
  <c r="BJ19" i="19"/>
  <c r="BK19" i="19"/>
  <c r="BL19" i="19"/>
  <c r="BM19" i="19"/>
  <c r="BN19" i="19"/>
  <c r="BO19" i="19"/>
  <c r="BP19" i="19"/>
  <c r="BQ19" i="19"/>
  <c r="BR19" i="19"/>
  <c r="BS19" i="19"/>
  <c r="BT19" i="19"/>
  <c r="BU19" i="19"/>
  <c r="BV19" i="19"/>
  <c r="BW19" i="19"/>
  <c r="BX19" i="19"/>
  <c r="BY19" i="19"/>
  <c r="BZ19" i="19"/>
  <c r="CA19" i="19"/>
  <c r="CB19" i="19"/>
  <c r="CC19" i="19"/>
  <c r="CD19" i="19"/>
  <c r="CE19" i="19"/>
  <c r="CF19" i="19"/>
  <c r="CG19" i="19"/>
  <c r="CH19" i="19"/>
  <c r="CI19" i="19"/>
  <c r="CJ19" i="19"/>
  <c r="CK19" i="19"/>
  <c r="CL19" i="19"/>
  <c r="CM19" i="19"/>
  <c r="CN19" i="19"/>
  <c r="CO19" i="19"/>
  <c r="CP19" i="19"/>
  <c r="CQ19" i="19"/>
  <c r="CR19" i="19"/>
  <c r="CS19" i="19"/>
  <c r="CT19" i="19"/>
  <c r="CU19" i="19"/>
  <c r="CV19" i="19"/>
  <c r="CW19" i="19"/>
  <c r="CX19" i="19"/>
  <c r="CY19" i="19"/>
  <c r="CZ19" i="19"/>
  <c r="DA19" i="19"/>
  <c r="DB19" i="19"/>
  <c r="DC19" i="19"/>
  <c r="DD19" i="19"/>
  <c r="DE19" i="19"/>
  <c r="DF19" i="19"/>
  <c r="DG19" i="19"/>
  <c r="DH19" i="19"/>
  <c r="DI19" i="19"/>
  <c r="DJ19" i="19"/>
  <c r="DK19" i="19"/>
  <c r="DL19" i="19"/>
  <c r="DM19" i="19"/>
  <c r="DN19" i="19"/>
  <c r="DO19" i="19"/>
  <c r="DP19" i="19"/>
  <c r="DQ19" i="19"/>
  <c r="DR19" i="19"/>
  <c r="DS19" i="19"/>
  <c r="DT19" i="19"/>
  <c r="DU19" i="19"/>
  <c r="DV19" i="19"/>
  <c r="DW19" i="19"/>
  <c r="DX19" i="19"/>
  <c r="DY19" i="19"/>
  <c r="DZ19" i="19"/>
  <c r="EA19" i="19"/>
  <c r="EB19" i="19"/>
  <c r="EC19" i="19"/>
  <c r="ED19" i="19"/>
  <c r="EE19" i="19"/>
  <c r="EF19" i="19"/>
  <c r="EG19" i="19"/>
  <c r="EH19" i="19"/>
  <c r="EI19" i="19"/>
  <c r="EJ19" i="19"/>
  <c r="EK19" i="19"/>
  <c r="EL19" i="19"/>
  <c r="EM19" i="19"/>
  <c r="EN19" i="19"/>
  <c r="EO19" i="19"/>
  <c r="EP19" i="19"/>
  <c r="EQ19" i="19"/>
  <c r="ER19" i="19"/>
  <c r="ES19" i="19"/>
  <c r="ET19" i="19"/>
  <c r="EU19" i="19"/>
  <c r="EV19" i="19"/>
  <c r="EW19" i="19"/>
  <c r="EX19" i="19"/>
  <c r="EY19" i="19"/>
  <c r="EZ19" i="19"/>
  <c r="FA19" i="19"/>
  <c r="FB19" i="19"/>
  <c r="FC19" i="19"/>
  <c r="FD19" i="19"/>
  <c r="FE19" i="19"/>
  <c r="FF19" i="19"/>
  <c r="FG19" i="19"/>
  <c r="FH19" i="19"/>
  <c r="FI19" i="19"/>
  <c r="FJ19" i="19"/>
  <c r="FK19" i="19"/>
  <c r="FL19" i="19"/>
  <c r="FM19" i="19"/>
  <c r="FN19" i="19"/>
  <c r="FO19" i="19"/>
  <c r="FP19" i="19"/>
  <c r="FQ19" i="19"/>
  <c r="FR19" i="19"/>
  <c r="FS19" i="19"/>
  <c r="FT19" i="19"/>
  <c r="FU19" i="19"/>
  <c r="FV19" i="19"/>
  <c r="FW19" i="19"/>
  <c r="FX19" i="19"/>
  <c r="FY19" i="19"/>
  <c r="FZ19" i="19"/>
  <c r="GA19" i="19"/>
  <c r="GB19" i="19"/>
  <c r="GC19" i="19"/>
  <c r="GD19" i="19"/>
  <c r="GE19" i="19"/>
  <c r="GF19" i="19"/>
  <c r="GG19" i="19"/>
  <c r="GH19" i="19"/>
  <c r="GI19" i="19"/>
  <c r="GJ19" i="19"/>
  <c r="GK19" i="19"/>
  <c r="GL19" i="19"/>
  <c r="GM19" i="19"/>
  <c r="GN19" i="19"/>
  <c r="GO19" i="19"/>
  <c r="GP19" i="19"/>
  <c r="GQ19" i="19"/>
  <c r="GR19" i="19"/>
  <c r="GS19" i="19"/>
  <c r="GT19" i="19"/>
  <c r="GU19" i="19"/>
  <c r="GV19" i="19"/>
  <c r="GW19" i="19"/>
  <c r="GX19" i="19"/>
  <c r="GY19" i="19"/>
  <c r="GZ19" i="19"/>
  <c r="HA19" i="19"/>
  <c r="HB19" i="19"/>
  <c r="HC19" i="19"/>
  <c r="HD19" i="19"/>
  <c r="HE19" i="19"/>
  <c r="HF19" i="19"/>
  <c r="HG19" i="19"/>
  <c r="HH19" i="19"/>
  <c r="HI19" i="19"/>
  <c r="HJ19" i="19"/>
  <c r="HK19" i="19"/>
  <c r="HL19" i="19"/>
  <c r="HM19" i="19"/>
  <c r="HN19" i="19"/>
  <c r="HO19" i="19"/>
  <c r="HP19" i="19"/>
  <c r="HQ19" i="19"/>
  <c r="HR19" i="19"/>
  <c r="HS19" i="19"/>
  <c r="HT19" i="19"/>
  <c r="HU19" i="19"/>
  <c r="HV19" i="19"/>
  <c r="HW19" i="19"/>
  <c r="HX19" i="19"/>
  <c r="HY19" i="19"/>
  <c r="HZ19" i="19"/>
  <c r="IA19" i="19"/>
  <c r="IB19" i="19"/>
  <c r="IC19" i="19"/>
  <c r="ID19" i="19"/>
  <c r="IE19" i="19"/>
  <c r="IF19" i="19"/>
  <c r="IG19" i="19"/>
  <c r="IH19" i="19"/>
  <c r="II19" i="19"/>
  <c r="IJ19" i="19"/>
  <c r="IK19" i="19"/>
  <c r="IL19" i="19"/>
  <c r="IM19" i="19"/>
  <c r="IN19" i="19"/>
  <c r="IO19" i="19"/>
  <c r="IP19" i="19"/>
  <c r="IQ19" i="19"/>
  <c r="IR19" i="19"/>
  <c r="IS19" i="19"/>
  <c r="IT19" i="19"/>
  <c r="IU19" i="19"/>
  <c r="IV19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AN20" i="19"/>
  <c r="AO20" i="19"/>
  <c r="AP20" i="19"/>
  <c r="AQ20" i="19"/>
  <c r="AR20" i="19"/>
  <c r="AS20" i="19"/>
  <c r="AT20" i="19"/>
  <c r="AU20" i="19"/>
  <c r="AV20" i="19"/>
  <c r="AW20" i="19"/>
  <c r="AX20" i="19"/>
  <c r="AY20" i="19"/>
  <c r="AZ20" i="19"/>
  <c r="BA20" i="19"/>
  <c r="BB20" i="19"/>
  <c r="BC20" i="19"/>
  <c r="BD20" i="19"/>
  <c r="BE20" i="19"/>
  <c r="BF20" i="19"/>
  <c r="BG20" i="19"/>
  <c r="BH20" i="19"/>
  <c r="BI20" i="19"/>
  <c r="BJ20" i="19"/>
  <c r="BK20" i="19"/>
  <c r="BL20" i="19"/>
  <c r="BM20" i="19"/>
  <c r="BN20" i="19"/>
  <c r="BO20" i="19"/>
  <c r="BP20" i="19"/>
  <c r="BQ20" i="19"/>
  <c r="BR20" i="19"/>
  <c r="BS20" i="19"/>
  <c r="BT20" i="19"/>
  <c r="BU20" i="19"/>
  <c r="BV20" i="19"/>
  <c r="BW20" i="19"/>
  <c r="BX20" i="19"/>
  <c r="BY20" i="19"/>
  <c r="BZ20" i="19"/>
  <c r="CA20" i="19"/>
  <c r="CB20" i="19"/>
  <c r="CC20" i="19"/>
  <c r="CD20" i="19"/>
  <c r="CE20" i="19"/>
  <c r="CF20" i="19"/>
  <c r="CG20" i="19"/>
  <c r="CH20" i="19"/>
  <c r="CI20" i="19"/>
  <c r="CJ20" i="19"/>
  <c r="CK20" i="19"/>
  <c r="CL20" i="19"/>
  <c r="CM20" i="19"/>
  <c r="CN20" i="19"/>
  <c r="CO20" i="19"/>
  <c r="CP20" i="19"/>
  <c r="CQ20" i="19"/>
  <c r="CR20" i="19"/>
  <c r="CS20" i="19"/>
  <c r="CT20" i="19"/>
  <c r="CU20" i="19"/>
  <c r="CV20" i="19"/>
  <c r="CW20" i="19"/>
  <c r="CX20" i="19"/>
  <c r="CY20" i="19"/>
  <c r="CZ20" i="19"/>
  <c r="DA20" i="19"/>
  <c r="DB20" i="19"/>
  <c r="DC20" i="19"/>
  <c r="DD20" i="19"/>
  <c r="DE20" i="19"/>
  <c r="DF20" i="19"/>
  <c r="DG20" i="19"/>
  <c r="DH20" i="19"/>
  <c r="DI20" i="19"/>
  <c r="DJ20" i="19"/>
  <c r="DK20" i="19"/>
  <c r="DL20" i="19"/>
  <c r="DM20" i="19"/>
  <c r="DN20" i="19"/>
  <c r="DO20" i="19"/>
  <c r="DP20" i="19"/>
  <c r="DQ20" i="19"/>
  <c r="DR20" i="19"/>
  <c r="DS20" i="19"/>
  <c r="DT20" i="19"/>
  <c r="DU20" i="19"/>
  <c r="DV20" i="19"/>
  <c r="DW20" i="19"/>
  <c r="DX20" i="19"/>
  <c r="DY20" i="19"/>
  <c r="DZ20" i="19"/>
  <c r="EA20" i="19"/>
  <c r="EB20" i="19"/>
  <c r="EC20" i="19"/>
  <c r="ED20" i="19"/>
  <c r="EE20" i="19"/>
  <c r="EF20" i="19"/>
  <c r="EG20" i="19"/>
  <c r="EH20" i="19"/>
  <c r="EI20" i="19"/>
  <c r="EJ20" i="19"/>
  <c r="EK20" i="19"/>
  <c r="EL20" i="19"/>
  <c r="EM20" i="19"/>
  <c r="EN20" i="19"/>
  <c r="EO20" i="19"/>
  <c r="EP20" i="19"/>
  <c r="EQ20" i="19"/>
  <c r="ER20" i="19"/>
  <c r="ES20" i="19"/>
  <c r="ET20" i="19"/>
  <c r="EU20" i="19"/>
  <c r="EV20" i="19"/>
  <c r="EW20" i="19"/>
  <c r="EX20" i="19"/>
  <c r="EY20" i="19"/>
  <c r="EZ20" i="19"/>
  <c r="FA20" i="19"/>
  <c r="FB20" i="19"/>
  <c r="FC20" i="19"/>
  <c r="FD20" i="19"/>
  <c r="FE20" i="19"/>
  <c r="FF20" i="19"/>
  <c r="FG20" i="19"/>
  <c r="FH20" i="19"/>
  <c r="FI20" i="19"/>
  <c r="FJ20" i="19"/>
  <c r="FK20" i="19"/>
  <c r="FL20" i="19"/>
  <c r="FM20" i="19"/>
  <c r="FN20" i="19"/>
  <c r="FO20" i="19"/>
  <c r="FP20" i="19"/>
  <c r="FQ20" i="19"/>
  <c r="FR20" i="19"/>
  <c r="FS20" i="19"/>
  <c r="FT20" i="19"/>
  <c r="FU20" i="19"/>
  <c r="FV20" i="19"/>
  <c r="FW20" i="19"/>
  <c r="FX20" i="19"/>
  <c r="FY20" i="19"/>
  <c r="FZ20" i="19"/>
  <c r="GA20" i="19"/>
  <c r="GB20" i="19"/>
  <c r="GC20" i="19"/>
  <c r="GD20" i="19"/>
  <c r="GE20" i="19"/>
  <c r="GF20" i="19"/>
  <c r="GG20" i="19"/>
  <c r="GH20" i="19"/>
  <c r="GI20" i="19"/>
  <c r="GJ20" i="19"/>
  <c r="GK20" i="19"/>
  <c r="GL20" i="19"/>
  <c r="GM20" i="19"/>
  <c r="GN20" i="19"/>
  <c r="GO20" i="19"/>
  <c r="GP20" i="19"/>
  <c r="GQ20" i="19"/>
  <c r="GR20" i="19"/>
  <c r="GS20" i="19"/>
  <c r="GT20" i="19"/>
  <c r="GU20" i="19"/>
  <c r="GV20" i="19"/>
  <c r="GW20" i="19"/>
  <c r="GX20" i="19"/>
  <c r="GY20" i="19"/>
  <c r="GZ20" i="19"/>
  <c r="HA20" i="19"/>
  <c r="HB20" i="19"/>
  <c r="HC20" i="19"/>
  <c r="HD20" i="19"/>
  <c r="HE20" i="19"/>
  <c r="HF20" i="19"/>
  <c r="HG20" i="19"/>
  <c r="HH20" i="19"/>
  <c r="HI20" i="19"/>
  <c r="HJ20" i="19"/>
  <c r="HK20" i="19"/>
  <c r="HL20" i="19"/>
  <c r="HM20" i="19"/>
  <c r="HN20" i="19"/>
  <c r="HO20" i="19"/>
  <c r="HP20" i="19"/>
  <c r="HQ20" i="19"/>
  <c r="HR20" i="19"/>
  <c r="HS20" i="19"/>
  <c r="HT20" i="19"/>
  <c r="HU20" i="19"/>
  <c r="HV20" i="19"/>
  <c r="HW20" i="19"/>
  <c r="HX20" i="19"/>
  <c r="HY20" i="19"/>
  <c r="HZ20" i="19"/>
  <c r="IA20" i="19"/>
  <c r="IB20" i="19"/>
  <c r="IC20" i="19"/>
  <c r="ID20" i="19"/>
  <c r="IE20" i="19"/>
  <c r="IF20" i="19"/>
  <c r="IG20" i="19"/>
  <c r="IH20" i="19"/>
  <c r="II20" i="19"/>
  <c r="IJ20" i="19"/>
  <c r="IK20" i="19"/>
  <c r="IL20" i="19"/>
  <c r="IM20" i="19"/>
  <c r="IN20" i="19"/>
  <c r="IO20" i="19"/>
  <c r="IP20" i="19"/>
  <c r="IQ20" i="19"/>
  <c r="IR20" i="19"/>
  <c r="IS20" i="19"/>
  <c r="IT20" i="19"/>
  <c r="IU20" i="19"/>
  <c r="IV20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U21" i="19"/>
  <c r="AV21" i="19"/>
  <c r="AW21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BL21" i="19"/>
  <c r="BM21" i="19"/>
  <c r="BN21" i="19"/>
  <c r="BO21" i="19"/>
  <c r="BP21" i="19"/>
  <c r="BQ21" i="19"/>
  <c r="BR21" i="19"/>
  <c r="BS21" i="19"/>
  <c r="BT21" i="19"/>
  <c r="BU21" i="19"/>
  <c r="BV21" i="19"/>
  <c r="BW21" i="19"/>
  <c r="BX21" i="19"/>
  <c r="BY21" i="19"/>
  <c r="BZ21" i="19"/>
  <c r="CA21" i="19"/>
  <c r="CB21" i="19"/>
  <c r="CC21" i="19"/>
  <c r="CD21" i="19"/>
  <c r="CE21" i="19"/>
  <c r="CF21" i="19"/>
  <c r="CG21" i="19"/>
  <c r="CH21" i="19"/>
  <c r="CI21" i="19"/>
  <c r="CJ21" i="19"/>
  <c r="CK21" i="19"/>
  <c r="CL21" i="19"/>
  <c r="CM21" i="19"/>
  <c r="CN21" i="19"/>
  <c r="CO21" i="19"/>
  <c r="CP21" i="19"/>
  <c r="CQ21" i="19"/>
  <c r="CR21" i="19"/>
  <c r="CS21" i="19"/>
  <c r="CT21" i="19"/>
  <c r="CU21" i="19"/>
  <c r="CV21" i="19"/>
  <c r="CW21" i="19"/>
  <c r="CX21" i="19"/>
  <c r="CY21" i="19"/>
  <c r="CZ21" i="19"/>
  <c r="DA21" i="19"/>
  <c r="DB21" i="19"/>
  <c r="DC21" i="19"/>
  <c r="DD21" i="19"/>
  <c r="DE21" i="19"/>
  <c r="DF21" i="19"/>
  <c r="DG21" i="19"/>
  <c r="DH21" i="19"/>
  <c r="DI21" i="19"/>
  <c r="DJ21" i="19"/>
  <c r="DK21" i="19"/>
  <c r="DL21" i="19"/>
  <c r="DM21" i="19"/>
  <c r="DN21" i="19"/>
  <c r="DO21" i="19"/>
  <c r="DP21" i="19"/>
  <c r="DQ21" i="19"/>
  <c r="DR21" i="19"/>
  <c r="DS21" i="19"/>
  <c r="DT21" i="19"/>
  <c r="DU21" i="19"/>
  <c r="DV21" i="19"/>
  <c r="DW21" i="19"/>
  <c r="DX21" i="19"/>
  <c r="DY21" i="19"/>
  <c r="DZ21" i="19"/>
  <c r="EA21" i="19"/>
  <c r="EB21" i="19"/>
  <c r="EC21" i="19"/>
  <c r="ED21" i="19"/>
  <c r="EE21" i="19"/>
  <c r="EF21" i="19"/>
  <c r="EG21" i="19"/>
  <c r="EH21" i="19"/>
  <c r="EI21" i="19"/>
  <c r="EJ21" i="19"/>
  <c r="EK21" i="19"/>
  <c r="EL21" i="19"/>
  <c r="EM21" i="19"/>
  <c r="EN21" i="19"/>
  <c r="EO21" i="19"/>
  <c r="EP21" i="19"/>
  <c r="EQ21" i="19"/>
  <c r="ER21" i="19"/>
  <c r="ES21" i="19"/>
  <c r="ET21" i="19"/>
  <c r="EU21" i="19"/>
  <c r="EV21" i="19"/>
  <c r="EW21" i="19"/>
  <c r="EX21" i="19"/>
  <c r="EY21" i="19"/>
  <c r="EZ21" i="19"/>
  <c r="FA21" i="19"/>
  <c r="FB21" i="19"/>
  <c r="FC21" i="19"/>
  <c r="FD21" i="19"/>
  <c r="FE21" i="19"/>
  <c r="FF21" i="19"/>
  <c r="FG21" i="19"/>
  <c r="FH21" i="19"/>
  <c r="FI21" i="19"/>
  <c r="FJ21" i="19"/>
  <c r="FK21" i="19"/>
  <c r="FL21" i="19"/>
  <c r="FM21" i="19"/>
  <c r="FN21" i="19"/>
  <c r="FO21" i="19"/>
  <c r="FP21" i="19"/>
  <c r="FQ21" i="19"/>
  <c r="FR21" i="19"/>
  <c r="FS21" i="19"/>
  <c r="FT21" i="19"/>
  <c r="FU21" i="19"/>
  <c r="FV21" i="19"/>
  <c r="FW21" i="19"/>
  <c r="FX21" i="19"/>
  <c r="FY21" i="19"/>
  <c r="FZ21" i="19"/>
  <c r="GA21" i="19"/>
  <c r="GB21" i="19"/>
  <c r="GC21" i="19"/>
  <c r="GD21" i="19"/>
  <c r="GE21" i="19"/>
  <c r="GF21" i="19"/>
  <c r="GG21" i="19"/>
  <c r="GH21" i="19"/>
  <c r="GI21" i="19"/>
  <c r="GJ21" i="19"/>
  <c r="GK21" i="19"/>
  <c r="GL21" i="19"/>
  <c r="GM21" i="19"/>
  <c r="GN21" i="19"/>
  <c r="GO21" i="19"/>
  <c r="GP21" i="19"/>
  <c r="GQ21" i="19"/>
  <c r="GR21" i="19"/>
  <c r="GS21" i="19"/>
  <c r="GT21" i="19"/>
  <c r="GU21" i="19"/>
  <c r="GV21" i="19"/>
  <c r="GW21" i="19"/>
  <c r="GX21" i="19"/>
  <c r="GY21" i="19"/>
  <c r="GZ21" i="19"/>
  <c r="HA21" i="19"/>
  <c r="HB21" i="19"/>
  <c r="HC21" i="19"/>
  <c r="HD21" i="19"/>
  <c r="HE21" i="19"/>
  <c r="HF21" i="19"/>
  <c r="HG21" i="19"/>
  <c r="HH21" i="19"/>
  <c r="HI21" i="19"/>
  <c r="HJ21" i="19"/>
  <c r="HK21" i="19"/>
  <c r="HL21" i="19"/>
  <c r="HM21" i="19"/>
  <c r="HN21" i="19"/>
  <c r="HO21" i="19"/>
  <c r="HP21" i="19"/>
  <c r="HQ21" i="19"/>
  <c r="HR21" i="19"/>
  <c r="HS21" i="19"/>
  <c r="HT21" i="19"/>
  <c r="HU21" i="19"/>
  <c r="HV21" i="19"/>
  <c r="HW21" i="19"/>
  <c r="HX21" i="19"/>
  <c r="HY21" i="19"/>
  <c r="HZ21" i="19"/>
  <c r="IA21" i="19"/>
  <c r="IB21" i="19"/>
  <c r="IC21" i="19"/>
  <c r="ID21" i="19"/>
  <c r="IE21" i="19"/>
  <c r="IF21" i="19"/>
  <c r="IG21" i="19"/>
  <c r="IH21" i="19"/>
  <c r="II21" i="19"/>
  <c r="IJ21" i="19"/>
  <c r="IK21" i="19"/>
  <c r="IL21" i="19"/>
  <c r="IM21" i="19"/>
  <c r="IN21" i="19"/>
  <c r="IO21" i="19"/>
  <c r="IP21" i="19"/>
  <c r="IQ21" i="19"/>
  <c r="IR21" i="19"/>
  <c r="IS21" i="19"/>
  <c r="IT21" i="19"/>
  <c r="IU21" i="19"/>
  <c r="IV21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AN22" i="19"/>
  <c r="AO22" i="19"/>
  <c r="AP22" i="19"/>
  <c r="AQ22" i="19"/>
  <c r="AR22" i="19"/>
  <c r="AS22" i="19"/>
  <c r="AT22" i="19"/>
  <c r="AU22" i="19"/>
  <c r="AV22" i="19"/>
  <c r="AW22" i="19"/>
  <c r="AX22" i="19"/>
  <c r="AY22" i="19"/>
  <c r="AZ22" i="19"/>
  <c r="BA22" i="19"/>
  <c r="BB22" i="19"/>
  <c r="BC22" i="19"/>
  <c r="BD22" i="19"/>
  <c r="BE22" i="19"/>
  <c r="BF22" i="19"/>
  <c r="BG22" i="19"/>
  <c r="BH22" i="19"/>
  <c r="BI22" i="19"/>
  <c r="BJ22" i="19"/>
  <c r="BK22" i="19"/>
  <c r="BL22" i="19"/>
  <c r="BM22" i="19"/>
  <c r="BN22" i="19"/>
  <c r="BO22" i="19"/>
  <c r="BP22" i="19"/>
  <c r="BQ22" i="19"/>
  <c r="BR22" i="19"/>
  <c r="BS22" i="19"/>
  <c r="BT22" i="19"/>
  <c r="BU22" i="19"/>
  <c r="BV22" i="19"/>
  <c r="BW22" i="19"/>
  <c r="BX22" i="19"/>
  <c r="BY22" i="19"/>
  <c r="BZ22" i="19"/>
  <c r="CA22" i="19"/>
  <c r="CB22" i="19"/>
  <c r="CC22" i="19"/>
  <c r="CD22" i="19"/>
  <c r="CE22" i="19"/>
  <c r="CF22" i="19"/>
  <c r="CG22" i="19"/>
  <c r="CH22" i="19"/>
  <c r="CI22" i="19"/>
  <c r="CJ22" i="19"/>
  <c r="CK22" i="19"/>
  <c r="CL22" i="19"/>
  <c r="CM22" i="19"/>
  <c r="CN22" i="19"/>
  <c r="CO22" i="19"/>
  <c r="CP22" i="19"/>
  <c r="CQ22" i="19"/>
  <c r="CR22" i="19"/>
  <c r="CS22" i="19"/>
  <c r="CT22" i="19"/>
  <c r="CU22" i="19"/>
  <c r="CV22" i="19"/>
  <c r="CW22" i="19"/>
  <c r="CX22" i="19"/>
  <c r="CY22" i="19"/>
  <c r="CZ22" i="19"/>
  <c r="DA22" i="19"/>
  <c r="DB22" i="19"/>
  <c r="DC22" i="19"/>
  <c r="DD22" i="19"/>
  <c r="DE22" i="19"/>
  <c r="DF22" i="19"/>
  <c r="DG22" i="19"/>
  <c r="DH22" i="19"/>
  <c r="DI22" i="19"/>
  <c r="DJ22" i="19"/>
  <c r="DK22" i="19"/>
  <c r="DL22" i="19"/>
  <c r="DM22" i="19"/>
  <c r="DN22" i="19"/>
  <c r="DO22" i="19"/>
  <c r="DP22" i="19"/>
  <c r="DQ22" i="19"/>
  <c r="DR22" i="19"/>
  <c r="DS22" i="19"/>
  <c r="DT22" i="19"/>
  <c r="DU22" i="19"/>
  <c r="DV22" i="19"/>
  <c r="DW22" i="19"/>
  <c r="DX22" i="19"/>
  <c r="DY22" i="19"/>
  <c r="DZ22" i="19"/>
  <c r="EA22" i="19"/>
  <c r="EB22" i="19"/>
  <c r="EC22" i="19"/>
  <c r="ED22" i="19"/>
  <c r="EE22" i="19"/>
  <c r="EF22" i="19"/>
  <c r="EG22" i="19"/>
  <c r="EH22" i="19"/>
  <c r="EI22" i="19"/>
  <c r="EJ22" i="19"/>
  <c r="EK22" i="19"/>
  <c r="EL22" i="19"/>
  <c r="EM22" i="19"/>
  <c r="EN22" i="19"/>
  <c r="EO22" i="19"/>
  <c r="EP22" i="19"/>
  <c r="EQ22" i="19"/>
  <c r="ER22" i="19"/>
  <c r="ES22" i="19"/>
  <c r="ET22" i="19"/>
  <c r="EU22" i="19"/>
  <c r="EV22" i="19"/>
  <c r="EW22" i="19"/>
  <c r="EX22" i="19"/>
  <c r="EY22" i="19"/>
  <c r="EZ22" i="19"/>
  <c r="FA22" i="19"/>
  <c r="FB22" i="19"/>
  <c r="FC22" i="19"/>
  <c r="FD22" i="19"/>
  <c r="FE22" i="19"/>
  <c r="FF22" i="19"/>
  <c r="FG22" i="19"/>
  <c r="FH22" i="19"/>
  <c r="FI22" i="19"/>
  <c r="FJ22" i="19"/>
  <c r="FK22" i="19"/>
  <c r="FL22" i="19"/>
  <c r="FM22" i="19"/>
  <c r="FN22" i="19"/>
  <c r="FO22" i="19"/>
  <c r="FP22" i="19"/>
  <c r="FQ22" i="19"/>
  <c r="FR22" i="19"/>
  <c r="FS22" i="19"/>
  <c r="FT22" i="19"/>
  <c r="FU22" i="19"/>
  <c r="FV22" i="19"/>
  <c r="FW22" i="19"/>
  <c r="FX22" i="19"/>
  <c r="FY22" i="19"/>
  <c r="FZ22" i="19"/>
  <c r="GA22" i="19"/>
  <c r="GB22" i="19"/>
  <c r="GC22" i="19"/>
  <c r="GD22" i="19"/>
  <c r="GE22" i="19"/>
  <c r="GF22" i="19"/>
  <c r="GG22" i="19"/>
  <c r="GH22" i="19"/>
  <c r="GI22" i="19"/>
  <c r="GJ22" i="19"/>
  <c r="GK22" i="19"/>
  <c r="GL22" i="19"/>
  <c r="GM22" i="19"/>
  <c r="GN22" i="19"/>
  <c r="GO22" i="19"/>
  <c r="GP22" i="19"/>
  <c r="GQ22" i="19"/>
  <c r="GR22" i="19"/>
  <c r="GS22" i="19"/>
  <c r="GT22" i="19"/>
  <c r="GU22" i="19"/>
  <c r="GV22" i="19"/>
  <c r="GW22" i="19"/>
  <c r="GX22" i="19"/>
  <c r="GY22" i="19"/>
  <c r="GZ22" i="19"/>
  <c r="HA22" i="19"/>
  <c r="HB22" i="19"/>
  <c r="HC22" i="19"/>
  <c r="HD22" i="19"/>
  <c r="HE22" i="19"/>
  <c r="HF22" i="19"/>
  <c r="HG22" i="19"/>
  <c r="HH22" i="19"/>
  <c r="HI22" i="19"/>
  <c r="HJ22" i="19"/>
  <c r="HK22" i="19"/>
  <c r="HL22" i="19"/>
  <c r="HM22" i="19"/>
  <c r="HN22" i="19"/>
  <c r="HO22" i="19"/>
  <c r="HP22" i="19"/>
  <c r="HQ22" i="19"/>
  <c r="HR22" i="19"/>
  <c r="HS22" i="19"/>
  <c r="HT22" i="19"/>
  <c r="HU22" i="19"/>
  <c r="HV22" i="19"/>
  <c r="HW22" i="19"/>
  <c r="HX22" i="19"/>
  <c r="HY22" i="19"/>
  <c r="HZ22" i="19"/>
  <c r="IA22" i="19"/>
  <c r="IB22" i="19"/>
  <c r="IC22" i="19"/>
  <c r="ID22" i="19"/>
  <c r="IE22" i="19"/>
  <c r="IF22" i="19"/>
  <c r="IG22" i="19"/>
  <c r="IH22" i="19"/>
  <c r="II22" i="19"/>
  <c r="IJ22" i="19"/>
  <c r="IK22" i="19"/>
  <c r="IL22" i="19"/>
  <c r="IM22" i="19"/>
  <c r="IN22" i="19"/>
  <c r="IO22" i="19"/>
  <c r="IP22" i="19"/>
  <c r="IQ22" i="19"/>
  <c r="IR22" i="19"/>
  <c r="IS22" i="19"/>
  <c r="IT22" i="19"/>
  <c r="IU22" i="19"/>
  <c r="IV22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AN23" i="19"/>
  <c r="AO23" i="19"/>
  <c r="AP23" i="19"/>
  <c r="AQ23" i="19"/>
  <c r="AR23" i="19"/>
  <c r="AS23" i="19"/>
  <c r="AT23" i="19"/>
  <c r="AU23" i="19"/>
  <c r="AV23" i="19"/>
  <c r="AW23" i="19"/>
  <c r="AX23" i="19"/>
  <c r="AY23" i="19"/>
  <c r="AZ23" i="19"/>
  <c r="BA23" i="19"/>
  <c r="BB23" i="19"/>
  <c r="BC23" i="19"/>
  <c r="BD23" i="19"/>
  <c r="BE23" i="19"/>
  <c r="BF23" i="19"/>
  <c r="BG23" i="19"/>
  <c r="BH23" i="19"/>
  <c r="BI23" i="19"/>
  <c r="BJ23" i="19"/>
  <c r="BK23" i="19"/>
  <c r="BL23" i="19"/>
  <c r="BM23" i="19"/>
  <c r="BN23" i="19"/>
  <c r="BO23" i="19"/>
  <c r="BP23" i="19"/>
  <c r="BQ23" i="19"/>
  <c r="BR23" i="19"/>
  <c r="BS23" i="19"/>
  <c r="BT23" i="19"/>
  <c r="BU23" i="19"/>
  <c r="BV23" i="19"/>
  <c r="BW23" i="19"/>
  <c r="BX23" i="19"/>
  <c r="BY23" i="19"/>
  <c r="BZ23" i="19"/>
  <c r="CA23" i="19"/>
  <c r="CB23" i="19"/>
  <c r="CC23" i="19"/>
  <c r="CD23" i="19"/>
  <c r="CE23" i="19"/>
  <c r="CF23" i="19"/>
  <c r="CG23" i="19"/>
  <c r="CH23" i="19"/>
  <c r="CI23" i="19"/>
  <c r="CJ23" i="19"/>
  <c r="CK23" i="19"/>
  <c r="CL23" i="19"/>
  <c r="CM23" i="19"/>
  <c r="CN23" i="19"/>
  <c r="CO23" i="19"/>
  <c r="CP23" i="19"/>
  <c r="CQ23" i="19"/>
  <c r="CR23" i="19"/>
  <c r="CS23" i="19"/>
  <c r="CT23" i="19"/>
  <c r="CU23" i="19"/>
  <c r="CV23" i="19"/>
  <c r="CW23" i="19"/>
  <c r="CX23" i="19"/>
  <c r="CY23" i="19"/>
  <c r="CZ23" i="19"/>
  <c r="DA23" i="19"/>
  <c r="DB23" i="19"/>
  <c r="DC23" i="19"/>
  <c r="DD23" i="19"/>
  <c r="DE23" i="19"/>
  <c r="DF23" i="19"/>
  <c r="DG23" i="19"/>
  <c r="DH23" i="19"/>
  <c r="DI23" i="19"/>
  <c r="DJ23" i="19"/>
  <c r="DK23" i="19"/>
  <c r="DL23" i="19"/>
  <c r="DM23" i="19"/>
  <c r="DN23" i="19"/>
  <c r="DO23" i="19"/>
  <c r="DP23" i="19"/>
  <c r="DQ23" i="19"/>
  <c r="DR23" i="19"/>
  <c r="DS23" i="19"/>
  <c r="DT23" i="19"/>
  <c r="DU23" i="19"/>
  <c r="DV23" i="19"/>
  <c r="DW23" i="19"/>
  <c r="DX23" i="19"/>
  <c r="DY23" i="19"/>
  <c r="DZ23" i="19"/>
  <c r="EA23" i="19"/>
  <c r="EB23" i="19"/>
  <c r="EC23" i="19"/>
  <c r="ED23" i="19"/>
  <c r="EE23" i="19"/>
  <c r="EF23" i="19"/>
  <c r="EG23" i="19"/>
  <c r="EH23" i="19"/>
  <c r="EI23" i="19"/>
  <c r="EJ23" i="19"/>
  <c r="EK23" i="19"/>
  <c r="EL23" i="19"/>
  <c r="EM23" i="19"/>
  <c r="EN23" i="19"/>
  <c r="EO23" i="19"/>
  <c r="EP23" i="19"/>
  <c r="EQ23" i="19"/>
  <c r="ER23" i="19"/>
  <c r="ES23" i="19"/>
  <c r="ET23" i="19"/>
  <c r="EU23" i="19"/>
  <c r="EV23" i="19"/>
  <c r="EW23" i="19"/>
  <c r="EX23" i="19"/>
  <c r="EY23" i="19"/>
  <c r="EZ23" i="19"/>
  <c r="FA23" i="19"/>
  <c r="FB23" i="19"/>
  <c r="FC23" i="19"/>
  <c r="FD23" i="19"/>
  <c r="FE23" i="19"/>
  <c r="FF23" i="19"/>
  <c r="FG23" i="19"/>
  <c r="FH23" i="19"/>
  <c r="FI23" i="19"/>
  <c r="FJ23" i="19"/>
  <c r="FK23" i="19"/>
  <c r="FL23" i="19"/>
  <c r="FM23" i="19"/>
  <c r="FN23" i="19"/>
  <c r="FO23" i="19"/>
  <c r="FP23" i="19"/>
  <c r="FQ23" i="19"/>
  <c r="FR23" i="19"/>
  <c r="FS23" i="19"/>
  <c r="FT23" i="19"/>
  <c r="FU23" i="19"/>
  <c r="FV23" i="19"/>
  <c r="FW23" i="19"/>
  <c r="FX23" i="19"/>
  <c r="FY23" i="19"/>
  <c r="FZ23" i="19"/>
  <c r="GA23" i="19"/>
  <c r="GB23" i="19"/>
  <c r="GC23" i="19"/>
  <c r="GD23" i="19"/>
  <c r="GE23" i="19"/>
  <c r="GF23" i="19"/>
  <c r="GG23" i="19"/>
  <c r="GH23" i="19"/>
  <c r="GI23" i="19"/>
  <c r="GJ23" i="19"/>
  <c r="GK23" i="19"/>
  <c r="GL23" i="19"/>
  <c r="GM23" i="19"/>
  <c r="GN23" i="19"/>
  <c r="GO23" i="19"/>
  <c r="GP23" i="19"/>
  <c r="GQ23" i="19"/>
  <c r="GR23" i="19"/>
  <c r="GS23" i="19"/>
  <c r="GT23" i="19"/>
  <c r="GU23" i="19"/>
  <c r="GV23" i="19"/>
  <c r="GW23" i="19"/>
  <c r="GX23" i="19"/>
  <c r="GY23" i="19"/>
  <c r="GZ23" i="19"/>
  <c r="HA23" i="19"/>
  <c r="HB23" i="19"/>
  <c r="HC23" i="19"/>
  <c r="HD23" i="19"/>
  <c r="HE23" i="19"/>
  <c r="HF23" i="19"/>
  <c r="HG23" i="19"/>
  <c r="HH23" i="19"/>
  <c r="HI23" i="19"/>
  <c r="HJ23" i="19"/>
  <c r="HK23" i="19"/>
  <c r="HL23" i="19"/>
  <c r="HM23" i="19"/>
  <c r="HN23" i="19"/>
  <c r="HO23" i="19"/>
  <c r="HP23" i="19"/>
  <c r="HQ23" i="19"/>
  <c r="HR23" i="19"/>
  <c r="HS23" i="19"/>
  <c r="HT23" i="19"/>
  <c r="HU23" i="19"/>
  <c r="HV23" i="19"/>
  <c r="HW23" i="19"/>
  <c r="HX23" i="19"/>
  <c r="HY23" i="19"/>
  <c r="HZ23" i="19"/>
  <c r="IA23" i="19"/>
  <c r="IB23" i="19"/>
  <c r="IC23" i="19"/>
  <c r="ID23" i="19"/>
  <c r="IE23" i="19"/>
  <c r="IF23" i="19"/>
  <c r="IG23" i="19"/>
  <c r="IH23" i="19"/>
  <c r="II23" i="19"/>
  <c r="IJ23" i="19"/>
  <c r="IK23" i="19"/>
  <c r="IL23" i="19"/>
  <c r="IM23" i="19"/>
  <c r="IN23" i="19"/>
  <c r="IO23" i="19"/>
  <c r="IP23" i="19"/>
  <c r="IQ23" i="19"/>
  <c r="IR23" i="19"/>
  <c r="IS23" i="19"/>
  <c r="IT23" i="19"/>
  <c r="IU23" i="19"/>
  <c r="IV23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D24" i="19"/>
  <c r="AE24" i="19"/>
  <c r="AF24" i="19"/>
  <c r="AG24" i="19"/>
  <c r="AH24" i="19"/>
  <c r="AI24" i="19"/>
  <c r="AJ24" i="19"/>
  <c r="AK24" i="19"/>
  <c r="AL24" i="19"/>
  <c r="AM24" i="19"/>
  <c r="AN24" i="19"/>
  <c r="AO24" i="19"/>
  <c r="AP24" i="19"/>
  <c r="AQ24" i="19"/>
  <c r="AR24" i="19"/>
  <c r="AS24" i="19"/>
  <c r="AT24" i="19"/>
  <c r="AU24" i="19"/>
  <c r="AV24" i="19"/>
  <c r="AW24" i="19"/>
  <c r="AX24" i="19"/>
  <c r="AY24" i="19"/>
  <c r="AZ24" i="19"/>
  <c r="BA24" i="19"/>
  <c r="BB24" i="19"/>
  <c r="BC24" i="19"/>
  <c r="BD24" i="19"/>
  <c r="BE24" i="19"/>
  <c r="BF24" i="19"/>
  <c r="BG24" i="19"/>
  <c r="BH24" i="19"/>
  <c r="BI24" i="19"/>
  <c r="BJ24" i="19"/>
  <c r="BK24" i="19"/>
  <c r="BL24" i="19"/>
  <c r="BM24" i="19"/>
  <c r="BN24" i="19"/>
  <c r="BO24" i="19"/>
  <c r="BP24" i="19"/>
  <c r="BQ24" i="19"/>
  <c r="BR24" i="19"/>
  <c r="BS24" i="19"/>
  <c r="BT24" i="19"/>
  <c r="BU24" i="19"/>
  <c r="BV24" i="19"/>
  <c r="BW24" i="19"/>
  <c r="BX24" i="19"/>
  <c r="BY24" i="19"/>
  <c r="BZ24" i="19"/>
  <c r="CA24" i="19"/>
  <c r="CB24" i="19"/>
  <c r="CC24" i="19"/>
  <c r="CD24" i="19"/>
  <c r="CE24" i="19"/>
  <c r="CF24" i="19"/>
  <c r="CG24" i="19"/>
  <c r="CH24" i="19"/>
  <c r="CI24" i="19"/>
  <c r="CJ24" i="19"/>
  <c r="CK24" i="19"/>
  <c r="CL24" i="19"/>
  <c r="CM24" i="19"/>
  <c r="CN24" i="19"/>
  <c r="CO24" i="19"/>
  <c r="CP24" i="19"/>
  <c r="CQ24" i="19"/>
  <c r="CR24" i="19"/>
  <c r="CS24" i="19"/>
  <c r="CT24" i="19"/>
  <c r="CU24" i="19"/>
  <c r="CV24" i="19"/>
  <c r="CW24" i="19"/>
  <c r="CX24" i="19"/>
  <c r="CY24" i="19"/>
  <c r="CZ24" i="19"/>
  <c r="DA24" i="19"/>
  <c r="DB24" i="19"/>
  <c r="DC24" i="19"/>
  <c r="DD24" i="19"/>
  <c r="DE24" i="19"/>
  <c r="DF24" i="19"/>
  <c r="DG24" i="19"/>
  <c r="DH24" i="19"/>
  <c r="DI24" i="19"/>
  <c r="DJ24" i="19"/>
  <c r="DK24" i="19"/>
  <c r="DL24" i="19"/>
  <c r="DM24" i="19"/>
  <c r="DN24" i="19"/>
  <c r="DO24" i="19"/>
  <c r="DP24" i="19"/>
  <c r="DQ24" i="19"/>
  <c r="DR24" i="19"/>
  <c r="DS24" i="19"/>
  <c r="DT24" i="19"/>
  <c r="DU24" i="19"/>
  <c r="DV24" i="19"/>
  <c r="DW24" i="19"/>
  <c r="DX24" i="19"/>
  <c r="DY24" i="19"/>
  <c r="DZ24" i="19"/>
  <c r="EA24" i="19"/>
  <c r="EB24" i="19"/>
  <c r="EC24" i="19"/>
  <c r="ED24" i="19"/>
  <c r="EE24" i="19"/>
  <c r="EF24" i="19"/>
  <c r="EG24" i="19"/>
  <c r="EH24" i="19"/>
  <c r="EI24" i="19"/>
  <c r="EJ24" i="19"/>
  <c r="EK24" i="19"/>
  <c r="EL24" i="19"/>
  <c r="EM24" i="19"/>
  <c r="EN24" i="19"/>
  <c r="EO24" i="19"/>
  <c r="EP24" i="19"/>
  <c r="EQ24" i="19"/>
  <c r="ER24" i="19"/>
  <c r="ES24" i="19"/>
  <c r="ET24" i="19"/>
  <c r="EU24" i="19"/>
  <c r="EV24" i="19"/>
  <c r="EW24" i="19"/>
  <c r="EX24" i="19"/>
  <c r="EY24" i="19"/>
  <c r="EZ24" i="19"/>
  <c r="FA24" i="19"/>
  <c r="FB24" i="19"/>
  <c r="FC24" i="19"/>
  <c r="FD24" i="19"/>
  <c r="FE24" i="19"/>
  <c r="FF24" i="19"/>
  <c r="FG24" i="19"/>
  <c r="FH24" i="19"/>
  <c r="FI24" i="19"/>
  <c r="FJ24" i="19"/>
  <c r="FK24" i="19"/>
  <c r="FL24" i="19"/>
  <c r="FM24" i="19"/>
  <c r="FN24" i="19"/>
  <c r="FO24" i="19"/>
  <c r="FP24" i="19"/>
  <c r="FQ24" i="19"/>
  <c r="FR24" i="19"/>
  <c r="FS24" i="19"/>
  <c r="FT24" i="19"/>
  <c r="FU24" i="19"/>
  <c r="FV24" i="19"/>
  <c r="FW24" i="19"/>
  <c r="FX24" i="19"/>
  <c r="FY24" i="19"/>
  <c r="FZ24" i="19"/>
  <c r="GA24" i="19"/>
  <c r="GB24" i="19"/>
  <c r="GC24" i="19"/>
  <c r="GD24" i="19"/>
  <c r="GE24" i="19"/>
  <c r="GF24" i="19"/>
  <c r="GG24" i="19"/>
  <c r="GH24" i="19"/>
  <c r="GI24" i="19"/>
  <c r="GJ24" i="19"/>
  <c r="GK24" i="19"/>
  <c r="GL24" i="19"/>
  <c r="GM24" i="19"/>
  <c r="GN24" i="19"/>
  <c r="GO24" i="19"/>
  <c r="GP24" i="19"/>
  <c r="GQ24" i="19"/>
  <c r="GR24" i="19"/>
  <c r="GS24" i="19"/>
  <c r="GT24" i="19"/>
  <c r="GU24" i="19"/>
  <c r="GV24" i="19"/>
  <c r="GW24" i="19"/>
  <c r="GX24" i="19"/>
  <c r="GY24" i="19"/>
  <c r="GZ24" i="19"/>
  <c r="HA24" i="19"/>
  <c r="HB24" i="19"/>
  <c r="HC24" i="19"/>
  <c r="HD24" i="19"/>
  <c r="HE24" i="19"/>
  <c r="HF24" i="19"/>
  <c r="HG24" i="19"/>
  <c r="HH24" i="19"/>
  <c r="HI24" i="19"/>
  <c r="HJ24" i="19"/>
  <c r="HK24" i="19"/>
  <c r="HL24" i="19"/>
  <c r="HM24" i="19"/>
  <c r="HN24" i="19"/>
  <c r="HO24" i="19"/>
  <c r="HP24" i="19"/>
  <c r="HQ24" i="19"/>
  <c r="HR24" i="19"/>
  <c r="HS24" i="19"/>
  <c r="HT24" i="19"/>
  <c r="HU24" i="19"/>
  <c r="HV24" i="19"/>
  <c r="HW24" i="19"/>
  <c r="HX24" i="19"/>
  <c r="HY24" i="19"/>
  <c r="HZ24" i="19"/>
  <c r="IA24" i="19"/>
  <c r="IB24" i="19"/>
  <c r="IC24" i="19"/>
  <c r="ID24" i="19"/>
  <c r="IE24" i="19"/>
  <c r="IF24" i="19"/>
  <c r="IG24" i="19"/>
  <c r="IH24" i="19"/>
  <c r="II24" i="19"/>
  <c r="IJ24" i="19"/>
  <c r="IK24" i="19"/>
  <c r="IL24" i="19"/>
  <c r="IM24" i="19"/>
  <c r="IN24" i="19"/>
  <c r="IO24" i="19"/>
  <c r="IP24" i="19"/>
  <c r="IQ24" i="19"/>
  <c r="IR24" i="19"/>
  <c r="IS24" i="19"/>
  <c r="IT24" i="19"/>
  <c r="IU24" i="19"/>
  <c r="IV24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AN25" i="19"/>
  <c r="AO25" i="19"/>
  <c r="AP25" i="19"/>
  <c r="AQ25" i="19"/>
  <c r="AR25" i="19"/>
  <c r="AS25" i="19"/>
  <c r="AT25" i="19"/>
  <c r="AU25" i="19"/>
  <c r="AV25" i="19"/>
  <c r="AW25" i="19"/>
  <c r="AX25" i="19"/>
  <c r="AY25" i="19"/>
  <c r="AZ25" i="19"/>
  <c r="BA25" i="19"/>
  <c r="BB25" i="19"/>
  <c r="BC25" i="19"/>
  <c r="BD25" i="19"/>
  <c r="BE25" i="19"/>
  <c r="BF25" i="19"/>
  <c r="BG25" i="19"/>
  <c r="BH25" i="19"/>
  <c r="BI25" i="19"/>
  <c r="BJ25" i="19"/>
  <c r="BK25" i="19"/>
  <c r="BL25" i="19"/>
  <c r="BM25" i="19"/>
  <c r="BN25" i="19"/>
  <c r="BO25" i="19"/>
  <c r="BP25" i="19"/>
  <c r="BQ25" i="19"/>
  <c r="BR25" i="19"/>
  <c r="BS25" i="19"/>
  <c r="BT25" i="19"/>
  <c r="BU25" i="19"/>
  <c r="BV25" i="19"/>
  <c r="BW25" i="19"/>
  <c r="BX25" i="19"/>
  <c r="BY25" i="19"/>
  <c r="BZ25" i="19"/>
  <c r="CA25" i="19"/>
  <c r="CB25" i="19"/>
  <c r="CC25" i="19"/>
  <c r="CD25" i="19"/>
  <c r="CE25" i="19"/>
  <c r="CF25" i="19"/>
  <c r="CG25" i="19"/>
  <c r="CH25" i="19"/>
  <c r="CI25" i="19"/>
  <c r="CJ25" i="19"/>
  <c r="CK25" i="19"/>
  <c r="CL25" i="19"/>
  <c r="CM25" i="19"/>
  <c r="CN25" i="19"/>
  <c r="CO25" i="19"/>
  <c r="CP25" i="19"/>
  <c r="CQ25" i="19"/>
  <c r="CR25" i="19"/>
  <c r="CS25" i="19"/>
  <c r="CT25" i="19"/>
  <c r="CU25" i="19"/>
  <c r="CV25" i="19"/>
  <c r="CW25" i="19"/>
  <c r="CX25" i="19"/>
  <c r="CY25" i="19"/>
  <c r="CZ25" i="19"/>
  <c r="DA25" i="19"/>
  <c r="DB25" i="19"/>
  <c r="DC25" i="19"/>
  <c r="DD25" i="19"/>
  <c r="DE25" i="19"/>
  <c r="DF25" i="19"/>
  <c r="DG25" i="19"/>
  <c r="DH25" i="19"/>
  <c r="DI25" i="19"/>
  <c r="DJ25" i="19"/>
  <c r="DK25" i="19"/>
  <c r="DL25" i="19"/>
  <c r="DM25" i="19"/>
  <c r="DN25" i="19"/>
  <c r="DO25" i="19"/>
  <c r="DP25" i="19"/>
  <c r="DQ25" i="19"/>
  <c r="DR25" i="19"/>
  <c r="DS25" i="19"/>
  <c r="DT25" i="19"/>
  <c r="DU25" i="19"/>
  <c r="DV25" i="19"/>
  <c r="DW25" i="19"/>
  <c r="DX25" i="19"/>
  <c r="DY25" i="19"/>
  <c r="DZ25" i="19"/>
  <c r="EA25" i="19"/>
  <c r="EB25" i="19"/>
  <c r="EC25" i="19"/>
  <c r="ED25" i="19"/>
  <c r="EE25" i="19"/>
  <c r="EF25" i="19"/>
  <c r="EG25" i="19"/>
  <c r="EH25" i="19"/>
  <c r="EI25" i="19"/>
  <c r="EJ25" i="19"/>
  <c r="EK25" i="19"/>
  <c r="EL25" i="19"/>
  <c r="EM25" i="19"/>
  <c r="EN25" i="19"/>
  <c r="EO25" i="19"/>
  <c r="EP25" i="19"/>
  <c r="EQ25" i="19"/>
  <c r="ER25" i="19"/>
  <c r="ES25" i="19"/>
  <c r="ET25" i="19"/>
  <c r="EU25" i="19"/>
  <c r="EV25" i="19"/>
  <c r="EW25" i="19"/>
  <c r="EX25" i="19"/>
  <c r="EY25" i="19"/>
  <c r="EZ25" i="19"/>
  <c r="FA25" i="19"/>
  <c r="FB25" i="19"/>
  <c r="FC25" i="19"/>
  <c r="FD25" i="19"/>
  <c r="FE25" i="19"/>
  <c r="FF25" i="19"/>
  <c r="FG25" i="19"/>
  <c r="FH25" i="19"/>
  <c r="FI25" i="19"/>
  <c r="FJ25" i="19"/>
  <c r="FK25" i="19"/>
  <c r="FL25" i="19"/>
  <c r="FM25" i="19"/>
  <c r="FN25" i="19"/>
  <c r="FO25" i="19"/>
  <c r="FP25" i="19"/>
  <c r="FQ25" i="19"/>
  <c r="FR25" i="19"/>
  <c r="FS25" i="19"/>
  <c r="FT25" i="19"/>
  <c r="FU25" i="19"/>
  <c r="FV25" i="19"/>
  <c r="FW25" i="19"/>
  <c r="FX25" i="19"/>
  <c r="FY25" i="19"/>
  <c r="FZ25" i="19"/>
  <c r="GA25" i="19"/>
  <c r="GB25" i="19"/>
  <c r="GC25" i="19"/>
  <c r="GD25" i="19"/>
  <c r="GE25" i="19"/>
  <c r="GF25" i="19"/>
  <c r="GG25" i="19"/>
  <c r="GH25" i="19"/>
  <c r="GI25" i="19"/>
  <c r="GJ25" i="19"/>
  <c r="GK25" i="19"/>
  <c r="GL25" i="19"/>
  <c r="GM25" i="19"/>
  <c r="GN25" i="19"/>
  <c r="GO25" i="19"/>
  <c r="GP25" i="19"/>
  <c r="GQ25" i="19"/>
  <c r="GR25" i="19"/>
  <c r="GS25" i="19"/>
  <c r="GT25" i="19"/>
  <c r="GU25" i="19"/>
  <c r="GV25" i="19"/>
  <c r="GW25" i="19"/>
  <c r="GX25" i="19"/>
  <c r="GY25" i="19"/>
  <c r="GZ25" i="19"/>
  <c r="HA25" i="19"/>
  <c r="HB25" i="19"/>
  <c r="HC25" i="19"/>
  <c r="HD25" i="19"/>
  <c r="HE25" i="19"/>
  <c r="HF25" i="19"/>
  <c r="HG25" i="19"/>
  <c r="HH25" i="19"/>
  <c r="HI25" i="19"/>
  <c r="HJ25" i="19"/>
  <c r="HK25" i="19"/>
  <c r="HL25" i="19"/>
  <c r="HM25" i="19"/>
  <c r="HN25" i="19"/>
  <c r="HO25" i="19"/>
  <c r="HP25" i="19"/>
  <c r="HQ25" i="19"/>
  <c r="HR25" i="19"/>
  <c r="HS25" i="19"/>
  <c r="HT25" i="19"/>
  <c r="HU25" i="19"/>
  <c r="HV25" i="19"/>
  <c r="HW25" i="19"/>
  <c r="HX25" i="19"/>
  <c r="HY25" i="19"/>
  <c r="HZ25" i="19"/>
  <c r="IA25" i="19"/>
  <c r="IB25" i="19"/>
  <c r="IC25" i="19"/>
  <c r="ID25" i="19"/>
  <c r="IE25" i="19"/>
  <c r="IF25" i="19"/>
  <c r="IG25" i="19"/>
  <c r="IH25" i="19"/>
  <c r="II25" i="19"/>
  <c r="IJ25" i="19"/>
  <c r="IK25" i="19"/>
  <c r="IL25" i="19"/>
  <c r="IM25" i="19"/>
  <c r="IN25" i="19"/>
  <c r="IO25" i="19"/>
  <c r="IP25" i="19"/>
  <c r="IQ25" i="19"/>
  <c r="IR25" i="19"/>
  <c r="IS25" i="19"/>
  <c r="IT25" i="19"/>
  <c r="IU25" i="19"/>
  <c r="IV25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AN26" i="19"/>
  <c r="AO26" i="19"/>
  <c r="AP26" i="19"/>
  <c r="AQ26" i="19"/>
  <c r="AR26" i="19"/>
  <c r="AS26" i="19"/>
  <c r="AT26" i="19"/>
  <c r="AU26" i="19"/>
  <c r="AV26" i="19"/>
  <c r="AW26" i="19"/>
  <c r="AX26" i="19"/>
  <c r="AY26" i="19"/>
  <c r="AZ26" i="19"/>
  <c r="BA26" i="19"/>
  <c r="BB26" i="19"/>
  <c r="BC26" i="19"/>
  <c r="BD26" i="19"/>
  <c r="BE26" i="19"/>
  <c r="BF26" i="19"/>
  <c r="BG26" i="19"/>
  <c r="BH26" i="19"/>
  <c r="BI26" i="19"/>
  <c r="BJ26" i="19"/>
  <c r="BK26" i="19"/>
  <c r="BL26" i="19"/>
  <c r="BM26" i="19"/>
  <c r="BN26" i="19"/>
  <c r="BO26" i="19"/>
  <c r="BP26" i="19"/>
  <c r="BQ26" i="19"/>
  <c r="BR26" i="19"/>
  <c r="BS26" i="19"/>
  <c r="BT26" i="19"/>
  <c r="BU26" i="19"/>
  <c r="BV26" i="19"/>
  <c r="BW26" i="19"/>
  <c r="BX26" i="19"/>
  <c r="BY26" i="19"/>
  <c r="BZ26" i="19"/>
  <c r="CA26" i="19"/>
  <c r="CB26" i="19"/>
  <c r="CC26" i="19"/>
  <c r="CD26" i="19"/>
  <c r="CE26" i="19"/>
  <c r="CF26" i="19"/>
  <c r="CG26" i="19"/>
  <c r="CH26" i="19"/>
  <c r="CI26" i="19"/>
  <c r="CJ26" i="19"/>
  <c r="CK26" i="19"/>
  <c r="CL26" i="19"/>
  <c r="CM26" i="19"/>
  <c r="CN26" i="19"/>
  <c r="CO26" i="19"/>
  <c r="CP26" i="19"/>
  <c r="CQ26" i="19"/>
  <c r="CR26" i="19"/>
  <c r="CS26" i="19"/>
  <c r="CT26" i="19"/>
  <c r="CU26" i="19"/>
  <c r="CV26" i="19"/>
  <c r="CW26" i="19"/>
  <c r="CX26" i="19"/>
  <c r="CY26" i="19"/>
  <c r="CZ26" i="19"/>
  <c r="DA26" i="19"/>
  <c r="DB26" i="19"/>
  <c r="DC26" i="19"/>
  <c r="DD26" i="19"/>
  <c r="DE26" i="19"/>
  <c r="DF26" i="19"/>
  <c r="DG26" i="19"/>
  <c r="DH26" i="19"/>
  <c r="DI26" i="19"/>
  <c r="DJ26" i="19"/>
  <c r="DK26" i="19"/>
  <c r="DL26" i="19"/>
  <c r="DM26" i="19"/>
  <c r="DN26" i="19"/>
  <c r="DO26" i="19"/>
  <c r="DP26" i="19"/>
  <c r="DQ26" i="19"/>
  <c r="DR26" i="19"/>
  <c r="DS26" i="19"/>
  <c r="DT26" i="19"/>
  <c r="DU26" i="19"/>
  <c r="DV26" i="19"/>
  <c r="DW26" i="19"/>
  <c r="DX26" i="19"/>
  <c r="DY26" i="19"/>
  <c r="DZ26" i="19"/>
  <c r="EA26" i="19"/>
  <c r="EB26" i="19"/>
  <c r="EC26" i="19"/>
  <c r="ED26" i="19"/>
  <c r="EE26" i="19"/>
  <c r="EF26" i="19"/>
  <c r="EG26" i="19"/>
  <c r="EH26" i="19"/>
  <c r="EI26" i="19"/>
  <c r="EJ26" i="19"/>
  <c r="EK26" i="19"/>
  <c r="EL26" i="19"/>
  <c r="EM26" i="19"/>
  <c r="EN26" i="19"/>
  <c r="EO26" i="19"/>
  <c r="EP26" i="19"/>
  <c r="EQ26" i="19"/>
  <c r="ER26" i="19"/>
  <c r="ES26" i="19"/>
  <c r="ET26" i="19"/>
  <c r="EU26" i="19"/>
  <c r="EV26" i="19"/>
  <c r="EW26" i="19"/>
  <c r="EX26" i="19"/>
  <c r="EY26" i="19"/>
  <c r="EZ26" i="19"/>
  <c r="FA26" i="19"/>
  <c r="FB26" i="19"/>
  <c r="FC26" i="19"/>
  <c r="FD26" i="19"/>
  <c r="FE26" i="19"/>
  <c r="FF26" i="19"/>
  <c r="FG26" i="19"/>
  <c r="FH26" i="19"/>
  <c r="FI26" i="19"/>
  <c r="FJ26" i="19"/>
  <c r="FK26" i="19"/>
  <c r="FL26" i="19"/>
  <c r="FM26" i="19"/>
  <c r="FN26" i="19"/>
  <c r="FO26" i="19"/>
  <c r="FP26" i="19"/>
  <c r="FQ26" i="19"/>
  <c r="FR26" i="19"/>
  <c r="FS26" i="19"/>
  <c r="FT26" i="19"/>
  <c r="FU26" i="19"/>
  <c r="FV26" i="19"/>
  <c r="FW26" i="19"/>
  <c r="FX26" i="19"/>
  <c r="FY26" i="19"/>
  <c r="FZ26" i="19"/>
  <c r="GA26" i="19"/>
  <c r="GB26" i="19"/>
  <c r="GC26" i="19"/>
  <c r="GD26" i="19"/>
  <c r="GE26" i="19"/>
  <c r="GF26" i="19"/>
  <c r="GG26" i="19"/>
  <c r="GH26" i="19"/>
  <c r="GI26" i="19"/>
  <c r="GJ26" i="19"/>
  <c r="GK26" i="19"/>
  <c r="GL26" i="19"/>
  <c r="GM26" i="19"/>
  <c r="GN26" i="19"/>
  <c r="GO26" i="19"/>
  <c r="GP26" i="19"/>
  <c r="GQ26" i="19"/>
  <c r="GR26" i="19"/>
  <c r="GS26" i="19"/>
  <c r="GT26" i="19"/>
  <c r="GU26" i="19"/>
  <c r="GV26" i="19"/>
  <c r="GW26" i="19"/>
  <c r="GX26" i="19"/>
  <c r="GY26" i="19"/>
  <c r="GZ26" i="19"/>
  <c r="HA26" i="19"/>
  <c r="HB26" i="19"/>
  <c r="HC26" i="19"/>
  <c r="HD26" i="19"/>
  <c r="HE26" i="19"/>
  <c r="HF26" i="19"/>
  <c r="HG26" i="19"/>
  <c r="HH26" i="19"/>
  <c r="HI26" i="19"/>
  <c r="HJ26" i="19"/>
  <c r="HK26" i="19"/>
  <c r="HL26" i="19"/>
  <c r="HM26" i="19"/>
  <c r="HN26" i="19"/>
  <c r="HO26" i="19"/>
  <c r="HP26" i="19"/>
  <c r="HQ26" i="19"/>
  <c r="HR26" i="19"/>
  <c r="HS26" i="19"/>
  <c r="HT26" i="19"/>
  <c r="HU26" i="19"/>
  <c r="HV26" i="19"/>
  <c r="HW26" i="19"/>
  <c r="HX26" i="19"/>
  <c r="HY26" i="19"/>
  <c r="HZ26" i="19"/>
  <c r="IA26" i="19"/>
  <c r="IB26" i="19"/>
  <c r="IC26" i="19"/>
  <c r="ID26" i="19"/>
  <c r="IE26" i="19"/>
  <c r="IF26" i="19"/>
  <c r="IG26" i="19"/>
  <c r="IH26" i="19"/>
  <c r="II26" i="19"/>
  <c r="IJ26" i="19"/>
  <c r="IK26" i="19"/>
  <c r="IL26" i="19"/>
  <c r="IM26" i="19"/>
  <c r="IN26" i="19"/>
  <c r="IO26" i="19"/>
  <c r="IP26" i="19"/>
  <c r="IQ26" i="19"/>
  <c r="IR26" i="19"/>
  <c r="IS26" i="19"/>
  <c r="IT26" i="19"/>
  <c r="IU26" i="19"/>
  <c r="IV26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D27" i="19"/>
  <c r="AE27" i="19"/>
  <c r="AF27" i="19"/>
  <c r="AG27" i="19"/>
  <c r="AH27" i="19"/>
  <c r="AI27" i="19"/>
  <c r="AJ27" i="19"/>
  <c r="AK27" i="19"/>
  <c r="AL27" i="19"/>
  <c r="AM27" i="19"/>
  <c r="AN27" i="19"/>
  <c r="AO27" i="19"/>
  <c r="AP27" i="19"/>
  <c r="AQ27" i="19"/>
  <c r="AR27" i="19"/>
  <c r="AS27" i="19"/>
  <c r="AT27" i="19"/>
  <c r="AU27" i="19"/>
  <c r="AV27" i="19"/>
  <c r="AW27" i="19"/>
  <c r="AX27" i="19"/>
  <c r="AY27" i="19"/>
  <c r="AZ27" i="19"/>
  <c r="BA27" i="19"/>
  <c r="BB27" i="19"/>
  <c r="BC27" i="19"/>
  <c r="BD27" i="19"/>
  <c r="BE27" i="19"/>
  <c r="BF27" i="19"/>
  <c r="BG27" i="19"/>
  <c r="BH27" i="19"/>
  <c r="BI27" i="19"/>
  <c r="BJ27" i="19"/>
  <c r="BK27" i="19"/>
  <c r="BL27" i="19"/>
  <c r="BM27" i="19"/>
  <c r="BN27" i="19"/>
  <c r="BO27" i="19"/>
  <c r="BP27" i="19"/>
  <c r="BQ27" i="19"/>
  <c r="BR27" i="19"/>
  <c r="BS27" i="19"/>
  <c r="BT27" i="19"/>
  <c r="BU27" i="19"/>
  <c r="BV27" i="19"/>
  <c r="BW27" i="19"/>
  <c r="BX27" i="19"/>
  <c r="BY27" i="19"/>
  <c r="BZ27" i="19"/>
  <c r="CA27" i="19"/>
  <c r="CB27" i="19"/>
  <c r="CC27" i="19"/>
  <c r="CD27" i="19"/>
  <c r="CE27" i="19"/>
  <c r="CF27" i="19"/>
  <c r="CG27" i="19"/>
  <c r="CH27" i="19"/>
  <c r="CI27" i="19"/>
  <c r="CJ27" i="19"/>
  <c r="CK27" i="19"/>
  <c r="CL27" i="19"/>
  <c r="CM27" i="19"/>
  <c r="CN27" i="19"/>
  <c r="CO27" i="19"/>
  <c r="CP27" i="19"/>
  <c r="CQ27" i="19"/>
  <c r="CR27" i="19"/>
  <c r="CS27" i="19"/>
  <c r="CT27" i="19"/>
  <c r="CU27" i="19"/>
  <c r="CV27" i="19"/>
  <c r="CW27" i="19"/>
  <c r="CX27" i="19"/>
  <c r="CY27" i="19"/>
  <c r="CZ27" i="19"/>
  <c r="DA27" i="19"/>
  <c r="DB27" i="19"/>
  <c r="DC27" i="19"/>
  <c r="DD27" i="19"/>
  <c r="DE27" i="19"/>
  <c r="DF27" i="19"/>
  <c r="DG27" i="19"/>
  <c r="DH27" i="19"/>
  <c r="DI27" i="19"/>
  <c r="DJ27" i="19"/>
  <c r="DK27" i="19"/>
  <c r="DL27" i="19"/>
  <c r="DM27" i="19"/>
  <c r="DN27" i="19"/>
  <c r="DO27" i="19"/>
  <c r="DP27" i="19"/>
  <c r="DQ27" i="19"/>
  <c r="DR27" i="19"/>
  <c r="DS27" i="19"/>
  <c r="DT27" i="19"/>
  <c r="DU27" i="19"/>
  <c r="DV27" i="19"/>
  <c r="DW27" i="19"/>
  <c r="DX27" i="19"/>
  <c r="DY27" i="19"/>
  <c r="DZ27" i="19"/>
  <c r="EA27" i="19"/>
  <c r="EB27" i="19"/>
  <c r="EC27" i="19"/>
  <c r="ED27" i="19"/>
  <c r="EE27" i="19"/>
  <c r="EF27" i="19"/>
  <c r="EG27" i="19"/>
  <c r="EH27" i="19"/>
  <c r="EI27" i="19"/>
  <c r="EJ27" i="19"/>
  <c r="EK27" i="19"/>
  <c r="EL27" i="19"/>
  <c r="EM27" i="19"/>
  <c r="EN27" i="19"/>
  <c r="EO27" i="19"/>
  <c r="EP27" i="19"/>
  <c r="EQ27" i="19"/>
  <c r="ER27" i="19"/>
  <c r="ES27" i="19"/>
  <c r="ET27" i="19"/>
  <c r="EU27" i="19"/>
  <c r="EV27" i="19"/>
  <c r="EW27" i="19"/>
  <c r="EX27" i="19"/>
  <c r="EY27" i="19"/>
  <c r="EZ27" i="19"/>
  <c r="FA27" i="19"/>
  <c r="FB27" i="19"/>
  <c r="FC27" i="19"/>
  <c r="FD27" i="19"/>
  <c r="FE27" i="19"/>
  <c r="FF27" i="19"/>
  <c r="FG27" i="19"/>
  <c r="FH27" i="19"/>
  <c r="FI27" i="19"/>
  <c r="FJ27" i="19"/>
  <c r="FK27" i="19"/>
  <c r="FL27" i="19"/>
  <c r="FM27" i="19"/>
  <c r="FN27" i="19"/>
  <c r="FO27" i="19"/>
  <c r="FP27" i="19"/>
  <c r="FQ27" i="19"/>
  <c r="FR27" i="19"/>
  <c r="FS27" i="19"/>
  <c r="FT27" i="19"/>
  <c r="FU27" i="19"/>
  <c r="FV27" i="19"/>
  <c r="FW27" i="19"/>
  <c r="FX27" i="19"/>
  <c r="FY27" i="19"/>
  <c r="FZ27" i="19"/>
  <c r="GA27" i="19"/>
  <c r="GB27" i="19"/>
  <c r="GC27" i="19"/>
  <c r="GD27" i="19"/>
  <c r="GE27" i="19"/>
  <c r="GF27" i="19"/>
  <c r="GG27" i="19"/>
  <c r="GH27" i="19"/>
  <c r="GI27" i="19"/>
  <c r="GJ27" i="19"/>
  <c r="GK27" i="19"/>
  <c r="GL27" i="19"/>
  <c r="GM27" i="19"/>
  <c r="GN27" i="19"/>
  <c r="GO27" i="19"/>
  <c r="GP27" i="19"/>
  <c r="GQ27" i="19"/>
  <c r="GR27" i="19"/>
  <c r="GS27" i="19"/>
  <c r="GT27" i="19"/>
  <c r="GU27" i="19"/>
  <c r="GV27" i="19"/>
  <c r="GW27" i="19"/>
  <c r="GX27" i="19"/>
  <c r="GY27" i="19"/>
  <c r="GZ27" i="19"/>
  <c r="HA27" i="19"/>
  <c r="HB27" i="19"/>
  <c r="HC27" i="19"/>
  <c r="HD27" i="19"/>
  <c r="HE27" i="19"/>
  <c r="HF27" i="19"/>
  <c r="HG27" i="19"/>
  <c r="HH27" i="19"/>
  <c r="HI27" i="19"/>
  <c r="HJ27" i="19"/>
  <c r="HK27" i="19"/>
  <c r="HL27" i="19"/>
  <c r="HM27" i="19"/>
  <c r="HN27" i="19"/>
  <c r="HO27" i="19"/>
  <c r="HP27" i="19"/>
  <c r="HQ27" i="19"/>
  <c r="HR27" i="19"/>
  <c r="HS27" i="19"/>
  <c r="HT27" i="19"/>
  <c r="HU27" i="19"/>
  <c r="HV27" i="19"/>
  <c r="HW27" i="19"/>
  <c r="HX27" i="19"/>
  <c r="HY27" i="19"/>
  <c r="HZ27" i="19"/>
  <c r="IA27" i="19"/>
  <c r="IB27" i="19"/>
  <c r="IC27" i="19"/>
  <c r="ID27" i="19"/>
  <c r="IE27" i="19"/>
  <c r="IF27" i="19"/>
  <c r="IG27" i="19"/>
  <c r="IH27" i="19"/>
  <c r="II27" i="19"/>
  <c r="IJ27" i="19"/>
  <c r="IK27" i="19"/>
  <c r="IL27" i="19"/>
  <c r="IM27" i="19"/>
  <c r="IN27" i="19"/>
  <c r="IO27" i="19"/>
  <c r="IP27" i="19"/>
  <c r="IQ27" i="19"/>
  <c r="IR27" i="19"/>
  <c r="IS27" i="19"/>
  <c r="IT27" i="19"/>
  <c r="IU27" i="19"/>
  <c r="IV27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Q28" i="19"/>
  <c r="AR28" i="19"/>
  <c r="AS28" i="19"/>
  <c r="AT28" i="19"/>
  <c r="AU28" i="19"/>
  <c r="AV28" i="19"/>
  <c r="AW28" i="19"/>
  <c r="AX28" i="19"/>
  <c r="AY28" i="19"/>
  <c r="AZ28" i="19"/>
  <c r="BA28" i="19"/>
  <c r="BB28" i="19"/>
  <c r="BC28" i="19"/>
  <c r="BD28" i="19"/>
  <c r="BE28" i="19"/>
  <c r="BF28" i="19"/>
  <c r="BG28" i="19"/>
  <c r="BH28" i="19"/>
  <c r="BI28" i="19"/>
  <c r="BJ28" i="19"/>
  <c r="BK28" i="19"/>
  <c r="BL28" i="19"/>
  <c r="BM28" i="19"/>
  <c r="BN28" i="19"/>
  <c r="BO28" i="19"/>
  <c r="BP28" i="19"/>
  <c r="BQ28" i="19"/>
  <c r="BR28" i="19"/>
  <c r="BS28" i="19"/>
  <c r="BT28" i="19"/>
  <c r="BU28" i="19"/>
  <c r="BV28" i="19"/>
  <c r="BW28" i="19"/>
  <c r="BX28" i="19"/>
  <c r="BY28" i="19"/>
  <c r="BZ28" i="19"/>
  <c r="CA28" i="19"/>
  <c r="CB28" i="19"/>
  <c r="CC28" i="19"/>
  <c r="CD28" i="19"/>
  <c r="CE28" i="19"/>
  <c r="CF28" i="19"/>
  <c r="CG28" i="19"/>
  <c r="CH28" i="19"/>
  <c r="CI28" i="19"/>
  <c r="CJ28" i="19"/>
  <c r="CK28" i="19"/>
  <c r="CL28" i="19"/>
  <c r="CM28" i="19"/>
  <c r="CN28" i="19"/>
  <c r="CO28" i="19"/>
  <c r="CP28" i="19"/>
  <c r="CQ28" i="19"/>
  <c r="CR28" i="19"/>
  <c r="CS28" i="19"/>
  <c r="CT28" i="19"/>
  <c r="CU28" i="19"/>
  <c r="CV28" i="19"/>
  <c r="CW28" i="19"/>
  <c r="CX28" i="19"/>
  <c r="CY28" i="19"/>
  <c r="CZ28" i="19"/>
  <c r="DA28" i="19"/>
  <c r="DB28" i="19"/>
  <c r="DC28" i="19"/>
  <c r="DD28" i="19"/>
  <c r="DE28" i="19"/>
  <c r="DF28" i="19"/>
  <c r="DG28" i="19"/>
  <c r="DH28" i="19"/>
  <c r="DI28" i="19"/>
  <c r="DJ28" i="19"/>
  <c r="DK28" i="19"/>
  <c r="DL28" i="19"/>
  <c r="DM28" i="19"/>
  <c r="DN28" i="19"/>
  <c r="DO28" i="19"/>
  <c r="DP28" i="19"/>
  <c r="DQ28" i="19"/>
  <c r="DR28" i="19"/>
  <c r="DS28" i="19"/>
  <c r="DT28" i="19"/>
  <c r="DU28" i="19"/>
  <c r="DV28" i="19"/>
  <c r="DW28" i="19"/>
  <c r="DX28" i="19"/>
  <c r="DY28" i="19"/>
  <c r="DZ28" i="19"/>
  <c r="EA28" i="19"/>
  <c r="EB28" i="19"/>
  <c r="EC28" i="19"/>
  <c r="ED28" i="19"/>
  <c r="EE28" i="19"/>
  <c r="EF28" i="19"/>
  <c r="EG28" i="19"/>
  <c r="EH28" i="19"/>
  <c r="EI28" i="19"/>
  <c r="EJ28" i="19"/>
  <c r="EK28" i="19"/>
  <c r="EL28" i="19"/>
  <c r="EM28" i="19"/>
  <c r="EN28" i="19"/>
  <c r="EO28" i="19"/>
  <c r="EP28" i="19"/>
  <c r="EQ28" i="19"/>
  <c r="ER28" i="19"/>
  <c r="ES28" i="19"/>
  <c r="ET28" i="19"/>
  <c r="EU28" i="19"/>
  <c r="EV28" i="19"/>
  <c r="EW28" i="19"/>
  <c r="EX28" i="19"/>
  <c r="EY28" i="19"/>
  <c r="EZ28" i="19"/>
  <c r="FA28" i="19"/>
  <c r="FB28" i="19"/>
  <c r="FC28" i="19"/>
  <c r="FD28" i="19"/>
  <c r="FE28" i="19"/>
  <c r="FF28" i="19"/>
  <c r="FG28" i="19"/>
  <c r="FH28" i="19"/>
  <c r="FI28" i="19"/>
  <c r="FJ28" i="19"/>
  <c r="FK28" i="19"/>
  <c r="FL28" i="19"/>
  <c r="FM28" i="19"/>
  <c r="FN28" i="19"/>
  <c r="FO28" i="19"/>
  <c r="FP28" i="19"/>
  <c r="FQ28" i="19"/>
  <c r="FR28" i="19"/>
  <c r="FS28" i="19"/>
  <c r="FT28" i="19"/>
  <c r="FU28" i="19"/>
  <c r="FV28" i="19"/>
  <c r="FW28" i="19"/>
  <c r="FX28" i="19"/>
  <c r="FY28" i="19"/>
  <c r="FZ28" i="19"/>
  <c r="GA28" i="19"/>
  <c r="GB28" i="19"/>
  <c r="GC28" i="19"/>
  <c r="GD28" i="19"/>
  <c r="GE28" i="19"/>
  <c r="GF28" i="19"/>
  <c r="GG28" i="19"/>
  <c r="GH28" i="19"/>
  <c r="GI28" i="19"/>
  <c r="GJ28" i="19"/>
  <c r="GK28" i="19"/>
  <c r="GL28" i="19"/>
  <c r="GM28" i="19"/>
  <c r="GN28" i="19"/>
  <c r="GO28" i="19"/>
  <c r="GP28" i="19"/>
  <c r="GQ28" i="19"/>
  <c r="GR28" i="19"/>
  <c r="GS28" i="19"/>
  <c r="GT28" i="19"/>
  <c r="GU28" i="19"/>
  <c r="GV28" i="19"/>
  <c r="GW28" i="19"/>
  <c r="GX28" i="19"/>
  <c r="GY28" i="19"/>
  <c r="GZ28" i="19"/>
  <c r="HA28" i="19"/>
  <c r="HB28" i="19"/>
  <c r="HC28" i="19"/>
  <c r="HD28" i="19"/>
  <c r="HE28" i="19"/>
  <c r="HF28" i="19"/>
  <c r="HG28" i="19"/>
  <c r="HH28" i="19"/>
  <c r="HI28" i="19"/>
  <c r="HJ28" i="19"/>
  <c r="HK28" i="19"/>
  <c r="HL28" i="19"/>
  <c r="HM28" i="19"/>
  <c r="HN28" i="19"/>
  <c r="HO28" i="19"/>
  <c r="HP28" i="19"/>
  <c r="HQ28" i="19"/>
  <c r="HR28" i="19"/>
  <c r="HS28" i="19"/>
  <c r="HT28" i="19"/>
  <c r="HU28" i="19"/>
  <c r="HV28" i="19"/>
  <c r="HW28" i="19"/>
  <c r="HX28" i="19"/>
  <c r="HY28" i="19"/>
  <c r="HZ28" i="19"/>
  <c r="IA28" i="19"/>
  <c r="IB28" i="19"/>
  <c r="IC28" i="19"/>
  <c r="ID28" i="19"/>
  <c r="IE28" i="19"/>
  <c r="IF28" i="19"/>
  <c r="IG28" i="19"/>
  <c r="IH28" i="19"/>
  <c r="II28" i="19"/>
  <c r="IJ28" i="19"/>
  <c r="IK28" i="19"/>
  <c r="IL28" i="19"/>
  <c r="IM28" i="19"/>
  <c r="IN28" i="19"/>
  <c r="IO28" i="19"/>
  <c r="IP28" i="19"/>
  <c r="IQ28" i="19"/>
  <c r="IR28" i="19"/>
  <c r="IS28" i="19"/>
  <c r="IT28" i="19"/>
  <c r="IU28" i="19"/>
  <c r="IV28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AP29" i="19"/>
  <c r="AQ29" i="19"/>
  <c r="AR29" i="19"/>
  <c r="AS29" i="19"/>
  <c r="AT29" i="19"/>
  <c r="AU29" i="19"/>
  <c r="AV29" i="19"/>
  <c r="AW29" i="19"/>
  <c r="AX29" i="19"/>
  <c r="AY29" i="19"/>
  <c r="AZ29" i="19"/>
  <c r="BA29" i="19"/>
  <c r="BB29" i="19"/>
  <c r="BC29" i="19"/>
  <c r="BD29" i="19"/>
  <c r="BE29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BR29" i="19"/>
  <c r="BS29" i="19"/>
  <c r="BT29" i="19"/>
  <c r="BU29" i="19"/>
  <c r="BV29" i="19"/>
  <c r="BW29" i="19"/>
  <c r="BX29" i="19"/>
  <c r="BY29" i="19"/>
  <c r="BZ29" i="19"/>
  <c r="CA29" i="19"/>
  <c r="CB29" i="19"/>
  <c r="CC29" i="19"/>
  <c r="CD29" i="19"/>
  <c r="CE29" i="19"/>
  <c r="CF29" i="19"/>
  <c r="CG29" i="19"/>
  <c r="CH29" i="19"/>
  <c r="CI29" i="19"/>
  <c r="CJ29" i="19"/>
  <c r="CK29" i="19"/>
  <c r="CL29" i="19"/>
  <c r="CM29" i="19"/>
  <c r="CN29" i="19"/>
  <c r="CO29" i="19"/>
  <c r="CP29" i="19"/>
  <c r="CQ29" i="19"/>
  <c r="CR29" i="19"/>
  <c r="CS29" i="19"/>
  <c r="CT29" i="19"/>
  <c r="CU29" i="19"/>
  <c r="CV29" i="19"/>
  <c r="CW29" i="19"/>
  <c r="CX29" i="19"/>
  <c r="CY29" i="19"/>
  <c r="CZ29" i="19"/>
  <c r="DA29" i="19"/>
  <c r="DB29" i="19"/>
  <c r="DC29" i="19"/>
  <c r="DD29" i="19"/>
  <c r="DE29" i="19"/>
  <c r="DF29" i="19"/>
  <c r="DG29" i="19"/>
  <c r="DH29" i="19"/>
  <c r="DI29" i="19"/>
  <c r="DJ29" i="19"/>
  <c r="DK29" i="19"/>
  <c r="DL29" i="19"/>
  <c r="DM29" i="19"/>
  <c r="DN29" i="19"/>
  <c r="DO29" i="19"/>
  <c r="DP29" i="19"/>
  <c r="DQ29" i="19"/>
  <c r="DR29" i="19"/>
  <c r="DS29" i="19"/>
  <c r="DT29" i="19"/>
  <c r="DU29" i="19"/>
  <c r="DV29" i="19"/>
  <c r="DW29" i="19"/>
  <c r="DX29" i="19"/>
  <c r="DY29" i="19"/>
  <c r="DZ29" i="19"/>
  <c r="EA29" i="19"/>
  <c r="EB29" i="19"/>
  <c r="EC29" i="19"/>
  <c r="ED29" i="19"/>
  <c r="EE29" i="19"/>
  <c r="EF29" i="19"/>
  <c r="EG29" i="19"/>
  <c r="EH29" i="19"/>
  <c r="EI29" i="19"/>
  <c r="EJ29" i="19"/>
  <c r="EK29" i="19"/>
  <c r="EL29" i="19"/>
  <c r="EM29" i="19"/>
  <c r="EN29" i="19"/>
  <c r="EO29" i="19"/>
  <c r="EP29" i="19"/>
  <c r="EQ29" i="19"/>
  <c r="ER29" i="19"/>
  <c r="ES29" i="19"/>
  <c r="ET29" i="19"/>
  <c r="EU29" i="19"/>
  <c r="EV29" i="19"/>
  <c r="EW29" i="19"/>
  <c r="EX29" i="19"/>
  <c r="EY29" i="19"/>
  <c r="EZ29" i="19"/>
  <c r="FA29" i="19"/>
  <c r="FB29" i="19"/>
  <c r="FC29" i="19"/>
  <c r="FD29" i="19"/>
  <c r="FE29" i="19"/>
  <c r="FF29" i="19"/>
  <c r="FG29" i="19"/>
  <c r="FH29" i="19"/>
  <c r="FI29" i="19"/>
  <c r="FJ29" i="19"/>
  <c r="FK29" i="19"/>
  <c r="FL29" i="19"/>
  <c r="FM29" i="19"/>
  <c r="FN29" i="19"/>
  <c r="FO29" i="19"/>
  <c r="FP29" i="19"/>
  <c r="FQ29" i="19"/>
  <c r="FR29" i="19"/>
  <c r="FS29" i="19"/>
  <c r="FT29" i="19"/>
  <c r="FU29" i="19"/>
  <c r="FV29" i="19"/>
  <c r="FW29" i="19"/>
  <c r="FX29" i="19"/>
  <c r="FY29" i="19"/>
  <c r="FZ29" i="19"/>
  <c r="GA29" i="19"/>
  <c r="GB29" i="19"/>
  <c r="GC29" i="19"/>
  <c r="GD29" i="19"/>
  <c r="GE29" i="19"/>
  <c r="GF29" i="19"/>
  <c r="GG29" i="19"/>
  <c r="GH29" i="19"/>
  <c r="GI29" i="19"/>
  <c r="GJ29" i="19"/>
  <c r="GK29" i="19"/>
  <c r="GL29" i="19"/>
  <c r="GM29" i="19"/>
  <c r="GN29" i="19"/>
  <c r="GO29" i="19"/>
  <c r="GP29" i="19"/>
  <c r="GQ29" i="19"/>
  <c r="GR29" i="19"/>
  <c r="GS29" i="19"/>
  <c r="GT29" i="19"/>
  <c r="GU29" i="19"/>
  <c r="GV29" i="19"/>
  <c r="GW29" i="19"/>
  <c r="GX29" i="19"/>
  <c r="GY29" i="19"/>
  <c r="GZ29" i="19"/>
  <c r="HA29" i="19"/>
  <c r="HB29" i="19"/>
  <c r="HC29" i="19"/>
  <c r="HD29" i="19"/>
  <c r="HE29" i="19"/>
  <c r="HF29" i="19"/>
  <c r="HG29" i="19"/>
  <c r="HH29" i="19"/>
  <c r="HI29" i="19"/>
  <c r="HJ29" i="19"/>
  <c r="HK29" i="19"/>
  <c r="HL29" i="19"/>
  <c r="HM29" i="19"/>
  <c r="HN29" i="19"/>
  <c r="HO29" i="19"/>
  <c r="HP29" i="19"/>
  <c r="HQ29" i="19"/>
  <c r="HR29" i="19"/>
  <c r="HS29" i="19"/>
  <c r="HT29" i="19"/>
  <c r="HU29" i="19"/>
  <c r="HV29" i="19"/>
  <c r="HW29" i="19"/>
  <c r="HX29" i="19"/>
  <c r="HY29" i="19"/>
  <c r="HZ29" i="19"/>
  <c r="IA29" i="19"/>
  <c r="IB29" i="19"/>
  <c r="IC29" i="19"/>
  <c r="ID29" i="19"/>
  <c r="IE29" i="19"/>
  <c r="IF29" i="19"/>
  <c r="IG29" i="19"/>
  <c r="IH29" i="19"/>
  <c r="II29" i="19"/>
  <c r="IJ29" i="19"/>
  <c r="IK29" i="19"/>
  <c r="IL29" i="19"/>
  <c r="IM29" i="19"/>
  <c r="IN29" i="19"/>
  <c r="IO29" i="19"/>
  <c r="IP29" i="19"/>
  <c r="IQ29" i="19"/>
  <c r="IR29" i="19"/>
  <c r="IS29" i="19"/>
  <c r="IT29" i="19"/>
  <c r="IU29" i="19"/>
  <c r="IV29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AP30" i="19"/>
  <c r="AQ30" i="19"/>
  <c r="AR30" i="19"/>
  <c r="AS30" i="19"/>
  <c r="AT30" i="19"/>
  <c r="AU30" i="19"/>
  <c r="AV30" i="19"/>
  <c r="AW30" i="19"/>
  <c r="AX30" i="19"/>
  <c r="AY30" i="19"/>
  <c r="AZ30" i="19"/>
  <c r="BA30" i="19"/>
  <c r="BB30" i="19"/>
  <c r="BC30" i="19"/>
  <c r="BD30" i="19"/>
  <c r="BE30" i="19"/>
  <c r="BF30" i="19"/>
  <c r="BG30" i="19"/>
  <c r="BH30" i="19"/>
  <c r="BI30" i="19"/>
  <c r="BJ30" i="19"/>
  <c r="BK30" i="19"/>
  <c r="BL30" i="19"/>
  <c r="BM30" i="19"/>
  <c r="BN30" i="19"/>
  <c r="BO30" i="19"/>
  <c r="BP30" i="19"/>
  <c r="BQ30" i="19"/>
  <c r="BR30" i="19"/>
  <c r="BS30" i="19"/>
  <c r="BT30" i="19"/>
  <c r="BU30" i="19"/>
  <c r="BV30" i="19"/>
  <c r="BW30" i="19"/>
  <c r="BX30" i="19"/>
  <c r="BY30" i="19"/>
  <c r="BZ30" i="19"/>
  <c r="CA30" i="19"/>
  <c r="CB30" i="19"/>
  <c r="CC30" i="19"/>
  <c r="CD30" i="19"/>
  <c r="CE30" i="19"/>
  <c r="CF30" i="19"/>
  <c r="CG30" i="19"/>
  <c r="CH30" i="19"/>
  <c r="CI30" i="19"/>
  <c r="CJ30" i="19"/>
  <c r="CK30" i="19"/>
  <c r="CL30" i="19"/>
  <c r="CM30" i="19"/>
  <c r="CN30" i="19"/>
  <c r="CO30" i="19"/>
  <c r="CP30" i="19"/>
  <c r="CQ30" i="19"/>
  <c r="CR30" i="19"/>
  <c r="CS30" i="19"/>
  <c r="CT30" i="19"/>
  <c r="CU30" i="19"/>
  <c r="CV30" i="19"/>
  <c r="CW30" i="19"/>
  <c r="CX30" i="19"/>
  <c r="CY30" i="19"/>
  <c r="CZ30" i="19"/>
  <c r="DA30" i="19"/>
  <c r="DB30" i="19"/>
  <c r="DC30" i="19"/>
  <c r="DD30" i="19"/>
  <c r="DE30" i="19"/>
  <c r="DF30" i="19"/>
  <c r="DG30" i="19"/>
  <c r="DH30" i="19"/>
  <c r="DI30" i="19"/>
  <c r="DJ30" i="19"/>
  <c r="DK30" i="19"/>
  <c r="DL30" i="19"/>
  <c r="DM30" i="19"/>
  <c r="DN30" i="19"/>
  <c r="DO30" i="19"/>
  <c r="DP30" i="19"/>
  <c r="DQ30" i="19"/>
  <c r="DR30" i="19"/>
  <c r="DS30" i="19"/>
  <c r="DT30" i="19"/>
  <c r="DU30" i="19"/>
  <c r="DV30" i="19"/>
  <c r="DW30" i="19"/>
  <c r="DX30" i="19"/>
  <c r="DY30" i="19"/>
  <c r="DZ30" i="19"/>
  <c r="EA30" i="19"/>
  <c r="EB30" i="19"/>
  <c r="EC30" i="19"/>
  <c r="ED30" i="19"/>
  <c r="EE30" i="19"/>
  <c r="EF30" i="19"/>
  <c r="EG30" i="19"/>
  <c r="EH30" i="19"/>
  <c r="EI30" i="19"/>
  <c r="EJ30" i="19"/>
  <c r="EK30" i="19"/>
  <c r="EL30" i="19"/>
  <c r="EM30" i="19"/>
  <c r="EN30" i="19"/>
  <c r="EO30" i="19"/>
  <c r="EP30" i="19"/>
  <c r="EQ30" i="19"/>
  <c r="ER30" i="19"/>
  <c r="ES30" i="19"/>
  <c r="ET30" i="19"/>
  <c r="EU30" i="19"/>
  <c r="EV30" i="19"/>
  <c r="EW30" i="19"/>
  <c r="EX30" i="19"/>
  <c r="EY30" i="19"/>
  <c r="EZ30" i="19"/>
  <c r="FA30" i="19"/>
  <c r="FB30" i="19"/>
  <c r="FC30" i="19"/>
  <c r="FD30" i="19"/>
  <c r="FE30" i="19"/>
  <c r="FF30" i="19"/>
  <c r="FG30" i="19"/>
  <c r="FH30" i="19"/>
  <c r="FI30" i="19"/>
  <c r="FJ30" i="19"/>
  <c r="FK30" i="19"/>
  <c r="FL30" i="19"/>
  <c r="FM30" i="19"/>
  <c r="FN30" i="19"/>
  <c r="FO30" i="19"/>
  <c r="FP30" i="19"/>
  <c r="FQ30" i="19"/>
  <c r="FR30" i="19"/>
  <c r="FS30" i="19"/>
  <c r="FT30" i="19"/>
  <c r="FU30" i="19"/>
  <c r="FV30" i="19"/>
  <c r="FW30" i="19"/>
  <c r="FX30" i="19"/>
  <c r="FY30" i="19"/>
  <c r="FZ30" i="19"/>
  <c r="GA30" i="19"/>
  <c r="GB30" i="19"/>
  <c r="GC30" i="19"/>
  <c r="GD30" i="19"/>
  <c r="GE30" i="19"/>
  <c r="GF30" i="19"/>
  <c r="GG30" i="19"/>
  <c r="GH30" i="19"/>
  <c r="GI30" i="19"/>
  <c r="GJ30" i="19"/>
  <c r="GK30" i="19"/>
  <c r="GL30" i="19"/>
  <c r="GM30" i="19"/>
  <c r="GN30" i="19"/>
  <c r="GO30" i="19"/>
  <c r="GP30" i="19"/>
  <c r="GQ30" i="19"/>
  <c r="GR30" i="19"/>
  <c r="GS30" i="19"/>
  <c r="GT30" i="19"/>
  <c r="GU30" i="19"/>
  <c r="GV30" i="19"/>
  <c r="GW30" i="19"/>
  <c r="GX30" i="19"/>
  <c r="GY30" i="19"/>
  <c r="GZ30" i="19"/>
  <c r="HA30" i="19"/>
  <c r="HB30" i="19"/>
  <c r="HC30" i="19"/>
  <c r="HD30" i="19"/>
  <c r="HE30" i="19"/>
  <c r="HF30" i="19"/>
  <c r="HG30" i="19"/>
  <c r="HH30" i="19"/>
  <c r="HI30" i="19"/>
  <c r="HJ30" i="19"/>
  <c r="HK30" i="19"/>
  <c r="HL30" i="19"/>
  <c r="HM30" i="19"/>
  <c r="HN30" i="19"/>
  <c r="HO30" i="19"/>
  <c r="HP30" i="19"/>
  <c r="HQ30" i="19"/>
  <c r="HR30" i="19"/>
  <c r="HS30" i="19"/>
  <c r="HT30" i="19"/>
  <c r="HU30" i="19"/>
  <c r="HV30" i="19"/>
  <c r="HW30" i="19"/>
  <c r="HX30" i="19"/>
  <c r="HY30" i="19"/>
  <c r="HZ30" i="19"/>
  <c r="IA30" i="19"/>
  <c r="IB30" i="19"/>
  <c r="IC30" i="19"/>
  <c r="ID30" i="19"/>
  <c r="IE30" i="19"/>
  <c r="IF30" i="19"/>
  <c r="IG30" i="19"/>
  <c r="IH30" i="19"/>
  <c r="II30" i="19"/>
  <c r="IJ30" i="19"/>
  <c r="IK30" i="19"/>
  <c r="IL30" i="19"/>
  <c r="IM30" i="19"/>
  <c r="IN30" i="19"/>
  <c r="IO30" i="19"/>
  <c r="IP30" i="19"/>
  <c r="IQ30" i="19"/>
  <c r="IR30" i="19"/>
  <c r="IS30" i="19"/>
  <c r="IT30" i="19"/>
  <c r="IU30" i="19"/>
  <c r="IV30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AP31" i="19"/>
  <c r="AQ31" i="19"/>
  <c r="AR31" i="19"/>
  <c r="AS31" i="19"/>
  <c r="AT31" i="19"/>
  <c r="AU31" i="19"/>
  <c r="AV31" i="19"/>
  <c r="AW31" i="19"/>
  <c r="AX31" i="19"/>
  <c r="AY31" i="19"/>
  <c r="AZ31" i="19"/>
  <c r="BA31" i="19"/>
  <c r="BB31" i="19"/>
  <c r="BC31" i="19"/>
  <c r="BD31" i="19"/>
  <c r="BE31" i="19"/>
  <c r="BF31" i="19"/>
  <c r="BG31" i="19"/>
  <c r="BH31" i="19"/>
  <c r="BI31" i="19"/>
  <c r="BJ31" i="19"/>
  <c r="BK31" i="19"/>
  <c r="BL31" i="19"/>
  <c r="BM31" i="19"/>
  <c r="BN31" i="19"/>
  <c r="BO31" i="19"/>
  <c r="BP31" i="19"/>
  <c r="BQ31" i="19"/>
  <c r="BR31" i="19"/>
  <c r="BS31" i="19"/>
  <c r="BT31" i="19"/>
  <c r="BU31" i="19"/>
  <c r="BV31" i="19"/>
  <c r="BW31" i="19"/>
  <c r="BX31" i="19"/>
  <c r="BY31" i="19"/>
  <c r="BZ31" i="19"/>
  <c r="CA31" i="19"/>
  <c r="CB31" i="19"/>
  <c r="CC31" i="19"/>
  <c r="CD31" i="19"/>
  <c r="CE31" i="19"/>
  <c r="CF31" i="19"/>
  <c r="CG31" i="19"/>
  <c r="CH31" i="19"/>
  <c r="CI31" i="19"/>
  <c r="CJ31" i="19"/>
  <c r="CK31" i="19"/>
  <c r="CL31" i="19"/>
  <c r="CM31" i="19"/>
  <c r="CN31" i="19"/>
  <c r="CO31" i="19"/>
  <c r="CP31" i="19"/>
  <c r="CQ31" i="19"/>
  <c r="CR31" i="19"/>
  <c r="CS31" i="19"/>
  <c r="CT31" i="19"/>
  <c r="CU31" i="19"/>
  <c r="CV31" i="19"/>
  <c r="CW31" i="19"/>
  <c r="CX31" i="19"/>
  <c r="CY31" i="19"/>
  <c r="CZ31" i="19"/>
  <c r="DA31" i="19"/>
  <c r="DB31" i="19"/>
  <c r="DC31" i="19"/>
  <c r="DD31" i="19"/>
  <c r="DE31" i="19"/>
  <c r="DF31" i="19"/>
  <c r="DG31" i="19"/>
  <c r="DH31" i="19"/>
  <c r="DI31" i="19"/>
  <c r="DJ31" i="19"/>
  <c r="DK31" i="19"/>
  <c r="DL31" i="19"/>
  <c r="DM31" i="19"/>
  <c r="DN31" i="19"/>
  <c r="DO31" i="19"/>
  <c r="DP31" i="19"/>
  <c r="DQ31" i="19"/>
  <c r="DR31" i="19"/>
  <c r="DS31" i="19"/>
  <c r="DT31" i="19"/>
  <c r="DU31" i="19"/>
  <c r="DV31" i="19"/>
  <c r="DW31" i="19"/>
  <c r="DX31" i="19"/>
  <c r="DY31" i="19"/>
  <c r="DZ31" i="19"/>
  <c r="EA31" i="19"/>
  <c r="EB31" i="19"/>
  <c r="EC31" i="19"/>
  <c r="ED31" i="19"/>
  <c r="EE31" i="19"/>
  <c r="EF31" i="19"/>
  <c r="EG31" i="19"/>
  <c r="EH31" i="19"/>
  <c r="EI31" i="19"/>
  <c r="EJ31" i="19"/>
  <c r="EK31" i="19"/>
  <c r="EL31" i="19"/>
  <c r="EM31" i="19"/>
  <c r="EN31" i="19"/>
  <c r="EO31" i="19"/>
  <c r="EP31" i="19"/>
  <c r="EQ31" i="19"/>
  <c r="ER31" i="19"/>
  <c r="ES31" i="19"/>
  <c r="ET31" i="19"/>
  <c r="EU31" i="19"/>
  <c r="EV31" i="19"/>
  <c r="EW31" i="19"/>
  <c r="EX31" i="19"/>
  <c r="EY31" i="19"/>
  <c r="EZ31" i="19"/>
  <c r="FA31" i="19"/>
  <c r="FB31" i="19"/>
  <c r="FC31" i="19"/>
  <c r="FD31" i="19"/>
  <c r="FE31" i="19"/>
  <c r="FF31" i="19"/>
  <c r="FG31" i="19"/>
  <c r="FH31" i="19"/>
  <c r="FI31" i="19"/>
  <c r="FJ31" i="19"/>
  <c r="FK31" i="19"/>
  <c r="FL31" i="19"/>
  <c r="FM31" i="19"/>
  <c r="FN31" i="19"/>
  <c r="FO31" i="19"/>
  <c r="FP31" i="19"/>
  <c r="FQ31" i="19"/>
  <c r="FR31" i="19"/>
  <c r="FS31" i="19"/>
  <c r="FT31" i="19"/>
  <c r="FU31" i="19"/>
  <c r="FV31" i="19"/>
  <c r="FW31" i="19"/>
  <c r="FX31" i="19"/>
  <c r="FY31" i="19"/>
  <c r="FZ31" i="19"/>
  <c r="GA31" i="19"/>
  <c r="GB31" i="19"/>
  <c r="GC31" i="19"/>
  <c r="GD31" i="19"/>
  <c r="GE31" i="19"/>
  <c r="GF31" i="19"/>
  <c r="GG31" i="19"/>
  <c r="GH31" i="19"/>
  <c r="GI31" i="19"/>
  <c r="GJ31" i="19"/>
  <c r="GK31" i="19"/>
  <c r="GL31" i="19"/>
  <c r="GM31" i="19"/>
  <c r="GN31" i="19"/>
  <c r="GO31" i="19"/>
  <c r="GP31" i="19"/>
  <c r="GQ31" i="19"/>
  <c r="GR31" i="19"/>
  <c r="GS31" i="19"/>
  <c r="GT31" i="19"/>
  <c r="GU31" i="19"/>
  <c r="GV31" i="19"/>
  <c r="GW31" i="19"/>
  <c r="GX31" i="19"/>
  <c r="GY31" i="19"/>
  <c r="GZ31" i="19"/>
  <c r="HA31" i="19"/>
  <c r="HB31" i="19"/>
  <c r="HC31" i="19"/>
  <c r="HD31" i="19"/>
  <c r="HE31" i="19"/>
  <c r="HF31" i="19"/>
  <c r="HG31" i="19"/>
  <c r="HH31" i="19"/>
  <c r="HI31" i="19"/>
  <c r="HJ31" i="19"/>
  <c r="HK31" i="19"/>
  <c r="HL31" i="19"/>
  <c r="HM31" i="19"/>
  <c r="HN31" i="19"/>
  <c r="HO31" i="19"/>
  <c r="HP31" i="19"/>
  <c r="HQ31" i="19"/>
  <c r="HR31" i="19"/>
  <c r="HS31" i="19"/>
  <c r="HT31" i="19"/>
  <c r="HU31" i="19"/>
  <c r="HV31" i="19"/>
  <c r="HW31" i="19"/>
  <c r="HX31" i="19"/>
  <c r="HY31" i="19"/>
  <c r="HZ31" i="19"/>
  <c r="IA31" i="19"/>
  <c r="IB31" i="19"/>
  <c r="IC31" i="19"/>
  <c r="ID31" i="19"/>
  <c r="IE31" i="19"/>
  <c r="IF31" i="19"/>
  <c r="IG31" i="19"/>
  <c r="IH31" i="19"/>
  <c r="II31" i="19"/>
  <c r="IJ31" i="19"/>
  <c r="IK31" i="19"/>
  <c r="IL31" i="19"/>
  <c r="IM31" i="19"/>
  <c r="IN31" i="19"/>
  <c r="IO31" i="19"/>
  <c r="IP31" i="19"/>
  <c r="IQ31" i="19"/>
  <c r="IR31" i="19"/>
  <c r="IS31" i="19"/>
  <c r="IT31" i="19"/>
  <c r="IU31" i="19"/>
  <c r="IV31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AP32" i="19"/>
  <c r="AQ32" i="19"/>
  <c r="AR32" i="19"/>
  <c r="AS32" i="19"/>
  <c r="AT32" i="19"/>
  <c r="AU32" i="19"/>
  <c r="AV32" i="19"/>
  <c r="AW32" i="19"/>
  <c r="AX32" i="19"/>
  <c r="AY32" i="19"/>
  <c r="AZ32" i="19"/>
  <c r="BA32" i="19"/>
  <c r="BB32" i="19"/>
  <c r="BC32" i="19"/>
  <c r="BD32" i="19"/>
  <c r="BE32" i="19"/>
  <c r="BF32" i="19"/>
  <c r="BG32" i="19"/>
  <c r="BH32" i="19"/>
  <c r="BI32" i="19"/>
  <c r="BJ32" i="19"/>
  <c r="BK32" i="19"/>
  <c r="BL32" i="19"/>
  <c r="BM32" i="19"/>
  <c r="BN32" i="19"/>
  <c r="BO32" i="19"/>
  <c r="BP32" i="19"/>
  <c r="BQ32" i="19"/>
  <c r="BR32" i="19"/>
  <c r="BS32" i="19"/>
  <c r="BT32" i="19"/>
  <c r="BU32" i="19"/>
  <c r="BV32" i="19"/>
  <c r="BW32" i="19"/>
  <c r="BX32" i="19"/>
  <c r="BY32" i="19"/>
  <c r="BZ32" i="19"/>
  <c r="CA32" i="19"/>
  <c r="CB32" i="19"/>
  <c r="CC32" i="19"/>
  <c r="CD32" i="19"/>
  <c r="CE32" i="19"/>
  <c r="CF32" i="19"/>
  <c r="CG32" i="19"/>
  <c r="CH32" i="19"/>
  <c r="CI32" i="19"/>
  <c r="CJ32" i="19"/>
  <c r="CK32" i="19"/>
  <c r="CL32" i="19"/>
  <c r="CM32" i="19"/>
  <c r="CN32" i="19"/>
  <c r="CO32" i="19"/>
  <c r="CP32" i="19"/>
  <c r="CQ32" i="19"/>
  <c r="CR32" i="19"/>
  <c r="CS32" i="19"/>
  <c r="CT32" i="19"/>
  <c r="CU32" i="19"/>
  <c r="CV32" i="19"/>
  <c r="CW32" i="19"/>
  <c r="CX32" i="19"/>
  <c r="CY32" i="19"/>
  <c r="CZ32" i="19"/>
  <c r="DA32" i="19"/>
  <c r="DB32" i="19"/>
  <c r="DC32" i="19"/>
  <c r="DD32" i="19"/>
  <c r="DE32" i="19"/>
  <c r="DF32" i="19"/>
  <c r="DG32" i="19"/>
  <c r="DH32" i="19"/>
  <c r="DI32" i="19"/>
  <c r="DJ32" i="19"/>
  <c r="DK32" i="19"/>
  <c r="DL32" i="19"/>
  <c r="DM32" i="19"/>
  <c r="DN32" i="19"/>
  <c r="DO32" i="19"/>
  <c r="DP32" i="19"/>
  <c r="DQ32" i="19"/>
  <c r="DR32" i="19"/>
  <c r="DS32" i="19"/>
  <c r="DT32" i="19"/>
  <c r="DU32" i="19"/>
  <c r="DV32" i="19"/>
  <c r="DW32" i="19"/>
  <c r="DX32" i="19"/>
  <c r="DY32" i="19"/>
  <c r="DZ32" i="19"/>
  <c r="EA32" i="19"/>
  <c r="EB32" i="19"/>
  <c r="EC32" i="19"/>
  <c r="ED32" i="19"/>
  <c r="EE32" i="19"/>
  <c r="EF32" i="19"/>
  <c r="EG32" i="19"/>
  <c r="EH32" i="19"/>
  <c r="EI32" i="19"/>
  <c r="EJ32" i="19"/>
  <c r="EK32" i="19"/>
  <c r="EL32" i="19"/>
  <c r="EM32" i="19"/>
  <c r="EN32" i="19"/>
  <c r="EO32" i="19"/>
  <c r="EP32" i="19"/>
  <c r="EQ32" i="19"/>
  <c r="ER32" i="19"/>
  <c r="ES32" i="19"/>
  <c r="ET32" i="19"/>
  <c r="EU32" i="19"/>
  <c r="EV32" i="19"/>
  <c r="EW32" i="19"/>
  <c r="EX32" i="19"/>
  <c r="EY32" i="19"/>
  <c r="EZ32" i="19"/>
  <c r="FA32" i="19"/>
  <c r="FB32" i="19"/>
  <c r="FC32" i="19"/>
  <c r="FD32" i="19"/>
  <c r="FE32" i="19"/>
  <c r="FF32" i="19"/>
  <c r="FG32" i="19"/>
  <c r="FH32" i="19"/>
  <c r="FI32" i="19"/>
  <c r="FJ32" i="19"/>
  <c r="FK32" i="19"/>
  <c r="FL32" i="19"/>
  <c r="FM32" i="19"/>
  <c r="FN32" i="19"/>
  <c r="FO32" i="19"/>
  <c r="FP32" i="19"/>
  <c r="FQ32" i="19"/>
  <c r="FR32" i="19"/>
  <c r="FS32" i="19"/>
  <c r="FT32" i="19"/>
  <c r="FU32" i="19"/>
  <c r="FV32" i="19"/>
  <c r="FW32" i="19"/>
  <c r="FX32" i="19"/>
  <c r="FY32" i="19"/>
  <c r="FZ32" i="19"/>
  <c r="GA32" i="19"/>
  <c r="GB32" i="19"/>
  <c r="GC32" i="19"/>
  <c r="GD32" i="19"/>
  <c r="GE32" i="19"/>
  <c r="GF32" i="19"/>
  <c r="GG32" i="19"/>
  <c r="GH32" i="19"/>
  <c r="GI32" i="19"/>
  <c r="GJ32" i="19"/>
  <c r="GK32" i="19"/>
  <c r="GL32" i="19"/>
  <c r="GM32" i="19"/>
  <c r="GN32" i="19"/>
  <c r="GO32" i="19"/>
  <c r="GP32" i="19"/>
  <c r="GQ32" i="19"/>
  <c r="GR32" i="19"/>
  <c r="GS32" i="19"/>
  <c r="GT32" i="19"/>
  <c r="GU32" i="19"/>
  <c r="GV32" i="19"/>
  <c r="GW32" i="19"/>
  <c r="GX32" i="19"/>
  <c r="GY32" i="19"/>
  <c r="GZ32" i="19"/>
  <c r="HA32" i="19"/>
  <c r="HB32" i="19"/>
  <c r="HC32" i="19"/>
  <c r="HD32" i="19"/>
  <c r="HE32" i="19"/>
  <c r="HF32" i="19"/>
  <c r="HG32" i="19"/>
  <c r="HH32" i="19"/>
  <c r="HI32" i="19"/>
  <c r="HJ32" i="19"/>
  <c r="HK32" i="19"/>
  <c r="HL32" i="19"/>
  <c r="HM32" i="19"/>
  <c r="HN32" i="19"/>
  <c r="HO32" i="19"/>
  <c r="HP32" i="19"/>
  <c r="HQ32" i="19"/>
  <c r="HR32" i="19"/>
  <c r="HS32" i="19"/>
  <c r="HT32" i="19"/>
  <c r="HU32" i="19"/>
  <c r="HV32" i="19"/>
  <c r="HW32" i="19"/>
  <c r="HX32" i="19"/>
  <c r="HY32" i="19"/>
  <c r="HZ32" i="19"/>
  <c r="IA32" i="19"/>
  <c r="IB32" i="19"/>
  <c r="IC32" i="19"/>
  <c r="ID32" i="19"/>
  <c r="IE32" i="19"/>
  <c r="IF32" i="19"/>
  <c r="IG32" i="19"/>
  <c r="IH32" i="19"/>
  <c r="II32" i="19"/>
  <c r="IJ32" i="19"/>
  <c r="IK32" i="19"/>
  <c r="IL32" i="19"/>
  <c r="IM32" i="19"/>
  <c r="IN32" i="19"/>
  <c r="IO32" i="19"/>
  <c r="IP32" i="19"/>
  <c r="IQ32" i="19"/>
  <c r="IR32" i="19"/>
  <c r="IS32" i="19"/>
  <c r="IT32" i="19"/>
  <c r="IU32" i="19"/>
  <c r="IV32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AP33" i="19"/>
  <c r="AQ33" i="19"/>
  <c r="AR33" i="19"/>
  <c r="AS33" i="19"/>
  <c r="AT33" i="19"/>
  <c r="AU33" i="19"/>
  <c r="AV33" i="19"/>
  <c r="AW33" i="19"/>
  <c r="AX33" i="19"/>
  <c r="AY33" i="19"/>
  <c r="AZ33" i="19"/>
  <c r="BA33" i="19"/>
  <c r="BB33" i="19"/>
  <c r="BC33" i="19"/>
  <c r="BD33" i="19"/>
  <c r="BE33" i="19"/>
  <c r="BF33" i="19"/>
  <c r="BG33" i="19"/>
  <c r="BH33" i="19"/>
  <c r="BI33" i="19"/>
  <c r="BJ33" i="19"/>
  <c r="BK33" i="19"/>
  <c r="BL33" i="19"/>
  <c r="BM33" i="19"/>
  <c r="BN33" i="19"/>
  <c r="BO33" i="19"/>
  <c r="BP33" i="19"/>
  <c r="BQ33" i="19"/>
  <c r="BR33" i="19"/>
  <c r="BS33" i="19"/>
  <c r="BT33" i="19"/>
  <c r="BU33" i="19"/>
  <c r="BV33" i="19"/>
  <c r="BW33" i="19"/>
  <c r="BX33" i="19"/>
  <c r="BY33" i="19"/>
  <c r="BZ33" i="19"/>
  <c r="CA33" i="19"/>
  <c r="CB33" i="19"/>
  <c r="CC33" i="19"/>
  <c r="CD33" i="19"/>
  <c r="CE33" i="19"/>
  <c r="CF33" i="19"/>
  <c r="CG33" i="19"/>
  <c r="CH33" i="19"/>
  <c r="CI33" i="19"/>
  <c r="CJ33" i="19"/>
  <c r="CK33" i="19"/>
  <c r="CL33" i="19"/>
  <c r="CM33" i="19"/>
  <c r="CN33" i="19"/>
  <c r="CO33" i="19"/>
  <c r="CP33" i="19"/>
  <c r="CQ33" i="19"/>
  <c r="CR33" i="19"/>
  <c r="CS33" i="19"/>
  <c r="CT33" i="19"/>
  <c r="CU33" i="19"/>
  <c r="CV33" i="19"/>
  <c r="CW33" i="19"/>
  <c r="CX33" i="19"/>
  <c r="CY33" i="19"/>
  <c r="CZ33" i="19"/>
  <c r="DA33" i="19"/>
  <c r="DB33" i="19"/>
  <c r="DC33" i="19"/>
  <c r="DD33" i="19"/>
  <c r="DE33" i="19"/>
  <c r="DF33" i="19"/>
  <c r="DG33" i="19"/>
  <c r="DH33" i="19"/>
  <c r="DI33" i="19"/>
  <c r="DJ33" i="19"/>
  <c r="DK33" i="19"/>
  <c r="DL33" i="19"/>
  <c r="DM33" i="19"/>
  <c r="DN33" i="19"/>
  <c r="DO33" i="19"/>
  <c r="DP33" i="19"/>
  <c r="DQ33" i="19"/>
  <c r="DR33" i="19"/>
  <c r="DS33" i="19"/>
  <c r="DT33" i="19"/>
  <c r="DU33" i="19"/>
  <c r="DV33" i="19"/>
  <c r="DW33" i="19"/>
  <c r="DX33" i="19"/>
  <c r="DY33" i="19"/>
  <c r="DZ33" i="19"/>
  <c r="EA33" i="19"/>
  <c r="EB33" i="19"/>
  <c r="EC33" i="19"/>
  <c r="ED33" i="19"/>
  <c r="EE33" i="19"/>
  <c r="EF33" i="19"/>
  <c r="EG33" i="19"/>
  <c r="EH33" i="19"/>
  <c r="EI33" i="19"/>
  <c r="EJ33" i="19"/>
  <c r="EK33" i="19"/>
  <c r="EL33" i="19"/>
  <c r="EM33" i="19"/>
  <c r="EN33" i="19"/>
  <c r="EO33" i="19"/>
  <c r="EP33" i="19"/>
  <c r="EQ33" i="19"/>
  <c r="ER33" i="19"/>
  <c r="ES33" i="19"/>
  <c r="ET33" i="19"/>
  <c r="EU33" i="19"/>
  <c r="EV33" i="19"/>
  <c r="EW33" i="19"/>
  <c r="EX33" i="19"/>
  <c r="EY33" i="19"/>
  <c r="EZ33" i="19"/>
  <c r="FA33" i="19"/>
  <c r="FB33" i="19"/>
  <c r="FC33" i="19"/>
  <c r="FD33" i="19"/>
  <c r="FE33" i="19"/>
  <c r="FF33" i="19"/>
  <c r="FG33" i="19"/>
  <c r="FH33" i="19"/>
  <c r="FI33" i="19"/>
  <c r="FJ33" i="19"/>
  <c r="FK33" i="19"/>
  <c r="FL33" i="19"/>
  <c r="FM33" i="19"/>
  <c r="FN33" i="19"/>
  <c r="FO33" i="19"/>
  <c r="FP33" i="19"/>
  <c r="FQ33" i="19"/>
  <c r="FR33" i="19"/>
  <c r="FS33" i="19"/>
  <c r="FT33" i="19"/>
  <c r="FU33" i="19"/>
  <c r="FV33" i="19"/>
  <c r="FW33" i="19"/>
  <c r="FX33" i="19"/>
  <c r="FY33" i="19"/>
  <c r="FZ33" i="19"/>
  <c r="GA33" i="19"/>
  <c r="GB33" i="19"/>
  <c r="GC33" i="19"/>
  <c r="GD33" i="19"/>
  <c r="GE33" i="19"/>
  <c r="GF33" i="19"/>
  <c r="GG33" i="19"/>
  <c r="GH33" i="19"/>
  <c r="GI33" i="19"/>
  <c r="GJ33" i="19"/>
  <c r="GK33" i="19"/>
  <c r="GL33" i="19"/>
  <c r="GM33" i="19"/>
  <c r="GN33" i="19"/>
  <c r="GO33" i="19"/>
  <c r="GP33" i="19"/>
  <c r="GQ33" i="19"/>
  <c r="GR33" i="19"/>
  <c r="GS33" i="19"/>
  <c r="GT33" i="19"/>
  <c r="GU33" i="19"/>
  <c r="GV33" i="19"/>
  <c r="GW33" i="19"/>
  <c r="GX33" i="19"/>
  <c r="GY33" i="19"/>
  <c r="GZ33" i="19"/>
  <c r="HA33" i="19"/>
  <c r="HB33" i="19"/>
  <c r="HC33" i="19"/>
  <c r="HD33" i="19"/>
  <c r="HE33" i="19"/>
  <c r="HF33" i="19"/>
  <c r="HG33" i="19"/>
  <c r="HH33" i="19"/>
  <c r="HI33" i="19"/>
  <c r="HJ33" i="19"/>
  <c r="HK33" i="19"/>
  <c r="HL33" i="19"/>
  <c r="HM33" i="19"/>
  <c r="HN33" i="19"/>
  <c r="HO33" i="19"/>
  <c r="HP33" i="19"/>
  <c r="HQ33" i="19"/>
  <c r="HR33" i="19"/>
  <c r="HS33" i="19"/>
  <c r="HT33" i="19"/>
  <c r="HU33" i="19"/>
  <c r="HV33" i="19"/>
  <c r="HW33" i="19"/>
  <c r="HX33" i="19"/>
  <c r="HY33" i="19"/>
  <c r="HZ33" i="19"/>
  <c r="IA33" i="19"/>
  <c r="IB33" i="19"/>
  <c r="IC33" i="19"/>
  <c r="ID33" i="19"/>
  <c r="IE33" i="19"/>
  <c r="IF33" i="19"/>
  <c r="IG33" i="19"/>
  <c r="IH33" i="19"/>
  <c r="II33" i="19"/>
  <c r="IJ33" i="19"/>
  <c r="IK33" i="19"/>
  <c r="IL33" i="19"/>
  <c r="IM33" i="19"/>
  <c r="IN33" i="19"/>
  <c r="IO33" i="19"/>
  <c r="IP33" i="19"/>
  <c r="IQ33" i="19"/>
  <c r="IR33" i="19"/>
  <c r="IS33" i="19"/>
  <c r="IT33" i="19"/>
  <c r="IU33" i="19"/>
  <c r="IV33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AP34" i="19"/>
  <c r="AQ34" i="19"/>
  <c r="AR34" i="19"/>
  <c r="AS34" i="19"/>
  <c r="AT34" i="19"/>
  <c r="AU34" i="19"/>
  <c r="AV34" i="19"/>
  <c r="AW34" i="19"/>
  <c r="AX34" i="19"/>
  <c r="AY34" i="19"/>
  <c r="AZ34" i="19"/>
  <c r="BA34" i="19"/>
  <c r="BB34" i="19"/>
  <c r="BC34" i="19"/>
  <c r="BD34" i="19"/>
  <c r="BE34" i="19"/>
  <c r="BF34" i="19"/>
  <c r="BG34" i="19"/>
  <c r="BH34" i="19"/>
  <c r="BI34" i="19"/>
  <c r="BJ34" i="19"/>
  <c r="BK34" i="19"/>
  <c r="BL34" i="19"/>
  <c r="BM34" i="19"/>
  <c r="BN34" i="19"/>
  <c r="BO34" i="19"/>
  <c r="BP34" i="19"/>
  <c r="BQ34" i="19"/>
  <c r="BR34" i="19"/>
  <c r="BS34" i="19"/>
  <c r="BT34" i="19"/>
  <c r="BU34" i="19"/>
  <c r="BV34" i="19"/>
  <c r="BW34" i="19"/>
  <c r="BX34" i="19"/>
  <c r="BY34" i="19"/>
  <c r="BZ34" i="19"/>
  <c r="CA34" i="19"/>
  <c r="CB34" i="19"/>
  <c r="CC34" i="19"/>
  <c r="CD34" i="19"/>
  <c r="CE34" i="19"/>
  <c r="CF34" i="19"/>
  <c r="CG34" i="19"/>
  <c r="CH34" i="19"/>
  <c r="CI34" i="19"/>
  <c r="CJ34" i="19"/>
  <c r="CK34" i="19"/>
  <c r="CL34" i="19"/>
  <c r="CM34" i="19"/>
  <c r="CN34" i="19"/>
  <c r="CO34" i="19"/>
  <c r="CP34" i="19"/>
  <c r="CQ34" i="19"/>
  <c r="CR34" i="19"/>
  <c r="CS34" i="19"/>
  <c r="CT34" i="19"/>
  <c r="CU34" i="19"/>
  <c r="CV34" i="19"/>
  <c r="CW34" i="19"/>
  <c r="CX34" i="19"/>
  <c r="CY34" i="19"/>
  <c r="CZ34" i="19"/>
  <c r="DA34" i="19"/>
  <c r="DB34" i="19"/>
  <c r="DC34" i="19"/>
  <c r="DD34" i="19"/>
  <c r="DE34" i="19"/>
  <c r="DF34" i="19"/>
  <c r="DG34" i="19"/>
  <c r="DH34" i="19"/>
  <c r="DI34" i="19"/>
  <c r="DJ34" i="19"/>
  <c r="DK34" i="19"/>
  <c r="DL34" i="19"/>
  <c r="DM34" i="19"/>
  <c r="DN34" i="19"/>
  <c r="DO34" i="19"/>
  <c r="DP34" i="19"/>
  <c r="DQ34" i="19"/>
  <c r="DR34" i="19"/>
  <c r="DS34" i="19"/>
  <c r="DT34" i="19"/>
  <c r="DU34" i="19"/>
  <c r="DV34" i="19"/>
  <c r="DW34" i="19"/>
  <c r="DX34" i="19"/>
  <c r="DY34" i="19"/>
  <c r="DZ34" i="19"/>
  <c r="EA34" i="19"/>
  <c r="EB34" i="19"/>
  <c r="EC34" i="19"/>
  <c r="ED34" i="19"/>
  <c r="EE34" i="19"/>
  <c r="EF34" i="19"/>
  <c r="EG34" i="19"/>
  <c r="EH34" i="19"/>
  <c r="EI34" i="19"/>
  <c r="EJ34" i="19"/>
  <c r="EK34" i="19"/>
  <c r="EL34" i="19"/>
  <c r="EM34" i="19"/>
  <c r="EN34" i="19"/>
  <c r="EO34" i="19"/>
  <c r="EP34" i="19"/>
  <c r="EQ34" i="19"/>
  <c r="ER34" i="19"/>
  <c r="ES34" i="19"/>
  <c r="ET34" i="19"/>
  <c r="EU34" i="19"/>
  <c r="EV34" i="19"/>
  <c r="EW34" i="19"/>
  <c r="EX34" i="19"/>
  <c r="EY34" i="19"/>
  <c r="EZ34" i="19"/>
  <c r="FA34" i="19"/>
  <c r="FB34" i="19"/>
  <c r="FC34" i="19"/>
  <c r="FD34" i="19"/>
  <c r="FE34" i="19"/>
  <c r="FF34" i="19"/>
  <c r="FG34" i="19"/>
  <c r="FH34" i="19"/>
  <c r="FI34" i="19"/>
  <c r="FJ34" i="19"/>
  <c r="FK34" i="19"/>
  <c r="FL34" i="19"/>
  <c r="FM34" i="19"/>
  <c r="FN34" i="19"/>
  <c r="FO34" i="19"/>
  <c r="FP34" i="19"/>
  <c r="FQ34" i="19"/>
  <c r="FR34" i="19"/>
  <c r="FS34" i="19"/>
  <c r="FT34" i="19"/>
  <c r="FU34" i="19"/>
  <c r="FV34" i="19"/>
  <c r="FW34" i="19"/>
  <c r="FX34" i="19"/>
  <c r="FY34" i="19"/>
  <c r="FZ34" i="19"/>
  <c r="GA34" i="19"/>
  <c r="GB34" i="19"/>
  <c r="GC34" i="19"/>
  <c r="GD34" i="19"/>
  <c r="GE34" i="19"/>
  <c r="GF34" i="19"/>
  <c r="GG34" i="19"/>
  <c r="GH34" i="19"/>
  <c r="GI34" i="19"/>
  <c r="GJ34" i="19"/>
  <c r="GK34" i="19"/>
  <c r="GL34" i="19"/>
  <c r="GM34" i="19"/>
  <c r="GN34" i="19"/>
  <c r="GO34" i="19"/>
  <c r="GP34" i="19"/>
  <c r="GQ34" i="19"/>
  <c r="GR34" i="19"/>
  <c r="GS34" i="19"/>
  <c r="GT34" i="19"/>
  <c r="GU34" i="19"/>
  <c r="GV34" i="19"/>
  <c r="GW34" i="19"/>
  <c r="GX34" i="19"/>
  <c r="GY34" i="19"/>
  <c r="GZ34" i="19"/>
  <c r="HA34" i="19"/>
  <c r="HB34" i="19"/>
  <c r="HC34" i="19"/>
  <c r="HD34" i="19"/>
  <c r="HE34" i="19"/>
  <c r="HF34" i="19"/>
  <c r="HG34" i="19"/>
  <c r="HH34" i="19"/>
  <c r="HI34" i="19"/>
  <c r="HJ34" i="19"/>
  <c r="HK34" i="19"/>
  <c r="HL34" i="19"/>
  <c r="HM34" i="19"/>
  <c r="HN34" i="19"/>
  <c r="HO34" i="19"/>
  <c r="HP34" i="19"/>
  <c r="HQ34" i="19"/>
  <c r="HR34" i="19"/>
  <c r="HS34" i="19"/>
  <c r="HT34" i="19"/>
  <c r="HU34" i="19"/>
  <c r="HV34" i="19"/>
  <c r="HW34" i="19"/>
  <c r="HX34" i="19"/>
  <c r="HY34" i="19"/>
  <c r="HZ34" i="19"/>
  <c r="IA34" i="19"/>
  <c r="IB34" i="19"/>
  <c r="IC34" i="19"/>
  <c r="ID34" i="19"/>
  <c r="IE34" i="19"/>
  <c r="IF34" i="19"/>
  <c r="IG34" i="19"/>
  <c r="IH34" i="19"/>
  <c r="II34" i="19"/>
  <c r="IJ34" i="19"/>
  <c r="IK34" i="19"/>
  <c r="IL34" i="19"/>
  <c r="IM34" i="19"/>
  <c r="IN34" i="19"/>
  <c r="IO34" i="19"/>
  <c r="IP34" i="19"/>
  <c r="IQ34" i="19"/>
  <c r="IR34" i="19"/>
  <c r="IS34" i="19"/>
  <c r="IT34" i="19"/>
  <c r="IU34" i="19"/>
  <c r="IV34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M35" i="19"/>
  <c r="AN35" i="19"/>
  <c r="AO35" i="19"/>
  <c r="AP35" i="19"/>
  <c r="AQ35" i="19"/>
  <c r="AR35" i="19"/>
  <c r="AS35" i="19"/>
  <c r="AT35" i="19"/>
  <c r="AU35" i="19"/>
  <c r="AV35" i="19"/>
  <c r="AW35" i="19"/>
  <c r="AX35" i="19"/>
  <c r="AY35" i="19"/>
  <c r="AZ35" i="19"/>
  <c r="BA35" i="19"/>
  <c r="BB35" i="19"/>
  <c r="BC35" i="19"/>
  <c r="BD35" i="19"/>
  <c r="BE35" i="19"/>
  <c r="BF35" i="19"/>
  <c r="BG35" i="19"/>
  <c r="BH35" i="19"/>
  <c r="BI35" i="19"/>
  <c r="BJ35" i="19"/>
  <c r="BK35" i="19"/>
  <c r="BL35" i="19"/>
  <c r="BM35" i="19"/>
  <c r="BN35" i="19"/>
  <c r="BO35" i="19"/>
  <c r="BP35" i="19"/>
  <c r="BQ35" i="19"/>
  <c r="BR35" i="19"/>
  <c r="BS35" i="19"/>
  <c r="BT35" i="19"/>
  <c r="BU35" i="19"/>
  <c r="BV35" i="19"/>
  <c r="BW35" i="19"/>
  <c r="BX35" i="19"/>
  <c r="BY35" i="19"/>
  <c r="BZ35" i="19"/>
  <c r="CA35" i="19"/>
  <c r="CB35" i="19"/>
  <c r="CC35" i="19"/>
  <c r="CD35" i="19"/>
  <c r="CE35" i="19"/>
  <c r="CF35" i="19"/>
  <c r="CG35" i="19"/>
  <c r="CH35" i="19"/>
  <c r="CI35" i="19"/>
  <c r="CJ35" i="19"/>
  <c r="CK35" i="19"/>
  <c r="CL35" i="19"/>
  <c r="CM35" i="19"/>
  <c r="CN35" i="19"/>
  <c r="CO35" i="19"/>
  <c r="CP35" i="19"/>
  <c r="CQ35" i="19"/>
  <c r="CR35" i="19"/>
  <c r="CS35" i="19"/>
  <c r="CT35" i="19"/>
  <c r="CU35" i="19"/>
  <c r="CV35" i="19"/>
  <c r="CW35" i="19"/>
  <c r="CX35" i="19"/>
  <c r="CY35" i="19"/>
  <c r="CZ35" i="19"/>
  <c r="DA35" i="19"/>
  <c r="DB35" i="19"/>
  <c r="DC35" i="19"/>
  <c r="DD35" i="19"/>
  <c r="DE35" i="19"/>
  <c r="DF35" i="19"/>
  <c r="DG35" i="19"/>
  <c r="DH35" i="19"/>
  <c r="DI35" i="19"/>
  <c r="DJ35" i="19"/>
  <c r="DK35" i="19"/>
  <c r="DL35" i="19"/>
  <c r="DM35" i="19"/>
  <c r="DN35" i="19"/>
  <c r="DO35" i="19"/>
  <c r="DP35" i="19"/>
  <c r="DQ35" i="19"/>
  <c r="DR35" i="19"/>
  <c r="DS35" i="19"/>
  <c r="DT35" i="19"/>
  <c r="DU35" i="19"/>
  <c r="DV35" i="19"/>
  <c r="DW35" i="19"/>
  <c r="DX35" i="19"/>
  <c r="DY35" i="19"/>
  <c r="DZ35" i="19"/>
  <c r="EA35" i="19"/>
  <c r="EB35" i="19"/>
  <c r="EC35" i="19"/>
  <c r="ED35" i="19"/>
  <c r="EE35" i="19"/>
  <c r="EF35" i="19"/>
  <c r="EG35" i="19"/>
  <c r="EH35" i="19"/>
  <c r="EI35" i="19"/>
  <c r="EJ35" i="19"/>
  <c r="EK35" i="19"/>
  <c r="EL35" i="19"/>
  <c r="EM35" i="19"/>
  <c r="EN35" i="19"/>
  <c r="EO35" i="19"/>
  <c r="EP35" i="19"/>
  <c r="EQ35" i="19"/>
  <c r="ER35" i="19"/>
  <c r="ES35" i="19"/>
  <c r="ET35" i="19"/>
  <c r="EU35" i="19"/>
  <c r="EV35" i="19"/>
  <c r="EW35" i="19"/>
  <c r="EX35" i="19"/>
  <c r="EY35" i="19"/>
  <c r="EZ35" i="19"/>
  <c r="FA35" i="19"/>
  <c r="FB35" i="19"/>
  <c r="FC35" i="19"/>
  <c r="FD35" i="19"/>
  <c r="FE35" i="19"/>
  <c r="FF35" i="19"/>
  <c r="FG35" i="19"/>
  <c r="FH35" i="19"/>
  <c r="FI35" i="19"/>
  <c r="FJ35" i="19"/>
  <c r="FK35" i="19"/>
  <c r="FL35" i="19"/>
  <c r="FM35" i="19"/>
  <c r="FN35" i="19"/>
  <c r="FO35" i="19"/>
  <c r="FP35" i="19"/>
  <c r="FQ35" i="19"/>
  <c r="FR35" i="19"/>
  <c r="FS35" i="19"/>
  <c r="FT35" i="19"/>
  <c r="FU35" i="19"/>
  <c r="FV35" i="19"/>
  <c r="FW35" i="19"/>
  <c r="FX35" i="19"/>
  <c r="FY35" i="19"/>
  <c r="FZ35" i="19"/>
  <c r="GA35" i="19"/>
  <c r="GB35" i="19"/>
  <c r="GC35" i="19"/>
  <c r="GD35" i="19"/>
  <c r="GE35" i="19"/>
  <c r="GF35" i="19"/>
  <c r="GG35" i="19"/>
  <c r="GH35" i="19"/>
  <c r="GI35" i="19"/>
  <c r="GJ35" i="19"/>
  <c r="GK35" i="19"/>
  <c r="GL35" i="19"/>
  <c r="GM35" i="19"/>
  <c r="GN35" i="19"/>
  <c r="GO35" i="19"/>
  <c r="GP35" i="19"/>
  <c r="GQ35" i="19"/>
  <c r="GR35" i="19"/>
  <c r="GS35" i="19"/>
  <c r="GT35" i="19"/>
  <c r="GU35" i="19"/>
  <c r="GV35" i="19"/>
  <c r="GW35" i="19"/>
  <c r="GX35" i="19"/>
  <c r="GY35" i="19"/>
  <c r="GZ35" i="19"/>
  <c r="HA35" i="19"/>
  <c r="HB35" i="19"/>
  <c r="HC35" i="19"/>
  <c r="HD35" i="19"/>
  <c r="HE35" i="19"/>
  <c r="HF35" i="19"/>
  <c r="HG35" i="19"/>
  <c r="HH35" i="19"/>
  <c r="HI35" i="19"/>
  <c r="HJ35" i="19"/>
  <c r="HK35" i="19"/>
  <c r="HL35" i="19"/>
  <c r="HM35" i="19"/>
  <c r="HN35" i="19"/>
  <c r="HO35" i="19"/>
  <c r="HP35" i="19"/>
  <c r="HQ35" i="19"/>
  <c r="HR35" i="19"/>
  <c r="HS35" i="19"/>
  <c r="HT35" i="19"/>
  <c r="HU35" i="19"/>
  <c r="HV35" i="19"/>
  <c r="HW35" i="19"/>
  <c r="HX35" i="19"/>
  <c r="HY35" i="19"/>
  <c r="HZ35" i="19"/>
  <c r="IA35" i="19"/>
  <c r="IB35" i="19"/>
  <c r="IC35" i="19"/>
  <c r="ID35" i="19"/>
  <c r="IE35" i="19"/>
  <c r="IF35" i="19"/>
  <c r="IG35" i="19"/>
  <c r="IH35" i="19"/>
  <c r="II35" i="19"/>
  <c r="IJ35" i="19"/>
  <c r="IK35" i="19"/>
  <c r="IL35" i="19"/>
  <c r="IM35" i="19"/>
  <c r="IN35" i="19"/>
  <c r="IO35" i="19"/>
  <c r="IP35" i="19"/>
  <c r="IQ35" i="19"/>
  <c r="IR35" i="19"/>
  <c r="IS35" i="19"/>
  <c r="IT35" i="19"/>
  <c r="IU35" i="19"/>
  <c r="IV35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AP36" i="19"/>
  <c r="AQ36" i="19"/>
  <c r="AR36" i="19"/>
  <c r="AS36" i="19"/>
  <c r="AT36" i="19"/>
  <c r="AU36" i="19"/>
  <c r="AV36" i="19"/>
  <c r="AW36" i="19"/>
  <c r="AX36" i="19"/>
  <c r="AY36" i="19"/>
  <c r="AZ36" i="19"/>
  <c r="BA36" i="19"/>
  <c r="BB36" i="19"/>
  <c r="BC36" i="19"/>
  <c r="BD36" i="19"/>
  <c r="BE36" i="19"/>
  <c r="BF36" i="19"/>
  <c r="BG36" i="19"/>
  <c r="BH36" i="19"/>
  <c r="BI36" i="19"/>
  <c r="BJ36" i="19"/>
  <c r="BK36" i="19"/>
  <c r="BL36" i="19"/>
  <c r="BM36" i="19"/>
  <c r="BN36" i="19"/>
  <c r="BO36" i="19"/>
  <c r="BP36" i="19"/>
  <c r="BQ36" i="19"/>
  <c r="BR36" i="19"/>
  <c r="BS36" i="19"/>
  <c r="BT36" i="19"/>
  <c r="BU36" i="19"/>
  <c r="BV36" i="19"/>
  <c r="BW36" i="19"/>
  <c r="BX36" i="19"/>
  <c r="BY36" i="19"/>
  <c r="BZ36" i="19"/>
  <c r="CA36" i="19"/>
  <c r="CB36" i="19"/>
  <c r="CC36" i="19"/>
  <c r="CD36" i="19"/>
  <c r="CE36" i="19"/>
  <c r="CF36" i="19"/>
  <c r="CG36" i="19"/>
  <c r="CH36" i="19"/>
  <c r="CI36" i="19"/>
  <c r="CJ36" i="19"/>
  <c r="CK36" i="19"/>
  <c r="CL36" i="19"/>
  <c r="CM36" i="19"/>
  <c r="CN36" i="19"/>
  <c r="CO36" i="19"/>
  <c r="CP36" i="19"/>
  <c r="CQ36" i="19"/>
  <c r="CR36" i="19"/>
  <c r="CS36" i="19"/>
  <c r="CT36" i="19"/>
  <c r="CU36" i="19"/>
  <c r="CV36" i="19"/>
  <c r="CW36" i="19"/>
  <c r="CX36" i="19"/>
  <c r="CY36" i="19"/>
  <c r="CZ36" i="19"/>
  <c r="DA36" i="19"/>
  <c r="DB36" i="19"/>
  <c r="DC36" i="19"/>
  <c r="DD36" i="19"/>
  <c r="DE36" i="19"/>
  <c r="DF36" i="19"/>
  <c r="DG36" i="19"/>
  <c r="DH36" i="19"/>
  <c r="DI36" i="19"/>
  <c r="DJ36" i="19"/>
  <c r="DK36" i="19"/>
  <c r="DL36" i="19"/>
  <c r="DM36" i="19"/>
  <c r="DN36" i="19"/>
  <c r="DO36" i="19"/>
  <c r="DP36" i="19"/>
  <c r="DQ36" i="19"/>
  <c r="DR36" i="19"/>
  <c r="DS36" i="19"/>
  <c r="DT36" i="19"/>
  <c r="DU36" i="19"/>
  <c r="DV36" i="19"/>
  <c r="DW36" i="19"/>
  <c r="DX36" i="19"/>
  <c r="DY36" i="19"/>
  <c r="DZ36" i="19"/>
  <c r="EA36" i="19"/>
  <c r="EB36" i="19"/>
  <c r="EC36" i="19"/>
  <c r="ED36" i="19"/>
  <c r="EE36" i="19"/>
  <c r="EF36" i="19"/>
  <c r="EG36" i="19"/>
  <c r="EH36" i="19"/>
  <c r="EI36" i="19"/>
  <c r="EJ36" i="19"/>
  <c r="EK36" i="19"/>
  <c r="EL36" i="19"/>
  <c r="EM36" i="19"/>
  <c r="EN36" i="19"/>
  <c r="EO36" i="19"/>
  <c r="EP36" i="19"/>
  <c r="EQ36" i="19"/>
  <c r="ER36" i="19"/>
  <c r="ES36" i="19"/>
  <c r="ET36" i="19"/>
  <c r="EU36" i="19"/>
  <c r="EV36" i="19"/>
  <c r="EW36" i="19"/>
  <c r="EX36" i="19"/>
  <c r="EY36" i="19"/>
  <c r="EZ36" i="19"/>
  <c r="FA36" i="19"/>
  <c r="FB36" i="19"/>
  <c r="FC36" i="19"/>
  <c r="FD36" i="19"/>
  <c r="FE36" i="19"/>
  <c r="FF36" i="19"/>
  <c r="FG36" i="19"/>
  <c r="FH36" i="19"/>
  <c r="FI36" i="19"/>
  <c r="FJ36" i="19"/>
  <c r="FK36" i="19"/>
  <c r="FL36" i="19"/>
  <c r="FM36" i="19"/>
  <c r="FN36" i="19"/>
  <c r="FO36" i="19"/>
  <c r="FP36" i="19"/>
  <c r="FQ36" i="19"/>
  <c r="FR36" i="19"/>
  <c r="FS36" i="19"/>
  <c r="FT36" i="19"/>
  <c r="FU36" i="19"/>
  <c r="FV36" i="19"/>
  <c r="FW36" i="19"/>
  <c r="FX36" i="19"/>
  <c r="FY36" i="19"/>
  <c r="FZ36" i="19"/>
  <c r="GA36" i="19"/>
  <c r="GB36" i="19"/>
  <c r="GC36" i="19"/>
  <c r="GD36" i="19"/>
  <c r="GE36" i="19"/>
  <c r="GF36" i="19"/>
  <c r="GG36" i="19"/>
  <c r="GH36" i="19"/>
  <c r="GI36" i="19"/>
  <c r="GJ36" i="19"/>
  <c r="GK36" i="19"/>
  <c r="GL36" i="19"/>
  <c r="GM36" i="19"/>
  <c r="GN36" i="19"/>
  <c r="GO36" i="19"/>
  <c r="GP36" i="19"/>
  <c r="GQ36" i="19"/>
  <c r="GR36" i="19"/>
  <c r="GS36" i="19"/>
  <c r="GT36" i="19"/>
  <c r="GU36" i="19"/>
  <c r="GV36" i="19"/>
  <c r="GW36" i="19"/>
  <c r="GX36" i="19"/>
  <c r="GY36" i="19"/>
  <c r="GZ36" i="19"/>
  <c r="HA36" i="19"/>
  <c r="HB36" i="19"/>
  <c r="HC36" i="19"/>
  <c r="HD36" i="19"/>
  <c r="HE36" i="19"/>
  <c r="HF36" i="19"/>
  <c r="HG36" i="19"/>
  <c r="HH36" i="19"/>
  <c r="HI36" i="19"/>
  <c r="HJ36" i="19"/>
  <c r="HK36" i="19"/>
  <c r="HL36" i="19"/>
  <c r="HM36" i="19"/>
  <c r="HN36" i="19"/>
  <c r="HO36" i="19"/>
  <c r="HP36" i="19"/>
  <c r="HQ36" i="19"/>
  <c r="HR36" i="19"/>
  <c r="HS36" i="19"/>
  <c r="HT36" i="19"/>
  <c r="HU36" i="19"/>
  <c r="HV36" i="19"/>
  <c r="HW36" i="19"/>
  <c r="HX36" i="19"/>
  <c r="HY36" i="19"/>
  <c r="HZ36" i="19"/>
  <c r="IA36" i="19"/>
  <c r="IB36" i="19"/>
  <c r="IC36" i="19"/>
  <c r="ID36" i="19"/>
  <c r="IE36" i="19"/>
  <c r="IF36" i="19"/>
  <c r="IG36" i="19"/>
  <c r="IH36" i="19"/>
  <c r="II36" i="19"/>
  <c r="IJ36" i="19"/>
  <c r="IK36" i="19"/>
  <c r="IL36" i="19"/>
  <c r="IM36" i="19"/>
  <c r="IN36" i="19"/>
  <c r="IO36" i="19"/>
  <c r="IP36" i="19"/>
  <c r="IQ36" i="19"/>
  <c r="IR36" i="19"/>
  <c r="IS36" i="19"/>
  <c r="IT36" i="19"/>
  <c r="IU36" i="19"/>
  <c r="IV36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Q37" i="19"/>
  <c r="AR37" i="19"/>
  <c r="AS37" i="19"/>
  <c r="AT37" i="19"/>
  <c r="AU37" i="19"/>
  <c r="AV37" i="19"/>
  <c r="AW37" i="19"/>
  <c r="AX37" i="19"/>
  <c r="AY37" i="19"/>
  <c r="AZ37" i="19"/>
  <c r="BA37" i="19"/>
  <c r="BB37" i="19"/>
  <c r="BC37" i="19"/>
  <c r="BD37" i="19"/>
  <c r="BE37" i="19"/>
  <c r="BF37" i="19"/>
  <c r="BG37" i="19"/>
  <c r="BH37" i="19"/>
  <c r="BI37" i="19"/>
  <c r="BJ37" i="19"/>
  <c r="BK37" i="19"/>
  <c r="BL37" i="19"/>
  <c r="BM37" i="19"/>
  <c r="BN37" i="19"/>
  <c r="BO37" i="19"/>
  <c r="BP37" i="19"/>
  <c r="BQ37" i="19"/>
  <c r="BR37" i="19"/>
  <c r="BS37" i="19"/>
  <c r="BT37" i="19"/>
  <c r="BU37" i="19"/>
  <c r="BV37" i="19"/>
  <c r="BW37" i="19"/>
  <c r="BX37" i="19"/>
  <c r="BY37" i="19"/>
  <c r="BZ37" i="19"/>
  <c r="CA37" i="19"/>
  <c r="CB37" i="19"/>
  <c r="CC37" i="19"/>
  <c r="CD37" i="19"/>
  <c r="CE37" i="19"/>
  <c r="CF37" i="19"/>
  <c r="CG37" i="19"/>
  <c r="CH37" i="19"/>
  <c r="CI37" i="19"/>
  <c r="CJ37" i="19"/>
  <c r="CK37" i="19"/>
  <c r="CL37" i="19"/>
  <c r="CM37" i="19"/>
  <c r="CN37" i="19"/>
  <c r="CO37" i="19"/>
  <c r="CP37" i="19"/>
  <c r="CQ37" i="19"/>
  <c r="CR37" i="19"/>
  <c r="CS37" i="19"/>
  <c r="CT37" i="19"/>
  <c r="CU37" i="19"/>
  <c r="CV37" i="19"/>
  <c r="CW37" i="19"/>
  <c r="CX37" i="19"/>
  <c r="CY37" i="19"/>
  <c r="CZ37" i="19"/>
  <c r="DA37" i="19"/>
  <c r="DB37" i="19"/>
  <c r="DC37" i="19"/>
  <c r="DD37" i="19"/>
  <c r="DE37" i="19"/>
  <c r="DF37" i="19"/>
  <c r="DG37" i="19"/>
  <c r="DH37" i="19"/>
  <c r="DI37" i="19"/>
  <c r="DJ37" i="19"/>
  <c r="DK37" i="19"/>
  <c r="DL37" i="19"/>
  <c r="DM37" i="19"/>
  <c r="DN37" i="19"/>
  <c r="DO37" i="19"/>
  <c r="DP37" i="19"/>
  <c r="DQ37" i="19"/>
  <c r="DR37" i="19"/>
  <c r="DS37" i="19"/>
  <c r="DT37" i="19"/>
  <c r="DU37" i="19"/>
  <c r="DV37" i="19"/>
  <c r="DW37" i="19"/>
  <c r="DX37" i="19"/>
  <c r="DY37" i="19"/>
  <c r="DZ37" i="19"/>
  <c r="EA37" i="19"/>
  <c r="EB37" i="19"/>
  <c r="EC37" i="19"/>
  <c r="ED37" i="19"/>
  <c r="EE37" i="19"/>
  <c r="EF37" i="19"/>
  <c r="EG37" i="19"/>
  <c r="EH37" i="19"/>
  <c r="EI37" i="19"/>
  <c r="EJ37" i="19"/>
  <c r="EK37" i="19"/>
  <c r="EL37" i="19"/>
  <c r="EM37" i="19"/>
  <c r="EN37" i="19"/>
  <c r="EO37" i="19"/>
  <c r="EP37" i="19"/>
  <c r="EQ37" i="19"/>
  <c r="ER37" i="19"/>
  <c r="ES37" i="19"/>
  <c r="ET37" i="19"/>
  <c r="EU37" i="19"/>
  <c r="EV37" i="19"/>
  <c r="EW37" i="19"/>
  <c r="EX37" i="19"/>
  <c r="EY37" i="19"/>
  <c r="EZ37" i="19"/>
  <c r="FA37" i="19"/>
  <c r="FB37" i="19"/>
  <c r="FC37" i="19"/>
  <c r="FD37" i="19"/>
  <c r="FE37" i="19"/>
  <c r="FF37" i="19"/>
  <c r="FG37" i="19"/>
  <c r="FH37" i="19"/>
  <c r="FI37" i="19"/>
  <c r="FJ37" i="19"/>
  <c r="FK37" i="19"/>
  <c r="FL37" i="19"/>
  <c r="FM37" i="19"/>
  <c r="FN37" i="19"/>
  <c r="FO37" i="19"/>
  <c r="FP37" i="19"/>
  <c r="FQ37" i="19"/>
  <c r="FR37" i="19"/>
  <c r="FS37" i="19"/>
  <c r="FT37" i="19"/>
  <c r="FU37" i="19"/>
  <c r="FV37" i="19"/>
  <c r="FW37" i="19"/>
  <c r="FX37" i="19"/>
  <c r="FY37" i="19"/>
  <c r="FZ37" i="19"/>
  <c r="GA37" i="19"/>
  <c r="GB37" i="19"/>
  <c r="GC37" i="19"/>
  <c r="GD37" i="19"/>
  <c r="GE37" i="19"/>
  <c r="GF37" i="19"/>
  <c r="GG37" i="19"/>
  <c r="GH37" i="19"/>
  <c r="GI37" i="19"/>
  <c r="GJ37" i="19"/>
  <c r="GK37" i="19"/>
  <c r="GL37" i="19"/>
  <c r="GM37" i="19"/>
  <c r="GN37" i="19"/>
  <c r="GO37" i="19"/>
  <c r="GP37" i="19"/>
  <c r="GQ37" i="19"/>
  <c r="GR37" i="19"/>
  <c r="GS37" i="19"/>
  <c r="GT37" i="19"/>
  <c r="GU37" i="19"/>
  <c r="GV37" i="19"/>
  <c r="GW37" i="19"/>
  <c r="GX37" i="19"/>
  <c r="GY37" i="19"/>
  <c r="GZ37" i="19"/>
  <c r="HA37" i="19"/>
  <c r="HB37" i="19"/>
  <c r="HC37" i="19"/>
  <c r="HD37" i="19"/>
  <c r="HE37" i="19"/>
  <c r="HF37" i="19"/>
  <c r="HG37" i="19"/>
  <c r="HH37" i="19"/>
  <c r="HI37" i="19"/>
  <c r="HJ37" i="19"/>
  <c r="HK37" i="19"/>
  <c r="HL37" i="19"/>
  <c r="HM37" i="19"/>
  <c r="HN37" i="19"/>
  <c r="HO37" i="19"/>
  <c r="HP37" i="19"/>
  <c r="HQ37" i="19"/>
  <c r="HR37" i="19"/>
  <c r="HS37" i="19"/>
  <c r="HT37" i="19"/>
  <c r="HU37" i="19"/>
  <c r="HV37" i="19"/>
  <c r="HW37" i="19"/>
  <c r="HX37" i="19"/>
  <c r="HY37" i="19"/>
  <c r="HZ37" i="19"/>
  <c r="IA37" i="19"/>
  <c r="IB37" i="19"/>
  <c r="IC37" i="19"/>
  <c r="ID37" i="19"/>
  <c r="IE37" i="19"/>
  <c r="IF37" i="19"/>
  <c r="IG37" i="19"/>
  <c r="IH37" i="19"/>
  <c r="II37" i="19"/>
  <c r="IJ37" i="19"/>
  <c r="IK37" i="19"/>
  <c r="IL37" i="19"/>
  <c r="IM37" i="19"/>
  <c r="IN37" i="19"/>
  <c r="IO37" i="19"/>
  <c r="IP37" i="19"/>
  <c r="IQ37" i="19"/>
  <c r="IR37" i="19"/>
  <c r="IS37" i="19"/>
  <c r="IT37" i="19"/>
  <c r="IU37" i="19"/>
  <c r="IV37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AE38" i="19"/>
  <c r="AF38" i="19"/>
  <c r="AG38" i="19"/>
  <c r="AH38" i="19"/>
  <c r="AI38" i="19"/>
  <c r="AJ38" i="19"/>
  <c r="AK38" i="19"/>
  <c r="AL38" i="19"/>
  <c r="AM38" i="19"/>
  <c r="AN38" i="19"/>
  <c r="AO38" i="19"/>
  <c r="AP38" i="19"/>
  <c r="AQ38" i="19"/>
  <c r="AR38" i="19"/>
  <c r="AS38" i="19"/>
  <c r="AT38" i="19"/>
  <c r="AU38" i="19"/>
  <c r="AV38" i="19"/>
  <c r="AW38" i="19"/>
  <c r="AX38" i="19"/>
  <c r="AY38" i="19"/>
  <c r="AZ38" i="19"/>
  <c r="BA38" i="19"/>
  <c r="BB38" i="19"/>
  <c r="BC38" i="19"/>
  <c r="BD38" i="19"/>
  <c r="BE38" i="19"/>
  <c r="BF38" i="19"/>
  <c r="BG38" i="19"/>
  <c r="BH38" i="19"/>
  <c r="BI38" i="19"/>
  <c r="BJ38" i="19"/>
  <c r="BK38" i="19"/>
  <c r="BL38" i="19"/>
  <c r="BM38" i="19"/>
  <c r="BN38" i="19"/>
  <c r="BO38" i="19"/>
  <c r="BP38" i="19"/>
  <c r="BQ38" i="19"/>
  <c r="BR38" i="19"/>
  <c r="BS38" i="19"/>
  <c r="BT38" i="19"/>
  <c r="BU38" i="19"/>
  <c r="BV38" i="19"/>
  <c r="BW38" i="19"/>
  <c r="BX38" i="19"/>
  <c r="BY38" i="19"/>
  <c r="BZ38" i="19"/>
  <c r="CA38" i="19"/>
  <c r="CB38" i="19"/>
  <c r="CC38" i="19"/>
  <c r="CD38" i="19"/>
  <c r="CE38" i="19"/>
  <c r="CF38" i="19"/>
  <c r="CG38" i="19"/>
  <c r="CH38" i="19"/>
  <c r="CI38" i="19"/>
  <c r="CJ38" i="19"/>
  <c r="CK38" i="19"/>
  <c r="CL38" i="19"/>
  <c r="CM38" i="19"/>
  <c r="CN38" i="19"/>
  <c r="CO38" i="19"/>
  <c r="CP38" i="19"/>
  <c r="CQ38" i="19"/>
  <c r="CR38" i="19"/>
  <c r="CS38" i="19"/>
  <c r="CT38" i="19"/>
  <c r="CU38" i="19"/>
  <c r="CV38" i="19"/>
  <c r="CW38" i="19"/>
  <c r="CX38" i="19"/>
  <c r="CY38" i="19"/>
  <c r="CZ38" i="19"/>
  <c r="DA38" i="19"/>
  <c r="DB38" i="19"/>
  <c r="DC38" i="19"/>
  <c r="DD38" i="19"/>
  <c r="DE38" i="19"/>
  <c r="DF38" i="19"/>
  <c r="DG38" i="19"/>
  <c r="DH38" i="19"/>
  <c r="DI38" i="19"/>
  <c r="DJ38" i="19"/>
  <c r="DK38" i="19"/>
  <c r="DL38" i="19"/>
  <c r="DM38" i="19"/>
  <c r="DN38" i="19"/>
  <c r="DO38" i="19"/>
  <c r="DP38" i="19"/>
  <c r="DQ38" i="19"/>
  <c r="DR38" i="19"/>
  <c r="DS38" i="19"/>
  <c r="DT38" i="19"/>
  <c r="DU38" i="19"/>
  <c r="DV38" i="19"/>
  <c r="DW38" i="19"/>
  <c r="DX38" i="19"/>
  <c r="DY38" i="19"/>
  <c r="DZ38" i="19"/>
  <c r="EA38" i="19"/>
  <c r="EB38" i="19"/>
  <c r="EC38" i="19"/>
  <c r="ED38" i="19"/>
  <c r="EE38" i="19"/>
  <c r="EF38" i="19"/>
  <c r="EG38" i="19"/>
  <c r="EH38" i="19"/>
  <c r="EI38" i="19"/>
  <c r="EJ38" i="19"/>
  <c r="EK38" i="19"/>
  <c r="EL38" i="19"/>
  <c r="EM38" i="19"/>
  <c r="EN38" i="19"/>
  <c r="EO38" i="19"/>
  <c r="EP38" i="19"/>
  <c r="EQ38" i="19"/>
  <c r="ER38" i="19"/>
  <c r="ES38" i="19"/>
  <c r="ET38" i="19"/>
  <c r="EU38" i="19"/>
  <c r="EV38" i="19"/>
  <c r="EW38" i="19"/>
  <c r="EX38" i="19"/>
  <c r="EY38" i="19"/>
  <c r="EZ38" i="19"/>
  <c r="FA38" i="19"/>
  <c r="FB38" i="19"/>
  <c r="FC38" i="19"/>
  <c r="FD38" i="19"/>
  <c r="FE38" i="19"/>
  <c r="FF38" i="19"/>
  <c r="FG38" i="19"/>
  <c r="FH38" i="19"/>
  <c r="FI38" i="19"/>
  <c r="FJ38" i="19"/>
  <c r="FK38" i="19"/>
  <c r="FL38" i="19"/>
  <c r="FM38" i="19"/>
  <c r="FN38" i="19"/>
  <c r="FO38" i="19"/>
  <c r="FP38" i="19"/>
  <c r="FQ38" i="19"/>
  <c r="FR38" i="19"/>
  <c r="FS38" i="19"/>
  <c r="FT38" i="19"/>
  <c r="FU38" i="19"/>
  <c r="FV38" i="19"/>
  <c r="FW38" i="19"/>
  <c r="FX38" i="19"/>
  <c r="FY38" i="19"/>
  <c r="FZ38" i="19"/>
  <c r="GA38" i="19"/>
  <c r="GB38" i="19"/>
  <c r="GC38" i="19"/>
  <c r="GD38" i="19"/>
  <c r="GE38" i="19"/>
  <c r="GF38" i="19"/>
  <c r="GG38" i="19"/>
  <c r="GH38" i="19"/>
  <c r="GI38" i="19"/>
  <c r="GJ38" i="19"/>
  <c r="GK38" i="19"/>
  <c r="GL38" i="19"/>
  <c r="GM38" i="19"/>
  <c r="GN38" i="19"/>
  <c r="GO38" i="19"/>
  <c r="GP38" i="19"/>
  <c r="GQ38" i="19"/>
  <c r="GR38" i="19"/>
  <c r="GS38" i="19"/>
  <c r="GT38" i="19"/>
  <c r="GU38" i="19"/>
  <c r="GV38" i="19"/>
  <c r="GW38" i="19"/>
  <c r="GX38" i="19"/>
  <c r="GY38" i="19"/>
  <c r="GZ38" i="19"/>
  <c r="HA38" i="19"/>
  <c r="HB38" i="19"/>
  <c r="HC38" i="19"/>
  <c r="HD38" i="19"/>
  <c r="HE38" i="19"/>
  <c r="HF38" i="19"/>
  <c r="HG38" i="19"/>
  <c r="HH38" i="19"/>
  <c r="HI38" i="19"/>
  <c r="HJ38" i="19"/>
  <c r="HK38" i="19"/>
  <c r="HL38" i="19"/>
  <c r="HM38" i="19"/>
  <c r="HN38" i="19"/>
  <c r="HO38" i="19"/>
  <c r="HP38" i="19"/>
  <c r="HQ38" i="19"/>
  <c r="HR38" i="19"/>
  <c r="HS38" i="19"/>
  <c r="HT38" i="19"/>
  <c r="HU38" i="19"/>
  <c r="HV38" i="19"/>
  <c r="HW38" i="19"/>
  <c r="HX38" i="19"/>
  <c r="HY38" i="19"/>
  <c r="HZ38" i="19"/>
  <c r="IA38" i="19"/>
  <c r="IB38" i="19"/>
  <c r="IC38" i="19"/>
  <c r="ID38" i="19"/>
  <c r="IE38" i="19"/>
  <c r="IF38" i="19"/>
  <c r="IG38" i="19"/>
  <c r="IH38" i="19"/>
  <c r="II38" i="19"/>
  <c r="IJ38" i="19"/>
  <c r="IK38" i="19"/>
  <c r="IL38" i="19"/>
  <c r="IM38" i="19"/>
  <c r="IN38" i="19"/>
  <c r="IO38" i="19"/>
  <c r="IP38" i="19"/>
  <c r="IQ38" i="19"/>
  <c r="IR38" i="19"/>
  <c r="IS38" i="19"/>
  <c r="IT38" i="19"/>
  <c r="IU38" i="19"/>
  <c r="IV38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AR39" i="19"/>
  <c r="AS39" i="19"/>
  <c r="AT39" i="19"/>
  <c r="AU39" i="19"/>
  <c r="AV39" i="19"/>
  <c r="AW39" i="19"/>
  <c r="AX39" i="19"/>
  <c r="AY39" i="19"/>
  <c r="AZ39" i="19"/>
  <c r="BA39" i="19"/>
  <c r="BB39" i="19"/>
  <c r="BC39" i="19"/>
  <c r="BD39" i="19"/>
  <c r="BE39" i="19"/>
  <c r="BF39" i="19"/>
  <c r="BG39" i="19"/>
  <c r="BH39" i="19"/>
  <c r="BI39" i="19"/>
  <c r="BJ39" i="19"/>
  <c r="BK39" i="19"/>
  <c r="BL39" i="19"/>
  <c r="BM39" i="19"/>
  <c r="BN39" i="19"/>
  <c r="BO39" i="19"/>
  <c r="BP39" i="19"/>
  <c r="BQ39" i="19"/>
  <c r="BR39" i="19"/>
  <c r="BS39" i="19"/>
  <c r="BT39" i="19"/>
  <c r="BU39" i="19"/>
  <c r="BV39" i="19"/>
  <c r="BW39" i="19"/>
  <c r="BX39" i="19"/>
  <c r="BY39" i="19"/>
  <c r="BZ39" i="19"/>
  <c r="CA39" i="19"/>
  <c r="CB39" i="19"/>
  <c r="CC39" i="19"/>
  <c r="CD39" i="19"/>
  <c r="CE39" i="19"/>
  <c r="CF39" i="19"/>
  <c r="CG39" i="19"/>
  <c r="CH39" i="19"/>
  <c r="CI39" i="19"/>
  <c r="CJ39" i="19"/>
  <c r="CK39" i="19"/>
  <c r="CL39" i="19"/>
  <c r="CM39" i="19"/>
  <c r="CN39" i="19"/>
  <c r="CO39" i="19"/>
  <c r="CP39" i="19"/>
  <c r="CQ39" i="19"/>
  <c r="CR39" i="19"/>
  <c r="CS39" i="19"/>
  <c r="CT39" i="19"/>
  <c r="CU39" i="19"/>
  <c r="CV39" i="19"/>
  <c r="CW39" i="19"/>
  <c r="CX39" i="19"/>
  <c r="CY39" i="19"/>
  <c r="CZ39" i="19"/>
  <c r="DA39" i="19"/>
  <c r="DB39" i="19"/>
  <c r="DC39" i="19"/>
  <c r="DD39" i="19"/>
  <c r="DE39" i="19"/>
  <c r="DF39" i="19"/>
  <c r="DG39" i="19"/>
  <c r="DH39" i="19"/>
  <c r="DI39" i="19"/>
  <c r="DJ39" i="19"/>
  <c r="DK39" i="19"/>
  <c r="DL39" i="19"/>
  <c r="DM39" i="19"/>
  <c r="DN39" i="19"/>
  <c r="DO39" i="19"/>
  <c r="DP39" i="19"/>
  <c r="DQ39" i="19"/>
  <c r="DR39" i="19"/>
  <c r="DS39" i="19"/>
  <c r="DT39" i="19"/>
  <c r="DU39" i="19"/>
  <c r="DV39" i="19"/>
  <c r="DW39" i="19"/>
  <c r="DX39" i="19"/>
  <c r="DY39" i="19"/>
  <c r="DZ39" i="19"/>
  <c r="EA39" i="19"/>
  <c r="EB39" i="19"/>
  <c r="EC39" i="19"/>
  <c r="ED39" i="19"/>
  <c r="EE39" i="19"/>
  <c r="EF39" i="19"/>
  <c r="EG39" i="19"/>
  <c r="EH39" i="19"/>
  <c r="EI39" i="19"/>
  <c r="EJ39" i="19"/>
  <c r="EK39" i="19"/>
  <c r="EL39" i="19"/>
  <c r="EM39" i="19"/>
  <c r="EN39" i="19"/>
  <c r="EO39" i="19"/>
  <c r="EP39" i="19"/>
  <c r="EQ39" i="19"/>
  <c r="ER39" i="19"/>
  <c r="ES39" i="19"/>
  <c r="ET39" i="19"/>
  <c r="EU39" i="19"/>
  <c r="EV39" i="19"/>
  <c r="EW39" i="19"/>
  <c r="EX39" i="19"/>
  <c r="EY39" i="19"/>
  <c r="EZ39" i="19"/>
  <c r="FA39" i="19"/>
  <c r="FB39" i="19"/>
  <c r="FC39" i="19"/>
  <c r="FD39" i="19"/>
  <c r="FE39" i="19"/>
  <c r="FF39" i="19"/>
  <c r="FG39" i="19"/>
  <c r="FH39" i="19"/>
  <c r="FI39" i="19"/>
  <c r="FJ39" i="19"/>
  <c r="FK39" i="19"/>
  <c r="FL39" i="19"/>
  <c r="FM39" i="19"/>
  <c r="FN39" i="19"/>
  <c r="FO39" i="19"/>
  <c r="FP39" i="19"/>
  <c r="FQ39" i="19"/>
  <c r="FR39" i="19"/>
  <c r="FS39" i="19"/>
  <c r="FT39" i="19"/>
  <c r="FU39" i="19"/>
  <c r="FV39" i="19"/>
  <c r="FW39" i="19"/>
  <c r="FX39" i="19"/>
  <c r="FY39" i="19"/>
  <c r="FZ39" i="19"/>
  <c r="GA39" i="19"/>
  <c r="GB39" i="19"/>
  <c r="GC39" i="19"/>
  <c r="GD39" i="19"/>
  <c r="GE39" i="19"/>
  <c r="GF39" i="19"/>
  <c r="GG39" i="19"/>
  <c r="GH39" i="19"/>
  <c r="GI39" i="19"/>
  <c r="GJ39" i="19"/>
  <c r="GK39" i="19"/>
  <c r="GL39" i="19"/>
  <c r="GM39" i="19"/>
  <c r="GN39" i="19"/>
  <c r="GO39" i="19"/>
  <c r="GP39" i="19"/>
  <c r="GQ39" i="19"/>
  <c r="GR39" i="19"/>
  <c r="GS39" i="19"/>
  <c r="GT39" i="19"/>
  <c r="GU39" i="19"/>
  <c r="GV39" i="19"/>
  <c r="GW39" i="19"/>
  <c r="GX39" i="19"/>
  <c r="GY39" i="19"/>
  <c r="GZ39" i="19"/>
  <c r="HA39" i="19"/>
  <c r="HB39" i="19"/>
  <c r="HC39" i="19"/>
  <c r="HD39" i="19"/>
  <c r="HE39" i="19"/>
  <c r="HF39" i="19"/>
  <c r="HG39" i="19"/>
  <c r="HH39" i="19"/>
  <c r="HI39" i="19"/>
  <c r="HJ39" i="19"/>
  <c r="HK39" i="19"/>
  <c r="HL39" i="19"/>
  <c r="HM39" i="19"/>
  <c r="HN39" i="19"/>
  <c r="HO39" i="19"/>
  <c r="HP39" i="19"/>
  <c r="HQ39" i="19"/>
  <c r="HR39" i="19"/>
  <c r="HS39" i="19"/>
  <c r="HT39" i="19"/>
  <c r="HU39" i="19"/>
  <c r="HV39" i="19"/>
  <c r="HW39" i="19"/>
  <c r="HX39" i="19"/>
  <c r="HY39" i="19"/>
  <c r="HZ39" i="19"/>
  <c r="IA39" i="19"/>
  <c r="IB39" i="19"/>
  <c r="IC39" i="19"/>
  <c r="ID39" i="19"/>
  <c r="IE39" i="19"/>
  <c r="IF39" i="19"/>
  <c r="IG39" i="19"/>
  <c r="IH39" i="19"/>
  <c r="II39" i="19"/>
  <c r="IJ39" i="19"/>
  <c r="IK39" i="19"/>
  <c r="IL39" i="19"/>
  <c r="IM39" i="19"/>
  <c r="IN39" i="19"/>
  <c r="IO39" i="19"/>
  <c r="IP39" i="19"/>
  <c r="IQ39" i="19"/>
  <c r="IR39" i="19"/>
  <c r="IS39" i="19"/>
  <c r="IT39" i="19"/>
  <c r="IU39" i="19"/>
  <c r="IV39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AP40" i="19"/>
  <c r="AQ40" i="19"/>
  <c r="AR40" i="19"/>
  <c r="AS40" i="19"/>
  <c r="AT40" i="19"/>
  <c r="AU40" i="19"/>
  <c r="AV40" i="19"/>
  <c r="AW40" i="19"/>
  <c r="AX40" i="19"/>
  <c r="AY40" i="19"/>
  <c r="AZ40" i="19"/>
  <c r="BA40" i="19"/>
  <c r="BB40" i="19"/>
  <c r="BC40" i="19"/>
  <c r="BD40" i="19"/>
  <c r="BE40" i="19"/>
  <c r="BF40" i="19"/>
  <c r="BG40" i="19"/>
  <c r="BH40" i="19"/>
  <c r="BI40" i="19"/>
  <c r="BJ40" i="19"/>
  <c r="BK40" i="19"/>
  <c r="BL40" i="19"/>
  <c r="BM40" i="19"/>
  <c r="BN40" i="19"/>
  <c r="BO40" i="19"/>
  <c r="BP40" i="19"/>
  <c r="BQ40" i="19"/>
  <c r="BR40" i="19"/>
  <c r="BS40" i="19"/>
  <c r="BT40" i="19"/>
  <c r="BU40" i="19"/>
  <c r="BV40" i="19"/>
  <c r="BW40" i="19"/>
  <c r="BX40" i="19"/>
  <c r="BY40" i="19"/>
  <c r="BZ40" i="19"/>
  <c r="CA40" i="19"/>
  <c r="CB40" i="19"/>
  <c r="CC40" i="19"/>
  <c r="CD40" i="19"/>
  <c r="CE40" i="19"/>
  <c r="CF40" i="19"/>
  <c r="CG40" i="19"/>
  <c r="CH40" i="19"/>
  <c r="CI40" i="19"/>
  <c r="CJ40" i="19"/>
  <c r="CK40" i="19"/>
  <c r="CL40" i="19"/>
  <c r="CM40" i="19"/>
  <c r="CN40" i="19"/>
  <c r="CO40" i="19"/>
  <c r="CP40" i="19"/>
  <c r="CQ40" i="19"/>
  <c r="CR40" i="19"/>
  <c r="CS40" i="19"/>
  <c r="CT40" i="19"/>
  <c r="CU40" i="19"/>
  <c r="CV40" i="19"/>
  <c r="CW40" i="19"/>
  <c r="CX40" i="19"/>
  <c r="CY40" i="19"/>
  <c r="CZ40" i="19"/>
  <c r="DA40" i="19"/>
  <c r="DB40" i="19"/>
  <c r="DC40" i="19"/>
  <c r="DD40" i="19"/>
  <c r="DE40" i="19"/>
  <c r="DF40" i="19"/>
  <c r="DG40" i="19"/>
  <c r="DH40" i="19"/>
  <c r="DI40" i="19"/>
  <c r="DJ40" i="19"/>
  <c r="DK40" i="19"/>
  <c r="DL40" i="19"/>
  <c r="DM40" i="19"/>
  <c r="DN40" i="19"/>
  <c r="DO40" i="19"/>
  <c r="DP40" i="19"/>
  <c r="DQ40" i="19"/>
  <c r="DR40" i="19"/>
  <c r="DS40" i="19"/>
  <c r="DT40" i="19"/>
  <c r="DU40" i="19"/>
  <c r="DV40" i="19"/>
  <c r="DW40" i="19"/>
  <c r="DX40" i="19"/>
  <c r="DY40" i="19"/>
  <c r="DZ40" i="19"/>
  <c r="EA40" i="19"/>
  <c r="EB40" i="19"/>
  <c r="EC40" i="19"/>
  <c r="ED40" i="19"/>
  <c r="EE40" i="19"/>
  <c r="EF40" i="19"/>
  <c r="EG40" i="19"/>
  <c r="EH40" i="19"/>
  <c r="EI40" i="19"/>
  <c r="EJ40" i="19"/>
  <c r="EK40" i="19"/>
  <c r="EL40" i="19"/>
  <c r="EM40" i="19"/>
  <c r="EN40" i="19"/>
  <c r="EO40" i="19"/>
  <c r="EP40" i="19"/>
  <c r="EQ40" i="19"/>
  <c r="ER40" i="19"/>
  <c r="ES40" i="19"/>
  <c r="ET40" i="19"/>
  <c r="EU40" i="19"/>
  <c r="EV40" i="19"/>
  <c r="EW40" i="19"/>
  <c r="EX40" i="19"/>
  <c r="EY40" i="19"/>
  <c r="EZ40" i="19"/>
  <c r="FA40" i="19"/>
  <c r="FB40" i="19"/>
  <c r="FC40" i="19"/>
  <c r="FD40" i="19"/>
  <c r="FE40" i="19"/>
  <c r="FF40" i="19"/>
  <c r="FG40" i="19"/>
  <c r="FH40" i="19"/>
  <c r="FI40" i="19"/>
  <c r="FJ40" i="19"/>
  <c r="FK40" i="19"/>
  <c r="FL40" i="19"/>
  <c r="FM40" i="19"/>
  <c r="FN40" i="19"/>
  <c r="FO40" i="19"/>
  <c r="FP40" i="19"/>
  <c r="FQ40" i="19"/>
  <c r="FR40" i="19"/>
  <c r="FS40" i="19"/>
  <c r="FT40" i="19"/>
  <c r="FU40" i="19"/>
  <c r="FV40" i="19"/>
  <c r="FW40" i="19"/>
  <c r="FX40" i="19"/>
  <c r="FY40" i="19"/>
  <c r="FZ40" i="19"/>
  <c r="GA40" i="19"/>
  <c r="GB40" i="19"/>
  <c r="GC40" i="19"/>
  <c r="GD40" i="19"/>
  <c r="GE40" i="19"/>
  <c r="GF40" i="19"/>
  <c r="GG40" i="19"/>
  <c r="GH40" i="19"/>
  <c r="GI40" i="19"/>
  <c r="GJ40" i="19"/>
  <c r="GK40" i="19"/>
  <c r="GL40" i="19"/>
  <c r="GM40" i="19"/>
  <c r="GN40" i="19"/>
  <c r="GO40" i="19"/>
  <c r="GP40" i="19"/>
  <c r="GQ40" i="19"/>
  <c r="GR40" i="19"/>
  <c r="GS40" i="19"/>
  <c r="GT40" i="19"/>
  <c r="GU40" i="19"/>
  <c r="GV40" i="19"/>
  <c r="GW40" i="19"/>
  <c r="GX40" i="19"/>
  <c r="GY40" i="19"/>
  <c r="GZ40" i="19"/>
  <c r="HA40" i="19"/>
  <c r="HB40" i="19"/>
  <c r="HC40" i="19"/>
  <c r="HD40" i="19"/>
  <c r="HE40" i="19"/>
  <c r="HF40" i="19"/>
  <c r="HG40" i="19"/>
  <c r="HH40" i="19"/>
  <c r="HI40" i="19"/>
  <c r="HJ40" i="19"/>
  <c r="HK40" i="19"/>
  <c r="HL40" i="19"/>
  <c r="HM40" i="19"/>
  <c r="HN40" i="19"/>
  <c r="HO40" i="19"/>
  <c r="HP40" i="19"/>
  <c r="HQ40" i="19"/>
  <c r="HR40" i="19"/>
  <c r="HS40" i="19"/>
  <c r="HT40" i="19"/>
  <c r="HU40" i="19"/>
  <c r="HV40" i="19"/>
  <c r="HW40" i="19"/>
  <c r="HX40" i="19"/>
  <c r="HY40" i="19"/>
  <c r="HZ40" i="19"/>
  <c r="IA40" i="19"/>
  <c r="IB40" i="19"/>
  <c r="IC40" i="19"/>
  <c r="ID40" i="19"/>
  <c r="IE40" i="19"/>
  <c r="IF40" i="19"/>
  <c r="IG40" i="19"/>
  <c r="IH40" i="19"/>
  <c r="II40" i="19"/>
  <c r="IJ40" i="19"/>
  <c r="IK40" i="19"/>
  <c r="IL40" i="19"/>
  <c r="IM40" i="19"/>
  <c r="IN40" i="19"/>
  <c r="IO40" i="19"/>
  <c r="IP40" i="19"/>
  <c r="IQ40" i="19"/>
  <c r="IR40" i="19"/>
  <c r="IS40" i="19"/>
  <c r="IT40" i="19"/>
  <c r="IU40" i="19"/>
  <c r="IV40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AF41" i="19"/>
  <c r="AG41" i="19"/>
  <c r="AH41" i="19"/>
  <c r="AI41" i="19"/>
  <c r="AJ41" i="19"/>
  <c r="AK41" i="19"/>
  <c r="AL41" i="19"/>
  <c r="AM41" i="19"/>
  <c r="AN41" i="19"/>
  <c r="AO41" i="19"/>
  <c r="AP41" i="19"/>
  <c r="AQ41" i="19"/>
  <c r="AR41" i="19"/>
  <c r="AS41" i="19"/>
  <c r="AT41" i="19"/>
  <c r="AU41" i="19"/>
  <c r="AV41" i="19"/>
  <c r="AW41" i="19"/>
  <c r="AX41" i="19"/>
  <c r="AY41" i="19"/>
  <c r="AZ41" i="19"/>
  <c r="BA41" i="19"/>
  <c r="BB41" i="19"/>
  <c r="BC41" i="19"/>
  <c r="BD41" i="19"/>
  <c r="BE41" i="19"/>
  <c r="BF41" i="19"/>
  <c r="BG41" i="19"/>
  <c r="BH41" i="19"/>
  <c r="BI41" i="19"/>
  <c r="BJ41" i="19"/>
  <c r="BK41" i="19"/>
  <c r="BL41" i="19"/>
  <c r="BM41" i="19"/>
  <c r="BN41" i="19"/>
  <c r="BO41" i="19"/>
  <c r="BP41" i="19"/>
  <c r="BQ41" i="19"/>
  <c r="BR41" i="19"/>
  <c r="BS41" i="19"/>
  <c r="BT41" i="19"/>
  <c r="BU41" i="19"/>
  <c r="BV41" i="19"/>
  <c r="BW41" i="19"/>
  <c r="BX41" i="19"/>
  <c r="BY41" i="19"/>
  <c r="BZ41" i="19"/>
  <c r="CA41" i="19"/>
  <c r="CB41" i="19"/>
  <c r="CC41" i="19"/>
  <c r="CD41" i="19"/>
  <c r="CE41" i="19"/>
  <c r="CF41" i="19"/>
  <c r="CG41" i="19"/>
  <c r="CH41" i="19"/>
  <c r="CI41" i="19"/>
  <c r="CJ41" i="19"/>
  <c r="CK41" i="19"/>
  <c r="CL41" i="19"/>
  <c r="CM41" i="19"/>
  <c r="CN41" i="19"/>
  <c r="CO41" i="19"/>
  <c r="CP41" i="19"/>
  <c r="CQ41" i="19"/>
  <c r="CR41" i="19"/>
  <c r="CS41" i="19"/>
  <c r="CT41" i="19"/>
  <c r="CU41" i="19"/>
  <c r="CV41" i="19"/>
  <c r="CW41" i="19"/>
  <c r="CX41" i="19"/>
  <c r="CY41" i="19"/>
  <c r="CZ41" i="19"/>
  <c r="DA41" i="19"/>
  <c r="DB41" i="19"/>
  <c r="DC41" i="19"/>
  <c r="DD41" i="19"/>
  <c r="DE41" i="19"/>
  <c r="DF41" i="19"/>
  <c r="DG41" i="19"/>
  <c r="DH41" i="19"/>
  <c r="DI41" i="19"/>
  <c r="DJ41" i="19"/>
  <c r="DK41" i="19"/>
  <c r="DL41" i="19"/>
  <c r="DM41" i="19"/>
  <c r="DN41" i="19"/>
  <c r="DO41" i="19"/>
  <c r="DP41" i="19"/>
  <c r="DQ41" i="19"/>
  <c r="DR41" i="19"/>
  <c r="DS41" i="19"/>
  <c r="DT41" i="19"/>
  <c r="DU41" i="19"/>
  <c r="DV41" i="19"/>
  <c r="DW41" i="19"/>
  <c r="DX41" i="19"/>
  <c r="DY41" i="19"/>
  <c r="DZ41" i="19"/>
  <c r="EA41" i="19"/>
  <c r="EB41" i="19"/>
  <c r="EC41" i="19"/>
  <c r="ED41" i="19"/>
  <c r="EE41" i="19"/>
  <c r="EF41" i="19"/>
  <c r="EG41" i="19"/>
  <c r="EH41" i="19"/>
  <c r="EI41" i="19"/>
  <c r="EJ41" i="19"/>
  <c r="EK41" i="19"/>
  <c r="EL41" i="19"/>
  <c r="EM41" i="19"/>
  <c r="EN41" i="19"/>
  <c r="EO41" i="19"/>
  <c r="EP41" i="19"/>
  <c r="EQ41" i="19"/>
  <c r="ER41" i="19"/>
  <c r="ES41" i="19"/>
  <c r="ET41" i="19"/>
  <c r="EU41" i="19"/>
  <c r="EV41" i="19"/>
  <c r="EW41" i="19"/>
  <c r="EX41" i="19"/>
  <c r="EY41" i="19"/>
  <c r="EZ41" i="19"/>
  <c r="FA41" i="19"/>
  <c r="FB41" i="19"/>
  <c r="FC41" i="19"/>
  <c r="FD41" i="19"/>
  <c r="FE41" i="19"/>
  <c r="FF41" i="19"/>
  <c r="FG41" i="19"/>
  <c r="FH41" i="19"/>
  <c r="FI41" i="19"/>
  <c r="FJ41" i="19"/>
  <c r="FK41" i="19"/>
  <c r="FL41" i="19"/>
  <c r="FM41" i="19"/>
  <c r="FN41" i="19"/>
  <c r="FO41" i="19"/>
  <c r="FP41" i="19"/>
  <c r="FQ41" i="19"/>
  <c r="FR41" i="19"/>
  <c r="FS41" i="19"/>
  <c r="FT41" i="19"/>
  <c r="FU41" i="19"/>
  <c r="FV41" i="19"/>
  <c r="FW41" i="19"/>
  <c r="FX41" i="19"/>
  <c r="FY41" i="19"/>
  <c r="FZ41" i="19"/>
  <c r="GA41" i="19"/>
  <c r="GB41" i="19"/>
  <c r="GC41" i="19"/>
  <c r="GD41" i="19"/>
  <c r="GE41" i="19"/>
  <c r="GF41" i="19"/>
  <c r="GG41" i="19"/>
  <c r="GH41" i="19"/>
  <c r="GI41" i="19"/>
  <c r="GJ41" i="19"/>
  <c r="GK41" i="19"/>
  <c r="GL41" i="19"/>
  <c r="GM41" i="19"/>
  <c r="GN41" i="19"/>
  <c r="GO41" i="19"/>
  <c r="GP41" i="19"/>
  <c r="GQ41" i="19"/>
  <c r="GR41" i="19"/>
  <c r="GS41" i="19"/>
  <c r="GT41" i="19"/>
  <c r="GU41" i="19"/>
  <c r="GV41" i="19"/>
  <c r="GW41" i="19"/>
  <c r="GX41" i="19"/>
  <c r="GY41" i="19"/>
  <c r="GZ41" i="19"/>
  <c r="HA41" i="19"/>
  <c r="HB41" i="19"/>
  <c r="HC41" i="19"/>
  <c r="HD41" i="19"/>
  <c r="HE41" i="19"/>
  <c r="HF41" i="19"/>
  <c r="HG41" i="19"/>
  <c r="HH41" i="19"/>
  <c r="HI41" i="19"/>
  <c r="HJ41" i="19"/>
  <c r="HK41" i="19"/>
  <c r="HL41" i="19"/>
  <c r="HM41" i="19"/>
  <c r="HN41" i="19"/>
  <c r="HO41" i="19"/>
  <c r="HP41" i="19"/>
  <c r="HQ41" i="19"/>
  <c r="HR41" i="19"/>
  <c r="HS41" i="19"/>
  <c r="HT41" i="19"/>
  <c r="HU41" i="19"/>
  <c r="HV41" i="19"/>
  <c r="HW41" i="19"/>
  <c r="HX41" i="19"/>
  <c r="HY41" i="19"/>
  <c r="HZ41" i="19"/>
  <c r="IA41" i="19"/>
  <c r="IB41" i="19"/>
  <c r="IC41" i="19"/>
  <c r="ID41" i="19"/>
  <c r="IE41" i="19"/>
  <c r="IF41" i="19"/>
  <c r="IG41" i="19"/>
  <c r="IH41" i="19"/>
  <c r="II41" i="19"/>
  <c r="IJ41" i="19"/>
  <c r="IK41" i="19"/>
  <c r="IL41" i="19"/>
  <c r="IM41" i="19"/>
  <c r="IN41" i="19"/>
  <c r="IO41" i="19"/>
  <c r="IP41" i="19"/>
  <c r="IQ41" i="19"/>
  <c r="IR41" i="19"/>
  <c r="IS41" i="19"/>
  <c r="IT41" i="19"/>
  <c r="IU41" i="19"/>
  <c r="IV41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AP42" i="19"/>
  <c r="AQ42" i="19"/>
  <c r="AR42" i="19"/>
  <c r="AS42" i="19"/>
  <c r="AT42" i="19"/>
  <c r="AU42" i="19"/>
  <c r="AV42" i="19"/>
  <c r="AW42" i="19"/>
  <c r="AX42" i="19"/>
  <c r="AY42" i="19"/>
  <c r="AZ42" i="19"/>
  <c r="BA42" i="19"/>
  <c r="BB42" i="19"/>
  <c r="BC42" i="19"/>
  <c r="BD42" i="19"/>
  <c r="BE42" i="19"/>
  <c r="BF42" i="19"/>
  <c r="BG42" i="19"/>
  <c r="BH42" i="19"/>
  <c r="BI42" i="19"/>
  <c r="BJ42" i="19"/>
  <c r="BK42" i="19"/>
  <c r="BL42" i="19"/>
  <c r="BM42" i="19"/>
  <c r="BN42" i="19"/>
  <c r="BO42" i="19"/>
  <c r="BP42" i="19"/>
  <c r="BQ42" i="19"/>
  <c r="BR42" i="19"/>
  <c r="BS42" i="19"/>
  <c r="BT42" i="19"/>
  <c r="BU42" i="19"/>
  <c r="BV42" i="19"/>
  <c r="BW42" i="19"/>
  <c r="BX42" i="19"/>
  <c r="BY42" i="19"/>
  <c r="BZ42" i="19"/>
  <c r="CA42" i="19"/>
  <c r="CB42" i="19"/>
  <c r="CC42" i="19"/>
  <c r="CD42" i="19"/>
  <c r="CE42" i="19"/>
  <c r="CF42" i="19"/>
  <c r="CG42" i="19"/>
  <c r="CH42" i="19"/>
  <c r="CI42" i="19"/>
  <c r="CJ42" i="19"/>
  <c r="CK42" i="19"/>
  <c r="CL42" i="19"/>
  <c r="CM42" i="19"/>
  <c r="CN42" i="19"/>
  <c r="CO42" i="19"/>
  <c r="CP42" i="19"/>
  <c r="CQ42" i="19"/>
  <c r="CR42" i="19"/>
  <c r="CS42" i="19"/>
  <c r="CT42" i="19"/>
  <c r="CU42" i="19"/>
  <c r="CV42" i="19"/>
  <c r="CW42" i="19"/>
  <c r="CX42" i="19"/>
  <c r="CY42" i="19"/>
  <c r="CZ42" i="19"/>
  <c r="DA42" i="19"/>
  <c r="DB42" i="19"/>
  <c r="DC42" i="19"/>
  <c r="DD42" i="19"/>
  <c r="DE42" i="19"/>
  <c r="DF42" i="19"/>
  <c r="DG42" i="19"/>
  <c r="DH42" i="19"/>
  <c r="DI42" i="19"/>
  <c r="DJ42" i="19"/>
  <c r="DK42" i="19"/>
  <c r="DL42" i="19"/>
  <c r="DM42" i="19"/>
  <c r="DN42" i="19"/>
  <c r="DO42" i="19"/>
  <c r="DP42" i="19"/>
  <c r="DQ42" i="19"/>
  <c r="DR42" i="19"/>
  <c r="DS42" i="19"/>
  <c r="DT42" i="19"/>
  <c r="DU42" i="19"/>
  <c r="DV42" i="19"/>
  <c r="DW42" i="19"/>
  <c r="DX42" i="19"/>
  <c r="DY42" i="19"/>
  <c r="DZ42" i="19"/>
  <c r="EA42" i="19"/>
  <c r="EB42" i="19"/>
  <c r="EC42" i="19"/>
  <c r="ED42" i="19"/>
  <c r="EE42" i="19"/>
  <c r="EF42" i="19"/>
  <c r="EG42" i="19"/>
  <c r="EH42" i="19"/>
  <c r="EI42" i="19"/>
  <c r="EJ42" i="19"/>
  <c r="EK42" i="19"/>
  <c r="EL42" i="19"/>
  <c r="EM42" i="19"/>
  <c r="EN42" i="19"/>
  <c r="EO42" i="19"/>
  <c r="EP42" i="19"/>
  <c r="EQ42" i="19"/>
  <c r="ER42" i="19"/>
  <c r="ES42" i="19"/>
  <c r="ET42" i="19"/>
  <c r="EU42" i="19"/>
  <c r="EV42" i="19"/>
  <c r="EW42" i="19"/>
  <c r="EX42" i="19"/>
  <c r="EY42" i="19"/>
  <c r="EZ42" i="19"/>
  <c r="FA42" i="19"/>
  <c r="FB42" i="19"/>
  <c r="FC42" i="19"/>
  <c r="FD42" i="19"/>
  <c r="FE42" i="19"/>
  <c r="FF42" i="19"/>
  <c r="FG42" i="19"/>
  <c r="FH42" i="19"/>
  <c r="FI42" i="19"/>
  <c r="FJ42" i="19"/>
  <c r="FK42" i="19"/>
  <c r="FL42" i="19"/>
  <c r="FM42" i="19"/>
  <c r="FN42" i="19"/>
  <c r="FO42" i="19"/>
  <c r="FP42" i="19"/>
  <c r="FQ42" i="19"/>
  <c r="FR42" i="19"/>
  <c r="FS42" i="19"/>
  <c r="FT42" i="19"/>
  <c r="FU42" i="19"/>
  <c r="FV42" i="19"/>
  <c r="FW42" i="19"/>
  <c r="FX42" i="19"/>
  <c r="FY42" i="19"/>
  <c r="FZ42" i="19"/>
  <c r="GA42" i="19"/>
  <c r="GB42" i="19"/>
  <c r="GC42" i="19"/>
  <c r="GD42" i="19"/>
  <c r="GE42" i="19"/>
  <c r="GF42" i="19"/>
  <c r="GG42" i="19"/>
  <c r="GH42" i="19"/>
  <c r="GI42" i="19"/>
  <c r="GJ42" i="19"/>
  <c r="GK42" i="19"/>
  <c r="GL42" i="19"/>
  <c r="GM42" i="19"/>
  <c r="GN42" i="19"/>
  <c r="GO42" i="19"/>
  <c r="GP42" i="19"/>
  <c r="GQ42" i="19"/>
  <c r="GR42" i="19"/>
  <c r="GS42" i="19"/>
  <c r="GT42" i="19"/>
  <c r="GU42" i="19"/>
  <c r="GV42" i="19"/>
  <c r="GW42" i="19"/>
  <c r="GX42" i="19"/>
  <c r="GY42" i="19"/>
  <c r="GZ42" i="19"/>
  <c r="HA42" i="19"/>
  <c r="HB42" i="19"/>
  <c r="HC42" i="19"/>
  <c r="HD42" i="19"/>
  <c r="HE42" i="19"/>
  <c r="HF42" i="19"/>
  <c r="HG42" i="19"/>
  <c r="HH42" i="19"/>
  <c r="HI42" i="19"/>
  <c r="HJ42" i="19"/>
  <c r="HK42" i="19"/>
  <c r="HL42" i="19"/>
  <c r="HM42" i="19"/>
  <c r="HN42" i="19"/>
  <c r="HO42" i="19"/>
  <c r="HP42" i="19"/>
  <c r="HQ42" i="19"/>
  <c r="HR42" i="19"/>
  <c r="HS42" i="19"/>
  <c r="HT42" i="19"/>
  <c r="HU42" i="19"/>
  <c r="HV42" i="19"/>
  <c r="HW42" i="19"/>
  <c r="HX42" i="19"/>
  <c r="HY42" i="19"/>
  <c r="HZ42" i="19"/>
  <c r="IA42" i="19"/>
  <c r="IB42" i="19"/>
  <c r="IC42" i="19"/>
  <c r="ID42" i="19"/>
  <c r="IE42" i="19"/>
  <c r="IF42" i="19"/>
  <c r="IG42" i="19"/>
  <c r="IH42" i="19"/>
  <c r="II42" i="19"/>
  <c r="IJ42" i="19"/>
  <c r="IK42" i="19"/>
  <c r="IL42" i="19"/>
  <c r="IM42" i="19"/>
  <c r="IN42" i="19"/>
  <c r="IO42" i="19"/>
  <c r="IP42" i="19"/>
  <c r="IQ42" i="19"/>
  <c r="IR42" i="19"/>
  <c r="IS42" i="19"/>
  <c r="IT42" i="19"/>
  <c r="IU42" i="19"/>
  <c r="IV42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AF43" i="19"/>
  <c r="AG43" i="19"/>
  <c r="AH43" i="19"/>
  <c r="AI43" i="19"/>
  <c r="AJ43" i="19"/>
  <c r="AK43" i="19"/>
  <c r="AL43" i="19"/>
  <c r="AM43" i="19"/>
  <c r="AN43" i="19"/>
  <c r="AO43" i="19"/>
  <c r="AP43" i="19"/>
  <c r="AQ43" i="19"/>
  <c r="AR43" i="19"/>
  <c r="AS43" i="19"/>
  <c r="AT43" i="19"/>
  <c r="AU43" i="19"/>
  <c r="AV43" i="19"/>
  <c r="AW43" i="19"/>
  <c r="AX43" i="19"/>
  <c r="AY43" i="19"/>
  <c r="AZ43" i="19"/>
  <c r="BA43" i="19"/>
  <c r="BB43" i="19"/>
  <c r="BC43" i="19"/>
  <c r="BD43" i="19"/>
  <c r="BE43" i="19"/>
  <c r="BF43" i="19"/>
  <c r="BG43" i="19"/>
  <c r="BH43" i="19"/>
  <c r="BI43" i="19"/>
  <c r="BJ43" i="19"/>
  <c r="BK43" i="19"/>
  <c r="BL43" i="19"/>
  <c r="BM43" i="19"/>
  <c r="BN43" i="19"/>
  <c r="BO43" i="19"/>
  <c r="BP43" i="19"/>
  <c r="BQ43" i="19"/>
  <c r="BR43" i="19"/>
  <c r="BS43" i="19"/>
  <c r="BT43" i="19"/>
  <c r="BU43" i="19"/>
  <c r="BV43" i="19"/>
  <c r="BW43" i="19"/>
  <c r="BX43" i="19"/>
  <c r="BY43" i="19"/>
  <c r="BZ43" i="19"/>
  <c r="CA43" i="19"/>
  <c r="CB43" i="19"/>
  <c r="CC43" i="19"/>
  <c r="CD43" i="19"/>
  <c r="CE43" i="19"/>
  <c r="CF43" i="19"/>
  <c r="CG43" i="19"/>
  <c r="CH43" i="19"/>
  <c r="CI43" i="19"/>
  <c r="CJ43" i="19"/>
  <c r="CK43" i="19"/>
  <c r="CL43" i="19"/>
  <c r="CM43" i="19"/>
  <c r="CN43" i="19"/>
  <c r="CO43" i="19"/>
  <c r="CP43" i="19"/>
  <c r="CQ43" i="19"/>
  <c r="CR43" i="19"/>
  <c r="CS43" i="19"/>
  <c r="CT43" i="19"/>
  <c r="CU43" i="19"/>
  <c r="CV43" i="19"/>
  <c r="CW43" i="19"/>
  <c r="CX43" i="19"/>
  <c r="CY43" i="19"/>
  <c r="CZ43" i="19"/>
  <c r="DA43" i="19"/>
  <c r="DB43" i="19"/>
  <c r="DC43" i="19"/>
  <c r="DD43" i="19"/>
  <c r="DE43" i="19"/>
  <c r="DF43" i="19"/>
  <c r="DG43" i="19"/>
  <c r="DH43" i="19"/>
  <c r="DI43" i="19"/>
  <c r="DJ43" i="19"/>
  <c r="DK43" i="19"/>
  <c r="DL43" i="19"/>
  <c r="DM43" i="19"/>
  <c r="DN43" i="19"/>
  <c r="DO43" i="19"/>
  <c r="DP43" i="19"/>
  <c r="DQ43" i="19"/>
  <c r="DR43" i="19"/>
  <c r="DS43" i="19"/>
  <c r="DT43" i="19"/>
  <c r="DU43" i="19"/>
  <c r="DV43" i="19"/>
  <c r="DW43" i="19"/>
  <c r="DX43" i="19"/>
  <c r="DY43" i="19"/>
  <c r="DZ43" i="19"/>
  <c r="EA43" i="19"/>
  <c r="EB43" i="19"/>
  <c r="EC43" i="19"/>
  <c r="ED43" i="19"/>
  <c r="EE43" i="19"/>
  <c r="EF43" i="19"/>
  <c r="EG43" i="19"/>
  <c r="EH43" i="19"/>
  <c r="EI43" i="19"/>
  <c r="EJ43" i="19"/>
  <c r="EK43" i="19"/>
  <c r="EL43" i="19"/>
  <c r="EM43" i="19"/>
  <c r="EN43" i="19"/>
  <c r="EO43" i="19"/>
  <c r="EP43" i="19"/>
  <c r="EQ43" i="19"/>
  <c r="ER43" i="19"/>
  <c r="ES43" i="19"/>
  <c r="ET43" i="19"/>
  <c r="EU43" i="19"/>
  <c r="EV43" i="19"/>
  <c r="EW43" i="19"/>
  <c r="EX43" i="19"/>
  <c r="EY43" i="19"/>
  <c r="EZ43" i="19"/>
  <c r="FA43" i="19"/>
  <c r="FB43" i="19"/>
  <c r="FC43" i="19"/>
  <c r="FD43" i="19"/>
  <c r="FE43" i="19"/>
  <c r="FF43" i="19"/>
  <c r="FG43" i="19"/>
  <c r="FH43" i="19"/>
  <c r="FI43" i="19"/>
  <c r="FJ43" i="19"/>
  <c r="FK43" i="19"/>
  <c r="FL43" i="19"/>
  <c r="FM43" i="19"/>
  <c r="FN43" i="19"/>
  <c r="FO43" i="19"/>
  <c r="FP43" i="19"/>
  <c r="FQ43" i="19"/>
  <c r="FR43" i="19"/>
  <c r="FS43" i="19"/>
  <c r="FT43" i="19"/>
  <c r="FU43" i="19"/>
  <c r="FV43" i="19"/>
  <c r="FW43" i="19"/>
  <c r="FX43" i="19"/>
  <c r="FY43" i="19"/>
  <c r="FZ43" i="19"/>
  <c r="GA43" i="19"/>
  <c r="GB43" i="19"/>
  <c r="GC43" i="19"/>
  <c r="GD43" i="19"/>
  <c r="GE43" i="19"/>
  <c r="GF43" i="19"/>
  <c r="GG43" i="19"/>
  <c r="GH43" i="19"/>
  <c r="GI43" i="19"/>
  <c r="GJ43" i="19"/>
  <c r="GK43" i="19"/>
  <c r="GL43" i="19"/>
  <c r="GM43" i="19"/>
  <c r="GN43" i="19"/>
  <c r="GO43" i="19"/>
  <c r="GP43" i="19"/>
  <c r="GQ43" i="19"/>
  <c r="GR43" i="19"/>
  <c r="GS43" i="19"/>
  <c r="GT43" i="19"/>
  <c r="GU43" i="19"/>
  <c r="GV43" i="19"/>
  <c r="GW43" i="19"/>
  <c r="GX43" i="19"/>
  <c r="GY43" i="19"/>
  <c r="GZ43" i="19"/>
  <c r="HA43" i="19"/>
  <c r="HB43" i="19"/>
  <c r="HC43" i="19"/>
  <c r="HD43" i="19"/>
  <c r="HE43" i="19"/>
  <c r="HF43" i="19"/>
  <c r="HG43" i="19"/>
  <c r="HH43" i="19"/>
  <c r="HI43" i="19"/>
  <c r="HJ43" i="19"/>
  <c r="HK43" i="19"/>
  <c r="HL43" i="19"/>
  <c r="HM43" i="19"/>
  <c r="HN43" i="19"/>
  <c r="HO43" i="19"/>
  <c r="HP43" i="19"/>
  <c r="HQ43" i="19"/>
  <c r="HR43" i="19"/>
  <c r="HS43" i="19"/>
  <c r="HT43" i="19"/>
  <c r="HU43" i="19"/>
  <c r="HV43" i="19"/>
  <c r="HW43" i="19"/>
  <c r="HX43" i="19"/>
  <c r="HY43" i="19"/>
  <c r="HZ43" i="19"/>
  <c r="IA43" i="19"/>
  <c r="IB43" i="19"/>
  <c r="IC43" i="19"/>
  <c r="ID43" i="19"/>
  <c r="IE43" i="19"/>
  <c r="IF43" i="19"/>
  <c r="IG43" i="19"/>
  <c r="IH43" i="19"/>
  <c r="II43" i="19"/>
  <c r="IJ43" i="19"/>
  <c r="IK43" i="19"/>
  <c r="IL43" i="19"/>
  <c r="IM43" i="19"/>
  <c r="IN43" i="19"/>
  <c r="IO43" i="19"/>
  <c r="IP43" i="19"/>
  <c r="IQ43" i="19"/>
  <c r="IR43" i="19"/>
  <c r="IS43" i="19"/>
  <c r="IT43" i="19"/>
  <c r="IU43" i="19"/>
  <c r="IV43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AP44" i="19"/>
  <c r="AQ44" i="19"/>
  <c r="AR44" i="19"/>
  <c r="AS44" i="19"/>
  <c r="AT44" i="19"/>
  <c r="AU44" i="19"/>
  <c r="AV44" i="19"/>
  <c r="AW44" i="19"/>
  <c r="AX44" i="19"/>
  <c r="AY44" i="19"/>
  <c r="AZ44" i="19"/>
  <c r="BA44" i="19"/>
  <c r="BB44" i="19"/>
  <c r="BC44" i="19"/>
  <c r="BD44" i="19"/>
  <c r="BE44" i="19"/>
  <c r="BF44" i="19"/>
  <c r="BG44" i="19"/>
  <c r="BH44" i="19"/>
  <c r="BI44" i="19"/>
  <c r="BJ44" i="19"/>
  <c r="BK44" i="19"/>
  <c r="BL44" i="19"/>
  <c r="BM44" i="19"/>
  <c r="BN44" i="19"/>
  <c r="BO44" i="19"/>
  <c r="BP44" i="19"/>
  <c r="BQ44" i="19"/>
  <c r="BR44" i="19"/>
  <c r="BS44" i="19"/>
  <c r="BT44" i="19"/>
  <c r="BU44" i="19"/>
  <c r="BV44" i="19"/>
  <c r="BW44" i="19"/>
  <c r="BX44" i="19"/>
  <c r="BY44" i="19"/>
  <c r="BZ44" i="19"/>
  <c r="CA44" i="19"/>
  <c r="CB44" i="19"/>
  <c r="CC44" i="19"/>
  <c r="CD44" i="19"/>
  <c r="CE44" i="19"/>
  <c r="CF44" i="19"/>
  <c r="CG44" i="19"/>
  <c r="CH44" i="19"/>
  <c r="CI44" i="19"/>
  <c r="CJ44" i="19"/>
  <c r="CK44" i="19"/>
  <c r="CL44" i="19"/>
  <c r="CM44" i="19"/>
  <c r="CN44" i="19"/>
  <c r="CO44" i="19"/>
  <c r="CP44" i="19"/>
  <c r="CQ44" i="19"/>
  <c r="CR44" i="19"/>
  <c r="CS44" i="19"/>
  <c r="CT44" i="19"/>
  <c r="CU44" i="19"/>
  <c r="CV44" i="19"/>
  <c r="CW44" i="19"/>
  <c r="CX44" i="19"/>
  <c r="CY44" i="19"/>
  <c r="CZ44" i="19"/>
  <c r="DA44" i="19"/>
  <c r="DB44" i="19"/>
  <c r="DC44" i="19"/>
  <c r="DD44" i="19"/>
  <c r="DE44" i="19"/>
  <c r="DF44" i="19"/>
  <c r="DG44" i="19"/>
  <c r="DH44" i="19"/>
  <c r="DI44" i="19"/>
  <c r="DJ44" i="19"/>
  <c r="DK44" i="19"/>
  <c r="DL44" i="19"/>
  <c r="DM44" i="19"/>
  <c r="DN44" i="19"/>
  <c r="DO44" i="19"/>
  <c r="DP44" i="19"/>
  <c r="DQ44" i="19"/>
  <c r="DR44" i="19"/>
  <c r="DS44" i="19"/>
  <c r="DT44" i="19"/>
  <c r="DU44" i="19"/>
  <c r="DV44" i="19"/>
  <c r="DW44" i="19"/>
  <c r="DX44" i="19"/>
  <c r="DY44" i="19"/>
  <c r="DZ44" i="19"/>
  <c r="EA44" i="19"/>
  <c r="EB44" i="19"/>
  <c r="EC44" i="19"/>
  <c r="ED44" i="19"/>
  <c r="EE44" i="19"/>
  <c r="EF44" i="19"/>
  <c r="EG44" i="19"/>
  <c r="EH44" i="19"/>
  <c r="EI44" i="19"/>
  <c r="EJ44" i="19"/>
  <c r="EK44" i="19"/>
  <c r="EL44" i="19"/>
  <c r="EM44" i="19"/>
  <c r="EN44" i="19"/>
  <c r="EO44" i="19"/>
  <c r="EP44" i="19"/>
  <c r="EQ44" i="19"/>
  <c r="ER44" i="19"/>
  <c r="ES44" i="19"/>
  <c r="ET44" i="19"/>
  <c r="EU44" i="19"/>
  <c r="EV44" i="19"/>
  <c r="EW44" i="19"/>
  <c r="EX44" i="19"/>
  <c r="EY44" i="19"/>
  <c r="EZ44" i="19"/>
  <c r="FA44" i="19"/>
  <c r="FB44" i="19"/>
  <c r="FC44" i="19"/>
  <c r="FD44" i="19"/>
  <c r="FE44" i="19"/>
  <c r="FF44" i="19"/>
  <c r="FG44" i="19"/>
  <c r="FH44" i="19"/>
  <c r="FI44" i="19"/>
  <c r="FJ44" i="19"/>
  <c r="FK44" i="19"/>
  <c r="FL44" i="19"/>
  <c r="FM44" i="19"/>
  <c r="FN44" i="19"/>
  <c r="FO44" i="19"/>
  <c r="FP44" i="19"/>
  <c r="FQ44" i="19"/>
  <c r="FR44" i="19"/>
  <c r="FS44" i="19"/>
  <c r="FT44" i="19"/>
  <c r="FU44" i="19"/>
  <c r="FV44" i="19"/>
  <c r="FW44" i="19"/>
  <c r="FX44" i="19"/>
  <c r="FY44" i="19"/>
  <c r="FZ44" i="19"/>
  <c r="GA44" i="19"/>
  <c r="GB44" i="19"/>
  <c r="GC44" i="19"/>
  <c r="GD44" i="19"/>
  <c r="GE44" i="19"/>
  <c r="GF44" i="19"/>
  <c r="GG44" i="19"/>
  <c r="GH44" i="19"/>
  <c r="GI44" i="19"/>
  <c r="GJ44" i="19"/>
  <c r="GK44" i="19"/>
  <c r="GL44" i="19"/>
  <c r="GM44" i="19"/>
  <c r="GN44" i="19"/>
  <c r="GO44" i="19"/>
  <c r="GP44" i="19"/>
  <c r="GQ44" i="19"/>
  <c r="GR44" i="19"/>
  <c r="GS44" i="19"/>
  <c r="GT44" i="19"/>
  <c r="GU44" i="19"/>
  <c r="GV44" i="19"/>
  <c r="GW44" i="19"/>
  <c r="GX44" i="19"/>
  <c r="GY44" i="19"/>
  <c r="GZ44" i="19"/>
  <c r="HA44" i="19"/>
  <c r="HB44" i="19"/>
  <c r="HC44" i="19"/>
  <c r="HD44" i="19"/>
  <c r="HE44" i="19"/>
  <c r="HF44" i="19"/>
  <c r="HG44" i="19"/>
  <c r="HH44" i="19"/>
  <c r="HI44" i="19"/>
  <c r="HJ44" i="19"/>
  <c r="HK44" i="19"/>
  <c r="HL44" i="19"/>
  <c r="HM44" i="19"/>
  <c r="HN44" i="19"/>
  <c r="HO44" i="19"/>
  <c r="HP44" i="19"/>
  <c r="HQ44" i="19"/>
  <c r="HR44" i="19"/>
  <c r="HS44" i="19"/>
  <c r="HT44" i="19"/>
  <c r="HU44" i="19"/>
  <c r="HV44" i="19"/>
  <c r="HW44" i="19"/>
  <c r="HX44" i="19"/>
  <c r="HY44" i="19"/>
  <c r="HZ44" i="19"/>
  <c r="IA44" i="19"/>
  <c r="IB44" i="19"/>
  <c r="IC44" i="19"/>
  <c r="ID44" i="19"/>
  <c r="IE44" i="19"/>
  <c r="IF44" i="19"/>
  <c r="IG44" i="19"/>
  <c r="IH44" i="19"/>
  <c r="II44" i="19"/>
  <c r="IJ44" i="19"/>
  <c r="IK44" i="19"/>
  <c r="IL44" i="19"/>
  <c r="IM44" i="19"/>
  <c r="IN44" i="19"/>
  <c r="IO44" i="19"/>
  <c r="IP44" i="19"/>
  <c r="IQ44" i="19"/>
  <c r="IR44" i="19"/>
  <c r="IS44" i="19"/>
  <c r="IT44" i="19"/>
  <c r="IU44" i="19"/>
  <c r="IV44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AN45" i="19"/>
  <c r="AO45" i="19"/>
  <c r="AP45" i="19"/>
  <c r="AQ45" i="19"/>
  <c r="AR45" i="19"/>
  <c r="AS45" i="19"/>
  <c r="AT45" i="19"/>
  <c r="AU45" i="19"/>
  <c r="AV45" i="19"/>
  <c r="AW45" i="19"/>
  <c r="AX45" i="19"/>
  <c r="AY45" i="19"/>
  <c r="AZ45" i="19"/>
  <c r="BA45" i="19"/>
  <c r="BB45" i="19"/>
  <c r="BC45" i="19"/>
  <c r="BD45" i="19"/>
  <c r="BE45" i="19"/>
  <c r="BF45" i="19"/>
  <c r="BG45" i="19"/>
  <c r="BH45" i="19"/>
  <c r="BI45" i="19"/>
  <c r="BJ45" i="19"/>
  <c r="BK45" i="19"/>
  <c r="BL45" i="19"/>
  <c r="BM45" i="19"/>
  <c r="BN45" i="19"/>
  <c r="BO45" i="19"/>
  <c r="BP45" i="19"/>
  <c r="BQ45" i="19"/>
  <c r="BR45" i="19"/>
  <c r="BS45" i="19"/>
  <c r="BT45" i="19"/>
  <c r="BU45" i="19"/>
  <c r="BV45" i="19"/>
  <c r="BW45" i="19"/>
  <c r="BX45" i="19"/>
  <c r="BY45" i="19"/>
  <c r="BZ45" i="19"/>
  <c r="CA45" i="19"/>
  <c r="CB45" i="19"/>
  <c r="CC45" i="19"/>
  <c r="CD45" i="19"/>
  <c r="CE45" i="19"/>
  <c r="CF45" i="19"/>
  <c r="CG45" i="19"/>
  <c r="CH45" i="19"/>
  <c r="CI45" i="19"/>
  <c r="CJ45" i="19"/>
  <c r="CK45" i="19"/>
  <c r="CL45" i="19"/>
  <c r="CM45" i="19"/>
  <c r="CN45" i="19"/>
  <c r="CO45" i="19"/>
  <c r="CP45" i="19"/>
  <c r="CQ45" i="19"/>
  <c r="CR45" i="19"/>
  <c r="CS45" i="19"/>
  <c r="CT45" i="19"/>
  <c r="CU45" i="19"/>
  <c r="CV45" i="19"/>
  <c r="CW45" i="19"/>
  <c r="CX45" i="19"/>
  <c r="CY45" i="19"/>
  <c r="CZ45" i="19"/>
  <c r="DA45" i="19"/>
  <c r="DB45" i="19"/>
  <c r="DC45" i="19"/>
  <c r="DD45" i="19"/>
  <c r="DE45" i="19"/>
  <c r="DF45" i="19"/>
  <c r="DG45" i="19"/>
  <c r="DH45" i="19"/>
  <c r="DI45" i="19"/>
  <c r="DJ45" i="19"/>
  <c r="DK45" i="19"/>
  <c r="DL45" i="19"/>
  <c r="DM45" i="19"/>
  <c r="DN45" i="19"/>
  <c r="DO45" i="19"/>
  <c r="DP45" i="19"/>
  <c r="DQ45" i="19"/>
  <c r="DR45" i="19"/>
  <c r="DS45" i="19"/>
  <c r="DT45" i="19"/>
  <c r="DU45" i="19"/>
  <c r="DV45" i="19"/>
  <c r="DW45" i="19"/>
  <c r="DX45" i="19"/>
  <c r="DY45" i="19"/>
  <c r="DZ45" i="19"/>
  <c r="EA45" i="19"/>
  <c r="EB45" i="19"/>
  <c r="EC45" i="19"/>
  <c r="ED45" i="19"/>
  <c r="EE45" i="19"/>
  <c r="EF45" i="19"/>
  <c r="EG45" i="19"/>
  <c r="EH45" i="19"/>
  <c r="EI45" i="19"/>
  <c r="EJ45" i="19"/>
  <c r="EK45" i="19"/>
  <c r="EL45" i="19"/>
  <c r="EM45" i="19"/>
  <c r="EN45" i="19"/>
  <c r="EO45" i="19"/>
  <c r="EP45" i="19"/>
  <c r="EQ45" i="19"/>
  <c r="ER45" i="19"/>
  <c r="ES45" i="19"/>
  <c r="ET45" i="19"/>
  <c r="EU45" i="19"/>
  <c r="EV45" i="19"/>
  <c r="EW45" i="19"/>
  <c r="EX45" i="19"/>
  <c r="EY45" i="19"/>
  <c r="EZ45" i="19"/>
  <c r="FA45" i="19"/>
  <c r="FB45" i="19"/>
  <c r="FC45" i="19"/>
  <c r="FD45" i="19"/>
  <c r="FE45" i="19"/>
  <c r="FF45" i="19"/>
  <c r="FG45" i="19"/>
  <c r="FH45" i="19"/>
  <c r="FI45" i="19"/>
  <c r="FJ45" i="19"/>
  <c r="FK45" i="19"/>
  <c r="FL45" i="19"/>
  <c r="FM45" i="19"/>
  <c r="FN45" i="19"/>
  <c r="FO45" i="19"/>
  <c r="FP45" i="19"/>
  <c r="FQ45" i="19"/>
  <c r="FR45" i="19"/>
  <c r="FS45" i="19"/>
  <c r="FT45" i="19"/>
  <c r="FU45" i="19"/>
  <c r="FV45" i="19"/>
  <c r="FW45" i="19"/>
  <c r="FX45" i="19"/>
  <c r="FY45" i="19"/>
  <c r="FZ45" i="19"/>
  <c r="GA45" i="19"/>
  <c r="GB45" i="19"/>
  <c r="GC45" i="19"/>
  <c r="GD45" i="19"/>
  <c r="GE45" i="19"/>
  <c r="GF45" i="19"/>
  <c r="GG45" i="19"/>
  <c r="GH45" i="19"/>
  <c r="GI45" i="19"/>
  <c r="GJ45" i="19"/>
  <c r="GK45" i="19"/>
  <c r="GL45" i="19"/>
  <c r="GM45" i="19"/>
  <c r="GN45" i="19"/>
  <c r="GO45" i="19"/>
  <c r="GP45" i="19"/>
  <c r="GQ45" i="19"/>
  <c r="GR45" i="19"/>
  <c r="GS45" i="19"/>
  <c r="GT45" i="19"/>
  <c r="GU45" i="19"/>
  <c r="GV45" i="19"/>
  <c r="GW45" i="19"/>
  <c r="GX45" i="19"/>
  <c r="GY45" i="19"/>
  <c r="GZ45" i="19"/>
  <c r="HA45" i="19"/>
  <c r="HB45" i="19"/>
  <c r="HC45" i="19"/>
  <c r="HD45" i="19"/>
  <c r="HE45" i="19"/>
  <c r="HF45" i="19"/>
  <c r="HG45" i="19"/>
  <c r="HH45" i="19"/>
  <c r="HI45" i="19"/>
  <c r="HJ45" i="19"/>
  <c r="HK45" i="19"/>
  <c r="HL45" i="19"/>
  <c r="HM45" i="19"/>
  <c r="HN45" i="19"/>
  <c r="HO45" i="19"/>
  <c r="HP45" i="19"/>
  <c r="HQ45" i="19"/>
  <c r="HR45" i="19"/>
  <c r="HS45" i="19"/>
  <c r="HT45" i="19"/>
  <c r="HU45" i="19"/>
  <c r="HV45" i="19"/>
  <c r="HW45" i="19"/>
  <c r="HX45" i="19"/>
  <c r="HY45" i="19"/>
  <c r="HZ45" i="19"/>
  <c r="IA45" i="19"/>
  <c r="IB45" i="19"/>
  <c r="IC45" i="19"/>
  <c r="ID45" i="19"/>
  <c r="IE45" i="19"/>
  <c r="IF45" i="19"/>
  <c r="IG45" i="19"/>
  <c r="IH45" i="19"/>
  <c r="II45" i="19"/>
  <c r="IJ45" i="19"/>
  <c r="IK45" i="19"/>
  <c r="IL45" i="19"/>
  <c r="IM45" i="19"/>
  <c r="IN45" i="19"/>
  <c r="IO45" i="19"/>
  <c r="IP45" i="19"/>
  <c r="IQ45" i="19"/>
  <c r="IR45" i="19"/>
  <c r="IS45" i="19"/>
  <c r="IT45" i="19"/>
  <c r="IU45" i="19"/>
  <c r="IV45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AN46" i="19"/>
  <c r="AO46" i="19"/>
  <c r="AP46" i="19"/>
  <c r="AQ46" i="19"/>
  <c r="AR46" i="19"/>
  <c r="AS46" i="19"/>
  <c r="AT46" i="19"/>
  <c r="AU46" i="19"/>
  <c r="AV46" i="19"/>
  <c r="AW46" i="19"/>
  <c r="AX46" i="19"/>
  <c r="AY46" i="19"/>
  <c r="AZ46" i="19"/>
  <c r="BA46" i="19"/>
  <c r="BB46" i="19"/>
  <c r="BC46" i="19"/>
  <c r="BD46" i="19"/>
  <c r="BE46" i="19"/>
  <c r="BF46" i="19"/>
  <c r="BG46" i="19"/>
  <c r="BH46" i="19"/>
  <c r="BI46" i="19"/>
  <c r="BJ46" i="19"/>
  <c r="BK46" i="19"/>
  <c r="BL46" i="19"/>
  <c r="BM46" i="19"/>
  <c r="BN46" i="19"/>
  <c r="BO46" i="19"/>
  <c r="BP46" i="19"/>
  <c r="BQ46" i="19"/>
  <c r="BR46" i="19"/>
  <c r="BS46" i="19"/>
  <c r="BT46" i="19"/>
  <c r="BU46" i="19"/>
  <c r="BV46" i="19"/>
  <c r="BW46" i="19"/>
  <c r="BX46" i="19"/>
  <c r="BY46" i="19"/>
  <c r="BZ46" i="19"/>
  <c r="CA46" i="19"/>
  <c r="CB46" i="19"/>
  <c r="CC46" i="19"/>
  <c r="CD46" i="19"/>
  <c r="CE46" i="19"/>
  <c r="CF46" i="19"/>
  <c r="CG46" i="19"/>
  <c r="CH46" i="19"/>
  <c r="CI46" i="19"/>
  <c r="CJ46" i="19"/>
  <c r="CK46" i="19"/>
  <c r="CL46" i="19"/>
  <c r="CM46" i="19"/>
  <c r="CN46" i="19"/>
  <c r="CO46" i="19"/>
  <c r="CP46" i="19"/>
  <c r="CQ46" i="19"/>
  <c r="CR46" i="19"/>
  <c r="CS46" i="19"/>
  <c r="CT46" i="19"/>
  <c r="CU46" i="19"/>
  <c r="CV46" i="19"/>
  <c r="CW46" i="19"/>
  <c r="CX46" i="19"/>
  <c r="CY46" i="19"/>
  <c r="CZ46" i="19"/>
  <c r="DA46" i="19"/>
  <c r="DB46" i="19"/>
  <c r="DC46" i="19"/>
  <c r="DD46" i="19"/>
  <c r="DE46" i="19"/>
  <c r="DF46" i="19"/>
  <c r="DG46" i="19"/>
  <c r="DH46" i="19"/>
  <c r="DI46" i="19"/>
  <c r="DJ46" i="19"/>
  <c r="DK46" i="19"/>
  <c r="DL46" i="19"/>
  <c r="DM46" i="19"/>
  <c r="DN46" i="19"/>
  <c r="DO46" i="19"/>
  <c r="DP46" i="19"/>
  <c r="DQ46" i="19"/>
  <c r="DR46" i="19"/>
  <c r="DS46" i="19"/>
  <c r="DT46" i="19"/>
  <c r="DU46" i="19"/>
  <c r="DV46" i="19"/>
  <c r="DW46" i="19"/>
  <c r="DX46" i="19"/>
  <c r="DY46" i="19"/>
  <c r="DZ46" i="19"/>
  <c r="EA46" i="19"/>
  <c r="EB46" i="19"/>
  <c r="EC46" i="19"/>
  <c r="ED46" i="19"/>
  <c r="EE46" i="19"/>
  <c r="EF46" i="19"/>
  <c r="EG46" i="19"/>
  <c r="EH46" i="19"/>
  <c r="EI46" i="19"/>
  <c r="EJ46" i="19"/>
  <c r="EK46" i="19"/>
  <c r="EL46" i="19"/>
  <c r="EM46" i="19"/>
  <c r="EN46" i="19"/>
  <c r="EO46" i="19"/>
  <c r="EP46" i="19"/>
  <c r="EQ46" i="19"/>
  <c r="ER46" i="19"/>
  <c r="ES46" i="19"/>
  <c r="ET46" i="19"/>
  <c r="EU46" i="19"/>
  <c r="EV46" i="19"/>
  <c r="EW46" i="19"/>
  <c r="EX46" i="19"/>
  <c r="EY46" i="19"/>
  <c r="EZ46" i="19"/>
  <c r="FA46" i="19"/>
  <c r="FB46" i="19"/>
  <c r="FC46" i="19"/>
  <c r="FD46" i="19"/>
  <c r="FE46" i="19"/>
  <c r="FF46" i="19"/>
  <c r="FG46" i="19"/>
  <c r="FH46" i="19"/>
  <c r="FI46" i="19"/>
  <c r="FJ46" i="19"/>
  <c r="FK46" i="19"/>
  <c r="FL46" i="19"/>
  <c r="FM46" i="19"/>
  <c r="FN46" i="19"/>
  <c r="FO46" i="19"/>
  <c r="FP46" i="19"/>
  <c r="FQ46" i="19"/>
  <c r="FR46" i="19"/>
  <c r="FS46" i="19"/>
  <c r="FT46" i="19"/>
  <c r="FU46" i="19"/>
  <c r="FV46" i="19"/>
  <c r="FW46" i="19"/>
  <c r="FX46" i="19"/>
  <c r="FY46" i="19"/>
  <c r="FZ46" i="19"/>
  <c r="GA46" i="19"/>
  <c r="GB46" i="19"/>
  <c r="GC46" i="19"/>
  <c r="GD46" i="19"/>
  <c r="GE46" i="19"/>
  <c r="GF46" i="19"/>
  <c r="GG46" i="19"/>
  <c r="GH46" i="19"/>
  <c r="GI46" i="19"/>
  <c r="GJ46" i="19"/>
  <c r="GK46" i="19"/>
  <c r="GL46" i="19"/>
  <c r="GM46" i="19"/>
  <c r="GN46" i="19"/>
  <c r="GO46" i="19"/>
  <c r="GP46" i="19"/>
  <c r="GQ46" i="19"/>
  <c r="GR46" i="19"/>
  <c r="GS46" i="19"/>
  <c r="GT46" i="19"/>
  <c r="GU46" i="19"/>
  <c r="GV46" i="19"/>
  <c r="GW46" i="19"/>
  <c r="GX46" i="19"/>
  <c r="GY46" i="19"/>
  <c r="GZ46" i="19"/>
  <c r="HA46" i="19"/>
  <c r="HB46" i="19"/>
  <c r="HC46" i="19"/>
  <c r="HD46" i="19"/>
  <c r="HE46" i="19"/>
  <c r="HF46" i="19"/>
  <c r="HG46" i="19"/>
  <c r="HH46" i="19"/>
  <c r="HI46" i="19"/>
  <c r="HJ46" i="19"/>
  <c r="HK46" i="19"/>
  <c r="HL46" i="19"/>
  <c r="HM46" i="19"/>
  <c r="HN46" i="19"/>
  <c r="HO46" i="19"/>
  <c r="HP46" i="19"/>
  <c r="HQ46" i="19"/>
  <c r="HR46" i="19"/>
  <c r="HS46" i="19"/>
  <c r="HT46" i="19"/>
  <c r="HU46" i="19"/>
  <c r="HV46" i="19"/>
  <c r="HW46" i="19"/>
  <c r="HX46" i="19"/>
  <c r="HY46" i="19"/>
  <c r="HZ46" i="19"/>
  <c r="IA46" i="19"/>
  <c r="IB46" i="19"/>
  <c r="IC46" i="19"/>
  <c r="ID46" i="19"/>
  <c r="IE46" i="19"/>
  <c r="IF46" i="19"/>
  <c r="IG46" i="19"/>
  <c r="IH46" i="19"/>
  <c r="II46" i="19"/>
  <c r="IJ46" i="19"/>
  <c r="IK46" i="19"/>
  <c r="IL46" i="19"/>
  <c r="IM46" i="19"/>
  <c r="IN46" i="19"/>
  <c r="IO46" i="19"/>
  <c r="IP46" i="19"/>
  <c r="IQ46" i="19"/>
  <c r="IR46" i="19"/>
  <c r="IS46" i="19"/>
  <c r="IT46" i="19"/>
  <c r="IU46" i="19"/>
  <c r="IV46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AN47" i="19"/>
  <c r="AO47" i="19"/>
  <c r="AP47" i="19"/>
  <c r="AQ47" i="19"/>
  <c r="AR47" i="19"/>
  <c r="AS47" i="19"/>
  <c r="AT47" i="19"/>
  <c r="AU47" i="19"/>
  <c r="AV47" i="19"/>
  <c r="AW47" i="19"/>
  <c r="AX47" i="19"/>
  <c r="AY47" i="19"/>
  <c r="AZ47" i="19"/>
  <c r="BA47" i="19"/>
  <c r="BB47" i="19"/>
  <c r="BC47" i="19"/>
  <c r="BD47" i="19"/>
  <c r="BE47" i="19"/>
  <c r="BF47" i="19"/>
  <c r="BG47" i="19"/>
  <c r="BH47" i="19"/>
  <c r="BI47" i="19"/>
  <c r="BJ47" i="19"/>
  <c r="BK47" i="19"/>
  <c r="BL47" i="19"/>
  <c r="BM47" i="19"/>
  <c r="BN47" i="19"/>
  <c r="BO47" i="19"/>
  <c r="BP47" i="19"/>
  <c r="BQ47" i="19"/>
  <c r="BR47" i="19"/>
  <c r="BS47" i="19"/>
  <c r="BT47" i="19"/>
  <c r="BU47" i="19"/>
  <c r="BV47" i="19"/>
  <c r="BW47" i="19"/>
  <c r="BX47" i="19"/>
  <c r="BY47" i="19"/>
  <c r="BZ47" i="19"/>
  <c r="CA47" i="19"/>
  <c r="CB47" i="19"/>
  <c r="CC47" i="19"/>
  <c r="CD47" i="19"/>
  <c r="CE47" i="19"/>
  <c r="CF47" i="19"/>
  <c r="CG47" i="19"/>
  <c r="CH47" i="19"/>
  <c r="CI47" i="19"/>
  <c r="CJ47" i="19"/>
  <c r="CK47" i="19"/>
  <c r="CL47" i="19"/>
  <c r="CM47" i="19"/>
  <c r="CN47" i="19"/>
  <c r="CO47" i="19"/>
  <c r="CP47" i="19"/>
  <c r="CQ47" i="19"/>
  <c r="CR47" i="19"/>
  <c r="CS47" i="19"/>
  <c r="CT47" i="19"/>
  <c r="CU47" i="19"/>
  <c r="CV47" i="19"/>
  <c r="CW47" i="19"/>
  <c r="CX47" i="19"/>
  <c r="CY47" i="19"/>
  <c r="CZ47" i="19"/>
  <c r="DA47" i="19"/>
  <c r="DB47" i="19"/>
  <c r="DC47" i="19"/>
  <c r="DD47" i="19"/>
  <c r="DE47" i="19"/>
  <c r="DF47" i="19"/>
  <c r="DG47" i="19"/>
  <c r="DH47" i="19"/>
  <c r="DI47" i="19"/>
  <c r="DJ47" i="19"/>
  <c r="DK47" i="19"/>
  <c r="DL47" i="19"/>
  <c r="DM47" i="19"/>
  <c r="DN47" i="19"/>
  <c r="DO47" i="19"/>
  <c r="DP47" i="19"/>
  <c r="DQ47" i="19"/>
  <c r="DR47" i="19"/>
  <c r="DS47" i="19"/>
  <c r="DT47" i="19"/>
  <c r="DU47" i="19"/>
  <c r="DV47" i="19"/>
  <c r="DW47" i="19"/>
  <c r="DX47" i="19"/>
  <c r="DY47" i="19"/>
  <c r="DZ47" i="19"/>
  <c r="EA47" i="19"/>
  <c r="EB47" i="19"/>
  <c r="EC47" i="19"/>
  <c r="ED47" i="19"/>
  <c r="EE47" i="19"/>
  <c r="EF47" i="19"/>
  <c r="EG47" i="19"/>
  <c r="EH47" i="19"/>
  <c r="EI47" i="19"/>
  <c r="EJ47" i="19"/>
  <c r="EK47" i="19"/>
  <c r="EL47" i="19"/>
  <c r="EM47" i="19"/>
  <c r="EN47" i="19"/>
  <c r="EO47" i="19"/>
  <c r="EP47" i="19"/>
  <c r="EQ47" i="19"/>
  <c r="ER47" i="19"/>
  <c r="ES47" i="19"/>
  <c r="ET47" i="19"/>
  <c r="EU47" i="19"/>
  <c r="EV47" i="19"/>
  <c r="EW47" i="19"/>
  <c r="EX47" i="19"/>
  <c r="EY47" i="19"/>
  <c r="EZ47" i="19"/>
  <c r="FA47" i="19"/>
  <c r="FB47" i="19"/>
  <c r="FC47" i="19"/>
  <c r="FD47" i="19"/>
  <c r="FE47" i="19"/>
  <c r="FF47" i="19"/>
  <c r="FG47" i="19"/>
  <c r="FH47" i="19"/>
  <c r="FI47" i="19"/>
  <c r="FJ47" i="19"/>
  <c r="FK47" i="19"/>
  <c r="FL47" i="19"/>
  <c r="FM47" i="19"/>
  <c r="FN47" i="19"/>
  <c r="FO47" i="19"/>
  <c r="FP47" i="19"/>
  <c r="FQ47" i="19"/>
  <c r="FR47" i="19"/>
  <c r="FS47" i="19"/>
  <c r="FT47" i="19"/>
  <c r="FU47" i="19"/>
  <c r="FV47" i="19"/>
  <c r="FW47" i="19"/>
  <c r="FX47" i="19"/>
  <c r="FY47" i="19"/>
  <c r="FZ47" i="19"/>
  <c r="GA47" i="19"/>
  <c r="GB47" i="19"/>
  <c r="GC47" i="19"/>
  <c r="GD47" i="19"/>
  <c r="GE47" i="19"/>
  <c r="GF47" i="19"/>
  <c r="GG47" i="19"/>
  <c r="GH47" i="19"/>
  <c r="GI47" i="19"/>
  <c r="GJ47" i="19"/>
  <c r="GK47" i="19"/>
  <c r="GL47" i="19"/>
  <c r="GM47" i="19"/>
  <c r="GN47" i="19"/>
  <c r="GO47" i="19"/>
  <c r="GP47" i="19"/>
  <c r="GQ47" i="19"/>
  <c r="GR47" i="19"/>
  <c r="GS47" i="19"/>
  <c r="GT47" i="19"/>
  <c r="GU47" i="19"/>
  <c r="GV47" i="19"/>
  <c r="GW47" i="19"/>
  <c r="GX47" i="19"/>
  <c r="GY47" i="19"/>
  <c r="GZ47" i="19"/>
  <c r="HA47" i="19"/>
  <c r="HB47" i="19"/>
  <c r="HC47" i="19"/>
  <c r="HD47" i="19"/>
  <c r="HE47" i="19"/>
  <c r="HF47" i="19"/>
  <c r="HG47" i="19"/>
  <c r="HH47" i="19"/>
  <c r="HI47" i="19"/>
  <c r="HJ47" i="19"/>
  <c r="HK47" i="19"/>
  <c r="HL47" i="19"/>
  <c r="HM47" i="19"/>
  <c r="HN47" i="19"/>
  <c r="HO47" i="19"/>
  <c r="HP47" i="19"/>
  <c r="HQ47" i="19"/>
  <c r="HR47" i="19"/>
  <c r="HS47" i="19"/>
  <c r="HT47" i="19"/>
  <c r="HU47" i="19"/>
  <c r="HV47" i="19"/>
  <c r="HW47" i="19"/>
  <c r="HX47" i="19"/>
  <c r="HY47" i="19"/>
  <c r="HZ47" i="19"/>
  <c r="IA47" i="19"/>
  <c r="IB47" i="19"/>
  <c r="IC47" i="19"/>
  <c r="ID47" i="19"/>
  <c r="IE47" i="19"/>
  <c r="IF47" i="19"/>
  <c r="IG47" i="19"/>
  <c r="IH47" i="19"/>
  <c r="II47" i="19"/>
  <c r="IJ47" i="19"/>
  <c r="IK47" i="19"/>
  <c r="IL47" i="19"/>
  <c r="IM47" i="19"/>
  <c r="IN47" i="19"/>
  <c r="IO47" i="19"/>
  <c r="IP47" i="19"/>
  <c r="IQ47" i="19"/>
  <c r="IR47" i="19"/>
  <c r="IS47" i="19"/>
  <c r="IT47" i="19"/>
  <c r="IU47" i="19"/>
  <c r="IV47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AS48" i="19"/>
  <c r="AT48" i="19"/>
  <c r="AU48" i="19"/>
  <c r="AV48" i="19"/>
  <c r="AW48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BL48" i="19"/>
  <c r="BM48" i="19"/>
  <c r="BN48" i="19"/>
  <c r="BO48" i="19"/>
  <c r="BP48" i="19"/>
  <c r="BQ48" i="19"/>
  <c r="BR48" i="19"/>
  <c r="BS48" i="19"/>
  <c r="BT48" i="19"/>
  <c r="BU48" i="19"/>
  <c r="BV48" i="19"/>
  <c r="BW48" i="19"/>
  <c r="BX48" i="19"/>
  <c r="BY48" i="19"/>
  <c r="BZ48" i="19"/>
  <c r="CA48" i="19"/>
  <c r="CB48" i="19"/>
  <c r="CC48" i="19"/>
  <c r="CD48" i="19"/>
  <c r="CE48" i="19"/>
  <c r="CF48" i="19"/>
  <c r="CG48" i="19"/>
  <c r="CH48" i="19"/>
  <c r="CI48" i="19"/>
  <c r="CJ48" i="19"/>
  <c r="CK48" i="19"/>
  <c r="CL48" i="19"/>
  <c r="CM48" i="19"/>
  <c r="CN48" i="19"/>
  <c r="CO48" i="19"/>
  <c r="CP48" i="19"/>
  <c r="CQ48" i="19"/>
  <c r="CR48" i="19"/>
  <c r="CS48" i="19"/>
  <c r="CT48" i="19"/>
  <c r="CU48" i="19"/>
  <c r="CV48" i="19"/>
  <c r="CW48" i="19"/>
  <c r="CX48" i="19"/>
  <c r="CY48" i="19"/>
  <c r="CZ48" i="19"/>
  <c r="DA48" i="19"/>
  <c r="DB48" i="19"/>
  <c r="DC48" i="19"/>
  <c r="DD48" i="19"/>
  <c r="DE48" i="19"/>
  <c r="DF48" i="19"/>
  <c r="DG48" i="19"/>
  <c r="DH48" i="19"/>
  <c r="DI48" i="19"/>
  <c r="DJ48" i="19"/>
  <c r="DK48" i="19"/>
  <c r="DL48" i="19"/>
  <c r="DM48" i="19"/>
  <c r="DN48" i="19"/>
  <c r="DO48" i="19"/>
  <c r="DP48" i="19"/>
  <c r="DQ48" i="19"/>
  <c r="DR48" i="19"/>
  <c r="DS48" i="19"/>
  <c r="DT48" i="19"/>
  <c r="DU48" i="19"/>
  <c r="DV48" i="19"/>
  <c r="DW48" i="19"/>
  <c r="DX48" i="19"/>
  <c r="DY48" i="19"/>
  <c r="DZ48" i="19"/>
  <c r="EA48" i="19"/>
  <c r="EB48" i="19"/>
  <c r="EC48" i="19"/>
  <c r="ED48" i="19"/>
  <c r="EE48" i="19"/>
  <c r="EF48" i="19"/>
  <c r="EG48" i="19"/>
  <c r="EH48" i="19"/>
  <c r="EI48" i="19"/>
  <c r="EJ48" i="19"/>
  <c r="EK48" i="19"/>
  <c r="EL48" i="19"/>
  <c r="EM48" i="19"/>
  <c r="EN48" i="19"/>
  <c r="EO48" i="19"/>
  <c r="EP48" i="19"/>
  <c r="EQ48" i="19"/>
  <c r="ER48" i="19"/>
  <c r="ES48" i="19"/>
  <c r="ET48" i="19"/>
  <c r="EU48" i="19"/>
  <c r="EV48" i="19"/>
  <c r="EW48" i="19"/>
  <c r="EX48" i="19"/>
  <c r="EY48" i="19"/>
  <c r="EZ48" i="19"/>
  <c r="FA48" i="19"/>
  <c r="FB48" i="19"/>
  <c r="FC48" i="19"/>
  <c r="FD48" i="19"/>
  <c r="FE48" i="19"/>
  <c r="FF48" i="19"/>
  <c r="FG48" i="19"/>
  <c r="FH48" i="19"/>
  <c r="FI48" i="19"/>
  <c r="FJ48" i="19"/>
  <c r="FK48" i="19"/>
  <c r="FL48" i="19"/>
  <c r="FM48" i="19"/>
  <c r="FN48" i="19"/>
  <c r="FO48" i="19"/>
  <c r="FP48" i="19"/>
  <c r="FQ48" i="19"/>
  <c r="FR48" i="19"/>
  <c r="FS48" i="19"/>
  <c r="FT48" i="19"/>
  <c r="FU48" i="19"/>
  <c r="FV48" i="19"/>
  <c r="FW48" i="19"/>
  <c r="FX48" i="19"/>
  <c r="FY48" i="19"/>
  <c r="FZ48" i="19"/>
  <c r="GA48" i="19"/>
  <c r="GB48" i="19"/>
  <c r="GC48" i="19"/>
  <c r="GD48" i="19"/>
  <c r="GE48" i="19"/>
  <c r="GF48" i="19"/>
  <c r="GG48" i="19"/>
  <c r="GH48" i="19"/>
  <c r="GI48" i="19"/>
  <c r="GJ48" i="19"/>
  <c r="GK48" i="19"/>
  <c r="GL48" i="19"/>
  <c r="GM48" i="19"/>
  <c r="GN48" i="19"/>
  <c r="GO48" i="19"/>
  <c r="GP48" i="19"/>
  <c r="GQ48" i="19"/>
  <c r="GR48" i="19"/>
  <c r="GS48" i="19"/>
  <c r="GT48" i="19"/>
  <c r="GU48" i="19"/>
  <c r="GV48" i="19"/>
  <c r="GW48" i="19"/>
  <c r="GX48" i="19"/>
  <c r="GY48" i="19"/>
  <c r="GZ48" i="19"/>
  <c r="HA48" i="19"/>
  <c r="HB48" i="19"/>
  <c r="HC48" i="19"/>
  <c r="HD48" i="19"/>
  <c r="HE48" i="19"/>
  <c r="HF48" i="19"/>
  <c r="HG48" i="19"/>
  <c r="HH48" i="19"/>
  <c r="HI48" i="19"/>
  <c r="HJ48" i="19"/>
  <c r="HK48" i="19"/>
  <c r="HL48" i="19"/>
  <c r="HM48" i="19"/>
  <c r="HN48" i="19"/>
  <c r="HO48" i="19"/>
  <c r="HP48" i="19"/>
  <c r="HQ48" i="19"/>
  <c r="HR48" i="19"/>
  <c r="HS48" i="19"/>
  <c r="HT48" i="19"/>
  <c r="HU48" i="19"/>
  <c r="HV48" i="19"/>
  <c r="HW48" i="19"/>
  <c r="HX48" i="19"/>
  <c r="HY48" i="19"/>
  <c r="HZ48" i="19"/>
  <c r="IA48" i="19"/>
  <c r="IB48" i="19"/>
  <c r="IC48" i="19"/>
  <c r="ID48" i="19"/>
  <c r="IE48" i="19"/>
  <c r="IF48" i="19"/>
  <c r="IG48" i="19"/>
  <c r="IH48" i="19"/>
  <c r="II48" i="19"/>
  <c r="IJ48" i="19"/>
  <c r="IK48" i="19"/>
  <c r="IL48" i="19"/>
  <c r="IM48" i="19"/>
  <c r="IN48" i="19"/>
  <c r="IO48" i="19"/>
  <c r="IP48" i="19"/>
  <c r="IQ48" i="19"/>
  <c r="IR48" i="19"/>
  <c r="IS48" i="19"/>
  <c r="IT48" i="19"/>
  <c r="IU48" i="19"/>
  <c r="IV48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AS49" i="19"/>
  <c r="AT49" i="19"/>
  <c r="AU49" i="19"/>
  <c r="AV49" i="19"/>
  <c r="AW49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BL49" i="19"/>
  <c r="BM49" i="19"/>
  <c r="BN49" i="19"/>
  <c r="BO49" i="19"/>
  <c r="BP49" i="19"/>
  <c r="BQ49" i="19"/>
  <c r="BR49" i="19"/>
  <c r="BS49" i="19"/>
  <c r="BT49" i="19"/>
  <c r="BU49" i="19"/>
  <c r="BV49" i="19"/>
  <c r="BW49" i="19"/>
  <c r="BX49" i="19"/>
  <c r="BY49" i="19"/>
  <c r="BZ49" i="19"/>
  <c r="CA49" i="19"/>
  <c r="CB49" i="19"/>
  <c r="CC49" i="19"/>
  <c r="CD49" i="19"/>
  <c r="CE49" i="19"/>
  <c r="CF49" i="19"/>
  <c r="CG49" i="19"/>
  <c r="CH49" i="19"/>
  <c r="CI49" i="19"/>
  <c r="CJ49" i="19"/>
  <c r="CK49" i="19"/>
  <c r="CL49" i="19"/>
  <c r="CM49" i="19"/>
  <c r="CN49" i="19"/>
  <c r="CO49" i="19"/>
  <c r="CP49" i="19"/>
  <c r="CQ49" i="19"/>
  <c r="CR49" i="19"/>
  <c r="CS49" i="19"/>
  <c r="CT49" i="19"/>
  <c r="CU49" i="19"/>
  <c r="CV49" i="19"/>
  <c r="CW49" i="19"/>
  <c r="CX49" i="19"/>
  <c r="CY49" i="19"/>
  <c r="CZ49" i="19"/>
  <c r="DA49" i="19"/>
  <c r="DB49" i="19"/>
  <c r="DC49" i="19"/>
  <c r="DD49" i="19"/>
  <c r="DE49" i="19"/>
  <c r="DF49" i="19"/>
  <c r="DG49" i="19"/>
  <c r="DH49" i="19"/>
  <c r="DI49" i="19"/>
  <c r="DJ49" i="19"/>
  <c r="DK49" i="19"/>
  <c r="DL49" i="19"/>
  <c r="DM49" i="19"/>
  <c r="DN49" i="19"/>
  <c r="DO49" i="19"/>
  <c r="DP49" i="19"/>
  <c r="DQ49" i="19"/>
  <c r="DR49" i="19"/>
  <c r="DS49" i="19"/>
  <c r="DT49" i="19"/>
  <c r="DU49" i="19"/>
  <c r="DV49" i="19"/>
  <c r="DW49" i="19"/>
  <c r="DX49" i="19"/>
  <c r="DY49" i="19"/>
  <c r="DZ49" i="19"/>
  <c r="EA49" i="19"/>
  <c r="EB49" i="19"/>
  <c r="EC49" i="19"/>
  <c r="ED49" i="19"/>
  <c r="EE49" i="19"/>
  <c r="EF49" i="19"/>
  <c r="EG49" i="19"/>
  <c r="EH49" i="19"/>
  <c r="EI49" i="19"/>
  <c r="EJ49" i="19"/>
  <c r="EK49" i="19"/>
  <c r="EL49" i="19"/>
  <c r="EM49" i="19"/>
  <c r="EN49" i="19"/>
  <c r="EO49" i="19"/>
  <c r="EP49" i="19"/>
  <c r="EQ49" i="19"/>
  <c r="ER49" i="19"/>
  <c r="ES49" i="19"/>
  <c r="ET49" i="19"/>
  <c r="EU49" i="19"/>
  <c r="EV49" i="19"/>
  <c r="EW49" i="19"/>
  <c r="EX49" i="19"/>
  <c r="EY49" i="19"/>
  <c r="EZ49" i="19"/>
  <c r="FA49" i="19"/>
  <c r="FB49" i="19"/>
  <c r="FC49" i="19"/>
  <c r="FD49" i="19"/>
  <c r="FE49" i="19"/>
  <c r="FF49" i="19"/>
  <c r="FG49" i="19"/>
  <c r="FH49" i="19"/>
  <c r="FI49" i="19"/>
  <c r="FJ49" i="19"/>
  <c r="FK49" i="19"/>
  <c r="FL49" i="19"/>
  <c r="FM49" i="19"/>
  <c r="FN49" i="19"/>
  <c r="FO49" i="19"/>
  <c r="FP49" i="19"/>
  <c r="FQ49" i="19"/>
  <c r="FR49" i="19"/>
  <c r="FS49" i="19"/>
  <c r="FT49" i="19"/>
  <c r="FU49" i="19"/>
  <c r="FV49" i="19"/>
  <c r="FW49" i="19"/>
  <c r="FX49" i="19"/>
  <c r="FY49" i="19"/>
  <c r="FZ49" i="19"/>
  <c r="GA49" i="19"/>
  <c r="GB49" i="19"/>
  <c r="GC49" i="19"/>
  <c r="GD49" i="19"/>
  <c r="GE49" i="19"/>
  <c r="GF49" i="19"/>
  <c r="GG49" i="19"/>
  <c r="GH49" i="19"/>
  <c r="GI49" i="19"/>
  <c r="GJ49" i="19"/>
  <c r="GK49" i="19"/>
  <c r="GL49" i="19"/>
  <c r="GM49" i="19"/>
  <c r="GN49" i="19"/>
  <c r="GO49" i="19"/>
  <c r="GP49" i="19"/>
  <c r="GQ49" i="19"/>
  <c r="GR49" i="19"/>
  <c r="GS49" i="19"/>
  <c r="GT49" i="19"/>
  <c r="GU49" i="19"/>
  <c r="GV49" i="19"/>
  <c r="GW49" i="19"/>
  <c r="GX49" i="19"/>
  <c r="GY49" i="19"/>
  <c r="GZ49" i="19"/>
  <c r="HA49" i="19"/>
  <c r="HB49" i="19"/>
  <c r="HC49" i="19"/>
  <c r="HD49" i="19"/>
  <c r="HE49" i="19"/>
  <c r="HF49" i="19"/>
  <c r="HG49" i="19"/>
  <c r="HH49" i="19"/>
  <c r="HI49" i="19"/>
  <c r="HJ49" i="19"/>
  <c r="HK49" i="19"/>
  <c r="HL49" i="19"/>
  <c r="HM49" i="19"/>
  <c r="HN49" i="19"/>
  <c r="HO49" i="19"/>
  <c r="HP49" i="19"/>
  <c r="HQ49" i="19"/>
  <c r="HR49" i="19"/>
  <c r="HS49" i="19"/>
  <c r="HT49" i="19"/>
  <c r="HU49" i="19"/>
  <c r="HV49" i="19"/>
  <c r="HW49" i="19"/>
  <c r="HX49" i="19"/>
  <c r="HY49" i="19"/>
  <c r="HZ49" i="19"/>
  <c r="IA49" i="19"/>
  <c r="IB49" i="19"/>
  <c r="IC49" i="19"/>
  <c r="ID49" i="19"/>
  <c r="IE49" i="19"/>
  <c r="IF49" i="19"/>
  <c r="IG49" i="19"/>
  <c r="IH49" i="19"/>
  <c r="II49" i="19"/>
  <c r="IJ49" i="19"/>
  <c r="IK49" i="19"/>
  <c r="IL49" i="19"/>
  <c r="IM49" i="19"/>
  <c r="IN49" i="19"/>
  <c r="IO49" i="19"/>
  <c r="IP49" i="19"/>
  <c r="IQ49" i="19"/>
  <c r="IR49" i="19"/>
  <c r="IS49" i="19"/>
  <c r="IT49" i="19"/>
  <c r="IU49" i="19"/>
  <c r="IV49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AS50" i="19"/>
  <c r="AT50" i="19"/>
  <c r="AU50" i="19"/>
  <c r="AV50" i="19"/>
  <c r="AW50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BL50" i="19"/>
  <c r="BM50" i="19"/>
  <c r="BN50" i="19"/>
  <c r="BO50" i="19"/>
  <c r="BP50" i="19"/>
  <c r="BQ50" i="19"/>
  <c r="BR50" i="19"/>
  <c r="BS50" i="19"/>
  <c r="BT50" i="19"/>
  <c r="BU50" i="19"/>
  <c r="BV50" i="19"/>
  <c r="BW50" i="19"/>
  <c r="BX50" i="19"/>
  <c r="BY50" i="19"/>
  <c r="BZ50" i="19"/>
  <c r="CA50" i="19"/>
  <c r="CB50" i="19"/>
  <c r="CC50" i="19"/>
  <c r="CD50" i="19"/>
  <c r="CE50" i="19"/>
  <c r="CF50" i="19"/>
  <c r="CG50" i="19"/>
  <c r="CH50" i="19"/>
  <c r="CI50" i="19"/>
  <c r="CJ50" i="19"/>
  <c r="CK50" i="19"/>
  <c r="CL50" i="19"/>
  <c r="CM50" i="19"/>
  <c r="CN50" i="19"/>
  <c r="CO50" i="19"/>
  <c r="CP50" i="19"/>
  <c r="CQ50" i="19"/>
  <c r="CR50" i="19"/>
  <c r="CS50" i="19"/>
  <c r="CT50" i="19"/>
  <c r="CU50" i="19"/>
  <c r="CV50" i="19"/>
  <c r="CW50" i="19"/>
  <c r="CX50" i="19"/>
  <c r="CY50" i="19"/>
  <c r="CZ50" i="19"/>
  <c r="DA50" i="19"/>
  <c r="DB50" i="19"/>
  <c r="DC50" i="19"/>
  <c r="DD50" i="19"/>
  <c r="DE50" i="19"/>
  <c r="DF50" i="19"/>
  <c r="DG50" i="19"/>
  <c r="DH50" i="19"/>
  <c r="DI50" i="19"/>
  <c r="DJ50" i="19"/>
  <c r="DK50" i="19"/>
  <c r="DL50" i="19"/>
  <c r="DM50" i="19"/>
  <c r="DN50" i="19"/>
  <c r="DO50" i="19"/>
  <c r="DP50" i="19"/>
  <c r="DQ50" i="19"/>
  <c r="DR50" i="19"/>
  <c r="DS50" i="19"/>
  <c r="DT50" i="19"/>
  <c r="DU50" i="19"/>
  <c r="DV50" i="19"/>
  <c r="DW50" i="19"/>
  <c r="DX50" i="19"/>
  <c r="DY50" i="19"/>
  <c r="DZ50" i="19"/>
  <c r="EA50" i="19"/>
  <c r="EB50" i="19"/>
  <c r="EC50" i="19"/>
  <c r="ED50" i="19"/>
  <c r="EE50" i="19"/>
  <c r="EF50" i="19"/>
  <c r="EG50" i="19"/>
  <c r="EH50" i="19"/>
  <c r="EI50" i="19"/>
  <c r="EJ50" i="19"/>
  <c r="EK50" i="19"/>
  <c r="EL50" i="19"/>
  <c r="EM50" i="19"/>
  <c r="EN50" i="19"/>
  <c r="EO50" i="19"/>
  <c r="EP50" i="19"/>
  <c r="EQ50" i="19"/>
  <c r="ER50" i="19"/>
  <c r="ES50" i="19"/>
  <c r="ET50" i="19"/>
  <c r="EU50" i="19"/>
  <c r="EV50" i="19"/>
  <c r="EW50" i="19"/>
  <c r="EX50" i="19"/>
  <c r="EY50" i="19"/>
  <c r="EZ50" i="19"/>
  <c r="FA50" i="19"/>
  <c r="FB50" i="19"/>
  <c r="FC50" i="19"/>
  <c r="FD50" i="19"/>
  <c r="FE50" i="19"/>
  <c r="FF50" i="19"/>
  <c r="FG50" i="19"/>
  <c r="FH50" i="19"/>
  <c r="FI50" i="19"/>
  <c r="FJ50" i="19"/>
  <c r="FK50" i="19"/>
  <c r="FL50" i="19"/>
  <c r="FM50" i="19"/>
  <c r="FN50" i="19"/>
  <c r="FO50" i="19"/>
  <c r="FP50" i="19"/>
  <c r="FQ50" i="19"/>
  <c r="FR50" i="19"/>
  <c r="FS50" i="19"/>
  <c r="FT50" i="19"/>
  <c r="FU50" i="19"/>
  <c r="FV50" i="19"/>
  <c r="FW50" i="19"/>
  <c r="FX50" i="19"/>
  <c r="FY50" i="19"/>
  <c r="FZ50" i="19"/>
  <c r="GA50" i="19"/>
  <c r="GB50" i="19"/>
  <c r="GC50" i="19"/>
  <c r="GD50" i="19"/>
  <c r="GE50" i="19"/>
  <c r="GF50" i="19"/>
  <c r="GG50" i="19"/>
  <c r="GH50" i="19"/>
  <c r="GI50" i="19"/>
  <c r="GJ50" i="19"/>
  <c r="GK50" i="19"/>
  <c r="GL50" i="19"/>
  <c r="GM50" i="19"/>
  <c r="GN50" i="19"/>
  <c r="GO50" i="19"/>
  <c r="GP50" i="19"/>
  <c r="GQ50" i="19"/>
  <c r="GR50" i="19"/>
  <c r="GS50" i="19"/>
  <c r="GT50" i="19"/>
  <c r="GU50" i="19"/>
  <c r="GV50" i="19"/>
  <c r="GW50" i="19"/>
  <c r="GX50" i="19"/>
  <c r="GY50" i="19"/>
  <c r="GZ50" i="19"/>
  <c r="HA50" i="19"/>
  <c r="HB50" i="19"/>
  <c r="HC50" i="19"/>
  <c r="HD50" i="19"/>
  <c r="HE50" i="19"/>
  <c r="HF50" i="19"/>
  <c r="HG50" i="19"/>
  <c r="HH50" i="19"/>
  <c r="HI50" i="19"/>
  <c r="HJ50" i="19"/>
  <c r="HK50" i="19"/>
  <c r="HL50" i="19"/>
  <c r="HM50" i="19"/>
  <c r="HN50" i="19"/>
  <c r="HO50" i="19"/>
  <c r="HP50" i="19"/>
  <c r="HQ50" i="19"/>
  <c r="HR50" i="19"/>
  <c r="HS50" i="19"/>
  <c r="HT50" i="19"/>
  <c r="HU50" i="19"/>
  <c r="HV50" i="19"/>
  <c r="HW50" i="19"/>
  <c r="HX50" i="19"/>
  <c r="HY50" i="19"/>
  <c r="HZ50" i="19"/>
  <c r="IA50" i="19"/>
  <c r="IB50" i="19"/>
  <c r="IC50" i="19"/>
  <c r="ID50" i="19"/>
  <c r="IE50" i="19"/>
  <c r="IF50" i="19"/>
  <c r="IG50" i="19"/>
  <c r="IH50" i="19"/>
  <c r="II50" i="19"/>
  <c r="IJ50" i="19"/>
  <c r="IK50" i="19"/>
  <c r="IL50" i="19"/>
  <c r="IM50" i="19"/>
  <c r="IN50" i="19"/>
  <c r="IO50" i="19"/>
  <c r="IP50" i="19"/>
  <c r="IQ50" i="19"/>
  <c r="IR50" i="19"/>
  <c r="IS50" i="19"/>
  <c r="IT50" i="19"/>
  <c r="IU50" i="19"/>
  <c r="IV50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AS51" i="19"/>
  <c r="AT51" i="19"/>
  <c r="AU51" i="19"/>
  <c r="AV51" i="19"/>
  <c r="AW51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BL51" i="19"/>
  <c r="BM51" i="19"/>
  <c r="BN51" i="19"/>
  <c r="BO51" i="19"/>
  <c r="BP51" i="19"/>
  <c r="BQ51" i="19"/>
  <c r="BR51" i="19"/>
  <c r="BS51" i="19"/>
  <c r="BT51" i="19"/>
  <c r="BU51" i="19"/>
  <c r="BV51" i="19"/>
  <c r="BW51" i="19"/>
  <c r="BX51" i="19"/>
  <c r="BY51" i="19"/>
  <c r="BZ51" i="19"/>
  <c r="CA51" i="19"/>
  <c r="CB51" i="19"/>
  <c r="CC51" i="19"/>
  <c r="CD51" i="19"/>
  <c r="CE51" i="19"/>
  <c r="CF51" i="19"/>
  <c r="CG51" i="19"/>
  <c r="CH51" i="19"/>
  <c r="CI51" i="19"/>
  <c r="CJ51" i="19"/>
  <c r="CK51" i="19"/>
  <c r="CL51" i="19"/>
  <c r="CM51" i="19"/>
  <c r="CN51" i="19"/>
  <c r="CO51" i="19"/>
  <c r="CP51" i="19"/>
  <c r="CQ51" i="19"/>
  <c r="CR51" i="19"/>
  <c r="CS51" i="19"/>
  <c r="CT51" i="19"/>
  <c r="CU51" i="19"/>
  <c r="CV51" i="19"/>
  <c r="CW51" i="19"/>
  <c r="CX51" i="19"/>
  <c r="CY51" i="19"/>
  <c r="CZ51" i="19"/>
  <c r="DA51" i="19"/>
  <c r="DB51" i="19"/>
  <c r="DC51" i="19"/>
  <c r="DD51" i="19"/>
  <c r="DE51" i="19"/>
  <c r="DF51" i="19"/>
  <c r="DG51" i="19"/>
  <c r="DH51" i="19"/>
  <c r="DI51" i="19"/>
  <c r="DJ51" i="19"/>
  <c r="DK51" i="19"/>
  <c r="DL51" i="19"/>
  <c r="DM51" i="19"/>
  <c r="DN51" i="19"/>
  <c r="DO51" i="19"/>
  <c r="DP51" i="19"/>
  <c r="DQ51" i="19"/>
  <c r="DR51" i="19"/>
  <c r="DS51" i="19"/>
  <c r="DT51" i="19"/>
  <c r="DU51" i="19"/>
  <c r="DV51" i="19"/>
  <c r="DW51" i="19"/>
  <c r="DX51" i="19"/>
  <c r="DY51" i="19"/>
  <c r="DZ51" i="19"/>
  <c r="EA51" i="19"/>
  <c r="EB51" i="19"/>
  <c r="EC51" i="19"/>
  <c r="ED51" i="19"/>
  <c r="EE51" i="19"/>
  <c r="EF51" i="19"/>
  <c r="EG51" i="19"/>
  <c r="EH51" i="19"/>
  <c r="EI51" i="19"/>
  <c r="EJ51" i="19"/>
  <c r="EK51" i="19"/>
  <c r="EL51" i="19"/>
  <c r="EM51" i="19"/>
  <c r="EN51" i="19"/>
  <c r="EO51" i="19"/>
  <c r="EP51" i="19"/>
  <c r="EQ51" i="19"/>
  <c r="ER51" i="19"/>
  <c r="ES51" i="19"/>
  <c r="ET51" i="19"/>
  <c r="EU51" i="19"/>
  <c r="EV51" i="19"/>
  <c r="EW51" i="19"/>
  <c r="EX51" i="19"/>
  <c r="EY51" i="19"/>
  <c r="EZ51" i="19"/>
  <c r="FA51" i="19"/>
  <c r="FB51" i="19"/>
  <c r="FC51" i="19"/>
  <c r="FD51" i="19"/>
  <c r="FE51" i="19"/>
  <c r="FF51" i="19"/>
  <c r="FG51" i="19"/>
  <c r="FH51" i="19"/>
  <c r="FI51" i="19"/>
  <c r="FJ51" i="19"/>
  <c r="FK51" i="19"/>
  <c r="FL51" i="19"/>
  <c r="FM51" i="19"/>
  <c r="FN51" i="19"/>
  <c r="FO51" i="19"/>
  <c r="FP51" i="19"/>
  <c r="FQ51" i="19"/>
  <c r="FR51" i="19"/>
  <c r="FS51" i="19"/>
  <c r="FT51" i="19"/>
  <c r="FU51" i="19"/>
  <c r="FV51" i="19"/>
  <c r="FW51" i="19"/>
  <c r="FX51" i="19"/>
  <c r="FY51" i="19"/>
  <c r="FZ51" i="19"/>
  <c r="GA51" i="19"/>
  <c r="GB51" i="19"/>
  <c r="GC51" i="19"/>
  <c r="GD51" i="19"/>
  <c r="GE51" i="19"/>
  <c r="GF51" i="19"/>
  <c r="GG51" i="19"/>
  <c r="GH51" i="19"/>
  <c r="GI51" i="19"/>
  <c r="GJ51" i="19"/>
  <c r="GK51" i="19"/>
  <c r="GL51" i="19"/>
  <c r="GM51" i="19"/>
  <c r="GN51" i="19"/>
  <c r="GO51" i="19"/>
  <c r="GP51" i="19"/>
  <c r="GQ51" i="19"/>
  <c r="GR51" i="19"/>
  <c r="GS51" i="19"/>
  <c r="GT51" i="19"/>
  <c r="GU51" i="19"/>
  <c r="GV51" i="19"/>
  <c r="GW51" i="19"/>
  <c r="GX51" i="19"/>
  <c r="GY51" i="19"/>
  <c r="GZ51" i="19"/>
  <c r="HA51" i="19"/>
  <c r="HB51" i="19"/>
  <c r="HC51" i="19"/>
  <c r="HD51" i="19"/>
  <c r="HE51" i="19"/>
  <c r="HF51" i="19"/>
  <c r="HG51" i="19"/>
  <c r="HH51" i="19"/>
  <c r="HI51" i="19"/>
  <c r="HJ51" i="19"/>
  <c r="HK51" i="19"/>
  <c r="HL51" i="19"/>
  <c r="HM51" i="19"/>
  <c r="HN51" i="19"/>
  <c r="HO51" i="19"/>
  <c r="HP51" i="19"/>
  <c r="HQ51" i="19"/>
  <c r="HR51" i="19"/>
  <c r="HS51" i="19"/>
  <c r="HT51" i="19"/>
  <c r="HU51" i="19"/>
  <c r="HV51" i="19"/>
  <c r="HW51" i="19"/>
  <c r="HX51" i="19"/>
  <c r="HY51" i="19"/>
  <c r="HZ51" i="19"/>
  <c r="IA51" i="19"/>
  <c r="IB51" i="19"/>
  <c r="IC51" i="19"/>
  <c r="ID51" i="19"/>
  <c r="IE51" i="19"/>
  <c r="IF51" i="19"/>
  <c r="IG51" i="19"/>
  <c r="IH51" i="19"/>
  <c r="II51" i="19"/>
  <c r="IJ51" i="19"/>
  <c r="IK51" i="19"/>
  <c r="IL51" i="19"/>
  <c r="IM51" i="19"/>
  <c r="IN51" i="19"/>
  <c r="IO51" i="19"/>
  <c r="IP51" i="19"/>
  <c r="IQ51" i="19"/>
  <c r="IR51" i="19"/>
  <c r="IS51" i="19"/>
  <c r="IT51" i="19"/>
  <c r="IU51" i="19"/>
  <c r="IV51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AS52" i="19"/>
  <c r="AT52" i="19"/>
  <c r="AU52" i="19"/>
  <c r="AV52" i="19"/>
  <c r="AW52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BR52" i="19"/>
  <c r="BS52" i="19"/>
  <c r="BT52" i="19"/>
  <c r="BU52" i="19"/>
  <c r="BV52" i="19"/>
  <c r="BW52" i="19"/>
  <c r="BX52" i="19"/>
  <c r="BY52" i="19"/>
  <c r="BZ52" i="19"/>
  <c r="CA52" i="19"/>
  <c r="CB52" i="19"/>
  <c r="CC52" i="19"/>
  <c r="CD52" i="19"/>
  <c r="CE52" i="19"/>
  <c r="CF52" i="19"/>
  <c r="CG52" i="19"/>
  <c r="CH52" i="19"/>
  <c r="CI52" i="19"/>
  <c r="CJ52" i="19"/>
  <c r="CK52" i="19"/>
  <c r="CL52" i="19"/>
  <c r="CM52" i="19"/>
  <c r="CN52" i="19"/>
  <c r="CO52" i="19"/>
  <c r="CP52" i="19"/>
  <c r="CQ52" i="19"/>
  <c r="CR52" i="19"/>
  <c r="CS52" i="19"/>
  <c r="CT52" i="19"/>
  <c r="CU52" i="19"/>
  <c r="CV52" i="19"/>
  <c r="CW52" i="19"/>
  <c r="CX52" i="19"/>
  <c r="CY52" i="19"/>
  <c r="CZ52" i="19"/>
  <c r="DA52" i="19"/>
  <c r="DB52" i="19"/>
  <c r="DC52" i="19"/>
  <c r="DD52" i="19"/>
  <c r="DE52" i="19"/>
  <c r="DF52" i="19"/>
  <c r="DG52" i="19"/>
  <c r="DH52" i="19"/>
  <c r="DI52" i="19"/>
  <c r="DJ52" i="19"/>
  <c r="DK52" i="19"/>
  <c r="DL52" i="19"/>
  <c r="DM52" i="19"/>
  <c r="DN52" i="19"/>
  <c r="DO52" i="19"/>
  <c r="DP52" i="19"/>
  <c r="DQ52" i="19"/>
  <c r="DR52" i="19"/>
  <c r="DS52" i="19"/>
  <c r="DT52" i="19"/>
  <c r="DU52" i="19"/>
  <c r="DV52" i="19"/>
  <c r="DW52" i="19"/>
  <c r="DX52" i="19"/>
  <c r="DY52" i="19"/>
  <c r="DZ52" i="19"/>
  <c r="EA52" i="19"/>
  <c r="EB52" i="19"/>
  <c r="EC52" i="19"/>
  <c r="ED52" i="19"/>
  <c r="EE52" i="19"/>
  <c r="EF52" i="19"/>
  <c r="EG52" i="19"/>
  <c r="EH52" i="19"/>
  <c r="EI52" i="19"/>
  <c r="EJ52" i="19"/>
  <c r="EK52" i="19"/>
  <c r="EL52" i="19"/>
  <c r="EM52" i="19"/>
  <c r="EN52" i="19"/>
  <c r="EO52" i="19"/>
  <c r="EP52" i="19"/>
  <c r="EQ52" i="19"/>
  <c r="ER52" i="19"/>
  <c r="ES52" i="19"/>
  <c r="ET52" i="19"/>
  <c r="EU52" i="19"/>
  <c r="EV52" i="19"/>
  <c r="EW52" i="19"/>
  <c r="EX52" i="19"/>
  <c r="EY52" i="19"/>
  <c r="EZ52" i="19"/>
  <c r="FA52" i="19"/>
  <c r="FB52" i="19"/>
  <c r="FC52" i="19"/>
  <c r="FD52" i="19"/>
  <c r="FE52" i="19"/>
  <c r="FF52" i="19"/>
  <c r="FG52" i="19"/>
  <c r="FH52" i="19"/>
  <c r="FI52" i="19"/>
  <c r="FJ52" i="19"/>
  <c r="FK52" i="19"/>
  <c r="FL52" i="19"/>
  <c r="FM52" i="19"/>
  <c r="FN52" i="19"/>
  <c r="FO52" i="19"/>
  <c r="FP52" i="19"/>
  <c r="FQ52" i="19"/>
  <c r="FR52" i="19"/>
  <c r="FS52" i="19"/>
  <c r="FT52" i="19"/>
  <c r="FU52" i="19"/>
  <c r="FV52" i="19"/>
  <c r="FW52" i="19"/>
  <c r="FX52" i="19"/>
  <c r="FY52" i="19"/>
  <c r="FZ52" i="19"/>
  <c r="GA52" i="19"/>
  <c r="GB52" i="19"/>
  <c r="GC52" i="19"/>
  <c r="GD52" i="19"/>
  <c r="GE52" i="19"/>
  <c r="GF52" i="19"/>
  <c r="GG52" i="19"/>
  <c r="GH52" i="19"/>
  <c r="GI52" i="19"/>
  <c r="GJ52" i="19"/>
  <c r="GK52" i="19"/>
  <c r="GL52" i="19"/>
  <c r="GM52" i="19"/>
  <c r="GN52" i="19"/>
  <c r="GO52" i="19"/>
  <c r="GP52" i="19"/>
  <c r="GQ52" i="19"/>
  <c r="GR52" i="19"/>
  <c r="GS52" i="19"/>
  <c r="GT52" i="19"/>
  <c r="GU52" i="19"/>
  <c r="GV52" i="19"/>
  <c r="GW52" i="19"/>
  <c r="GX52" i="19"/>
  <c r="GY52" i="19"/>
  <c r="GZ52" i="19"/>
  <c r="HA52" i="19"/>
  <c r="HB52" i="19"/>
  <c r="HC52" i="19"/>
  <c r="HD52" i="19"/>
  <c r="HE52" i="19"/>
  <c r="HF52" i="19"/>
  <c r="HG52" i="19"/>
  <c r="HH52" i="19"/>
  <c r="HI52" i="19"/>
  <c r="HJ52" i="19"/>
  <c r="HK52" i="19"/>
  <c r="HL52" i="19"/>
  <c r="HM52" i="19"/>
  <c r="HN52" i="19"/>
  <c r="HO52" i="19"/>
  <c r="HP52" i="19"/>
  <c r="HQ52" i="19"/>
  <c r="HR52" i="19"/>
  <c r="HS52" i="19"/>
  <c r="HT52" i="19"/>
  <c r="HU52" i="19"/>
  <c r="HV52" i="19"/>
  <c r="HW52" i="19"/>
  <c r="HX52" i="19"/>
  <c r="HY52" i="19"/>
  <c r="HZ52" i="19"/>
  <c r="IA52" i="19"/>
  <c r="IB52" i="19"/>
  <c r="IC52" i="19"/>
  <c r="ID52" i="19"/>
  <c r="IE52" i="19"/>
  <c r="IF52" i="19"/>
  <c r="IG52" i="19"/>
  <c r="IH52" i="19"/>
  <c r="II52" i="19"/>
  <c r="IJ52" i="19"/>
  <c r="IK52" i="19"/>
  <c r="IL52" i="19"/>
  <c r="IM52" i="19"/>
  <c r="IN52" i="19"/>
  <c r="IO52" i="19"/>
  <c r="IP52" i="19"/>
  <c r="IQ52" i="19"/>
  <c r="IR52" i="19"/>
  <c r="IS52" i="19"/>
  <c r="IT52" i="19"/>
  <c r="IU52" i="19"/>
  <c r="IV52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AS53" i="19"/>
  <c r="AT53" i="19"/>
  <c r="AU53" i="19"/>
  <c r="AV53" i="19"/>
  <c r="AW53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BR53" i="19"/>
  <c r="BS53" i="19"/>
  <c r="BT53" i="19"/>
  <c r="BU53" i="19"/>
  <c r="BV53" i="19"/>
  <c r="BW53" i="19"/>
  <c r="BX53" i="19"/>
  <c r="BY53" i="19"/>
  <c r="BZ53" i="19"/>
  <c r="CA53" i="19"/>
  <c r="CB53" i="19"/>
  <c r="CC53" i="19"/>
  <c r="CD53" i="19"/>
  <c r="CE53" i="19"/>
  <c r="CF53" i="19"/>
  <c r="CG53" i="19"/>
  <c r="CH53" i="19"/>
  <c r="CI53" i="19"/>
  <c r="CJ53" i="19"/>
  <c r="CK53" i="19"/>
  <c r="CL53" i="19"/>
  <c r="CM53" i="19"/>
  <c r="CN53" i="19"/>
  <c r="CO53" i="19"/>
  <c r="CP53" i="19"/>
  <c r="CQ53" i="19"/>
  <c r="CR53" i="19"/>
  <c r="CS53" i="19"/>
  <c r="CT53" i="19"/>
  <c r="CU53" i="19"/>
  <c r="CV53" i="19"/>
  <c r="CW53" i="19"/>
  <c r="CX53" i="19"/>
  <c r="CY53" i="19"/>
  <c r="CZ53" i="19"/>
  <c r="DA53" i="19"/>
  <c r="DB53" i="19"/>
  <c r="DC53" i="19"/>
  <c r="DD53" i="19"/>
  <c r="DE53" i="19"/>
  <c r="DF53" i="19"/>
  <c r="DG53" i="19"/>
  <c r="DH53" i="19"/>
  <c r="DI53" i="19"/>
  <c r="DJ53" i="19"/>
  <c r="DK53" i="19"/>
  <c r="DL53" i="19"/>
  <c r="DM53" i="19"/>
  <c r="DN53" i="19"/>
  <c r="DO53" i="19"/>
  <c r="DP53" i="19"/>
  <c r="DQ53" i="19"/>
  <c r="DR53" i="19"/>
  <c r="DS53" i="19"/>
  <c r="DT53" i="19"/>
  <c r="DU53" i="19"/>
  <c r="DV53" i="19"/>
  <c r="DW53" i="19"/>
  <c r="DX53" i="19"/>
  <c r="DY53" i="19"/>
  <c r="DZ53" i="19"/>
  <c r="EA53" i="19"/>
  <c r="EB53" i="19"/>
  <c r="EC53" i="19"/>
  <c r="ED53" i="19"/>
  <c r="EE53" i="19"/>
  <c r="EF53" i="19"/>
  <c r="EG53" i="19"/>
  <c r="EH53" i="19"/>
  <c r="EI53" i="19"/>
  <c r="EJ53" i="19"/>
  <c r="EK53" i="19"/>
  <c r="EL53" i="19"/>
  <c r="EM53" i="19"/>
  <c r="EN53" i="19"/>
  <c r="EO53" i="19"/>
  <c r="EP53" i="19"/>
  <c r="EQ53" i="19"/>
  <c r="ER53" i="19"/>
  <c r="ES53" i="19"/>
  <c r="ET53" i="19"/>
  <c r="EU53" i="19"/>
  <c r="EV53" i="19"/>
  <c r="EW53" i="19"/>
  <c r="EX53" i="19"/>
  <c r="EY53" i="19"/>
  <c r="EZ53" i="19"/>
  <c r="FA53" i="19"/>
  <c r="FB53" i="19"/>
  <c r="FC53" i="19"/>
  <c r="FD53" i="19"/>
  <c r="FE53" i="19"/>
  <c r="FF53" i="19"/>
  <c r="FG53" i="19"/>
  <c r="FH53" i="19"/>
  <c r="FI53" i="19"/>
  <c r="FJ53" i="19"/>
  <c r="FK53" i="19"/>
  <c r="FL53" i="19"/>
  <c r="FM53" i="19"/>
  <c r="FN53" i="19"/>
  <c r="FO53" i="19"/>
  <c r="FP53" i="19"/>
  <c r="FQ53" i="19"/>
  <c r="FR53" i="19"/>
  <c r="FS53" i="19"/>
  <c r="FT53" i="19"/>
  <c r="FU53" i="19"/>
  <c r="FV53" i="19"/>
  <c r="FW53" i="19"/>
  <c r="FX53" i="19"/>
  <c r="FY53" i="19"/>
  <c r="FZ53" i="19"/>
  <c r="GA53" i="19"/>
  <c r="GB53" i="19"/>
  <c r="GC53" i="19"/>
  <c r="GD53" i="19"/>
  <c r="GE53" i="19"/>
  <c r="GF53" i="19"/>
  <c r="GG53" i="19"/>
  <c r="GH53" i="19"/>
  <c r="GI53" i="19"/>
  <c r="GJ53" i="19"/>
  <c r="GK53" i="19"/>
  <c r="GL53" i="19"/>
  <c r="GM53" i="19"/>
  <c r="GN53" i="19"/>
  <c r="GO53" i="19"/>
  <c r="GP53" i="19"/>
  <c r="GQ53" i="19"/>
  <c r="GR53" i="19"/>
  <c r="GS53" i="19"/>
  <c r="GT53" i="19"/>
  <c r="GU53" i="19"/>
  <c r="GV53" i="19"/>
  <c r="GW53" i="19"/>
  <c r="GX53" i="19"/>
  <c r="GY53" i="19"/>
  <c r="GZ53" i="19"/>
  <c r="HA53" i="19"/>
  <c r="HB53" i="19"/>
  <c r="HC53" i="19"/>
  <c r="HD53" i="19"/>
  <c r="HE53" i="19"/>
  <c r="HF53" i="19"/>
  <c r="HG53" i="19"/>
  <c r="HH53" i="19"/>
  <c r="HI53" i="19"/>
  <c r="HJ53" i="19"/>
  <c r="HK53" i="19"/>
  <c r="HL53" i="19"/>
  <c r="HM53" i="19"/>
  <c r="HN53" i="19"/>
  <c r="HO53" i="19"/>
  <c r="HP53" i="19"/>
  <c r="HQ53" i="19"/>
  <c r="HR53" i="19"/>
  <c r="HS53" i="19"/>
  <c r="HT53" i="19"/>
  <c r="HU53" i="19"/>
  <c r="HV53" i="19"/>
  <c r="HW53" i="19"/>
  <c r="HX53" i="19"/>
  <c r="HY53" i="19"/>
  <c r="HZ53" i="19"/>
  <c r="IA53" i="19"/>
  <c r="IB53" i="19"/>
  <c r="IC53" i="19"/>
  <c r="ID53" i="19"/>
  <c r="IE53" i="19"/>
  <c r="IF53" i="19"/>
  <c r="IG53" i="19"/>
  <c r="IH53" i="19"/>
  <c r="II53" i="19"/>
  <c r="IJ53" i="19"/>
  <c r="IK53" i="19"/>
  <c r="IL53" i="19"/>
  <c r="IM53" i="19"/>
  <c r="IN53" i="19"/>
  <c r="IO53" i="19"/>
  <c r="IP53" i="19"/>
  <c r="IQ53" i="19"/>
  <c r="IR53" i="19"/>
  <c r="IS53" i="19"/>
  <c r="IT53" i="19"/>
  <c r="IU53" i="19"/>
  <c r="IV53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AS54" i="19"/>
  <c r="AT54" i="19"/>
  <c r="AU54" i="19"/>
  <c r="AV54" i="19"/>
  <c r="AW54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BL54" i="19"/>
  <c r="BM54" i="19"/>
  <c r="BN54" i="19"/>
  <c r="BO54" i="19"/>
  <c r="BP54" i="19"/>
  <c r="BQ54" i="19"/>
  <c r="BR54" i="19"/>
  <c r="BS54" i="19"/>
  <c r="BT54" i="19"/>
  <c r="BU54" i="19"/>
  <c r="BV54" i="19"/>
  <c r="BW54" i="19"/>
  <c r="BX54" i="19"/>
  <c r="BY54" i="19"/>
  <c r="BZ54" i="19"/>
  <c r="CA54" i="19"/>
  <c r="CB54" i="19"/>
  <c r="CC54" i="19"/>
  <c r="CD54" i="19"/>
  <c r="CE54" i="19"/>
  <c r="CF54" i="19"/>
  <c r="CG54" i="19"/>
  <c r="CH54" i="19"/>
  <c r="CI54" i="19"/>
  <c r="CJ54" i="19"/>
  <c r="CK54" i="19"/>
  <c r="CL54" i="19"/>
  <c r="CM54" i="19"/>
  <c r="CN54" i="19"/>
  <c r="CO54" i="19"/>
  <c r="CP54" i="19"/>
  <c r="CQ54" i="19"/>
  <c r="CR54" i="19"/>
  <c r="CS54" i="19"/>
  <c r="CT54" i="19"/>
  <c r="CU54" i="19"/>
  <c r="CV54" i="19"/>
  <c r="CW54" i="19"/>
  <c r="CX54" i="19"/>
  <c r="CY54" i="19"/>
  <c r="CZ54" i="19"/>
  <c r="DA54" i="19"/>
  <c r="DB54" i="19"/>
  <c r="DC54" i="19"/>
  <c r="DD54" i="19"/>
  <c r="DE54" i="19"/>
  <c r="DF54" i="19"/>
  <c r="DG54" i="19"/>
  <c r="DH54" i="19"/>
  <c r="DI54" i="19"/>
  <c r="DJ54" i="19"/>
  <c r="DK54" i="19"/>
  <c r="DL54" i="19"/>
  <c r="DM54" i="19"/>
  <c r="DN54" i="19"/>
  <c r="DO54" i="19"/>
  <c r="DP54" i="19"/>
  <c r="DQ54" i="19"/>
  <c r="DR54" i="19"/>
  <c r="DS54" i="19"/>
  <c r="DT54" i="19"/>
  <c r="DU54" i="19"/>
  <c r="DV54" i="19"/>
  <c r="DW54" i="19"/>
  <c r="DX54" i="19"/>
  <c r="DY54" i="19"/>
  <c r="DZ54" i="19"/>
  <c r="EA54" i="19"/>
  <c r="EB54" i="19"/>
  <c r="EC54" i="19"/>
  <c r="ED54" i="19"/>
  <c r="EE54" i="19"/>
  <c r="EF54" i="19"/>
  <c r="EG54" i="19"/>
  <c r="EH54" i="19"/>
  <c r="EI54" i="19"/>
  <c r="EJ54" i="19"/>
  <c r="EK54" i="19"/>
  <c r="EL54" i="19"/>
  <c r="EM54" i="19"/>
  <c r="EN54" i="19"/>
  <c r="EO54" i="19"/>
  <c r="EP54" i="19"/>
  <c r="EQ54" i="19"/>
  <c r="ER54" i="19"/>
  <c r="ES54" i="19"/>
  <c r="ET54" i="19"/>
  <c r="EU54" i="19"/>
  <c r="EV54" i="19"/>
  <c r="EW54" i="19"/>
  <c r="EX54" i="19"/>
  <c r="EY54" i="19"/>
  <c r="EZ54" i="19"/>
  <c r="FA54" i="19"/>
  <c r="FB54" i="19"/>
  <c r="FC54" i="19"/>
  <c r="FD54" i="19"/>
  <c r="FE54" i="19"/>
  <c r="FF54" i="19"/>
  <c r="FG54" i="19"/>
  <c r="FH54" i="19"/>
  <c r="FI54" i="19"/>
  <c r="FJ54" i="19"/>
  <c r="FK54" i="19"/>
  <c r="FL54" i="19"/>
  <c r="FM54" i="19"/>
  <c r="FN54" i="19"/>
  <c r="FO54" i="19"/>
  <c r="FP54" i="19"/>
  <c r="FQ54" i="19"/>
  <c r="FR54" i="19"/>
  <c r="FS54" i="19"/>
  <c r="FT54" i="19"/>
  <c r="FU54" i="19"/>
  <c r="FV54" i="19"/>
  <c r="FW54" i="19"/>
  <c r="FX54" i="19"/>
  <c r="FY54" i="19"/>
  <c r="FZ54" i="19"/>
  <c r="GA54" i="19"/>
  <c r="GB54" i="19"/>
  <c r="GC54" i="19"/>
  <c r="GD54" i="19"/>
  <c r="GE54" i="19"/>
  <c r="GF54" i="19"/>
  <c r="GG54" i="19"/>
  <c r="GH54" i="19"/>
  <c r="GI54" i="19"/>
  <c r="GJ54" i="19"/>
  <c r="GK54" i="19"/>
  <c r="GL54" i="19"/>
  <c r="GM54" i="19"/>
  <c r="GN54" i="19"/>
  <c r="GO54" i="19"/>
  <c r="GP54" i="19"/>
  <c r="GQ54" i="19"/>
  <c r="GR54" i="19"/>
  <c r="GS54" i="19"/>
  <c r="GT54" i="19"/>
  <c r="GU54" i="19"/>
  <c r="GV54" i="19"/>
  <c r="GW54" i="19"/>
  <c r="GX54" i="19"/>
  <c r="GY54" i="19"/>
  <c r="GZ54" i="19"/>
  <c r="HA54" i="19"/>
  <c r="HB54" i="19"/>
  <c r="HC54" i="19"/>
  <c r="HD54" i="19"/>
  <c r="HE54" i="19"/>
  <c r="HF54" i="19"/>
  <c r="HG54" i="19"/>
  <c r="HH54" i="19"/>
  <c r="HI54" i="19"/>
  <c r="HJ54" i="19"/>
  <c r="HK54" i="19"/>
  <c r="HL54" i="19"/>
  <c r="HM54" i="19"/>
  <c r="HN54" i="19"/>
  <c r="HO54" i="19"/>
  <c r="HP54" i="19"/>
  <c r="HQ54" i="19"/>
  <c r="HR54" i="19"/>
  <c r="HS54" i="19"/>
  <c r="HT54" i="19"/>
  <c r="HU54" i="19"/>
  <c r="HV54" i="19"/>
  <c r="HW54" i="19"/>
  <c r="HX54" i="19"/>
  <c r="HY54" i="19"/>
  <c r="HZ54" i="19"/>
  <c r="IA54" i="19"/>
  <c r="IB54" i="19"/>
  <c r="IC54" i="19"/>
  <c r="ID54" i="19"/>
  <c r="IE54" i="19"/>
  <c r="IF54" i="19"/>
  <c r="IG54" i="19"/>
  <c r="IH54" i="19"/>
  <c r="II54" i="19"/>
  <c r="IJ54" i="19"/>
  <c r="IK54" i="19"/>
  <c r="IL54" i="19"/>
  <c r="IM54" i="19"/>
  <c r="IN54" i="19"/>
  <c r="IO54" i="19"/>
  <c r="IP54" i="19"/>
  <c r="IQ54" i="19"/>
  <c r="IR54" i="19"/>
  <c r="IS54" i="19"/>
  <c r="IT54" i="19"/>
  <c r="IU54" i="19"/>
  <c r="IV54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AS55" i="19"/>
  <c r="AT55" i="19"/>
  <c r="AU55" i="19"/>
  <c r="AV55" i="19"/>
  <c r="AW55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BL55" i="19"/>
  <c r="BM55" i="19"/>
  <c r="BN55" i="19"/>
  <c r="BO55" i="19"/>
  <c r="BP55" i="19"/>
  <c r="BQ55" i="19"/>
  <c r="BR55" i="19"/>
  <c r="BS55" i="19"/>
  <c r="BT55" i="19"/>
  <c r="BU55" i="19"/>
  <c r="BV55" i="19"/>
  <c r="BW55" i="19"/>
  <c r="BX55" i="19"/>
  <c r="BY55" i="19"/>
  <c r="BZ55" i="19"/>
  <c r="CA55" i="19"/>
  <c r="CB55" i="19"/>
  <c r="CC55" i="19"/>
  <c r="CD55" i="19"/>
  <c r="CE55" i="19"/>
  <c r="CF55" i="19"/>
  <c r="CG55" i="19"/>
  <c r="CH55" i="19"/>
  <c r="CI55" i="19"/>
  <c r="CJ55" i="19"/>
  <c r="CK55" i="19"/>
  <c r="CL55" i="19"/>
  <c r="CM55" i="19"/>
  <c r="CN55" i="19"/>
  <c r="CO55" i="19"/>
  <c r="CP55" i="19"/>
  <c r="CQ55" i="19"/>
  <c r="CR55" i="19"/>
  <c r="CS55" i="19"/>
  <c r="CT55" i="19"/>
  <c r="CU55" i="19"/>
  <c r="CV55" i="19"/>
  <c r="CW55" i="19"/>
  <c r="CX55" i="19"/>
  <c r="CY55" i="19"/>
  <c r="CZ55" i="19"/>
  <c r="DA55" i="19"/>
  <c r="DB55" i="19"/>
  <c r="DC55" i="19"/>
  <c r="DD55" i="19"/>
  <c r="DE55" i="19"/>
  <c r="DF55" i="19"/>
  <c r="DG55" i="19"/>
  <c r="DH55" i="19"/>
  <c r="DI55" i="19"/>
  <c r="DJ55" i="19"/>
  <c r="DK55" i="19"/>
  <c r="DL55" i="19"/>
  <c r="DM55" i="19"/>
  <c r="DN55" i="19"/>
  <c r="DO55" i="19"/>
  <c r="DP55" i="19"/>
  <c r="DQ55" i="19"/>
  <c r="DR55" i="19"/>
  <c r="DS55" i="19"/>
  <c r="DT55" i="19"/>
  <c r="DU55" i="19"/>
  <c r="DV55" i="19"/>
  <c r="DW55" i="19"/>
  <c r="DX55" i="19"/>
  <c r="DY55" i="19"/>
  <c r="DZ55" i="19"/>
  <c r="EA55" i="19"/>
  <c r="EB55" i="19"/>
  <c r="EC55" i="19"/>
  <c r="ED55" i="19"/>
  <c r="EE55" i="19"/>
  <c r="EF55" i="19"/>
  <c r="EG55" i="19"/>
  <c r="EH55" i="19"/>
  <c r="EI55" i="19"/>
  <c r="EJ55" i="19"/>
  <c r="EK55" i="19"/>
  <c r="EL55" i="19"/>
  <c r="EM55" i="19"/>
  <c r="EN55" i="19"/>
  <c r="EO55" i="19"/>
  <c r="EP55" i="19"/>
  <c r="EQ55" i="19"/>
  <c r="ER55" i="19"/>
  <c r="ES55" i="19"/>
  <c r="ET55" i="19"/>
  <c r="EU55" i="19"/>
  <c r="EV55" i="19"/>
  <c r="EW55" i="19"/>
  <c r="EX55" i="19"/>
  <c r="EY55" i="19"/>
  <c r="EZ55" i="19"/>
  <c r="FA55" i="19"/>
  <c r="FB55" i="19"/>
  <c r="FC55" i="19"/>
  <c r="FD55" i="19"/>
  <c r="FE55" i="19"/>
  <c r="FF55" i="19"/>
  <c r="FG55" i="19"/>
  <c r="FH55" i="19"/>
  <c r="FI55" i="19"/>
  <c r="FJ55" i="19"/>
  <c r="FK55" i="19"/>
  <c r="FL55" i="19"/>
  <c r="FM55" i="19"/>
  <c r="FN55" i="19"/>
  <c r="FO55" i="19"/>
  <c r="FP55" i="19"/>
  <c r="FQ55" i="19"/>
  <c r="FR55" i="19"/>
  <c r="FS55" i="19"/>
  <c r="FT55" i="19"/>
  <c r="FU55" i="19"/>
  <c r="FV55" i="19"/>
  <c r="FW55" i="19"/>
  <c r="FX55" i="19"/>
  <c r="FY55" i="19"/>
  <c r="FZ55" i="19"/>
  <c r="GA55" i="19"/>
  <c r="GB55" i="19"/>
  <c r="GC55" i="19"/>
  <c r="GD55" i="19"/>
  <c r="GE55" i="19"/>
  <c r="GF55" i="19"/>
  <c r="GG55" i="19"/>
  <c r="GH55" i="19"/>
  <c r="GI55" i="19"/>
  <c r="GJ55" i="19"/>
  <c r="GK55" i="19"/>
  <c r="GL55" i="19"/>
  <c r="GM55" i="19"/>
  <c r="GN55" i="19"/>
  <c r="GO55" i="19"/>
  <c r="GP55" i="19"/>
  <c r="GQ55" i="19"/>
  <c r="GR55" i="19"/>
  <c r="GS55" i="19"/>
  <c r="GT55" i="19"/>
  <c r="GU55" i="19"/>
  <c r="GV55" i="19"/>
  <c r="GW55" i="19"/>
  <c r="GX55" i="19"/>
  <c r="GY55" i="19"/>
  <c r="GZ55" i="19"/>
  <c r="HA55" i="19"/>
  <c r="HB55" i="19"/>
  <c r="HC55" i="19"/>
  <c r="HD55" i="19"/>
  <c r="HE55" i="19"/>
  <c r="HF55" i="19"/>
  <c r="HG55" i="19"/>
  <c r="HH55" i="19"/>
  <c r="HI55" i="19"/>
  <c r="HJ55" i="19"/>
  <c r="HK55" i="19"/>
  <c r="HL55" i="19"/>
  <c r="HM55" i="19"/>
  <c r="HN55" i="19"/>
  <c r="HO55" i="19"/>
  <c r="HP55" i="19"/>
  <c r="HQ55" i="19"/>
  <c r="HR55" i="19"/>
  <c r="HS55" i="19"/>
  <c r="HT55" i="19"/>
  <c r="HU55" i="19"/>
  <c r="HV55" i="19"/>
  <c r="HW55" i="19"/>
  <c r="HX55" i="19"/>
  <c r="HY55" i="19"/>
  <c r="HZ55" i="19"/>
  <c r="IA55" i="19"/>
  <c r="IB55" i="19"/>
  <c r="IC55" i="19"/>
  <c r="ID55" i="19"/>
  <c r="IE55" i="19"/>
  <c r="IF55" i="19"/>
  <c r="IG55" i="19"/>
  <c r="IH55" i="19"/>
  <c r="II55" i="19"/>
  <c r="IJ55" i="19"/>
  <c r="IK55" i="19"/>
  <c r="IL55" i="19"/>
  <c r="IM55" i="19"/>
  <c r="IN55" i="19"/>
  <c r="IO55" i="19"/>
  <c r="IP55" i="19"/>
  <c r="IQ55" i="19"/>
  <c r="IR55" i="19"/>
  <c r="IS55" i="19"/>
  <c r="IT55" i="19"/>
  <c r="IU55" i="19"/>
  <c r="IV55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AS56" i="19"/>
  <c r="AT56" i="19"/>
  <c r="AU56" i="19"/>
  <c r="AV56" i="19"/>
  <c r="AW56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BR56" i="19"/>
  <c r="BS56" i="19"/>
  <c r="BT56" i="19"/>
  <c r="BU56" i="19"/>
  <c r="BV56" i="19"/>
  <c r="BW56" i="19"/>
  <c r="BX56" i="19"/>
  <c r="BY56" i="19"/>
  <c r="BZ56" i="19"/>
  <c r="CA56" i="19"/>
  <c r="CB56" i="19"/>
  <c r="CC56" i="19"/>
  <c r="CD56" i="19"/>
  <c r="CE56" i="19"/>
  <c r="CF56" i="19"/>
  <c r="CG56" i="19"/>
  <c r="CH56" i="19"/>
  <c r="CI56" i="19"/>
  <c r="CJ56" i="19"/>
  <c r="CK56" i="19"/>
  <c r="CL56" i="19"/>
  <c r="CM56" i="19"/>
  <c r="CN56" i="19"/>
  <c r="CO56" i="19"/>
  <c r="CP56" i="19"/>
  <c r="CQ56" i="19"/>
  <c r="CR56" i="19"/>
  <c r="CS56" i="19"/>
  <c r="CT56" i="19"/>
  <c r="CU56" i="19"/>
  <c r="CV56" i="19"/>
  <c r="CW56" i="19"/>
  <c r="CX56" i="19"/>
  <c r="CY56" i="19"/>
  <c r="CZ56" i="19"/>
  <c r="DA56" i="19"/>
  <c r="DB56" i="19"/>
  <c r="DC56" i="19"/>
  <c r="DD56" i="19"/>
  <c r="DE56" i="19"/>
  <c r="DF56" i="19"/>
  <c r="DG56" i="19"/>
  <c r="DH56" i="19"/>
  <c r="DI56" i="19"/>
  <c r="DJ56" i="19"/>
  <c r="DK56" i="19"/>
  <c r="DL56" i="19"/>
  <c r="DM56" i="19"/>
  <c r="DN56" i="19"/>
  <c r="DO56" i="19"/>
  <c r="DP56" i="19"/>
  <c r="DQ56" i="19"/>
  <c r="DR56" i="19"/>
  <c r="DS56" i="19"/>
  <c r="DT56" i="19"/>
  <c r="DU56" i="19"/>
  <c r="DV56" i="19"/>
  <c r="DW56" i="19"/>
  <c r="DX56" i="19"/>
  <c r="DY56" i="19"/>
  <c r="DZ56" i="19"/>
  <c r="EA56" i="19"/>
  <c r="EB56" i="19"/>
  <c r="EC56" i="19"/>
  <c r="ED56" i="19"/>
  <c r="EE56" i="19"/>
  <c r="EF56" i="19"/>
  <c r="EG56" i="19"/>
  <c r="EH56" i="19"/>
  <c r="EI56" i="19"/>
  <c r="EJ56" i="19"/>
  <c r="EK56" i="19"/>
  <c r="EL56" i="19"/>
  <c r="EM56" i="19"/>
  <c r="EN56" i="19"/>
  <c r="EO56" i="19"/>
  <c r="EP56" i="19"/>
  <c r="EQ56" i="19"/>
  <c r="ER56" i="19"/>
  <c r="ES56" i="19"/>
  <c r="ET56" i="19"/>
  <c r="EU56" i="19"/>
  <c r="EV56" i="19"/>
  <c r="EW56" i="19"/>
  <c r="EX56" i="19"/>
  <c r="EY56" i="19"/>
  <c r="EZ56" i="19"/>
  <c r="FA56" i="19"/>
  <c r="FB56" i="19"/>
  <c r="FC56" i="19"/>
  <c r="FD56" i="19"/>
  <c r="FE56" i="19"/>
  <c r="FF56" i="19"/>
  <c r="FG56" i="19"/>
  <c r="FH56" i="19"/>
  <c r="FI56" i="19"/>
  <c r="FJ56" i="19"/>
  <c r="FK56" i="19"/>
  <c r="FL56" i="19"/>
  <c r="FM56" i="19"/>
  <c r="FN56" i="19"/>
  <c r="FO56" i="19"/>
  <c r="FP56" i="19"/>
  <c r="FQ56" i="19"/>
  <c r="FR56" i="19"/>
  <c r="FS56" i="19"/>
  <c r="FT56" i="19"/>
  <c r="FU56" i="19"/>
  <c r="FV56" i="19"/>
  <c r="FW56" i="19"/>
  <c r="FX56" i="19"/>
  <c r="FY56" i="19"/>
  <c r="FZ56" i="19"/>
  <c r="GA56" i="19"/>
  <c r="GB56" i="19"/>
  <c r="GC56" i="19"/>
  <c r="GD56" i="19"/>
  <c r="GE56" i="19"/>
  <c r="GF56" i="19"/>
  <c r="GG56" i="19"/>
  <c r="GH56" i="19"/>
  <c r="GI56" i="19"/>
  <c r="GJ56" i="19"/>
  <c r="GK56" i="19"/>
  <c r="GL56" i="19"/>
  <c r="GM56" i="19"/>
  <c r="GN56" i="19"/>
  <c r="GO56" i="19"/>
  <c r="GP56" i="19"/>
  <c r="GQ56" i="19"/>
  <c r="GR56" i="19"/>
  <c r="GS56" i="19"/>
  <c r="GT56" i="19"/>
  <c r="GU56" i="19"/>
  <c r="GV56" i="19"/>
  <c r="GW56" i="19"/>
  <c r="GX56" i="19"/>
  <c r="GY56" i="19"/>
  <c r="GZ56" i="19"/>
  <c r="HA56" i="19"/>
  <c r="HB56" i="19"/>
  <c r="HC56" i="19"/>
  <c r="HD56" i="19"/>
  <c r="HE56" i="19"/>
  <c r="HF56" i="19"/>
  <c r="HG56" i="19"/>
  <c r="HH56" i="19"/>
  <c r="HI56" i="19"/>
  <c r="HJ56" i="19"/>
  <c r="HK56" i="19"/>
  <c r="HL56" i="19"/>
  <c r="HM56" i="19"/>
  <c r="HN56" i="19"/>
  <c r="HO56" i="19"/>
  <c r="HP56" i="19"/>
  <c r="HQ56" i="19"/>
  <c r="HR56" i="19"/>
  <c r="HS56" i="19"/>
  <c r="HT56" i="19"/>
  <c r="HU56" i="19"/>
  <c r="HV56" i="19"/>
  <c r="HW56" i="19"/>
  <c r="HX56" i="19"/>
  <c r="HY56" i="19"/>
  <c r="HZ56" i="19"/>
  <c r="IA56" i="19"/>
  <c r="IB56" i="19"/>
  <c r="IC56" i="19"/>
  <c r="ID56" i="19"/>
  <c r="IE56" i="19"/>
  <c r="IF56" i="19"/>
  <c r="IG56" i="19"/>
  <c r="IH56" i="19"/>
  <c r="II56" i="19"/>
  <c r="IJ56" i="19"/>
  <c r="IK56" i="19"/>
  <c r="IL56" i="19"/>
  <c r="IM56" i="19"/>
  <c r="IN56" i="19"/>
  <c r="IO56" i="19"/>
  <c r="IP56" i="19"/>
  <c r="IQ56" i="19"/>
  <c r="IR56" i="19"/>
  <c r="IS56" i="19"/>
  <c r="IT56" i="19"/>
  <c r="IU56" i="19"/>
  <c r="IV56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AS57" i="19"/>
  <c r="AT57" i="19"/>
  <c r="AU57" i="19"/>
  <c r="AV57" i="19"/>
  <c r="AW57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BL57" i="19"/>
  <c r="BM57" i="19"/>
  <c r="BN57" i="19"/>
  <c r="BO57" i="19"/>
  <c r="BP57" i="19"/>
  <c r="BQ57" i="19"/>
  <c r="BR57" i="19"/>
  <c r="BS57" i="19"/>
  <c r="BT57" i="19"/>
  <c r="BU57" i="19"/>
  <c r="BV57" i="19"/>
  <c r="BW57" i="19"/>
  <c r="BX57" i="19"/>
  <c r="BY57" i="19"/>
  <c r="BZ57" i="19"/>
  <c r="CA57" i="19"/>
  <c r="CB57" i="19"/>
  <c r="CC57" i="19"/>
  <c r="CD57" i="19"/>
  <c r="CE57" i="19"/>
  <c r="CF57" i="19"/>
  <c r="CG57" i="19"/>
  <c r="CH57" i="19"/>
  <c r="CI57" i="19"/>
  <c r="CJ57" i="19"/>
  <c r="CK57" i="19"/>
  <c r="CL57" i="19"/>
  <c r="CM57" i="19"/>
  <c r="CN57" i="19"/>
  <c r="CO57" i="19"/>
  <c r="CP57" i="19"/>
  <c r="CQ57" i="19"/>
  <c r="CR57" i="19"/>
  <c r="CS57" i="19"/>
  <c r="CT57" i="19"/>
  <c r="CU57" i="19"/>
  <c r="CV57" i="19"/>
  <c r="CW57" i="19"/>
  <c r="CX57" i="19"/>
  <c r="CY57" i="19"/>
  <c r="CZ57" i="19"/>
  <c r="DA57" i="19"/>
  <c r="DB57" i="19"/>
  <c r="DC57" i="19"/>
  <c r="DD57" i="19"/>
  <c r="DE57" i="19"/>
  <c r="DF57" i="19"/>
  <c r="DG57" i="19"/>
  <c r="DH57" i="19"/>
  <c r="DI57" i="19"/>
  <c r="DJ57" i="19"/>
  <c r="DK57" i="19"/>
  <c r="DL57" i="19"/>
  <c r="DM57" i="19"/>
  <c r="DN57" i="19"/>
  <c r="DO57" i="19"/>
  <c r="DP57" i="19"/>
  <c r="DQ57" i="19"/>
  <c r="DR57" i="19"/>
  <c r="DS57" i="19"/>
  <c r="DT57" i="19"/>
  <c r="DU57" i="19"/>
  <c r="DV57" i="19"/>
  <c r="DW57" i="19"/>
  <c r="DX57" i="19"/>
  <c r="DY57" i="19"/>
  <c r="DZ57" i="19"/>
  <c r="EA57" i="19"/>
  <c r="EB57" i="19"/>
  <c r="EC57" i="19"/>
  <c r="ED57" i="19"/>
  <c r="EE57" i="19"/>
  <c r="EF57" i="19"/>
  <c r="EG57" i="19"/>
  <c r="EH57" i="19"/>
  <c r="EI57" i="19"/>
  <c r="EJ57" i="19"/>
  <c r="EK57" i="19"/>
  <c r="EL57" i="19"/>
  <c r="EM57" i="19"/>
  <c r="EN57" i="19"/>
  <c r="EO57" i="19"/>
  <c r="EP57" i="19"/>
  <c r="EQ57" i="19"/>
  <c r="ER57" i="19"/>
  <c r="ES57" i="19"/>
  <c r="ET57" i="19"/>
  <c r="EU57" i="19"/>
  <c r="EV57" i="19"/>
  <c r="EW57" i="19"/>
  <c r="EX57" i="19"/>
  <c r="EY57" i="19"/>
  <c r="EZ57" i="19"/>
  <c r="FA57" i="19"/>
  <c r="FB57" i="19"/>
  <c r="FC57" i="19"/>
  <c r="FD57" i="19"/>
  <c r="FE57" i="19"/>
  <c r="FF57" i="19"/>
  <c r="FG57" i="19"/>
  <c r="FH57" i="19"/>
  <c r="FI57" i="19"/>
  <c r="FJ57" i="19"/>
  <c r="FK57" i="19"/>
  <c r="FL57" i="19"/>
  <c r="FM57" i="19"/>
  <c r="FN57" i="19"/>
  <c r="FO57" i="19"/>
  <c r="FP57" i="19"/>
  <c r="FQ57" i="19"/>
  <c r="FR57" i="19"/>
  <c r="FS57" i="19"/>
  <c r="FT57" i="19"/>
  <c r="FU57" i="19"/>
  <c r="FV57" i="19"/>
  <c r="FW57" i="19"/>
  <c r="FX57" i="19"/>
  <c r="FY57" i="19"/>
  <c r="FZ57" i="19"/>
  <c r="GA57" i="19"/>
  <c r="GB57" i="19"/>
  <c r="GC57" i="19"/>
  <c r="GD57" i="19"/>
  <c r="GE57" i="19"/>
  <c r="GF57" i="19"/>
  <c r="GG57" i="19"/>
  <c r="GH57" i="19"/>
  <c r="GI57" i="19"/>
  <c r="GJ57" i="19"/>
  <c r="GK57" i="19"/>
  <c r="GL57" i="19"/>
  <c r="GM57" i="19"/>
  <c r="GN57" i="19"/>
  <c r="GO57" i="19"/>
  <c r="GP57" i="19"/>
  <c r="GQ57" i="19"/>
  <c r="GR57" i="19"/>
  <c r="GS57" i="19"/>
  <c r="GT57" i="19"/>
  <c r="GU57" i="19"/>
  <c r="GV57" i="19"/>
  <c r="GW57" i="19"/>
  <c r="GX57" i="19"/>
  <c r="GY57" i="19"/>
  <c r="GZ57" i="19"/>
  <c r="HA57" i="19"/>
  <c r="HB57" i="19"/>
  <c r="HC57" i="19"/>
  <c r="HD57" i="19"/>
  <c r="HE57" i="19"/>
  <c r="HF57" i="19"/>
  <c r="HG57" i="19"/>
  <c r="HH57" i="19"/>
  <c r="HI57" i="19"/>
  <c r="HJ57" i="19"/>
  <c r="HK57" i="19"/>
  <c r="HL57" i="19"/>
  <c r="HM57" i="19"/>
  <c r="HN57" i="19"/>
  <c r="HO57" i="19"/>
  <c r="HP57" i="19"/>
  <c r="HQ57" i="19"/>
  <c r="HR57" i="19"/>
  <c r="HS57" i="19"/>
  <c r="HT57" i="19"/>
  <c r="HU57" i="19"/>
  <c r="HV57" i="19"/>
  <c r="HW57" i="19"/>
  <c r="HX57" i="19"/>
  <c r="HY57" i="19"/>
  <c r="HZ57" i="19"/>
  <c r="IA57" i="19"/>
  <c r="IB57" i="19"/>
  <c r="IC57" i="19"/>
  <c r="ID57" i="19"/>
  <c r="IE57" i="19"/>
  <c r="IF57" i="19"/>
  <c r="IG57" i="19"/>
  <c r="IH57" i="19"/>
  <c r="II57" i="19"/>
  <c r="IJ57" i="19"/>
  <c r="IK57" i="19"/>
  <c r="IL57" i="19"/>
  <c r="IM57" i="19"/>
  <c r="IN57" i="19"/>
  <c r="IO57" i="19"/>
  <c r="IP57" i="19"/>
  <c r="IQ57" i="19"/>
  <c r="IR57" i="19"/>
  <c r="IS57" i="19"/>
  <c r="IT57" i="19"/>
  <c r="IU57" i="19"/>
  <c r="IV57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AS58" i="19"/>
  <c r="AT58" i="19"/>
  <c r="AU58" i="19"/>
  <c r="AV58" i="19"/>
  <c r="AW58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BL58" i="19"/>
  <c r="BM58" i="19"/>
  <c r="BN58" i="19"/>
  <c r="BO58" i="19"/>
  <c r="BP58" i="19"/>
  <c r="BQ58" i="19"/>
  <c r="BR58" i="19"/>
  <c r="BS58" i="19"/>
  <c r="BT58" i="19"/>
  <c r="BU58" i="19"/>
  <c r="BV58" i="19"/>
  <c r="BW58" i="19"/>
  <c r="BX58" i="19"/>
  <c r="BY58" i="19"/>
  <c r="BZ58" i="19"/>
  <c r="CA58" i="19"/>
  <c r="CB58" i="19"/>
  <c r="CC58" i="19"/>
  <c r="CD58" i="19"/>
  <c r="CE58" i="19"/>
  <c r="CF58" i="19"/>
  <c r="CG58" i="19"/>
  <c r="CH58" i="19"/>
  <c r="CI58" i="19"/>
  <c r="CJ58" i="19"/>
  <c r="CK58" i="19"/>
  <c r="CL58" i="19"/>
  <c r="CM58" i="19"/>
  <c r="CN58" i="19"/>
  <c r="CO58" i="19"/>
  <c r="CP58" i="19"/>
  <c r="CQ58" i="19"/>
  <c r="CR58" i="19"/>
  <c r="CS58" i="19"/>
  <c r="CT58" i="19"/>
  <c r="CU58" i="19"/>
  <c r="CV58" i="19"/>
  <c r="CW58" i="19"/>
  <c r="CX58" i="19"/>
  <c r="CY58" i="19"/>
  <c r="CZ58" i="19"/>
  <c r="DA58" i="19"/>
  <c r="DB58" i="19"/>
  <c r="DC58" i="19"/>
  <c r="DD58" i="19"/>
  <c r="DE58" i="19"/>
  <c r="DF58" i="19"/>
  <c r="DG58" i="19"/>
  <c r="DH58" i="19"/>
  <c r="DI58" i="19"/>
  <c r="DJ58" i="19"/>
  <c r="DK58" i="19"/>
  <c r="DL58" i="19"/>
  <c r="DM58" i="19"/>
  <c r="DN58" i="19"/>
  <c r="DO58" i="19"/>
  <c r="DP58" i="19"/>
  <c r="DQ58" i="19"/>
  <c r="DR58" i="19"/>
  <c r="DS58" i="19"/>
  <c r="DT58" i="19"/>
  <c r="DU58" i="19"/>
  <c r="DV58" i="19"/>
  <c r="DW58" i="19"/>
  <c r="DX58" i="19"/>
  <c r="DY58" i="19"/>
  <c r="DZ58" i="19"/>
  <c r="EA58" i="19"/>
  <c r="EB58" i="19"/>
  <c r="EC58" i="19"/>
  <c r="ED58" i="19"/>
  <c r="EE58" i="19"/>
  <c r="EF58" i="19"/>
  <c r="EG58" i="19"/>
  <c r="EH58" i="19"/>
  <c r="EI58" i="19"/>
  <c r="EJ58" i="19"/>
  <c r="EK58" i="19"/>
  <c r="EL58" i="19"/>
  <c r="EM58" i="19"/>
  <c r="EN58" i="19"/>
  <c r="EO58" i="19"/>
  <c r="EP58" i="19"/>
  <c r="EQ58" i="19"/>
  <c r="ER58" i="19"/>
  <c r="ES58" i="19"/>
  <c r="ET58" i="19"/>
  <c r="EU58" i="19"/>
  <c r="EV58" i="19"/>
  <c r="EW58" i="19"/>
  <c r="EX58" i="19"/>
  <c r="EY58" i="19"/>
  <c r="EZ58" i="19"/>
  <c r="FA58" i="19"/>
  <c r="FB58" i="19"/>
  <c r="FC58" i="19"/>
  <c r="FD58" i="19"/>
  <c r="FE58" i="19"/>
  <c r="FF58" i="19"/>
  <c r="FG58" i="19"/>
  <c r="FH58" i="19"/>
  <c r="FI58" i="19"/>
  <c r="FJ58" i="19"/>
  <c r="FK58" i="19"/>
  <c r="FL58" i="19"/>
  <c r="FM58" i="19"/>
  <c r="FN58" i="19"/>
  <c r="FO58" i="19"/>
  <c r="FP58" i="19"/>
  <c r="FQ58" i="19"/>
  <c r="FR58" i="19"/>
  <c r="FS58" i="19"/>
  <c r="FT58" i="19"/>
  <c r="FU58" i="19"/>
  <c r="FV58" i="19"/>
  <c r="FW58" i="19"/>
  <c r="FX58" i="19"/>
  <c r="FY58" i="19"/>
  <c r="FZ58" i="19"/>
  <c r="GA58" i="19"/>
  <c r="GB58" i="19"/>
  <c r="GC58" i="19"/>
  <c r="GD58" i="19"/>
  <c r="GE58" i="19"/>
  <c r="GF58" i="19"/>
  <c r="GG58" i="19"/>
  <c r="GH58" i="19"/>
  <c r="GI58" i="19"/>
  <c r="GJ58" i="19"/>
  <c r="GK58" i="19"/>
  <c r="GL58" i="19"/>
  <c r="GM58" i="19"/>
  <c r="GN58" i="19"/>
  <c r="GO58" i="19"/>
  <c r="GP58" i="19"/>
  <c r="GQ58" i="19"/>
  <c r="GR58" i="19"/>
  <c r="GS58" i="19"/>
  <c r="GT58" i="19"/>
  <c r="GU58" i="19"/>
  <c r="GV58" i="19"/>
  <c r="GW58" i="19"/>
  <c r="GX58" i="19"/>
  <c r="GY58" i="19"/>
  <c r="GZ58" i="19"/>
  <c r="HA58" i="19"/>
  <c r="HB58" i="19"/>
  <c r="HC58" i="19"/>
  <c r="HD58" i="19"/>
  <c r="HE58" i="19"/>
  <c r="HF58" i="19"/>
  <c r="HG58" i="19"/>
  <c r="HH58" i="19"/>
  <c r="HI58" i="19"/>
  <c r="HJ58" i="19"/>
  <c r="HK58" i="19"/>
  <c r="HL58" i="19"/>
  <c r="HM58" i="19"/>
  <c r="HN58" i="19"/>
  <c r="HO58" i="19"/>
  <c r="HP58" i="19"/>
  <c r="HQ58" i="19"/>
  <c r="HR58" i="19"/>
  <c r="HS58" i="19"/>
  <c r="HT58" i="19"/>
  <c r="HU58" i="19"/>
  <c r="HV58" i="19"/>
  <c r="HW58" i="19"/>
  <c r="HX58" i="19"/>
  <c r="HY58" i="19"/>
  <c r="HZ58" i="19"/>
  <c r="IA58" i="19"/>
  <c r="IB58" i="19"/>
  <c r="IC58" i="19"/>
  <c r="ID58" i="19"/>
  <c r="IE58" i="19"/>
  <c r="IF58" i="19"/>
  <c r="IG58" i="19"/>
  <c r="IH58" i="19"/>
  <c r="II58" i="19"/>
  <c r="IJ58" i="19"/>
  <c r="IK58" i="19"/>
  <c r="IL58" i="19"/>
  <c r="IM58" i="19"/>
  <c r="IN58" i="19"/>
  <c r="IO58" i="19"/>
  <c r="IP58" i="19"/>
  <c r="IQ58" i="19"/>
  <c r="IR58" i="19"/>
  <c r="IS58" i="19"/>
  <c r="IT58" i="19"/>
  <c r="IU58" i="19"/>
  <c r="IV58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AS59" i="19"/>
  <c r="AT59" i="19"/>
  <c r="AU59" i="19"/>
  <c r="AV59" i="19"/>
  <c r="AW59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BL59" i="19"/>
  <c r="BM59" i="19"/>
  <c r="BN59" i="19"/>
  <c r="BO59" i="19"/>
  <c r="BP59" i="19"/>
  <c r="BQ59" i="19"/>
  <c r="BR59" i="19"/>
  <c r="BS59" i="19"/>
  <c r="BT59" i="19"/>
  <c r="BU59" i="19"/>
  <c r="BV59" i="19"/>
  <c r="BW59" i="19"/>
  <c r="BX59" i="19"/>
  <c r="BY59" i="19"/>
  <c r="BZ59" i="19"/>
  <c r="CA59" i="19"/>
  <c r="CB59" i="19"/>
  <c r="CC59" i="19"/>
  <c r="CD59" i="19"/>
  <c r="CE59" i="19"/>
  <c r="CF59" i="19"/>
  <c r="CG59" i="19"/>
  <c r="CH59" i="19"/>
  <c r="CI59" i="19"/>
  <c r="CJ59" i="19"/>
  <c r="CK59" i="19"/>
  <c r="CL59" i="19"/>
  <c r="CM59" i="19"/>
  <c r="CN59" i="19"/>
  <c r="CO59" i="19"/>
  <c r="CP59" i="19"/>
  <c r="CQ59" i="19"/>
  <c r="CR59" i="19"/>
  <c r="CS59" i="19"/>
  <c r="CT59" i="19"/>
  <c r="CU59" i="19"/>
  <c r="CV59" i="19"/>
  <c r="CW59" i="19"/>
  <c r="CX59" i="19"/>
  <c r="CY59" i="19"/>
  <c r="CZ59" i="19"/>
  <c r="DA59" i="19"/>
  <c r="DB59" i="19"/>
  <c r="DC59" i="19"/>
  <c r="DD59" i="19"/>
  <c r="DE59" i="19"/>
  <c r="DF59" i="19"/>
  <c r="DG59" i="19"/>
  <c r="DH59" i="19"/>
  <c r="DI59" i="19"/>
  <c r="DJ59" i="19"/>
  <c r="DK59" i="19"/>
  <c r="DL59" i="19"/>
  <c r="DM59" i="19"/>
  <c r="DN59" i="19"/>
  <c r="DO59" i="19"/>
  <c r="DP59" i="19"/>
  <c r="DQ59" i="19"/>
  <c r="DR59" i="19"/>
  <c r="DS59" i="19"/>
  <c r="DT59" i="19"/>
  <c r="DU59" i="19"/>
  <c r="DV59" i="19"/>
  <c r="DW59" i="19"/>
  <c r="DX59" i="19"/>
  <c r="DY59" i="19"/>
  <c r="DZ59" i="19"/>
  <c r="EA59" i="19"/>
  <c r="EB59" i="19"/>
  <c r="EC59" i="19"/>
  <c r="ED59" i="19"/>
  <c r="EE59" i="19"/>
  <c r="EF59" i="19"/>
  <c r="EG59" i="19"/>
  <c r="EH59" i="19"/>
  <c r="EI59" i="19"/>
  <c r="EJ59" i="19"/>
  <c r="EK59" i="19"/>
  <c r="EL59" i="19"/>
  <c r="EM59" i="19"/>
  <c r="EN59" i="19"/>
  <c r="EO59" i="19"/>
  <c r="EP59" i="19"/>
  <c r="EQ59" i="19"/>
  <c r="ER59" i="19"/>
  <c r="ES59" i="19"/>
  <c r="ET59" i="19"/>
  <c r="EU59" i="19"/>
  <c r="EV59" i="19"/>
  <c r="EW59" i="19"/>
  <c r="EX59" i="19"/>
  <c r="EY59" i="19"/>
  <c r="EZ59" i="19"/>
  <c r="FA59" i="19"/>
  <c r="FB59" i="19"/>
  <c r="FC59" i="19"/>
  <c r="FD59" i="19"/>
  <c r="FE59" i="19"/>
  <c r="FF59" i="19"/>
  <c r="FG59" i="19"/>
  <c r="FH59" i="19"/>
  <c r="FI59" i="19"/>
  <c r="FJ59" i="19"/>
  <c r="FK59" i="19"/>
  <c r="FL59" i="19"/>
  <c r="FM59" i="19"/>
  <c r="FN59" i="19"/>
  <c r="FO59" i="19"/>
  <c r="FP59" i="19"/>
  <c r="FQ59" i="19"/>
  <c r="FR59" i="19"/>
  <c r="FS59" i="19"/>
  <c r="FT59" i="19"/>
  <c r="FU59" i="19"/>
  <c r="FV59" i="19"/>
  <c r="FW59" i="19"/>
  <c r="FX59" i="19"/>
  <c r="FY59" i="19"/>
  <c r="FZ59" i="19"/>
  <c r="GA59" i="19"/>
  <c r="GB59" i="19"/>
  <c r="GC59" i="19"/>
  <c r="GD59" i="19"/>
  <c r="GE59" i="19"/>
  <c r="GF59" i="19"/>
  <c r="GG59" i="19"/>
  <c r="GH59" i="19"/>
  <c r="GI59" i="19"/>
  <c r="GJ59" i="19"/>
  <c r="GK59" i="19"/>
  <c r="GL59" i="19"/>
  <c r="GM59" i="19"/>
  <c r="GN59" i="19"/>
  <c r="GO59" i="19"/>
  <c r="GP59" i="19"/>
  <c r="GQ59" i="19"/>
  <c r="GR59" i="19"/>
  <c r="GS59" i="19"/>
  <c r="GT59" i="19"/>
  <c r="GU59" i="19"/>
  <c r="GV59" i="19"/>
  <c r="GW59" i="19"/>
  <c r="GX59" i="19"/>
  <c r="GY59" i="19"/>
  <c r="GZ59" i="19"/>
  <c r="HA59" i="19"/>
  <c r="HB59" i="19"/>
  <c r="HC59" i="19"/>
  <c r="HD59" i="19"/>
  <c r="HE59" i="19"/>
  <c r="HF59" i="19"/>
  <c r="HG59" i="19"/>
  <c r="HH59" i="19"/>
  <c r="HI59" i="19"/>
  <c r="HJ59" i="19"/>
  <c r="HK59" i="19"/>
  <c r="HL59" i="19"/>
  <c r="HM59" i="19"/>
  <c r="HN59" i="19"/>
  <c r="HO59" i="19"/>
  <c r="HP59" i="19"/>
  <c r="HQ59" i="19"/>
  <c r="HR59" i="19"/>
  <c r="HS59" i="19"/>
  <c r="HT59" i="19"/>
  <c r="HU59" i="19"/>
  <c r="HV59" i="19"/>
  <c r="HW59" i="19"/>
  <c r="HX59" i="19"/>
  <c r="HY59" i="19"/>
  <c r="HZ59" i="19"/>
  <c r="IA59" i="19"/>
  <c r="IB59" i="19"/>
  <c r="IC59" i="19"/>
  <c r="ID59" i="19"/>
  <c r="IE59" i="19"/>
  <c r="IF59" i="19"/>
  <c r="IG59" i="19"/>
  <c r="IH59" i="19"/>
  <c r="II59" i="19"/>
  <c r="IJ59" i="19"/>
  <c r="IK59" i="19"/>
  <c r="IL59" i="19"/>
  <c r="IM59" i="19"/>
  <c r="IN59" i="19"/>
  <c r="IO59" i="19"/>
  <c r="IP59" i="19"/>
  <c r="IQ59" i="19"/>
  <c r="IR59" i="19"/>
  <c r="IS59" i="19"/>
  <c r="IT59" i="19"/>
  <c r="IU59" i="19"/>
  <c r="IV59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BL60" i="19"/>
  <c r="BM60" i="19"/>
  <c r="BN60" i="19"/>
  <c r="BO60" i="19"/>
  <c r="BP60" i="19"/>
  <c r="BQ60" i="19"/>
  <c r="BR60" i="19"/>
  <c r="BS60" i="19"/>
  <c r="BT60" i="19"/>
  <c r="BU60" i="19"/>
  <c r="BV60" i="19"/>
  <c r="BW60" i="19"/>
  <c r="BX60" i="19"/>
  <c r="BY60" i="19"/>
  <c r="BZ60" i="19"/>
  <c r="CA60" i="19"/>
  <c r="CB60" i="19"/>
  <c r="CC60" i="19"/>
  <c r="CD60" i="19"/>
  <c r="CE60" i="19"/>
  <c r="CF60" i="19"/>
  <c r="CG60" i="19"/>
  <c r="CH60" i="19"/>
  <c r="CI60" i="19"/>
  <c r="CJ60" i="19"/>
  <c r="CK60" i="19"/>
  <c r="CL60" i="19"/>
  <c r="CM60" i="19"/>
  <c r="CN60" i="19"/>
  <c r="CO60" i="19"/>
  <c r="CP60" i="19"/>
  <c r="CQ60" i="19"/>
  <c r="CR60" i="19"/>
  <c r="CS60" i="19"/>
  <c r="CT60" i="19"/>
  <c r="CU60" i="19"/>
  <c r="CV60" i="19"/>
  <c r="CW60" i="19"/>
  <c r="CX60" i="19"/>
  <c r="CY60" i="19"/>
  <c r="CZ60" i="19"/>
  <c r="DA60" i="19"/>
  <c r="DB60" i="19"/>
  <c r="DC60" i="19"/>
  <c r="DD60" i="19"/>
  <c r="DE60" i="19"/>
  <c r="DF60" i="19"/>
  <c r="DG60" i="19"/>
  <c r="DH60" i="19"/>
  <c r="DI60" i="19"/>
  <c r="DJ60" i="19"/>
  <c r="DK60" i="19"/>
  <c r="DL60" i="19"/>
  <c r="DM60" i="19"/>
  <c r="DN60" i="19"/>
  <c r="DO60" i="19"/>
  <c r="DP60" i="19"/>
  <c r="DQ60" i="19"/>
  <c r="DR60" i="19"/>
  <c r="DS60" i="19"/>
  <c r="DT60" i="19"/>
  <c r="DU60" i="19"/>
  <c r="DV60" i="19"/>
  <c r="DW60" i="19"/>
  <c r="DX60" i="19"/>
  <c r="DY60" i="19"/>
  <c r="DZ60" i="19"/>
  <c r="EA60" i="19"/>
  <c r="EB60" i="19"/>
  <c r="EC60" i="19"/>
  <c r="ED60" i="19"/>
  <c r="EE60" i="19"/>
  <c r="EF60" i="19"/>
  <c r="EG60" i="19"/>
  <c r="EH60" i="19"/>
  <c r="EI60" i="19"/>
  <c r="EJ60" i="19"/>
  <c r="EK60" i="19"/>
  <c r="EL60" i="19"/>
  <c r="EM60" i="19"/>
  <c r="EN60" i="19"/>
  <c r="EO60" i="19"/>
  <c r="EP60" i="19"/>
  <c r="EQ60" i="19"/>
  <c r="ER60" i="19"/>
  <c r="ES60" i="19"/>
  <c r="ET60" i="19"/>
  <c r="EU60" i="19"/>
  <c r="EV60" i="19"/>
  <c r="EW60" i="19"/>
  <c r="EX60" i="19"/>
  <c r="EY60" i="19"/>
  <c r="EZ60" i="19"/>
  <c r="FA60" i="19"/>
  <c r="FB60" i="19"/>
  <c r="FC60" i="19"/>
  <c r="FD60" i="19"/>
  <c r="FE60" i="19"/>
  <c r="FF60" i="19"/>
  <c r="FG60" i="19"/>
  <c r="FH60" i="19"/>
  <c r="FI60" i="19"/>
  <c r="FJ60" i="19"/>
  <c r="FK60" i="19"/>
  <c r="FL60" i="19"/>
  <c r="FM60" i="19"/>
  <c r="FN60" i="19"/>
  <c r="FO60" i="19"/>
  <c r="FP60" i="19"/>
  <c r="FQ60" i="19"/>
  <c r="FR60" i="19"/>
  <c r="FS60" i="19"/>
  <c r="FT60" i="19"/>
  <c r="FU60" i="19"/>
  <c r="FV60" i="19"/>
  <c r="FW60" i="19"/>
  <c r="FX60" i="19"/>
  <c r="FY60" i="19"/>
  <c r="FZ60" i="19"/>
  <c r="GA60" i="19"/>
  <c r="GB60" i="19"/>
  <c r="GC60" i="19"/>
  <c r="GD60" i="19"/>
  <c r="GE60" i="19"/>
  <c r="GF60" i="19"/>
  <c r="GG60" i="19"/>
  <c r="GH60" i="19"/>
  <c r="GI60" i="19"/>
  <c r="GJ60" i="19"/>
  <c r="GK60" i="19"/>
  <c r="GL60" i="19"/>
  <c r="GM60" i="19"/>
  <c r="GN60" i="19"/>
  <c r="GO60" i="19"/>
  <c r="GP60" i="19"/>
  <c r="GQ60" i="19"/>
  <c r="GR60" i="19"/>
  <c r="GS60" i="19"/>
  <c r="GT60" i="19"/>
  <c r="GU60" i="19"/>
  <c r="GV60" i="19"/>
  <c r="GW60" i="19"/>
  <c r="GX60" i="19"/>
  <c r="GY60" i="19"/>
  <c r="GZ60" i="19"/>
  <c r="HA60" i="19"/>
  <c r="HB60" i="19"/>
  <c r="HC60" i="19"/>
  <c r="HD60" i="19"/>
  <c r="HE60" i="19"/>
  <c r="HF60" i="19"/>
  <c r="HG60" i="19"/>
  <c r="HH60" i="19"/>
  <c r="HI60" i="19"/>
  <c r="HJ60" i="19"/>
  <c r="HK60" i="19"/>
  <c r="HL60" i="19"/>
  <c r="HM60" i="19"/>
  <c r="HN60" i="19"/>
  <c r="HO60" i="19"/>
  <c r="HP60" i="19"/>
  <c r="HQ60" i="19"/>
  <c r="HR60" i="19"/>
  <c r="HS60" i="19"/>
  <c r="HT60" i="19"/>
  <c r="HU60" i="19"/>
  <c r="HV60" i="19"/>
  <c r="HW60" i="19"/>
  <c r="HX60" i="19"/>
  <c r="HY60" i="19"/>
  <c r="HZ60" i="19"/>
  <c r="IA60" i="19"/>
  <c r="IB60" i="19"/>
  <c r="IC60" i="19"/>
  <c r="ID60" i="19"/>
  <c r="IE60" i="19"/>
  <c r="IF60" i="19"/>
  <c r="IG60" i="19"/>
  <c r="IH60" i="19"/>
  <c r="II60" i="19"/>
  <c r="IJ60" i="19"/>
  <c r="IK60" i="19"/>
  <c r="IL60" i="19"/>
  <c r="IM60" i="19"/>
  <c r="IN60" i="19"/>
  <c r="IO60" i="19"/>
  <c r="IP60" i="19"/>
  <c r="IQ60" i="19"/>
  <c r="IR60" i="19"/>
  <c r="IS60" i="19"/>
  <c r="IT60" i="19"/>
  <c r="IU60" i="19"/>
  <c r="IV60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AN61" i="19"/>
  <c r="AO61" i="19"/>
  <c r="AP61" i="19"/>
  <c r="AQ61" i="19"/>
  <c r="AR61" i="19"/>
  <c r="AS61" i="19"/>
  <c r="AT61" i="19"/>
  <c r="AU61" i="19"/>
  <c r="AV61" i="19"/>
  <c r="AW61" i="19"/>
  <c r="AX61" i="19"/>
  <c r="AY61" i="19"/>
  <c r="AZ61" i="19"/>
  <c r="BA61" i="19"/>
  <c r="BB61" i="19"/>
  <c r="BC61" i="19"/>
  <c r="BD61" i="19"/>
  <c r="BE61" i="19"/>
  <c r="BF61" i="19"/>
  <c r="BG61" i="19"/>
  <c r="BH61" i="19"/>
  <c r="BI61" i="19"/>
  <c r="BJ61" i="19"/>
  <c r="BK61" i="19"/>
  <c r="BL61" i="19"/>
  <c r="BM61" i="19"/>
  <c r="BN61" i="19"/>
  <c r="BO61" i="19"/>
  <c r="BP61" i="19"/>
  <c r="BQ61" i="19"/>
  <c r="BR61" i="19"/>
  <c r="BS61" i="19"/>
  <c r="BT61" i="19"/>
  <c r="BU61" i="19"/>
  <c r="BV61" i="19"/>
  <c r="BW61" i="19"/>
  <c r="BX61" i="19"/>
  <c r="BY61" i="19"/>
  <c r="BZ61" i="19"/>
  <c r="CA61" i="19"/>
  <c r="CB61" i="19"/>
  <c r="CC61" i="19"/>
  <c r="CD61" i="19"/>
  <c r="CE61" i="19"/>
  <c r="CF61" i="19"/>
  <c r="CG61" i="19"/>
  <c r="CH61" i="19"/>
  <c r="CI61" i="19"/>
  <c r="CJ61" i="19"/>
  <c r="CK61" i="19"/>
  <c r="CL61" i="19"/>
  <c r="CM61" i="19"/>
  <c r="CN61" i="19"/>
  <c r="CO61" i="19"/>
  <c r="CP61" i="19"/>
  <c r="CQ61" i="19"/>
  <c r="CR61" i="19"/>
  <c r="CS61" i="19"/>
  <c r="CT61" i="19"/>
  <c r="CU61" i="19"/>
  <c r="CV61" i="19"/>
  <c r="CW61" i="19"/>
  <c r="CX61" i="19"/>
  <c r="CY61" i="19"/>
  <c r="CZ61" i="19"/>
  <c r="DA61" i="19"/>
  <c r="DB61" i="19"/>
  <c r="DC61" i="19"/>
  <c r="DD61" i="19"/>
  <c r="DE61" i="19"/>
  <c r="DF61" i="19"/>
  <c r="DG61" i="19"/>
  <c r="DH61" i="19"/>
  <c r="DI61" i="19"/>
  <c r="DJ61" i="19"/>
  <c r="DK61" i="19"/>
  <c r="DL61" i="19"/>
  <c r="DM61" i="19"/>
  <c r="DN61" i="19"/>
  <c r="DO61" i="19"/>
  <c r="DP61" i="19"/>
  <c r="DQ61" i="19"/>
  <c r="DR61" i="19"/>
  <c r="DS61" i="19"/>
  <c r="DT61" i="19"/>
  <c r="DU61" i="19"/>
  <c r="DV61" i="19"/>
  <c r="DW61" i="19"/>
  <c r="DX61" i="19"/>
  <c r="DY61" i="19"/>
  <c r="DZ61" i="19"/>
  <c r="EA61" i="19"/>
  <c r="EB61" i="19"/>
  <c r="EC61" i="19"/>
  <c r="ED61" i="19"/>
  <c r="EE61" i="19"/>
  <c r="EF61" i="19"/>
  <c r="EG61" i="19"/>
  <c r="EH61" i="19"/>
  <c r="EI61" i="19"/>
  <c r="EJ61" i="19"/>
  <c r="EK61" i="19"/>
  <c r="EL61" i="19"/>
  <c r="EM61" i="19"/>
  <c r="EN61" i="19"/>
  <c r="EO61" i="19"/>
  <c r="EP61" i="19"/>
  <c r="EQ61" i="19"/>
  <c r="ER61" i="19"/>
  <c r="ES61" i="19"/>
  <c r="ET61" i="19"/>
  <c r="EU61" i="19"/>
  <c r="EV61" i="19"/>
  <c r="EW61" i="19"/>
  <c r="EX61" i="19"/>
  <c r="EY61" i="19"/>
  <c r="EZ61" i="19"/>
  <c r="FA61" i="19"/>
  <c r="FB61" i="19"/>
  <c r="FC61" i="19"/>
  <c r="FD61" i="19"/>
  <c r="FE61" i="19"/>
  <c r="FF61" i="19"/>
  <c r="FG61" i="19"/>
  <c r="FH61" i="19"/>
  <c r="FI61" i="19"/>
  <c r="FJ61" i="19"/>
  <c r="FK61" i="19"/>
  <c r="FL61" i="19"/>
  <c r="FM61" i="19"/>
  <c r="FN61" i="19"/>
  <c r="FO61" i="19"/>
  <c r="FP61" i="19"/>
  <c r="FQ61" i="19"/>
  <c r="FR61" i="19"/>
  <c r="FS61" i="19"/>
  <c r="FT61" i="19"/>
  <c r="FU61" i="19"/>
  <c r="FV61" i="19"/>
  <c r="FW61" i="19"/>
  <c r="FX61" i="19"/>
  <c r="FY61" i="19"/>
  <c r="FZ61" i="19"/>
  <c r="GA61" i="19"/>
  <c r="GB61" i="19"/>
  <c r="GC61" i="19"/>
  <c r="GD61" i="19"/>
  <c r="GE61" i="19"/>
  <c r="GF61" i="19"/>
  <c r="GG61" i="19"/>
  <c r="GH61" i="19"/>
  <c r="GI61" i="19"/>
  <c r="GJ61" i="19"/>
  <c r="GK61" i="19"/>
  <c r="GL61" i="19"/>
  <c r="GM61" i="19"/>
  <c r="GN61" i="19"/>
  <c r="GO61" i="19"/>
  <c r="GP61" i="19"/>
  <c r="GQ61" i="19"/>
  <c r="GR61" i="19"/>
  <c r="GS61" i="19"/>
  <c r="GT61" i="19"/>
  <c r="GU61" i="19"/>
  <c r="GV61" i="19"/>
  <c r="GW61" i="19"/>
  <c r="GX61" i="19"/>
  <c r="GY61" i="19"/>
  <c r="GZ61" i="19"/>
  <c r="HA61" i="19"/>
  <c r="HB61" i="19"/>
  <c r="HC61" i="19"/>
  <c r="HD61" i="19"/>
  <c r="HE61" i="19"/>
  <c r="HF61" i="19"/>
  <c r="HG61" i="19"/>
  <c r="HH61" i="19"/>
  <c r="HI61" i="19"/>
  <c r="HJ61" i="19"/>
  <c r="HK61" i="19"/>
  <c r="HL61" i="19"/>
  <c r="HM61" i="19"/>
  <c r="HN61" i="19"/>
  <c r="HO61" i="19"/>
  <c r="HP61" i="19"/>
  <c r="HQ61" i="19"/>
  <c r="HR61" i="19"/>
  <c r="HS61" i="19"/>
  <c r="HT61" i="19"/>
  <c r="HU61" i="19"/>
  <c r="HV61" i="19"/>
  <c r="HW61" i="19"/>
  <c r="HX61" i="19"/>
  <c r="HY61" i="19"/>
  <c r="HZ61" i="19"/>
  <c r="IA61" i="19"/>
  <c r="IB61" i="19"/>
  <c r="IC61" i="19"/>
  <c r="ID61" i="19"/>
  <c r="IE61" i="19"/>
  <c r="IF61" i="19"/>
  <c r="IG61" i="19"/>
  <c r="IH61" i="19"/>
  <c r="II61" i="19"/>
  <c r="IJ61" i="19"/>
  <c r="IK61" i="19"/>
  <c r="IL61" i="19"/>
  <c r="IM61" i="19"/>
  <c r="IN61" i="19"/>
  <c r="IO61" i="19"/>
  <c r="IP61" i="19"/>
  <c r="IQ61" i="19"/>
  <c r="IR61" i="19"/>
  <c r="IS61" i="19"/>
  <c r="IT61" i="19"/>
  <c r="IU61" i="19"/>
  <c r="IV61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AS62" i="19"/>
  <c r="AT62" i="19"/>
  <c r="AU62" i="19"/>
  <c r="AV62" i="19"/>
  <c r="AW62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BL62" i="19"/>
  <c r="BM62" i="19"/>
  <c r="BN62" i="19"/>
  <c r="BO62" i="19"/>
  <c r="BP62" i="19"/>
  <c r="BQ62" i="19"/>
  <c r="BR62" i="19"/>
  <c r="BS62" i="19"/>
  <c r="BT62" i="19"/>
  <c r="BU62" i="19"/>
  <c r="BV62" i="19"/>
  <c r="BW62" i="19"/>
  <c r="BX62" i="19"/>
  <c r="BY62" i="19"/>
  <c r="BZ62" i="19"/>
  <c r="CA62" i="19"/>
  <c r="CB62" i="19"/>
  <c r="CC62" i="19"/>
  <c r="CD62" i="19"/>
  <c r="CE62" i="19"/>
  <c r="CF62" i="19"/>
  <c r="CG62" i="19"/>
  <c r="CH62" i="19"/>
  <c r="CI62" i="19"/>
  <c r="CJ62" i="19"/>
  <c r="CK62" i="19"/>
  <c r="CL62" i="19"/>
  <c r="CM62" i="19"/>
  <c r="CN62" i="19"/>
  <c r="CO62" i="19"/>
  <c r="CP62" i="19"/>
  <c r="CQ62" i="19"/>
  <c r="CR62" i="19"/>
  <c r="CS62" i="19"/>
  <c r="CT62" i="19"/>
  <c r="CU62" i="19"/>
  <c r="CV62" i="19"/>
  <c r="CW62" i="19"/>
  <c r="CX62" i="19"/>
  <c r="CY62" i="19"/>
  <c r="CZ62" i="19"/>
  <c r="DA62" i="19"/>
  <c r="DB62" i="19"/>
  <c r="DC62" i="19"/>
  <c r="DD62" i="19"/>
  <c r="DE62" i="19"/>
  <c r="DF62" i="19"/>
  <c r="DG62" i="19"/>
  <c r="DH62" i="19"/>
  <c r="DI62" i="19"/>
  <c r="DJ62" i="19"/>
  <c r="DK62" i="19"/>
  <c r="DL62" i="19"/>
  <c r="DM62" i="19"/>
  <c r="DN62" i="19"/>
  <c r="DO62" i="19"/>
  <c r="DP62" i="19"/>
  <c r="DQ62" i="19"/>
  <c r="DR62" i="19"/>
  <c r="DS62" i="19"/>
  <c r="DT62" i="19"/>
  <c r="DU62" i="19"/>
  <c r="DV62" i="19"/>
  <c r="DW62" i="19"/>
  <c r="DX62" i="19"/>
  <c r="DY62" i="19"/>
  <c r="DZ62" i="19"/>
  <c r="EA62" i="19"/>
  <c r="EB62" i="19"/>
  <c r="EC62" i="19"/>
  <c r="ED62" i="19"/>
  <c r="EE62" i="19"/>
  <c r="EF62" i="19"/>
  <c r="EG62" i="19"/>
  <c r="EH62" i="19"/>
  <c r="EI62" i="19"/>
  <c r="EJ62" i="19"/>
  <c r="EK62" i="19"/>
  <c r="EL62" i="19"/>
  <c r="EM62" i="19"/>
  <c r="EN62" i="19"/>
  <c r="EO62" i="19"/>
  <c r="EP62" i="19"/>
  <c r="EQ62" i="19"/>
  <c r="ER62" i="19"/>
  <c r="ES62" i="19"/>
  <c r="ET62" i="19"/>
  <c r="EU62" i="19"/>
  <c r="EV62" i="19"/>
  <c r="EW62" i="19"/>
  <c r="EX62" i="19"/>
  <c r="EY62" i="19"/>
  <c r="EZ62" i="19"/>
  <c r="FA62" i="19"/>
  <c r="FB62" i="19"/>
  <c r="FC62" i="19"/>
  <c r="FD62" i="19"/>
  <c r="FE62" i="19"/>
  <c r="FF62" i="19"/>
  <c r="FG62" i="19"/>
  <c r="FH62" i="19"/>
  <c r="FI62" i="19"/>
  <c r="FJ62" i="19"/>
  <c r="FK62" i="19"/>
  <c r="FL62" i="19"/>
  <c r="FM62" i="19"/>
  <c r="FN62" i="19"/>
  <c r="FO62" i="19"/>
  <c r="FP62" i="19"/>
  <c r="FQ62" i="19"/>
  <c r="FR62" i="19"/>
  <c r="FS62" i="19"/>
  <c r="FT62" i="19"/>
  <c r="FU62" i="19"/>
  <c r="FV62" i="19"/>
  <c r="FW62" i="19"/>
  <c r="FX62" i="19"/>
  <c r="FY62" i="19"/>
  <c r="FZ62" i="19"/>
  <c r="GA62" i="19"/>
  <c r="GB62" i="19"/>
  <c r="GC62" i="19"/>
  <c r="GD62" i="19"/>
  <c r="GE62" i="19"/>
  <c r="GF62" i="19"/>
  <c r="GG62" i="19"/>
  <c r="GH62" i="19"/>
  <c r="GI62" i="19"/>
  <c r="GJ62" i="19"/>
  <c r="GK62" i="19"/>
  <c r="GL62" i="19"/>
  <c r="GM62" i="19"/>
  <c r="GN62" i="19"/>
  <c r="GO62" i="19"/>
  <c r="GP62" i="19"/>
  <c r="GQ62" i="19"/>
  <c r="GR62" i="19"/>
  <c r="GS62" i="19"/>
  <c r="GT62" i="19"/>
  <c r="GU62" i="19"/>
  <c r="GV62" i="19"/>
  <c r="GW62" i="19"/>
  <c r="GX62" i="19"/>
  <c r="GY62" i="19"/>
  <c r="GZ62" i="19"/>
  <c r="HA62" i="19"/>
  <c r="HB62" i="19"/>
  <c r="HC62" i="19"/>
  <c r="HD62" i="19"/>
  <c r="HE62" i="19"/>
  <c r="HF62" i="19"/>
  <c r="HG62" i="19"/>
  <c r="HH62" i="19"/>
  <c r="HI62" i="19"/>
  <c r="HJ62" i="19"/>
  <c r="HK62" i="19"/>
  <c r="HL62" i="19"/>
  <c r="HM62" i="19"/>
  <c r="HN62" i="19"/>
  <c r="HO62" i="19"/>
  <c r="HP62" i="19"/>
  <c r="HQ62" i="19"/>
  <c r="HR62" i="19"/>
  <c r="HS62" i="19"/>
  <c r="HT62" i="19"/>
  <c r="HU62" i="19"/>
  <c r="HV62" i="19"/>
  <c r="HW62" i="19"/>
  <c r="HX62" i="19"/>
  <c r="HY62" i="19"/>
  <c r="HZ62" i="19"/>
  <c r="IA62" i="19"/>
  <c r="IB62" i="19"/>
  <c r="IC62" i="19"/>
  <c r="ID62" i="19"/>
  <c r="IE62" i="19"/>
  <c r="IF62" i="19"/>
  <c r="IG62" i="19"/>
  <c r="IH62" i="19"/>
  <c r="II62" i="19"/>
  <c r="IJ62" i="19"/>
  <c r="IK62" i="19"/>
  <c r="IL62" i="19"/>
  <c r="IM62" i="19"/>
  <c r="IN62" i="19"/>
  <c r="IO62" i="19"/>
  <c r="IP62" i="19"/>
  <c r="IQ62" i="19"/>
  <c r="IR62" i="19"/>
  <c r="IS62" i="19"/>
  <c r="IT62" i="19"/>
  <c r="IU62" i="19"/>
  <c r="IV62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AN63" i="19"/>
  <c r="AO63" i="19"/>
  <c r="AP63" i="19"/>
  <c r="AQ63" i="19"/>
  <c r="AR63" i="19"/>
  <c r="AS63" i="19"/>
  <c r="AT63" i="19"/>
  <c r="AU63" i="19"/>
  <c r="AV63" i="19"/>
  <c r="AW63" i="19"/>
  <c r="AX63" i="19"/>
  <c r="AY63" i="19"/>
  <c r="AZ63" i="19"/>
  <c r="BA63" i="19"/>
  <c r="BB63" i="19"/>
  <c r="BC63" i="19"/>
  <c r="BD63" i="19"/>
  <c r="BE63" i="19"/>
  <c r="BF63" i="19"/>
  <c r="BG63" i="19"/>
  <c r="BH63" i="19"/>
  <c r="BI63" i="19"/>
  <c r="BJ63" i="19"/>
  <c r="BK63" i="19"/>
  <c r="BL63" i="19"/>
  <c r="BM63" i="19"/>
  <c r="BN63" i="19"/>
  <c r="BO63" i="19"/>
  <c r="BP63" i="19"/>
  <c r="BQ63" i="19"/>
  <c r="BR63" i="19"/>
  <c r="BS63" i="19"/>
  <c r="BT63" i="19"/>
  <c r="BU63" i="19"/>
  <c r="BV63" i="19"/>
  <c r="BW63" i="19"/>
  <c r="BX63" i="19"/>
  <c r="BY63" i="19"/>
  <c r="BZ63" i="19"/>
  <c r="CA63" i="19"/>
  <c r="CB63" i="19"/>
  <c r="CC63" i="19"/>
  <c r="CD63" i="19"/>
  <c r="CE63" i="19"/>
  <c r="CF63" i="19"/>
  <c r="CG63" i="19"/>
  <c r="CH63" i="19"/>
  <c r="CI63" i="19"/>
  <c r="CJ63" i="19"/>
  <c r="CK63" i="19"/>
  <c r="CL63" i="19"/>
  <c r="CM63" i="19"/>
  <c r="CN63" i="19"/>
  <c r="CO63" i="19"/>
  <c r="CP63" i="19"/>
  <c r="CQ63" i="19"/>
  <c r="CR63" i="19"/>
  <c r="CS63" i="19"/>
  <c r="CT63" i="19"/>
  <c r="CU63" i="19"/>
  <c r="CV63" i="19"/>
  <c r="CW63" i="19"/>
  <c r="CX63" i="19"/>
  <c r="CY63" i="19"/>
  <c r="CZ63" i="19"/>
  <c r="DA63" i="19"/>
  <c r="DB63" i="19"/>
  <c r="DC63" i="19"/>
  <c r="DD63" i="19"/>
  <c r="DE63" i="19"/>
  <c r="DF63" i="19"/>
  <c r="DG63" i="19"/>
  <c r="DH63" i="19"/>
  <c r="DI63" i="19"/>
  <c r="DJ63" i="19"/>
  <c r="DK63" i="19"/>
  <c r="DL63" i="19"/>
  <c r="DM63" i="19"/>
  <c r="DN63" i="19"/>
  <c r="DO63" i="19"/>
  <c r="DP63" i="19"/>
  <c r="DQ63" i="19"/>
  <c r="DR63" i="19"/>
  <c r="DS63" i="19"/>
  <c r="DT63" i="19"/>
  <c r="DU63" i="19"/>
  <c r="DV63" i="19"/>
  <c r="DW63" i="19"/>
  <c r="DX63" i="19"/>
  <c r="DY63" i="19"/>
  <c r="DZ63" i="19"/>
  <c r="EA63" i="19"/>
  <c r="EB63" i="19"/>
  <c r="EC63" i="19"/>
  <c r="ED63" i="19"/>
  <c r="EE63" i="19"/>
  <c r="EF63" i="19"/>
  <c r="EG63" i="19"/>
  <c r="EH63" i="19"/>
  <c r="EI63" i="19"/>
  <c r="EJ63" i="19"/>
  <c r="EK63" i="19"/>
  <c r="EL63" i="19"/>
  <c r="EM63" i="19"/>
  <c r="EN63" i="19"/>
  <c r="EO63" i="19"/>
  <c r="EP63" i="19"/>
  <c r="EQ63" i="19"/>
  <c r="ER63" i="19"/>
  <c r="ES63" i="19"/>
  <c r="ET63" i="19"/>
  <c r="EU63" i="19"/>
  <c r="EV63" i="19"/>
  <c r="EW63" i="19"/>
  <c r="EX63" i="19"/>
  <c r="EY63" i="19"/>
  <c r="EZ63" i="19"/>
  <c r="FA63" i="19"/>
  <c r="FB63" i="19"/>
  <c r="FC63" i="19"/>
  <c r="FD63" i="19"/>
  <c r="FE63" i="19"/>
  <c r="FF63" i="19"/>
  <c r="FG63" i="19"/>
  <c r="FH63" i="19"/>
  <c r="FI63" i="19"/>
  <c r="FJ63" i="19"/>
  <c r="FK63" i="19"/>
  <c r="FL63" i="19"/>
  <c r="FM63" i="19"/>
  <c r="FN63" i="19"/>
  <c r="FO63" i="19"/>
  <c r="FP63" i="19"/>
  <c r="FQ63" i="19"/>
  <c r="FR63" i="19"/>
  <c r="FS63" i="19"/>
  <c r="FT63" i="19"/>
  <c r="FU63" i="19"/>
  <c r="FV63" i="19"/>
  <c r="FW63" i="19"/>
  <c r="FX63" i="19"/>
  <c r="FY63" i="19"/>
  <c r="FZ63" i="19"/>
  <c r="GA63" i="19"/>
  <c r="GB63" i="19"/>
  <c r="GC63" i="19"/>
  <c r="GD63" i="19"/>
  <c r="GE63" i="19"/>
  <c r="GF63" i="19"/>
  <c r="GG63" i="19"/>
  <c r="GH63" i="19"/>
  <c r="GI63" i="19"/>
  <c r="GJ63" i="19"/>
  <c r="GK63" i="19"/>
  <c r="GL63" i="19"/>
  <c r="GM63" i="19"/>
  <c r="GN63" i="19"/>
  <c r="GO63" i="19"/>
  <c r="GP63" i="19"/>
  <c r="GQ63" i="19"/>
  <c r="GR63" i="19"/>
  <c r="GS63" i="19"/>
  <c r="GT63" i="19"/>
  <c r="GU63" i="19"/>
  <c r="GV63" i="19"/>
  <c r="GW63" i="19"/>
  <c r="GX63" i="19"/>
  <c r="GY63" i="19"/>
  <c r="GZ63" i="19"/>
  <c r="HA63" i="19"/>
  <c r="HB63" i="19"/>
  <c r="HC63" i="19"/>
  <c r="HD63" i="19"/>
  <c r="HE63" i="19"/>
  <c r="HF63" i="19"/>
  <c r="HG63" i="19"/>
  <c r="HH63" i="19"/>
  <c r="HI63" i="19"/>
  <c r="HJ63" i="19"/>
  <c r="HK63" i="19"/>
  <c r="HL63" i="19"/>
  <c r="HM63" i="19"/>
  <c r="HN63" i="19"/>
  <c r="HO63" i="19"/>
  <c r="HP63" i="19"/>
  <c r="HQ63" i="19"/>
  <c r="HR63" i="19"/>
  <c r="HS63" i="19"/>
  <c r="HT63" i="19"/>
  <c r="HU63" i="19"/>
  <c r="HV63" i="19"/>
  <c r="HW63" i="19"/>
  <c r="HX63" i="19"/>
  <c r="HY63" i="19"/>
  <c r="HZ63" i="19"/>
  <c r="IA63" i="19"/>
  <c r="IB63" i="19"/>
  <c r="IC63" i="19"/>
  <c r="ID63" i="19"/>
  <c r="IE63" i="19"/>
  <c r="IF63" i="19"/>
  <c r="IG63" i="19"/>
  <c r="IH63" i="19"/>
  <c r="II63" i="19"/>
  <c r="IJ63" i="19"/>
  <c r="IK63" i="19"/>
  <c r="IL63" i="19"/>
  <c r="IM63" i="19"/>
  <c r="IN63" i="19"/>
  <c r="IO63" i="19"/>
  <c r="IP63" i="19"/>
  <c r="IQ63" i="19"/>
  <c r="IR63" i="19"/>
  <c r="IS63" i="19"/>
  <c r="IT63" i="19"/>
  <c r="IU63" i="19"/>
  <c r="IV63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AN64" i="19"/>
  <c r="AO64" i="19"/>
  <c r="AP64" i="19"/>
  <c r="AQ64" i="19"/>
  <c r="AR64" i="19"/>
  <c r="AS64" i="19"/>
  <c r="AT64" i="19"/>
  <c r="AU64" i="19"/>
  <c r="AV64" i="19"/>
  <c r="AW64" i="19"/>
  <c r="AX64" i="19"/>
  <c r="AY64" i="19"/>
  <c r="AZ64" i="19"/>
  <c r="BA64" i="19"/>
  <c r="BB64" i="19"/>
  <c r="BC64" i="19"/>
  <c r="BD64" i="19"/>
  <c r="BE64" i="19"/>
  <c r="BF64" i="19"/>
  <c r="BG64" i="19"/>
  <c r="BH64" i="19"/>
  <c r="BI64" i="19"/>
  <c r="BJ64" i="19"/>
  <c r="BK64" i="19"/>
  <c r="BL64" i="19"/>
  <c r="BM64" i="19"/>
  <c r="BN64" i="19"/>
  <c r="BO64" i="19"/>
  <c r="BP64" i="19"/>
  <c r="BQ64" i="19"/>
  <c r="BR64" i="19"/>
  <c r="BS64" i="19"/>
  <c r="BT64" i="19"/>
  <c r="BU64" i="19"/>
  <c r="BV64" i="19"/>
  <c r="BW64" i="19"/>
  <c r="BX64" i="19"/>
  <c r="BY64" i="19"/>
  <c r="BZ64" i="19"/>
  <c r="CA64" i="19"/>
  <c r="CB64" i="19"/>
  <c r="CC64" i="19"/>
  <c r="CD64" i="19"/>
  <c r="CE64" i="19"/>
  <c r="CF64" i="19"/>
  <c r="CG64" i="19"/>
  <c r="CH64" i="19"/>
  <c r="CI64" i="19"/>
  <c r="CJ64" i="19"/>
  <c r="CK64" i="19"/>
  <c r="CL64" i="19"/>
  <c r="CM64" i="19"/>
  <c r="CN64" i="19"/>
  <c r="CO64" i="19"/>
  <c r="CP64" i="19"/>
  <c r="CQ64" i="19"/>
  <c r="CR64" i="19"/>
  <c r="CS64" i="19"/>
  <c r="CT64" i="19"/>
  <c r="CU64" i="19"/>
  <c r="CV64" i="19"/>
  <c r="CW64" i="19"/>
  <c r="CX64" i="19"/>
  <c r="CY64" i="19"/>
  <c r="CZ64" i="19"/>
  <c r="DA64" i="19"/>
  <c r="DB64" i="19"/>
  <c r="DC64" i="19"/>
  <c r="DD64" i="19"/>
  <c r="DE64" i="19"/>
  <c r="DF64" i="19"/>
  <c r="DG64" i="19"/>
  <c r="DH64" i="19"/>
  <c r="DI64" i="19"/>
  <c r="DJ64" i="19"/>
  <c r="DK64" i="19"/>
  <c r="DL64" i="19"/>
  <c r="DM64" i="19"/>
  <c r="DN64" i="19"/>
  <c r="DO64" i="19"/>
  <c r="DP64" i="19"/>
  <c r="DQ64" i="19"/>
  <c r="DR64" i="19"/>
  <c r="DS64" i="19"/>
  <c r="DT64" i="19"/>
  <c r="DU64" i="19"/>
  <c r="DV64" i="19"/>
  <c r="DW64" i="19"/>
  <c r="DX64" i="19"/>
  <c r="DY64" i="19"/>
  <c r="DZ64" i="19"/>
  <c r="EA64" i="19"/>
  <c r="EB64" i="19"/>
  <c r="EC64" i="19"/>
  <c r="ED64" i="19"/>
  <c r="EE64" i="19"/>
  <c r="EF64" i="19"/>
  <c r="EG64" i="19"/>
  <c r="EH64" i="19"/>
  <c r="EI64" i="19"/>
  <c r="EJ64" i="19"/>
  <c r="EK64" i="19"/>
  <c r="EL64" i="19"/>
  <c r="EM64" i="19"/>
  <c r="EN64" i="19"/>
  <c r="EO64" i="19"/>
  <c r="EP64" i="19"/>
  <c r="EQ64" i="19"/>
  <c r="ER64" i="19"/>
  <c r="ES64" i="19"/>
  <c r="ET64" i="19"/>
  <c r="EU64" i="19"/>
  <c r="EV64" i="19"/>
  <c r="EW64" i="19"/>
  <c r="EX64" i="19"/>
  <c r="EY64" i="19"/>
  <c r="EZ64" i="19"/>
  <c r="FA64" i="19"/>
  <c r="FB64" i="19"/>
  <c r="FC64" i="19"/>
  <c r="FD64" i="19"/>
  <c r="FE64" i="19"/>
  <c r="FF64" i="19"/>
  <c r="FG64" i="19"/>
  <c r="FH64" i="19"/>
  <c r="FI64" i="19"/>
  <c r="FJ64" i="19"/>
  <c r="FK64" i="19"/>
  <c r="FL64" i="19"/>
  <c r="FM64" i="19"/>
  <c r="FN64" i="19"/>
  <c r="FO64" i="19"/>
  <c r="FP64" i="19"/>
  <c r="FQ64" i="19"/>
  <c r="FR64" i="19"/>
  <c r="FS64" i="19"/>
  <c r="FT64" i="19"/>
  <c r="FU64" i="19"/>
  <c r="FV64" i="19"/>
  <c r="FW64" i="19"/>
  <c r="FX64" i="19"/>
  <c r="FY64" i="19"/>
  <c r="FZ64" i="19"/>
  <c r="GA64" i="19"/>
  <c r="GB64" i="19"/>
  <c r="GC64" i="19"/>
  <c r="GD64" i="19"/>
  <c r="GE64" i="19"/>
  <c r="GF64" i="19"/>
  <c r="GG64" i="19"/>
  <c r="GH64" i="19"/>
  <c r="GI64" i="19"/>
  <c r="GJ64" i="19"/>
  <c r="GK64" i="19"/>
  <c r="GL64" i="19"/>
  <c r="GM64" i="19"/>
  <c r="GN64" i="19"/>
  <c r="GO64" i="19"/>
  <c r="GP64" i="19"/>
  <c r="GQ64" i="19"/>
  <c r="GR64" i="19"/>
  <c r="GS64" i="19"/>
  <c r="GT64" i="19"/>
  <c r="GU64" i="19"/>
  <c r="GV64" i="19"/>
  <c r="GW64" i="19"/>
  <c r="GX64" i="19"/>
  <c r="GY64" i="19"/>
  <c r="GZ64" i="19"/>
  <c r="HA64" i="19"/>
  <c r="HB64" i="19"/>
  <c r="HC64" i="19"/>
  <c r="HD64" i="19"/>
  <c r="HE64" i="19"/>
  <c r="HF64" i="19"/>
  <c r="HG64" i="19"/>
  <c r="HH64" i="19"/>
  <c r="HI64" i="19"/>
  <c r="HJ64" i="19"/>
  <c r="HK64" i="19"/>
  <c r="HL64" i="19"/>
  <c r="HM64" i="19"/>
  <c r="HN64" i="19"/>
  <c r="HO64" i="19"/>
  <c r="HP64" i="19"/>
  <c r="HQ64" i="19"/>
  <c r="HR64" i="19"/>
  <c r="HS64" i="19"/>
  <c r="HT64" i="19"/>
  <c r="HU64" i="19"/>
  <c r="HV64" i="19"/>
  <c r="HW64" i="19"/>
  <c r="HX64" i="19"/>
  <c r="HY64" i="19"/>
  <c r="HZ64" i="19"/>
  <c r="IA64" i="19"/>
  <c r="IB64" i="19"/>
  <c r="IC64" i="19"/>
  <c r="ID64" i="19"/>
  <c r="IE64" i="19"/>
  <c r="IF64" i="19"/>
  <c r="IG64" i="19"/>
  <c r="IH64" i="19"/>
  <c r="II64" i="19"/>
  <c r="IJ64" i="19"/>
  <c r="IK64" i="19"/>
  <c r="IL64" i="19"/>
  <c r="IM64" i="19"/>
  <c r="IN64" i="19"/>
  <c r="IO64" i="19"/>
  <c r="IP64" i="19"/>
  <c r="IQ64" i="19"/>
  <c r="IR64" i="19"/>
  <c r="IS64" i="19"/>
  <c r="IT64" i="19"/>
  <c r="IU64" i="19"/>
  <c r="IV64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AN65" i="19"/>
  <c r="AO65" i="19"/>
  <c r="AP65" i="19"/>
  <c r="AQ65" i="19"/>
  <c r="AR65" i="19"/>
  <c r="AS65" i="19"/>
  <c r="AT65" i="19"/>
  <c r="AU65" i="19"/>
  <c r="AV65" i="19"/>
  <c r="AW65" i="19"/>
  <c r="AX65" i="19"/>
  <c r="AY65" i="19"/>
  <c r="AZ65" i="19"/>
  <c r="BA65" i="19"/>
  <c r="BB65" i="19"/>
  <c r="BC65" i="19"/>
  <c r="BD65" i="19"/>
  <c r="BE65" i="19"/>
  <c r="BF65" i="19"/>
  <c r="BG65" i="19"/>
  <c r="BH65" i="19"/>
  <c r="BI65" i="19"/>
  <c r="BJ65" i="19"/>
  <c r="BK65" i="19"/>
  <c r="BL65" i="19"/>
  <c r="BM65" i="19"/>
  <c r="BN65" i="19"/>
  <c r="BO65" i="19"/>
  <c r="BP65" i="19"/>
  <c r="BQ65" i="19"/>
  <c r="BR65" i="19"/>
  <c r="BS65" i="19"/>
  <c r="BT65" i="19"/>
  <c r="BU65" i="19"/>
  <c r="BV65" i="19"/>
  <c r="BW65" i="19"/>
  <c r="BX65" i="19"/>
  <c r="BY65" i="19"/>
  <c r="BZ65" i="19"/>
  <c r="CA65" i="19"/>
  <c r="CB65" i="19"/>
  <c r="CC65" i="19"/>
  <c r="CD65" i="19"/>
  <c r="CE65" i="19"/>
  <c r="CF65" i="19"/>
  <c r="CG65" i="19"/>
  <c r="CH65" i="19"/>
  <c r="CI65" i="19"/>
  <c r="CJ65" i="19"/>
  <c r="CK65" i="19"/>
  <c r="CL65" i="19"/>
  <c r="CM65" i="19"/>
  <c r="CN65" i="19"/>
  <c r="CO65" i="19"/>
  <c r="CP65" i="19"/>
  <c r="CQ65" i="19"/>
  <c r="CR65" i="19"/>
  <c r="CS65" i="19"/>
  <c r="CT65" i="19"/>
  <c r="CU65" i="19"/>
  <c r="CV65" i="19"/>
  <c r="CW65" i="19"/>
  <c r="CX65" i="19"/>
  <c r="CY65" i="19"/>
  <c r="CZ65" i="19"/>
  <c r="DA65" i="19"/>
  <c r="DB65" i="19"/>
  <c r="DC65" i="19"/>
  <c r="DD65" i="19"/>
  <c r="DE65" i="19"/>
  <c r="DF65" i="19"/>
  <c r="DG65" i="19"/>
  <c r="DH65" i="19"/>
  <c r="DI65" i="19"/>
  <c r="DJ65" i="19"/>
  <c r="DK65" i="19"/>
  <c r="DL65" i="19"/>
  <c r="DM65" i="19"/>
  <c r="DN65" i="19"/>
  <c r="DO65" i="19"/>
  <c r="DP65" i="19"/>
  <c r="DQ65" i="19"/>
  <c r="DR65" i="19"/>
  <c r="DS65" i="19"/>
  <c r="DT65" i="19"/>
  <c r="DU65" i="19"/>
  <c r="DV65" i="19"/>
  <c r="DW65" i="19"/>
  <c r="DX65" i="19"/>
  <c r="DY65" i="19"/>
  <c r="DZ65" i="19"/>
  <c r="EA65" i="19"/>
  <c r="EB65" i="19"/>
  <c r="EC65" i="19"/>
  <c r="ED65" i="19"/>
  <c r="EE65" i="19"/>
  <c r="EF65" i="19"/>
  <c r="EG65" i="19"/>
  <c r="EH65" i="19"/>
  <c r="EI65" i="19"/>
  <c r="EJ65" i="19"/>
  <c r="EK65" i="19"/>
  <c r="EL65" i="19"/>
  <c r="EM65" i="19"/>
  <c r="EN65" i="19"/>
  <c r="EO65" i="19"/>
  <c r="EP65" i="19"/>
  <c r="EQ65" i="19"/>
  <c r="ER65" i="19"/>
  <c r="ES65" i="19"/>
  <c r="ET65" i="19"/>
  <c r="EU65" i="19"/>
  <c r="EV65" i="19"/>
  <c r="EW65" i="19"/>
  <c r="EX65" i="19"/>
  <c r="EY65" i="19"/>
  <c r="EZ65" i="19"/>
  <c r="FA65" i="19"/>
  <c r="FB65" i="19"/>
  <c r="FC65" i="19"/>
  <c r="FD65" i="19"/>
  <c r="FE65" i="19"/>
  <c r="FF65" i="19"/>
  <c r="FG65" i="19"/>
  <c r="FH65" i="19"/>
  <c r="FI65" i="19"/>
  <c r="FJ65" i="19"/>
  <c r="FK65" i="19"/>
  <c r="FL65" i="19"/>
  <c r="FM65" i="19"/>
  <c r="FN65" i="19"/>
  <c r="FO65" i="19"/>
  <c r="FP65" i="19"/>
  <c r="FQ65" i="19"/>
  <c r="FR65" i="19"/>
  <c r="FS65" i="19"/>
  <c r="FT65" i="19"/>
  <c r="FU65" i="19"/>
  <c r="FV65" i="19"/>
  <c r="FW65" i="19"/>
  <c r="FX65" i="19"/>
  <c r="FY65" i="19"/>
  <c r="FZ65" i="19"/>
  <c r="GA65" i="19"/>
  <c r="GB65" i="19"/>
  <c r="GC65" i="19"/>
  <c r="GD65" i="19"/>
  <c r="GE65" i="19"/>
  <c r="GF65" i="19"/>
  <c r="GG65" i="19"/>
  <c r="GH65" i="19"/>
  <c r="GI65" i="19"/>
  <c r="GJ65" i="19"/>
  <c r="GK65" i="19"/>
  <c r="GL65" i="19"/>
  <c r="GM65" i="19"/>
  <c r="GN65" i="19"/>
  <c r="GO65" i="19"/>
  <c r="GP65" i="19"/>
  <c r="GQ65" i="19"/>
  <c r="GR65" i="19"/>
  <c r="GS65" i="19"/>
  <c r="GT65" i="19"/>
  <c r="GU65" i="19"/>
  <c r="GV65" i="19"/>
  <c r="GW65" i="19"/>
  <c r="GX65" i="19"/>
  <c r="GY65" i="19"/>
  <c r="GZ65" i="19"/>
  <c r="HA65" i="19"/>
  <c r="HB65" i="19"/>
  <c r="HC65" i="19"/>
  <c r="HD65" i="19"/>
  <c r="HE65" i="19"/>
  <c r="HF65" i="19"/>
  <c r="HG65" i="19"/>
  <c r="HH65" i="19"/>
  <c r="HI65" i="19"/>
  <c r="HJ65" i="19"/>
  <c r="HK65" i="19"/>
  <c r="HL65" i="19"/>
  <c r="HM65" i="19"/>
  <c r="HN65" i="19"/>
  <c r="HO65" i="19"/>
  <c r="HP65" i="19"/>
  <c r="HQ65" i="19"/>
  <c r="HR65" i="19"/>
  <c r="HS65" i="19"/>
  <c r="HT65" i="19"/>
  <c r="HU65" i="19"/>
  <c r="HV65" i="19"/>
  <c r="HW65" i="19"/>
  <c r="HX65" i="19"/>
  <c r="HY65" i="19"/>
  <c r="HZ65" i="19"/>
  <c r="IA65" i="19"/>
  <c r="IB65" i="19"/>
  <c r="IC65" i="19"/>
  <c r="ID65" i="19"/>
  <c r="IE65" i="19"/>
  <c r="IF65" i="19"/>
  <c r="IG65" i="19"/>
  <c r="IH65" i="19"/>
  <c r="II65" i="19"/>
  <c r="IJ65" i="19"/>
  <c r="IK65" i="19"/>
  <c r="IL65" i="19"/>
  <c r="IM65" i="19"/>
  <c r="IN65" i="19"/>
  <c r="IO65" i="19"/>
  <c r="IP65" i="19"/>
  <c r="IQ65" i="19"/>
  <c r="IR65" i="19"/>
  <c r="IS65" i="19"/>
  <c r="IT65" i="19"/>
  <c r="IU65" i="19"/>
  <c r="IV65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AN66" i="19"/>
  <c r="AO66" i="19"/>
  <c r="AP66" i="19"/>
  <c r="AQ66" i="19"/>
  <c r="AR66" i="19"/>
  <c r="AS66" i="19"/>
  <c r="AT66" i="19"/>
  <c r="AU66" i="19"/>
  <c r="AV66" i="19"/>
  <c r="AW66" i="19"/>
  <c r="AX66" i="19"/>
  <c r="AY66" i="19"/>
  <c r="AZ66" i="19"/>
  <c r="BA66" i="19"/>
  <c r="BB66" i="19"/>
  <c r="BC66" i="19"/>
  <c r="BD66" i="19"/>
  <c r="BE66" i="19"/>
  <c r="BF66" i="19"/>
  <c r="BG66" i="19"/>
  <c r="BH66" i="19"/>
  <c r="BI66" i="19"/>
  <c r="BJ66" i="19"/>
  <c r="BK66" i="19"/>
  <c r="BL66" i="19"/>
  <c r="BM66" i="19"/>
  <c r="BN66" i="19"/>
  <c r="BO66" i="19"/>
  <c r="BP66" i="19"/>
  <c r="BQ66" i="19"/>
  <c r="BR66" i="19"/>
  <c r="BS66" i="19"/>
  <c r="BT66" i="19"/>
  <c r="BU66" i="19"/>
  <c r="BV66" i="19"/>
  <c r="BW66" i="19"/>
  <c r="BX66" i="19"/>
  <c r="BY66" i="19"/>
  <c r="BZ66" i="19"/>
  <c r="CA66" i="19"/>
  <c r="CB66" i="19"/>
  <c r="CC66" i="19"/>
  <c r="CD66" i="19"/>
  <c r="CE66" i="19"/>
  <c r="CF66" i="19"/>
  <c r="CG66" i="19"/>
  <c r="CH66" i="19"/>
  <c r="CI66" i="19"/>
  <c r="CJ66" i="19"/>
  <c r="CK66" i="19"/>
  <c r="CL66" i="19"/>
  <c r="CM66" i="19"/>
  <c r="CN66" i="19"/>
  <c r="CO66" i="19"/>
  <c r="CP66" i="19"/>
  <c r="CQ66" i="19"/>
  <c r="CR66" i="19"/>
  <c r="CS66" i="19"/>
  <c r="CT66" i="19"/>
  <c r="CU66" i="19"/>
  <c r="CV66" i="19"/>
  <c r="CW66" i="19"/>
  <c r="CX66" i="19"/>
  <c r="CY66" i="19"/>
  <c r="CZ66" i="19"/>
  <c r="DA66" i="19"/>
  <c r="DB66" i="19"/>
  <c r="DC66" i="19"/>
  <c r="DD66" i="19"/>
  <c r="DE66" i="19"/>
  <c r="DF66" i="19"/>
  <c r="DG66" i="19"/>
  <c r="DH66" i="19"/>
  <c r="DI66" i="19"/>
  <c r="DJ66" i="19"/>
  <c r="DK66" i="19"/>
  <c r="DL66" i="19"/>
  <c r="DM66" i="19"/>
  <c r="DN66" i="19"/>
  <c r="DO66" i="19"/>
  <c r="DP66" i="19"/>
  <c r="DQ66" i="19"/>
  <c r="DR66" i="19"/>
  <c r="DS66" i="19"/>
  <c r="DT66" i="19"/>
  <c r="DU66" i="19"/>
  <c r="DV66" i="19"/>
  <c r="DW66" i="19"/>
  <c r="DX66" i="19"/>
  <c r="DY66" i="19"/>
  <c r="DZ66" i="19"/>
  <c r="EA66" i="19"/>
  <c r="EB66" i="19"/>
  <c r="EC66" i="19"/>
  <c r="ED66" i="19"/>
  <c r="EE66" i="19"/>
  <c r="EF66" i="19"/>
  <c r="EG66" i="19"/>
  <c r="EH66" i="19"/>
  <c r="EI66" i="19"/>
  <c r="EJ66" i="19"/>
  <c r="EK66" i="19"/>
  <c r="EL66" i="19"/>
  <c r="EM66" i="19"/>
  <c r="EN66" i="19"/>
  <c r="EO66" i="19"/>
  <c r="EP66" i="19"/>
  <c r="EQ66" i="19"/>
  <c r="ER66" i="19"/>
  <c r="ES66" i="19"/>
  <c r="ET66" i="19"/>
  <c r="EU66" i="19"/>
  <c r="EV66" i="19"/>
  <c r="EW66" i="19"/>
  <c r="EX66" i="19"/>
  <c r="EY66" i="19"/>
  <c r="EZ66" i="19"/>
  <c r="FA66" i="19"/>
  <c r="FB66" i="19"/>
  <c r="FC66" i="19"/>
  <c r="FD66" i="19"/>
  <c r="FE66" i="19"/>
  <c r="FF66" i="19"/>
  <c r="FG66" i="19"/>
  <c r="FH66" i="19"/>
  <c r="FI66" i="19"/>
  <c r="FJ66" i="19"/>
  <c r="FK66" i="19"/>
  <c r="FL66" i="19"/>
  <c r="FM66" i="19"/>
  <c r="FN66" i="19"/>
  <c r="FO66" i="19"/>
  <c r="FP66" i="19"/>
  <c r="FQ66" i="19"/>
  <c r="FR66" i="19"/>
  <c r="FS66" i="19"/>
  <c r="FT66" i="19"/>
  <c r="FU66" i="19"/>
  <c r="FV66" i="19"/>
  <c r="FW66" i="19"/>
  <c r="FX66" i="19"/>
  <c r="FY66" i="19"/>
  <c r="FZ66" i="19"/>
  <c r="GA66" i="19"/>
  <c r="GB66" i="19"/>
  <c r="GC66" i="19"/>
  <c r="GD66" i="19"/>
  <c r="GE66" i="19"/>
  <c r="GF66" i="19"/>
  <c r="GG66" i="19"/>
  <c r="GH66" i="19"/>
  <c r="GI66" i="19"/>
  <c r="GJ66" i="19"/>
  <c r="GK66" i="19"/>
  <c r="GL66" i="19"/>
  <c r="GM66" i="19"/>
  <c r="GN66" i="19"/>
  <c r="GO66" i="19"/>
  <c r="GP66" i="19"/>
  <c r="GQ66" i="19"/>
  <c r="GR66" i="19"/>
  <c r="GS66" i="19"/>
  <c r="GT66" i="19"/>
  <c r="GU66" i="19"/>
  <c r="GV66" i="19"/>
  <c r="GW66" i="19"/>
  <c r="GX66" i="19"/>
  <c r="GY66" i="19"/>
  <c r="GZ66" i="19"/>
  <c r="HA66" i="19"/>
  <c r="HB66" i="19"/>
  <c r="HC66" i="19"/>
  <c r="HD66" i="19"/>
  <c r="HE66" i="19"/>
  <c r="HF66" i="19"/>
  <c r="HG66" i="19"/>
  <c r="HH66" i="19"/>
  <c r="HI66" i="19"/>
  <c r="HJ66" i="19"/>
  <c r="HK66" i="19"/>
  <c r="HL66" i="19"/>
  <c r="HM66" i="19"/>
  <c r="HN66" i="19"/>
  <c r="HO66" i="19"/>
  <c r="HP66" i="19"/>
  <c r="HQ66" i="19"/>
  <c r="HR66" i="19"/>
  <c r="HS66" i="19"/>
  <c r="HT66" i="19"/>
  <c r="HU66" i="19"/>
  <c r="HV66" i="19"/>
  <c r="HW66" i="19"/>
  <c r="HX66" i="19"/>
  <c r="HY66" i="19"/>
  <c r="HZ66" i="19"/>
  <c r="IA66" i="19"/>
  <c r="IB66" i="19"/>
  <c r="IC66" i="19"/>
  <c r="ID66" i="19"/>
  <c r="IE66" i="19"/>
  <c r="IF66" i="19"/>
  <c r="IG66" i="19"/>
  <c r="IH66" i="19"/>
  <c r="II66" i="19"/>
  <c r="IJ66" i="19"/>
  <c r="IK66" i="19"/>
  <c r="IL66" i="19"/>
  <c r="IM66" i="19"/>
  <c r="IN66" i="19"/>
  <c r="IO66" i="19"/>
  <c r="IP66" i="19"/>
  <c r="IQ66" i="19"/>
  <c r="IR66" i="19"/>
  <c r="IS66" i="19"/>
  <c r="IT66" i="19"/>
  <c r="IU66" i="19"/>
  <c r="IV66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AN67" i="19"/>
  <c r="AO67" i="19"/>
  <c r="AP67" i="19"/>
  <c r="AQ67" i="19"/>
  <c r="AR67" i="19"/>
  <c r="AS67" i="19"/>
  <c r="AT67" i="19"/>
  <c r="AU67" i="19"/>
  <c r="AV67" i="19"/>
  <c r="AW67" i="19"/>
  <c r="AX67" i="19"/>
  <c r="AY67" i="19"/>
  <c r="AZ67" i="19"/>
  <c r="BA67" i="19"/>
  <c r="BB67" i="19"/>
  <c r="BC67" i="19"/>
  <c r="BD67" i="19"/>
  <c r="BE67" i="19"/>
  <c r="BF67" i="19"/>
  <c r="BG67" i="19"/>
  <c r="BH67" i="19"/>
  <c r="BI67" i="19"/>
  <c r="BJ67" i="19"/>
  <c r="BK67" i="19"/>
  <c r="BL67" i="19"/>
  <c r="BM67" i="19"/>
  <c r="BN67" i="19"/>
  <c r="BO67" i="19"/>
  <c r="BP67" i="19"/>
  <c r="BQ67" i="19"/>
  <c r="BR67" i="19"/>
  <c r="BS67" i="19"/>
  <c r="BT67" i="19"/>
  <c r="BU67" i="19"/>
  <c r="BV67" i="19"/>
  <c r="BW67" i="19"/>
  <c r="BX67" i="19"/>
  <c r="BY67" i="19"/>
  <c r="BZ67" i="19"/>
  <c r="CA67" i="19"/>
  <c r="CB67" i="19"/>
  <c r="CC67" i="19"/>
  <c r="CD67" i="19"/>
  <c r="CE67" i="19"/>
  <c r="CF67" i="19"/>
  <c r="CG67" i="19"/>
  <c r="CH67" i="19"/>
  <c r="CI67" i="19"/>
  <c r="CJ67" i="19"/>
  <c r="CK67" i="19"/>
  <c r="CL67" i="19"/>
  <c r="CM67" i="19"/>
  <c r="CN67" i="19"/>
  <c r="CO67" i="19"/>
  <c r="CP67" i="19"/>
  <c r="CQ67" i="19"/>
  <c r="CR67" i="19"/>
  <c r="CS67" i="19"/>
  <c r="CT67" i="19"/>
  <c r="CU67" i="19"/>
  <c r="CV67" i="19"/>
  <c r="CW67" i="19"/>
  <c r="CX67" i="19"/>
  <c r="CY67" i="19"/>
  <c r="CZ67" i="19"/>
  <c r="DA67" i="19"/>
  <c r="DB67" i="19"/>
  <c r="DC67" i="19"/>
  <c r="DD67" i="19"/>
  <c r="DE67" i="19"/>
  <c r="DF67" i="19"/>
  <c r="DG67" i="19"/>
  <c r="DH67" i="19"/>
  <c r="DI67" i="19"/>
  <c r="DJ67" i="19"/>
  <c r="DK67" i="19"/>
  <c r="DL67" i="19"/>
  <c r="DM67" i="19"/>
  <c r="DN67" i="19"/>
  <c r="DO67" i="19"/>
  <c r="DP67" i="19"/>
  <c r="DQ67" i="19"/>
  <c r="DR67" i="19"/>
  <c r="DS67" i="19"/>
  <c r="DT67" i="19"/>
  <c r="DU67" i="19"/>
  <c r="DV67" i="19"/>
  <c r="DW67" i="19"/>
  <c r="DX67" i="19"/>
  <c r="DY67" i="19"/>
  <c r="DZ67" i="19"/>
  <c r="EA67" i="19"/>
  <c r="EB67" i="19"/>
  <c r="EC67" i="19"/>
  <c r="ED67" i="19"/>
  <c r="EE67" i="19"/>
  <c r="EF67" i="19"/>
  <c r="EG67" i="19"/>
  <c r="EH67" i="19"/>
  <c r="EI67" i="19"/>
  <c r="EJ67" i="19"/>
  <c r="EK67" i="19"/>
  <c r="EL67" i="19"/>
  <c r="EM67" i="19"/>
  <c r="EN67" i="19"/>
  <c r="EO67" i="19"/>
  <c r="EP67" i="19"/>
  <c r="EQ67" i="19"/>
  <c r="ER67" i="19"/>
  <c r="ES67" i="19"/>
  <c r="ET67" i="19"/>
  <c r="EU67" i="19"/>
  <c r="EV67" i="19"/>
  <c r="EW67" i="19"/>
  <c r="EX67" i="19"/>
  <c r="EY67" i="19"/>
  <c r="EZ67" i="19"/>
  <c r="FA67" i="19"/>
  <c r="FB67" i="19"/>
  <c r="FC67" i="19"/>
  <c r="FD67" i="19"/>
  <c r="FE67" i="19"/>
  <c r="FF67" i="19"/>
  <c r="FG67" i="19"/>
  <c r="FH67" i="19"/>
  <c r="FI67" i="19"/>
  <c r="FJ67" i="19"/>
  <c r="FK67" i="19"/>
  <c r="FL67" i="19"/>
  <c r="FM67" i="19"/>
  <c r="FN67" i="19"/>
  <c r="FO67" i="19"/>
  <c r="FP67" i="19"/>
  <c r="FQ67" i="19"/>
  <c r="FR67" i="19"/>
  <c r="FS67" i="19"/>
  <c r="FT67" i="19"/>
  <c r="FU67" i="19"/>
  <c r="FV67" i="19"/>
  <c r="FW67" i="19"/>
  <c r="FX67" i="19"/>
  <c r="FY67" i="19"/>
  <c r="FZ67" i="19"/>
  <c r="GA67" i="19"/>
  <c r="GB67" i="19"/>
  <c r="GC67" i="19"/>
  <c r="GD67" i="19"/>
  <c r="GE67" i="19"/>
  <c r="GF67" i="19"/>
  <c r="GG67" i="19"/>
  <c r="GH67" i="19"/>
  <c r="GI67" i="19"/>
  <c r="GJ67" i="19"/>
  <c r="GK67" i="19"/>
  <c r="GL67" i="19"/>
  <c r="GM67" i="19"/>
  <c r="GN67" i="19"/>
  <c r="GO67" i="19"/>
  <c r="GP67" i="19"/>
  <c r="GQ67" i="19"/>
  <c r="GR67" i="19"/>
  <c r="GS67" i="19"/>
  <c r="GT67" i="19"/>
  <c r="GU67" i="19"/>
  <c r="GV67" i="19"/>
  <c r="GW67" i="19"/>
  <c r="GX67" i="19"/>
  <c r="GY67" i="19"/>
  <c r="GZ67" i="19"/>
  <c r="HA67" i="19"/>
  <c r="HB67" i="19"/>
  <c r="HC67" i="19"/>
  <c r="HD67" i="19"/>
  <c r="HE67" i="19"/>
  <c r="HF67" i="19"/>
  <c r="HG67" i="19"/>
  <c r="HH67" i="19"/>
  <c r="HI67" i="19"/>
  <c r="HJ67" i="19"/>
  <c r="HK67" i="19"/>
  <c r="HL67" i="19"/>
  <c r="HM67" i="19"/>
  <c r="HN67" i="19"/>
  <c r="HO67" i="19"/>
  <c r="HP67" i="19"/>
  <c r="HQ67" i="19"/>
  <c r="HR67" i="19"/>
  <c r="HS67" i="19"/>
  <c r="HT67" i="19"/>
  <c r="HU67" i="19"/>
  <c r="HV67" i="19"/>
  <c r="HW67" i="19"/>
  <c r="HX67" i="19"/>
  <c r="HY67" i="19"/>
  <c r="HZ67" i="19"/>
  <c r="IA67" i="19"/>
  <c r="IB67" i="19"/>
  <c r="IC67" i="19"/>
  <c r="ID67" i="19"/>
  <c r="IE67" i="19"/>
  <c r="IF67" i="19"/>
  <c r="IG67" i="19"/>
  <c r="IH67" i="19"/>
  <c r="II67" i="19"/>
  <c r="IJ67" i="19"/>
  <c r="IK67" i="19"/>
  <c r="IL67" i="19"/>
  <c r="IM67" i="19"/>
  <c r="IN67" i="19"/>
  <c r="IO67" i="19"/>
  <c r="IP67" i="19"/>
  <c r="IQ67" i="19"/>
  <c r="IR67" i="19"/>
  <c r="IS67" i="19"/>
  <c r="IT67" i="19"/>
  <c r="IU67" i="19"/>
  <c r="IV67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F68" i="19"/>
  <c r="AG68" i="19"/>
  <c r="AH68" i="19"/>
  <c r="AI68" i="19"/>
  <c r="AJ68" i="19"/>
  <c r="AK68" i="19"/>
  <c r="AL68" i="19"/>
  <c r="AM68" i="19"/>
  <c r="AN68" i="19"/>
  <c r="AO68" i="19"/>
  <c r="AP68" i="19"/>
  <c r="AQ68" i="19"/>
  <c r="AR68" i="19"/>
  <c r="AS68" i="19"/>
  <c r="AT68" i="19"/>
  <c r="AU68" i="19"/>
  <c r="AV68" i="19"/>
  <c r="AW68" i="19"/>
  <c r="AX68" i="19"/>
  <c r="AY68" i="19"/>
  <c r="AZ68" i="19"/>
  <c r="BA68" i="19"/>
  <c r="BB68" i="19"/>
  <c r="BC68" i="19"/>
  <c r="BD68" i="19"/>
  <c r="BE68" i="19"/>
  <c r="BF68" i="19"/>
  <c r="BG68" i="19"/>
  <c r="BH68" i="19"/>
  <c r="BI68" i="19"/>
  <c r="BJ68" i="19"/>
  <c r="BK68" i="19"/>
  <c r="BL68" i="19"/>
  <c r="BM68" i="19"/>
  <c r="BN68" i="19"/>
  <c r="BO68" i="19"/>
  <c r="BP68" i="19"/>
  <c r="BQ68" i="19"/>
  <c r="BR68" i="19"/>
  <c r="BS68" i="19"/>
  <c r="BT68" i="19"/>
  <c r="BU68" i="19"/>
  <c r="BV68" i="19"/>
  <c r="BW68" i="19"/>
  <c r="BX68" i="19"/>
  <c r="BY68" i="19"/>
  <c r="BZ68" i="19"/>
  <c r="CA68" i="19"/>
  <c r="CB68" i="19"/>
  <c r="CC68" i="19"/>
  <c r="CD68" i="19"/>
  <c r="CE68" i="19"/>
  <c r="CF68" i="19"/>
  <c r="CG68" i="19"/>
  <c r="CH68" i="19"/>
  <c r="CI68" i="19"/>
  <c r="CJ68" i="19"/>
  <c r="CK68" i="19"/>
  <c r="CL68" i="19"/>
  <c r="CM68" i="19"/>
  <c r="CN68" i="19"/>
  <c r="CO68" i="19"/>
  <c r="CP68" i="19"/>
  <c r="CQ68" i="19"/>
  <c r="CR68" i="19"/>
  <c r="CS68" i="19"/>
  <c r="CT68" i="19"/>
  <c r="CU68" i="19"/>
  <c r="CV68" i="19"/>
  <c r="CW68" i="19"/>
  <c r="CX68" i="19"/>
  <c r="CY68" i="19"/>
  <c r="CZ68" i="19"/>
  <c r="DA68" i="19"/>
  <c r="DB68" i="19"/>
  <c r="DC68" i="19"/>
  <c r="DD68" i="19"/>
  <c r="DE68" i="19"/>
  <c r="DF68" i="19"/>
  <c r="DG68" i="19"/>
  <c r="DH68" i="19"/>
  <c r="DI68" i="19"/>
  <c r="DJ68" i="19"/>
  <c r="DK68" i="19"/>
  <c r="DL68" i="19"/>
  <c r="DM68" i="19"/>
  <c r="DN68" i="19"/>
  <c r="DO68" i="19"/>
  <c r="DP68" i="19"/>
  <c r="DQ68" i="19"/>
  <c r="DR68" i="19"/>
  <c r="DS68" i="19"/>
  <c r="DT68" i="19"/>
  <c r="DU68" i="19"/>
  <c r="DV68" i="19"/>
  <c r="DW68" i="19"/>
  <c r="DX68" i="19"/>
  <c r="DY68" i="19"/>
  <c r="DZ68" i="19"/>
  <c r="EA68" i="19"/>
  <c r="EB68" i="19"/>
  <c r="EC68" i="19"/>
  <c r="ED68" i="19"/>
  <c r="EE68" i="19"/>
  <c r="EF68" i="19"/>
  <c r="EG68" i="19"/>
  <c r="EH68" i="19"/>
  <c r="EI68" i="19"/>
  <c r="EJ68" i="19"/>
  <c r="EK68" i="19"/>
  <c r="EL68" i="19"/>
  <c r="EM68" i="19"/>
  <c r="EN68" i="19"/>
  <c r="EO68" i="19"/>
  <c r="EP68" i="19"/>
  <c r="EQ68" i="19"/>
  <c r="ER68" i="19"/>
  <c r="ES68" i="19"/>
  <c r="ET68" i="19"/>
  <c r="EU68" i="19"/>
  <c r="EV68" i="19"/>
  <c r="EW68" i="19"/>
  <c r="EX68" i="19"/>
  <c r="EY68" i="19"/>
  <c r="EZ68" i="19"/>
  <c r="FA68" i="19"/>
  <c r="FB68" i="19"/>
  <c r="FC68" i="19"/>
  <c r="FD68" i="19"/>
  <c r="FE68" i="19"/>
  <c r="FF68" i="19"/>
  <c r="FG68" i="19"/>
  <c r="FH68" i="19"/>
  <c r="FI68" i="19"/>
  <c r="FJ68" i="19"/>
  <c r="FK68" i="19"/>
  <c r="FL68" i="19"/>
  <c r="FM68" i="19"/>
  <c r="FN68" i="19"/>
  <c r="FO68" i="19"/>
  <c r="FP68" i="19"/>
  <c r="FQ68" i="19"/>
  <c r="FR68" i="19"/>
  <c r="FS68" i="19"/>
  <c r="FT68" i="19"/>
  <c r="FU68" i="19"/>
  <c r="FV68" i="19"/>
  <c r="FW68" i="19"/>
  <c r="FX68" i="19"/>
  <c r="FY68" i="19"/>
  <c r="FZ68" i="19"/>
  <c r="GA68" i="19"/>
  <c r="GB68" i="19"/>
  <c r="GC68" i="19"/>
  <c r="GD68" i="19"/>
  <c r="GE68" i="19"/>
  <c r="GF68" i="19"/>
  <c r="GG68" i="19"/>
  <c r="GH68" i="19"/>
  <c r="GI68" i="19"/>
  <c r="GJ68" i="19"/>
  <c r="GK68" i="19"/>
  <c r="GL68" i="19"/>
  <c r="GM68" i="19"/>
  <c r="GN68" i="19"/>
  <c r="GO68" i="19"/>
  <c r="GP68" i="19"/>
  <c r="GQ68" i="19"/>
  <c r="GR68" i="19"/>
  <c r="GS68" i="19"/>
  <c r="GT68" i="19"/>
  <c r="GU68" i="19"/>
  <c r="GV68" i="19"/>
  <c r="GW68" i="19"/>
  <c r="GX68" i="19"/>
  <c r="GY68" i="19"/>
  <c r="GZ68" i="19"/>
  <c r="HA68" i="19"/>
  <c r="HB68" i="19"/>
  <c r="HC68" i="19"/>
  <c r="HD68" i="19"/>
  <c r="HE68" i="19"/>
  <c r="HF68" i="19"/>
  <c r="HG68" i="19"/>
  <c r="HH68" i="19"/>
  <c r="HI68" i="19"/>
  <c r="HJ68" i="19"/>
  <c r="HK68" i="19"/>
  <c r="HL68" i="19"/>
  <c r="HM68" i="19"/>
  <c r="HN68" i="19"/>
  <c r="HO68" i="19"/>
  <c r="HP68" i="19"/>
  <c r="HQ68" i="19"/>
  <c r="HR68" i="19"/>
  <c r="HS68" i="19"/>
  <c r="HT68" i="19"/>
  <c r="HU68" i="19"/>
  <c r="HV68" i="19"/>
  <c r="HW68" i="19"/>
  <c r="HX68" i="19"/>
  <c r="HY68" i="19"/>
  <c r="HZ68" i="19"/>
  <c r="IA68" i="19"/>
  <c r="IB68" i="19"/>
  <c r="IC68" i="19"/>
  <c r="ID68" i="19"/>
  <c r="IE68" i="19"/>
  <c r="IF68" i="19"/>
  <c r="IG68" i="19"/>
  <c r="IH68" i="19"/>
  <c r="II68" i="19"/>
  <c r="IJ68" i="19"/>
  <c r="IK68" i="19"/>
  <c r="IL68" i="19"/>
  <c r="IM68" i="19"/>
  <c r="IN68" i="19"/>
  <c r="IO68" i="19"/>
  <c r="IP68" i="19"/>
  <c r="IQ68" i="19"/>
  <c r="IR68" i="19"/>
  <c r="IS68" i="19"/>
  <c r="IT68" i="19"/>
  <c r="IU68" i="19"/>
  <c r="IV68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AN69" i="19"/>
  <c r="AO69" i="19"/>
  <c r="AP69" i="19"/>
  <c r="AQ69" i="19"/>
  <c r="AR69" i="19"/>
  <c r="AS69" i="19"/>
  <c r="AT69" i="19"/>
  <c r="AU69" i="19"/>
  <c r="AV69" i="19"/>
  <c r="AW69" i="19"/>
  <c r="AX69" i="19"/>
  <c r="AY69" i="19"/>
  <c r="AZ69" i="19"/>
  <c r="BA69" i="19"/>
  <c r="BB69" i="19"/>
  <c r="BC69" i="19"/>
  <c r="BD69" i="19"/>
  <c r="BE69" i="19"/>
  <c r="BF69" i="19"/>
  <c r="BG69" i="19"/>
  <c r="BH69" i="19"/>
  <c r="BI69" i="19"/>
  <c r="BJ69" i="19"/>
  <c r="BK69" i="19"/>
  <c r="BL69" i="19"/>
  <c r="BM69" i="19"/>
  <c r="BN69" i="19"/>
  <c r="BO69" i="19"/>
  <c r="BP69" i="19"/>
  <c r="BQ69" i="19"/>
  <c r="BR69" i="19"/>
  <c r="BS69" i="19"/>
  <c r="BT69" i="19"/>
  <c r="BU69" i="19"/>
  <c r="BV69" i="19"/>
  <c r="BW69" i="19"/>
  <c r="BX69" i="19"/>
  <c r="BY69" i="19"/>
  <c r="BZ69" i="19"/>
  <c r="CA69" i="19"/>
  <c r="CB69" i="19"/>
  <c r="CC69" i="19"/>
  <c r="CD69" i="19"/>
  <c r="CE69" i="19"/>
  <c r="CF69" i="19"/>
  <c r="CG69" i="19"/>
  <c r="CH69" i="19"/>
  <c r="CI69" i="19"/>
  <c r="CJ69" i="19"/>
  <c r="CK69" i="19"/>
  <c r="CL69" i="19"/>
  <c r="CM69" i="19"/>
  <c r="CN69" i="19"/>
  <c r="CO69" i="19"/>
  <c r="CP69" i="19"/>
  <c r="CQ69" i="19"/>
  <c r="CR69" i="19"/>
  <c r="CS69" i="19"/>
  <c r="CT69" i="19"/>
  <c r="CU69" i="19"/>
  <c r="CV69" i="19"/>
  <c r="CW69" i="19"/>
  <c r="CX69" i="19"/>
  <c r="CY69" i="19"/>
  <c r="CZ69" i="19"/>
  <c r="DA69" i="19"/>
  <c r="DB69" i="19"/>
  <c r="DC69" i="19"/>
  <c r="DD69" i="19"/>
  <c r="DE69" i="19"/>
  <c r="DF69" i="19"/>
  <c r="DG69" i="19"/>
  <c r="DH69" i="19"/>
  <c r="DI69" i="19"/>
  <c r="DJ69" i="19"/>
  <c r="DK69" i="19"/>
  <c r="DL69" i="19"/>
  <c r="DM69" i="19"/>
  <c r="DN69" i="19"/>
  <c r="DO69" i="19"/>
  <c r="DP69" i="19"/>
  <c r="DQ69" i="19"/>
  <c r="DR69" i="19"/>
  <c r="DS69" i="19"/>
  <c r="DT69" i="19"/>
  <c r="DU69" i="19"/>
  <c r="DV69" i="19"/>
  <c r="DW69" i="19"/>
  <c r="DX69" i="19"/>
  <c r="DY69" i="19"/>
  <c r="DZ69" i="19"/>
  <c r="EA69" i="19"/>
  <c r="EB69" i="19"/>
  <c r="EC69" i="19"/>
  <c r="ED69" i="19"/>
  <c r="EE69" i="19"/>
  <c r="EF69" i="19"/>
  <c r="EG69" i="19"/>
  <c r="EH69" i="19"/>
  <c r="EI69" i="19"/>
  <c r="EJ69" i="19"/>
  <c r="EK69" i="19"/>
  <c r="EL69" i="19"/>
  <c r="EM69" i="19"/>
  <c r="EN69" i="19"/>
  <c r="EO69" i="19"/>
  <c r="EP69" i="19"/>
  <c r="EQ69" i="19"/>
  <c r="ER69" i="19"/>
  <c r="ES69" i="19"/>
  <c r="ET69" i="19"/>
  <c r="EU69" i="19"/>
  <c r="EV69" i="19"/>
  <c r="EW69" i="19"/>
  <c r="EX69" i="19"/>
  <c r="EY69" i="19"/>
  <c r="EZ69" i="19"/>
  <c r="FA69" i="19"/>
  <c r="FB69" i="19"/>
  <c r="FC69" i="19"/>
  <c r="FD69" i="19"/>
  <c r="FE69" i="19"/>
  <c r="FF69" i="19"/>
  <c r="FG69" i="19"/>
  <c r="FH69" i="19"/>
  <c r="FI69" i="19"/>
  <c r="FJ69" i="19"/>
  <c r="FK69" i="19"/>
  <c r="FL69" i="19"/>
  <c r="FM69" i="19"/>
  <c r="FN69" i="19"/>
  <c r="FO69" i="19"/>
  <c r="FP69" i="19"/>
  <c r="FQ69" i="19"/>
  <c r="FR69" i="19"/>
  <c r="FS69" i="19"/>
  <c r="FT69" i="19"/>
  <c r="FU69" i="19"/>
  <c r="FV69" i="19"/>
  <c r="FW69" i="19"/>
  <c r="FX69" i="19"/>
  <c r="FY69" i="19"/>
  <c r="FZ69" i="19"/>
  <c r="GA69" i="19"/>
  <c r="GB69" i="19"/>
  <c r="GC69" i="19"/>
  <c r="GD69" i="19"/>
  <c r="GE69" i="19"/>
  <c r="GF69" i="19"/>
  <c r="GG69" i="19"/>
  <c r="GH69" i="19"/>
  <c r="GI69" i="19"/>
  <c r="GJ69" i="19"/>
  <c r="GK69" i="19"/>
  <c r="GL69" i="19"/>
  <c r="GM69" i="19"/>
  <c r="GN69" i="19"/>
  <c r="GO69" i="19"/>
  <c r="GP69" i="19"/>
  <c r="GQ69" i="19"/>
  <c r="GR69" i="19"/>
  <c r="GS69" i="19"/>
  <c r="GT69" i="19"/>
  <c r="GU69" i="19"/>
  <c r="GV69" i="19"/>
  <c r="GW69" i="19"/>
  <c r="GX69" i="19"/>
  <c r="GY69" i="19"/>
  <c r="GZ69" i="19"/>
  <c r="HA69" i="19"/>
  <c r="HB69" i="19"/>
  <c r="HC69" i="19"/>
  <c r="HD69" i="19"/>
  <c r="HE69" i="19"/>
  <c r="HF69" i="19"/>
  <c r="HG69" i="19"/>
  <c r="HH69" i="19"/>
  <c r="HI69" i="19"/>
  <c r="HJ69" i="19"/>
  <c r="HK69" i="19"/>
  <c r="HL69" i="19"/>
  <c r="HM69" i="19"/>
  <c r="HN69" i="19"/>
  <c r="HO69" i="19"/>
  <c r="HP69" i="19"/>
  <c r="HQ69" i="19"/>
  <c r="HR69" i="19"/>
  <c r="HS69" i="19"/>
  <c r="HT69" i="19"/>
  <c r="HU69" i="19"/>
  <c r="HV69" i="19"/>
  <c r="HW69" i="19"/>
  <c r="HX69" i="19"/>
  <c r="HY69" i="19"/>
  <c r="HZ69" i="19"/>
  <c r="IA69" i="19"/>
  <c r="IB69" i="19"/>
  <c r="IC69" i="19"/>
  <c r="ID69" i="19"/>
  <c r="IE69" i="19"/>
  <c r="IF69" i="19"/>
  <c r="IG69" i="19"/>
  <c r="IH69" i="19"/>
  <c r="II69" i="19"/>
  <c r="IJ69" i="19"/>
  <c r="IK69" i="19"/>
  <c r="IL69" i="19"/>
  <c r="IM69" i="19"/>
  <c r="IN69" i="19"/>
  <c r="IO69" i="19"/>
  <c r="IP69" i="19"/>
  <c r="IQ69" i="19"/>
  <c r="IR69" i="19"/>
  <c r="IS69" i="19"/>
  <c r="IT69" i="19"/>
  <c r="IU69" i="19"/>
  <c r="IV69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AN70" i="19"/>
  <c r="AO70" i="19"/>
  <c r="AP70" i="19"/>
  <c r="AQ70" i="19"/>
  <c r="AR70" i="19"/>
  <c r="AS70" i="19"/>
  <c r="AT70" i="19"/>
  <c r="AU70" i="19"/>
  <c r="AV70" i="19"/>
  <c r="AW70" i="19"/>
  <c r="AX70" i="19"/>
  <c r="AY70" i="19"/>
  <c r="AZ70" i="19"/>
  <c r="BA70" i="19"/>
  <c r="BB70" i="19"/>
  <c r="BC70" i="19"/>
  <c r="BD70" i="19"/>
  <c r="BE70" i="19"/>
  <c r="BF70" i="19"/>
  <c r="BG70" i="19"/>
  <c r="BH70" i="19"/>
  <c r="BI70" i="19"/>
  <c r="BJ70" i="19"/>
  <c r="BK70" i="19"/>
  <c r="BL70" i="19"/>
  <c r="BM70" i="19"/>
  <c r="BN70" i="19"/>
  <c r="BO70" i="19"/>
  <c r="BP70" i="19"/>
  <c r="BQ70" i="19"/>
  <c r="BR70" i="19"/>
  <c r="BS70" i="19"/>
  <c r="BT70" i="19"/>
  <c r="BU70" i="19"/>
  <c r="BV70" i="19"/>
  <c r="BW70" i="19"/>
  <c r="BX70" i="19"/>
  <c r="BY70" i="19"/>
  <c r="BZ70" i="19"/>
  <c r="CA70" i="19"/>
  <c r="CB70" i="19"/>
  <c r="CC70" i="19"/>
  <c r="CD70" i="19"/>
  <c r="CE70" i="19"/>
  <c r="CF70" i="19"/>
  <c r="CG70" i="19"/>
  <c r="CH70" i="19"/>
  <c r="CI70" i="19"/>
  <c r="CJ70" i="19"/>
  <c r="CK70" i="19"/>
  <c r="CL70" i="19"/>
  <c r="CM70" i="19"/>
  <c r="CN70" i="19"/>
  <c r="CO70" i="19"/>
  <c r="CP70" i="19"/>
  <c r="CQ70" i="19"/>
  <c r="CR70" i="19"/>
  <c r="CS70" i="19"/>
  <c r="CT70" i="19"/>
  <c r="CU70" i="19"/>
  <c r="CV70" i="19"/>
  <c r="CW70" i="19"/>
  <c r="CX70" i="19"/>
  <c r="CY70" i="19"/>
  <c r="CZ70" i="19"/>
  <c r="DA70" i="19"/>
  <c r="DB70" i="19"/>
  <c r="DC70" i="19"/>
  <c r="DD70" i="19"/>
  <c r="DE70" i="19"/>
  <c r="DF70" i="19"/>
  <c r="DG70" i="19"/>
  <c r="DH70" i="19"/>
  <c r="DI70" i="19"/>
  <c r="DJ70" i="19"/>
  <c r="DK70" i="19"/>
  <c r="DL70" i="19"/>
  <c r="DM70" i="19"/>
  <c r="DN70" i="19"/>
  <c r="DO70" i="19"/>
  <c r="DP70" i="19"/>
  <c r="DQ70" i="19"/>
  <c r="DR70" i="19"/>
  <c r="DS70" i="19"/>
  <c r="DT70" i="19"/>
  <c r="DU70" i="19"/>
  <c r="DV70" i="19"/>
  <c r="DW70" i="19"/>
  <c r="DX70" i="19"/>
  <c r="DY70" i="19"/>
  <c r="DZ70" i="19"/>
  <c r="EA70" i="19"/>
  <c r="EB70" i="19"/>
  <c r="EC70" i="19"/>
  <c r="ED70" i="19"/>
  <c r="EE70" i="19"/>
  <c r="EF70" i="19"/>
  <c r="EG70" i="19"/>
  <c r="EH70" i="19"/>
  <c r="EI70" i="19"/>
  <c r="EJ70" i="19"/>
  <c r="EK70" i="19"/>
  <c r="EL70" i="19"/>
  <c r="EM70" i="19"/>
  <c r="EN70" i="19"/>
  <c r="EO70" i="19"/>
  <c r="EP70" i="19"/>
  <c r="EQ70" i="19"/>
  <c r="ER70" i="19"/>
  <c r="ES70" i="19"/>
  <c r="ET70" i="19"/>
  <c r="EU70" i="19"/>
  <c r="EV70" i="19"/>
  <c r="EW70" i="19"/>
  <c r="EX70" i="19"/>
  <c r="EY70" i="19"/>
  <c r="EZ70" i="19"/>
  <c r="FA70" i="19"/>
  <c r="FB70" i="19"/>
  <c r="FC70" i="19"/>
  <c r="FD70" i="19"/>
  <c r="FE70" i="19"/>
  <c r="FF70" i="19"/>
  <c r="FG70" i="19"/>
  <c r="FH70" i="19"/>
  <c r="FI70" i="19"/>
  <c r="FJ70" i="19"/>
  <c r="FK70" i="19"/>
  <c r="FL70" i="19"/>
  <c r="FM70" i="19"/>
  <c r="FN70" i="19"/>
  <c r="FO70" i="19"/>
  <c r="FP70" i="19"/>
  <c r="FQ70" i="19"/>
  <c r="FR70" i="19"/>
  <c r="FS70" i="19"/>
  <c r="FT70" i="19"/>
  <c r="FU70" i="19"/>
  <c r="FV70" i="19"/>
  <c r="FW70" i="19"/>
  <c r="FX70" i="19"/>
  <c r="FY70" i="19"/>
  <c r="FZ70" i="19"/>
  <c r="GA70" i="19"/>
  <c r="GB70" i="19"/>
  <c r="GC70" i="19"/>
  <c r="GD70" i="19"/>
  <c r="GE70" i="19"/>
  <c r="GF70" i="19"/>
  <c r="GG70" i="19"/>
  <c r="GH70" i="19"/>
  <c r="GI70" i="19"/>
  <c r="GJ70" i="19"/>
  <c r="GK70" i="19"/>
  <c r="GL70" i="19"/>
  <c r="GM70" i="19"/>
  <c r="GN70" i="19"/>
  <c r="GO70" i="19"/>
  <c r="GP70" i="19"/>
  <c r="GQ70" i="19"/>
  <c r="GR70" i="19"/>
  <c r="GS70" i="19"/>
  <c r="GT70" i="19"/>
  <c r="GU70" i="19"/>
  <c r="GV70" i="19"/>
  <c r="GW70" i="19"/>
  <c r="GX70" i="19"/>
  <c r="GY70" i="19"/>
  <c r="GZ70" i="19"/>
  <c r="HA70" i="19"/>
  <c r="HB70" i="19"/>
  <c r="HC70" i="19"/>
  <c r="HD70" i="19"/>
  <c r="HE70" i="19"/>
  <c r="HF70" i="19"/>
  <c r="HG70" i="19"/>
  <c r="HH70" i="19"/>
  <c r="HI70" i="19"/>
  <c r="HJ70" i="19"/>
  <c r="HK70" i="19"/>
  <c r="HL70" i="19"/>
  <c r="HM70" i="19"/>
  <c r="HN70" i="19"/>
  <c r="HO70" i="19"/>
  <c r="HP70" i="19"/>
  <c r="HQ70" i="19"/>
  <c r="HR70" i="19"/>
  <c r="HS70" i="19"/>
  <c r="HT70" i="19"/>
  <c r="HU70" i="19"/>
  <c r="HV70" i="19"/>
  <c r="HW70" i="19"/>
  <c r="HX70" i="19"/>
  <c r="HY70" i="19"/>
  <c r="HZ70" i="19"/>
  <c r="IA70" i="19"/>
  <c r="IB70" i="19"/>
  <c r="IC70" i="19"/>
  <c r="ID70" i="19"/>
  <c r="IE70" i="19"/>
  <c r="IF70" i="19"/>
  <c r="IG70" i="19"/>
  <c r="IH70" i="19"/>
  <c r="II70" i="19"/>
  <c r="IJ70" i="19"/>
  <c r="IK70" i="19"/>
  <c r="IL70" i="19"/>
  <c r="IM70" i="19"/>
  <c r="IN70" i="19"/>
  <c r="IO70" i="19"/>
  <c r="IP70" i="19"/>
  <c r="IQ70" i="19"/>
  <c r="IR70" i="19"/>
  <c r="IS70" i="19"/>
  <c r="IT70" i="19"/>
  <c r="IU70" i="19"/>
  <c r="IV70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AN71" i="19"/>
  <c r="AO71" i="19"/>
  <c r="AP71" i="19"/>
  <c r="AQ71" i="19"/>
  <c r="AR71" i="19"/>
  <c r="AS71" i="19"/>
  <c r="AT71" i="19"/>
  <c r="AU71" i="19"/>
  <c r="AV71" i="19"/>
  <c r="AW71" i="19"/>
  <c r="AX71" i="19"/>
  <c r="AY71" i="19"/>
  <c r="AZ71" i="19"/>
  <c r="BA71" i="19"/>
  <c r="BB71" i="19"/>
  <c r="BC71" i="19"/>
  <c r="BD71" i="19"/>
  <c r="BE71" i="19"/>
  <c r="BF71" i="19"/>
  <c r="BG71" i="19"/>
  <c r="BH71" i="19"/>
  <c r="BI71" i="19"/>
  <c r="BJ71" i="19"/>
  <c r="BK71" i="19"/>
  <c r="BL71" i="19"/>
  <c r="BM71" i="19"/>
  <c r="BN71" i="19"/>
  <c r="BO71" i="19"/>
  <c r="BP71" i="19"/>
  <c r="BQ71" i="19"/>
  <c r="BR71" i="19"/>
  <c r="BS71" i="19"/>
  <c r="BT71" i="19"/>
  <c r="BU71" i="19"/>
  <c r="BV71" i="19"/>
  <c r="BW71" i="19"/>
  <c r="BX71" i="19"/>
  <c r="BY71" i="19"/>
  <c r="BZ71" i="19"/>
  <c r="CA71" i="19"/>
  <c r="CB71" i="19"/>
  <c r="CC71" i="19"/>
  <c r="CD71" i="19"/>
  <c r="CE71" i="19"/>
  <c r="CF71" i="19"/>
  <c r="CG71" i="19"/>
  <c r="CH71" i="19"/>
  <c r="CI71" i="19"/>
  <c r="CJ71" i="19"/>
  <c r="CK71" i="19"/>
  <c r="CL71" i="19"/>
  <c r="CM71" i="19"/>
  <c r="CN71" i="19"/>
  <c r="CO71" i="19"/>
  <c r="CP71" i="19"/>
  <c r="CQ71" i="19"/>
  <c r="CR71" i="19"/>
  <c r="CS71" i="19"/>
  <c r="CT71" i="19"/>
  <c r="CU71" i="19"/>
  <c r="CV71" i="19"/>
  <c r="CW71" i="19"/>
  <c r="CX71" i="19"/>
  <c r="CY71" i="19"/>
  <c r="CZ71" i="19"/>
  <c r="DA71" i="19"/>
  <c r="DB71" i="19"/>
  <c r="DC71" i="19"/>
  <c r="DD71" i="19"/>
  <c r="DE71" i="19"/>
  <c r="DF71" i="19"/>
  <c r="DG71" i="19"/>
  <c r="DH71" i="19"/>
  <c r="DI71" i="19"/>
  <c r="DJ71" i="19"/>
  <c r="DK71" i="19"/>
  <c r="DL71" i="19"/>
  <c r="DM71" i="19"/>
  <c r="DN71" i="19"/>
  <c r="DO71" i="19"/>
  <c r="DP71" i="19"/>
  <c r="DQ71" i="19"/>
  <c r="DR71" i="19"/>
  <c r="DS71" i="19"/>
  <c r="DT71" i="19"/>
  <c r="DU71" i="19"/>
  <c r="DV71" i="19"/>
  <c r="DW71" i="19"/>
  <c r="DX71" i="19"/>
  <c r="DY71" i="19"/>
  <c r="DZ71" i="19"/>
  <c r="EA71" i="19"/>
  <c r="EB71" i="19"/>
  <c r="EC71" i="19"/>
  <c r="ED71" i="19"/>
  <c r="EE71" i="19"/>
  <c r="EF71" i="19"/>
  <c r="EG71" i="19"/>
  <c r="EH71" i="19"/>
  <c r="EI71" i="19"/>
  <c r="EJ71" i="19"/>
  <c r="EK71" i="19"/>
  <c r="EL71" i="19"/>
  <c r="EM71" i="19"/>
  <c r="EN71" i="19"/>
  <c r="EO71" i="19"/>
  <c r="EP71" i="19"/>
  <c r="EQ71" i="19"/>
  <c r="ER71" i="19"/>
  <c r="ES71" i="19"/>
  <c r="ET71" i="19"/>
  <c r="EU71" i="19"/>
  <c r="EV71" i="19"/>
  <c r="EW71" i="19"/>
  <c r="EX71" i="19"/>
  <c r="EY71" i="19"/>
  <c r="EZ71" i="19"/>
  <c r="FA71" i="19"/>
  <c r="FB71" i="19"/>
  <c r="FC71" i="19"/>
  <c r="FD71" i="19"/>
  <c r="FE71" i="19"/>
  <c r="FF71" i="19"/>
  <c r="FG71" i="19"/>
  <c r="FH71" i="19"/>
  <c r="FI71" i="19"/>
  <c r="FJ71" i="19"/>
  <c r="FK71" i="19"/>
  <c r="FL71" i="19"/>
  <c r="FM71" i="19"/>
  <c r="FN71" i="19"/>
  <c r="FO71" i="19"/>
  <c r="FP71" i="19"/>
  <c r="FQ71" i="19"/>
  <c r="FR71" i="19"/>
  <c r="FS71" i="19"/>
  <c r="FT71" i="19"/>
  <c r="FU71" i="19"/>
  <c r="FV71" i="19"/>
  <c r="FW71" i="19"/>
  <c r="FX71" i="19"/>
  <c r="FY71" i="19"/>
  <c r="FZ71" i="19"/>
  <c r="GA71" i="19"/>
  <c r="GB71" i="19"/>
  <c r="GC71" i="19"/>
  <c r="GD71" i="19"/>
  <c r="GE71" i="19"/>
  <c r="GF71" i="19"/>
  <c r="GG71" i="19"/>
  <c r="GH71" i="19"/>
  <c r="GI71" i="19"/>
  <c r="GJ71" i="19"/>
  <c r="GK71" i="19"/>
  <c r="GL71" i="19"/>
  <c r="GM71" i="19"/>
  <c r="GN71" i="19"/>
  <c r="GO71" i="19"/>
  <c r="GP71" i="19"/>
  <c r="GQ71" i="19"/>
  <c r="GR71" i="19"/>
  <c r="GS71" i="19"/>
  <c r="GT71" i="19"/>
  <c r="GU71" i="19"/>
  <c r="GV71" i="19"/>
  <c r="GW71" i="19"/>
  <c r="GX71" i="19"/>
  <c r="GY71" i="19"/>
  <c r="GZ71" i="19"/>
  <c r="HA71" i="19"/>
  <c r="HB71" i="19"/>
  <c r="HC71" i="19"/>
  <c r="HD71" i="19"/>
  <c r="HE71" i="19"/>
  <c r="HF71" i="19"/>
  <c r="HG71" i="19"/>
  <c r="HH71" i="19"/>
  <c r="HI71" i="19"/>
  <c r="HJ71" i="19"/>
  <c r="HK71" i="19"/>
  <c r="HL71" i="19"/>
  <c r="HM71" i="19"/>
  <c r="HN71" i="19"/>
  <c r="HO71" i="19"/>
  <c r="HP71" i="19"/>
  <c r="HQ71" i="19"/>
  <c r="HR71" i="19"/>
  <c r="HS71" i="19"/>
  <c r="HT71" i="19"/>
  <c r="HU71" i="19"/>
  <c r="HV71" i="19"/>
  <c r="HW71" i="19"/>
  <c r="HX71" i="19"/>
  <c r="HY71" i="19"/>
  <c r="HZ71" i="19"/>
  <c r="IA71" i="19"/>
  <c r="IB71" i="19"/>
  <c r="IC71" i="19"/>
  <c r="ID71" i="19"/>
  <c r="IE71" i="19"/>
  <c r="IF71" i="19"/>
  <c r="IG71" i="19"/>
  <c r="IH71" i="19"/>
  <c r="II71" i="19"/>
  <c r="IJ71" i="19"/>
  <c r="IK71" i="19"/>
  <c r="IL71" i="19"/>
  <c r="IM71" i="19"/>
  <c r="IN71" i="19"/>
  <c r="IO71" i="19"/>
  <c r="IP71" i="19"/>
  <c r="IQ71" i="19"/>
  <c r="IR71" i="19"/>
  <c r="IS71" i="19"/>
  <c r="IT71" i="19"/>
  <c r="IU71" i="19"/>
  <c r="IV71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AN72" i="19"/>
  <c r="AO72" i="19"/>
  <c r="AP72" i="19"/>
  <c r="AQ72" i="19"/>
  <c r="AR72" i="19"/>
  <c r="AS72" i="19"/>
  <c r="AT72" i="19"/>
  <c r="AU72" i="19"/>
  <c r="AV72" i="19"/>
  <c r="AW72" i="19"/>
  <c r="AX72" i="19"/>
  <c r="AY72" i="19"/>
  <c r="AZ72" i="19"/>
  <c r="BA72" i="19"/>
  <c r="BB72" i="19"/>
  <c r="BC72" i="19"/>
  <c r="BD72" i="19"/>
  <c r="BE72" i="19"/>
  <c r="BF72" i="19"/>
  <c r="BG72" i="19"/>
  <c r="BH72" i="19"/>
  <c r="BI72" i="19"/>
  <c r="BJ72" i="19"/>
  <c r="BK72" i="19"/>
  <c r="BL72" i="19"/>
  <c r="BM72" i="19"/>
  <c r="BN72" i="19"/>
  <c r="BO72" i="19"/>
  <c r="BP72" i="19"/>
  <c r="BQ72" i="19"/>
  <c r="BR72" i="19"/>
  <c r="BS72" i="19"/>
  <c r="BT72" i="19"/>
  <c r="BU72" i="19"/>
  <c r="BV72" i="19"/>
  <c r="BW72" i="19"/>
  <c r="BX72" i="19"/>
  <c r="BY72" i="19"/>
  <c r="BZ72" i="19"/>
  <c r="CA72" i="19"/>
  <c r="CB72" i="19"/>
  <c r="CC72" i="19"/>
  <c r="CD72" i="19"/>
  <c r="CE72" i="19"/>
  <c r="CF72" i="19"/>
  <c r="CG72" i="19"/>
  <c r="CH72" i="19"/>
  <c r="CI72" i="19"/>
  <c r="CJ72" i="19"/>
  <c r="CK72" i="19"/>
  <c r="CL72" i="19"/>
  <c r="CM72" i="19"/>
  <c r="CN72" i="19"/>
  <c r="CO72" i="19"/>
  <c r="CP72" i="19"/>
  <c r="CQ72" i="19"/>
  <c r="CR72" i="19"/>
  <c r="CS72" i="19"/>
  <c r="CT72" i="19"/>
  <c r="CU72" i="19"/>
  <c r="CV72" i="19"/>
  <c r="CW72" i="19"/>
  <c r="CX72" i="19"/>
  <c r="CY72" i="19"/>
  <c r="CZ72" i="19"/>
  <c r="DA72" i="19"/>
  <c r="DB72" i="19"/>
  <c r="DC72" i="19"/>
  <c r="DD72" i="19"/>
  <c r="DE72" i="19"/>
  <c r="DF72" i="19"/>
  <c r="DG72" i="19"/>
  <c r="DH72" i="19"/>
  <c r="DI72" i="19"/>
  <c r="DJ72" i="19"/>
  <c r="DK72" i="19"/>
  <c r="DL72" i="19"/>
  <c r="DM72" i="19"/>
  <c r="DN72" i="19"/>
  <c r="DO72" i="19"/>
  <c r="DP72" i="19"/>
  <c r="DQ72" i="19"/>
  <c r="DR72" i="19"/>
  <c r="DS72" i="19"/>
  <c r="DT72" i="19"/>
  <c r="DU72" i="19"/>
  <c r="DV72" i="19"/>
  <c r="DW72" i="19"/>
  <c r="DX72" i="19"/>
  <c r="DY72" i="19"/>
  <c r="DZ72" i="19"/>
  <c r="EA72" i="19"/>
  <c r="EB72" i="19"/>
  <c r="EC72" i="19"/>
  <c r="ED72" i="19"/>
  <c r="EE72" i="19"/>
  <c r="EF72" i="19"/>
  <c r="EG72" i="19"/>
  <c r="EH72" i="19"/>
  <c r="EI72" i="19"/>
  <c r="EJ72" i="19"/>
  <c r="EK72" i="19"/>
  <c r="EL72" i="19"/>
  <c r="EM72" i="19"/>
  <c r="EN72" i="19"/>
  <c r="EO72" i="19"/>
  <c r="EP72" i="19"/>
  <c r="EQ72" i="19"/>
  <c r="ER72" i="19"/>
  <c r="ES72" i="19"/>
  <c r="ET72" i="19"/>
  <c r="EU72" i="19"/>
  <c r="EV72" i="19"/>
  <c r="EW72" i="19"/>
  <c r="EX72" i="19"/>
  <c r="EY72" i="19"/>
  <c r="EZ72" i="19"/>
  <c r="FA72" i="19"/>
  <c r="FB72" i="19"/>
  <c r="FC72" i="19"/>
  <c r="FD72" i="19"/>
  <c r="FE72" i="19"/>
  <c r="FF72" i="19"/>
  <c r="FG72" i="19"/>
  <c r="FH72" i="19"/>
  <c r="FI72" i="19"/>
  <c r="FJ72" i="19"/>
  <c r="FK72" i="19"/>
  <c r="FL72" i="19"/>
  <c r="FM72" i="19"/>
  <c r="FN72" i="19"/>
  <c r="FO72" i="19"/>
  <c r="FP72" i="19"/>
  <c r="FQ72" i="19"/>
  <c r="FR72" i="19"/>
  <c r="FS72" i="19"/>
  <c r="FT72" i="19"/>
  <c r="FU72" i="19"/>
  <c r="FV72" i="19"/>
  <c r="FW72" i="19"/>
  <c r="FX72" i="19"/>
  <c r="FY72" i="19"/>
  <c r="FZ72" i="19"/>
  <c r="GA72" i="19"/>
  <c r="GB72" i="19"/>
  <c r="GC72" i="19"/>
  <c r="GD72" i="19"/>
  <c r="GE72" i="19"/>
  <c r="GF72" i="19"/>
  <c r="GG72" i="19"/>
  <c r="GH72" i="19"/>
  <c r="GI72" i="19"/>
  <c r="GJ72" i="19"/>
  <c r="GK72" i="19"/>
  <c r="GL72" i="19"/>
  <c r="GM72" i="19"/>
  <c r="GN72" i="19"/>
  <c r="GO72" i="19"/>
  <c r="GP72" i="19"/>
  <c r="GQ72" i="19"/>
  <c r="GR72" i="19"/>
  <c r="GS72" i="19"/>
  <c r="GT72" i="19"/>
  <c r="GU72" i="19"/>
  <c r="GV72" i="19"/>
  <c r="GW72" i="19"/>
  <c r="GX72" i="19"/>
  <c r="GY72" i="19"/>
  <c r="GZ72" i="19"/>
  <c r="HA72" i="19"/>
  <c r="HB72" i="19"/>
  <c r="HC72" i="19"/>
  <c r="HD72" i="19"/>
  <c r="HE72" i="19"/>
  <c r="HF72" i="19"/>
  <c r="HG72" i="19"/>
  <c r="HH72" i="19"/>
  <c r="HI72" i="19"/>
  <c r="HJ72" i="19"/>
  <c r="HK72" i="19"/>
  <c r="HL72" i="19"/>
  <c r="HM72" i="19"/>
  <c r="HN72" i="19"/>
  <c r="HO72" i="19"/>
  <c r="HP72" i="19"/>
  <c r="HQ72" i="19"/>
  <c r="HR72" i="19"/>
  <c r="HS72" i="19"/>
  <c r="HT72" i="19"/>
  <c r="HU72" i="19"/>
  <c r="HV72" i="19"/>
  <c r="HW72" i="19"/>
  <c r="HX72" i="19"/>
  <c r="HY72" i="19"/>
  <c r="HZ72" i="19"/>
  <c r="IA72" i="19"/>
  <c r="IB72" i="19"/>
  <c r="IC72" i="19"/>
  <c r="ID72" i="19"/>
  <c r="IE72" i="19"/>
  <c r="IF72" i="19"/>
  <c r="IG72" i="19"/>
  <c r="IH72" i="19"/>
  <c r="II72" i="19"/>
  <c r="IJ72" i="19"/>
  <c r="IK72" i="19"/>
  <c r="IL72" i="19"/>
  <c r="IM72" i="19"/>
  <c r="IN72" i="19"/>
  <c r="IO72" i="19"/>
  <c r="IP72" i="19"/>
  <c r="IQ72" i="19"/>
  <c r="IR72" i="19"/>
  <c r="IS72" i="19"/>
  <c r="IT72" i="19"/>
  <c r="IU72" i="19"/>
  <c r="IV72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F73" i="19"/>
  <c r="AG73" i="19"/>
  <c r="AH73" i="19"/>
  <c r="AI73" i="19"/>
  <c r="AJ73" i="19"/>
  <c r="AK73" i="19"/>
  <c r="AL73" i="19"/>
  <c r="AM73" i="19"/>
  <c r="AN73" i="19"/>
  <c r="AO73" i="19"/>
  <c r="AP73" i="19"/>
  <c r="AQ73" i="19"/>
  <c r="AR73" i="19"/>
  <c r="AS73" i="19"/>
  <c r="AT73" i="19"/>
  <c r="AU73" i="19"/>
  <c r="AV73" i="19"/>
  <c r="AW73" i="19"/>
  <c r="AX73" i="19"/>
  <c r="AY73" i="19"/>
  <c r="AZ73" i="19"/>
  <c r="BA73" i="19"/>
  <c r="BB73" i="19"/>
  <c r="BC73" i="19"/>
  <c r="BD73" i="19"/>
  <c r="BE73" i="19"/>
  <c r="BF73" i="19"/>
  <c r="BG73" i="19"/>
  <c r="BH73" i="19"/>
  <c r="BI73" i="19"/>
  <c r="BJ73" i="19"/>
  <c r="BK73" i="19"/>
  <c r="BL73" i="19"/>
  <c r="BM73" i="19"/>
  <c r="BN73" i="19"/>
  <c r="BO73" i="19"/>
  <c r="BP73" i="19"/>
  <c r="BQ73" i="19"/>
  <c r="BR73" i="19"/>
  <c r="BS73" i="19"/>
  <c r="BT73" i="19"/>
  <c r="BU73" i="19"/>
  <c r="BV73" i="19"/>
  <c r="BW73" i="19"/>
  <c r="BX73" i="19"/>
  <c r="BY73" i="19"/>
  <c r="BZ73" i="19"/>
  <c r="CA73" i="19"/>
  <c r="CB73" i="19"/>
  <c r="CC73" i="19"/>
  <c r="CD73" i="19"/>
  <c r="CE73" i="19"/>
  <c r="CF73" i="19"/>
  <c r="CG73" i="19"/>
  <c r="CH73" i="19"/>
  <c r="CI73" i="19"/>
  <c r="CJ73" i="19"/>
  <c r="CK73" i="19"/>
  <c r="CL73" i="19"/>
  <c r="CM73" i="19"/>
  <c r="CN73" i="19"/>
  <c r="CO73" i="19"/>
  <c r="CP73" i="19"/>
  <c r="CQ73" i="19"/>
  <c r="CR73" i="19"/>
  <c r="CS73" i="19"/>
  <c r="CT73" i="19"/>
  <c r="CU73" i="19"/>
  <c r="CV73" i="19"/>
  <c r="CW73" i="19"/>
  <c r="CX73" i="19"/>
  <c r="CY73" i="19"/>
  <c r="CZ73" i="19"/>
  <c r="DA73" i="19"/>
  <c r="DB73" i="19"/>
  <c r="DC73" i="19"/>
  <c r="DD73" i="19"/>
  <c r="DE73" i="19"/>
  <c r="DF73" i="19"/>
  <c r="DG73" i="19"/>
  <c r="DH73" i="19"/>
  <c r="DI73" i="19"/>
  <c r="DJ73" i="19"/>
  <c r="DK73" i="19"/>
  <c r="DL73" i="19"/>
  <c r="DM73" i="19"/>
  <c r="DN73" i="19"/>
  <c r="DO73" i="19"/>
  <c r="DP73" i="19"/>
  <c r="DQ73" i="19"/>
  <c r="DR73" i="19"/>
  <c r="DS73" i="19"/>
  <c r="DT73" i="19"/>
  <c r="DU73" i="19"/>
  <c r="DV73" i="19"/>
  <c r="DW73" i="19"/>
  <c r="DX73" i="19"/>
  <c r="DY73" i="19"/>
  <c r="DZ73" i="19"/>
  <c r="EA73" i="19"/>
  <c r="EB73" i="19"/>
  <c r="EC73" i="19"/>
  <c r="ED73" i="19"/>
  <c r="EE73" i="19"/>
  <c r="EF73" i="19"/>
  <c r="EG73" i="19"/>
  <c r="EH73" i="19"/>
  <c r="EI73" i="19"/>
  <c r="EJ73" i="19"/>
  <c r="EK73" i="19"/>
  <c r="EL73" i="19"/>
  <c r="EM73" i="19"/>
  <c r="EN73" i="19"/>
  <c r="EO73" i="19"/>
  <c r="EP73" i="19"/>
  <c r="EQ73" i="19"/>
  <c r="ER73" i="19"/>
  <c r="ES73" i="19"/>
  <c r="ET73" i="19"/>
  <c r="EU73" i="19"/>
  <c r="EV73" i="19"/>
  <c r="EW73" i="19"/>
  <c r="EX73" i="19"/>
  <c r="EY73" i="19"/>
  <c r="EZ73" i="19"/>
  <c r="FA73" i="19"/>
  <c r="FB73" i="19"/>
  <c r="FC73" i="19"/>
  <c r="FD73" i="19"/>
  <c r="FE73" i="19"/>
  <c r="FF73" i="19"/>
  <c r="FG73" i="19"/>
  <c r="FH73" i="19"/>
  <c r="FI73" i="19"/>
  <c r="FJ73" i="19"/>
  <c r="FK73" i="19"/>
  <c r="FL73" i="19"/>
  <c r="FM73" i="19"/>
  <c r="FN73" i="19"/>
  <c r="FO73" i="19"/>
  <c r="FP73" i="19"/>
  <c r="FQ73" i="19"/>
  <c r="FR73" i="19"/>
  <c r="FS73" i="19"/>
  <c r="FT73" i="19"/>
  <c r="FU73" i="19"/>
  <c r="FV73" i="19"/>
  <c r="FW73" i="19"/>
  <c r="FX73" i="19"/>
  <c r="FY73" i="19"/>
  <c r="FZ73" i="19"/>
  <c r="GA73" i="19"/>
  <c r="GB73" i="19"/>
  <c r="GC73" i="19"/>
  <c r="GD73" i="19"/>
  <c r="GE73" i="19"/>
  <c r="GF73" i="19"/>
  <c r="GG73" i="19"/>
  <c r="GH73" i="19"/>
  <c r="GI73" i="19"/>
  <c r="GJ73" i="19"/>
  <c r="GK73" i="19"/>
  <c r="GL73" i="19"/>
  <c r="GM73" i="19"/>
  <c r="GN73" i="19"/>
  <c r="GO73" i="19"/>
  <c r="GP73" i="19"/>
  <c r="GQ73" i="19"/>
  <c r="GR73" i="19"/>
  <c r="GS73" i="19"/>
  <c r="GT73" i="19"/>
  <c r="GU73" i="19"/>
  <c r="GV73" i="19"/>
  <c r="GW73" i="19"/>
  <c r="GX73" i="19"/>
  <c r="GY73" i="19"/>
  <c r="GZ73" i="19"/>
  <c r="HA73" i="19"/>
  <c r="HB73" i="19"/>
  <c r="HC73" i="19"/>
  <c r="HD73" i="19"/>
  <c r="HE73" i="19"/>
  <c r="HF73" i="19"/>
  <c r="HG73" i="19"/>
  <c r="HH73" i="19"/>
  <c r="HI73" i="19"/>
  <c r="HJ73" i="19"/>
  <c r="HK73" i="19"/>
  <c r="HL73" i="19"/>
  <c r="HM73" i="19"/>
  <c r="HN73" i="19"/>
  <c r="HO73" i="19"/>
  <c r="HP73" i="19"/>
  <c r="HQ73" i="19"/>
  <c r="HR73" i="19"/>
  <c r="HS73" i="19"/>
  <c r="HT73" i="19"/>
  <c r="HU73" i="19"/>
  <c r="HV73" i="19"/>
  <c r="HW73" i="19"/>
  <c r="HX73" i="19"/>
  <c r="HY73" i="19"/>
  <c r="HZ73" i="19"/>
  <c r="IA73" i="19"/>
  <c r="IB73" i="19"/>
  <c r="IC73" i="19"/>
  <c r="ID73" i="19"/>
  <c r="IE73" i="19"/>
  <c r="IF73" i="19"/>
  <c r="IG73" i="19"/>
  <c r="IH73" i="19"/>
  <c r="II73" i="19"/>
  <c r="IJ73" i="19"/>
  <c r="IK73" i="19"/>
  <c r="IL73" i="19"/>
  <c r="IM73" i="19"/>
  <c r="IN73" i="19"/>
  <c r="IO73" i="19"/>
  <c r="IP73" i="19"/>
  <c r="IQ73" i="19"/>
  <c r="IR73" i="19"/>
  <c r="IS73" i="19"/>
  <c r="IT73" i="19"/>
  <c r="IU73" i="19"/>
  <c r="IV73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AN74" i="19"/>
  <c r="AO74" i="19"/>
  <c r="AP74" i="19"/>
  <c r="AQ74" i="19"/>
  <c r="AR74" i="19"/>
  <c r="AS74" i="19"/>
  <c r="AT74" i="19"/>
  <c r="AU74" i="19"/>
  <c r="AV74" i="19"/>
  <c r="AW74" i="19"/>
  <c r="AX74" i="19"/>
  <c r="AY74" i="19"/>
  <c r="AZ74" i="19"/>
  <c r="BA74" i="19"/>
  <c r="BB74" i="19"/>
  <c r="BC74" i="19"/>
  <c r="BD74" i="19"/>
  <c r="BE74" i="19"/>
  <c r="BF74" i="19"/>
  <c r="BG74" i="19"/>
  <c r="BH74" i="19"/>
  <c r="BI74" i="19"/>
  <c r="BJ74" i="19"/>
  <c r="BK74" i="19"/>
  <c r="BL74" i="19"/>
  <c r="BM74" i="19"/>
  <c r="BN74" i="19"/>
  <c r="BO74" i="19"/>
  <c r="BP74" i="19"/>
  <c r="BQ74" i="19"/>
  <c r="BR74" i="19"/>
  <c r="BS74" i="19"/>
  <c r="BT74" i="19"/>
  <c r="BU74" i="19"/>
  <c r="BV74" i="19"/>
  <c r="BW74" i="19"/>
  <c r="BX74" i="19"/>
  <c r="BY74" i="19"/>
  <c r="BZ74" i="19"/>
  <c r="CA74" i="19"/>
  <c r="CB74" i="19"/>
  <c r="CC74" i="19"/>
  <c r="CD74" i="19"/>
  <c r="CE74" i="19"/>
  <c r="CF74" i="19"/>
  <c r="CG74" i="19"/>
  <c r="CH74" i="19"/>
  <c r="CI74" i="19"/>
  <c r="CJ74" i="19"/>
  <c r="CK74" i="19"/>
  <c r="CL74" i="19"/>
  <c r="CM74" i="19"/>
  <c r="CN74" i="19"/>
  <c r="CO74" i="19"/>
  <c r="CP74" i="19"/>
  <c r="CQ74" i="19"/>
  <c r="CR74" i="19"/>
  <c r="CS74" i="19"/>
  <c r="CT74" i="19"/>
  <c r="CU74" i="19"/>
  <c r="CV74" i="19"/>
  <c r="CW74" i="19"/>
  <c r="CX74" i="19"/>
  <c r="CY74" i="19"/>
  <c r="CZ74" i="19"/>
  <c r="DA74" i="19"/>
  <c r="DB74" i="19"/>
  <c r="DC74" i="19"/>
  <c r="DD74" i="19"/>
  <c r="DE74" i="19"/>
  <c r="DF74" i="19"/>
  <c r="DG74" i="19"/>
  <c r="DH74" i="19"/>
  <c r="DI74" i="19"/>
  <c r="DJ74" i="19"/>
  <c r="DK74" i="19"/>
  <c r="DL74" i="19"/>
  <c r="DM74" i="19"/>
  <c r="DN74" i="19"/>
  <c r="DO74" i="19"/>
  <c r="DP74" i="19"/>
  <c r="DQ74" i="19"/>
  <c r="DR74" i="19"/>
  <c r="DS74" i="19"/>
  <c r="DT74" i="19"/>
  <c r="DU74" i="19"/>
  <c r="DV74" i="19"/>
  <c r="DW74" i="19"/>
  <c r="DX74" i="19"/>
  <c r="DY74" i="19"/>
  <c r="DZ74" i="19"/>
  <c r="EA74" i="19"/>
  <c r="EB74" i="19"/>
  <c r="EC74" i="19"/>
  <c r="ED74" i="19"/>
  <c r="EE74" i="19"/>
  <c r="EF74" i="19"/>
  <c r="EG74" i="19"/>
  <c r="EH74" i="19"/>
  <c r="EI74" i="19"/>
  <c r="EJ74" i="19"/>
  <c r="EK74" i="19"/>
  <c r="EL74" i="19"/>
  <c r="EM74" i="19"/>
  <c r="EN74" i="19"/>
  <c r="EO74" i="19"/>
  <c r="EP74" i="19"/>
  <c r="EQ74" i="19"/>
  <c r="ER74" i="19"/>
  <c r="ES74" i="19"/>
  <c r="ET74" i="19"/>
  <c r="EU74" i="19"/>
  <c r="EV74" i="19"/>
  <c r="EW74" i="19"/>
  <c r="EX74" i="19"/>
  <c r="EY74" i="19"/>
  <c r="EZ74" i="19"/>
  <c r="FA74" i="19"/>
  <c r="FB74" i="19"/>
  <c r="FC74" i="19"/>
  <c r="FD74" i="19"/>
  <c r="FE74" i="19"/>
  <c r="FF74" i="19"/>
  <c r="FG74" i="19"/>
  <c r="FH74" i="19"/>
  <c r="FI74" i="19"/>
  <c r="FJ74" i="19"/>
  <c r="FK74" i="19"/>
  <c r="FL74" i="19"/>
  <c r="FM74" i="19"/>
  <c r="FN74" i="19"/>
  <c r="FO74" i="19"/>
  <c r="FP74" i="19"/>
  <c r="FQ74" i="19"/>
  <c r="FR74" i="19"/>
  <c r="FS74" i="19"/>
  <c r="FT74" i="19"/>
  <c r="FU74" i="19"/>
  <c r="FV74" i="19"/>
  <c r="FW74" i="19"/>
  <c r="FX74" i="19"/>
  <c r="FY74" i="19"/>
  <c r="FZ74" i="19"/>
  <c r="GA74" i="19"/>
  <c r="GB74" i="19"/>
  <c r="GC74" i="19"/>
  <c r="GD74" i="19"/>
  <c r="GE74" i="19"/>
  <c r="GF74" i="19"/>
  <c r="GG74" i="19"/>
  <c r="GH74" i="19"/>
  <c r="GI74" i="19"/>
  <c r="GJ74" i="19"/>
  <c r="GK74" i="19"/>
  <c r="GL74" i="19"/>
  <c r="GM74" i="19"/>
  <c r="GN74" i="19"/>
  <c r="GO74" i="19"/>
  <c r="GP74" i="19"/>
  <c r="GQ74" i="19"/>
  <c r="GR74" i="19"/>
  <c r="GS74" i="19"/>
  <c r="GT74" i="19"/>
  <c r="GU74" i="19"/>
  <c r="GV74" i="19"/>
  <c r="GW74" i="19"/>
  <c r="GX74" i="19"/>
  <c r="GY74" i="19"/>
  <c r="GZ74" i="19"/>
  <c r="HA74" i="19"/>
  <c r="HB74" i="19"/>
  <c r="HC74" i="19"/>
  <c r="HD74" i="19"/>
  <c r="HE74" i="19"/>
  <c r="HF74" i="19"/>
  <c r="HG74" i="19"/>
  <c r="HH74" i="19"/>
  <c r="HI74" i="19"/>
  <c r="HJ74" i="19"/>
  <c r="HK74" i="19"/>
  <c r="HL74" i="19"/>
  <c r="HM74" i="19"/>
  <c r="HN74" i="19"/>
  <c r="HO74" i="19"/>
  <c r="HP74" i="19"/>
  <c r="HQ74" i="19"/>
  <c r="HR74" i="19"/>
  <c r="HS74" i="19"/>
  <c r="HT74" i="19"/>
  <c r="HU74" i="19"/>
  <c r="HV74" i="19"/>
  <c r="HW74" i="19"/>
  <c r="HX74" i="19"/>
  <c r="HY74" i="19"/>
  <c r="HZ74" i="19"/>
  <c r="IA74" i="19"/>
  <c r="IB74" i="19"/>
  <c r="IC74" i="19"/>
  <c r="ID74" i="19"/>
  <c r="IE74" i="19"/>
  <c r="IF74" i="19"/>
  <c r="IG74" i="19"/>
  <c r="IH74" i="19"/>
  <c r="II74" i="19"/>
  <c r="IJ74" i="19"/>
  <c r="IK74" i="19"/>
  <c r="IL74" i="19"/>
  <c r="IM74" i="19"/>
  <c r="IN74" i="19"/>
  <c r="IO74" i="19"/>
  <c r="IP74" i="19"/>
  <c r="IQ74" i="19"/>
  <c r="IR74" i="19"/>
  <c r="IS74" i="19"/>
  <c r="IT74" i="19"/>
  <c r="IU74" i="19"/>
  <c r="IV74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AN75" i="19"/>
  <c r="AO75" i="19"/>
  <c r="AP75" i="19"/>
  <c r="AQ75" i="19"/>
  <c r="AR75" i="19"/>
  <c r="AS75" i="19"/>
  <c r="AT75" i="19"/>
  <c r="AU75" i="19"/>
  <c r="AV75" i="19"/>
  <c r="AW75" i="19"/>
  <c r="AX75" i="19"/>
  <c r="AY75" i="19"/>
  <c r="AZ75" i="19"/>
  <c r="BA75" i="19"/>
  <c r="BB75" i="19"/>
  <c r="BC75" i="19"/>
  <c r="BD75" i="19"/>
  <c r="BE75" i="19"/>
  <c r="BF75" i="19"/>
  <c r="BG75" i="19"/>
  <c r="BH75" i="19"/>
  <c r="BI75" i="19"/>
  <c r="BJ75" i="19"/>
  <c r="BK75" i="19"/>
  <c r="BL75" i="19"/>
  <c r="BM75" i="19"/>
  <c r="BN75" i="19"/>
  <c r="BO75" i="19"/>
  <c r="BP75" i="19"/>
  <c r="BQ75" i="19"/>
  <c r="BR75" i="19"/>
  <c r="BS75" i="19"/>
  <c r="BT75" i="19"/>
  <c r="BU75" i="19"/>
  <c r="BV75" i="19"/>
  <c r="BW75" i="19"/>
  <c r="BX75" i="19"/>
  <c r="BY75" i="19"/>
  <c r="BZ75" i="19"/>
  <c r="CA75" i="19"/>
  <c r="CB75" i="19"/>
  <c r="CC75" i="19"/>
  <c r="CD75" i="19"/>
  <c r="CE75" i="19"/>
  <c r="CF75" i="19"/>
  <c r="CG75" i="19"/>
  <c r="CH75" i="19"/>
  <c r="CI75" i="19"/>
  <c r="CJ75" i="19"/>
  <c r="CK75" i="19"/>
  <c r="CL75" i="19"/>
  <c r="CM75" i="19"/>
  <c r="CN75" i="19"/>
  <c r="CO75" i="19"/>
  <c r="CP75" i="19"/>
  <c r="CQ75" i="19"/>
  <c r="CR75" i="19"/>
  <c r="CS75" i="19"/>
  <c r="CT75" i="19"/>
  <c r="CU75" i="19"/>
  <c r="CV75" i="19"/>
  <c r="CW75" i="19"/>
  <c r="CX75" i="19"/>
  <c r="CY75" i="19"/>
  <c r="CZ75" i="19"/>
  <c r="DA75" i="19"/>
  <c r="DB75" i="19"/>
  <c r="DC75" i="19"/>
  <c r="DD75" i="19"/>
  <c r="DE75" i="19"/>
  <c r="DF75" i="19"/>
  <c r="DG75" i="19"/>
  <c r="DH75" i="19"/>
  <c r="DI75" i="19"/>
  <c r="DJ75" i="19"/>
  <c r="DK75" i="19"/>
  <c r="DL75" i="19"/>
  <c r="DM75" i="19"/>
  <c r="DN75" i="19"/>
  <c r="DO75" i="19"/>
  <c r="DP75" i="19"/>
  <c r="DQ75" i="19"/>
  <c r="DR75" i="19"/>
  <c r="DS75" i="19"/>
  <c r="DT75" i="19"/>
  <c r="DU75" i="19"/>
  <c r="DV75" i="19"/>
  <c r="DW75" i="19"/>
  <c r="DX75" i="19"/>
  <c r="DY75" i="19"/>
  <c r="DZ75" i="19"/>
  <c r="EA75" i="19"/>
  <c r="EB75" i="19"/>
  <c r="EC75" i="19"/>
  <c r="ED75" i="19"/>
  <c r="EE75" i="19"/>
  <c r="EF75" i="19"/>
  <c r="EG75" i="19"/>
  <c r="EH75" i="19"/>
  <c r="EI75" i="19"/>
  <c r="EJ75" i="19"/>
  <c r="EK75" i="19"/>
  <c r="EL75" i="19"/>
  <c r="EM75" i="19"/>
  <c r="EN75" i="19"/>
  <c r="EO75" i="19"/>
  <c r="EP75" i="19"/>
  <c r="EQ75" i="19"/>
  <c r="ER75" i="19"/>
  <c r="ES75" i="19"/>
  <c r="ET75" i="19"/>
  <c r="EU75" i="19"/>
  <c r="EV75" i="19"/>
  <c r="EW75" i="19"/>
  <c r="EX75" i="19"/>
  <c r="EY75" i="19"/>
  <c r="EZ75" i="19"/>
  <c r="FA75" i="19"/>
  <c r="FB75" i="19"/>
  <c r="FC75" i="19"/>
  <c r="FD75" i="19"/>
  <c r="FE75" i="19"/>
  <c r="FF75" i="19"/>
  <c r="FG75" i="19"/>
  <c r="FH75" i="19"/>
  <c r="FI75" i="19"/>
  <c r="FJ75" i="19"/>
  <c r="FK75" i="19"/>
  <c r="FL75" i="19"/>
  <c r="FM75" i="19"/>
  <c r="FN75" i="19"/>
  <c r="FO75" i="19"/>
  <c r="FP75" i="19"/>
  <c r="FQ75" i="19"/>
  <c r="FR75" i="19"/>
  <c r="FS75" i="19"/>
  <c r="FT75" i="19"/>
  <c r="FU75" i="19"/>
  <c r="FV75" i="19"/>
  <c r="FW75" i="19"/>
  <c r="FX75" i="19"/>
  <c r="FY75" i="19"/>
  <c r="FZ75" i="19"/>
  <c r="GA75" i="19"/>
  <c r="GB75" i="19"/>
  <c r="GC75" i="19"/>
  <c r="GD75" i="19"/>
  <c r="GE75" i="19"/>
  <c r="GF75" i="19"/>
  <c r="GG75" i="19"/>
  <c r="GH75" i="19"/>
  <c r="GI75" i="19"/>
  <c r="GJ75" i="19"/>
  <c r="GK75" i="19"/>
  <c r="GL75" i="19"/>
  <c r="GM75" i="19"/>
  <c r="GN75" i="19"/>
  <c r="GO75" i="19"/>
  <c r="GP75" i="19"/>
  <c r="GQ75" i="19"/>
  <c r="GR75" i="19"/>
  <c r="GS75" i="19"/>
  <c r="GT75" i="19"/>
  <c r="GU75" i="19"/>
  <c r="GV75" i="19"/>
  <c r="GW75" i="19"/>
  <c r="GX75" i="19"/>
  <c r="GY75" i="19"/>
  <c r="GZ75" i="19"/>
  <c r="HA75" i="19"/>
  <c r="HB75" i="19"/>
  <c r="HC75" i="19"/>
  <c r="HD75" i="19"/>
  <c r="HE75" i="19"/>
  <c r="HF75" i="19"/>
  <c r="HG75" i="19"/>
  <c r="HH75" i="19"/>
  <c r="HI75" i="19"/>
  <c r="HJ75" i="19"/>
  <c r="HK75" i="19"/>
  <c r="HL75" i="19"/>
  <c r="HM75" i="19"/>
  <c r="HN75" i="19"/>
  <c r="HO75" i="19"/>
  <c r="HP75" i="19"/>
  <c r="HQ75" i="19"/>
  <c r="HR75" i="19"/>
  <c r="HS75" i="19"/>
  <c r="HT75" i="19"/>
  <c r="HU75" i="19"/>
  <c r="HV75" i="19"/>
  <c r="HW75" i="19"/>
  <c r="HX75" i="19"/>
  <c r="HY75" i="19"/>
  <c r="HZ75" i="19"/>
  <c r="IA75" i="19"/>
  <c r="IB75" i="19"/>
  <c r="IC75" i="19"/>
  <c r="ID75" i="19"/>
  <c r="IE75" i="19"/>
  <c r="IF75" i="19"/>
  <c r="IG75" i="19"/>
  <c r="IH75" i="19"/>
  <c r="II75" i="19"/>
  <c r="IJ75" i="19"/>
  <c r="IK75" i="19"/>
  <c r="IL75" i="19"/>
  <c r="IM75" i="19"/>
  <c r="IN75" i="19"/>
  <c r="IO75" i="19"/>
  <c r="IP75" i="19"/>
  <c r="IQ75" i="19"/>
  <c r="IR75" i="19"/>
  <c r="IS75" i="19"/>
  <c r="IT75" i="19"/>
  <c r="IU75" i="19"/>
  <c r="IV75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AP76" i="19"/>
  <c r="AQ76" i="19"/>
  <c r="AR76" i="19"/>
  <c r="AS76" i="19"/>
  <c r="AT76" i="19"/>
  <c r="AU76" i="19"/>
  <c r="AV76" i="19"/>
  <c r="AW76" i="19"/>
  <c r="AX76" i="19"/>
  <c r="AY76" i="19"/>
  <c r="AZ76" i="19"/>
  <c r="BA76" i="19"/>
  <c r="BB76" i="19"/>
  <c r="BC76" i="19"/>
  <c r="BD76" i="19"/>
  <c r="BE76" i="19"/>
  <c r="BF76" i="19"/>
  <c r="BG76" i="19"/>
  <c r="BH76" i="19"/>
  <c r="BI76" i="19"/>
  <c r="BJ76" i="19"/>
  <c r="BK76" i="19"/>
  <c r="BL76" i="19"/>
  <c r="BM76" i="19"/>
  <c r="BN76" i="19"/>
  <c r="BO76" i="19"/>
  <c r="BP76" i="19"/>
  <c r="BQ76" i="19"/>
  <c r="BR76" i="19"/>
  <c r="BS76" i="19"/>
  <c r="BT76" i="19"/>
  <c r="BU76" i="19"/>
  <c r="BV76" i="19"/>
  <c r="BW76" i="19"/>
  <c r="BX76" i="19"/>
  <c r="BY76" i="19"/>
  <c r="BZ76" i="19"/>
  <c r="CA76" i="19"/>
  <c r="CB76" i="19"/>
  <c r="CC76" i="19"/>
  <c r="CD76" i="19"/>
  <c r="CE76" i="19"/>
  <c r="CF76" i="19"/>
  <c r="CG76" i="19"/>
  <c r="CH76" i="19"/>
  <c r="CI76" i="19"/>
  <c r="CJ76" i="19"/>
  <c r="CK76" i="19"/>
  <c r="CL76" i="19"/>
  <c r="CM76" i="19"/>
  <c r="CN76" i="19"/>
  <c r="CO76" i="19"/>
  <c r="CP76" i="19"/>
  <c r="CQ76" i="19"/>
  <c r="CR76" i="19"/>
  <c r="CS76" i="19"/>
  <c r="CT76" i="19"/>
  <c r="CU76" i="19"/>
  <c r="CV76" i="19"/>
  <c r="CW76" i="19"/>
  <c r="CX76" i="19"/>
  <c r="CY76" i="19"/>
  <c r="CZ76" i="19"/>
  <c r="DA76" i="19"/>
  <c r="DB76" i="19"/>
  <c r="DC76" i="19"/>
  <c r="DD76" i="19"/>
  <c r="DE76" i="19"/>
  <c r="DF76" i="19"/>
  <c r="DG76" i="19"/>
  <c r="DH76" i="19"/>
  <c r="DI76" i="19"/>
  <c r="DJ76" i="19"/>
  <c r="DK76" i="19"/>
  <c r="DL76" i="19"/>
  <c r="DM76" i="19"/>
  <c r="DN76" i="19"/>
  <c r="DO76" i="19"/>
  <c r="DP76" i="19"/>
  <c r="DQ76" i="19"/>
  <c r="DR76" i="19"/>
  <c r="DS76" i="19"/>
  <c r="DT76" i="19"/>
  <c r="DU76" i="19"/>
  <c r="DV76" i="19"/>
  <c r="DW76" i="19"/>
  <c r="DX76" i="19"/>
  <c r="DY76" i="19"/>
  <c r="DZ76" i="19"/>
  <c r="EA76" i="19"/>
  <c r="EB76" i="19"/>
  <c r="EC76" i="19"/>
  <c r="ED76" i="19"/>
  <c r="EE76" i="19"/>
  <c r="EF76" i="19"/>
  <c r="EG76" i="19"/>
  <c r="EH76" i="19"/>
  <c r="EI76" i="19"/>
  <c r="EJ76" i="19"/>
  <c r="EK76" i="19"/>
  <c r="EL76" i="19"/>
  <c r="EM76" i="19"/>
  <c r="EN76" i="19"/>
  <c r="EO76" i="19"/>
  <c r="EP76" i="19"/>
  <c r="EQ76" i="19"/>
  <c r="ER76" i="19"/>
  <c r="ES76" i="19"/>
  <c r="ET76" i="19"/>
  <c r="EU76" i="19"/>
  <c r="EV76" i="19"/>
  <c r="EW76" i="19"/>
  <c r="EX76" i="19"/>
  <c r="EY76" i="19"/>
  <c r="EZ76" i="19"/>
  <c r="FA76" i="19"/>
  <c r="FB76" i="19"/>
  <c r="FC76" i="19"/>
  <c r="FD76" i="19"/>
  <c r="FE76" i="19"/>
  <c r="FF76" i="19"/>
  <c r="FG76" i="19"/>
  <c r="FH76" i="19"/>
  <c r="FI76" i="19"/>
  <c r="FJ76" i="19"/>
  <c r="FK76" i="19"/>
  <c r="FL76" i="19"/>
  <c r="FM76" i="19"/>
  <c r="FN76" i="19"/>
  <c r="FO76" i="19"/>
  <c r="FP76" i="19"/>
  <c r="FQ76" i="19"/>
  <c r="FR76" i="19"/>
  <c r="FS76" i="19"/>
  <c r="FT76" i="19"/>
  <c r="FU76" i="19"/>
  <c r="FV76" i="19"/>
  <c r="FW76" i="19"/>
  <c r="FX76" i="19"/>
  <c r="FY76" i="19"/>
  <c r="FZ76" i="19"/>
  <c r="GA76" i="19"/>
  <c r="GB76" i="19"/>
  <c r="GC76" i="19"/>
  <c r="GD76" i="19"/>
  <c r="GE76" i="19"/>
  <c r="GF76" i="19"/>
  <c r="GG76" i="19"/>
  <c r="GH76" i="19"/>
  <c r="GI76" i="19"/>
  <c r="GJ76" i="19"/>
  <c r="GK76" i="19"/>
  <c r="GL76" i="19"/>
  <c r="GM76" i="19"/>
  <c r="GN76" i="19"/>
  <c r="GO76" i="19"/>
  <c r="GP76" i="19"/>
  <c r="GQ76" i="19"/>
  <c r="GR76" i="19"/>
  <c r="GS76" i="19"/>
  <c r="GT76" i="19"/>
  <c r="GU76" i="19"/>
  <c r="GV76" i="19"/>
  <c r="GW76" i="19"/>
  <c r="GX76" i="19"/>
  <c r="GY76" i="19"/>
  <c r="GZ76" i="19"/>
  <c r="HA76" i="19"/>
  <c r="HB76" i="19"/>
  <c r="HC76" i="19"/>
  <c r="HD76" i="19"/>
  <c r="HE76" i="19"/>
  <c r="HF76" i="19"/>
  <c r="HG76" i="19"/>
  <c r="HH76" i="19"/>
  <c r="HI76" i="19"/>
  <c r="HJ76" i="19"/>
  <c r="HK76" i="19"/>
  <c r="HL76" i="19"/>
  <c r="HM76" i="19"/>
  <c r="HN76" i="19"/>
  <c r="HO76" i="19"/>
  <c r="HP76" i="19"/>
  <c r="HQ76" i="19"/>
  <c r="HR76" i="19"/>
  <c r="HS76" i="19"/>
  <c r="HT76" i="19"/>
  <c r="HU76" i="19"/>
  <c r="HV76" i="19"/>
  <c r="HW76" i="19"/>
  <c r="HX76" i="19"/>
  <c r="HY76" i="19"/>
  <c r="HZ76" i="19"/>
  <c r="IA76" i="19"/>
  <c r="IB76" i="19"/>
  <c r="IC76" i="19"/>
  <c r="ID76" i="19"/>
  <c r="IE76" i="19"/>
  <c r="IF76" i="19"/>
  <c r="IG76" i="19"/>
  <c r="IH76" i="19"/>
  <c r="II76" i="19"/>
  <c r="IJ76" i="19"/>
  <c r="IK76" i="19"/>
  <c r="IL76" i="19"/>
  <c r="IM76" i="19"/>
  <c r="IN76" i="19"/>
  <c r="IO76" i="19"/>
  <c r="IP76" i="19"/>
  <c r="IQ76" i="19"/>
  <c r="IR76" i="19"/>
  <c r="IS76" i="19"/>
  <c r="IT76" i="19"/>
  <c r="IU76" i="19"/>
  <c r="IV76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AN77" i="19"/>
  <c r="AO77" i="19"/>
  <c r="AP77" i="19"/>
  <c r="AQ77" i="19"/>
  <c r="AR77" i="19"/>
  <c r="AS77" i="19"/>
  <c r="AT77" i="19"/>
  <c r="AU77" i="19"/>
  <c r="AV77" i="19"/>
  <c r="AW77" i="19"/>
  <c r="AX77" i="19"/>
  <c r="AY77" i="19"/>
  <c r="AZ77" i="19"/>
  <c r="BA77" i="19"/>
  <c r="BB77" i="19"/>
  <c r="BC77" i="19"/>
  <c r="BD77" i="19"/>
  <c r="BE77" i="19"/>
  <c r="BF77" i="19"/>
  <c r="BG77" i="19"/>
  <c r="BH77" i="19"/>
  <c r="BI77" i="19"/>
  <c r="BJ77" i="19"/>
  <c r="BK77" i="19"/>
  <c r="BL77" i="19"/>
  <c r="BM77" i="19"/>
  <c r="BN77" i="19"/>
  <c r="BO77" i="19"/>
  <c r="BP77" i="19"/>
  <c r="BQ77" i="19"/>
  <c r="BR77" i="19"/>
  <c r="BS77" i="19"/>
  <c r="BT77" i="19"/>
  <c r="BU77" i="19"/>
  <c r="BV77" i="19"/>
  <c r="BW77" i="19"/>
  <c r="BX77" i="19"/>
  <c r="BY77" i="19"/>
  <c r="BZ77" i="19"/>
  <c r="CA77" i="19"/>
  <c r="CB77" i="19"/>
  <c r="CC77" i="19"/>
  <c r="CD77" i="19"/>
  <c r="CE77" i="19"/>
  <c r="CF77" i="19"/>
  <c r="CG77" i="19"/>
  <c r="CH77" i="19"/>
  <c r="CI77" i="19"/>
  <c r="CJ77" i="19"/>
  <c r="CK77" i="19"/>
  <c r="CL77" i="19"/>
  <c r="CM77" i="19"/>
  <c r="CN77" i="19"/>
  <c r="CO77" i="19"/>
  <c r="CP77" i="19"/>
  <c r="CQ77" i="19"/>
  <c r="CR77" i="19"/>
  <c r="CS77" i="19"/>
  <c r="CT77" i="19"/>
  <c r="CU77" i="19"/>
  <c r="CV77" i="19"/>
  <c r="CW77" i="19"/>
  <c r="CX77" i="19"/>
  <c r="CY77" i="19"/>
  <c r="CZ77" i="19"/>
  <c r="DA77" i="19"/>
  <c r="DB77" i="19"/>
  <c r="DC77" i="19"/>
  <c r="DD77" i="19"/>
  <c r="DE77" i="19"/>
  <c r="DF77" i="19"/>
  <c r="DG77" i="19"/>
  <c r="DH77" i="19"/>
  <c r="DI77" i="19"/>
  <c r="DJ77" i="19"/>
  <c r="DK77" i="19"/>
  <c r="DL77" i="19"/>
  <c r="DM77" i="19"/>
  <c r="DN77" i="19"/>
  <c r="DO77" i="19"/>
  <c r="DP77" i="19"/>
  <c r="DQ77" i="19"/>
  <c r="DR77" i="19"/>
  <c r="DS77" i="19"/>
  <c r="DT77" i="19"/>
  <c r="DU77" i="19"/>
  <c r="DV77" i="19"/>
  <c r="DW77" i="19"/>
  <c r="DX77" i="19"/>
  <c r="DY77" i="19"/>
  <c r="DZ77" i="19"/>
  <c r="EA77" i="19"/>
  <c r="EB77" i="19"/>
  <c r="EC77" i="19"/>
  <c r="ED77" i="19"/>
  <c r="EE77" i="19"/>
  <c r="EF77" i="19"/>
  <c r="EG77" i="19"/>
  <c r="EH77" i="19"/>
  <c r="EI77" i="19"/>
  <c r="EJ77" i="19"/>
  <c r="EK77" i="19"/>
  <c r="EL77" i="19"/>
  <c r="EM77" i="19"/>
  <c r="EN77" i="19"/>
  <c r="EO77" i="19"/>
  <c r="EP77" i="19"/>
  <c r="EQ77" i="19"/>
  <c r="ER77" i="19"/>
  <c r="ES77" i="19"/>
  <c r="ET77" i="19"/>
  <c r="EU77" i="19"/>
  <c r="EV77" i="19"/>
  <c r="EW77" i="19"/>
  <c r="EX77" i="19"/>
  <c r="EY77" i="19"/>
  <c r="EZ77" i="19"/>
  <c r="FA77" i="19"/>
  <c r="FB77" i="19"/>
  <c r="FC77" i="19"/>
  <c r="FD77" i="19"/>
  <c r="FE77" i="19"/>
  <c r="FF77" i="19"/>
  <c r="FG77" i="19"/>
  <c r="FH77" i="19"/>
  <c r="FI77" i="19"/>
  <c r="FJ77" i="19"/>
  <c r="FK77" i="19"/>
  <c r="FL77" i="19"/>
  <c r="FM77" i="19"/>
  <c r="FN77" i="19"/>
  <c r="FO77" i="19"/>
  <c r="FP77" i="19"/>
  <c r="FQ77" i="19"/>
  <c r="FR77" i="19"/>
  <c r="FS77" i="19"/>
  <c r="FT77" i="19"/>
  <c r="FU77" i="19"/>
  <c r="FV77" i="19"/>
  <c r="FW77" i="19"/>
  <c r="FX77" i="19"/>
  <c r="FY77" i="19"/>
  <c r="FZ77" i="19"/>
  <c r="GA77" i="19"/>
  <c r="GB77" i="19"/>
  <c r="GC77" i="19"/>
  <c r="GD77" i="19"/>
  <c r="GE77" i="19"/>
  <c r="GF77" i="19"/>
  <c r="GG77" i="19"/>
  <c r="GH77" i="19"/>
  <c r="GI77" i="19"/>
  <c r="GJ77" i="19"/>
  <c r="GK77" i="19"/>
  <c r="GL77" i="19"/>
  <c r="GM77" i="19"/>
  <c r="GN77" i="19"/>
  <c r="GO77" i="19"/>
  <c r="GP77" i="19"/>
  <c r="GQ77" i="19"/>
  <c r="GR77" i="19"/>
  <c r="GS77" i="19"/>
  <c r="GT77" i="19"/>
  <c r="GU77" i="19"/>
  <c r="GV77" i="19"/>
  <c r="GW77" i="19"/>
  <c r="GX77" i="19"/>
  <c r="GY77" i="19"/>
  <c r="GZ77" i="19"/>
  <c r="HA77" i="19"/>
  <c r="HB77" i="19"/>
  <c r="HC77" i="19"/>
  <c r="HD77" i="19"/>
  <c r="HE77" i="19"/>
  <c r="HF77" i="19"/>
  <c r="HG77" i="19"/>
  <c r="HH77" i="19"/>
  <c r="HI77" i="19"/>
  <c r="HJ77" i="19"/>
  <c r="HK77" i="19"/>
  <c r="HL77" i="19"/>
  <c r="HM77" i="19"/>
  <c r="HN77" i="19"/>
  <c r="HO77" i="19"/>
  <c r="HP77" i="19"/>
  <c r="HQ77" i="19"/>
  <c r="HR77" i="19"/>
  <c r="HS77" i="19"/>
  <c r="HT77" i="19"/>
  <c r="HU77" i="19"/>
  <c r="HV77" i="19"/>
  <c r="HW77" i="19"/>
  <c r="HX77" i="19"/>
  <c r="HY77" i="19"/>
  <c r="HZ77" i="19"/>
  <c r="IA77" i="19"/>
  <c r="IB77" i="19"/>
  <c r="IC77" i="19"/>
  <c r="ID77" i="19"/>
  <c r="IE77" i="19"/>
  <c r="IF77" i="19"/>
  <c r="IG77" i="19"/>
  <c r="IH77" i="19"/>
  <c r="II77" i="19"/>
  <c r="IJ77" i="19"/>
  <c r="IK77" i="19"/>
  <c r="IL77" i="19"/>
  <c r="IM77" i="19"/>
  <c r="IN77" i="19"/>
  <c r="IO77" i="19"/>
  <c r="IP77" i="19"/>
  <c r="IQ77" i="19"/>
  <c r="IR77" i="19"/>
  <c r="IS77" i="19"/>
  <c r="IT77" i="19"/>
  <c r="IU77" i="19"/>
  <c r="IV77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AN78" i="19"/>
  <c r="AO78" i="19"/>
  <c r="AP78" i="19"/>
  <c r="AQ78" i="19"/>
  <c r="AR78" i="19"/>
  <c r="AS78" i="19"/>
  <c r="AT78" i="19"/>
  <c r="AU78" i="19"/>
  <c r="AV78" i="19"/>
  <c r="AW78" i="19"/>
  <c r="AX78" i="19"/>
  <c r="AY78" i="19"/>
  <c r="AZ78" i="19"/>
  <c r="BA78" i="19"/>
  <c r="BB78" i="19"/>
  <c r="BC78" i="19"/>
  <c r="BD78" i="19"/>
  <c r="BE78" i="19"/>
  <c r="BF78" i="19"/>
  <c r="BG78" i="19"/>
  <c r="BH78" i="19"/>
  <c r="BI78" i="19"/>
  <c r="BJ78" i="19"/>
  <c r="BK78" i="19"/>
  <c r="BL78" i="19"/>
  <c r="BM78" i="19"/>
  <c r="BN78" i="19"/>
  <c r="BO78" i="19"/>
  <c r="BP78" i="19"/>
  <c r="BQ78" i="19"/>
  <c r="BR78" i="19"/>
  <c r="BS78" i="19"/>
  <c r="BT78" i="19"/>
  <c r="BU78" i="19"/>
  <c r="BV78" i="19"/>
  <c r="BW78" i="19"/>
  <c r="BX78" i="19"/>
  <c r="BY78" i="19"/>
  <c r="BZ78" i="19"/>
  <c r="CA78" i="19"/>
  <c r="CB78" i="19"/>
  <c r="CC78" i="19"/>
  <c r="CD78" i="19"/>
  <c r="CE78" i="19"/>
  <c r="CF78" i="19"/>
  <c r="CG78" i="19"/>
  <c r="CH78" i="19"/>
  <c r="CI78" i="19"/>
  <c r="CJ78" i="19"/>
  <c r="CK78" i="19"/>
  <c r="CL78" i="19"/>
  <c r="CM78" i="19"/>
  <c r="CN78" i="19"/>
  <c r="CO78" i="19"/>
  <c r="CP78" i="19"/>
  <c r="CQ78" i="19"/>
  <c r="CR78" i="19"/>
  <c r="CS78" i="19"/>
  <c r="CT78" i="19"/>
  <c r="CU78" i="19"/>
  <c r="CV78" i="19"/>
  <c r="CW78" i="19"/>
  <c r="CX78" i="19"/>
  <c r="CY78" i="19"/>
  <c r="CZ78" i="19"/>
  <c r="DA78" i="19"/>
  <c r="DB78" i="19"/>
  <c r="DC78" i="19"/>
  <c r="DD78" i="19"/>
  <c r="DE78" i="19"/>
  <c r="DF78" i="19"/>
  <c r="DG78" i="19"/>
  <c r="DH78" i="19"/>
  <c r="DI78" i="19"/>
  <c r="DJ78" i="19"/>
  <c r="DK78" i="19"/>
  <c r="DL78" i="19"/>
  <c r="DM78" i="19"/>
  <c r="DN78" i="19"/>
  <c r="DO78" i="19"/>
  <c r="DP78" i="19"/>
  <c r="DQ78" i="19"/>
  <c r="DR78" i="19"/>
  <c r="DS78" i="19"/>
  <c r="DT78" i="19"/>
  <c r="DU78" i="19"/>
  <c r="DV78" i="19"/>
  <c r="DW78" i="19"/>
  <c r="DX78" i="19"/>
  <c r="DY78" i="19"/>
  <c r="DZ78" i="19"/>
  <c r="EA78" i="19"/>
  <c r="EB78" i="19"/>
  <c r="EC78" i="19"/>
  <c r="ED78" i="19"/>
  <c r="EE78" i="19"/>
  <c r="EF78" i="19"/>
  <c r="EG78" i="19"/>
  <c r="EH78" i="19"/>
  <c r="EI78" i="19"/>
  <c r="EJ78" i="19"/>
  <c r="EK78" i="19"/>
  <c r="EL78" i="19"/>
  <c r="EM78" i="19"/>
  <c r="EN78" i="19"/>
  <c r="EO78" i="19"/>
  <c r="EP78" i="19"/>
  <c r="EQ78" i="19"/>
  <c r="ER78" i="19"/>
  <c r="ES78" i="19"/>
  <c r="ET78" i="19"/>
  <c r="EU78" i="19"/>
  <c r="EV78" i="19"/>
  <c r="EW78" i="19"/>
  <c r="EX78" i="19"/>
  <c r="EY78" i="19"/>
  <c r="EZ78" i="19"/>
  <c r="FA78" i="19"/>
  <c r="FB78" i="19"/>
  <c r="FC78" i="19"/>
  <c r="FD78" i="19"/>
  <c r="FE78" i="19"/>
  <c r="FF78" i="19"/>
  <c r="FG78" i="19"/>
  <c r="FH78" i="19"/>
  <c r="FI78" i="19"/>
  <c r="FJ78" i="19"/>
  <c r="FK78" i="19"/>
  <c r="FL78" i="19"/>
  <c r="FM78" i="19"/>
  <c r="FN78" i="19"/>
  <c r="FO78" i="19"/>
  <c r="FP78" i="19"/>
  <c r="FQ78" i="19"/>
  <c r="FR78" i="19"/>
  <c r="FS78" i="19"/>
  <c r="FT78" i="19"/>
  <c r="FU78" i="19"/>
  <c r="FV78" i="19"/>
  <c r="FW78" i="19"/>
  <c r="FX78" i="19"/>
  <c r="FY78" i="19"/>
  <c r="FZ78" i="19"/>
  <c r="GA78" i="19"/>
  <c r="GB78" i="19"/>
  <c r="GC78" i="19"/>
  <c r="GD78" i="19"/>
  <c r="GE78" i="19"/>
  <c r="GF78" i="19"/>
  <c r="GG78" i="19"/>
  <c r="GH78" i="19"/>
  <c r="GI78" i="19"/>
  <c r="GJ78" i="19"/>
  <c r="GK78" i="19"/>
  <c r="GL78" i="19"/>
  <c r="GM78" i="19"/>
  <c r="GN78" i="19"/>
  <c r="GO78" i="19"/>
  <c r="GP78" i="19"/>
  <c r="GQ78" i="19"/>
  <c r="GR78" i="19"/>
  <c r="GS78" i="19"/>
  <c r="GT78" i="19"/>
  <c r="GU78" i="19"/>
  <c r="GV78" i="19"/>
  <c r="GW78" i="19"/>
  <c r="GX78" i="19"/>
  <c r="GY78" i="19"/>
  <c r="GZ78" i="19"/>
  <c r="HA78" i="19"/>
  <c r="HB78" i="19"/>
  <c r="HC78" i="19"/>
  <c r="HD78" i="19"/>
  <c r="HE78" i="19"/>
  <c r="HF78" i="19"/>
  <c r="HG78" i="19"/>
  <c r="HH78" i="19"/>
  <c r="HI78" i="19"/>
  <c r="HJ78" i="19"/>
  <c r="HK78" i="19"/>
  <c r="HL78" i="19"/>
  <c r="HM78" i="19"/>
  <c r="HN78" i="19"/>
  <c r="HO78" i="19"/>
  <c r="HP78" i="19"/>
  <c r="HQ78" i="19"/>
  <c r="HR78" i="19"/>
  <c r="HS78" i="19"/>
  <c r="HT78" i="19"/>
  <c r="HU78" i="19"/>
  <c r="HV78" i="19"/>
  <c r="HW78" i="19"/>
  <c r="HX78" i="19"/>
  <c r="HY78" i="19"/>
  <c r="HZ78" i="19"/>
  <c r="IA78" i="19"/>
  <c r="IB78" i="19"/>
  <c r="IC78" i="19"/>
  <c r="ID78" i="19"/>
  <c r="IE78" i="19"/>
  <c r="IF78" i="19"/>
  <c r="IG78" i="19"/>
  <c r="IH78" i="19"/>
  <c r="II78" i="19"/>
  <c r="IJ78" i="19"/>
  <c r="IK78" i="19"/>
  <c r="IL78" i="19"/>
  <c r="IM78" i="19"/>
  <c r="IN78" i="19"/>
  <c r="IO78" i="19"/>
  <c r="IP78" i="19"/>
  <c r="IQ78" i="19"/>
  <c r="IR78" i="19"/>
  <c r="IS78" i="19"/>
  <c r="IT78" i="19"/>
  <c r="IU78" i="19"/>
  <c r="IV78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AN79" i="19"/>
  <c r="AO79" i="19"/>
  <c r="AP79" i="19"/>
  <c r="AQ79" i="19"/>
  <c r="AR79" i="19"/>
  <c r="AS79" i="19"/>
  <c r="AT79" i="19"/>
  <c r="AU79" i="19"/>
  <c r="AV79" i="19"/>
  <c r="AW79" i="19"/>
  <c r="AX79" i="19"/>
  <c r="AY79" i="19"/>
  <c r="AZ79" i="19"/>
  <c r="BA79" i="19"/>
  <c r="BB79" i="19"/>
  <c r="BC79" i="19"/>
  <c r="BD79" i="19"/>
  <c r="BE79" i="19"/>
  <c r="BF79" i="19"/>
  <c r="BG79" i="19"/>
  <c r="BH79" i="19"/>
  <c r="BI79" i="19"/>
  <c r="BJ79" i="19"/>
  <c r="BK79" i="19"/>
  <c r="BL79" i="19"/>
  <c r="BM79" i="19"/>
  <c r="BN79" i="19"/>
  <c r="BO79" i="19"/>
  <c r="BP79" i="19"/>
  <c r="BQ79" i="19"/>
  <c r="BR79" i="19"/>
  <c r="BS79" i="19"/>
  <c r="BT79" i="19"/>
  <c r="BU79" i="19"/>
  <c r="BV79" i="19"/>
  <c r="BW79" i="19"/>
  <c r="BX79" i="19"/>
  <c r="BY79" i="19"/>
  <c r="BZ79" i="19"/>
  <c r="CA79" i="19"/>
  <c r="CB79" i="19"/>
  <c r="CC79" i="19"/>
  <c r="CD79" i="19"/>
  <c r="CE79" i="19"/>
  <c r="CF79" i="19"/>
  <c r="CG79" i="19"/>
  <c r="CH79" i="19"/>
  <c r="CI79" i="19"/>
  <c r="CJ79" i="19"/>
  <c r="CK79" i="19"/>
  <c r="CL79" i="19"/>
  <c r="CM79" i="19"/>
  <c r="CN79" i="19"/>
  <c r="CO79" i="19"/>
  <c r="CP79" i="19"/>
  <c r="CQ79" i="19"/>
  <c r="CR79" i="19"/>
  <c r="CS79" i="19"/>
  <c r="CT79" i="19"/>
  <c r="CU79" i="19"/>
  <c r="CV79" i="19"/>
  <c r="CW79" i="19"/>
  <c r="CX79" i="19"/>
  <c r="CY79" i="19"/>
  <c r="CZ79" i="19"/>
  <c r="DA79" i="19"/>
  <c r="DB79" i="19"/>
  <c r="DC79" i="19"/>
  <c r="DD79" i="19"/>
  <c r="DE79" i="19"/>
  <c r="DF79" i="19"/>
  <c r="DG79" i="19"/>
  <c r="DH79" i="19"/>
  <c r="DI79" i="19"/>
  <c r="DJ79" i="19"/>
  <c r="DK79" i="19"/>
  <c r="DL79" i="19"/>
  <c r="DM79" i="19"/>
  <c r="DN79" i="19"/>
  <c r="DO79" i="19"/>
  <c r="DP79" i="19"/>
  <c r="DQ79" i="19"/>
  <c r="DR79" i="19"/>
  <c r="DS79" i="19"/>
  <c r="DT79" i="19"/>
  <c r="DU79" i="19"/>
  <c r="DV79" i="19"/>
  <c r="DW79" i="19"/>
  <c r="DX79" i="19"/>
  <c r="DY79" i="19"/>
  <c r="DZ79" i="19"/>
  <c r="EA79" i="19"/>
  <c r="EB79" i="19"/>
  <c r="EC79" i="19"/>
  <c r="ED79" i="19"/>
  <c r="EE79" i="19"/>
  <c r="EF79" i="19"/>
  <c r="EG79" i="19"/>
  <c r="EH79" i="19"/>
  <c r="EI79" i="19"/>
  <c r="EJ79" i="19"/>
  <c r="EK79" i="19"/>
  <c r="EL79" i="19"/>
  <c r="EM79" i="19"/>
  <c r="EN79" i="19"/>
  <c r="EO79" i="19"/>
  <c r="EP79" i="19"/>
  <c r="EQ79" i="19"/>
  <c r="ER79" i="19"/>
  <c r="ES79" i="19"/>
  <c r="ET79" i="19"/>
  <c r="EU79" i="19"/>
  <c r="EV79" i="19"/>
  <c r="EW79" i="19"/>
  <c r="EX79" i="19"/>
  <c r="EY79" i="19"/>
  <c r="EZ79" i="19"/>
  <c r="FA79" i="19"/>
  <c r="FB79" i="19"/>
  <c r="FC79" i="19"/>
  <c r="FD79" i="19"/>
  <c r="FE79" i="19"/>
  <c r="FF79" i="19"/>
  <c r="FG79" i="19"/>
  <c r="FH79" i="19"/>
  <c r="FI79" i="19"/>
  <c r="FJ79" i="19"/>
  <c r="FK79" i="19"/>
  <c r="FL79" i="19"/>
  <c r="FM79" i="19"/>
  <c r="FN79" i="19"/>
  <c r="FO79" i="19"/>
  <c r="FP79" i="19"/>
  <c r="FQ79" i="19"/>
  <c r="FR79" i="19"/>
  <c r="FS79" i="19"/>
  <c r="FT79" i="19"/>
  <c r="FU79" i="19"/>
  <c r="FV79" i="19"/>
  <c r="FW79" i="19"/>
  <c r="FX79" i="19"/>
  <c r="FY79" i="19"/>
  <c r="FZ79" i="19"/>
  <c r="GA79" i="19"/>
  <c r="GB79" i="19"/>
  <c r="GC79" i="19"/>
  <c r="GD79" i="19"/>
  <c r="GE79" i="19"/>
  <c r="GF79" i="19"/>
  <c r="GG79" i="19"/>
  <c r="GH79" i="19"/>
  <c r="GI79" i="19"/>
  <c r="GJ79" i="19"/>
  <c r="GK79" i="19"/>
  <c r="GL79" i="19"/>
  <c r="GM79" i="19"/>
  <c r="GN79" i="19"/>
  <c r="GO79" i="19"/>
  <c r="GP79" i="19"/>
  <c r="GQ79" i="19"/>
  <c r="GR79" i="19"/>
  <c r="GS79" i="19"/>
  <c r="GT79" i="19"/>
  <c r="GU79" i="19"/>
  <c r="GV79" i="19"/>
  <c r="GW79" i="19"/>
  <c r="GX79" i="19"/>
  <c r="GY79" i="19"/>
  <c r="GZ79" i="19"/>
  <c r="HA79" i="19"/>
  <c r="HB79" i="19"/>
  <c r="HC79" i="19"/>
  <c r="HD79" i="19"/>
  <c r="HE79" i="19"/>
  <c r="HF79" i="19"/>
  <c r="HG79" i="19"/>
  <c r="HH79" i="19"/>
  <c r="HI79" i="19"/>
  <c r="HJ79" i="19"/>
  <c r="HK79" i="19"/>
  <c r="HL79" i="19"/>
  <c r="HM79" i="19"/>
  <c r="HN79" i="19"/>
  <c r="HO79" i="19"/>
  <c r="HP79" i="19"/>
  <c r="HQ79" i="19"/>
  <c r="HR79" i="19"/>
  <c r="HS79" i="19"/>
  <c r="HT79" i="19"/>
  <c r="HU79" i="19"/>
  <c r="HV79" i="19"/>
  <c r="HW79" i="19"/>
  <c r="HX79" i="19"/>
  <c r="HY79" i="19"/>
  <c r="HZ79" i="19"/>
  <c r="IA79" i="19"/>
  <c r="IB79" i="19"/>
  <c r="IC79" i="19"/>
  <c r="ID79" i="19"/>
  <c r="IE79" i="19"/>
  <c r="IF79" i="19"/>
  <c r="IG79" i="19"/>
  <c r="IH79" i="19"/>
  <c r="II79" i="19"/>
  <c r="IJ79" i="19"/>
  <c r="IK79" i="19"/>
  <c r="IL79" i="19"/>
  <c r="IM79" i="19"/>
  <c r="IN79" i="19"/>
  <c r="IO79" i="19"/>
  <c r="IP79" i="19"/>
  <c r="IQ79" i="19"/>
  <c r="IR79" i="19"/>
  <c r="IS79" i="19"/>
  <c r="IT79" i="19"/>
  <c r="IU79" i="19"/>
  <c r="IV79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AN80" i="19"/>
  <c r="AO80" i="19"/>
  <c r="AP80" i="19"/>
  <c r="AQ80" i="19"/>
  <c r="AR80" i="19"/>
  <c r="AS80" i="19"/>
  <c r="AT80" i="19"/>
  <c r="AU80" i="19"/>
  <c r="AV80" i="19"/>
  <c r="AW80" i="19"/>
  <c r="AX80" i="19"/>
  <c r="AY80" i="19"/>
  <c r="AZ80" i="19"/>
  <c r="BA80" i="19"/>
  <c r="BB80" i="19"/>
  <c r="BC80" i="19"/>
  <c r="BD80" i="19"/>
  <c r="BE80" i="19"/>
  <c r="BF80" i="19"/>
  <c r="BG80" i="19"/>
  <c r="BH80" i="19"/>
  <c r="BI80" i="19"/>
  <c r="BJ80" i="19"/>
  <c r="BK80" i="19"/>
  <c r="BL80" i="19"/>
  <c r="BM80" i="19"/>
  <c r="BN80" i="19"/>
  <c r="BO80" i="19"/>
  <c r="BP80" i="19"/>
  <c r="BQ80" i="19"/>
  <c r="BR80" i="19"/>
  <c r="BS80" i="19"/>
  <c r="BT80" i="19"/>
  <c r="BU80" i="19"/>
  <c r="BV80" i="19"/>
  <c r="BW80" i="19"/>
  <c r="BX80" i="19"/>
  <c r="BY80" i="19"/>
  <c r="BZ80" i="19"/>
  <c r="CA80" i="19"/>
  <c r="CB80" i="19"/>
  <c r="CC80" i="19"/>
  <c r="CD80" i="19"/>
  <c r="CE80" i="19"/>
  <c r="CF80" i="19"/>
  <c r="CG80" i="19"/>
  <c r="CH80" i="19"/>
  <c r="CI80" i="19"/>
  <c r="CJ80" i="19"/>
  <c r="CK80" i="19"/>
  <c r="CL80" i="19"/>
  <c r="CM80" i="19"/>
  <c r="CN80" i="19"/>
  <c r="CO80" i="19"/>
  <c r="CP80" i="19"/>
  <c r="CQ80" i="19"/>
  <c r="CR80" i="19"/>
  <c r="CS80" i="19"/>
  <c r="CT80" i="19"/>
  <c r="CU80" i="19"/>
  <c r="CV80" i="19"/>
  <c r="CW80" i="19"/>
  <c r="CX80" i="19"/>
  <c r="CY80" i="19"/>
  <c r="CZ80" i="19"/>
  <c r="DA80" i="19"/>
  <c r="DB80" i="19"/>
  <c r="DC80" i="19"/>
  <c r="DD80" i="19"/>
  <c r="DE80" i="19"/>
  <c r="DF80" i="19"/>
  <c r="DG80" i="19"/>
  <c r="DH80" i="19"/>
  <c r="DI80" i="19"/>
  <c r="DJ80" i="19"/>
  <c r="DK80" i="19"/>
  <c r="DL80" i="19"/>
  <c r="DM80" i="19"/>
  <c r="DN80" i="19"/>
  <c r="DO80" i="19"/>
  <c r="DP80" i="19"/>
  <c r="DQ80" i="19"/>
  <c r="DR80" i="19"/>
  <c r="DS80" i="19"/>
  <c r="DT80" i="19"/>
  <c r="DU80" i="19"/>
  <c r="DV80" i="19"/>
  <c r="DW80" i="19"/>
  <c r="DX80" i="19"/>
  <c r="DY80" i="19"/>
  <c r="DZ80" i="19"/>
  <c r="EA80" i="19"/>
  <c r="EB80" i="19"/>
  <c r="EC80" i="19"/>
  <c r="ED80" i="19"/>
  <c r="EE80" i="19"/>
  <c r="EF80" i="19"/>
  <c r="EG80" i="19"/>
  <c r="EH80" i="19"/>
  <c r="EI80" i="19"/>
  <c r="EJ80" i="19"/>
  <c r="EK80" i="19"/>
  <c r="EL80" i="19"/>
  <c r="EM80" i="19"/>
  <c r="EN80" i="19"/>
  <c r="EO80" i="19"/>
  <c r="EP80" i="19"/>
  <c r="EQ80" i="19"/>
  <c r="ER80" i="19"/>
  <c r="ES80" i="19"/>
  <c r="ET80" i="19"/>
  <c r="EU80" i="19"/>
  <c r="EV80" i="19"/>
  <c r="EW80" i="19"/>
  <c r="EX80" i="19"/>
  <c r="EY80" i="19"/>
  <c r="EZ80" i="19"/>
  <c r="FA80" i="19"/>
  <c r="FB80" i="19"/>
  <c r="FC80" i="19"/>
  <c r="FD80" i="19"/>
  <c r="FE80" i="19"/>
  <c r="FF80" i="19"/>
  <c r="FG80" i="19"/>
  <c r="FH80" i="19"/>
  <c r="FI80" i="19"/>
  <c r="FJ80" i="19"/>
  <c r="FK80" i="19"/>
  <c r="FL80" i="19"/>
  <c r="FM80" i="19"/>
  <c r="FN80" i="19"/>
  <c r="FO80" i="19"/>
  <c r="FP80" i="19"/>
  <c r="FQ80" i="19"/>
  <c r="FR80" i="19"/>
  <c r="FS80" i="19"/>
  <c r="FT80" i="19"/>
  <c r="FU80" i="19"/>
  <c r="FV80" i="19"/>
  <c r="FW80" i="19"/>
  <c r="FX80" i="19"/>
  <c r="FY80" i="19"/>
  <c r="FZ80" i="19"/>
  <c r="GA80" i="19"/>
  <c r="GB80" i="19"/>
  <c r="GC80" i="19"/>
  <c r="GD80" i="19"/>
  <c r="GE80" i="19"/>
  <c r="GF80" i="19"/>
  <c r="GG80" i="19"/>
  <c r="GH80" i="19"/>
  <c r="GI80" i="19"/>
  <c r="GJ80" i="19"/>
  <c r="GK80" i="19"/>
  <c r="GL80" i="19"/>
  <c r="GM80" i="19"/>
  <c r="GN80" i="19"/>
  <c r="GO80" i="19"/>
  <c r="GP80" i="19"/>
  <c r="GQ80" i="19"/>
  <c r="GR80" i="19"/>
  <c r="GS80" i="19"/>
  <c r="GT80" i="19"/>
  <c r="GU80" i="19"/>
  <c r="GV80" i="19"/>
  <c r="GW80" i="19"/>
  <c r="GX80" i="19"/>
  <c r="GY80" i="19"/>
  <c r="GZ80" i="19"/>
  <c r="HA80" i="19"/>
  <c r="HB80" i="19"/>
  <c r="HC80" i="19"/>
  <c r="HD80" i="19"/>
  <c r="HE80" i="19"/>
  <c r="HF80" i="19"/>
  <c r="HG80" i="19"/>
  <c r="HH80" i="19"/>
  <c r="HI80" i="19"/>
  <c r="HJ80" i="19"/>
  <c r="HK80" i="19"/>
  <c r="HL80" i="19"/>
  <c r="HM80" i="19"/>
  <c r="HN80" i="19"/>
  <c r="HO80" i="19"/>
  <c r="HP80" i="19"/>
  <c r="HQ80" i="19"/>
  <c r="HR80" i="19"/>
  <c r="HS80" i="19"/>
  <c r="HT80" i="19"/>
  <c r="HU80" i="19"/>
  <c r="HV80" i="19"/>
  <c r="HW80" i="19"/>
  <c r="HX80" i="19"/>
  <c r="HY80" i="19"/>
  <c r="HZ80" i="19"/>
  <c r="IA80" i="19"/>
  <c r="IB80" i="19"/>
  <c r="IC80" i="19"/>
  <c r="ID80" i="19"/>
  <c r="IE80" i="19"/>
  <c r="IF80" i="19"/>
  <c r="IG80" i="19"/>
  <c r="IH80" i="19"/>
  <c r="II80" i="19"/>
  <c r="IJ80" i="19"/>
  <c r="IK80" i="19"/>
  <c r="IL80" i="19"/>
  <c r="IM80" i="19"/>
  <c r="IN80" i="19"/>
  <c r="IO80" i="19"/>
  <c r="IP80" i="19"/>
  <c r="IQ80" i="19"/>
  <c r="IR80" i="19"/>
  <c r="IS80" i="19"/>
  <c r="IT80" i="19"/>
  <c r="IU80" i="19"/>
  <c r="IV80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AN81" i="19"/>
  <c r="AO81" i="19"/>
  <c r="AP81" i="19"/>
  <c r="AQ81" i="19"/>
  <c r="AR81" i="19"/>
  <c r="AS81" i="19"/>
  <c r="AT81" i="19"/>
  <c r="AU81" i="19"/>
  <c r="AV81" i="19"/>
  <c r="AW81" i="19"/>
  <c r="AX81" i="19"/>
  <c r="AY81" i="19"/>
  <c r="AZ81" i="19"/>
  <c r="BA81" i="19"/>
  <c r="BB81" i="19"/>
  <c r="BC81" i="19"/>
  <c r="BD81" i="19"/>
  <c r="BE81" i="19"/>
  <c r="BF81" i="19"/>
  <c r="BG81" i="19"/>
  <c r="BH81" i="19"/>
  <c r="BI81" i="19"/>
  <c r="BJ81" i="19"/>
  <c r="BK81" i="19"/>
  <c r="BL81" i="19"/>
  <c r="BM81" i="19"/>
  <c r="BN81" i="19"/>
  <c r="BO81" i="19"/>
  <c r="BP81" i="19"/>
  <c r="BQ81" i="19"/>
  <c r="BR81" i="19"/>
  <c r="BS81" i="19"/>
  <c r="BT81" i="19"/>
  <c r="BU81" i="19"/>
  <c r="BV81" i="19"/>
  <c r="BW81" i="19"/>
  <c r="BX81" i="19"/>
  <c r="BY81" i="19"/>
  <c r="BZ81" i="19"/>
  <c r="CA81" i="19"/>
  <c r="CB81" i="19"/>
  <c r="CC81" i="19"/>
  <c r="CD81" i="19"/>
  <c r="CE81" i="19"/>
  <c r="CF81" i="19"/>
  <c r="CG81" i="19"/>
  <c r="CH81" i="19"/>
  <c r="CI81" i="19"/>
  <c r="CJ81" i="19"/>
  <c r="CK81" i="19"/>
  <c r="CL81" i="19"/>
  <c r="CM81" i="19"/>
  <c r="CN81" i="19"/>
  <c r="CO81" i="19"/>
  <c r="CP81" i="19"/>
  <c r="CQ81" i="19"/>
  <c r="CR81" i="19"/>
  <c r="CS81" i="19"/>
  <c r="CT81" i="19"/>
  <c r="CU81" i="19"/>
  <c r="CV81" i="19"/>
  <c r="CW81" i="19"/>
  <c r="CX81" i="19"/>
  <c r="CY81" i="19"/>
  <c r="CZ81" i="19"/>
  <c r="DA81" i="19"/>
  <c r="DB81" i="19"/>
  <c r="DC81" i="19"/>
  <c r="DD81" i="19"/>
  <c r="DE81" i="19"/>
  <c r="DF81" i="19"/>
  <c r="DG81" i="19"/>
  <c r="DH81" i="19"/>
  <c r="DI81" i="19"/>
  <c r="DJ81" i="19"/>
  <c r="DK81" i="19"/>
  <c r="DL81" i="19"/>
  <c r="DM81" i="19"/>
  <c r="DN81" i="19"/>
  <c r="DO81" i="19"/>
  <c r="DP81" i="19"/>
  <c r="DQ81" i="19"/>
  <c r="DR81" i="19"/>
  <c r="DS81" i="19"/>
  <c r="DT81" i="19"/>
  <c r="DU81" i="19"/>
  <c r="DV81" i="19"/>
  <c r="DW81" i="19"/>
  <c r="DX81" i="19"/>
  <c r="DY81" i="19"/>
  <c r="DZ81" i="19"/>
  <c r="EA81" i="19"/>
  <c r="EB81" i="19"/>
  <c r="EC81" i="19"/>
  <c r="ED81" i="19"/>
  <c r="EE81" i="19"/>
  <c r="EF81" i="19"/>
  <c r="EG81" i="19"/>
  <c r="EH81" i="19"/>
  <c r="EI81" i="19"/>
  <c r="EJ81" i="19"/>
  <c r="EK81" i="19"/>
  <c r="EL81" i="19"/>
  <c r="EM81" i="19"/>
  <c r="EN81" i="19"/>
  <c r="EO81" i="19"/>
  <c r="EP81" i="19"/>
  <c r="EQ81" i="19"/>
  <c r="ER81" i="19"/>
  <c r="ES81" i="19"/>
  <c r="ET81" i="19"/>
  <c r="EU81" i="19"/>
  <c r="EV81" i="19"/>
  <c r="EW81" i="19"/>
  <c r="EX81" i="19"/>
  <c r="EY81" i="19"/>
  <c r="EZ81" i="19"/>
  <c r="FA81" i="19"/>
  <c r="FB81" i="19"/>
  <c r="FC81" i="19"/>
  <c r="FD81" i="19"/>
  <c r="FE81" i="19"/>
  <c r="FF81" i="19"/>
  <c r="FG81" i="19"/>
  <c r="FH81" i="19"/>
  <c r="FI81" i="19"/>
  <c r="FJ81" i="19"/>
  <c r="FK81" i="19"/>
  <c r="FL81" i="19"/>
  <c r="FM81" i="19"/>
  <c r="FN81" i="19"/>
  <c r="FO81" i="19"/>
  <c r="FP81" i="19"/>
  <c r="FQ81" i="19"/>
  <c r="FR81" i="19"/>
  <c r="FS81" i="19"/>
  <c r="FT81" i="19"/>
  <c r="FU81" i="19"/>
  <c r="FV81" i="19"/>
  <c r="FW81" i="19"/>
  <c r="FX81" i="19"/>
  <c r="FY81" i="19"/>
  <c r="FZ81" i="19"/>
  <c r="GA81" i="19"/>
  <c r="GB81" i="19"/>
  <c r="GC81" i="19"/>
  <c r="GD81" i="19"/>
  <c r="GE81" i="19"/>
  <c r="GF81" i="19"/>
  <c r="GG81" i="19"/>
  <c r="GH81" i="19"/>
  <c r="GI81" i="19"/>
  <c r="GJ81" i="19"/>
  <c r="GK81" i="19"/>
  <c r="GL81" i="19"/>
  <c r="GM81" i="19"/>
  <c r="GN81" i="19"/>
  <c r="GO81" i="19"/>
  <c r="GP81" i="19"/>
  <c r="GQ81" i="19"/>
  <c r="GR81" i="19"/>
  <c r="GS81" i="19"/>
  <c r="GT81" i="19"/>
  <c r="GU81" i="19"/>
  <c r="GV81" i="19"/>
  <c r="GW81" i="19"/>
  <c r="GX81" i="19"/>
  <c r="GY81" i="19"/>
  <c r="GZ81" i="19"/>
  <c r="HA81" i="19"/>
  <c r="HB81" i="19"/>
  <c r="HC81" i="19"/>
  <c r="HD81" i="19"/>
  <c r="HE81" i="19"/>
  <c r="HF81" i="19"/>
  <c r="HG81" i="19"/>
  <c r="HH81" i="19"/>
  <c r="HI81" i="19"/>
  <c r="HJ81" i="19"/>
  <c r="HK81" i="19"/>
  <c r="HL81" i="19"/>
  <c r="HM81" i="19"/>
  <c r="HN81" i="19"/>
  <c r="HO81" i="19"/>
  <c r="HP81" i="19"/>
  <c r="HQ81" i="19"/>
  <c r="HR81" i="19"/>
  <c r="HS81" i="19"/>
  <c r="HT81" i="19"/>
  <c r="HU81" i="19"/>
  <c r="HV81" i="19"/>
  <c r="HW81" i="19"/>
  <c r="HX81" i="19"/>
  <c r="HY81" i="19"/>
  <c r="HZ81" i="19"/>
  <c r="IA81" i="19"/>
  <c r="IB81" i="19"/>
  <c r="IC81" i="19"/>
  <c r="ID81" i="19"/>
  <c r="IE81" i="19"/>
  <c r="IF81" i="19"/>
  <c r="IG81" i="19"/>
  <c r="IH81" i="19"/>
  <c r="II81" i="19"/>
  <c r="IJ81" i="19"/>
  <c r="IK81" i="19"/>
  <c r="IL81" i="19"/>
  <c r="IM81" i="19"/>
  <c r="IN81" i="19"/>
  <c r="IO81" i="19"/>
  <c r="IP81" i="19"/>
  <c r="IQ81" i="19"/>
  <c r="IR81" i="19"/>
  <c r="IS81" i="19"/>
  <c r="IT81" i="19"/>
  <c r="IU81" i="19"/>
  <c r="IV81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AN82" i="19"/>
  <c r="AO82" i="19"/>
  <c r="AP82" i="19"/>
  <c r="AQ82" i="19"/>
  <c r="AR82" i="19"/>
  <c r="AS82" i="19"/>
  <c r="AT82" i="19"/>
  <c r="AU82" i="19"/>
  <c r="AV82" i="19"/>
  <c r="AW82" i="19"/>
  <c r="AX82" i="19"/>
  <c r="AY82" i="19"/>
  <c r="AZ82" i="19"/>
  <c r="BA82" i="19"/>
  <c r="BB82" i="19"/>
  <c r="BC82" i="19"/>
  <c r="BD82" i="19"/>
  <c r="BE82" i="19"/>
  <c r="BF82" i="19"/>
  <c r="BG82" i="19"/>
  <c r="BH82" i="19"/>
  <c r="BI82" i="19"/>
  <c r="BJ82" i="19"/>
  <c r="BK82" i="19"/>
  <c r="BL82" i="19"/>
  <c r="BM82" i="19"/>
  <c r="BN82" i="19"/>
  <c r="BO82" i="19"/>
  <c r="BP82" i="19"/>
  <c r="BQ82" i="19"/>
  <c r="BR82" i="19"/>
  <c r="BS82" i="19"/>
  <c r="BT82" i="19"/>
  <c r="BU82" i="19"/>
  <c r="BV82" i="19"/>
  <c r="BW82" i="19"/>
  <c r="BX82" i="19"/>
  <c r="BY82" i="19"/>
  <c r="BZ82" i="19"/>
  <c r="CA82" i="19"/>
  <c r="CB82" i="19"/>
  <c r="CC82" i="19"/>
  <c r="CD82" i="19"/>
  <c r="CE82" i="19"/>
  <c r="CF82" i="19"/>
  <c r="CG82" i="19"/>
  <c r="CH82" i="19"/>
  <c r="CI82" i="19"/>
  <c r="CJ82" i="19"/>
  <c r="CK82" i="19"/>
  <c r="CL82" i="19"/>
  <c r="CM82" i="19"/>
  <c r="CN82" i="19"/>
  <c r="CO82" i="19"/>
  <c r="CP82" i="19"/>
  <c r="CQ82" i="19"/>
  <c r="CR82" i="19"/>
  <c r="CS82" i="19"/>
  <c r="CT82" i="19"/>
  <c r="CU82" i="19"/>
  <c r="CV82" i="19"/>
  <c r="CW82" i="19"/>
  <c r="CX82" i="19"/>
  <c r="CY82" i="19"/>
  <c r="CZ82" i="19"/>
  <c r="DA82" i="19"/>
  <c r="DB82" i="19"/>
  <c r="DC82" i="19"/>
  <c r="DD82" i="19"/>
  <c r="DE82" i="19"/>
  <c r="DF82" i="19"/>
  <c r="DG82" i="19"/>
  <c r="DH82" i="19"/>
  <c r="DI82" i="19"/>
  <c r="DJ82" i="19"/>
  <c r="DK82" i="19"/>
  <c r="DL82" i="19"/>
  <c r="DM82" i="19"/>
  <c r="DN82" i="19"/>
  <c r="DO82" i="19"/>
  <c r="DP82" i="19"/>
  <c r="DQ82" i="19"/>
  <c r="DR82" i="19"/>
  <c r="DS82" i="19"/>
  <c r="DT82" i="19"/>
  <c r="DU82" i="19"/>
  <c r="DV82" i="19"/>
  <c r="DW82" i="19"/>
  <c r="DX82" i="19"/>
  <c r="DY82" i="19"/>
  <c r="DZ82" i="19"/>
  <c r="EA82" i="19"/>
  <c r="EB82" i="19"/>
  <c r="EC82" i="19"/>
  <c r="ED82" i="19"/>
  <c r="EE82" i="19"/>
  <c r="EF82" i="19"/>
  <c r="EG82" i="19"/>
  <c r="EH82" i="19"/>
  <c r="EI82" i="19"/>
  <c r="EJ82" i="19"/>
  <c r="EK82" i="19"/>
  <c r="EL82" i="19"/>
  <c r="EM82" i="19"/>
  <c r="EN82" i="19"/>
  <c r="EO82" i="19"/>
  <c r="EP82" i="19"/>
  <c r="EQ82" i="19"/>
  <c r="ER82" i="19"/>
  <c r="ES82" i="19"/>
  <c r="ET82" i="19"/>
  <c r="EU82" i="19"/>
  <c r="EV82" i="19"/>
  <c r="EW82" i="19"/>
  <c r="EX82" i="19"/>
  <c r="EY82" i="19"/>
  <c r="EZ82" i="19"/>
  <c r="FA82" i="19"/>
  <c r="FB82" i="19"/>
  <c r="FC82" i="19"/>
  <c r="FD82" i="19"/>
  <c r="FE82" i="19"/>
  <c r="FF82" i="19"/>
  <c r="FG82" i="19"/>
  <c r="FH82" i="19"/>
  <c r="FI82" i="19"/>
  <c r="FJ82" i="19"/>
  <c r="FK82" i="19"/>
  <c r="FL82" i="19"/>
  <c r="FM82" i="19"/>
  <c r="FN82" i="19"/>
  <c r="FO82" i="19"/>
  <c r="FP82" i="19"/>
  <c r="FQ82" i="19"/>
  <c r="FR82" i="19"/>
  <c r="FS82" i="19"/>
  <c r="FT82" i="19"/>
  <c r="FU82" i="19"/>
  <c r="FV82" i="19"/>
  <c r="FW82" i="19"/>
  <c r="FX82" i="19"/>
  <c r="FY82" i="19"/>
  <c r="FZ82" i="19"/>
  <c r="GA82" i="19"/>
  <c r="GB82" i="19"/>
  <c r="GC82" i="19"/>
  <c r="GD82" i="19"/>
  <c r="GE82" i="19"/>
  <c r="GF82" i="19"/>
  <c r="GG82" i="19"/>
  <c r="GH82" i="19"/>
  <c r="GI82" i="19"/>
  <c r="GJ82" i="19"/>
  <c r="GK82" i="19"/>
  <c r="GL82" i="19"/>
  <c r="GM82" i="19"/>
  <c r="GN82" i="19"/>
  <c r="GO82" i="19"/>
  <c r="GP82" i="19"/>
  <c r="GQ82" i="19"/>
  <c r="GR82" i="19"/>
  <c r="GS82" i="19"/>
  <c r="GT82" i="19"/>
  <c r="GU82" i="19"/>
  <c r="GV82" i="19"/>
  <c r="GW82" i="19"/>
  <c r="GX82" i="19"/>
  <c r="GY82" i="19"/>
  <c r="GZ82" i="19"/>
  <c r="HA82" i="19"/>
  <c r="HB82" i="19"/>
  <c r="HC82" i="19"/>
  <c r="HD82" i="19"/>
  <c r="HE82" i="19"/>
  <c r="HF82" i="19"/>
  <c r="HG82" i="19"/>
  <c r="HH82" i="19"/>
  <c r="HI82" i="19"/>
  <c r="HJ82" i="19"/>
  <c r="HK82" i="19"/>
  <c r="HL82" i="19"/>
  <c r="HM82" i="19"/>
  <c r="HN82" i="19"/>
  <c r="HO82" i="19"/>
  <c r="HP82" i="19"/>
  <c r="HQ82" i="19"/>
  <c r="HR82" i="19"/>
  <c r="HS82" i="19"/>
  <c r="HT82" i="19"/>
  <c r="HU82" i="19"/>
  <c r="HV82" i="19"/>
  <c r="HW82" i="19"/>
  <c r="HX82" i="19"/>
  <c r="HY82" i="19"/>
  <c r="HZ82" i="19"/>
  <c r="IA82" i="19"/>
  <c r="IB82" i="19"/>
  <c r="IC82" i="19"/>
  <c r="ID82" i="19"/>
  <c r="IE82" i="19"/>
  <c r="IF82" i="19"/>
  <c r="IG82" i="19"/>
  <c r="IH82" i="19"/>
  <c r="II82" i="19"/>
  <c r="IJ82" i="19"/>
  <c r="IK82" i="19"/>
  <c r="IL82" i="19"/>
  <c r="IM82" i="19"/>
  <c r="IN82" i="19"/>
  <c r="IO82" i="19"/>
  <c r="IP82" i="19"/>
  <c r="IQ82" i="19"/>
  <c r="IR82" i="19"/>
  <c r="IS82" i="19"/>
  <c r="IT82" i="19"/>
  <c r="IU82" i="19"/>
  <c r="IV82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AN83" i="19"/>
  <c r="AO83" i="19"/>
  <c r="AP83" i="19"/>
  <c r="AQ83" i="19"/>
  <c r="AR83" i="19"/>
  <c r="AS83" i="19"/>
  <c r="AT83" i="19"/>
  <c r="AU83" i="19"/>
  <c r="AV83" i="19"/>
  <c r="AW83" i="19"/>
  <c r="AX83" i="19"/>
  <c r="AY83" i="19"/>
  <c r="AZ83" i="19"/>
  <c r="BA83" i="19"/>
  <c r="BB83" i="19"/>
  <c r="BC83" i="19"/>
  <c r="BD83" i="19"/>
  <c r="BE83" i="19"/>
  <c r="BF83" i="19"/>
  <c r="BG83" i="19"/>
  <c r="BH83" i="19"/>
  <c r="BI83" i="19"/>
  <c r="BJ83" i="19"/>
  <c r="BK83" i="19"/>
  <c r="BL83" i="19"/>
  <c r="BM83" i="19"/>
  <c r="BN83" i="19"/>
  <c r="BO83" i="19"/>
  <c r="BP83" i="19"/>
  <c r="BQ83" i="19"/>
  <c r="BR83" i="19"/>
  <c r="BS83" i="19"/>
  <c r="BT83" i="19"/>
  <c r="BU83" i="19"/>
  <c r="BV83" i="19"/>
  <c r="BW83" i="19"/>
  <c r="BX83" i="19"/>
  <c r="BY83" i="19"/>
  <c r="BZ83" i="19"/>
  <c r="CA83" i="19"/>
  <c r="CB83" i="19"/>
  <c r="CC83" i="19"/>
  <c r="CD83" i="19"/>
  <c r="CE83" i="19"/>
  <c r="CF83" i="19"/>
  <c r="CG83" i="19"/>
  <c r="CH83" i="19"/>
  <c r="CI83" i="19"/>
  <c r="CJ83" i="19"/>
  <c r="CK83" i="19"/>
  <c r="CL83" i="19"/>
  <c r="CM83" i="19"/>
  <c r="CN83" i="19"/>
  <c r="CO83" i="19"/>
  <c r="CP83" i="19"/>
  <c r="CQ83" i="19"/>
  <c r="CR83" i="19"/>
  <c r="CS83" i="19"/>
  <c r="CT83" i="19"/>
  <c r="CU83" i="19"/>
  <c r="CV83" i="19"/>
  <c r="CW83" i="19"/>
  <c r="CX83" i="19"/>
  <c r="CY83" i="19"/>
  <c r="CZ83" i="19"/>
  <c r="DA83" i="19"/>
  <c r="DB83" i="19"/>
  <c r="DC83" i="19"/>
  <c r="DD83" i="19"/>
  <c r="DE83" i="19"/>
  <c r="DF83" i="19"/>
  <c r="DG83" i="19"/>
  <c r="DH83" i="19"/>
  <c r="DI83" i="19"/>
  <c r="DJ83" i="19"/>
  <c r="DK83" i="19"/>
  <c r="DL83" i="19"/>
  <c r="DM83" i="19"/>
  <c r="DN83" i="19"/>
  <c r="DO83" i="19"/>
  <c r="DP83" i="19"/>
  <c r="DQ83" i="19"/>
  <c r="DR83" i="19"/>
  <c r="DS83" i="19"/>
  <c r="DT83" i="19"/>
  <c r="DU83" i="19"/>
  <c r="DV83" i="19"/>
  <c r="DW83" i="19"/>
  <c r="DX83" i="19"/>
  <c r="DY83" i="19"/>
  <c r="DZ83" i="19"/>
  <c r="EA83" i="19"/>
  <c r="EB83" i="19"/>
  <c r="EC83" i="19"/>
  <c r="ED83" i="19"/>
  <c r="EE83" i="19"/>
  <c r="EF83" i="19"/>
  <c r="EG83" i="19"/>
  <c r="EH83" i="19"/>
  <c r="EI83" i="19"/>
  <c r="EJ83" i="19"/>
  <c r="EK83" i="19"/>
  <c r="EL83" i="19"/>
  <c r="EM83" i="19"/>
  <c r="EN83" i="19"/>
  <c r="EO83" i="19"/>
  <c r="EP83" i="19"/>
  <c r="EQ83" i="19"/>
  <c r="ER83" i="19"/>
  <c r="ES83" i="19"/>
  <c r="ET83" i="19"/>
  <c r="EU83" i="19"/>
  <c r="EV83" i="19"/>
  <c r="EW83" i="19"/>
  <c r="EX83" i="19"/>
  <c r="EY83" i="19"/>
  <c r="EZ83" i="19"/>
  <c r="FA83" i="19"/>
  <c r="FB83" i="19"/>
  <c r="FC83" i="19"/>
  <c r="FD83" i="19"/>
  <c r="FE83" i="19"/>
  <c r="FF83" i="19"/>
  <c r="FG83" i="19"/>
  <c r="FH83" i="19"/>
  <c r="FI83" i="19"/>
  <c r="FJ83" i="19"/>
  <c r="FK83" i="19"/>
  <c r="FL83" i="19"/>
  <c r="FM83" i="19"/>
  <c r="FN83" i="19"/>
  <c r="FO83" i="19"/>
  <c r="FP83" i="19"/>
  <c r="FQ83" i="19"/>
  <c r="FR83" i="19"/>
  <c r="FS83" i="19"/>
  <c r="FT83" i="19"/>
  <c r="FU83" i="19"/>
  <c r="FV83" i="19"/>
  <c r="FW83" i="19"/>
  <c r="FX83" i="19"/>
  <c r="FY83" i="19"/>
  <c r="FZ83" i="19"/>
  <c r="GA83" i="19"/>
  <c r="GB83" i="19"/>
  <c r="GC83" i="19"/>
  <c r="GD83" i="19"/>
  <c r="GE83" i="19"/>
  <c r="GF83" i="19"/>
  <c r="GG83" i="19"/>
  <c r="GH83" i="19"/>
  <c r="GI83" i="19"/>
  <c r="GJ83" i="19"/>
  <c r="GK83" i="19"/>
  <c r="GL83" i="19"/>
  <c r="GM83" i="19"/>
  <c r="GN83" i="19"/>
  <c r="GO83" i="19"/>
  <c r="GP83" i="19"/>
  <c r="GQ83" i="19"/>
  <c r="GR83" i="19"/>
  <c r="GS83" i="19"/>
  <c r="GT83" i="19"/>
  <c r="GU83" i="19"/>
  <c r="GV83" i="19"/>
  <c r="GW83" i="19"/>
  <c r="GX83" i="19"/>
  <c r="GY83" i="19"/>
  <c r="GZ83" i="19"/>
  <c r="HA83" i="19"/>
  <c r="HB83" i="19"/>
  <c r="HC83" i="19"/>
  <c r="HD83" i="19"/>
  <c r="HE83" i="19"/>
  <c r="HF83" i="19"/>
  <c r="HG83" i="19"/>
  <c r="HH83" i="19"/>
  <c r="HI83" i="19"/>
  <c r="HJ83" i="19"/>
  <c r="HK83" i="19"/>
  <c r="HL83" i="19"/>
  <c r="HM83" i="19"/>
  <c r="HN83" i="19"/>
  <c r="HO83" i="19"/>
  <c r="HP83" i="19"/>
  <c r="HQ83" i="19"/>
  <c r="HR83" i="19"/>
  <c r="HS83" i="19"/>
  <c r="HT83" i="19"/>
  <c r="HU83" i="19"/>
  <c r="HV83" i="19"/>
  <c r="HW83" i="19"/>
  <c r="HX83" i="19"/>
  <c r="HY83" i="19"/>
  <c r="HZ83" i="19"/>
  <c r="IA83" i="19"/>
  <c r="IB83" i="19"/>
  <c r="IC83" i="19"/>
  <c r="ID83" i="19"/>
  <c r="IE83" i="19"/>
  <c r="IF83" i="19"/>
  <c r="IG83" i="19"/>
  <c r="IH83" i="19"/>
  <c r="II83" i="19"/>
  <c r="IJ83" i="19"/>
  <c r="IK83" i="19"/>
  <c r="IL83" i="19"/>
  <c r="IM83" i="19"/>
  <c r="IN83" i="19"/>
  <c r="IO83" i="19"/>
  <c r="IP83" i="19"/>
  <c r="IQ83" i="19"/>
  <c r="IR83" i="19"/>
  <c r="IS83" i="19"/>
  <c r="IT83" i="19"/>
  <c r="IU83" i="19"/>
  <c r="IV83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AE84" i="19"/>
  <c r="AF84" i="19"/>
  <c r="AG84" i="19"/>
  <c r="AH84" i="19"/>
  <c r="AI84" i="19"/>
  <c r="AJ84" i="19"/>
  <c r="AK84" i="19"/>
  <c r="AL84" i="19"/>
  <c r="AM84" i="19"/>
  <c r="AN84" i="19"/>
  <c r="AO84" i="19"/>
  <c r="AP84" i="19"/>
  <c r="AQ84" i="19"/>
  <c r="AR84" i="19"/>
  <c r="AS84" i="19"/>
  <c r="AT84" i="19"/>
  <c r="AU84" i="19"/>
  <c r="AV84" i="19"/>
  <c r="AW84" i="19"/>
  <c r="AX84" i="19"/>
  <c r="AY84" i="19"/>
  <c r="AZ84" i="19"/>
  <c r="BA84" i="19"/>
  <c r="BB84" i="19"/>
  <c r="BC84" i="19"/>
  <c r="BD84" i="19"/>
  <c r="BE84" i="19"/>
  <c r="BF84" i="19"/>
  <c r="BG84" i="19"/>
  <c r="BH84" i="19"/>
  <c r="BI84" i="19"/>
  <c r="BJ84" i="19"/>
  <c r="BK84" i="19"/>
  <c r="BL84" i="19"/>
  <c r="BM84" i="19"/>
  <c r="BN84" i="19"/>
  <c r="BO84" i="19"/>
  <c r="BP84" i="19"/>
  <c r="BQ84" i="19"/>
  <c r="BR84" i="19"/>
  <c r="BS84" i="19"/>
  <c r="BT84" i="19"/>
  <c r="BU84" i="19"/>
  <c r="BV84" i="19"/>
  <c r="BW84" i="19"/>
  <c r="BX84" i="19"/>
  <c r="BY84" i="19"/>
  <c r="BZ84" i="19"/>
  <c r="CA84" i="19"/>
  <c r="CB84" i="19"/>
  <c r="CC84" i="19"/>
  <c r="CD84" i="19"/>
  <c r="CE84" i="19"/>
  <c r="CF84" i="19"/>
  <c r="CG84" i="19"/>
  <c r="CH84" i="19"/>
  <c r="CI84" i="19"/>
  <c r="CJ84" i="19"/>
  <c r="CK84" i="19"/>
  <c r="CL84" i="19"/>
  <c r="CM84" i="19"/>
  <c r="CN84" i="19"/>
  <c r="CO84" i="19"/>
  <c r="CP84" i="19"/>
  <c r="CQ84" i="19"/>
  <c r="CR84" i="19"/>
  <c r="CS84" i="19"/>
  <c r="CT84" i="19"/>
  <c r="CU84" i="19"/>
  <c r="CV84" i="19"/>
  <c r="CW84" i="19"/>
  <c r="CX84" i="19"/>
  <c r="CY84" i="19"/>
  <c r="CZ84" i="19"/>
  <c r="DA84" i="19"/>
  <c r="DB84" i="19"/>
  <c r="DC84" i="19"/>
  <c r="DD84" i="19"/>
  <c r="DE84" i="19"/>
  <c r="DF84" i="19"/>
  <c r="DG84" i="19"/>
  <c r="DH84" i="19"/>
  <c r="DI84" i="19"/>
  <c r="DJ84" i="19"/>
  <c r="DK84" i="19"/>
  <c r="DL84" i="19"/>
  <c r="DM84" i="19"/>
  <c r="DN84" i="19"/>
  <c r="DO84" i="19"/>
  <c r="DP84" i="19"/>
  <c r="DQ84" i="19"/>
  <c r="DR84" i="19"/>
  <c r="DS84" i="19"/>
  <c r="DT84" i="19"/>
  <c r="DU84" i="19"/>
  <c r="DV84" i="19"/>
  <c r="DW84" i="19"/>
  <c r="DX84" i="19"/>
  <c r="DY84" i="19"/>
  <c r="DZ84" i="19"/>
  <c r="EA84" i="19"/>
  <c r="EB84" i="19"/>
  <c r="EC84" i="19"/>
  <c r="ED84" i="19"/>
  <c r="EE84" i="19"/>
  <c r="EF84" i="19"/>
  <c r="EG84" i="19"/>
  <c r="EH84" i="19"/>
  <c r="EI84" i="19"/>
  <c r="EJ84" i="19"/>
  <c r="EK84" i="19"/>
  <c r="EL84" i="19"/>
  <c r="EM84" i="19"/>
  <c r="EN84" i="19"/>
  <c r="EO84" i="19"/>
  <c r="EP84" i="19"/>
  <c r="EQ84" i="19"/>
  <c r="ER84" i="19"/>
  <c r="ES84" i="19"/>
  <c r="ET84" i="19"/>
  <c r="EU84" i="19"/>
  <c r="EV84" i="19"/>
  <c r="EW84" i="19"/>
  <c r="EX84" i="19"/>
  <c r="EY84" i="19"/>
  <c r="EZ84" i="19"/>
  <c r="FA84" i="19"/>
  <c r="FB84" i="19"/>
  <c r="FC84" i="19"/>
  <c r="FD84" i="19"/>
  <c r="FE84" i="19"/>
  <c r="FF84" i="19"/>
  <c r="FG84" i="19"/>
  <c r="FH84" i="19"/>
  <c r="FI84" i="19"/>
  <c r="FJ84" i="19"/>
  <c r="FK84" i="19"/>
  <c r="FL84" i="19"/>
  <c r="FM84" i="19"/>
  <c r="FN84" i="19"/>
  <c r="FO84" i="19"/>
  <c r="FP84" i="19"/>
  <c r="FQ84" i="19"/>
  <c r="FR84" i="19"/>
  <c r="FS84" i="19"/>
  <c r="FT84" i="19"/>
  <c r="FU84" i="19"/>
  <c r="FV84" i="19"/>
  <c r="FW84" i="19"/>
  <c r="FX84" i="19"/>
  <c r="FY84" i="19"/>
  <c r="FZ84" i="19"/>
  <c r="GA84" i="19"/>
  <c r="GB84" i="19"/>
  <c r="GC84" i="19"/>
  <c r="GD84" i="19"/>
  <c r="GE84" i="19"/>
  <c r="GF84" i="19"/>
  <c r="GG84" i="19"/>
  <c r="GH84" i="19"/>
  <c r="GI84" i="19"/>
  <c r="GJ84" i="19"/>
  <c r="GK84" i="19"/>
  <c r="GL84" i="19"/>
  <c r="GM84" i="19"/>
  <c r="GN84" i="19"/>
  <c r="GO84" i="19"/>
  <c r="GP84" i="19"/>
  <c r="GQ84" i="19"/>
  <c r="GR84" i="19"/>
  <c r="GS84" i="19"/>
  <c r="GT84" i="19"/>
  <c r="GU84" i="19"/>
  <c r="GV84" i="19"/>
  <c r="GW84" i="19"/>
  <c r="GX84" i="19"/>
  <c r="GY84" i="19"/>
  <c r="GZ84" i="19"/>
  <c r="HA84" i="19"/>
  <c r="HB84" i="19"/>
  <c r="HC84" i="19"/>
  <c r="HD84" i="19"/>
  <c r="HE84" i="19"/>
  <c r="HF84" i="19"/>
  <c r="HG84" i="19"/>
  <c r="HH84" i="19"/>
  <c r="HI84" i="19"/>
  <c r="HJ84" i="19"/>
  <c r="HK84" i="19"/>
  <c r="HL84" i="19"/>
  <c r="HM84" i="19"/>
  <c r="HN84" i="19"/>
  <c r="HO84" i="19"/>
  <c r="HP84" i="19"/>
  <c r="HQ84" i="19"/>
  <c r="HR84" i="19"/>
  <c r="HS84" i="19"/>
  <c r="HT84" i="19"/>
  <c r="HU84" i="19"/>
  <c r="HV84" i="19"/>
  <c r="HW84" i="19"/>
  <c r="HX84" i="19"/>
  <c r="HY84" i="19"/>
  <c r="HZ84" i="19"/>
  <c r="IA84" i="19"/>
  <c r="IB84" i="19"/>
  <c r="IC84" i="19"/>
  <c r="ID84" i="19"/>
  <c r="IE84" i="19"/>
  <c r="IF84" i="19"/>
  <c r="IG84" i="19"/>
  <c r="IH84" i="19"/>
  <c r="II84" i="19"/>
  <c r="IJ84" i="19"/>
  <c r="IK84" i="19"/>
  <c r="IL84" i="19"/>
  <c r="IM84" i="19"/>
  <c r="IN84" i="19"/>
  <c r="IO84" i="19"/>
  <c r="IP84" i="19"/>
  <c r="IQ84" i="19"/>
  <c r="IR84" i="19"/>
  <c r="IS84" i="19"/>
  <c r="IT84" i="19"/>
  <c r="IU84" i="19"/>
  <c r="IV84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AN85" i="19"/>
  <c r="AO85" i="19"/>
  <c r="AP85" i="19"/>
  <c r="AQ85" i="19"/>
  <c r="AR85" i="19"/>
  <c r="AS85" i="19"/>
  <c r="AT85" i="19"/>
  <c r="AU85" i="19"/>
  <c r="AV85" i="19"/>
  <c r="AW85" i="19"/>
  <c r="AX85" i="19"/>
  <c r="AY85" i="19"/>
  <c r="AZ85" i="19"/>
  <c r="BA85" i="19"/>
  <c r="BB85" i="19"/>
  <c r="BC85" i="19"/>
  <c r="BD85" i="19"/>
  <c r="BE85" i="19"/>
  <c r="BF85" i="19"/>
  <c r="BG85" i="19"/>
  <c r="BH85" i="19"/>
  <c r="BI85" i="19"/>
  <c r="BJ85" i="19"/>
  <c r="BK85" i="19"/>
  <c r="BL85" i="19"/>
  <c r="BM85" i="19"/>
  <c r="BN85" i="19"/>
  <c r="BO85" i="19"/>
  <c r="BP85" i="19"/>
  <c r="BQ85" i="19"/>
  <c r="BR85" i="19"/>
  <c r="BS85" i="19"/>
  <c r="BT85" i="19"/>
  <c r="BU85" i="19"/>
  <c r="BV85" i="19"/>
  <c r="BW85" i="19"/>
  <c r="BX85" i="19"/>
  <c r="BY85" i="19"/>
  <c r="BZ85" i="19"/>
  <c r="CA85" i="19"/>
  <c r="CB85" i="19"/>
  <c r="CC85" i="19"/>
  <c r="CD85" i="19"/>
  <c r="CE85" i="19"/>
  <c r="CF85" i="19"/>
  <c r="CG85" i="19"/>
  <c r="CH85" i="19"/>
  <c r="CI85" i="19"/>
  <c r="CJ85" i="19"/>
  <c r="CK85" i="19"/>
  <c r="CL85" i="19"/>
  <c r="CM85" i="19"/>
  <c r="CN85" i="19"/>
  <c r="CO85" i="19"/>
  <c r="CP85" i="19"/>
  <c r="CQ85" i="19"/>
  <c r="CR85" i="19"/>
  <c r="CS85" i="19"/>
  <c r="CT85" i="19"/>
  <c r="CU85" i="19"/>
  <c r="CV85" i="19"/>
  <c r="CW85" i="19"/>
  <c r="CX85" i="19"/>
  <c r="CY85" i="19"/>
  <c r="CZ85" i="19"/>
  <c r="DA85" i="19"/>
  <c r="DB85" i="19"/>
  <c r="DC85" i="19"/>
  <c r="DD85" i="19"/>
  <c r="DE85" i="19"/>
  <c r="DF85" i="19"/>
  <c r="DG85" i="19"/>
  <c r="DH85" i="19"/>
  <c r="DI85" i="19"/>
  <c r="DJ85" i="19"/>
  <c r="DK85" i="19"/>
  <c r="DL85" i="19"/>
  <c r="DM85" i="19"/>
  <c r="DN85" i="19"/>
  <c r="DO85" i="19"/>
  <c r="DP85" i="19"/>
  <c r="DQ85" i="19"/>
  <c r="DR85" i="19"/>
  <c r="DS85" i="19"/>
  <c r="DT85" i="19"/>
  <c r="DU85" i="19"/>
  <c r="DV85" i="19"/>
  <c r="DW85" i="19"/>
  <c r="DX85" i="19"/>
  <c r="DY85" i="19"/>
  <c r="DZ85" i="19"/>
  <c r="EA85" i="19"/>
  <c r="EB85" i="19"/>
  <c r="EC85" i="19"/>
  <c r="ED85" i="19"/>
  <c r="EE85" i="19"/>
  <c r="EF85" i="19"/>
  <c r="EG85" i="19"/>
  <c r="EH85" i="19"/>
  <c r="EI85" i="19"/>
  <c r="EJ85" i="19"/>
  <c r="EK85" i="19"/>
  <c r="EL85" i="19"/>
  <c r="EM85" i="19"/>
  <c r="EN85" i="19"/>
  <c r="EO85" i="19"/>
  <c r="EP85" i="19"/>
  <c r="EQ85" i="19"/>
  <c r="ER85" i="19"/>
  <c r="ES85" i="19"/>
  <c r="ET85" i="19"/>
  <c r="EU85" i="19"/>
  <c r="EV85" i="19"/>
  <c r="EW85" i="19"/>
  <c r="EX85" i="19"/>
  <c r="EY85" i="19"/>
  <c r="EZ85" i="19"/>
  <c r="FA85" i="19"/>
  <c r="FB85" i="19"/>
  <c r="FC85" i="19"/>
  <c r="FD85" i="19"/>
  <c r="FE85" i="19"/>
  <c r="FF85" i="19"/>
  <c r="FG85" i="19"/>
  <c r="FH85" i="19"/>
  <c r="FI85" i="19"/>
  <c r="FJ85" i="19"/>
  <c r="FK85" i="19"/>
  <c r="FL85" i="19"/>
  <c r="FM85" i="19"/>
  <c r="FN85" i="19"/>
  <c r="FO85" i="19"/>
  <c r="FP85" i="19"/>
  <c r="FQ85" i="19"/>
  <c r="FR85" i="19"/>
  <c r="FS85" i="19"/>
  <c r="FT85" i="19"/>
  <c r="FU85" i="19"/>
  <c r="FV85" i="19"/>
  <c r="FW85" i="19"/>
  <c r="FX85" i="19"/>
  <c r="FY85" i="19"/>
  <c r="FZ85" i="19"/>
  <c r="GA85" i="19"/>
  <c r="GB85" i="19"/>
  <c r="GC85" i="19"/>
  <c r="GD85" i="19"/>
  <c r="GE85" i="19"/>
  <c r="GF85" i="19"/>
  <c r="GG85" i="19"/>
  <c r="GH85" i="19"/>
  <c r="GI85" i="19"/>
  <c r="GJ85" i="19"/>
  <c r="GK85" i="19"/>
  <c r="GL85" i="19"/>
  <c r="GM85" i="19"/>
  <c r="GN85" i="19"/>
  <c r="GO85" i="19"/>
  <c r="GP85" i="19"/>
  <c r="GQ85" i="19"/>
  <c r="GR85" i="19"/>
  <c r="GS85" i="19"/>
  <c r="GT85" i="19"/>
  <c r="GU85" i="19"/>
  <c r="GV85" i="19"/>
  <c r="GW85" i="19"/>
  <c r="GX85" i="19"/>
  <c r="GY85" i="19"/>
  <c r="GZ85" i="19"/>
  <c r="HA85" i="19"/>
  <c r="HB85" i="19"/>
  <c r="HC85" i="19"/>
  <c r="HD85" i="19"/>
  <c r="HE85" i="19"/>
  <c r="HF85" i="19"/>
  <c r="HG85" i="19"/>
  <c r="HH85" i="19"/>
  <c r="HI85" i="19"/>
  <c r="HJ85" i="19"/>
  <c r="HK85" i="19"/>
  <c r="HL85" i="19"/>
  <c r="HM85" i="19"/>
  <c r="HN85" i="19"/>
  <c r="HO85" i="19"/>
  <c r="HP85" i="19"/>
  <c r="HQ85" i="19"/>
  <c r="HR85" i="19"/>
  <c r="HS85" i="19"/>
  <c r="HT85" i="19"/>
  <c r="HU85" i="19"/>
  <c r="HV85" i="19"/>
  <c r="HW85" i="19"/>
  <c r="HX85" i="19"/>
  <c r="HY85" i="19"/>
  <c r="HZ85" i="19"/>
  <c r="IA85" i="19"/>
  <c r="IB85" i="19"/>
  <c r="IC85" i="19"/>
  <c r="ID85" i="19"/>
  <c r="IE85" i="19"/>
  <c r="IF85" i="19"/>
  <c r="IG85" i="19"/>
  <c r="IH85" i="19"/>
  <c r="II85" i="19"/>
  <c r="IJ85" i="19"/>
  <c r="IK85" i="19"/>
  <c r="IL85" i="19"/>
  <c r="IM85" i="19"/>
  <c r="IN85" i="19"/>
  <c r="IO85" i="19"/>
  <c r="IP85" i="19"/>
  <c r="IQ85" i="19"/>
  <c r="IR85" i="19"/>
  <c r="IS85" i="19"/>
  <c r="IT85" i="19"/>
  <c r="IU85" i="19"/>
  <c r="IV85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AF86" i="19"/>
  <c r="AG86" i="19"/>
  <c r="AH86" i="19"/>
  <c r="AI86" i="19"/>
  <c r="AJ86" i="19"/>
  <c r="AK86" i="19"/>
  <c r="AL86" i="19"/>
  <c r="AM86" i="19"/>
  <c r="AN86" i="19"/>
  <c r="AO86" i="19"/>
  <c r="AP86" i="19"/>
  <c r="AQ86" i="19"/>
  <c r="AR86" i="19"/>
  <c r="AS86" i="19"/>
  <c r="AT86" i="19"/>
  <c r="AU86" i="19"/>
  <c r="AV86" i="19"/>
  <c r="AW86" i="19"/>
  <c r="AX86" i="19"/>
  <c r="AY86" i="19"/>
  <c r="AZ86" i="19"/>
  <c r="BA86" i="19"/>
  <c r="BB86" i="19"/>
  <c r="BC86" i="19"/>
  <c r="BD86" i="19"/>
  <c r="BE86" i="19"/>
  <c r="BF86" i="19"/>
  <c r="BG86" i="19"/>
  <c r="BH86" i="19"/>
  <c r="BI86" i="19"/>
  <c r="BJ86" i="19"/>
  <c r="BK86" i="19"/>
  <c r="BL86" i="19"/>
  <c r="BM86" i="19"/>
  <c r="BN86" i="19"/>
  <c r="BO86" i="19"/>
  <c r="BP86" i="19"/>
  <c r="BQ86" i="19"/>
  <c r="BR86" i="19"/>
  <c r="BS86" i="19"/>
  <c r="BT86" i="19"/>
  <c r="BU86" i="19"/>
  <c r="BV86" i="19"/>
  <c r="BW86" i="19"/>
  <c r="BX86" i="19"/>
  <c r="BY86" i="19"/>
  <c r="BZ86" i="19"/>
  <c r="CA86" i="19"/>
  <c r="CB86" i="19"/>
  <c r="CC86" i="19"/>
  <c r="CD86" i="19"/>
  <c r="CE86" i="19"/>
  <c r="CF86" i="19"/>
  <c r="CG86" i="19"/>
  <c r="CH86" i="19"/>
  <c r="CI86" i="19"/>
  <c r="CJ86" i="19"/>
  <c r="CK86" i="19"/>
  <c r="CL86" i="19"/>
  <c r="CM86" i="19"/>
  <c r="CN86" i="19"/>
  <c r="CO86" i="19"/>
  <c r="CP86" i="19"/>
  <c r="CQ86" i="19"/>
  <c r="CR86" i="19"/>
  <c r="CS86" i="19"/>
  <c r="CT86" i="19"/>
  <c r="CU86" i="19"/>
  <c r="CV86" i="19"/>
  <c r="CW86" i="19"/>
  <c r="CX86" i="19"/>
  <c r="CY86" i="19"/>
  <c r="CZ86" i="19"/>
  <c r="DA86" i="19"/>
  <c r="DB86" i="19"/>
  <c r="DC86" i="19"/>
  <c r="DD86" i="19"/>
  <c r="DE86" i="19"/>
  <c r="DF86" i="19"/>
  <c r="DG86" i="19"/>
  <c r="DH86" i="19"/>
  <c r="DI86" i="19"/>
  <c r="DJ86" i="19"/>
  <c r="DK86" i="19"/>
  <c r="DL86" i="19"/>
  <c r="DM86" i="19"/>
  <c r="DN86" i="19"/>
  <c r="DO86" i="19"/>
  <c r="DP86" i="19"/>
  <c r="DQ86" i="19"/>
  <c r="DR86" i="19"/>
  <c r="DS86" i="19"/>
  <c r="DT86" i="19"/>
  <c r="DU86" i="19"/>
  <c r="DV86" i="19"/>
  <c r="DW86" i="19"/>
  <c r="DX86" i="19"/>
  <c r="DY86" i="19"/>
  <c r="DZ86" i="19"/>
  <c r="EA86" i="19"/>
  <c r="EB86" i="19"/>
  <c r="EC86" i="19"/>
  <c r="ED86" i="19"/>
  <c r="EE86" i="19"/>
  <c r="EF86" i="19"/>
  <c r="EG86" i="19"/>
  <c r="EH86" i="19"/>
  <c r="EI86" i="19"/>
  <c r="EJ86" i="19"/>
  <c r="EK86" i="19"/>
  <c r="EL86" i="19"/>
  <c r="EM86" i="19"/>
  <c r="EN86" i="19"/>
  <c r="EO86" i="19"/>
  <c r="EP86" i="19"/>
  <c r="EQ86" i="19"/>
  <c r="ER86" i="19"/>
  <c r="ES86" i="19"/>
  <c r="ET86" i="19"/>
  <c r="EU86" i="19"/>
  <c r="EV86" i="19"/>
  <c r="EW86" i="19"/>
  <c r="EX86" i="19"/>
  <c r="EY86" i="19"/>
  <c r="EZ86" i="19"/>
  <c r="FA86" i="19"/>
  <c r="FB86" i="19"/>
  <c r="FC86" i="19"/>
  <c r="FD86" i="19"/>
  <c r="FE86" i="19"/>
  <c r="FF86" i="19"/>
  <c r="FG86" i="19"/>
  <c r="FH86" i="19"/>
  <c r="FI86" i="19"/>
  <c r="FJ86" i="19"/>
  <c r="FK86" i="19"/>
  <c r="FL86" i="19"/>
  <c r="FM86" i="19"/>
  <c r="FN86" i="19"/>
  <c r="FO86" i="19"/>
  <c r="FP86" i="19"/>
  <c r="FQ86" i="19"/>
  <c r="FR86" i="19"/>
  <c r="FS86" i="19"/>
  <c r="FT86" i="19"/>
  <c r="FU86" i="19"/>
  <c r="FV86" i="19"/>
  <c r="FW86" i="19"/>
  <c r="FX86" i="19"/>
  <c r="FY86" i="19"/>
  <c r="FZ86" i="19"/>
  <c r="GA86" i="19"/>
  <c r="GB86" i="19"/>
  <c r="GC86" i="19"/>
  <c r="GD86" i="19"/>
  <c r="GE86" i="19"/>
  <c r="GF86" i="19"/>
  <c r="GG86" i="19"/>
  <c r="GH86" i="19"/>
  <c r="GI86" i="19"/>
  <c r="GJ86" i="19"/>
  <c r="GK86" i="19"/>
  <c r="GL86" i="19"/>
  <c r="GM86" i="19"/>
  <c r="GN86" i="19"/>
  <c r="GO86" i="19"/>
  <c r="GP86" i="19"/>
  <c r="GQ86" i="19"/>
  <c r="GR86" i="19"/>
  <c r="GS86" i="19"/>
  <c r="GT86" i="19"/>
  <c r="GU86" i="19"/>
  <c r="GV86" i="19"/>
  <c r="GW86" i="19"/>
  <c r="GX86" i="19"/>
  <c r="GY86" i="19"/>
  <c r="GZ86" i="19"/>
  <c r="HA86" i="19"/>
  <c r="HB86" i="19"/>
  <c r="HC86" i="19"/>
  <c r="HD86" i="19"/>
  <c r="HE86" i="19"/>
  <c r="HF86" i="19"/>
  <c r="HG86" i="19"/>
  <c r="HH86" i="19"/>
  <c r="HI86" i="19"/>
  <c r="HJ86" i="19"/>
  <c r="HK86" i="19"/>
  <c r="HL86" i="19"/>
  <c r="HM86" i="19"/>
  <c r="HN86" i="19"/>
  <c r="HO86" i="19"/>
  <c r="HP86" i="19"/>
  <c r="HQ86" i="19"/>
  <c r="HR86" i="19"/>
  <c r="HS86" i="19"/>
  <c r="HT86" i="19"/>
  <c r="HU86" i="19"/>
  <c r="HV86" i="19"/>
  <c r="HW86" i="19"/>
  <c r="HX86" i="19"/>
  <c r="HY86" i="19"/>
  <c r="HZ86" i="19"/>
  <c r="IA86" i="19"/>
  <c r="IB86" i="19"/>
  <c r="IC86" i="19"/>
  <c r="ID86" i="19"/>
  <c r="IE86" i="19"/>
  <c r="IF86" i="19"/>
  <c r="IG86" i="19"/>
  <c r="IH86" i="19"/>
  <c r="II86" i="19"/>
  <c r="IJ86" i="19"/>
  <c r="IK86" i="19"/>
  <c r="IL86" i="19"/>
  <c r="IM86" i="19"/>
  <c r="IN86" i="19"/>
  <c r="IO86" i="19"/>
  <c r="IP86" i="19"/>
  <c r="IQ86" i="19"/>
  <c r="IR86" i="19"/>
  <c r="IS86" i="19"/>
  <c r="IT86" i="19"/>
  <c r="IU86" i="19"/>
  <c r="IV86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AF87" i="19"/>
  <c r="AG87" i="19"/>
  <c r="AH87" i="19"/>
  <c r="AI87" i="19"/>
  <c r="AJ87" i="19"/>
  <c r="AK87" i="19"/>
  <c r="AL87" i="19"/>
  <c r="AM87" i="19"/>
  <c r="AN87" i="19"/>
  <c r="AO87" i="19"/>
  <c r="AP87" i="19"/>
  <c r="AQ87" i="19"/>
  <c r="AR87" i="19"/>
  <c r="AS87" i="19"/>
  <c r="AT87" i="19"/>
  <c r="AU87" i="19"/>
  <c r="AV87" i="19"/>
  <c r="AW87" i="19"/>
  <c r="AX87" i="19"/>
  <c r="AY87" i="19"/>
  <c r="AZ87" i="19"/>
  <c r="BA87" i="19"/>
  <c r="BB87" i="19"/>
  <c r="BC87" i="19"/>
  <c r="BD87" i="19"/>
  <c r="BE87" i="19"/>
  <c r="BF87" i="19"/>
  <c r="BG87" i="19"/>
  <c r="BH87" i="19"/>
  <c r="BI87" i="19"/>
  <c r="BJ87" i="19"/>
  <c r="BK87" i="19"/>
  <c r="BL87" i="19"/>
  <c r="BM87" i="19"/>
  <c r="BN87" i="19"/>
  <c r="BO87" i="19"/>
  <c r="BP87" i="19"/>
  <c r="BQ87" i="19"/>
  <c r="BR87" i="19"/>
  <c r="BS87" i="19"/>
  <c r="BT87" i="19"/>
  <c r="BU87" i="19"/>
  <c r="BV87" i="19"/>
  <c r="BW87" i="19"/>
  <c r="BX87" i="19"/>
  <c r="BY87" i="19"/>
  <c r="BZ87" i="19"/>
  <c r="CA87" i="19"/>
  <c r="CB87" i="19"/>
  <c r="CC87" i="19"/>
  <c r="CD87" i="19"/>
  <c r="CE87" i="19"/>
  <c r="CF87" i="19"/>
  <c r="CG87" i="19"/>
  <c r="CH87" i="19"/>
  <c r="CI87" i="19"/>
  <c r="CJ87" i="19"/>
  <c r="CK87" i="19"/>
  <c r="CL87" i="19"/>
  <c r="CM87" i="19"/>
  <c r="CN87" i="19"/>
  <c r="CO87" i="19"/>
  <c r="CP87" i="19"/>
  <c r="CQ87" i="19"/>
  <c r="CR87" i="19"/>
  <c r="CS87" i="19"/>
  <c r="CT87" i="19"/>
  <c r="CU87" i="19"/>
  <c r="CV87" i="19"/>
  <c r="CW87" i="19"/>
  <c r="CX87" i="19"/>
  <c r="CY87" i="19"/>
  <c r="CZ87" i="19"/>
  <c r="DA87" i="19"/>
  <c r="DB87" i="19"/>
  <c r="DC87" i="19"/>
  <c r="DD87" i="19"/>
  <c r="DE87" i="19"/>
  <c r="DF87" i="19"/>
  <c r="DG87" i="19"/>
  <c r="DH87" i="19"/>
  <c r="DI87" i="19"/>
  <c r="DJ87" i="19"/>
  <c r="DK87" i="19"/>
  <c r="DL87" i="19"/>
  <c r="DM87" i="19"/>
  <c r="DN87" i="19"/>
  <c r="DO87" i="19"/>
  <c r="DP87" i="19"/>
  <c r="DQ87" i="19"/>
  <c r="DR87" i="19"/>
  <c r="DS87" i="19"/>
  <c r="DT87" i="19"/>
  <c r="DU87" i="19"/>
  <c r="DV87" i="19"/>
  <c r="DW87" i="19"/>
  <c r="DX87" i="19"/>
  <c r="DY87" i="19"/>
  <c r="DZ87" i="19"/>
  <c r="EA87" i="19"/>
  <c r="EB87" i="19"/>
  <c r="EC87" i="19"/>
  <c r="ED87" i="19"/>
  <c r="EE87" i="19"/>
  <c r="EF87" i="19"/>
  <c r="EG87" i="19"/>
  <c r="EH87" i="19"/>
  <c r="EI87" i="19"/>
  <c r="EJ87" i="19"/>
  <c r="EK87" i="19"/>
  <c r="EL87" i="19"/>
  <c r="EM87" i="19"/>
  <c r="EN87" i="19"/>
  <c r="EO87" i="19"/>
  <c r="EP87" i="19"/>
  <c r="EQ87" i="19"/>
  <c r="ER87" i="19"/>
  <c r="ES87" i="19"/>
  <c r="ET87" i="19"/>
  <c r="EU87" i="19"/>
  <c r="EV87" i="19"/>
  <c r="EW87" i="19"/>
  <c r="EX87" i="19"/>
  <c r="EY87" i="19"/>
  <c r="EZ87" i="19"/>
  <c r="FA87" i="19"/>
  <c r="FB87" i="19"/>
  <c r="FC87" i="19"/>
  <c r="FD87" i="19"/>
  <c r="FE87" i="19"/>
  <c r="FF87" i="19"/>
  <c r="FG87" i="19"/>
  <c r="FH87" i="19"/>
  <c r="FI87" i="19"/>
  <c r="FJ87" i="19"/>
  <c r="FK87" i="19"/>
  <c r="FL87" i="19"/>
  <c r="FM87" i="19"/>
  <c r="FN87" i="19"/>
  <c r="FO87" i="19"/>
  <c r="FP87" i="19"/>
  <c r="FQ87" i="19"/>
  <c r="FR87" i="19"/>
  <c r="FS87" i="19"/>
  <c r="FT87" i="19"/>
  <c r="FU87" i="19"/>
  <c r="FV87" i="19"/>
  <c r="FW87" i="19"/>
  <c r="FX87" i="19"/>
  <c r="FY87" i="19"/>
  <c r="FZ87" i="19"/>
  <c r="GA87" i="19"/>
  <c r="GB87" i="19"/>
  <c r="GC87" i="19"/>
  <c r="GD87" i="19"/>
  <c r="GE87" i="19"/>
  <c r="GF87" i="19"/>
  <c r="GG87" i="19"/>
  <c r="GH87" i="19"/>
  <c r="GI87" i="19"/>
  <c r="GJ87" i="19"/>
  <c r="GK87" i="19"/>
  <c r="GL87" i="19"/>
  <c r="GM87" i="19"/>
  <c r="GN87" i="19"/>
  <c r="GO87" i="19"/>
  <c r="GP87" i="19"/>
  <c r="GQ87" i="19"/>
  <c r="GR87" i="19"/>
  <c r="GS87" i="19"/>
  <c r="GT87" i="19"/>
  <c r="GU87" i="19"/>
  <c r="GV87" i="19"/>
  <c r="GW87" i="19"/>
  <c r="GX87" i="19"/>
  <c r="GY87" i="19"/>
  <c r="GZ87" i="19"/>
  <c r="HA87" i="19"/>
  <c r="HB87" i="19"/>
  <c r="HC87" i="19"/>
  <c r="HD87" i="19"/>
  <c r="HE87" i="19"/>
  <c r="HF87" i="19"/>
  <c r="HG87" i="19"/>
  <c r="HH87" i="19"/>
  <c r="HI87" i="19"/>
  <c r="HJ87" i="19"/>
  <c r="HK87" i="19"/>
  <c r="HL87" i="19"/>
  <c r="HM87" i="19"/>
  <c r="HN87" i="19"/>
  <c r="HO87" i="19"/>
  <c r="HP87" i="19"/>
  <c r="HQ87" i="19"/>
  <c r="HR87" i="19"/>
  <c r="HS87" i="19"/>
  <c r="HT87" i="19"/>
  <c r="HU87" i="19"/>
  <c r="HV87" i="19"/>
  <c r="HW87" i="19"/>
  <c r="HX87" i="19"/>
  <c r="HY87" i="19"/>
  <c r="HZ87" i="19"/>
  <c r="IA87" i="19"/>
  <c r="IB87" i="19"/>
  <c r="IC87" i="19"/>
  <c r="ID87" i="19"/>
  <c r="IE87" i="19"/>
  <c r="IF87" i="19"/>
  <c r="IG87" i="19"/>
  <c r="IH87" i="19"/>
  <c r="II87" i="19"/>
  <c r="IJ87" i="19"/>
  <c r="IK87" i="19"/>
  <c r="IL87" i="19"/>
  <c r="IM87" i="19"/>
  <c r="IN87" i="19"/>
  <c r="IO87" i="19"/>
  <c r="IP87" i="19"/>
  <c r="IQ87" i="19"/>
  <c r="IR87" i="19"/>
  <c r="IS87" i="19"/>
  <c r="IT87" i="19"/>
  <c r="IU87" i="19"/>
  <c r="IV87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AN88" i="19"/>
  <c r="AO88" i="19"/>
  <c r="AP88" i="19"/>
  <c r="AQ88" i="19"/>
  <c r="AR88" i="19"/>
  <c r="AS88" i="19"/>
  <c r="AT88" i="19"/>
  <c r="AU88" i="19"/>
  <c r="AV88" i="19"/>
  <c r="AW88" i="19"/>
  <c r="AX88" i="19"/>
  <c r="AY88" i="19"/>
  <c r="AZ88" i="19"/>
  <c r="BA88" i="19"/>
  <c r="BB88" i="19"/>
  <c r="BC88" i="19"/>
  <c r="BD88" i="19"/>
  <c r="BE88" i="19"/>
  <c r="BF88" i="19"/>
  <c r="BG88" i="19"/>
  <c r="BH88" i="19"/>
  <c r="BI88" i="19"/>
  <c r="BJ88" i="19"/>
  <c r="BK88" i="19"/>
  <c r="BL88" i="19"/>
  <c r="BM88" i="19"/>
  <c r="BN88" i="19"/>
  <c r="BO88" i="19"/>
  <c r="BP88" i="19"/>
  <c r="BQ88" i="19"/>
  <c r="BR88" i="19"/>
  <c r="BS88" i="19"/>
  <c r="BT88" i="19"/>
  <c r="BU88" i="19"/>
  <c r="BV88" i="19"/>
  <c r="BW88" i="19"/>
  <c r="BX88" i="19"/>
  <c r="BY88" i="19"/>
  <c r="BZ88" i="19"/>
  <c r="CA88" i="19"/>
  <c r="CB88" i="19"/>
  <c r="CC88" i="19"/>
  <c r="CD88" i="19"/>
  <c r="CE88" i="19"/>
  <c r="CF88" i="19"/>
  <c r="CG88" i="19"/>
  <c r="CH88" i="19"/>
  <c r="CI88" i="19"/>
  <c r="CJ88" i="19"/>
  <c r="CK88" i="19"/>
  <c r="CL88" i="19"/>
  <c r="CM88" i="19"/>
  <c r="CN88" i="19"/>
  <c r="CO88" i="19"/>
  <c r="CP88" i="19"/>
  <c r="CQ88" i="19"/>
  <c r="CR88" i="19"/>
  <c r="CS88" i="19"/>
  <c r="CT88" i="19"/>
  <c r="CU88" i="19"/>
  <c r="CV88" i="19"/>
  <c r="CW88" i="19"/>
  <c r="CX88" i="19"/>
  <c r="CY88" i="19"/>
  <c r="CZ88" i="19"/>
  <c r="DA88" i="19"/>
  <c r="DB88" i="19"/>
  <c r="DC88" i="19"/>
  <c r="DD88" i="19"/>
  <c r="DE88" i="19"/>
  <c r="DF88" i="19"/>
  <c r="DG88" i="19"/>
  <c r="DH88" i="19"/>
  <c r="DI88" i="19"/>
  <c r="DJ88" i="19"/>
  <c r="DK88" i="19"/>
  <c r="DL88" i="19"/>
  <c r="DM88" i="19"/>
  <c r="DN88" i="19"/>
  <c r="DO88" i="19"/>
  <c r="DP88" i="19"/>
  <c r="DQ88" i="19"/>
  <c r="DR88" i="19"/>
  <c r="DS88" i="19"/>
  <c r="DT88" i="19"/>
  <c r="DU88" i="19"/>
  <c r="DV88" i="19"/>
  <c r="DW88" i="19"/>
  <c r="DX88" i="19"/>
  <c r="DY88" i="19"/>
  <c r="DZ88" i="19"/>
  <c r="EA88" i="19"/>
  <c r="EB88" i="19"/>
  <c r="EC88" i="19"/>
  <c r="ED88" i="19"/>
  <c r="EE88" i="19"/>
  <c r="EF88" i="19"/>
  <c r="EG88" i="19"/>
  <c r="EH88" i="19"/>
  <c r="EI88" i="19"/>
  <c r="EJ88" i="19"/>
  <c r="EK88" i="19"/>
  <c r="EL88" i="19"/>
  <c r="EM88" i="19"/>
  <c r="EN88" i="19"/>
  <c r="EO88" i="19"/>
  <c r="EP88" i="19"/>
  <c r="EQ88" i="19"/>
  <c r="ER88" i="19"/>
  <c r="ES88" i="19"/>
  <c r="ET88" i="19"/>
  <c r="EU88" i="19"/>
  <c r="EV88" i="19"/>
  <c r="EW88" i="19"/>
  <c r="EX88" i="19"/>
  <c r="EY88" i="19"/>
  <c r="EZ88" i="19"/>
  <c r="FA88" i="19"/>
  <c r="FB88" i="19"/>
  <c r="FC88" i="19"/>
  <c r="FD88" i="19"/>
  <c r="FE88" i="19"/>
  <c r="FF88" i="19"/>
  <c r="FG88" i="19"/>
  <c r="FH88" i="19"/>
  <c r="FI88" i="19"/>
  <c r="FJ88" i="19"/>
  <c r="FK88" i="19"/>
  <c r="FL88" i="19"/>
  <c r="FM88" i="19"/>
  <c r="FN88" i="19"/>
  <c r="FO88" i="19"/>
  <c r="FP88" i="19"/>
  <c r="FQ88" i="19"/>
  <c r="FR88" i="19"/>
  <c r="FS88" i="19"/>
  <c r="FT88" i="19"/>
  <c r="FU88" i="19"/>
  <c r="FV88" i="19"/>
  <c r="FW88" i="19"/>
  <c r="FX88" i="19"/>
  <c r="FY88" i="19"/>
  <c r="FZ88" i="19"/>
  <c r="GA88" i="19"/>
  <c r="GB88" i="19"/>
  <c r="GC88" i="19"/>
  <c r="GD88" i="19"/>
  <c r="GE88" i="19"/>
  <c r="GF88" i="19"/>
  <c r="GG88" i="19"/>
  <c r="GH88" i="19"/>
  <c r="GI88" i="19"/>
  <c r="GJ88" i="19"/>
  <c r="GK88" i="19"/>
  <c r="GL88" i="19"/>
  <c r="GM88" i="19"/>
  <c r="GN88" i="19"/>
  <c r="GO88" i="19"/>
  <c r="GP88" i="19"/>
  <c r="GQ88" i="19"/>
  <c r="GR88" i="19"/>
  <c r="GS88" i="19"/>
  <c r="GT88" i="19"/>
  <c r="GU88" i="19"/>
  <c r="GV88" i="19"/>
  <c r="GW88" i="19"/>
  <c r="GX88" i="19"/>
  <c r="GY88" i="19"/>
  <c r="GZ88" i="19"/>
  <c r="HA88" i="19"/>
  <c r="HB88" i="19"/>
  <c r="HC88" i="19"/>
  <c r="HD88" i="19"/>
  <c r="HE88" i="19"/>
  <c r="HF88" i="19"/>
  <c r="HG88" i="19"/>
  <c r="HH88" i="19"/>
  <c r="HI88" i="19"/>
  <c r="HJ88" i="19"/>
  <c r="HK88" i="19"/>
  <c r="HL88" i="19"/>
  <c r="HM88" i="19"/>
  <c r="HN88" i="19"/>
  <c r="HO88" i="19"/>
  <c r="HP88" i="19"/>
  <c r="HQ88" i="19"/>
  <c r="HR88" i="19"/>
  <c r="HS88" i="19"/>
  <c r="HT88" i="19"/>
  <c r="HU88" i="19"/>
  <c r="HV88" i="19"/>
  <c r="HW88" i="19"/>
  <c r="HX88" i="19"/>
  <c r="HY88" i="19"/>
  <c r="HZ88" i="19"/>
  <c r="IA88" i="19"/>
  <c r="IB88" i="19"/>
  <c r="IC88" i="19"/>
  <c r="ID88" i="19"/>
  <c r="IE88" i="19"/>
  <c r="IF88" i="19"/>
  <c r="IG88" i="19"/>
  <c r="IH88" i="19"/>
  <c r="II88" i="19"/>
  <c r="IJ88" i="19"/>
  <c r="IK88" i="19"/>
  <c r="IL88" i="19"/>
  <c r="IM88" i="19"/>
  <c r="IN88" i="19"/>
  <c r="IO88" i="19"/>
  <c r="IP88" i="19"/>
  <c r="IQ88" i="19"/>
  <c r="IR88" i="19"/>
  <c r="IS88" i="19"/>
  <c r="IT88" i="19"/>
  <c r="IU88" i="19"/>
  <c r="IV88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AF89" i="19"/>
  <c r="AG89" i="19"/>
  <c r="AH89" i="19"/>
  <c r="AI89" i="19"/>
  <c r="AJ89" i="19"/>
  <c r="AK89" i="19"/>
  <c r="AL89" i="19"/>
  <c r="AM89" i="19"/>
  <c r="AN89" i="19"/>
  <c r="AO89" i="19"/>
  <c r="AP89" i="19"/>
  <c r="AQ89" i="19"/>
  <c r="AR89" i="19"/>
  <c r="AS89" i="19"/>
  <c r="AT89" i="19"/>
  <c r="AU89" i="19"/>
  <c r="AV89" i="19"/>
  <c r="AW89" i="19"/>
  <c r="AX89" i="19"/>
  <c r="AY89" i="19"/>
  <c r="AZ89" i="19"/>
  <c r="BA89" i="19"/>
  <c r="BB89" i="19"/>
  <c r="BC89" i="19"/>
  <c r="BD89" i="19"/>
  <c r="BE89" i="19"/>
  <c r="BF89" i="19"/>
  <c r="BG89" i="19"/>
  <c r="BH89" i="19"/>
  <c r="BI89" i="19"/>
  <c r="BJ89" i="19"/>
  <c r="BK89" i="19"/>
  <c r="BL89" i="19"/>
  <c r="BM89" i="19"/>
  <c r="BN89" i="19"/>
  <c r="BO89" i="19"/>
  <c r="BP89" i="19"/>
  <c r="BQ89" i="19"/>
  <c r="BR89" i="19"/>
  <c r="BS89" i="19"/>
  <c r="BT89" i="19"/>
  <c r="BU89" i="19"/>
  <c r="BV89" i="19"/>
  <c r="BW89" i="19"/>
  <c r="BX89" i="19"/>
  <c r="BY89" i="19"/>
  <c r="BZ89" i="19"/>
  <c r="CA89" i="19"/>
  <c r="CB89" i="19"/>
  <c r="CC89" i="19"/>
  <c r="CD89" i="19"/>
  <c r="CE89" i="19"/>
  <c r="CF89" i="19"/>
  <c r="CG89" i="19"/>
  <c r="CH89" i="19"/>
  <c r="CI89" i="19"/>
  <c r="CJ89" i="19"/>
  <c r="CK89" i="19"/>
  <c r="CL89" i="19"/>
  <c r="CM89" i="19"/>
  <c r="CN89" i="19"/>
  <c r="CO89" i="19"/>
  <c r="CP89" i="19"/>
  <c r="CQ89" i="19"/>
  <c r="CR89" i="19"/>
  <c r="CS89" i="19"/>
  <c r="CT89" i="19"/>
  <c r="CU89" i="19"/>
  <c r="CV89" i="19"/>
  <c r="CW89" i="19"/>
  <c r="CX89" i="19"/>
  <c r="CY89" i="19"/>
  <c r="CZ89" i="19"/>
  <c r="DA89" i="19"/>
  <c r="DB89" i="19"/>
  <c r="DC89" i="19"/>
  <c r="DD89" i="19"/>
  <c r="DE89" i="19"/>
  <c r="DF89" i="19"/>
  <c r="DG89" i="19"/>
  <c r="DH89" i="19"/>
  <c r="DI89" i="19"/>
  <c r="DJ89" i="19"/>
  <c r="DK89" i="19"/>
  <c r="DL89" i="19"/>
  <c r="DM89" i="19"/>
  <c r="DN89" i="19"/>
  <c r="DO89" i="19"/>
  <c r="DP89" i="19"/>
  <c r="DQ89" i="19"/>
  <c r="DR89" i="19"/>
  <c r="DS89" i="19"/>
  <c r="DT89" i="19"/>
  <c r="DU89" i="19"/>
  <c r="DV89" i="19"/>
  <c r="DW89" i="19"/>
  <c r="DX89" i="19"/>
  <c r="DY89" i="19"/>
  <c r="DZ89" i="19"/>
  <c r="EA89" i="19"/>
  <c r="EB89" i="19"/>
  <c r="EC89" i="19"/>
  <c r="ED89" i="19"/>
  <c r="EE89" i="19"/>
  <c r="EF89" i="19"/>
  <c r="EG89" i="19"/>
  <c r="EH89" i="19"/>
  <c r="EI89" i="19"/>
  <c r="EJ89" i="19"/>
  <c r="EK89" i="19"/>
  <c r="EL89" i="19"/>
  <c r="EM89" i="19"/>
  <c r="EN89" i="19"/>
  <c r="EO89" i="19"/>
  <c r="EP89" i="19"/>
  <c r="EQ89" i="19"/>
  <c r="ER89" i="19"/>
  <c r="ES89" i="19"/>
  <c r="ET89" i="19"/>
  <c r="EU89" i="19"/>
  <c r="EV89" i="19"/>
  <c r="EW89" i="19"/>
  <c r="EX89" i="19"/>
  <c r="EY89" i="19"/>
  <c r="EZ89" i="19"/>
  <c r="FA89" i="19"/>
  <c r="FB89" i="19"/>
  <c r="FC89" i="19"/>
  <c r="FD89" i="19"/>
  <c r="FE89" i="19"/>
  <c r="FF89" i="19"/>
  <c r="FG89" i="19"/>
  <c r="FH89" i="19"/>
  <c r="FI89" i="19"/>
  <c r="FJ89" i="19"/>
  <c r="FK89" i="19"/>
  <c r="FL89" i="19"/>
  <c r="FM89" i="19"/>
  <c r="FN89" i="19"/>
  <c r="FO89" i="19"/>
  <c r="FP89" i="19"/>
  <c r="FQ89" i="19"/>
  <c r="FR89" i="19"/>
  <c r="FS89" i="19"/>
  <c r="FT89" i="19"/>
  <c r="FU89" i="19"/>
  <c r="FV89" i="19"/>
  <c r="FW89" i="19"/>
  <c r="FX89" i="19"/>
  <c r="FY89" i="19"/>
  <c r="FZ89" i="19"/>
  <c r="GA89" i="19"/>
  <c r="GB89" i="19"/>
  <c r="GC89" i="19"/>
  <c r="GD89" i="19"/>
  <c r="GE89" i="19"/>
  <c r="GF89" i="19"/>
  <c r="GG89" i="19"/>
  <c r="GH89" i="19"/>
  <c r="GI89" i="19"/>
  <c r="GJ89" i="19"/>
  <c r="GK89" i="19"/>
  <c r="GL89" i="19"/>
  <c r="GM89" i="19"/>
  <c r="GN89" i="19"/>
  <c r="GO89" i="19"/>
  <c r="GP89" i="19"/>
  <c r="GQ89" i="19"/>
  <c r="GR89" i="19"/>
  <c r="GS89" i="19"/>
  <c r="GT89" i="19"/>
  <c r="GU89" i="19"/>
  <c r="GV89" i="19"/>
  <c r="GW89" i="19"/>
  <c r="GX89" i="19"/>
  <c r="GY89" i="19"/>
  <c r="GZ89" i="19"/>
  <c r="HA89" i="19"/>
  <c r="HB89" i="19"/>
  <c r="HC89" i="19"/>
  <c r="HD89" i="19"/>
  <c r="HE89" i="19"/>
  <c r="HF89" i="19"/>
  <c r="HG89" i="19"/>
  <c r="HH89" i="19"/>
  <c r="HI89" i="19"/>
  <c r="HJ89" i="19"/>
  <c r="HK89" i="19"/>
  <c r="HL89" i="19"/>
  <c r="HM89" i="19"/>
  <c r="HN89" i="19"/>
  <c r="HO89" i="19"/>
  <c r="HP89" i="19"/>
  <c r="HQ89" i="19"/>
  <c r="HR89" i="19"/>
  <c r="HS89" i="19"/>
  <c r="HT89" i="19"/>
  <c r="HU89" i="19"/>
  <c r="HV89" i="19"/>
  <c r="HW89" i="19"/>
  <c r="HX89" i="19"/>
  <c r="HY89" i="19"/>
  <c r="HZ89" i="19"/>
  <c r="IA89" i="19"/>
  <c r="IB89" i="19"/>
  <c r="IC89" i="19"/>
  <c r="ID89" i="19"/>
  <c r="IE89" i="19"/>
  <c r="IF89" i="19"/>
  <c r="IG89" i="19"/>
  <c r="IH89" i="19"/>
  <c r="II89" i="19"/>
  <c r="IJ89" i="19"/>
  <c r="IK89" i="19"/>
  <c r="IL89" i="19"/>
  <c r="IM89" i="19"/>
  <c r="IN89" i="19"/>
  <c r="IO89" i="19"/>
  <c r="IP89" i="19"/>
  <c r="IQ89" i="19"/>
  <c r="IR89" i="19"/>
  <c r="IS89" i="19"/>
  <c r="IT89" i="19"/>
  <c r="IU89" i="19"/>
  <c r="IV89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M90" i="19"/>
  <c r="AN90" i="19"/>
  <c r="AO90" i="19"/>
  <c r="AP90" i="19"/>
  <c r="AQ90" i="19"/>
  <c r="AR90" i="19"/>
  <c r="AS90" i="19"/>
  <c r="AT90" i="19"/>
  <c r="AU90" i="19"/>
  <c r="AV90" i="19"/>
  <c r="AW90" i="19"/>
  <c r="AX90" i="19"/>
  <c r="AY90" i="19"/>
  <c r="AZ90" i="19"/>
  <c r="BA90" i="19"/>
  <c r="BB90" i="19"/>
  <c r="BC90" i="19"/>
  <c r="BD90" i="19"/>
  <c r="BE90" i="19"/>
  <c r="BF90" i="19"/>
  <c r="BG90" i="19"/>
  <c r="BH90" i="19"/>
  <c r="BI90" i="19"/>
  <c r="BJ90" i="19"/>
  <c r="BK90" i="19"/>
  <c r="BL90" i="19"/>
  <c r="BM90" i="19"/>
  <c r="BN90" i="19"/>
  <c r="BO90" i="19"/>
  <c r="BP90" i="19"/>
  <c r="BQ90" i="19"/>
  <c r="BR90" i="19"/>
  <c r="BS90" i="19"/>
  <c r="BT90" i="19"/>
  <c r="BU90" i="19"/>
  <c r="BV90" i="19"/>
  <c r="BW90" i="19"/>
  <c r="BX90" i="19"/>
  <c r="BY90" i="19"/>
  <c r="BZ90" i="19"/>
  <c r="CA90" i="19"/>
  <c r="CB90" i="19"/>
  <c r="CC90" i="19"/>
  <c r="CD90" i="19"/>
  <c r="CE90" i="19"/>
  <c r="CF90" i="19"/>
  <c r="CG90" i="19"/>
  <c r="CH90" i="19"/>
  <c r="CI90" i="19"/>
  <c r="CJ90" i="19"/>
  <c r="CK90" i="19"/>
  <c r="CL90" i="19"/>
  <c r="CM90" i="19"/>
  <c r="CN90" i="19"/>
  <c r="CO90" i="19"/>
  <c r="CP90" i="19"/>
  <c r="CQ90" i="19"/>
  <c r="CR90" i="19"/>
  <c r="CS90" i="19"/>
  <c r="CT90" i="19"/>
  <c r="CU90" i="19"/>
  <c r="CV90" i="19"/>
  <c r="CW90" i="19"/>
  <c r="CX90" i="19"/>
  <c r="CY90" i="19"/>
  <c r="CZ90" i="19"/>
  <c r="DA90" i="19"/>
  <c r="DB90" i="19"/>
  <c r="DC90" i="19"/>
  <c r="DD90" i="19"/>
  <c r="DE90" i="19"/>
  <c r="DF90" i="19"/>
  <c r="DG90" i="19"/>
  <c r="DH90" i="19"/>
  <c r="DI90" i="19"/>
  <c r="DJ90" i="19"/>
  <c r="DK90" i="19"/>
  <c r="DL90" i="19"/>
  <c r="DM90" i="19"/>
  <c r="DN90" i="19"/>
  <c r="DO90" i="19"/>
  <c r="DP90" i="19"/>
  <c r="DQ90" i="19"/>
  <c r="DR90" i="19"/>
  <c r="DS90" i="19"/>
  <c r="DT90" i="19"/>
  <c r="DU90" i="19"/>
  <c r="DV90" i="19"/>
  <c r="DW90" i="19"/>
  <c r="DX90" i="19"/>
  <c r="DY90" i="19"/>
  <c r="DZ90" i="19"/>
  <c r="EA90" i="19"/>
  <c r="EB90" i="19"/>
  <c r="EC90" i="19"/>
  <c r="ED90" i="19"/>
  <c r="EE90" i="19"/>
  <c r="EF90" i="19"/>
  <c r="EG90" i="19"/>
  <c r="EH90" i="19"/>
  <c r="EI90" i="19"/>
  <c r="EJ90" i="19"/>
  <c r="EK90" i="19"/>
  <c r="EL90" i="19"/>
  <c r="EM90" i="19"/>
  <c r="EN90" i="19"/>
  <c r="EO90" i="19"/>
  <c r="EP90" i="19"/>
  <c r="EQ90" i="19"/>
  <c r="ER90" i="19"/>
  <c r="ES90" i="19"/>
  <c r="ET90" i="19"/>
  <c r="EU90" i="19"/>
  <c r="EV90" i="19"/>
  <c r="EW90" i="19"/>
  <c r="EX90" i="19"/>
  <c r="EY90" i="19"/>
  <c r="EZ90" i="19"/>
  <c r="FA90" i="19"/>
  <c r="FB90" i="19"/>
  <c r="FC90" i="19"/>
  <c r="FD90" i="19"/>
  <c r="FE90" i="19"/>
  <c r="FF90" i="19"/>
  <c r="FG90" i="19"/>
  <c r="FH90" i="19"/>
  <c r="FI90" i="19"/>
  <c r="FJ90" i="19"/>
  <c r="FK90" i="19"/>
  <c r="FL90" i="19"/>
  <c r="FM90" i="19"/>
  <c r="FN90" i="19"/>
  <c r="FO90" i="19"/>
  <c r="FP90" i="19"/>
  <c r="FQ90" i="19"/>
  <c r="FR90" i="19"/>
  <c r="FS90" i="19"/>
  <c r="FT90" i="19"/>
  <c r="FU90" i="19"/>
  <c r="FV90" i="19"/>
  <c r="FW90" i="19"/>
  <c r="FX90" i="19"/>
  <c r="FY90" i="19"/>
  <c r="FZ90" i="19"/>
  <c r="GA90" i="19"/>
  <c r="GB90" i="19"/>
  <c r="GC90" i="19"/>
  <c r="GD90" i="19"/>
  <c r="GE90" i="19"/>
  <c r="GF90" i="19"/>
  <c r="GG90" i="19"/>
  <c r="GH90" i="19"/>
  <c r="GI90" i="19"/>
  <c r="GJ90" i="19"/>
  <c r="GK90" i="19"/>
  <c r="GL90" i="19"/>
  <c r="GM90" i="19"/>
  <c r="GN90" i="19"/>
  <c r="GO90" i="19"/>
  <c r="GP90" i="19"/>
  <c r="GQ90" i="19"/>
  <c r="GR90" i="19"/>
  <c r="GS90" i="19"/>
  <c r="GT90" i="19"/>
  <c r="GU90" i="19"/>
  <c r="GV90" i="19"/>
  <c r="GW90" i="19"/>
  <c r="GX90" i="19"/>
  <c r="GY90" i="19"/>
  <c r="GZ90" i="19"/>
  <c r="HA90" i="19"/>
  <c r="HB90" i="19"/>
  <c r="HC90" i="19"/>
  <c r="HD90" i="19"/>
  <c r="HE90" i="19"/>
  <c r="HF90" i="19"/>
  <c r="HG90" i="19"/>
  <c r="HH90" i="19"/>
  <c r="HI90" i="19"/>
  <c r="HJ90" i="19"/>
  <c r="HK90" i="19"/>
  <c r="HL90" i="19"/>
  <c r="HM90" i="19"/>
  <c r="HN90" i="19"/>
  <c r="HO90" i="19"/>
  <c r="HP90" i="19"/>
  <c r="HQ90" i="19"/>
  <c r="HR90" i="19"/>
  <c r="HS90" i="19"/>
  <c r="HT90" i="19"/>
  <c r="HU90" i="19"/>
  <c r="HV90" i="19"/>
  <c r="HW90" i="19"/>
  <c r="HX90" i="19"/>
  <c r="HY90" i="19"/>
  <c r="HZ90" i="19"/>
  <c r="IA90" i="19"/>
  <c r="IB90" i="19"/>
  <c r="IC90" i="19"/>
  <c r="ID90" i="19"/>
  <c r="IE90" i="19"/>
  <c r="IF90" i="19"/>
  <c r="IG90" i="19"/>
  <c r="IH90" i="19"/>
  <c r="II90" i="19"/>
  <c r="IJ90" i="19"/>
  <c r="IK90" i="19"/>
  <c r="IL90" i="19"/>
  <c r="IM90" i="19"/>
  <c r="IN90" i="19"/>
  <c r="IO90" i="19"/>
  <c r="IP90" i="19"/>
  <c r="IQ90" i="19"/>
  <c r="IR90" i="19"/>
  <c r="IS90" i="19"/>
  <c r="IT90" i="19"/>
  <c r="IU90" i="19"/>
  <c r="IV90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AE91" i="19"/>
  <c r="AF91" i="19"/>
  <c r="AG91" i="19"/>
  <c r="AH91" i="19"/>
  <c r="AI91" i="19"/>
  <c r="AJ91" i="19"/>
  <c r="AK91" i="19"/>
  <c r="AL91" i="19"/>
  <c r="AM91" i="19"/>
  <c r="AN91" i="19"/>
  <c r="AO91" i="19"/>
  <c r="AP91" i="19"/>
  <c r="AQ91" i="19"/>
  <c r="AR91" i="19"/>
  <c r="AS91" i="19"/>
  <c r="AT91" i="19"/>
  <c r="AU91" i="19"/>
  <c r="AV91" i="19"/>
  <c r="AW91" i="19"/>
  <c r="AX91" i="19"/>
  <c r="AY91" i="19"/>
  <c r="AZ91" i="19"/>
  <c r="BA91" i="19"/>
  <c r="BB91" i="19"/>
  <c r="BC91" i="19"/>
  <c r="BD91" i="19"/>
  <c r="BE91" i="19"/>
  <c r="BF91" i="19"/>
  <c r="BG91" i="19"/>
  <c r="BH91" i="19"/>
  <c r="BI91" i="19"/>
  <c r="BJ91" i="19"/>
  <c r="BK91" i="19"/>
  <c r="BL91" i="19"/>
  <c r="BM91" i="19"/>
  <c r="BN91" i="19"/>
  <c r="BO91" i="19"/>
  <c r="BP91" i="19"/>
  <c r="BQ91" i="19"/>
  <c r="BR91" i="19"/>
  <c r="BS91" i="19"/>
  <c r="BT91" i="19"/>
  <c r="BU91" i="19"/>
  <c r="BV91" i="19"/>
  <c r="BW91" i="19"/>
  <c r="BX91" i="19"/>
  <c r="BY91" i="19"/>
  <c r="BZ91" i="19"/>
  <c r="CA91" i="19"/>
  <c r="CB91" i="19"/>
  <c r="CC91" i="19"/>
  <c r="CD91" i="19"/>
  <c r="CE91" i="19"/>
  <c r="CF91" i="19"/>
  <c r="CG91" i="19"/>
  <c r="CH91" i="19"/>
  <c r="CI91" i="19"/>
  <c r="CJ91" i="19"/>
  <c r="CK91" i="19"/>
  <c r="CL91" i="19"/>
  <c r="CM91" i="19"/>
  <c r="CN91" i="19"/>
  <c r="CO91" i="19"/>
  <c r="CP91" i="19"/>
  <c r="CQ91" i="19"/>
  <c r="CR91" i="19"/>
  <c r="CS91" i="19"/>
  <c r="CT91" i="19"/>
  <c r="CU91" i="19"/>
  <c r="CV91" i="19"/>
  <c r="CW91" i="19"/>
  <c r="CX91" i="19"/>
  <c r="CY91" i="19"/>
  <c r="CZ91" i="19"/>
  <c r="DA91" i="19"/>
  <c r="DB91" i="19"/>
  <c r="DC91" i="19"/>
  <c r="DD91" i="19"/>
  <c r="DE91" i="19"/>
  <c r="DF91" i="19"/>
  <c r="DG91" i="19"/>
  <c r="DH91" i="19"/>
  <c r="DI91" i="19"/>
  <c r="DJ91" i="19"/>
  <c r="DK91" i="19"/>
  <c r="DL91" i="19"/>
  <c r="DM91" i="19"/>
  <c r="DN91" i="19"/>
  <c r="DO91" i="19"/>
  <c r="DP91" i="19"/>
  <c r="DQ91" i="19"/>
  <c r="DR91" i="19"/>
  <c r="DS91" i="19"/>
  <c r="DT91" i="19"/>
  <c r="DU91" i="19"/>
  <c r="DV91" i="19"/>
  <c r="DW91" i="19"/>
  <c r="DX91" i="19"/>
  <c r="DY91" i="19"/>
  <c r="DZ91" i="19"/>
  <c r="EA91" i="19"/>
  <c r="EB91" i="19"/>
  <c r="EC91" i="19"/>
  <c r="ED91" i="19"/>
  <c r="EE91" i="19"/>
  <c r="EF91" i="19"/>
  <c r="EG91" i="19"/>
  <c r="EH91" i="19"/>
  <c r="EI91" i="19"/>
  <c r="EJ91" i="19"/>
  <c r="EK91" i="19"/>
  <c r="EL91" i="19"/>
  <c r="EM91" i="19"/>
  <c r="EN91" i="19"/>
  <c r="EO91" i="19"/>
  <c r="EP91" i="19"/>
  <c r="EQ91" i="19"/>
  <c r="ER91" i="19"/>
  <c r="ES91" i="19"/>
  <c r="ET91" i="19"/>
  <c r="EU91" i="19"/>
  <c r="EV91" i="19"/>
  <c r="EW91" i="19"/>
  <c r="EX91" i="19"/>
  <c r="EY91" i="19"/>
  <c r="EZ91" i="19"/>
  <c r="FA91" i="19"/>
  <c r="FB91" i="19"/>
  <c r="FC91" i="19"/>
  <c r="FD91" i="19"/>
  <c r="FE91" i="19"/>
  <c r="FF91" i="19"/>
  <c r="FG91" i="19"/>
  <c r="FH91" i="19"/>
  <c r="FI91" i="19"/>
  <c r="FJ91" i="19"/>
  <c r="FK91" i="19"/>
  <c r="FL91" i="19"/>
  <c r="FM91" i="19"/>
  <c r="FN91" i="19"/>
  <c r="FO91" i="19"/>
  <c r="FP91" i="19"/>
  <c r="FQ91" i="19"/>
  <c r="FR91" i="19"/>
  <c r="FS91" i="19"/>
  <c r="FT91" i="19"/>
  <c r="FU91" i="19"/>
  <c r="FV91" i="19"/>
  <c r="FW91" i="19"/>
  <c r="FX91" i="19"/>
  <c r="FY91" i="19"/>
  <c r="FZ91" i="19"/>
  <c r="GA91" i="19"/>
  <c r="GB91" i="19"/>
  <c r="GC91" i="19"/>
  <c r="GD91" i="19"/>
  <c r="GE91" i="19"/>
  <c r="GF91" i="19"/>
  <c r="GG91" i="19"/>
  <c r="GH91" i="19"/>
  <c r="GI91" i="19"/>
  <c r="GJ91" i="19"/>
  <c r="GK91" i="19"/>
  <c r="GL91" i="19"/>
  <c r="GM91" i="19"/>
  <c r="GN91" i="19"/>
  <c r="GO91" i="19"/>
  <c r="GP91" i="19"/>
  <c r="GQ91" i="19"/>
  <c r="GR91" i="19"/>
  <c r="GS91" i="19"/>
  <c r="GT91" i="19"/>
  <c r="GU91" i="19"/>
  <c r="GV91" i="19"/>
  <c r="GW91" i="19"/>
  <c r="GX91" i="19"/>
  <c r="GY91" i="19"/>
  <c r="GZ91" i="19"/>
  <c r="HA91" i="19"/>
  <c r="HB91" i="19"/>
  <c r="HC91" i="19"/>
  <c r="HD91" i="19"/>
  <c r="HE91" i="19"/>
  <c r="HF91" i="19"/>
  <c r="HG91" i="19"/>
  <c r="HH91" i="19"/>
  <c r="HI91" i="19"/>
  <c r="HJ91" i="19"/>
  <c r="HK91" i="19"/>
  <c r="HL91" i="19"/>
  <c r="HM91" i="19"/>
  <c r="HN91" i="19"/>
  <c r="HO91" i="19"/>
  <c r="HP91" i="19"/>
  <c r="HQ91" i="19"/>
  <c r="HR91" i="19"/>
  <c r="HS91" i="19"/>
  <c r="HT91" i="19"/>
  <c r="HU91" i="19"/>
  <c r="HV91" i="19"/>
  <c r="HW91" i="19"/>
  <c r="HX91" i="19"/>
  <c r="HY91" i="19"/>
  <c r="HZ91" i="19"/>
  <c r="IA91" i="19"/>
  <c r="IB91" i="19"/>
  <c r="IC91" i="19"/>
  <c r="ID91" i="19"/>
  <c r="IE91" i="19"/>
  <c r="IF91" i="19"/>
  <c r="IG91" i="19"/>
  <c r="IH91" i="19"/>
  <c r="II91" i="19"/>
  <c r="IJ91" i="19"/>
  <c r="IK91" i="19"/>
  <c r="IL91" i="19"/>
  <c r="IM91" i="19"/>
  <c r="IN91" i="19"/>
  <c r="IO91" i="19"/>
  <c r="IP91" i="19"/>
  <c r="IQ91" i="19"/>
  <c r="IR91" i="19"/>
  <c r="IS91" i="19"/>
  <c r="IT91" i="19"/>
  <c r="IU91" i="19"/>
  <c r="IV91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AE92" i="19"/>
  <c r="AF92" i="19"/>
  <c r="AG92" i="19"/>
  <c r="AH92" i="19"/>
  <c r="AI92" i="19"/>
  <c r="AJ92" i="19"/>
  <c r="AK92" i="19"/>
  <c r="AL92" i="19"/>
  <c r="AM92" i="19"/>
  <c r="AN92" i="19"/>
  <c r="AO92" i="19"/>
  <c r="AP92" i="19"/>
  <c r="AQ92" i="19"/>
  <c r="AR92" i="19"/>
  <c r="AS92" i="19"/>
  <c r="AT92" i="19"/>
  <c r="AU92" i="19"/>
  <c r="AV92" i="19"/>
  <c r="AW92" i="19"/>
  <c r="AX92" i="19"/>
  <c r="AY92" i="19"/>
  <c r="AZ92" i="19"/>
  <c r="BA92" i="19"/>
  <c r="BB92" i="19"/>
  <c r="BC92" i="19"/>
  <c r="BD92" i="19"/>
  <c r="BE92" i="19"/>
  <c r="BF92" i="19"/>
  <c r="BG92" i="19"/>
  <c r="BH92" i="19"/>
  <c r="BI92" i="19"/>
  <c r="BJ92" i="19"/>
  <c r="BK92" i="19"/>
  <c r="BL92" i="19"/>
  <c r="BM92" i="19"/>
  <c r="BN92" i="19"/>
  <c r="BO92" i="19"/>
  <c r="BP92" i="19"/>
  <c r="BQ92" i="19"/>
  <c r="BR92" i="19"/>
  <c r="BS92" i="19"/>
  <c r="BT92" i="19"/>
  <c r="BU92" i="19"/>
  <c r="BV92" i="19"/>
  <c r="BW92" i="19"/>
  <c r="BX92" i="19"/>
  <c r="BY92" i="19"/>
  <c r="BZ92" i="19"/>
  <c r="CA92" i="19"/>
  <c r="CB92" i="19"/>
  <c r="CC92" i="19"/>
  <c r="CD92" i="19"/>
  <c r="CE92" i="19"/>
  <c r="CF92" i="19"/>
  <c r="CG92" i="19"/>
  <c r="CH92" i="19"/>
  <c r="CI92" i="19"/>
  <c r="CJ92" i="19"/>
  <c r="CK92" i="19"/>
  <c r="CL92" i="19"/>
  <c r="CM92" i="19"/>
  <c r="CN92" i="19"/>
  <c r="CO92" i="19"/>
  <c r="CP92" i="19"/>
  <c r="CQ92" i="19"/>
  <c r="CR92" i="19"/>
  <c r="CS92" i="19"/>
  <c r="CT92" i="19"/>
  <c r="CU92" i="19"/>
  <c r="CV92" i="19"/>
  <c r="CW92" i="19"/>
  <c r="CX92" i="19"/>
  <c r="CY92" i="19"/>
  <c r="CZ92" i="19"/>
  <c r="DA92" i="19"/>
  <c r="DB92" i="19"/>
  <c r="DC92" i="19"/>
  <c r="DD92" i="19"/>
  <c r="DE92" i="19"/>
  <c r="DF92" i="19"/>
  <c r="DG92" i="19"/>
  <c r="DH92" i="19"/>
  <c r="DI92" i="19"/>
  <c r="DJ92" i="19"/>
  <c r="DK92" i="19"/>
  <c r="DL92" i="19"/>
  <c r="DM92" i="19"/>
  <c r="DN92" i="19"/>
  <c r="DO92" i="19"/>
  <c r="DP92" i="19"/>
  <c r="DQ92" i="19"/>
  <c r="DR92" i="19"/>
  <c r="DS92" i="19"/>
  <c r="DT92" i="19"/>
  <c r="DU92" i="19"/>
  <c r="DV92" i="19"/>
  <c r="DW92" i="19"/>
  <c r="DX92" i="19"/>
  <c r="DY92" i="19"/>
  <c r="DZ92" i="19"/>
  <c r="EA92" i="19"/>
  <c r="EB92" i="19"/>
  <c r="EC92" i="19"/>
  <c r="ED92" i="19"/>
  <c r="EE92" i="19"/>
  <c r="EF92" i="19"/>
  <c r="EG92" i="19"/>
  <c r="EH92" i="19"/>
  <c r="EI92" i="19"/>
  <c r="EJ92" i="19"/>
  <c r="EK92" i="19"/>
  <c r="EL92" i="19"/>
  <c r="EM92" i="19"/>
  <c r="EN92" i="19"/>
  <c r="EO92" i="19"/>
  <c r="EP92" i="19"/>
  <c r="EQ92" i="19"/>
  <c r="ER92" i="19"/>
  <c r="ES92" i="19"/>
  <c r="ET92" i="19"/>
  <c r="EU92" i="19"/>
  <c r="EV92" i="19"/>
  <c r="EW92" i="19"/>
  <c r="EX92" i="19"/>
  <c r="EY92" i="19"/>
  <c r="EZ92" i="19"/>
  <c r="FA92" i="19"/>
  <c r="FB92" i="19"/>
  <c r="FC92" i="19"/>
  <c r="FD92" i="19"/>
  <c r="FE92" i="19"/>
  <c r="FF92" i="19"/>
  <c r="FG92" i="19"/>
  <c r="FH92" i="19"/>
  <c r="FI92" i="19"/>
  <c r="FJ92" i="19"/>
  <c r="FK92" i="19"/>
  <c r="FL92" i="19"/>
  <c r="FM92" i="19"/>
  <c r="FN92" i="19"/>
  <c r="FO92" i="19"/>
  <c r="FP92" i="19"/>
  <c r="FQ92" i="19"/>
  <c r="FR92" i="19"/>
  <c r="FS92" i="19"/>
  <c r="FT92" i="19"/>
  <c r="FU92" i="19"/>
  <c r="FV92" i="19"/>
  <c r="FW92" i="19"/>
  <c r="FX92" i="19"/>
  <c r="FY92" i="19"/>
  <c r="FZ92" i="19"/>
  <c r="GA92" i="19"/>
  <c r="GB92" i="19"/>
  <c r="GC92" i="19"/>
  <c r="GD92" i="19"/>
  <c r="GE92" i="19"/>
  <c r="GF92" i="19"/>
  <c r="GG92" i="19"/>
  <c r="GH92" i="19"/>
  <c r="GI92" i="19"/>
  <c r="GJ92" i="19"/>
  <c r="GK92" i="19"/>
  <c r="GL92" i="19"/>
  <c r="GM92" i="19"/>
  <c r="GN92" i="19"/>
  <c r="GO92" i="19"/>
  <c r="GP92" i="19"/>
  <c r="GQ92" i="19"/>
  <c r="GR92" i="19"/>
  <c r="GS92" i="19"/>
  <c r="GT92" i="19"/>
  <c r="GU92" i="19"/>
  <c r="GV92" i="19"/>
  <c r="GW92" i="19"/>
  <c r="GX92" i="19"/>
  <c r="GY92" i="19"/>
  <c r="GZ92" i="19"/>
  <c r="HA92" i="19"/>
  <c r="HB92" i="19"/>
  <c r="HC92" i="19"/>
  <c r="HD92" i="19"/>
  <c r="HE92" i="19"/>
  <c r="HF92" i="19"/>
  <c r="HG92" i="19"/>
  <c r="HH92" i="19"/>
  <c r="HI92" i="19"/>
  <c r="HJ92" i="19"/>
  <c r="HK92" i="19"/>
  <c r="HL92" i="19"/>
  <c r="HM92" i="19"/>
  <c r="HN92" i="19"/>
  <c r="HO92" i="19"/>
  <c r="HP92" i="19"/>
  <c r="HQ92" i="19"/>
  <c r="HR92" i="19"/>
  <c r="HS92" i="19"/>
  <c r="HT92" i="19"/>
  <c r="HU92" i="19"/>
  <c r="HV92" i="19"/>
  <c r="HW92" i="19"/>
  <c r="HX92" i="19"/>
  <c r="HY92" i="19"/>
  <c r="HZ92" i="19"/>
  <c r="IA92" i="19"/>
  <c r="IB92" i="19"/>
  <c r="IC92" i="19"/>
  <c r="ID92" i="19"/>
  <c r="IE92" i="19"/>
  <c r="IF92" i="19"/>
  <c r="IG92" i="19"/>
  <c r="IH92" i="19"/>
  <c r="II92" i="19"/>
  <c r="IJ92" i="19"/>
  <c r="IK92" i="19"/>
  <c r="IL92" i="19"/>
  <c r="IM92" i="19"/>
  <c r="IN92" i="19"/>
  <c r="IO92" i="19"/>
  <c r="IP92" i="19"/>
  <c r="IQ92" i="19"/>
  <c r="IR92" i="19"/>
  <c r="IS92" i="19"/>
  <c r="IT92" i="19"/>
  <c r="IU92" i="19"/>
  <c r="IV92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AE93" i="19"/>
  <c r="AF93" i="19"/>
  <c r="AG93" i="19"/>
  <c r="AH93" i="19"/>
  <c r="AI93" i="19"/>
  <c r="AJ93" i="19"/>
  <c r="AK93" i="19"/>
  <c r="AL93" i="19"/>
  <c r="AM93" i="19"/>
  <c r="AN93" i="19"/>
  <c r="AO93" i="19"/>
  <c r="AP93" i="19"/>
  <c r="AQ93" i="19"/>
  <c r="AR93" i="19"/>
  <c r="AS93" i="19"/>
  <c r="AT93" i="19"/>
  <c r="AU93" i="19"/>
  <c r="AV93" i="19"/>
  <c r="AW93" i="19"/>
  <c r="AX93" i="19"/>
  <c r="AY93" i="19"/>
  <c r="AZ93" i="19"/>
  <c r="BA93" i="19"/>
  <c r="BB93" i="19"/>
  <c r="BC93" i="19"/>
  <c r="BD93" i="19"/>
  <c r="BE93" i="19"/>
  <c r="BF93" i="19"/>
  <c r="BG93" i="19"/>
  <c r="BH93" i="19"/>
  <c r="BI93" i="19"/>
  <c r="BJ93" i="19"/>
  <c r="BK93" i="19"/>
  <c r="BL93" i="19"/>
  <c r="BM93" i="19"/>
  <c r="BN93" i="19"/>
  <c r="BO93" i="19"/>
  <c r="BP93" i="19"/>
  <c r="BQ93" i="19"/>
  <c r="BR93" i="19"/>
  <c r="BS93" i="19"/>
  <c r="BT93" i="19"/>
  <c r="BU93" i="19"/>
  <c r="BV93" i="19"/>
  <c r="BW93" i="19"/>
  <c r="BX93" i="19"/>
  <c r="BY93" i="19"/>
  <c r="BZ93" i="19"/>
  <c r="CA93" i="19"/>
  <c r="CB93" i="19"/>
  <c r="CC93" i="19"/>
  <c r="CD93" i="19"/>
  <c r="CE93" i="19"/>
  <c r="CF93" i="19"/>
  <c r="CG93" i="19"/>
  <c r="CH93" i="19"/>
  <c r="CI93" i="19"/>
  <c r="CJ93" i="19"/>
  <c r="CK93" i="19"/>
  <c r="CL93" i="19"/>
  <c r="CM93" i="19"/>
  <c r="CN93" i="19"/>
  <c r="CO93" i="19"/>
  <c r="CP93" i="19"/>
  <c r="CQ93" i="19"/>
  <c r="CR93" i="19"/>
  <c r="CS93" i="19"/>
  <c r="CT93" i="19"/>
  <c r="CU93" i="19"/>
  <c r="CV93" i="19"/>
  <c r="CW93" i="19"/>
  <c r="CX93" i="19"/>
  <c r="CY93" i="19"/>
  <c r="CZ93" i="19"/>
  <c r="DA93" i="19"/>
  <c r="DB93" i="19"/>
  <c r="DC93" i="19"/>
  <c r="DD93" i="19"/>
  <c r="DE93" i="19"/>
  <c r="DF93" i="19"/>
  <c r="DG93" i="19"/>
  <c r="DH93" i="19"/>
  <c r="DI93" i="19"/>
  <c r="DJ93" i="19"/>
  <c r="DK93" i="19"/>
  <c r="DL93" i="19"/>
  <c r="DM93" i="19"/>
  <c r="DN93" i="19"/>
  <c r="DO93" i="19"/>
  <c r="DP93" i="19"/>
  <c r="DQ93" i="19"/>
  <c r="DR93" i="19"/>
  <c r="DS93" i="19"/>
  <c r="DT93" i="19"/>
  <c r="DU93" i="19"/>
  <c r="DV93" i="19"/>
  <c r="DW93" i="19"/>
  <c r="DX93" i="19"/>
  <c r="DY93" i="19"/>
  <c r="DZ93" i="19"/>
  <c r="EA93" i="19"/>
  <c r="EB93" i="19"/>
  <c r="EC93" i="19"/>
  <c r="ED93" i="19"/>
  <c r="EE93" i="19"/>
  <c r="EF93" i="19"/>
  <c r="EG93" i="19"/>
  <c r="EH93" i="19"/>
  <c r="EI93" i="19"/>
  <c r="EJ93" i="19"/>
  <c r="EK93" i="19"/>
  <c r="EL93" i="19"/>
  <c r="EM93" i="19"/>
  <c r="EN93" i="19"/>
  <c r="EO93" i="19"/>
  <c r="EP93" i="19"/>
  <c r="EQ93" i="19"/>
  <c r="ER93" i="19"/>
  <c r="ES93" i="19"/>
  <c r="ET93" i="19"/>
  <c r="EU93" i="19"/>
  <c r="EV93" i="19"/>
  <c r="EW93" i="19"/>
  <c r="EX93" i="19"/>
  <c r="EY93" i="19"/>
  <c r="EZ93" i="19"/>
  <c r="FA93" i="19"/>
  <c r="FB93" i="19"/>
  <c r="FC93" i="19"/>
  <c r="FD93" i="19"/>
  <c r="FE93" i="19"/>
  <c r="FF93" i="19"/>
  <c r="FG93" i="19"/>
  <c r="FH93" i="19"/>
  <c r="FI93" i="19"/>
  <c r="FJ93" i="19"/>
  <c r="FK93" i="19"/>
  <c r="FL93" i="19"/>
  <c r="FM93" i="19"/>
  <c r="FN93" i="19"/>
  <c r="FO93" i="19"/>
  <c r="FP93" i="19"/>
  <c r="FQ93" i="19"/>
  <c r="FR93" i="19"/>
  <c r="FS93" i="19"/>
  <c r="FT93" i="19"/>
  <c r="FU93" i="19"/>
  <c r="FV93" i="19"/>
  <c r="FW93" i="19"/>
  <c r="FX93" i="19"/>
  <c r="FY93" i="19"/>
  <c r="FZ93" i="19"/>
  <c r="GA93" i="19"/>
  <c r="GB93" i="19"/>
  <c r="GC93" i="19"/>
  <c r="GD93" i="19"/>
  <c r="GE93" i="19"/>
  <c r="GF93" i="19"/>
  <c r="GG93" i="19"/>
  <c r="GH93" i="19"/>
  <c r="GI93" i="19"/>
  <c r="GJ93" i="19"/>
  <c r="GK93" i="19"/>
  <c r="GL93" i="19"/>
  <c r="GM93" i="19"/>
  <c r="GN93" i="19"/>
  <c r="GO93" i="19"/>
  <c r="GP93" i="19"/>
  <c r="GQ93" i="19"/>
  <c r="GR93" i="19"/>
  <c r="GS93" i="19"/>
  <c r="GT93" i="19"/>
  <c r="GU93" i="19"/>
  <c r="GV93" i="19"/>
  <c r="GW93" i="19"/>
  <c r="GX93" i="19"/>
  <c r="GY93" i="19"/>
  <c r="GZ93" i="19"/>
  <c r="HA93" i="19"/>
  <c r="HB93" i="19"/>
  <c r="HC93" i="19"/>
  <c r="HD93" i="19"/>
  <c r="HE93" i="19"/>
  <c r="HF93" i="19"/>
  <c r="HG93" i="19"/>
  <c r="HH93" i="19"/>
  <c r="HI93" i="19"/>
  <c r="HJ93" i="19"/>
  <c r="HK93" i="19"/>
  <c r="HL93" i="19"/>
  <c r="HM93" i="19"/>
  <c r="HN93" i="19"/>
  <c r="HO93" i="19"/>
  <c r="HP93" i="19"/>
  <c r="HQ93" i="19"/>
  <c r="HR93" i="19"/>
  <c r="HS93" i="19"/>
  <c r="HT93" i="19"/>
  <c r="HU93" i="19"/>
  <c r="HV93" i="19"/>
  <c r="HW93" i="19"/>
  <c r="HX93" i="19"/>
  <c r="HY93" i="19"/>
  <c r="HZ93" i="19"/>
  <c r="IA93" i="19"/>
  <c r="IB93" i="19"/>
  <c r="IC93" i="19"/>
  <c r="ID93" i="19"/>
  <c r="IE93" i="19"/>
  <c r="IF93" i="19"/>
  <c r="IG93" i="19"/>
  <c r="IH93" i="19"/>
  <c r="II93" i="19"/>
  <c r="IJ93" i="19"/>
  <c r="IK93" i="19"/>
  <c r="IL93" i="19"/>
  <c r="IM93" i="19"/>
  <c r="IN93" i="19"/>
  <c r="IO93" i="19"/>
  <c r="IP93" i="19"/>
  <c r="IQ93" i="19"/>
  <c r="IR93" i="19"/>
  <c r="IS93" i="19"/>
  <c r="IT93" i="19"/>
  <c r="IU93" i="19"/>
  <c r="IV93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AF94" i="19"/>
  <c r="AG94" i="19"/>
  <c r="AH94" i="19"/>
  <c r="AI94" i="19"/>
  <c r="AJ94" i="19"/>
  <c r="AK94" i="19"/>
  <c r="AL94" i="19"/>
  <c r="AM94" i="19"/>
  <c r="AN94" i="19"/>
  <c r="AO94" i="19"/>
  <c r="AP94" i="19"/>
  <c r="AQ94" i="19"/>
  <c r="AR94" i="19"/>
  <c r="AS94" i="19"/>
  <c r="AT94" i="19"/>
  <c r="AU94" i="19"/>
  <c r="AV94" i="19"/>
  <c r="AW94" i="19"/>
  <c r="AX94" i="19"/>
  <c r="AY94" i="19"/>
  <c r="AZ94" i="19"/>
  <c r="BA94" i="19"/>
  <c r="BB94" i="19"/>
  <c r="BC94" i="19"/>
  <c r="BD94" i="19"/>
  <c r="BE94" i="19"/>
  <c r="BF94" i="19"/>
  <c r="BG94" i="19"/>
  <c r="BH94" i="19"/>
  <c r="BI94" i="19"/>
  <c r="BJ94" i="19"/>
  <c r="BK94" i="19"/>
  <c r="BL94" i="19"/>
  <c r="BM94" i="19"/>
  <c r="BN94" i="19"/>
  <c r="BO94" i="19"/>
  <c r="BP94" i="19"/>
  <c r="BQ94" i="19"/>
  <c r="BR94" i="19"/>
  <c r="BS94" i="19"/>
  <c r="BT94" i="19"/>
  <c r="BU94" i="19"/>
  <c r="BV94" i="19"/>
  <c r="BW94" i="19"/>
  <c r="BX94" i="19"/>
  <c r="BY94" i="19"/>
  <c r="BZ94" i="19"/>
  <c r="CA94" i="19"/>
  <c r="CB94" i="19"/>
  <c r="CC94" i="19"/>
  <c r="CD94" i="19"/>
  <c r="CE94" i="19"/>
  <c r="CF94" i="19"/>
  <c r="CG94" i="19"/>
  <c r="CH94" i="19"/>
  <c r="CI94" i="19"/>
  <c r="CJ94" i="19"/>
  <c r="CK94" i="19"/>
  <c r="CL94" i="19"/>
  <c r="CM94" i="19"/>
  <c r="CN94" i="19"/>
  <c r="CO94" i="19"/>
  <c r="CP94" i="19"/>
  <c r="CQ94" i="19"/>
  <c r="CR94" i="19"/>
  <c r="CS94" i="19"/>
  <c r="CT94" i="19"/>
  <c r="CU94" i="19"/>
  <c r="CV94" i="19"/>
  <c r="CW94" i="19"/>
  <c r="CX94" i="19"/>
  <c r="CY94" i="19"/>
  <c r="CZ94" i="19"/>
  <c r="DA94" i="19"/>
  <c r="DB94" i="19"/>
  <c r="DC94" i="19"/>
  <c r="DD94" i="19"/>
  <c r="DE94" i="19"/>
  <c r="DF94" i="19"/>
  <c r="DG94" i="19"/>
  <c r="DH94" i="19"/>
  <c r="DI94" i="19"/>
  <c r="DJ94" i="19"/>
  <c r="DK94" i="19"/>
  <c r="DL94" i="19"/>
  <c r="DM94" i="19"/>
  <c r="DN94" i="19"/>
  <c r="DO94" i="19"/>
  <c r="DP94" i="19"/>
  <c r="DQ94" i="19"/>
  <c r="DR94" i="19"/>
  <c r="DS94" i="19"/>
  <c r="DT94" i="19"/>
  <c r="DU94" i="19"/>
  <c r="DV94" i="19"/>
  <c r="DW94" i="19"/>
  <c r="DX94" i="19"/>
  <c r="DY94" i="19"/>
  <c r="DZ94" i="19"/>
  <c r="EA94" i="19"/>
  <c r="EB94" i="19"/>
  <c r="EC94" i="19"/>
  <c r="ED94" i="19"/>
  <c r="EE94" i="19"/>
  <c r="EF94" i="19"/>
  <c r="EG94" i="19"/>
  <c r="EH94" i="19"/>
  <c r="EI94" i="19"/>
  <c r="EJ94" i="19"/>
  <c r="EK94" i="19"/>
  <c r="EL94" i="19"/>
  <c r="EM94" i="19"/>
  <c r="EN94" i="19"/>
  <c r="EO94" i="19"/>
  <c r="EP94" i="19"/>
  <c r="EQ94" i="19"/>
  <c r="ER94" i="19"/>
  <c r="ES94" i="19"/>
  <c r="ET94" i="19"/>
  <c r="EU94" i="19"/>
  <c r="EV94" i="19"/>
  <c r="EW94" i="19"/>
  <c r="EX94" i="19"/>
  <c r="EY94" i="19"/>
  <c r="EZ94" i="19"/>
  <c r="FA94" i="19"/>
  <c r="FB94" i="19"/>
  <c r="FC94" i="19"/>
  <c r="FD94" i="19"/>
  <c r="FE94" i="19"/>
  <c r="FF94" i="19"/>
  <c r="FG94" i="19"/>
  <c r="FH94" i="19"/>
  <c r="FI94" i="19"/>
  <c r="FJ94" i="19"/>
  <c r="FK94" i="19"/>
  <c r="FL94" i="19"/>
  <c r="FM94" i="19"/>
  <c r="FN94" i="19"/>
  <c r="FO94" i="19"/>
  <c r="FP94" i="19"/>
  <c r="FQ94" i="19"/>
  <c r="FR94" i="19"/>
  <c r="FS94" i="19"/>
  <c r="FT94" i="19"/>
  <c r="FU94" i="19"/>
  <c r="FV94" i="19"/>
  <c r="FW94" i="19"/>
  <c r="FX94" i="19"/>
  <c r="FY94" i="19"/>
  <c r="FZ94" i="19"/>
  <c r="GA94" i="19"/>
  <c r="GB94" i="19"/>
  <c r="GC94" i="19"/>
  <c r="GD94" i="19"/>
  <c r="GE94" i="19"/>
  <c r="GF94" i="19"/>
  <c r="GG94" i="19"/>
  <c r="GH94" i="19"/>
  <c r="GI94" i="19"/>
  <c r="GJ94" i="19"/>
  <c r="GK94" i="19"/>
  <c r="GL94" i="19"/>
  <c r="GM94" i="19"/>
  <c r="GN94" i="19"/>
  <c r="GO94" i="19"/>
  <c r="GP94" i="19"/>
  <c r="GQ94" i="19"/>
  <c r="GR94" i="19"/>
  <c r="GS94" i="19"/>
  <c r="GT94" i="19"/>
  <c r="GU94" i="19"/>
  <c r="GV94" i="19"/>
  <c r="GW94" i="19"/>
  <c r="GX94" i="19"/>
  <c r="GY94" i="19"/>
  <c r="GZ94" i="19"/>
  <c r="HA94" i="19"/>
  <c r="HB94" i="19"/>
  <c r="HC94" i="19"/>
  <c r="HD94" i="19"/>
  <c r="HE94" i="19"/>
  <c r="HF94" i="19"/>
  <c r="HG94" i="19"/>
  <c r="HH94" i="19"/>
  <c r="HI94" i="19"/>
  <c r="HJ94" i="19"/>
  <c r="HK94" i="19"/>
  <c r="HL94" i="19"/>
  <c r="HM94" i="19"/>
  <c r="HN94" i="19"/>
  <c r="HO94" i="19"/>
  <c r="HP94" i="19"/>
  <c r="HQ94" i="19"/>
  <c r="HR94" i="19"/>
  <c r="HS94" i="19"/>
  <c r="HT94" i="19"/>
  <c r="HU94" i="19"/>
  <c r="HV94" i="19"/>
  <c r="HW94" i="19"/>
  <c r="HX94" i="19"/>
  <c r="HY94" i="19"/>
  <c r="HZ94" i="19"/>
  <c r="IA94" i="19"/>
  <c r="IB94" i="19"/>
  <c r="IC94" i="19"/>
  <c r="ID94" i="19"/>
  <c r="IE94" i="19"/>
  <c r="IF94" i="19"/>
  <c r="IG94" i="19"/>
  <c r="IH94" i="19"/>
  <c r="II94" i="19"/>
  <c r="IJ94" i="19"/>
  <c r="IK94" i="19"/>
  <c r="IL94" i="19"/>
  <c r="IM94" i="19"/>
  <c r="IN94" i="19"/>
  <c r="IO94" i="19"/>
  <c r="IP94" i="19"/>
  <c r="IQ94" i="19"/>
  <c r="IR94" i="19"/>
  <c r="IS94" i="19"/>
  <c r="IT94" i="19"/>
  <c r="IU94" i="19"/>
  <c r="IV94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AF95" i="19"/>
  <c r="AG95" i="19"/>
  <c r="AH95" i="19"/>
  <c r="AI95" i="19"/>
  <c r="AJ95" i="19"/>
  <c r="AK95" i="19"/>
  <c r="AL95" i="19"/>
  <c r="AM95" i="19"/>
  <c r="AN95" i="19"/>
  <c r="AO95" i="19"/>
  <c r="AP95" i="19"/>
  <c r="AQ95" i="19"/>
  <c r="AR95" i="19"/>
  <c r="AS95" i="19"/>
  <c r="AT95" i="19"/>
  <c r="AU95" i="19"/>
  <c r="AV95" i="19"/>
  <c r="AW95" i="19"/>
  <c r="AX95" i="19"/>
  <c r="AY95" i="19"/>
  <c r="AZ95" i="19"/>
  <c r="BA95" i="19"/>
  <c r="BB95" i="19"/>
  <c r="BC95" i="19"/>
  <c r="BD95" i="19"/>
  <c r="BE95" i="19"/>
  <c r="BF95" i="19"/>
  <c r="BG95" i="19"/>
  <c r="BH95" i="19"/>
  <c r="BI95" i="19"/>
  <c r="BJ95" i="19"/>
  <c r="BK95" i="19"/>
  <c r="BL95" i="19"/>
  <c r="BM95" i="19"/>
  <c r="BN95" i="19"/>
  <c r="BO95" i="19"/>
  <c r="BP95" i="19"/>
  <c r="BQ95" i="19"/>
  <c r="BR95" i="19"/>
  <c r="BS95" i="19"/>
  <c r="BT95" i="19"/>
  <c r="BU95" i="19"/>
  <c r="BV95" i="19"/>
  <c r="BW95" i="19"/>
  <c r="BX95" i="19"/>
  <c r="BY95" i="19"/>
  <c r="BZ95" i="19"/>
  <c r="CA95" i="19"/>
  <c r="CB95" i="19"/>
  <c r="CC95" i="19"/>
  <c r="CD95" i="19"/>
  <c r="CE95" i="19"/>
  <c r="CF95" i="19"/>
  <c r="CG95" i="19"/>
  <c r="CH95" i="19"/>
  <c r="CI95" i="19"/>
  <c r="CJ95" i="19"/>
  <c r="CK95" i="19"/>
  <c r="CL95" i="19"/>
  <c r="CM95" i="19"/>
  <c r="CN95" i="19"/>
  <c r="CO95" i="19"/>
  <c r="CP95" i="19"/>
  <c r="CQ95" i="19"/>
  <c r="CR95" i="19"/>
  <c r="CS95" i="19"/>
  <c r="CT95" i="19"/>
  <c r="CU95" i="19"/>
  <c r="CV95" i="19"/>
  <c r="CW95" i="19"/>
  <c r="CX95" i="19"/>
  <c r="CY95" i="19"/>
  <c r="CZ95" i="19"/>
  <c r="DA95" i="19"/>
  <c r="DB95" i="19"/>
  <c r="DC95" i="19"/>
  <c r="DD95" i="19"/>
  <c r="DE95" i="19"/>
  <c r="DF95" i="19"/>
  <c r="DG95" i="19"/>
  <c r="DH95" i="19"/>
  <c r="DI95" i="19"/>
  <c r="DJ95" i="19"/>
  <c r="DK95" i="19"/>
  <c r="DL95" i="19"/>
  <c r="DM95" i="19"/>
  <c r="DN95" i="19"/>
  <c r="DO95" i="19"/>
  <c r="DP95" i="19"/>
  <c r="DQ95" i="19"/>
  <c r="DR95" i="19"/>
  <c r="DS95" i="19"/>
  <c r="DT95" i="19"/>
  <c r="DU95" i="19"/>
  <c r="DV95" i="19"/>
  <c r="DW95" i="19"/>
  <c r="DX95" i="19"/>
  <c r="DY95" i="19"/>
  <c r="DZ95" i="19"/>
  <c r="EA95" i="19"/>
  <c r="EB95" i="19"/>
  <c r="EC95" i="19"/>
  <c r="ED95" i="19"/>
  <c r="EE95" i="19"/>
  <c r="EF95" i="19"/>
  <c r="EG95" i="19"/>
  <c r="EH95" i="19"/>
  <c r="EI95" i="19"/>
  <c r="EJ95" i="19"/>
  <c r="EK95" i="19"/>
  <c r="EL95" i="19"/>
  <c r="EM95" i="19"/>
  <c r="EN95" i="19"/>
  <c r="EO95" i="19"/>
  <c r="EP95" i="19"/>
  <c r="EQ95" i="19"/>
  <c r="ER95" i="19"/>
  <c r="ES95" i="19"/>
  <c r="ET95" i="19"/>
  <c r="EU95" i="19"/>
  <c r="EV95" i="19"/>
  <c r="EW95" i="19"/>
  <c r="EX95" i="19"/>
  <c r="EY95" i="19"/>
  <c r="EZ95" i="19"/>
  <c r="FA95" i="19"/>
  <c r="FB95" i="19"/>
  <c r="FC95" i="19"/>
  <c r="FD95" i="19"/>
  <c r="FE95" i="19"/>
  <c r="FF95" i="19"/>
  <c r="FG95" i="19"/>
  <c r="FH95" i="19"/>
  <c r="FI95" i="19"/>
  <c r="FJ95" i="19"/>
  <c r="FK95" i="19"/>
  <c r="FL95" i="19"/>
  <c r="FM95" i="19"/>
  <c r="FN95" i="19"/>
  <c r="FO95" i="19"/>
  <c r="FP95" i="19"/>
  <c r="FQ95" i="19"/>
  <c r="FR95" i="19"/>
  <c r="FS95" i="19"/>
  <c r="FT95" i="19"/>
  <c r="FU95" i="19"/>
  <c r="FV95" i="19"/>
  <c r="FW95" i="19"/>
  <c r="FX95" i="19"/>
  <c r="FY95" i="19"/>
  <c r="FZ95" i="19"/>
  <c r="GA95" i="19"/>
  <c r="GB95" i="19"/>
  <c r="GC95" i="19"/>
  <c r="GD95" i="19"/>
  <c r="GE95" i="19"/>
  <c r="GF95" i="19"/>
  <c r="GG95" i="19"/>
  <c r="GH95" i="19"/>
  <c r="GI95" i="19"/>
  <c r="GJ95" i="19"/>
  <c r="GK95" i="19"/>
  <c r="GL95" i="19"/>
  <c r="GM95" i="19"/>
  <c r="GN95" i="19"/>
  <c r="GO95" i="19"/>
  <c r="GP95" i="19"/>
  <c r="GQ95" i="19"/>
  <c r="GR95" i="19"/>
  <c r="GS95" i="19"/>
  <c r="GT95" i="19"/>
  <c r="GU95" i="19"/>
  <c r="GV95" i="19"/>
  <c r="GW95" i="19"/>
  <c r="GX95" i="19"/>
  <c r="GY95" i="19"/>
  <c r="GZ95" i="19"/>
  <c r="HA95" i="19"/>
  <c r="HB95" i="19"/>
  <c r="HC95" i="19"/>
  <c r="HD95" i="19"/>
  <c r="HE95" i="19"/>
  <c r="HF95" i="19"/>
  <c r="HG95" i="19"/>
  <c r="HH95" i="19"/>
  <c r="HI95" i="19"/>
  <c r="HJ95" i="19"/>
  <c r="HK95" i="19"/>
  <c r="HL95" i="19"/>
  <c r="HM95" i="19"/>
  <c r="HN95" i="19"/>
  <c r="HO95" i="19"/>
  <c r="HP95" i="19"/>
  <c r="HQ95" i="19"/>
  <c r="HR95" i="19"/>
  <c r="HS95" i="19"/>
  <c r="HT95" i="19"/>
  <c r="HU95" i="19"/>
  <c r="HV95" i="19"/>
  <c r="HW95" i="19"/>
  <c r="HX95" i="19"/>
  <c r="HY95" i="19"/>
  <c r="HZ95" i="19"/>
  <c r="IA95" i="19"/>
  <c r="IB95" i="19"/>
  <c r="IC95" i="19"/>
  <c r="ID95" i="19"/>
  <c r="IE95" i="19"/>
  <c r="IF95" i="19"/>
  <c r="IG95" i="19"/>
  <c r="IH95" i="19"/>
  <c r="II95" i="19"/>
  <c r="IJ95" i="19"/>
  <c r="IK95" i="19"/>
  <c r="IL95" i="19"/>
  <c r="IM95" i="19"/>
  <c r="IN95" i="19"/>
  <c r="IO95" i="19"/>
  <c r="IP95" i="19"/>
  <c r="IQ95" i="19"/>
  <c r="IR95" i="19"/>
  <c r="IS95" i="19"/>
  <c r="IT95" i="19"/>
  <c r="IU95" i="19"/>
  <c r="IV95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AF96" i="19"/>
  <c r="AG96" i="19"/>
  <c r="AH96" i="19"/>
  <c r="AI96" i="19"/>
  <c r="AJ96" i="19"/>
  <c r="AK96" i="19"/>
  <c r="AL96" i="19"/>
  <c r="AM96" i="19"/>
  <c r="AN96" i="19"/>
  <c r="AO96" i="19"/>
  <c r="AP96" i="19"/>
  <c r="AQ96" i="19"/>
  <c r="AR96" i="19"/>
  <c r="AS96" i="19"/>
  <c r="AT96" i="19"/>
  <c r="AU96" i="19"/>
  <c r="AV96" i="19"/>
  <c r="AW96" i="19"/>
  <c r="AX96" i="19"/>
  <c r="AY96" i="19"/>
  <c r="AZ96" i="19"/>
  <c r="BA96" i="19"/>
  <c r="BB96" i="19"/>
  <c r="BC96" i="19"/>
  <c r="BD96" i="19"/>
  <c r="BE96" i="19"/>
  <c r="BF96" i="19"/>
  <c r="BG96" i="19"/>
  <c r="BH96" i="19"/>
  <c r="BI96" i="19"/>
  <c r="BJ96" i="19"/>
  <c r="BK96" i="19"/>
  <c r="BL96" i="19"/>
  <c r="BM96" i="19"/>
  <c r="BN96" i="19"/>
  <c r="BO96" i="19"/>
  <c r="BP96" i="19"/>
  <c r="BQ96" i="19"/>
  <c r="BR96" i="19"/>
  <c r="BS96" i="19"/>
  <c r="BT96" i="19"/>
  <c r="BU96" i="19"/>
  <c r="BV96" i="19"/>
  <c r="BW96" i="19"/>
  <c r="BX96" i="19"/>
  <c r="BY96" i="19"/>
  <c r="BZ96" i="19"/>
  <c r="CA96" i="19"/>
  <c r="CB96" i="19"/>
  <c r="CC96" i="19"/>
  <c r="CD96" i="19"/>
  <c r="CE96" i="19"/>
  <c r="CF96" i="19"/>
  <c r="CG96" i="19"/>
  <c r="CH96" i="19"/>
  <c r="CI96" i="19"/>
  <c r="CJ96" i="19"/>
  <c r="CK96" i="19"/>
  <c r="CL96" i="19"/>
  <c r="CM96" i="19"/>
  <c r="CN96" i="19"/>
  <c r="CO96" i="19"/>
  <c r="CP96" i="19"/>
  <c r="CQ96" i="19"/>
  <c r="CR96" i="19"/>
  <c r="CS96" i="19"/>
  <c r="CT96" i="19"/>
  <c r="CU96" i="19"/>
  <c r="CV96" i="19"/>
  <c r="CW96" i="19"/>
  <c r="CX96" i="19"/>
  <c r="CY96" i="19"/>
  <c r="CZ96" i="19"/>
  <c r="DA96" i="19"/>
  <c r="DB96" i="19"/>
  <c r="DC96" i="19"/>
  <c r="DD96" i="19"/>
  <c r="DE96" i="19"/>
  <c r="DF96" i="19"/>
  <c r="DG96" i="19"/>
  <c r="DH96" i="19"/>
  <c r="DI96" i="19"/>
  <c r="DJ96" i="19"/>
  <c r="DK96" i="19"/>
  <c r="DL96" i="19"/>
  <c r="DM96" i="19"/>
  <c r="DN96" i="19"/>
  <c r="DO96" i="19"/>
  <c r="DP96" i="19"/>
  <c r="DQ96" i="19"/>
  <c r="DR96" i="19"/>
  <c r="DS96" i="19"/>
  <c r="DT96" i="19"/>
  <c r="DU96" i="19"/>
  <c r="DV96" i="19"/>
  <c r="DW96" i="19"/>
  <c r="DX96" i="19"/>
  <c r="DY96" i="19"/>
  <c r="DZ96" i="19"/>
  <c r="EA96" i="19"/>
  <c r="EB96" i="19"/>
  <c r="EC96" i="19"/>
  <c r="ED96" i="19"/>
  <c r="EE96" i="19"/>
  <c r="EF96" i="19"/>
  <c r="EG96" i="19"/>
  <c r="EH96" i="19"/>
  <c r="EI96" i="19"/>
  <c r="EJ96" i="19"/>
  <c r="EK96" i="19"/>
  <c r="EL96" i="19"/>
  <c r="EM96" i="19"/>
  <c r="EN96" i="19"/>
  <c r="EO96" i="19"/>
  <c r="EP96" i="19"/>
  <c r="EQ96" i="19"/>
  <c r="ER96" i="19"/>
  <c r="ES96" i="19"/>
  <c r="ET96" i="19"/>
  <c r="EU96" i="19"/>
  <c r="EV96" i="19"/>
  <c r="EW96" i="19"/>
  <c r="EX96" i="19"/>
  <c r="EY96" i="19"/>
  <c r="EZ96" i="19"/>
  <c r="FA96" i="19"/>
  <c r="FB96" i="19"/>
  <c r="FC96" i="19"/>
  <c r="FD96" i="19"/>
  <c r="FE96" i="19"/>
  <c r="FF96" i="19"/>
  <c r="FG96" i="19"/>
  <c r="FH96" i="19"/>
  <c r="FI96" i="19"/>
  <c r="FJ96" i="19"/>
  <c r="FK96" i="19"/>
  <c r="FL96" i="19"/>
  <c r="FM96" i="19"/>
  <c r="FN96" i="19"/>
  <c r="FO96" i="19"/>
  <c r="FP96" i="19"/>
  <c r="FQ96" i="19"/>
  <c r="FR96" i="19"/>
  <c r="FS96" i="19"/>
  <c r="FT96" i="19"/>
  <c r="FU96" i="19"/>
  <c r="FV96" i="19"/>
  <c r="FW96" i="19"/>
  <c r="FX96" i="19"/>
  <c r="FY96" i="19"/>
  <c r="FZ96" i="19"/>
  <c r="GA96" i="19"/>
  <c r="GB96" i="19"/>
  <c r="GC96" i="19"/>
  <c r="GD96" i="19"/>
  <c r="GE96" i="19"/>
  <c r="GF96" i="19"/>
  <c r="GG96" i="19"/>
  <c r="GH96" i="19"/>
  <c r="GI96" i="19"/>
  <c r="GJ96" i="19"/>
  <c r="GK96" i="19"/>
  <c r="GL96" i="19"/>
  <c r="GM96" i="19"/>
  <c r="GN96" i="19"/>
  <c r="GO96" i="19"/>
  <c r="GP96" i="19"/>
  <c r="GQ96" i="19"/>
  <c r="GR96" i="19"/>
  <c r="GS96" i="19"/>
  <c r="GT96" i="19"/>
  <c r="GU96" i="19"/>
  <c r="GV96" i="19"/>
  <c r="GW96" i="19"/>
  <c r="GX96" i="19"/>
  <c r="GY96" i="19"/>
  <c r="GZ96" i="19"/>
  <c r="HA96" i="19"/>
  <c r="HB96" i="19"/>
  <c r="HC96" i="19"/>
  <c r="HD96" i="19"/>
  <c r="HE96" i="19"/>
  <c r="HF96" i="19"/>
  <c r="HG96" i="19"/>
  <c r="HH96" i="19"/>
  <c r="HI96" i="19"/>
  <c r="HJ96" i="19"/>
  <c r="HK96" i="19"/>
  <c r="HL96" i="19"/>
  <c r="HM96" i="19"/>
  <c r="HN96" i="19"/>
  <c r="HO96" i="19"/>
  <c r="HP96" i="19"/>
  <c r="HQ96" i="19"/>
  <c r="HR96" i="19"/>
  <c r="HS96" i="19"/>
  <c r="HT96" i="19"/>
  <c r="HU96" i="19"/>
  <c r="HV96" i="19"/>
  <c r="HW96" i="19"/>
  <c r="HX96" i="19"/>
  <c r="HY96" i="19"/>
  <c r="HZ96" i="19"/>
  <c r="IA96" i="19"/>
  <c r="IB96" i="19"/>
  <c r="IC96" i="19"/>
  <c r="ID96" i="19"/>
  <c r="IE96" i="19"/>
  <c r="IF96" i="19"/>
  <c r="IG96" i="19"/>
  <c r="IH96" i="19"/>
  <c r="II96" i="19"/>
  <c r="IJ96" i="19"/>
  <c r="IK96" i="19"/>
  <c r="IL96" i="19"/>
  <c r="IM96" i="19"/>
  <c r="IN96" i="19"/>
  <c r="IO96" i="19"/>
  <c r="IP96" i="19"/>
  <c r="IQ96" i="19"/>
  <c r="IR96" i="19"/>
  <c r="IS96" i="19"/>
  <c r="IT96" i="19"/>
  <c r="IU96" i="19"/>
  <c r="IV96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AE97" i="19"/>
  <c r="AF97" i="19"/>
  <c r="AG97" i="19"/>
  <c r="AH97" i="19"/>
  <c r="AI97" i="19"/>
  <c r="AJ97" i="19"/>
  <c r="AK97" i="19"/>
  <c r="AL97" i="19"/>
  <c r="AM97" i="19"/>
  <c r="AN97" i="19"/>
  <c r="AO97" i="19"/>
  <c r="AP97" i="19"/>
  <c r="AQ97" i="19"/>
  <c r="AR97" i="19"/>
  <c r="AS97" i="19"/>
  <c r="AT97" i="19"/>
  <c r="AU97" i="19"/>
  <c r="AV97" i="19"/>
  <c r="AW97" i="19"/>
  <c r="AX97" i="19"/>
  <c r="AY97" i="19"/>
  <c r="AZ97" i="19"/>
  <c r="BA97" i="19"/>
  <c r="BB97" i="19"/>
  <c r="BC97" i="19"/>
  <c r="BD97" i="19"/>
  <c r="BE97" i="19"/>
  <c r="BF97" i="19"/>
  <c r="BG97" i="19"/>
  <c r="BH97" i="19"/>
  <c r="BI97" i="19"/>
  <c r="BJ97" i="19"/>
  <c r="BK97" i="19"/>
  <c r="BL97" i="19"/>
  <c r="BM97" i="19"/>
  <c r="BN97" i="19"/>
  <c r="BO97" i="19"/>
  <c r="BP97" i="19"/>
  <c r="BQ97" i="19"/>
  <c r="BR97" i="19"/>
  <c r="BS97" i="19"/>
  <c r="BT97" i="19"/>
  <c r="BU97" i="19"/>
  <c r="BV97" i="19"/>
  <c r="BW97" i="19"/>
  <c r="BX97" i="19"/>
  <c r="BY97" i="19"/>
  <c r="BZ97" i="19"/>
  <c r="CA97" i="19"/>
  <c r="CB97" i="19"/>
  <c r="CC97" i="19"/>
  <c r="CD97" i="19"/>
  <c r="CE97" i="19"/>
  <c r="CF97" i="19"/>
  <c r="CG97" i="19"/>
  <c r="CH97" i="19"/>
  <c r="CI97" i="19"/>
  <c r="CJ97" i="19"/>
  <c r="CK97" i="19"/>
  <c r="CL97" i="19"/>
  <c r="CM97" i="19"/>
  <c r="CN97" i="19"/>
  <c r="CO97" i="19"/>
  <c r="CP97" i="19"/>
  <c r="CQ97" i="19"/>
  <c r="CR97" i="19"/>
  <c r="CS97" i="19"/>
  <c r="CT97" i="19"/>
  <c r="CU97" i="19"/>
  <c r="CV97" i="19"/>
  <c r="CW97" i="19"/>
  <c r="CX97" i="19"/>
  <c r="CY97" i="19"/>
  <c r="CZ97" i="19"/>
  <c r="DA97" i="19"/>
  <c r="DB97" i="19"/>
  <c r="DC97" i="19"/>
  <c r="DD97" i="19"/>
  <c r="DE97" i="19"/>
  <c r="DF97" i="19"/>
  <c r="DG97" i="19"/>
  <c r="DH97" i="19"/>
  <c r="DI97" i="19"/>
  <c r="DJ97" i="19"/>
  <c r="DK97" i="19"/>
  <c r="DL97" i="19"/>
  <c r="DM97" i="19"/>
  <c r="DN97" i="19"/>
  <c r="DO97" i="19"/>
  <c r="DP97" i="19"/>
  <c r="DQ97" i="19"/>
  <c r="DR97" i="19"/>
  <c r="DS97" i="19"/>
  <c r="DT97" i="19"/>
  <c r="DU97" i="19"/>
  <c r="DV97" i="19"/>
  <c r="DW97" i="19"/>
  <c r="DX97" i="19"/>
  <c r="DY97" i="19"/>
  <c r="DZ97" i="19"/>
  <c r="EA97" i="19"/>
  <c r="EB97" i="19"/>
  <c r="EC97" i="19"/>
  <c r="ED97" i="19"/>
  <c r="EE97" i="19"/>
  <c r="EF97" i="19"/>
  <c r="EG97" i="19"/>
  <c r="EH97" i="19"/>
  <c r="EI97" i="19"/>
  <c r="EJ97" i="19"/>
  <c r="EK97" i="19"/>
  <c r="EL97" i="19"/>
  <c r="EM97" i="19"/>
  <c r="EN97" i="19"/>
  <c r="EO97" i="19"/>
  <c r="EP97" i="19"/>
  <c r="EQ97" i="19"/>
  <c r="ER97" i="19"/>
  <c r="ES97" i="19"/>
  <c r="ET97" i="19"/>
  <c r="EU97" i="19"/>
  <c r="EV97" i="19"/>
  <c r="EW97" i="19"/>
  <c r="EX97" i="19"/>
  <c r="EY97" i="19"/>
  <c r="EZ97" i="19"/>
  <c r="FA97" i="19"/>
  <c r="FB97" i="19"/>
  <c r="FC97" i="19"/>
  <c r="FD97" i="19"/>
  <c r="FE97" i="19"/>
  <c r="FF97" i="19"/>
  <c r="FG97" i="19"/>
  <c r="FH97" i="19"/>
  <c r="FI97" i="19"/>
  <c r="FJ97" i="19"/>
  <c r="FK97" i="19"/>
  <c r="FL97" i="19"/>
  <c r="FM97" i="19"/>
  <c r="FN97" i="19"/>
  <c r="FO97" i="19"/>
  <c r="FP97" i="19"/>
  <c r="FQ97" i="19"/>
  <c r="FR97" i="19"/>
  <c r="FS97" i="19"/>
  <c r="FT97" i="19"/>
  <c r="FU97" i="19"/>
  <c r="FV97" i="19"/>
  <c r="FW97" i="19"/>
  <c r="FX97" i="19"/>
  <c r="FY97" i="19"/>
  <c r="FZ97" i="19"/>
  <c r="GA97" i="19"/>
  <c r="GB97" i="19"/>
  <c r="GC97" i="19"/>
  <c r="GD97" i="19"/>
  <c r="GE97" i="19"/>
  <c r="GF97" i="19"/>
  <c r="GG97" i="19"/>
  <c r="GH97" i="19"/>
  <c r="GI97" i="19"/>
  <c r="GJ97" i="19"/>
  <c r="GK97" i="19"/>
  <c r="GL97" i="19"/>
  <c r="GM97" i="19"/>
  <c r="GN97" i="19"/>
  <c r="GO97" i="19"/>
  <c r="GP97" i="19"/>
  <c r="GQ97" i="19"/>
  <c r="GR97" i="19"/>
  <c r="GS97" i="19"/>
  <c r="GT97" i="19"/>
  <c r="GU97" i="19"/>
  <c r="GV97" i="19"/>
  <c r="GW97" i="19"/>
  <c r="GX97" i="19"/>
  <c r="GY97" i="19"/>
  <c r="GZ97" i="19"/>
  <c r="HA97" i="19"/>
  <c r="HB97" i="19"/>
  <c r="HC97" i="19"/>
  <c r="HD97" i="19"/>
  <c r="HE97" i="19"/>
  <c r="HF97" i="19"/>
  <c r="HG97" i="19"/>
  <c r="HH97" i="19"/>
  <c r="HI97" i="19"/>
  <c r="HJ97" i="19"/>
  <c r="HK97" i="19"/>
  <c r="HL97" i="19"/>
  <c r="HM97" i="19"/>
  <c r="HN97" i="19"/>
  <c r="HO97" i="19"/>
  <c r="HP97" i="19"/>
  <c r="HQ97" i="19"/>
  <c r="HR97" i="19"/>
  <c r="HS97" i="19"/>
  <c r="HT97" i="19"/>
  <c r="HU97" i="19"/>
  <c r="HV97" i="19"/>
  <c r="HW97" i="19"/>
  <c r="HX97" i="19"/>
  <c r="HY97" i="19"/>
  <c r="HZ97" i="19"/>
  <c r="IA97" i="19"/>
  <c r="IB97" i="19"/>
  <c r="IC97" i="19"/>
  <c r="ID97" i="19"/>
  <c r="IE97" i="19"/>
  <c r="IF97" i="19"/>
  <c r="IG97" i="19"/>
  <c r="IH97" i="19"/>
  <c r="II97" i="19"/>
  <c r="IJ97" i="19"/>
  <c r="IK97" i="19"/>
  <c r="IL97" i="19"/>
  <c r="IM97" i="19"/>
  <c r="IN97" i="19"/>
  <c r="IO97" i="19"/>
  <c r="IP97" i="19"/>
  <c r="IQ97" i="19"/>
  <c r="IR97" i="19"/>
  <c r="IS97" i="19"/>
  <c r="IT97" i="19"/>
  <c r="IU97" i="19"/>
  <c r="IV97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AE98" i="19"/>
  <c r="AF98" i="19"/>
  <c r="AG98" i="19"/>
  <c r="AH98" i="19"/>
  <c r="AI98" i="19"/>
  <c r="AJ98" i="19"/>
  <c r="AK98" i="19"/>
  <c r="AL98" i="19"/>
  <c r="AM98" i="19"/>
  <c r="AN98" i="19"/>
  <c r="AO98" i="19"/>
  <c r="AP98" i="19"/>
  <c r="AQ98" i="19"/>
  <c r="AR98" i="19"/>
  <c r="AS98" i="19"/>
  <c r="AT98" i="19"/>
  <c r="AU98" i="19"/>
  <c r="AV98" i="19"/>
  <c r="AW98" i="19"/>
  <c r="AX98" i="19"/>
  <c r="AY98" i="19"/>
  <c r="AZ98" i="19"/>
  <c r="BA98" i="19"/>
  <c r="BB98" i="19"/>
  <c r="BC98" i="19"/>
  <c r="BD98" i="19"/>
  <c r="BE98" i="19"/>
  <c r="BF98" i="19"/>
  <c r="BG98" i="19"/>
  <c r="BH98" i="19"/>
  <c r="BI98" i="19"/>
  <c r="BJ98" i="19"/>
  <c r="BK98" i="19"/>
  <c r="BL98" i="19"/>
  <c r="BM98" i="19"/>
  <c r="BN98" i="19"/>
  <c r="BO98" i="19"/>
  <c r="BP98" i="19"/>
  <c r="BQ98" i="19"/>
  <c r="BR98" i="19"/>
  <c r="BS98" i="19"/>
  <c r="BT98" i="19"/>
  <c r="BU98" i="19"/>
  <c r="BV98" i="19"/>
  <c r="BW98" i="19"/>
  <c r="BX98" i="19"/>
  <c r="BY98" i="19"/>
  <c r="BZ98" i="19"/>
  <c r="CA98" i="19"/>
  <c r="CB98" i="19"/>
  <c r="CC98" i="19"/>
  <c r="CD98" i="19"/>
  <c r="CE98" i="19"/>
  <c r="CF98" i="19"/>
  <c r="CG98" i="19"/>
  <c r="CH98" i="19"/>
  <c r="CI98" i="19"/>
  <c r="CJ98" i="19"/>
  <c r="CK98" i="19"/>
  <c r="CL98" i="19"/>
  <c r="CM98" i="19"/>
  <c r="CN98" i="19"/>
  <c r="CO98" i="19"/>
  <c r="CP98" i="19"/>
  <c r="CQ98" i="19"/>
  <c r="CR98" i="19"/>
  <c r="CS98" i="19"/>
  <c r="CT98" i="19"/>
  <c r="CU98" i="19"/>
  <c r="CV98" i="19"/>
  <c r="CW98" i="19"/>
  <c r="CX98" i="19"/>
  <c r="CY98" i="19"/>
  <c r="CZ98" i="19"/>
  <c r="DA98" i="19"/>
  <c r="DB98" i="19"/>
  <c r="DC98" i="19"/>
  <c r="DD98" i="19"/>
  <c r="DE98" i="19"/>
  <c r="DF98" i="19"/>
  <c r="DG98" i="19"/>
  <c r="DH98" i="19"/>
  <c r="DI98" i="19"/>
  <c r="DJ98" i="19"/>
  <c r="DK98" i="19"/>
  <c r="DL98" i="19"/>
  <c r="DM98" i="19"/>
  <c r="DN98" i="19"/>
  <c r="DO98" i="19"/>
  <c r="DP98" i="19"/>
  <c r="DQ98" i="19"/>
  <c r="DR98" i="19"/>
  <c r="DS98" i="19"/>
  <c r="DT98" i="19"/>
  <c r="DU98" i="19"/>
  <c r="DV98" i="19"/>
  <c r="DW98" i="19"/>
  <c r="DX98" i="19"/>
  <c r="DY98" i="19"/>
  <c r="DZ98" i="19"/>
  <c r="EA98" i="19"/>
  <c r="EB98" i="19"/>
  <c r="EC98" i="19"/>
  <c r="ED98" i="19"/>
  <c r="EE98" i="19"/>
  <c r="EF98" i="19"/>
  <c r="EG98" i="19"/>
  <c r="EH98" i="19"/>
  <c r="EI98" i="19"/>
  <c r="EJ98" i="19"/>
  <c r="EK98" i="19"/>
  <c r="EL98" i="19"/>
  <c r="EM98" i="19"/>
  <c r="EN98" i="19"/>
  <c r="EO98" i="19"/>
  <c r="EP98" i="19"/>
  <c r="EQ98" i="19"/>
  <c r="ER98" i="19"/>
  <c r="ES98" i="19"/>
  <c r="ET98" i="19"/>
  <c r="EU98" i="19"/>
  <c r="EV98" i="19"/>
  <c r="EW98" i="19"/>
  <c r="EX98" i="19"/>
  <c r="EY98" i="19"/>
  <c r="EZ98" i="19"/>
  <c r="FA98" i="19"/>
  <c r="FB98" i="19"/>
  <c r="FC98" i="19"/>
  <c r="FD98" i="19"/>
  <c r="FE98" i="19"/>
  <c r="FF98" i="19"/>
  <c r="FG98" i="19"/>
  <c r="FH98" i="19"/>
  <c r="FI98" i="19"/>
  <c r="FJ98" i="19"/>
  <c r="FK98" i="19"/>
  <c r="FL98" i="19"/>
  <c r="FM98" i="19"/>
  <c r="FN98" i="19"/>
  <c r="FO98" i="19"/>
  <c r="FP98" i="19"/>
  <c r="FQ98" i="19"/>
  <c r="FR98" i="19"/>
  <c r="FS98" i="19"/>
  <c r="FT98" i="19"/>
  <c r="FU98" i="19"/>
  <c r="FV98" i="19"/>
  <c r="FW98" i="19"/>
  <c r="FX98" i="19"/>
  <c r="FY98" i="19"/>
  <c r="FZ98" i="19"/>
  <c r="GA98" i="19"/>
  <c r="GB98" i="19"/>
  <c r="GC98" i="19"/>
  <c r="GD98" i="19"/>
  <c r="GE98" i="19"/>
  <c r="GF98" i="19"/>
  <c r="GG98" i="19"/>
  <c r="GH98" i="19"/>
  <c r="GI98" i="19"/>
  <c r="GJ98" i="19"/>
  <c r="GK98" i="19"/>
  <c r="GL98" i="19"/>
  <c r="GM98" i="19"/>
  <c r="GN98" i="19"/>
  <c r="GO98" i="19"/>
  <c r="GP98" i="19"/>
  <c r="GQ98" i="19"/>
  <c r="GR98" i="19"/>
  <c r="GS98" i="19"/>
  <c r="GT98" i="19"/>
  <c r="GU98" i="19"/>
  <c r="GV98" i="19"/>
  <c r="GW98" i="19"/>
  <c r="GX98" i="19"/>
  <c r="GY98" i="19"/>
  <c r="GZ98" i="19"/>
  <c r="HA98" i="19"/>
  <c r="HB98" i="19"/>
  <c r="HC98" i="19"/>
  <c r="HD98" i="19"/>
  <c r="HE98" i="19"/>
  <c r="HF98" i="19"/>
  <c r="HG98" i="19"/>
  <c r="HH98" i="19"/>
  <c r="HI98" i="19"/>
  <c r="HJ98" i="19"/>
  <c r="HK98" i="19"/>
  <c r="HL98" i="19"/>
  <c r="HM98" i="19"/>
  <c r="HN98" i="19"/>
  <c r="HO98" i="19"/>
  <c r="HP98" i="19"/>
  <c r="HQ98" i="19"/>
  <c r="HR98" i="19"/>
  <c r="HS98" i="19"/>
  <c r="HT98" i="19"/>
  <c r="HU98" i="19"/>
  <c r="HV98" i="19"/>
  <c r="HW98" i="19"/>
  <c r="HX98" i="19"/>
  <c r="HY98" i="19"/>
  <c r="HZ98" i="19"/>
  <c r="IA98" i="19"/>
  <c r="IB98" i="19"/>
  <c r="IC98" i="19"/>
  <c r="ID98" i="19"/>
  <c r="IE98" i="19"/>
  <c r="IF98" i="19"/>
  <c r="IG98" i="19"/>
  <c r="IH98" i="19"/>
  <c r="II98" i="19"/>
  <c r="IJ98" i="19"/>
  <c r="IK98" i="19"/>
  <c r="IL98" i="19"/>
  <c r="IM98" i="19"/>
  <c r="IN98" i="19"/>
  <c r="IO98" i="19"/>
  <c r="IP98" i="19"/>
  <c r="IQ98" i="19"/>
  <c r="IR98" i="19"/>
  <c r="IS98" i="19"/>
  <c r="IT98" i="19"/>
  <c r="IU98" i="19"/>
  <c r="IV98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AE99" i="19"/>
  <c r="AF99" i="19"/>
  <c r="AG99" i="19"/>
  <c r="AH99" i="19"/>
  <c r="AI99" i="19"/>
  <c r="AJ99" i="19"/>
  <c r="AK99" i="19"/>
  <c r="AL99" i="19"/>
  <c r="AM99" i="19"/>
  <c r="AN99" i="19"/>
  <c r="AO99" i="19"/>
  <c r="AP99" i="19"/>
  <c r="AQ99" i="19"/>
  <c r="AR99" i="19"/>
  <c r="AS99" i="19"/>
  <c r="AT99" i="19"/>
  <c r="AU99" i="19"/>
  <c r="AV99" i="19"/>
  <c r="AW99" i="19"/>
  <c r="AX99" i="19"/>
  <c r="AY99" i="19"/>
  <c r="AZ99" i="19"/>
  <c r="BA99" i="19"/>
  <c r="BB99" i="19"/>
  <c r="BC99" i="19"/>
  <c r="BD99" i="19"/>
  <c r="BE99" i="19"/>
  <c r="BF99" i="19"/>
  <c r="BG99" i="19"/>
  <c r="BH99" i="19"/>
  <c r="BI99" i="19"/>
  <c r="BJ99" i="19"/>
  <c r="BK99" i="19"/>
  <c r="BL99" i="19"/>
  <c r="BM99" i="19"/>
  <c r="BN99" i="19"/>
  <c r="BO99" i="19"/>
  <c r="BP99" i="19"/>
  <c r="BQ99" i="19"/>
  <c r="BR99" i="19"/>
  <c r="BS99" i="19"/>
  <c r="BT99" i="19"/>
  <c r="BU99" i="19"/>
  <c r="BV99" i="19"/>
  <c r="BW99" i="19"/>
  <c r="BX99" i="19"/>
  <c r="BY99" i="19"/>
  <c r="BZ99" i="19"/>
  <c r="CA99" i="19"/>
  <c r="CB99" i="19"/>
  <c r="CC99" i="19"/>
  <c r="CD99" i="19"/>
  <c r="CE99" i="19"/>
  <c r="CF99" i="19"/>
  <c r="CG99" i="19"/>
  <c r="CH99" i="19"/>
  <c r="CI99" i="19"/>
  <c r="CJ99" i="19"/>
  <c r="CK99" i="19"/>
  <c r="CL99" i="19"/>
  <c r="CM99" i="19"/>
  <c r="CN99" i="19"/>
  <c r="CO99" i="19"/>
  <c r="CP99" i="19"/>
  <c r="CQ99" i="19"/>
  <c r="CR99" i="19"/>
  <c r="CS99" i="19"/>
  <c r="CT99" i="19"/>
  <c r="CU99" i="19"/>
  <c r="CV99" i="19"/>
  <c r="CW99" i="19"/>
  <c r="CX99" i="19"/>
  <c r="CY99" i="19"/>
  <c r="CZ99" i="19"/>
  <c r="DA99" i="19"/>
  <c r="DB99" i="19"/>
  <c r="DC99" i="19"/>
  <c r="DD99" i="19"/>
  <c r="DE99" i="19"/>
  <c r="DF99" i="19"/>
  <c r="DG99" i="19"/>
  <c r="DH99" i="19"/>
  <c r="DI99" i="19"/>
  <c r="DJ99" i="19"/>
  <c r="DK99" i="19"/>
  <c r="DL99" i="19"/>
  <c r="DM99" i="19"/>
  <c r="DN99" i="19"/>
  <c r="DO99" i="19"/>
  <c r="DP99" i="19"/>
  <c r="DQ99" i="19"/>
  <c r="DR99" i="19"/>
  <c r="DS99" i="19"/>
  <c r="DT99" i="19"/>
  <c r="DU99" i="19"/>
  <c r="DV99" i="19"/>
  <c r="DW99" i="19"/>
  <c r="DX99" i="19"/>
  <c r="DY99" i="19"/>
  <c r="DZ99" i="19"/>
  <c r="EA99" i="19"/>
  <c r="EB99" i="19"/>
  <c r="EC99" i="19"/>
  <c r="ED99" i="19"/>
  <c r="EE99" i="19"/>
  <c r="EF99" i="19"/>
  <c r="EG99" i="19"/>
  <c r="EH99" i="19"/>
  <c r="EI99" i="19"/>
  <c r="EJ99" i="19"/>
  <c r="EK99" i="19"/>
  <c r="EL99" i="19"/>
  <c r="EM99" i="19"/>
  <c r="EN99" i="19"/>
  <c r="EO99" i="19"/>
  <c r="EP99" i="19"/>
  <c r="EQ99" i="19"/>
  <c r="ER99" i="19"/>
  <c r="ES99" i="19"/>
  <c r="ET99" i="19"/>
  <c r="EU99" i="19"/>
  <c r="EV99" i="19"/>
  <c r="EW99" i="19"/>
  <c r="EX99" i="19"/>
  <c r="EY99" i="19"/>
  <c r="EZ99" i="19"/>
  <c r="FA99" i="19"/>
  <c r="FB99" i="19"/>
  <c r="FC99" i="19"/>
  <c r="FD99" i="19"/>
  <c r="FE99" i="19"/>
  <c r="FF99" i="19"/>
  <c r="FG99" i="19"/>
  <c r="FH99" i="19"/>
  <c r="FI99" i="19"/>
  <c r="FJ99" i="19"/>
  <c r="FK99" i="19"/>
  <c r="FL99" i="19"/>
  <c r="FM99" i="19"/>
  <c r="FN99" i="19"/>
  <c r="FO99" i="19"/>
  <c r="FP99" i="19"/>
  <c r="FQ99" i="19"/>
  <c r="FR99" i="19"/>
  <c r="FS99" i="19"/>
  <c r="FT99" i="19"/>
  <c r="FU99" i="19"/>
  <c r="FV99" i="19"/>
  <c r="FW99" i="19"/>
  <c r="FX99" i="19"/>
  <c r="FY99" i="19"/>
  <c r="FZ99" i="19"/>
  <c r="GA99" i="19"/>
  <c r="GB99" i="19"/>
  <c r="GC99" i="19"/>
  <c r="GD99" i="19"/>
  <c r="GE99" i="19"/>
  <c r="GF99" i="19"/>
  <c r="GG99" i="19"/>
  <c r="GH99" i="19"/>
  <c r="GI99" i="19"/>
  <c r="GJ99" i="19"/>
  <c r="GK99" i="19"/>
  <c r="GL99" i="19"/>
  <c r="GM99" i="19"/>
  <c r="GN99" i="19"/>
  <c r="GO99" i="19"/>
  <c r="GP99" i="19"/>
  <c r="GQ99" i="19"/>
  <c r="GR99" i="19"/>
  <c r="GS99" i="19"/>
  <c r="GT99" i="19"/>
  <c r="GU99" i="19"/>
  <c r="GV99" i="19"/>
  <c r="GW99" i="19"/>
  <c r="GX99" i="19"/>
  <c r="GY99" i="19"/>
  <c r="GZ99" i="19"/>
  <c r="HA99" i="19"/>
  <c r="HB99" i="19"/>
  <c r="HC99" i="19"/>
  <c r="HD99" i="19"/>
  <c r="HE99" i="19"/>
  <c r="HF99" i="19"/>
  <c r="HG99" i="19"/>
  <c r="HH99" i="19"/>
  <c r="HI99" i="19"/>
  <c r="HJ99" i="19"/>
  <c r="HK99" i="19"/>
  <c r="HL99" i="19"/>
  <c r="HM99" i="19"/>
  <c r="HN99" i="19"/>
  <c r="HO99" i="19"/>
  <c r="HP99" i="19"/>
  <c r="HQ99" i="19"/>
  <c r="HR99" i="19"/>
  <c r="HS99" i="19"/>
  <c r="HT99" i="19"/>
  <c r="HU99" i="19"/>
  <c r="HV99" i="19"/>
  <c r="HW99" i="19"/>
  <c r="HX99" i="19"/>
  <c r="HY99" i="19"/>
  <c r="HZ99" i="19"/>
  <c r="IA99" i="19"/>
  <c r="IB99" i="19"/>
  <c r="IC99" i="19"/>
  <c r="ID99" i="19"/>
  <c r="IE99" i="19"/>
  <c r="IF99" i="19"/>
  <c r="IG99" i="19"/>
  <c r="IH99" i="19"/>
  <c r="II99" i="19"/>
  <c r="IJ99" i="19"/>
  <c r="IK99" i="19"/>
  <c r="IL99" i="19"/>
  <c r="IM99" i="19"/>
  <c r="IN99" i="19"/>
  <c r="IO99" i="19"/>
  <c r="IP99" i="19"/>
  <c r="IQ99" i="19"/>
  <c r="IR99" i="19"/>
  <c r="IS99" i="19"/>
  <c r="IT99" i="19"/>
  <c r="IU99" i="19"/>
  <c r="IV99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AF100" i="19"/>
  <c r="AG100" i="19"/>
  <c r="AH100" i="19"/>
  <c r="AI100" i="19"/>
  <c r="AJ100" i="19"/>
  <c r="AK100" i="19"/>
  <c r="AL100" i="19"/>
  <c r="AM100" i="19"/>
  <c r="AN100" i="19"/>
  <c r="AO100" i="19"/>
  <c r="AP100" i="19"/>
  <c r="AQ100" i="19"/>
  <c r="AR100" i="19"/>
  <c r="AS100" i="19"/>
  <c r="AT100" i="19"/>
  <c r="AU100" i="19"/>
  <c r="AV100" i="19"/>
  <c r="AW100" i="19"/>
  <c r="AX100" i="19"/>
  <c r="AY100" i="19"/>
  <c r="AZ100" i="19"/>
  <c r="BA100" i="19"/>
  <c r="BB100" i="19"/>
  <c r="BC100" i="19"/>
  <c r="BD100" i="19"/>
  <c r="BE100" i="19"/>
  <c r="BF100" i="19"/>
  <c r="BG100" i="19"/>
  <c r="BH100" i="19"/>
  <c r="BI100" i="19"/>
  <c r="BJ100" i="19"/>
  <c r="BK100" i="19"/>
  <c r="BL100" i="19"/>
  <c r="BM100" i="19"/>
  <c r="BN100" i="19"/>
  <c r="BO100" i="19"/>
  <c r="BP100" i="19"/>
  <c r="BQ100" i="19"/>
  <c r="BR100" i="19"/>
  <c r="BS100" i="19"/>
  <c r="BT100" i="19"/>
  <c r="BU100" i="19"/>
  <c r="BV100" i="19"/>
  <c r="BW100" i="19"/>
  <c r="BX100" i="19"/>
  <c r="BY100" i="19"/>
  <c r="BZ100" i="19"/>
  <c r="CA100" i="19"/>
  <c r="CB100" i="19"/>
  <c r="CC100" i="19"/>
  <c r="CD100" i="19"/>
  <c r="CE100" i="19"/>
  <c r="CF100" i="19"/>
  <c r="CG100" i="19"/>
  <c r="CH100" i="19"/>
  <c r="CI100" i="19"/>
  <c r="CJ100" i="19"/>
  <c r="CK100" i="19"/>
  <c r="CL100" i="19"/>
  <c r="CM100" i="19"/>
  <c r="CN100" i="19"/>
  <c r="CO100" i="19"/>
  <c r="CP100" i="19"/>
  <c r="CQ100" i="19"/>
  <c r="CR100" i="19"/>
  <c r="CS100" i="19"/>
  <c r="CT100" i="19"/>
  <c r="CU100" i="19"/>
  <c r="CV100" i="19"/>
  <c r="CW100" i="19"/>
  <c r="CX100" i="19"/>
  <c r="CY100" i="19"/>
  <c r="CZ100" i="19"/>
  <c r="DA100" i="19"/>
  <c r="DB100" i="19"/>
  <c r="DC100" i="19"/>
  <c r="DD100" i="19"/>
  <c r="DE100" i="19"/>
  <c r="DF100" i="19"/>
  <c r="DG100" i="19"/>
  <c r="DH100" i="19"/>
  <c r="DI100" i="19"/>
  <c r="DJ100" i="19"/>
  <c r="DK100" i="19"/>
  <c r="DL100" i="19"/>
  <c r="DM100" i="19"/>
  <c r="DN100" i="19"/>
  <c r="DO100" i="19"/>
  <c r="DP100" i="19"/>
  <c r="DQ100" i="19"/>
  <c r="DR100" i="19"/>
  <c r="DS100" i="19"/>
  <c r="DT100" i="19"/>
  <c r="DU100" i="19"/>
  <c r="DV100" i="19"/>
  <c r="DW100" i="19"/>
  <c r="DX100" i="19"/>
  <c r="DY100" i="19"/>
  <c r="DZ100" i="19"/>
  <c r="EA100" i="19"/>
  <c r="EB100" i="19"/>
  <c r="EC100" i="19"/>
  <c r="ED100" i="19"/>
  <c r="EE100" i="19"/>
  <c r="EF100" i="19"/>
  <c r="EG100" i="19"/>
  <c r="EH100" i="19"/>
  <c r="EI100" i="19"/>
  <c r="EJ100" i="19"/>
  <c r="EK100" i="19"/>
  <c r="EL100" i="19"/>
  <c r="EM100" i="19"/>
  <c r="EN100" i="19"/>
  <c r="EO100" i="19"/>
  <c r="EP100" i="19"/>
  <c r="EQ100" i="19"/>
  <c r="ER100" i="19"/>
  <c r="ES100" i="19"/>
  <c r="ET100" i="19"/>
  <c r="EU100" i="19"/>
  <c r="EV100" i="19"/>
  <c r="EW100" i="19"/>
  <c r="EX100" i="19"/>
  <c r="EY100" i="19"/>
  <c r="EZ100" i="19"/>
  <c r="FA100" i="19"/>
  <c r="FB100" i="19"/>
  <c r="FC100" i="19"/>
  <c r="FD100" i="19"/>
  <c r="FE100" i="19"/>
  <c r="FF100" i="19"/>
  <c r="FG100" i="19"/>
  <c r="FH100" i="19"/>
  <c r="FI100" i="19"/>
  <c r="FJ100" i="19"/>
  <c r="FK100" i="19"/>
  <c r="FL100" i="19"/>
  <c r="FM100" i="19"/>
  <c r="FN100" i="19"/>
  <c r="FO100" i="19"/>
  <c r="FP100" i="19"/>
  <c r="FQ100" i="19"/>
  <c r="FR100" i="19"/>
  <c r="FS100" i="19"/>
  <c r="FT100" i="19"/>
  <c r="FU100" i="19"/>
  <c r="FV100" i="19"/>
  <c r="FW100" i="19"/>
  <c r="FX100" i="19"/>
  <c r="FY100" i="19"/>
  <c r="FZ100" i="19"/>
  <c r="GA100" i="19"/>
  <c r="GB100" i="19"/>
  <c r="GC100" i="19"/>
  <c r="GD100" i="19"/>
  <c r="GE100" i="19"/>
  <c r="GF100" i="19"/>
  <c r="GG100" i="19"/>
  <c r="GH100" i="19"/>
  <c r="GI100" i="19"/>
  <c r="GJ100" i="19"/>
  <c r="GK100" i="19"/>
  <c r="GL100" i="19"/>
  <c r="GM100" i="19"/>
  <c r="GN100" i="19"/>
  <c r="GO100" i="19"/>
  <c r="GP100" i="19"/>
  <c r="GQ100" i="19"/>
  <c r="GR100" i="19"/>
  <c r="GS100" i="19"/>
  <c r="GT100" i="19"/>
  <c r="GU100" i="19"/>
  <c r="GV100" i="19"/>
  <c r="GW100" i="19"/>
  <c r="GX100" i="19"/>
  <c r="GY100" i="19"/>
  <c r="GZ100" i="19"/>
  <c r="HA100" i="19"/>
  <c r="HB100" i="19"/>
  <c r="HC100" i="19"/>
  <c r="HD100" i="19"/>
  <c r="HE100" i="19"/>
  <c r="HF100" i="19"/>
  <c r="HG100" i="19"/>
  <c r="HH100" i="19"/>
  <c r="HI100" i="19"/>
  <c r="HJ100" i="19"/>
  <c r="HK100" i="19"/>
  <c r="HL100" i="19"/>
  <c r="HM100" i="19"/>
  <c r="HN100" i="19"/>
  <c r="HO100" i="19"/>
  <c r="HP100" i="19"/>
  <c r="HQ100" i="19"/>
  <c r="HR100" i="19"/>
  <c r="HS100" i="19"/>
  <c r="HT100" i="19"/>
  <c r="HU100" i="19"/>
  <c r="HV100" i="19"/>
  <c r="HW100" i="19"/>
  <c r="HX100" i="19"/>
  <c r="HY100" i="19"/>
  <c r="HZ100" i="19"/>
  <c r="IA100" i="19"/>
  <c r="IB100" i="19"/>
  <c r="IC100" i="19"/>
  <c r="ID100" i="19"/>
  <c r="IE100" i="19"/>
  <c r="IF100" i="19"/>
  <c r="IG100" i="19"/>
  <c r="IH100" i="19"/>
  <c r="II100" i="19"/>
  <c r="IJ100" i="19"/>
  <c r="IK100" i="19"/>
  <c r="IL100" i="19"/>
  <c r="IM100" i="19"/>
  <c r="IN100" i="19"/>
  <c r="IO100" i="19"/>
  <c r="IP100" i="19"/>
  <c r="IQ100" i="19"/>
  <c r="IR100" i="19"/>
  <c r="IS100" i="19"/>
  <c r="IT100" i="19"/>
  <c r="IU100" i="19"/>
  <c r="IV100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AN101" i="19"/>
  <c r="AO101" i="19"/>
  <c r="AP101" i="19"/>
  <c r="AQ101" i="19"/>
  <c r="AR101" i="19"/>
  <c r="AS101" i="19"/>
  <c r="AT101" i="19"/>
  <c r="AU101" i="19"/>
  <c r="AV101" i="19"/>
  <c r="AW101" i="19"/>
  <c r="AX101" i="19"/>
  <c r="AY101" i="19"/>
  <c r="AZ101" i="19"/>
  <c r="BA101" i="19"/>
  <c r="BB101" i="19"/>
  <c r="BC101" i="19"/>
  <c r="BD101" i="19"/>
  <c r="BE101" i="19"/>
  <c r="BF101" i="19"/>
  <c r="BG101" i="19"/>
  <c r="BH101" i="19"/>
  <c r="BI101" i="19"/>
  <c r="BJ101" i="19"/>
  <c r="BK101" i="19"/>
  <c r="BL101" i="19"/>
  <c r="BM101" i="19"/>
  <c r="BN101" i="19"/>
  <c r="BO101" i="19"/>
  <c r="BP101" i="19"/>
  <c r="BQ101" i="19"/>
  <c r="BR101" i="19"/>
  <c r="BS101" i="19"/>
  <c r="BT101" i="19"/>
  <c r="BU101" i="19"/>
  <c r="BV101" i="19"/>
  <c r="BW101" i="19"/>
  <c r="BX101" i="19"/>
  <c r="BY101" i="19"/>
  <c r="BZ101" i="19"/>
  <c r="CA101" i="19"/>
  <c r="CB101" i="19"/>
  <c r="CC101" i="19"/>
  <c r="CD101" i="19"/>
  <c r="CE101" i="19"/>
  <c r="CF101" i="19"/>
  <c r="CG101" i="19"/>
  <c r="CH101" i="19"/>
  <c r="CI101" i="19"/>
  <c r="CJ101" i="19"/>
  <c r="CK101" i="19"/>
  <c r="CL101" i="19"/>
  <c r="CM101" i="19"/>
  <c r="CN101" i="19"/>
  <c r="CO101" i="19"/>
  <c r="CP101" i="19"/>
  <c r="CQ101" i="19"/>
  <c r="CR101" i="19"/>
  <c r="CS101" i="19"/>
  <c r="CT101" i="19"/>
  <c r="CU101" i="19"/>
  <c r="CV101" i="19"/>
  <c r="CW101" i="19"/>
  <c r="CX101" i="19"/>
  <c r="CY101" i="19"/>
  <c r="CZ101" i="19"/>
  <c r="DA101" i="19"/>
  <c r="DB101" i="19"/>
  <c r="DC101" i="19"/>
  <c r="DD101" i="19"/>
  <c r="DE101" i="19"/>
  <c r="DF101" i="19"/>
  <c r="DG101" i="19"/>
  <c r="DH101" i="19"/>
  <c r="DI101" i="19"/>
  <c r="DJ101" i="19"/>
  <c r="DK101" i="19"/>
  <c r="DL101" i="19"/>
  <c r="DM101" i="19"/>
  <c r="DN101" i="19"/>
  <c r="DO101" i="19"/>
  <c r="DP101" i="19"/>
  <c r="DQ101" i="19"/>
  <c r="DR101" i="19"/>
  <c r="DS101" i="19"/>
  <c r="DT101" i="19"/>
  <c r="DU101" i="19"/>
  <c r="DV101" i="19"/>
  <c r="DW101" i="19"/>
  <c r="DX101" i="19"/>
  <c r="DY101" i="19"/>
  <c r="DZ101" i="19"/>
  <c r="EA101" i="19"/>
  <c r="EB101" i="19"/>
  <c r="EC101" i="19"/>
  <c r="ED101" i="19"/>
  <c r="EE101" i="19"/>
  <c r="EF101" i="19"/>
  <c r="EG101" i="19"/>
  <c r="EH101" i="19"/>
  <c r="EI101" i="19"/>
  <c r="EJ101" i="19"/>
  <c r="EK101" i="19"/>
  <c r="EL101" i="19"/>
  <c r="EM101" i="19"/>
  <c r="EN101" i="19"/>
  <c r="EO101" i="19"/>
  <c r="EP101" i="19"/>
  <c r="EQ101" i="19"/>
  <c r="ER101" i="19"/>
  <c r="ES101" i="19"/>
  <c r="ET101" i="19"/>
  <c r="EU101" i="19"/>
  <c r="EV101" i="19"/>
  <c r="EW101" i="19"/>
  <c r="EX101" i="19"/>
  <c r="EY101" i="19"/>
  <c r="EZ101" i="19"/>
  <c r="FA101" i="19"/>
  <c r="FB101" i="19"/>
  <c r="FC101" i="19"/>
  <c r="FD101" i="19"/>
  <c r="FE101" i="19"/>
  <c r="FF101" i="19"/>
  <c r="FG101" i="19"/>
  <c r="FH101" i="19"/>
  <c r="FI101" i="19"/>
  <c r="FJ101" i="19"/>
  <c r="FK101" i="19"/>
  <c r="FL101" i="19"/>
  <c r="FM101" i="19"/>
  <c r="FN101" i="19"/>
  <c r="FO101" i="19"/>
  <c r="FP101" i="19"/>
  <c r="FQ101" i="19"/>
  <c r="FR101" i="19"/>
  <c r="FS101" i="19"/>
  <c r="FT101" i="19"/>
  <c r="FU101" i="19"/>
  <c r="FV101" i="19"/>
  <c r="FW101" i="19"/>
  <c r="FX101" i="19"/>
  <c r="FY101" i="19"/>
  <c r="FZ101" i="19"/>
  <c r="GA101" i="19"/>
  <c r="GB101" i="19"/>
  <c r="GC101" i="19"/>
  <c r="GD101" i="19"/>
  <c r="GE101" i="19"/>
  <c r="GF101" i="19"/>
  <c r="GG101" i="19"/>
  <c r="GH101" i="19"/>
  <c r="GI101" i="19"/>
  <c r="GJ101" i="19"/>
  <c r="GK101" i="19"/>
  <c r="GL101" i="19"/>
  <c r="GM101" i="19"/>
  <c r="GN101" i="19"/>
  <c r="GO101" i="19"/>
  <c r="GP101" i="19"/>
  <c r="GQ101" i="19"/>
  <c r="GR101" i="19"/>
  <c r="GS101" i="19"/>
  <c r="GT101" i="19"/>
  <c r="GU101" i="19"/>
  <c r="GV101" i="19"/>
  <c r="GW101" i="19"/>
  <c r="GX101" i="19"/>
  <c r="GY101" i="19"/>
  <c r="GZ101" i="19"/>
  <c r="HA101" i="19"/>
  <c r="HB101" i="19"/>
  <c r="HC101" i="19"/>
  <c r="HD101" i="19"/>
  <c r="HE101" i="19"/>
  <c r="HF101" i="19"/>
  <c r="HG101" i="19"/>
  <c r="HH101" i="19"/>
  <c r="HI101" i="19"/>
  <c r="HJ101" i="19"/>
  <c r="HK101" i="19"/>
  <c r="HL101" i="19"/>
  <c r="HM101" i="19"/>
  <c r="HN101" i="19"/>
  <c r="HO101" i="19"/>
  <c r="HP101" i="19"/>
  <c r="HQ101" i="19"/>
  <c r="HR101" i="19"/>
  <c r="HS101" i="19"/>
  <c r="HT101" i="19"/>
  <c r="HU101" i="19"/>
  <c r="HV101" i="19"/>
  <c r="HW101" i="19"/>
  <c r="HX101" i="19"/>
  <c r="HY101" i="19"/>
  <c r="HZ101" i="19"/>
  <c r="IA101" i="19"/>
  <c r="IB101" i="19"/>
  <c r="IC101" i="19"/>
  <c r="ID101" i="19"/>
  <c r="IE101" i="19"/>
  <c r="IF101" i="19"/>
  <c r="IG101" i="19"/>
  <c r="IH101" i="19"/>
  <c r="II101" i="19"/>
  <c r="IJ101" i="19"/>
  <c r="IK101" i="19"/>
  <c r="IL101" i="19"/>
  <c r="IM101" i="19"/>
  <c r="IN101" i="19"/>
  <c r="IO101" i="19"/>
  <c r="IP101" i="19"/>
  <c r="IQ101" i="19"/>
  <c r="IR101" i="19"/>
  <c r="IS101" i="19"/>
  <c r="IT101" i="19"/>
  <c r="IU101" i="19"/>
  <c r="IV101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AF102" i="19"/>
  <c r="AG102" i="19"/>
  <c r="AH102" i="19"/>
  <c r="AI102" i="19"/>
  <c r="AJ102" i="19"/>
  <c r="AK102" i="19"/>
  <c r="AL102" i="19"/>
  <c r="AM102" i="19"/>
  <c r="AN102" i="19"/>
  <c r="AO102" i="19"/>
  <c r="AP102" i="19"/>
  <c r="AQ102" i="19"/>
  <c r="AR102" i="19"/>
  <c r="AS102" i="19"/>
  <c r="AT102" i="19"/>
  <c r="AU102" i="19"/>
  <c r="AV102" i="19"/>
  <c r="AW102" i="19"/>
  <c r="AX102" i="19"/>
  <c r="AY102" i="19"/>
  <c r="AZ102" i="19"/>
  <c r="BA102" i="19"/>
  <c r="BB102" i="19"/>
  <c r="BC102" i="19"/>
  <c r="BD102" i="19"/>
  <c r="BE102" i="19"/>
  <c r="BF102" i="19"/>
  <c r="BG102" i="19"/>
  <c r="BH102" i="19"/>
  <c r="BI102" i="19"/>
  <c r="BJ102" i="19"/>
  <c r="BK102" i="19"/>
  <c r="BL102" i="19"/>
  <c r="BM102" i="19"/>
  <c r="BN102" i="19"/>
  <c r="BO102" i="19"/>
  <c r="BP102" i="19"/>
  <c r="BQ102" i="19"/>
  <c r="BR102" i="19"/>
  <c r="BS102" i="19"/>
  <c r="BT102" i="19"/>
  <c r="BU102" i="19"/>
  <c r="BV102" i="19"/>
  <c r="BW102" i="19"/>
  <c r="BX102" i="19"/>
  <c r="BY102" i="19"/>
  <c r="BZ102" i="19"/>
  <c r="CA102" i="19"/>
  <c r="CB102" i="19"/>
  <c r="CC102" i="19"/>
  <c r="CD102" i="19"/>
  <c r="CE102" i="19"/>
  <c r="CF102" i="19"/>
  <c r="CG102" i="19"/>
  <c r="CH102" i="19"/>
  <c r="CI102" i="19"/>
  <c r="CJ102" i="19"/>
  <c r="CK102" i="19"/>
  <c r="CL102" i="19"/>
  <c r="CM102" i="19"/>
  <c r="CN102" i="19"/>
  <c r="CO102" i="19"/>
  <c r="CP102" i="19"/>
  <c r="CQ102" i="19"/>
  <c r="CR102" i="19"/>
  <c r="CS102" i="19"/>
  <c r="CT102" i="19"/>
  <c r="CU102" i="19"/>
  <c r="CV102" i="19"/>
  <c r="CW102" i="19"/>
  <c r="CX102" i="19"/>
  <c r="CY102" i="19"/>
  <c r="CZ102" i="19"/>
  <c r="DA102" i="19"/>
  <c r="DB102" i="19"/>
  <c r="DC102" i="19"/>
  <c r="DD102" i="19"/>
  <c r="DE102" i="19"/>
  <c r="DF102" i="19"/>
  <c r="DG102" i="19"/>
  <c r="DH102" i="19"/>
  <c r="DI102" i="19"/>
  <c r="DJ102" i="19"/>
  <c r="DK102" i="19"/>
  <c r="DL102" i="19"/>
  <c r="DM102" i="19"/>
  <c r="DN102" i="19"/>
  <c r="DO102" i="19"/>
  <c r="DP102" i="19"/>
  <c r="DQ102" i="19"/>
  <c r="DR102" i="19"/>
  <c r="DS102" i="19"/>
  <c r="DT102" i="19"/>
  <c r="DU102" i="19"/>
  <c r="DV102" i="19"/>
  <c r="DW102" i="19"/>
  <c r="DX102" i="19"/>
  <c r="DY102" i="19"/>
  <c r="DZ102" i="19"/>
  <c r="EA102" i="19"/>
  <c r="EB102" i="19"/>
  <c r="EC102" i="19"/>
  <c r="ED102" i="19"/>
  <c r="EE102" i="19"/>
  <c r="EF102" i="19"/>
  <c r="EG102" i="19"/>
  <c r="EH102" i="19"/>
  <c r="EI102" i="19"/>
  <c r="EJ102" i="19"/>
  <c r="EK102" i="19"/>
  <c r="EL102" i="19"/>
  <c r="EM102" i="19"/>
  <c r="EN102" i="19"/>
  <c r="EO102" i="19"/>
  <c r="EP102" i="19"/>
  <c r="EQ102" i="19"/>
  <c r="ER102" i="19"/>
  <c r="ES102" i="19"/>
  <c r="ET102" i="19"/>
  <c r="EU102" i="19"/>
  <c r="EV102" i="19"/>
  <c r="EW102" i="19"/>
  <c r="EX102" i="19"/>
  <c r="EY102" i="19"/>
  <c r="EZ102" i="19"/>
  <c r="FA102" i="19"/>
  <c r="FB102" i="19"/>
  <c r="FC102" i="19"/>
  <c r="FD102" i="19"/>
  <c r="FE102" i="19"/>
  <c r="FF102" i="19"/>
  <c r="FG102" i="19"/>
  <c r="FH102" i="19"/>
  <c r="FI102" i="19"/>
  <c r="FJ102" i="19"/>
  <c r="FK102" i="19"/>
  <c r="FL102" i="19"/>
  <c r="FM102" i="19"/>
  <c r="FN102" i="19"/>
  <c r="FO102" i="19"/>
  <c r="FP102" i="19"/>
  <c r="FQ102" i="19"/>
  <c r="FR102" i="19"/>
  <c r="FS102" i="19"/>
  <c r="FT102" i="19"/>
  <c r="FU102" i="19"/>
  <c r="FV102" i="19"/>
  <c r="FW102" i="19"/>
  <c r="FX102" i="19"/>
  <c r="FY102" i="19"/>
  <c r="FZ102" i="19"/>
  <c r="GA102" i="19"/>
  <c r="GB102" i="19"/>
  <c r="GC102" i="19"/>
  <c r="GD102" i="19"/>
  <c r="GE102" i="19"/>
  <c r="GF102" i="19"/>
  <c r="GG102" i="19"/>
  <c r="GH102" i="19"/>
  <c r="GI102" i="19"/>
  <c r="GJ102" i="19"/>
  <c r="GK102" i="19"/>
  <c r="GL102" i="19"/>
  <c r="GM102" i="19"/>
  <c r="GN102" i="19"/>
  <c r="GO102" i="19"/>
  <c r="GP102" i="19"/>
  <c r="GQ102" i="19"/>
  <c r="GR102" i="19"/>
  <c r="GS102" i="19"/>
  <c r="GT102" i="19"/>
  <c r="GU102" i="19"/>
  <c r="GV102" i="19"/>
  <c r="GW102" i="19"/>
  <c r="GX102" i="19"/>
  <c r="GY102" i="19"/>
  <c r="GZ102" i="19"/>
  <c r="HA102" i="19"/>
  <c r="HB102" i="19"/>
  <c r="HC102" i="19"/>
  <c r="HD102" i="19"/>
  <c r="HE102" i="19"/>
  <c r="HF102" i="19"/>
  <c r="HG102" i="19"/>
  <c r="HH102" i="19"/>
  <c r="HI102" i="19"/>
  <c r="HJ102" i="19"/>
  <c r="HK102" i="19"/>
  <c r="HL102" i="19"/>
  <c r="HM102" i="19"/>
  <c r="HN102" i="19"/>
  <c r="HO102" i="19"/>
  <c r="HP102" i="19"/>
  <c r="HQ102" i="19"/>
  <c r="HR102" i="19"/>
  <c r="HS102" i="19"/>
  <c r="HT102" i="19"/>
  <c r="HU102" i="19"/>
  <c r="HV102" i="19"/>
  <c r="HW102" i="19"/>
  <c r="HX102" i="19"/>
  <c r="HY102" i="19"/>
  <c r="HZ102" i="19"/>
  <c r="IA102" i="19"/>
  <c r="IB102" i="19"/>
  <c r="IC102" i="19"/>
  <c r="ID102" i="19"/>
  <c r="IE102" i="19"/>
  <c r="IF102" i="19"/>
  <c r="IG102" i="19"/>
  <c r="IH102" i="19"/>
  <c r="II102" i="19"/>
  <c r="IJ102" i="19"/>
  <c r="IK102" i="19"/>
  <c r="IL102" i="19"/>
  <c r="IM102" i="19"/>
  <c r="IN102" i="19"/>
  <c r="IO102" i="19"/>
  <c r="IP102" i="19"/>
  <c r="IQ102" i="19"/>
  <c r="IR102" i="19"/>
  <c r="IS102" i="19"/>
  <c r="IT102" i="19"/>
  <c r="IU102" i="19"/>
  <c r="IV102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AF103" i="19"/>
  <c r="AG103" i="19"/>
  <c r="AH103" i="19"/>
  <c r="AI103" i="19"/>
  <c r="AJ103" i="19"/>
  <c r="AK103" i="19"/>
  <c r="AL103" i="19"/>
  <c r="AM103" i="19"/>
  <c r="AN103" i="19"/>
  <c r="AO103" i="19"/>
  <c r="AP103" i="19"/>
  <c r="AQ103" i="19"/>
  <c r="AR103" i="19"/>
  <c r="AS103" i="19"/>
  <c r="AT103" i="19"/>
  <c r="AU103" i="19"/>
  <c r="AV103" i="19"/>
  <c r="AW103" i="19"/>
  <c r="AX103" i="19"/>
  <c r="AY103" i="19"/>
  <c r="AZ103" i="19"/>
  <c r="BA103" i="19"/>
  <c r="BB103" i="19"/>
  <c r="BC103" i="19"/>
  <c r="BD103" i="19"/>
  <c r="BE103" i="19"/>
  <c r="BF103" i="19"/>
  <c r="BG103" i="19"/>
  <c r="BH103" i="19"/>
  <c r="BI103" i="19"/>
  <c r="BJ103" i="19"/>
  <c r="BK103" i="19"/>
  <c r="BL103" i="19"/>
  <c r="BM103" i="19"/>
  <c r="BN103" i="19"/>
  <c r="BO103" i="19"/>
  <c r="BP103" i="19"/>
  <c r="BQ103" i="19"/>
  <c r="BR103" i="19"/>
  <c r="BS103" i="19"/>
  <c r="BT103" i="19"/>
  <c r="BU103" i="19"/>
  <c r="BV103" i="19"/>
  <c r="BW103" i="19"/>
  <c r="BX103" i="19"/>
  <c r="BY103" i="19"/>
  <c r="BZ103" i="19"/>
  <c r="CA103" i="19"/>
  <c r="CB103" i="19"/>
  <c r="CC103" i="19"/>
  <c r="CD103" i="19"/>
  <c r="CE103" i="19"/>
  <c r="CF103" i="19"/>
  <c r="CG103" i="19"/>
  <c r="CH103" i="19"/>
  <c r="CI103" i="19"/>
  <c r="CJ103" i="19"/>
  <c r="CK103" i="19"/>
  <c r="CL103" i="19"/>
  <c r="CM103" i="19"/>
  <c r="CN103" i="19"/>
  <c r="CO103" i="19"/>
  <c r="CP103" i="19"/>
  <c r="CQ103" i="19"/>
  <c r="CR103" i="19"/>
  <c r="CS103" i="19"/>
  <c r="CT103" i="19"/>
  <c r="CU103" i="19"/>
  <c r="CV103" i="19"/>
  <c r="CW103" i="19"/>
  <c r="CX103" i="19"/>
  <c r="CY103" i="19"/>
  <c r="CZ103" i="19"/>
  <c r="DA103" i="19"/>
  <c r="DB103" i="19"/>
  <c r="DC103" i="19"/>
  <c r="DD103" i="19"/>
  <c r="DE103" i="19"/>
  <c r="DF103" i="19"/>
  <c r="DG103" i="19"/>
  <c r="DH103" i="19"/>
  <c r="DI103" i="19"/>
  <c r="DJ103" i="19"/>
  <c r="DK103" i="19"/>
  <c r="DL103" i="19"/>
  <c r="DM103" i="19"/>
  <c r="DN103" i="19"/>
  <c r="DO103" i="19"/>
  <c r="DP103" i="19"/>
  <c r="DQ103" i="19"/>
  <c r="DR103" i="19"/>
  <c r="DS103" i="19"/>
  <c r="DT103" i="19"/>
  <c r="DU103" i="19"/>
  <c r="DV103" i="19"/>
  <c r="DW103" i="19"/>
  <c r="DX103" i="19"/>
  <c r="DY103" i="19"/>
  <c r="DZ103" i="19"/>
  <c r="EA103" i="19"/>
  <c r="EB103" i="19"/>
  <c r="EC103" i="19"/>
  <c r="ED103" i="19"/>
  <c r="EE103" i="19"/>
  <c r="EF103" i="19"/>
  <c r="EG103" i="19"/>
  <c r="EH103" i="19"/>
  <c r="EI103" i="19"/>
  <c r="EJ103" i="19"/>
  <c r="EK103" i="19"/>
  <c r="EL103" i="19"/>
  <c r="EM103" i="19"/>
  <c r="EN103" i="19"/>
  <c r="EO103" i="19"/>
  <c r="EP103" i="19"/>
  <c r="EQ103" i="19"/>
  <c r="ER103" i="19"/>
  <c r="ES103" i="19"/>
  <c r="ET103" i="19"/>
  <c r="EU103" i="19"/>
  <c r="EV103" i="19"/>
  <c r="EW103" i="19"/>
  <c r="EX103" i="19"/>
  <c r="EY103" i="19"/>
  <c r="EZ103" i="19"/>
  <c r="FA103" i="19"/>
  <c r="FB103" i="19"/>
  <c r="FC103" i="19"/>
  <c r="FD103" i="19"/>
  <c r="FE103" i="19"/>
  <c r="FF103" i="19"/>
  <c r="FG103" i="19"/>
  <c r="FH103" i="19"/>
  <c r="FI103" i="19"/>
  <c r="FJ103" i="19"/>
  <c r="FK103" i="19"/>
  <c r="FL103" i="19"/>
  <c r="FM103" i="19"/>
  <c r="FN103" i="19"/>
  <c r="FO103" i="19"/>
  <c r="FP103" i="19"/>
  <c r="FQ103" i="19"/>
  <c r="FR103" i="19"/>
  <c r="FS103" i="19"/>
  <c r="FT103" i="19"/>
  <c r="FU103" i="19"/>
  <c r="FV103" i="19"/>
  <c r="FW103" i="19"/>
  <c r="FX103" i="19"/>
  <c r="FY103" i="19"/>
  <c r="FZ103" i="19"/>
  <c r="GA103" i="19"/>
  <c r="GB103" i="19"/>
  <c r="GC103" i="19"/>
  <c r="GD103" i="19"/>
  <c r="GE103" i="19"/>
  <c r="GF103" i="19"/>
  <c r="GG103" i="19"/>
  <c r="GH103" i="19"/>
  <c r="GI103" i="19"/>
  <c r="GJ103" i="19"/>
  <c r="GK103" i="19"/>
  <c r="GL103" i="19"/>
  <c r="GM103" i="19"/>
  <c r="GN103" i="19"/>
  <c r="GO103" i="19"/>
  <c r="GP103" i="19"/>
  <c r="GQ103" i="19"/>
  <c r="GR103" i="19"/>
  <c r="GS103" i="19"/>
  <c r="GT103" i="19"/>
  <c r="GU103" i="19"/>
  <c r="GV103" i="19"/>
  <c r="GW103" i="19"/>
  <c r="GX103" i="19"/>
  <c r="GY103" i="19"/>
  <c r="GZ103" i="19"/>
  <c r="HA103" i="19"/>
  <c r="HB103" i="19"/>
  <c r="HC103" i="19"/>
  <c r="HD103" i="19"/>
  <c r="HE103" i="19"/>
  <c r="HF103" i="19"/>
  <c r="HG103" i="19"/>
  <c r="HH103" i="19"/>
  <c r="HI103" i="19"/>
  <c r="HJ103" i="19"/>
  <c r="HK103" i="19"/>
  <c r="HL103" i="19"/>
  <c r="HM103" i="19"/>
  <c r="HN103" i="19"/>
  <c r="HO103" i="19"/>
  <c r="HP103" i="19"/>
  <c r="HQ103" i="19"/>
  <c r="HR103" i="19"/>
  <c r="HS103" i="19"/>
  <c r="HT103" i="19"/>
  <c r="HU103" i="19"/>
  <c r="HV103" i="19"/>
  <c r="HW103" i="19"/>
  <c r="HX103" i="19"/>
  <c r="HY103" i="19"/>
  <c r="HZ103" i="19"/>
  <c r="IA103" i="19"/>
  <c r="IB103" i="19"/>
  <c r="IC103" i="19"/>
  <c r="ID103" i="19"/>
  <c r="IE103" i="19"/>
  <c r="IF103" i="19"/>
  <c r="IG103" i="19"/>
  <c r="IH103" i="19"/>
  <c r="II103" i="19"/>
  <c r="IJ103" i="19"/>
  <c r="IK103" i="19"/>
  <c r="IL103" i="19"/>
  <c r="IM103" i="19"/>
  <c r="IN103" i="19"/>
  <c r="IO103" i="19"/>
  <c r="IP103" i="19"/>
  <c r="IQ103" i="19"/>
  <c r="IR103" i="19"/>
  <c r="IS103" i="19"/>
  <c r="IT103" i="19"/>
  <c r="IU103" i="19"/>
  <c r="IV103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AF104" i="19"/>
  <c r="AG104" i="19"/>
  <c r="AH104" i="19"/>
  <c r="AI104" i="19"/>
  <c r="AJ104" i="19"/>
  <c r="AK104" i="19"/>
  <c r="AL104" i="19"/>
  <c r="AM104" i="19"/>
  <c r="AN104" i="19"/>
  <c r="AO104" i="19"/>
  <c r="AP104" i="19"/>
  <c r="AQ104" i="19"/>
  <c r="AR104" i="19"/>
  <c r="AS104" i="19"/>
  <c r="AT104" i="19"/>
  <c r="AU104" i="19"/>
  <c r="AV104" i="19"/>
  <c r="AW104" i="19"/>
  <c r="AX104" i="19"/>
  <c r="AY104" i="19"/>
  <c r="AZ104" i="19"/>
  <c r="BA104" i="19"/>
  <c r="BB104" i="19"/>
  <c r="BC104" i="19"/>
  <c r="BD104" i="19"/>
  <c r="BE104" i="19"/>
  <c r="BF104" i="19"/>
  <c r="BG104" i="19"/>
  <c r="BH104" i="19"/>
  <c r="BI104" i="19"/>
  <c r="BJ104" i="19"/>
  <c r="BK104" i="19"/>
  <c r="BL104" i="19"/>
  <c r="BM104" i="19"/>
  <c r="BN104" i="19"/>
  <c r="BO104" i="19"/>
  <c r="BP104" i="19"/>
  <c r="BQ104" i="19"/>
  <c r="BR104" i="19"/>
  <c r="BS104" i="19"/>
  <c r="BT104" i="19"/>
  <c r="BU104" i="19"/>
  <c r="BV104" i="19"/>
  <c r="BW104" i="19"/>
  <c r="BX104" i="19"/>
  <c r="BY104" i="19"/>
  <c r="BZ104" i="19"/>
  <c r="CA104" i="19"/>
  <c r="CB104" i="19"/>
  <c r="CC104" i="19"/>
  <c r="CD104" i="19"/>
  <c r="CE104" i="19"/>
  <c r="CF104" i="19"/>
  <c r="CG104" i="19"/>
  <c r="CH104" i="19"/>
  <c r="CI104" i="19"/>
  <c r="CJ104" i="19"/>
  <c r="CK104" i="19"/>
  <c r="CL104" i="19"/>
  <c r="CM104" i="19"/>
  <c r="CN104" i="19"/>
  <c r="CO104" i="19"/>
  <c r="CP104" i="19"/>
  <c r="CQ104" i="19"/>
  <c r="CR104" i="19"/>
  <c r="CS104" i="19"/>
  <c r="CT104" i="19"/>
  <c r="CU104" i="19"/>
  <c r="CV104" i="19"/>
  <c r="CW104" i="19"/>
  <c r="CX104" i="19"/>
  <c r="CY104" i="19"/>
  <c r="CZ104" i="19"/>
  <c r="DA104" i="19"/>
  <c r="DB104" i="19"/>
  <c r="DC104" i="19"/>
  <c r="DD104" i="19"/>
  <c r="DE104" i="19"/>
  <c r="DF104" i="19"/>
  <c r="DG104" i="19"/>
  <c r="DH104" i="19"/>
  <c r="DI104" i="19"/>
  <c r="DJ104" i="19"/>
  <c r="DK104" i="19"/>
  <c r="DL104" i="19"/>
  <c r="DM104" i="19"/>
  <c r="DN104" i="19"/>
  <c r="DO104" i="19"/>
  <c r="DP104" i="19"/>
  <c r="DQ104" i="19"/>
  <c r="DR104" i="19"/>
  <c r="DS104" i="19"/>
  <c r="DT104" i="19"/>
  <c r="DU104" i="19"/>
  <c r="DV104" i="19"/>
  <c r="DW104" i="19"/>
  <c r="DX104" i="19"/>
  <c r="DY104" i="19"/>
  <c r="DZ104" i="19"/>
  <c r="EA104" i="19"/>
  <c r="EB104" i="19"/>
  <c r="EC104" i="19"/>
  <c r="ED104" i="19"/>
  <c r="EE104" i="19"/>
  <c r="EF104" i="19"/>
  <c r="EG104" i="19"/>
  <c r="EH104" i="19"/>
  <c r="EI104" i="19"/>
  <c r="EJ104" i="19"/>
  <c r="EK104" i="19"/>
  <c r="EL104" i="19"/>
  <c r="EM104" i="19"/>
  <c r="EN104" i="19"/>
  <c r="EO104" i="19"/>
  <c r="EP104" i="19"/>
  <c r="EQ104" i="19"/>
  <c r="ER104" i="19"/>
  <c r="ES104" i="19"/>
  <c r="ET104" i="19"/>
  <c r="EU104" i="19"/>
  <c r="EV104" i="19"/>
  <c r="EW104" i="19"/>
  <c r="EX104" i="19"/>
  <c r="EY104" i="19"/>
  <c r="EZ104" i="19"/>
  <c r="FA104" i="19"/>
  <c r="FB104" i="19"/>
  <c r="FC104" i="19"/>
  <c r="FD104" i="19"/>
  <c r="FE104" i="19"/>
  <c r="FF104" i="19"/>
  <c r="FG104" i="19"/>
  <c r="FH104" i="19"/>
  <c r="FI104" i="19"/>
  <c r="FJ104" i="19"/>
  <c r="FK104" i="19"/>
  <c r="FL104" i="19"/>
  <c r="FM104" i="19"/>
  <c r="FN104" i="19"/>
  <c r="FO104" i="19"/>
  <c r="FP104" i="19"/>
  <c r="FQ104" i="19"/>
  <c r="FR104" i="19"/>
  <c r="FS104" i="19"/>
  <c r="FT104" i="19"/>
  <c r="FU104" i="19"/>
  <c r="FV104" i="19"/>
  <c r="FW104" i="19"/>
  <c r="FX104" i="19"/>
  <c r="FY104" i="19"/>
  <c r="FZ104" i="19"/>
  <c r="GA104" i="19"/>
  <c r="GB104" i="19"/>
  <c r="GC104" i="19"/>
  <c r="GD104" i="19"/>
  <c r="GE104" i="19"/>
  <c r="GF104" i="19"/>
  <c r="GG104" i="19"/>
  <c r="GH104" i="19"/>
  <c r="GI104" i="19"/>
  <c r="GJ104" i="19"/>
  <c r="GK104" i="19"/>
  <c r="GL104" i="19"/>
  <c r="GM104" i="19"/>
  <c r="GN104" i="19"/>
  <c r="GO104" i="19"/>
  <c r="GP104" i="19"/>
  <c r="GQ104" i="19"/>
  <c r="GR104" i="19"/>
  <c r="GS104" i="19"/>
  <c r="GT104" i="19"/>
  <c r="GU104" i="19"/>
  <c r="GV104" i="19"/>
  <c r="GW104" i="19"/>
  <c r="GX104" i="19"/>
  <c r="GY104" i="19"/>
  <c r="GZ104" i="19"/>
  <c r="HA104" i="19"/>
  <c r="HB104" i="19"/>
  <c r="HC104" i="19"/>
  <c r="HD104" i="19"/>
  <c r="HE104" i="19"/>
  <c r="HF104" i="19"/>
  <c r="HG104" i="19"/>
  <c r="HH104" i="19"/>
  <c r="HI104" i="19"/>
  <c r="HJ104" i="19"/>
  <c r="HK104" i="19"/>
  <c r="HL104" i="19"/>
  <c r="HM104" i="19"/>
  <c r="HN104" i="19"/>
  <c r="HO104" i="19"/>
  <c r="HP104" i="19"/>
  <c r="HQ104" i="19"/>
  <c r="HR104" i="19"/>
  <c r="HS104" i="19"/>
  <c r="HT104" i="19"/>
  <c r="HU104" i="19"/>
  <c r="HV104" i="19"/>
  <c r="HW104" i="19"/>
  <c r="HX104" i="19"/>
  <c r="HY104" i="19"/>
  <c r="HZ104" i="19"/>
  <c r="IA104" i="19"/>
  <c r="IB104" i="19"/>
  <c r="IC104" i="19"/>
  <c r="ID104" i="19"/>
  <c r="IE104" i="19"/>
  <c r="IF104" i="19"/>
  <c r="IG104" i="19"/>
  <c r="IH104" i="19"/>
  <c r="II104" i="19"/>
  <c r="IJ104" i="19"/>
  <c r="IK104" i="19"/>
  <c r="IL104" i="19"/>
  <c r="IM104" i="19"/>
  <c r="IN104" i="19"/>
  <c r="IO104" i="19"/>
  <c r="IP104" i="19"/>
  <c r="IQ104" i="19"/>
  <c r="IR104" i="19"/>
  <c r="IS104" i="19"/>
  <c r="IT104" i="19"/>
  <c r="IU104" i="19"/>
  <c r="IV104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AN105" i="19"/>
  <c r="AO105" i="19"/>
  <c r="AP105" i="19"/>
  <c r="AQ105" i="19"/>
  <c r="AR105" i="19"/>
  <c r="AS105" i="19"/>
  <c r="AT105" i="19"/>
  <c r="AU105" i="19"/>
  <c r="AV105" i="19"/>
  <c r="AW105" i="19"/>
  <c r="AX105" i="19"/>
  <c r="AY105" i="19"/>
  <c r="AZ105" i="19"/>
  <c r="BA105" i="19"/>
  <c r="BB105" i="19"/>
  <c r="BC105" i="19"/>
  <c r="BD105" i="19"/>
  <c r="BE105" i="19"/>
  <c r="BF105" i="19"/>
  <c r="BG105" i="19"/>
  <c r="BH105" i="19"/>
  <c r="BI105" i="19"/>
  <c r="BJ105" i="19"/>
  <c r="BK105" i="19"/>
  <c r="BL105" i="19"/>
  <c r="BM105" i="19"/>
  <c r="BN105" i="19"/>
  <c r="BO105" i="19"/>
  <c r="BP105" i="19"/>
  <c r="BQ105" i="19"/>
  <c r="BR105" i="19"/>
  <c r="BS105" i="19"/>
  <c r="BT105" i="19"/>
  <c r="BU105" i="19"/>
  <c r="BV105" i="19"/>
  <c r="BW105" i="19"/>
  <c r="BX105" i="19"/>
  <c r="BY105" i="19"/>
  <c r="BZ105" i="19"/>
  <c r="CA105" i="19"/>
  <c r="CB105" i="19"/>
  <c r="CC105" i="19"/>
  <c r="CD105" i="19"/>
  <c r="CE105" i="19"/>
  <c r="CF105" i="19"/>
  <c r="CG105" i="19"/>
  <c r="CH105" i="19"/>
  <c r="CI105" i="19"/>
  <c r="CJ105" i="19"/>
  <c r="CK105" i="19"/>
  <c r="CL105" i="19"/>
  <c r="CM105" i="19"/>
  <c r="CN105" i="19"/>
  <c r="CO105" i="19"/>
  <c r="CP105" i="19"/>
  <c r="CQ105" i="19"/>
  <c r="CR105" i="19"/>
  <c r="CS105" i="19"/>
  <c r="CT105" i="19"/>
  <c r="CU105" i="19"/>
  <c r="CV105" i="19"/>
  <c r="CW105" i="19"/>
  <c r="CX105" i="19"/>
  <c r="CY105" i="19"/>
  <c r="CZ105" i="19"/>
  <c r="DA105" i="19"/>
  <c r="DB105" i="19"/>
  <c r="DC105" i="19"/>
  <c r="DD105" i="19"/>
  <c r="DE105" i="19"/>
  <c r="DF105" i="19"/>
  <c r="DG105" i="19"/>
  <c r="DH105" i="19"/>
  <c r="DI105" i="19"/>
  <c r="DJ105" i="19"/>
  <c r="DK105" i="19"/>
  <c r="DL105" i="19"/>
  <c r="DM105" i="19"/>
  <c r="DN105" i="19"/>
  <c r="DO105" i="19"/>
  <c r="DP105" i="19"/>
  <c r="DQ105" i="19"/>
  <c r="DR105" i="19"/>
  <c r="DS105" i="19"/>
  <c r="DT105" i="19"/>
  <c r="DU105" i="19"/>
  <c r="DV105" i="19"/>
  <c r="DW105" i="19"/>
  <c r="DX105" i="19"/>
  <c r="DY105" i="19"/>
  <c r="DZ105" i="19"/>
  <c r="EA105" i="19"/>
  <c r="EB105" i="19"/>
  <c r="EC105" i="19"/>
  <c r="ED105" i="19"/>
  <c r="EE105" i="19"/>
  <c r="EF105" i="19"/>
  <c r="EG105" i="19"/>
  <c r="EH105" i="19"/>
  <c r="EI105" i="19"/>
  <c r="EJ105" i="19"/>
  <c r="EK105" i="19"/>
  <c r="EL105" i="19"/>
  <c r="EM105" i="19"/>
  <c r="EN105" i="19"/>
  <c r="EO105" i="19"/>
  <c r="EP105" i="19"/>
  <c r="EQ105" i="19"/>
  <c r="ER105" i="19"/>
  <c r="ES105" i="19"/>
  <c r="ET105" i="19"/>
  <c r="EU105" i="19"/>
  <c r="EV105" i="19"/>
  <c r="EW105" i="19"/>
  <c r="EX105" i="19"/>
  <c r="EY105" i="19"/>
  <c r="EZ105" i="19"/>
  <c r="FA105" i="19"/>
  <c r="FB105" i="19"/>
  <c r="FC105" i="19"/>
  <c r="FD105" i="19"/>
  <c r="FE105" i="19"/>
  <c r="FF105" i="19"/>
  <c r="FG105" i="19"/>
  <c r="FH105" i="19"/>
  <c r="FI105" i="19"/>
  <c r="FJ105" i="19"/>
  <c r="FK105" i="19"/>
  <c r="FL105" i="19"/>
  <c r="FM105" i="19"/>
  <c r="FN105" i="19"/>
  <c r="FO105" i="19"/>
  <c r="FP105" i="19"/>
  <c r="FQ105" i="19"/>
  <c r="FR105" i="19"/>
  <c r="FS105" i="19"/>
  <c r="FT105" i="19"/>
  <c r="FU105" i="19"/>
  <c r="FV105" i="19"/>
  <c r="FW105" i="19"/>
  <c r="FX105" i="19"/>
  <c r="FY105" i="19"/>
  <c r="FZ105" i="19"/>
  <c r="GA105" i="19"/>
  <c r="GB105" i="19"/>
  <c r="GC105" i="19"/>
  <c r="GD105" i="19"/>
  <c r="GE105" i="19"/>
  <c r="GF105" i="19"/>
  <c r="GG105" i="19"/>
  <c r="GH105" i="19"/>
  <c r="GI105" i="19"/>
  <c r="GJ105" i="19"/>
  <c r="GK105" i="19"/>
  <c r="GL105" i="19"/>
  <c r="GM105" i="19"/>
  <c r="GN105" i="19"/>
  <c r="GO105" i="19"/>
  <c r="GP105" i="19"/>
  <c r="GQ105" i="19"/>
  <c r="GR105" i="19"/>
  <c r="GS105" i="19"/>
  <c r="GT105" i="19"/>
  <c r="GU105" i="19"/>
  <c r="GV105" i="19"/>
  <c r="GW105" i="19"/>
  <c r="GX105" i="19"/>
  <c r="GY105" i="19"/>
  <c r="GZ105" i="19"/>
  <c r="HA105" i="19"/>
  <c r="HB105" i="19"/>
  <c r="HC105" i="19"/>
  <c r="HD105" i="19"/>
  <c r="HE105" i="19"/>
  <c r="HF105" i="19"/>
  <c r="HG105" i="19"/>
  <c r="HH105" i="19"/>
  <c r="HI105" i="19"/>
  <c r="HJ105" i="19"/>
  <c r="HK105" i="19"/>
  <c r="HL105" i="19"/>
  <c r="HM105" i="19"/>
  <c r="HN105" i="19"/>
  <c r="HO105" i="19"/>
  <c r="HP105" i="19"/>
  <c r="HQ105" i="19"/>
  <c r="HR105" i="19"/>
  <c r="HS105" i="19"/>
  <c r="HT105" i="19"/>
  <c r="HU105" i="19"/>
  <c r="HV105" i="19"/>
  <c r="HW105" i="19"/>
  <c r="HX105" i="19"/>
  <c r="HY105" i="19"/>
  <c r="HZ105" i="19"/>
  <c r="IA105" i="19"/>
  <c r="IB105" i="19"/>
  <c r="IC105" i="19"/>
  <c r="ID105" i="19"/>
  <c r="IE105" i="19"/>
  <c r="IF105" i="19"/>
  <c r="IG105" i="19"/>
  <c r="IH105" i="19"/>
  <c r="II105" i="19"/>
  <c r="IJ105" i="19"/>
  <c r="IK105" i="19"/>
  <c r="IL105" i="19"/>
  <c r="IM105" i="19"/>
  <c r="IN105" i="19"/>
  <c r="IO105" i="19"/>
  <c r="IP105" i="19"/>
  <c r="IQ105" i="19"/>
  <c r="IR105" i="19"/>
  <c r="IS105" i="19"/>
  <c r="IT105" i="19"/>
  <c r="IU105" i="19"/>
  <c r="IV105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D106" i="19"/>
  <c r="AE106" i="19"/>
  <c r="AF106" i="19"/>
  <c r="AG106" i="19"/>
  <c r="AH106" i="19"/>
  <c r="AI106" i="19"/>
  <c r="AJ106" i="19"/>
  <c r="AK106" i="19"/>
  <c r="AL106" i="19"/>
  <c r="AM106" i="19"/>
  <c r="AN106" i="19"/>
  <c r="AO106" i="19"/>
  <c r="AP106" i="19"/>
  <c r="AQ106" i="19"/>
  <c r="AR106" i="19"/>
  <c r="AS106" i="19"/>
  <c r="AT106" i="19"/>
  <c r="AU106" i="19"/>
  <c r="AV106" i="19"/>
  <c r="AW106" i="19"/>
  <c r="AX106" i="19"/>
  <c r="AY106" i="19"/>
  <c r="AZ106" i="19"/>
  <c r="BA106" i="19"/>
  <c r="BB106" i="19"/>
  <c r="BC106" i="19"/>
  <c r="BD106" i="19"/>
  <c r="BE106" i="19"/>
  <c r="BF106" i="19"/>
  <c r="BG106" i="19"/>
  <c r="BH106" i="19"/>
  <c r="BI106" i="19"/>
  <c r="BJ106" i="19"/>
  <c r="BK106" i="19"/>
  <c r="BL106" i="19"/>
  <c r="BM106" i="19"/>
  <c r="BN106" i="19"/>
  <c r="BO106" i="19"/>
  <c r="BP106" i="19"/>
  <c r="BQ106" i="19"/>
  <c r="BR106" i="19"/>
  <c r="BS106" i="19"/>
  <c r="BT106" i="19"/>
  <c r="BU106" i="19"/>
  <c r="BV106" i="19"/>
  <c r="BW106" i="19"/>
  <c r="BX106" i="19"/>
  <c r="BY106" i="19"/>
  <c r="BZ106" i="19"/>
  <c r="CA106" i="19"/>
  <c r="CB106" i="19"/>
  <c r="CC106" i="19"/>
  <c r="CD106" i="19"/>
  <c r="CE106" i="19"/>
  <c r="CF106" i="19"/>
  <c r="CG106" i="19"/>
  <c r="CH106" i="19"/>
  <c r="CI106" i="19"/>
  <c r="CJ106" i="19"/>
  <c r="CK106" i="19"/>
  <c r="CL106" i="19"/>
  <c r="CM106" i="19"/>
  <c r="CN106" i="19"/>
  <c r="CO106" i="19"/>
  <c r="CP106" i="19"/>
  <c r="CQ106" i="19"/>
  <c r="CR106" i="19"/>
  <c r="CS106" i="19"/>
  <c r="CT106" i="19"/>
  <c r="CU106" i="19"/>
  <c r="CV106" i="19"/>
  <c r="CW106" i="19"/>
  <c r="CX106" i="19"/>
  <c r="CY106" i="19"/>
  <c r="CZ106" i="19"/>
  <c r="DA106" i="19"/>
  <c r="DB106" i="19"/>
  <c r="DC106" i="19"/>
  <c r="DD106" i="19"/>
  <c r="DE106" i="19"/>
  <c r="DF106" i="19"/>
  <c r="DG106" i="19"/>
  <c r="DH106" i="19"/>
  <c r="DI106" i="19"/>
  <c r="DJ106" i="19"/>
  <c r="DK106" i="19"/>
  <c r="DL106" i="19"/>
  <c r="DM106" i="19"/>
  <c r="DN106" i="19"/>
  <c r="DO106" i="19"/>
  <c r="DP106" i="19"/>
  <c r="DQ106" i="19"/>
  <c r="DR106" i="19"/>
  <c r="DS106" i="19"/>
  <c r="DT106" i="19"/>
  <c r="DU106" i="19"/>
  <c r="DV106" i="19"/>
  <c r="DW106" i="19"/>
  <c r="DX106" i="19"/>
  <c r="DY106" i="19"/>
  <c r="DZ106" i="19"/>
  <c r="EA106" i="19"/>
  <c r="EB106" i="19"/>
  <c r="EC106" i="19"/>
  <c r="ED106" i="19"/>
  <c r="EE106" i="19"/>
  <c r="EF106" i="19"/>
  <c r="EG106" i="19"/>
  <c r="EH106" i="19"/>
  <c r="EI106" i="19"/>
  <c r="EJ106" i="19"/>
  <c r="EK106" i="19"/>
  <c r="EL106" i="19"/>
  <c r="EM106" i="19"/>
  <c r="EN106" i="19"/>
  <c r="EO106" i="19"/>
  <c r="EP106" i="19"/>
  <c r="EQ106" i="19"/>
  <c r="ER106" i="19"/>
  <c r="ES106" i="19"/>
  <c r="ET106" i="19"/>
  <c r="EU106" i="19"/>
  <c r="EV106" i="19"/>
  <c r="EW106" i="19"/>
  <c r="EX106" i="19"/>
  <c r="EY106" i="19"/>
  <c r="EZ106" i="19"/>
  <c r="FA106" i="19"/>
  <c r="FB106" i="19"/>
  <c r="FC106" i="19"/>
  <c r="FD106" i="19"/>
  <c r="FE106" i="19"/>
  <c r="FF106" i="19"/>
  <c r="FG106" i="19"/>
  <c r="FH106" i="19"/>
  <c r="FI106" i="19"/>
  <c r="FJ106" i="19"/>
  <c r="FK106" i="19"/>
  <c r="FL106" i="19"/>
  <c r="FM106" i="19"/>
  <c r="FN106" i="19"/>
  <c r="FO106" i="19"/>
  <c r="FP106" i="19"/>
  <c r="FQ106" i="19"/>
  <c r="FR106" i="19"/>
  <c r="FS106" i="19"/>
  <c r="FT106" i="19"/>
  <c r="FU106" i="19"/>
  <c r="FV106" i="19"/>
  <c r="FW106" i="19"/>
  <c r="FX106" i="19"/>
  <c r="FY106" i="19"/>
  <c r="FZ106" i="19"/>
  <c r="GA106" i="19"/>
  <c r="GB106" i="19"/>
  <c r="GC106" i="19"/>
  <c r="GD106" i="19"/>
  <c r="GE106" i="19"/>
  <c r="GF106" i="19"/>
  <c r="GG106" i="19"/>
  <c r="GH106" i="19"/>
  <c r="GI106" i="19"/>
  <c r="GJ106" i="19"/>
  <c r="GK106" i="19"/>
  <c r="GL106" i="19"/>
  <c r="GM106" i="19"/>
  <c r="GN106" i="19"/>
  <c r="GO106" i="19"/>
  <c r="GP106" i="19"/>
  <c r="GQ106" i="19"/>
  <c r="GR106" i="19"/>
  <c r="GS106" i="19"/>
  <c r="GT106" i="19"/>
  <c r="GU106" i="19"/>
  <c r="GV106" i="19"/>
  <c r="GW106" i="19"/>
  <c r="GX106" i="19"/>
  <c r="GY106" i="19"/>
  <c r="GZ106" i="19"/>
  <c r="HA106" i="19"/>
  <c r="HB106" i="19"/>
  <c r="HC106" i="19"/>
  <c r="HD106" i="19"/>
  <c r="HE106" i="19"/>
  <c r="HF106" i="19"/>
  <c r="HG106" i="19"/>
  <c r="HH106" i="19"/>
  <c r="HI106" i="19"/>
  <c r="HJ106" i="19"/>
  <c r="HK106" i="19"/>
  <c r="HL106" i="19"/>
  <c r="HM106" i="19"/>
  <c r="HN106" i="19"/>
  <c r="HO106" i="19"/>
  <c r="HP106" i="19"/>
  <c r="HQ106" i="19"/>
  <c r="HR106" i="19"/>
  <c r="HS106" i="19"/>
  <c r="HT106" i="19"/>
  <c r="HU106" i="19"/>
  <c r="HV106" i="19"/>
  <c r="HW106" i="19"/>
  <c r="HX106" i="19"/>
  <c r="HY106" i="19"/>
  <c r="HZ106" i="19"/>
  <c r="IA106" i="19"/>
  <c r="IB106" i="19"/>
  <c r="IC106" i="19"/>
  <c r="ID106" i="19"/>
  <c r="IE106" i="19"/>
  <c r="IF106" i="19"/>
  <c r="IG106" i="19"/>
  <c r="IH106" i="19"/>
  <c r="II106" i="19"/>
  <c r="IJ106" i="19"/>
  <c r="IK106" i="19"/>
  <c r="IL106" i="19"/>
  <c r="IM106" i="19"/>
  <c r="IN106" i="19"/>
  <c r="IO106" i="19"/>
  <c r="IP106" i="19"/>
  <c r="IQ106" i="19"/>
  <c r="IR106" i="19"/>
  <c r="IS106" i="19"/>
  <c r="IT106" i="19"/>
  <c r="IU106" i="19"/>
  <c r="IV106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D107" i="19"/>
  <c r="AE107" i="19"/>
  <c r="AF107" i="19"/>
  <c r="AG107" i="19"/>
  <c r="AH107" i="19"/>
  <c r="AI107" i="19"/>
  <c r="AJ107" i="19"/>
  <c r="AK107" i="19"/>
  <c r="AL107" i="19"/>
  <c r="AM107" i="19"/>
  <c r="AN107" i="19"/>
  <c r="AO107" i="19"/>
  <c r="AP107" i="19"/>
  <c r="AQ107" i="19"/>
  <c r="AR107" i="19"/>
  <c r="AS107" i="19"/>
  <c r="AT107" i="19"/>
  <c r="AU107" i="19"/>
  <c r="AV107" i="19"/>
  <c r="AW107" i="19"/>
  <c r="AX107" i="19"/>
  <c r="AY107" i="19"/>
  <c r="AZ107" i="19"/>
  <c r="BA107" i="19"/>
  <c r="BB107" i="19"/>
  <c r="BC107" i="19"/>
  <c r="BD107" i="19"/>
  <c r="BE107" i="19"/>
  <c r="BF107" i="19"/>
  <c r="BG107" i="19"/>
  <c r="BH107" i="19"/>
  <c r="BI107" i="19"/>
  <c r="BJ107" i="19"/>
  <c r="BK107" i="19"/>
  <c r="BL107" i="19"/>
  <c r="BM107" i="19"/>
  <c r="BN107" i="19"/>
  <c r="BO107" i="19"/>
  <c r="BP107" i="19"/>
  <c r="BQ107" i="19"/>
  <c r="BR107" i="19"/>
  <c r="BS107" i="19"/>
  <c r="BT107" i="19"/>
  <c r="BU107" i="19"/>
  <c r="BV107" i="19"/>
  <c r="BW107" i="19"/>
  <c r="BX107" i="19"/>
  <c r="BY107" i="19"/>
  <c r="BZ107" i="19"/>
  <c r="CA107" i="19"/>
  <c r="CB107" i="19"/>
  <c r="CC107" i="19"/>
  <c r="CD107" i="19"/>
  <c r="CE107" i="19"/>
  <c r="CF107" i="19"/>
  <c r="CG107" i="19"/>
  <c r="CH107" i="19"/>
  <c r="CI107" i="19"/>
  <c r="CJ107" i="19"/>
  <c r="CK107" i="19"/>
  <c r="CL107" i="19"/>
  <c r="CM107" i="19"/>
  <c r="CN107" i="19"/>
  <c r="CO107" i="19"/>
  <c r="CP107" i="19"/>
  <c r="CQ107" i="19"/>
  <c r="CR107" i="19"/>
  <c r="CS107" i="19"/>
  <c r="CT107" i="19"/>
  <c r="CU107" i="19"/>
  <c r="CV107" i="19"/>
  <c r="CW107" i="19"/>
  <c r="CX107" i="19"/>
  <c r="CY107" i="19"/>
  <c r="CZ107" i="19"/>
  <c r="DA107" i="19"/>
  <c r="DB107" i="19"/>
  <c r="DC107" i="19"/>
  <c r="DD107" i="19"/>
  <c r="DE107" i="19"/>
  <c r="DF107" i="19"/>
  <c r="DG107" i="19"/>
  <c r="DH107" i="19"/>
  <c r="DI107" i="19"/>
  <c r="DJ107" i="19"/>
  <c r="DK107" i="19"/>
  <c r="DL107" i="19"/>
  <c r="DM107" i="19"/>
  <c r="DN107" i="19"/>
  <c r="DO107" i="19"/>
  <c r="DP107" i="19"/>
  <c r="DQ107" i="19"/>
  <c r="DR107" i="19"/>
  <c r="DS107" i="19"/>
  <c r="DT107" i="19"/>
  <c r="DU107" i="19"/>
  <c r="DV107" i="19"/>
  <c r="DW107" i="19"/>
  <c r="DX107" i="19"/>
  <c r="DY107" i="19"/>
  <c r="DZ107" i="19"/>
  <c r="EA107" i="19"/>
  <c r="EB107" i="19"/>
  <c r="EC107" i="19"/>
  <c r="ED107" i="19"/>
  <c r="EE107" i="19"/>
  <c r="EF107" i="19"/>
  <c r="EG107" i="19"/>
  <c r="EH107" i="19"/>
  <c r="EI107" i="19"/>
  <c r="EJ107" i="19"/>
  <c r="EK107" i="19"/>
  <c r="EL107" i="19"/>
  <c r="EM107" i="19"/>
  <c r="EN107" i="19"/>
  <c r="EO107" i="19"/>
  <c r="EP107" i="19"/>
  <c r="EQ107" i="19"/>
  <c r="ER107" i="19"/>
  <c r="ES107" i="19"/>
  <c r="ET107" i="19"/>
  <c r="EU107" i="19"/>
  <c r="EV107" i="19"/>
  <c r="EW107" i="19"/>
  <c r="EX107" i="19"/>
  <c r="EY107" i="19"/>
  <c r="EZ107" i="19"/>
  <c r="FA107" i="19"/>
  <c r="FB107" i="19"/>
  <c r="FC107" i="19"/>
  <c r="FD107" i="19"/>
  <c r="FE107" i="19"/>
  <c r="FF107" i="19"/>
  <c r="FG107" i="19"/>
  <c r="FH107" i="19"/>
  <c r="FI107" i="19"/>
  <c r="FJ107" i="19"/>
  <c r="FK107" i="19"/>
  <c r="FL107" i="19"/>
  <c r="FM107" i="19"/>
  <c r="FN107" i="19"/>
  <c r="FO107" i="19"/>
  <c r="FP107" i="19"/>
  <c r="FQ107" i="19"/>
  <c r="FR107" i="19"/>
  <c r="FS107" i="19"/>
  <c r="FT107" i="19"/>
  <c r="FU107" i="19"/>
  <c r="FV107" i="19"/>
  <c r="FW107" i="19"/>
  <c r="FX107" i="19"/>
  <c r="FY107" i="19"/>
  <c r="FZ107" i="19"/>
  <c r="GA107" i="19"/>
  <c r="GB107" i="19"/>
  <c r="GC107" i="19"/>
  <c r="GD107" i="19"/>
  <c r="GE107" i="19"/>
  <c r="GF107" i="19"/>
  <c r="GG107" i="19"/>
  <c r="GH107" i="19"/>
  <c r="GI107" i="19"/>
  <c r="GJ107" i="19"/>
  <c r="GK107" i="19"/>
  <c r="GL107" i="19"/>
  <c r="GM107" i="19"/>
  <c r="GN107" i="19"/>
  <c r="GO107" i="19"/>
  <c r="GP107" i="19"/>
  <c r="GQ107" i="19"/>
  <c r="GR107" i="19"/>
  <c r="GS107" i="19"/>
  <c r="GT107" i="19"/>
  <c r="GU107" i="19"/>
  <c r="GV107" i="19"/>
  <c r="GW107" i="19"/>
  <c r="GX107" i="19"/>
  <c r="GY107" i="19"/>
  <c r="GZ107" i="19"/>
  <c r="HA107" i="19"/>
  <c r="HB107" i="19"/>
  <c r="HC107" i="19"/>
  <c r="HD107" i="19"/>
  <c r="HE107" i="19"/>
  <c r="HF107" i="19"/>
  <c r="HG107" i="19"/>
  <c r="HH107" i="19"/>
  <c r="HI107" i="19"/>
  <c r="HJ107" i="19"/>
  <c r="HK107" i="19"/>
  <c r="HL107" i="19"/>
  <c r="HM107" i="19"/>
  <c r="HN107" i="19"/>
  <c r="HO107" i="19"/>
  <c r="HP107" i="19"/>
  <c r="HQ107" i="19"/>
  <c r="HR107" i="19"/>
  <c r="HS107" i="19"/>
  <c r="HT107" i="19"/>
  <c r="HU107" i="19"/>
  <c r="HV107" i="19"/>
  <c r="HW107" i="19"/>
  <c r="HX107" i="19"/>
  <c r="HY107" i="19"/>
  <c r="HZ107" i="19"/>
  <c r="IA107" i="19"/>
  <c r="IB107" i="19"/>
  <c r="IC107" i="19"/>
  <c r="ID107" i="19"/>
  <c r="IE107" i="19"/>
  <c r="IF107" i="19"/>
  <c r="IG107" i="19"/>
  <c r="IH107" i="19"/>
  <c r="II107" i="19"/>
  <c r="IJ107" i="19"/>
  <c r="IK107" i="19"/>
  <c r="IL107" i="19"/>
  <c r="IM107" i="19"/>
  <c r="IN107" i="19"/>
  <c r="IO107" i="19"/>
  <c r="IP107" i="19"/>
  <c r="IQ107" i="19"/>
  <c r="IR107" i="19"/>
  <c r="IS107" i="19"/>
  <c r="IT107" i="19"/>
  <c r="IU107" i="19"/>
  <c r="IV107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AD108" i="19"/>
  <c r="AE108" i="19"/>
  <c r="AF108" i="19"/>
  <c r="AG108" i="19"/>
  <c r="AH108" i="19"/>
  <c r="AI108" i="19"/>
  <c r="AJ108" i="19"/>
  <c r="AK108" i="19"/>
  <c r="AL108" i="19"/>
  <c r="AM108" i="19"/>
  <c r="AN108" i="19"/>
  <c r="AO108" i="19"/>
  <c r="AP108" i="19"/>
  <c r="AQ108" i="19"/>
  <c r="AR108" i="19"/>
  <c r="AS108" i="19"/>
  <c r="AT108" i="19"/>
  <c r="AU108" i="19"/>
  <c r="AV108" i="19"/>
  <c r="AW108" i="19"/>
  <c r="AX108" i="19"/>
  <c r="AY108" i="19"/>
  <c r="AZ108" i="19"/>
  <c r="BA108" i="19"/>
  <c r="BB108" i="19"/>
  <c r="BC108" i="19"/>
  <c r="BD108" i="19"/>
  <c r="BE108" i="19"/>
  <c r="BF108" i="19"/>
  <c r="BG108" i="19"/>
  <c r="BH108" i="19"/>
  <c r="BI108" i="19"/>
  <c r="BJ108" i="19"/>
  <c r="BK108" i="19"/>
  <c r="BL108" i="19"/>
  <c r="BM108" i="19"/>
  <c r="BN108" i="19"/>
  <c r="BO108" i="19"/>
  <c r="BP108" i="19"/>
  <c r="BQ108" i="19"/>
  <c r="BR108" i="19"/>
  <c r="BS108" i="19"/>
  <c r="BT108" i="19"/>
  <c r="BU108" i="19"/>
  <c r="BV108" i="19"/>
  <c r="BW108" i="19"/>
  <c r="BX108" i="19"/>
  <c r="BY108" i="19"/>
  <c r="BZ108" i="19"/>
  <c r="CA108" i="19"/>
  <c r="CB108" i="19"/>
  <c r="CC108" i="19"/>
  <c r="CD108" i="19"/>
  <c r="CE108" i="19"/>
  <c r="CF108" i="19"/>
  <c r="CG108" i="19"/>
  <c r="CH108" i="19"/>
  <c r="CI108" i="19"/>
  <c r="CJ108" i="19"/>
  <c r="CK108" i="19"/>
  <c r="CL108" i="19"/>
  <c r="CM108" i="19"/>
  <c r="CN108" i="19"/>
  <c r="CO108" i="19"/>
  <c r="CP108" i="19"/>
  <c r="CQ108" i="19"/>
  <c r="CR108" i="19"/>
  <c r="CS108" i="19"/>
  <c r="CT108" i="19"/>
  <c r="CU108" i="19"/>
  <c r="CV108" i="19"/>
  <c r="CW108" i="19"/>
  <c r="CX108" i="19"/>
  <c r="CY108" i="19"/>
  <c r="CZ108" i="19"/>
  <c r="DA108" i="19"/>
  <c r="DB108" i="19"/>
  <c r="DC108" i="19"/>
  <c r="DD108" i="19"/>
  <c r="DE108" i="19"/>
  <c r="DF108" i="19"/>
  <c r="DG108" i="19"/>
  <c r="DH108" i="19"/>
  <c r="DI108" i="19"/>
  <c r="DJ108" i="19"/>
  <c r="DK108" i="19"/>
  <c r="DL108" i="19"/>
  <c r="DM108" i="19"/>
  <c r="DN108" i="19"/>
  <c r="DO108" i="19"/>
  <c r="DP108" i="19"/>
  <c r="DQ108" i="19"/>
  <c r="DR108" i="19"/>
  <c r="DS108" i="19"/>
  <c r="DT108" i="19"/>
  <c r="DU108" i="19"/>
  <c r="DV108" i="19"/>
  <c r="DW108" i="19"/>
  <c r="DX108" i="19"/>
  <c r="DY108" i="19"/>
  <c r="DZ108" i="19"/>
  <c r="EA108" i="19"/>
  <c r="EB108" i="19"/>
  <c r="EC108" i="19"/>
  <c r="ED108" i="19"/>
  <c r="EE108" i="19"/>
  <c r="EF108" i="19"/>
  <c r="EG108" i="19"/>
  <c r="EH108" i="19"/>
  <c r="EI108" i="19"/>
  <c r="EJ108" i="19"/>
  <c r="EK108" i="19"/>
  <c r="EL108" i="19"/>
  <c r="EM108" i="19"/>
  <c r="EN108" i="19"/>
  <c r="EO108" i="19"/>
  <c r="EP108" i="19"/>
  <c r="EQ108" i="19"/>
  <c r="ER108" i="19"/>
  <c r="ES108" i="19"/>
  <c r="ET108" i="19"/>
  <c r="EU108" i="19"/>
  <c r="EV108" i="19"/>
  <c r="EW108" i="19"/>
  <c r="EX108" i="19"/>
  <c r="EY108" i="19"/>
  <c r="EZ108" i="19"/>
  <c r="FA108" i="19"/>
  <c r="FB108" i="19"/>
  <c r="FC108" i="19"/>
  <c r="FD108" i="19"/>
  <c r="FE108" i="19"/>
  <c r="FF108" i="19"/>
  <c r="FG108" i="19"/>
  <c r="FH108" i="19"/>
  <c r="FI108" i="19"/>
  <c r="FJ108" i="19"/>
  <c r="FK108" i="19"/>
  <c r="FL108" i="19"/>
  <c r="FM108" i="19"/>
  <c r="FN108" i="19"/>
  <c r="FO108" i="19"/>
  <c r="FP108" i="19"/>
  <c r="FQ108" i="19"/>
  <c r="FR108" i="19"/>
  <c r="FS108" i="19"/>
  <c r="FT108" i="19"/>
  <c r="FU108" i="19"/>
  <c r="FV108" i="19"/>
  <c r="FW108" i="19"/>
  <c r="FX108" i="19"/>
  <c r="FY108" i="19"/>
  <c r="FZ108" i="19"/>
  <c r="GA108" i="19"/>
  <c r="GB108" i="19"/>
  <c r="GC108" i="19"/>
  <c r="GD108" i="19"/>
  <c r="GE108" i="19"/>
  <c r="GF108" i="19"/>
  <c r="GG108" i="19"/>
  <c r="GH108" i="19"/>
  <c r="GI108" i="19"/>
  <c r="GJ108" i="19"/>
  <c r="GK108" i="19"/>
  <c r="GL108" i="19"/>
  <c r="GM108" i="19"/>
  <c r="GN108" i="19"/>
  <c r="GO108" i="19"/>
  <c r="GP108" i="19"/>
  <c r="GQ108" i="19"/>
  <c r="GR108" i="19"/>
  <c r="GS108" i="19"/>
  <c r="GT108" i="19"/>
  <c r="GU108" i="19"/>
  <c r="GV108" i="19"/>
  <c r="GW108" i="19"/>
  <c r="GX108" i="19"/>
  <c r="GY108" i="19"/>
  <c r="GZ108" i="19"/>
  <c r="HA108" i="19"/>
  <c r="HB108" i="19"/>
  <c r="HC108" i="19"/>
  <c r="HD108" i="19"/>
  <c r="HE108" i="19"/>
  <c r="HF108" i="19"/>
  <c r="HG108" i="19"/>
  <c r="HH108" i="19"/>
  <c r="HI108" i="19"/>
  <c r="HJ108" i="19"/>
  <c r="HK108" i="19"/>
  <c r="HL108" i="19"/>
  <c r="HM108" i="19"/>
  <c r="HN108" i="19"/>
  <c r="HO108" i="19"/>
  <c r="HP108" i="19"/>
  <c r="HQ108" i="19"/>
  <c r="HR108" i="19"/>
  <c r="HS108" i="19"/>
  <c r="HT108" i="19"/>
  <c r="HU108" i="19"/>
  <c r="HV108" i="19"/>
  <c r="HW108" i="19"/>
  <c r="HX108" i="19"/>
  <c r="HY108" i="19"/>
  <c r="HZ108" i="19"/>
  <c r="IA108" i="19"/>
  <c r="IB108" i="19"/>
  <c r="IC108" i="19"/>
  <c r="ID108" i="19"/>
  <c r="IE108" i="19"/>
  <c r="IF108" i="19"/>
  <c r="IG108" i="19"/>
  <c r="IH108" i="19"/>
  <c r="II108" i="19"/>
  <c r="IJ108" i="19"/>
  <c r="IK108" i="19"/>
  <c r="IL108" i="19"/>
  <c r="IM108" i="19"/>
  <c r="IN108" i="19"/>
  <c r="IO108" i="19"/>
  <c r="IP108" i="19"/>
  <c r="IQ108" i="19"/>
  <c r="IR108" i="19"/>
  <c r="IS108" i="19"/>
  <c r="IT108" i="19"/>
  <c r="IU108" i="19"/>
  <c r="IV108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AD109" i="19"/>
  <c r="AE109" i="19"/>
  <c r="AF109" i="19"/>
  <c r="AG109" i="19"/>
  <c r="AH109" i="19"/>
  <c r="AI109" i="19"/>
  <c r="AJ109" i="19"/>
  <c r="AK109" i="19"/>
  <c r="AL109" i="19"/>
  <c r="AM109" i="19"/>
  <c r="AN109" i="19"/>
  <c r="AO109" i="19"/>
  <c r="AP109" i="19"/>
  <c r="AQ109" i="19"/>
  <c r="AR109" i="19"/>
  <c r="AS109" i="19"/>
  <c r="AT109" i="19"/>
  <c r="AU109" i="19"/>
  <c r="AV109" i="19"/>
  <c r="AW109" i="19"/>
  <c r="AX109" i="19"/>
  <c r="AY109" i="19"/>
  <c r="AZ109" i="19"/>
  <c r="BA109" i="19"/>
  <c r="BB109" i="19"/>
  <c r="BC109" i="19"/>
  <c r="BD109" i="19"/>
  <c r="BE109" i="19"/>
  <c r="BF109" i="19"/>
  <c r="BG109" i="19"/>
  <c r="BH109" i="19"/>
  <c r="BI109" i="19"/>
  <c r="BJ109" i="19"/>
  <c r="BK109" i="19"/>
  <c r="BL109" i="19"/>
  <c r="BM109" i="19"/>
  <c r="BN109" i="19"/>
  <c r="BO109" i="19"/>
  <c r="BP109" i="19"/>
  <c r="BQ109" i="19"/>
  <c r="BR109" i="19"/>
  <c r="BS109" i="19"/>
  <c r="BT109" i="19"/>
  <c r="BU109" i="19"/>
  <c r="BV109" i="19"/>
  <c r="BW109" i="19"/>
  <c r="BX109" i="19"/>
  <c r="BY109" i="19"/>
  <c r="BZ109" i="19"/>
  <c r="CA109" i="19"/>
  <c r="CB109" i="19"/>
  <c r="CC109" i="19"/>
  <c r="CD109" i="19"/>
  <c r="CE109" i="19"/>
  <c r="CF109" i="19"/>
  <c r="CG109" i="19"/>
  <c r="CH109" i="19"/>
  <c r="CI109" i="19"/>
  <c r="CJ109" i="19"/>
  <c r="CK109" i="19"/>
  <c r="CL109" i="19"/>
  <c r="CM109" i="19"/>
  <c r="CN109" i="19"/>
  <c r="CO109" i="19"/>
  <c r="CP109" i="19"/>
  <c r="CQ109" i="19"/>
  <c r="CR109" i="19"/>
  <c r="CS109" i="19"/>
  <c r="CT109" i="19"/>
  <c r="CU109" i="19"/>
  <c r="CV109" i="19"/>
  <c r="CW109" i="19"/>
  <c r="CX109" i="19"/>
  <c r="CY109" i="19"/>
  <c r="CZ109" i="19"/>
  <c r="DA109" i="19"/>
  <c r="DB109" i="19"/>
  <c r="DC109" i="19"/>
  <c r="DD109" i="19"/>
  <c r="DE109" i="19"/>
  <c r="DF109" i="19"/>
  <c r="DG109" i="19"/>
  <c r="DH109" i="19"/>
  <c r="DI109" i="19"/>
  <c r="DJ109" i="19"/>
  <c r="DK109" i="19"/>
  <c r="DL109" i="19"/>
  <c r="DM109" i="19"/>
  <c r="DN109" i="19"/>
  <c r="DO109" i="19"/>
  <c r="DP109" i="19"/>
  <c r="DQ109" i="19"/>
  <c r="DR109" i="19"/>
  <c r="DS109" i="19"/>
  <c r="DT109" i="19"/>
  <c r="DU109" i="19"/>
  <c r="DV109" i="19"/>
  <c r="DW109" i="19"/>
  <c r="DX109" i="19"/>
  <c r="DY109" i="19"/>
  <c r="DZ109" i="19"/>
  <c r="EA109" i="19"/>
  <c r="EB109" i="19"/>
  <c r="EC109" i="19"/>
  <c r="ED109" i="19"/>
  <c r="EE109" i="19"/>
  <c r="EF109" i="19"/>
  <c r="EG109" i="19"/>
  <c r="EH109" i="19"/>
  <c r="EI109" i="19"/>
  <c r="EJ109" i="19"/>
  <c r="EK109" i="19"/>
  <c r="EL109" i="19"/>
  <c r="EM109" i="19"/>
  <c r="EN109" i="19"/>
  <c r="EO109" i="19"/>
  <c r="EP109" i="19"/>
  <c r="EQ109" i="19"/>
  <c r="ER109" i="19"/>
  <c r="ES109" i="19"/>
  <c r="ET109" i="19"/>
  <c r="EU109" i="19"/>
  <c r="EV109" i="19"/>
  <c r="EW109" i="19"/>
  <c r="EX109" i="19"/>
  <c r="EY109" i="19"/>
  <c r="EZ109" i="19"/>
  <c r="FA109" i="19"/>
  <c r="FB109" i="19"/>
  <c r="FC109" i="19"/>
  <c r="FD109" i="19"/>
  <c r="FE109" i="19"/>
  <c r="FF109" i="19"/>
  <c r="FG109" i="19"/>
  <c r="FH109" i="19"/>
  <c r="FI109" i="19"/>
  <c r="FJ109" i="19"/>
  <c r="FK109" i="19"/>
  <c r="FL109" i="19"/>
  <c r="FM109" i="19"/>
  <c r="FN109" i="19"/>
  <c r="FO109" i="19"/>
  <c r="FP109" i="19"/>
  <c r="FQ109" i="19"/>
  <c r="FR109" i="19"/>
  <c r="FS109" i="19"/>
  <c r="FT109" i="19"/>
  <c r="FU109" i="19"/>
  <c r="FV109" i="19"/>
  <c r="FW109" i="19"/>
  <c r="FX109" i="19"/>
  <c r="FY109" i="19"/>
  <c r="FZ109" i="19"/>
  <c r="GA109" i="19"/>
  <c r="GB109" i="19"/>
  <c r="GC109" i="19"/>
  <c r="GD109" i="19"/>
  <c r="GE109" i="19"/>
  <c r="GF109" i="19"/>
  <c r="GG109" i="19"/>
  <c r="GH109" i="19"/>
  <c r="GI109" i="19"/>
  <c r="GJ109" i="19"/>
  <c r="GK109" i="19"/>
  <c r="GL109" i="19"/>
  <c r="GM109" i="19"/>
  <c r="GN109" i="19"/>
  <c r="GO109" i="19"/>
  <c r="GP109" i="19"/>
  <c r="GQ109" i="19"/>
  <c r="GR109" i="19"/>
  <c r="GS109" i="19"/>
  <c r="GT109" i="19"/>
  <c r="GU109" i="19"/>
  <c r="GV109" i="19"/>
  <c r="GW109" i="19"/>
  <c r="GX109" i="19"/>
  <c r="GY109" i="19"/>
  <c r="GZ109" i="19"/>
  <c r="HA109" i="19"/>
  <c r="HB109" i="19"/>
  <c r="HC109" i="19"/>
  <c r="HD109" i="19"/>
  <c r="HE109" i="19"/>
  <c r="HF109" i="19"/>
  <c r="HG109" i="19"/>
  <c r="HH109" i="19"/>
  <c r="HI109" i="19"/>
  <c r="HJ109" i="19"/>
  <c r="HK109" i="19"/>
  <c r="HL109" i="19"/>
  <c r="HM109" i="19"/>
  <c r="HN109" i="19"/>
  <c r="HO109" i="19"/>
  <c r="HP109" i="19"/>
  <c r="HQ109" i="19"/>
  <c r="HR109" i="19"/>
  <c r="HS109" i="19"/>
  <c r="HT109" i="19"/>
  <c r="HU109" i="19"/>
  <c r="HV109" i="19"/>
  <c r="HW109" i="19"/>
  <c r="HX109" i="19"/>
  <c r="HY109" i="19"/>
  <c r="HZ109" i="19"/>
  <c r="IA109" i="19"/>
  <c r="IB109" i="19"/>
  <c r="IC109" i="19"/>
  <c r="ID109" i="19"/>
  <c r="IE109" i="19"/>
  <c r="IF109" i="19"/>
  <c r="IG109" i="19"/>
  <c r="IH109" i="19"/>
  <c r="II109" i="19"/>
  <c r="IJ109" i="19"/>
  <c r="IK109" i="19"/>
  <c r="IL109" i="19"/>
  <c r="IM109" i="19"/>
  <c r="IN109" i="19"/>
  <c r="IO109" i="19"/>
  <c r="IP109" i="19"/>
  <c r="IQ109" i="19"/>
  <c r="IR109" i="19"/>
  <c r="IS109" i="19"/>
  <c r="IT109" i="19"/>
  <c r="IU109" i="19"/>
  <c r="IV109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D110" i="19"/>
  <c r="AE110" i="19"/>
  <c r="AF110" i="19"/>
  <c r="AG110" i="19"/>
  <c r="AH110" i="19"/>
  <c r="AI110" i="19"/>
  <c r="AJ110" i="19"/>
  <c r="AK110" i="19"/>
  <c r="AL110" i="19"/>
  <c r="AM110" i="19"/>
  <c r="AN110" i="19"/>
  <c r="AO110" i="19"/>
  <c r="AP110" i="19"/>
  <c r="AQ110" i="19"/>
  <c r="AR110" i="19"/>
  <c r="AS110" i="19"/>
  <c r="AT110" i="19"/>
  <c r="AU110" i="19"/>
  <c r="AV110" i="19"/>
  <c r="AW110" i="19"/>
  <c r="AX110" i="19"/>
  <c r="AY110" i="19"/>
  <c r="AZ110" i="19"/>
  <c r="BA110" i="19"/>
  <c r="BB110" i="19"/>
  <c r="BC110" i="19"/>
  <c r="BD110" i="19"/>
  <c r="BE110" i="19"/>
  <c r="BF110" i="19"/>
  <c r="BG110" i="19"/>
  <c r="BH110" i="19"/>
  <c r="BI110" i="19"/>
  <c r="BJ110" i="19"/>
  <c r="BK110" i="19"/>
  <c r="BL110" i="19"/>
  <c r="BM110" i="19"/>
  <c r="BN110" i="19"/>
  <c r="BO110" i="19"/>
  <c r="BP110" i="19"/>
  <c r="BQ110" i="19"/>
  <c r="BR110" i="19"/>
  <c r="BS110" i="19"/>
  <c r="BT110" i="19"/>
  <c r="BU110" i="19"/>
  <c r="BV110" i="19"/>
  <c r="BW110" i="19"/>
  <c r="BX110" i="19"/>
  <c r="BY110" i="19"/>
  <c r="BZ110" i="19"/>
  <c r="CA110" i="19"/>
  <c r="CB110" i="19"/>
  <c r="CC110" i="19"/>
  <c r="CD110" i="19"/>
  <c r="CE110" i="19"/>
  <c r="CF110" i="19"/>
  <c r="CG110" i="19"/>
  <c r="CH110" i="19"/>
  <c r="CI110" i="19"/>
  <c r="CJ110" i="19"/>
  <c r="CK110" i="19"/>
  <c r="CL110" i="19"/>
  <c r="CM110" i="19"/>
  <c r="CN110" i="19"/>
  <c r="CO110" i="19"/>
  <c r="CP110" i="19"/>
  <c r="CQ110" i="19"/>
  <c r="CR110" i="19"/>
  <c r="CS110" i="19"/>
  <c r="CT110" i="19"/>
  <c r="CU110" i="19"/>
  <c r="CV110" i="19"/>
  <c r="CW110" i="19"/>
  <c r="CX110" i="19"/>
  <c r="CY110" i="19"/>
  <c r="CZ110" i="19"/>
  <c r="DA110" i="19"/>
  <c r="DB110" i="19"/>
  <c r="DC110" i="19"/>
  <c r="DD110" i="19"/>
  <c r="DE110" i="19"/>
  <c r="DF110" i="19"/>
  <c r="DG110" i="19"/>
  <c r="DH110" i="19"/>
  <c r="DI110" i="19"/>
  <c r="DJ110" i="19"/>
  <c r="DK110" i="19"/>
  <c r="DL110" i="19"/>
  <c r="DM110" i="19"/>
  <c r="DN110" i="19"/>
  <c r="DO110" i="19"/>
  <c r="DP110" i="19"/>
  <c r="DQ110" i="19"/>
  <c r="DR110" i="19"/>
  <c r="DS110" i="19"/>
  <c r="DT110" i="19"/>
  <c r="DU110" i="19"/>
  <c r="DV110" i="19"/>
  <c r="DW110" i="19"/>
  <c r="DX110" i="19"/>
  <c r="DY110" i="19"/>
  <c r="DZ110" i="19"/>
  <c r="EA110" i="19"/>
  <c r="EB110" i="19"/>
  <c r="EC110" i="19"/>
  <c r="ED110" i="19"/>
  <c r="EE110" i="19"/>
  <c r="EF110" i="19"/>
  <c r="EG110" i="19"/>
  <c r="EH110" i="19"/>
  <c r="EI110" i="19"/>
  <c r="EJ110" i="19"/>
  <c r="EK110" i="19"/>
  <c r="EL110" i="19"/>
  <c r="EM110" i="19"/>
  <c r="EN110" i="19"/>
  <c r="EO110" i="19"/>
  <c r="EP110" i="19"/>
  <c r="EQ110" i="19"/>
  <c r="ER110" i="19"/>
  <c r="ES110" i="19"/>
  <c r="ET110" i="19"/>
  <c r="EU110" i="19"/>
  <c r="EV110" i="19"/>
  <c r="EW110" i="19"/>
  <c r="EX110" i="19"/>
  <c r="EY110" i="19"/>
  <c r="EZ110" i="19"/>
  <c r="FA110" i="19"/>
  <c r="FB110" i="19"/>
  <c r="FC110" i="19"/>
  <c r="FD110" i="19"/>
  <c r="FE110" i="19"/>
  <c r="FF110" i="19"/>
  <c r="FG110" i="19"/>
  <c r="FH110" i="19"/>
  <c r="FI110" i="19"/>
  <c r="FJ110" i="19"/>
  <c r="FK110" i="19"/>
  <c r="FL110" i="19"/>
  <c r="FM110" i="19"/>
  <c r="FN110" i="19"/>
  <c r="FO110" i="19"/>
  <c r="FP110" i="19"/>
  <c r="FQ110" i="19"/>
  <c r="FR110" i="19"/>
  <c r="FS110" i="19"/>
  <c r="FT110" i="19"/>
  <c r="FU110" i="19"/>
  <c r="FV110" i="19"/>
  <c r="FW110" i="19"/>
  <c r="FX110" i="19"/>
  <c r="FY110" i="19"/>
  <c r="FZ110" i="19"/>
  <c r="GA110" i="19"/>
  <c r="GB110" i="19"/>
  <c r="GC110" i="19"/>
  <c r="GD110" i="19"/>
  <c r="GE110" i="19"/>
  <c r="GF110" i="19"/>
  <c r="GG110" i="19"/>
  <c r="GH110" i="19"/>
  <c r="GI110" i="19"/>
  <c r="GJ110" i="19"/>
  <c r="GK110" i="19"/>
  <c r="GL110" i="19"/>
  <c r="GM110" i="19"/>
  <c r="GN110" i="19"/>
  <c r="GO110" i="19"/>
  <c r="GP110" i="19"/>
  <c r="GQ110" i="19"/>
  <c r="GR110" i="19"/>
  <c r="GS110" i="19"/>
  <c r="GT110" i="19"/>
  <c r="GU110" i="19"/>
  <c r="GV110" i="19"/>
  <c r="GW110" i="19"/>
  <c r="GX110" i="19"/>
  <c r="GY110" i="19"/>
  <c r="GZ110" i="19"/>
  <c r="HA110" i="19"/>
  <c r="HB110" i="19"/>
  <c r="HC110" i="19"/>
  <c r="HD110" i="19"/>
  <c r="HE110" i="19"/>
  <c r="HF110" i="19"/>
  <c r="HG110" i="19"/>
  <c r="HH110" i="19"/>
  <c r="HI110" i="19"/>
  <c r="HJ110" i="19"/>
  <c r="HK110" i="19"/>
  <c r="HL110" i="19"/>
  <c r="HM110" i="19"/>
  <c r="HN110" i="19"/>
  <c r="HO110" i="19"/>
  <c r="HP110" i="19"/>
  <c r="HQ110" i="19"/>
  <c r="HR110" i="19"/>
  <c r="HS110" i="19"/>
  <c r="HT110" i="19"/>
  <c r="HU110" i="19"/>
  <c r="HV110" i="19"/>
  <c r="HW110" i="19"/>
  <c r="HX110" i="19"/>
  <c r="HY110" i="19"/>
  <c r="HZ110" i="19"/>
  <c r="IA110" i="19"/>
  <c r="IB110" i="19"/>
  <c r="IC110" i="19"/>
  <c r="ID110" i="19"/>
  <c r="IE110" i="19"/>
  <c r="IF110" i="19"/>
  <c r="IG110" i="19"/>
  <c r="IH110" i="19"/>
  <c r="II110" i="19"/>
  <c r="IJ110" i="19"/>
  <c r="IK110" i="19"/>
  <c r="IL110" i="19"/>
  <c r="IM110" i="19"/>
  <c r="IN110" i="19"/>
  <c r="IO110" i="19"/>
  <c r="IP110" i="19"/>
  <c r="IQ110" i="19"/>
  <c r="IR110" i="19"/>
  <c r="IS110" i="19"/>
  <c r="IT110" i="19"/>
  <c r="IU110" i="19"/>
  <c r="IV110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D111" i="19"/>
  <c r="AE111" i="19"/>
  <c r="AF111" i="19"/>
  <c r="AG111" i="19"/>
  <c r="AH111" i="19"/>
  <c r="AI111" i="19"/>
  <c r="AJ111" i="19"/>
  <c r="AK111" i="19"/>
  <c r="AL111" i="19"/>
  <c r="AM111" i="19"/>
  <c r="AN111" i="19"/>
  <c r="AO111" i="19"/>
  <c r="AP111" i="19"/>
  <c r="AQ111" i="19"/>
  <c r="AR111" i="19"/>
  <c r="AS111" i="19"/>
  <c r="AT111" i="19"/>
  <c r="AU111" i="19"/>
  <c r="AV111" i="19"/>
  <c r="AW111" i="19"/>
  <c r="AX111" i="19"/>
  <c r="AY111" i="19"/>
  <c r="AZ111" i="19"/>
  <c r="BA111" i="19"/>
  <c r="BB111" i="19"/>
  <c r="BC111" i="19"/>
  <c r="BD111" i="19"/>
  <c r="BE111" i="19"/>
  <c r="BF111" i="19"/>
  <c r="BG111" i="19"/>
  <c r="BH111" i="19"/>
  <c r="BI111" i="19"/>
  <c r="BJ111" i="19"/>
  <c r="BK111" i="19"/>
  <c r="BL111" i="19"/>
  <c r="BM111" i="19"/>
  <c r="BN111" i="19"/>
  <c r="BO111" i="19"/>
  <c r="BP111" i="19"/>
  <c r="BQ111" i="19"/>
  <c r="BR111" i="19"/>
  <c r="BS111" i="19"/>
  <c r="BT111" i="19"/>
  <c r="BU111" i="19"/>
  <c r="BV111" i="19"/>
  <c r="BW111" i="19"/>
  <c r="BX111" i="19"/>
  <c r="BY111" i="19"/>
  <c r="BZ111" i="19"/>
  <c r="CA111" i="19"/>
  <c r="CB111" i="19"/>
  <c r="CC111" i="19"/>
  <c r="CD111" i="19"/>
  <c r="CE111" i="19"/>
  <c r="CF111" i="19"/>
  <c r="CG111" i="19"/>
  <c r="CH111" i="19"/>
  <c r="CI111" i="19"/>
  <c r="CJ111" i="19"/>
  <c r="CK111" i="19"/>
  <c r="CL111" i="19"/>
  <c r="CM111" i="19"/>
  <c r="CN111" i="19"/>
  <c r="CO111" i="19"/>
  <c r="CP111" i="19"/>
  <c r="CQ111" i="19"/>
  <c r="CR111" i="19"/>
  <c r="CS111" i="19"/>
  <c r="CT111" i="19"/>
  <c r="CU111" i="19"/>
  <c r="CV111" i="19"/>
  <c r="CW111" i="19"/>
  <c r="CX111" i="19"/>
  <c r="CY111" i="19"/>
  <c r="CZ111" i="19"/>
  <c r="DA111" i="19"/>
  <c r="DB111" i="19"/>
  <c r="DC111" i="19"/>
  <c r="DD111" i="19"/>
  <c r="DE111" i="19"/>
  <c r="DF111" i="19"/>
  <c r="DG111" i="19"/>
  <c r="DH111" i="19"/>
  <c r="DI111" i="19"/>
  <c r="DJ111" i="19"/>
  <c r="DK111" i="19"/>
  <c r="DL111" i="19"/>
  <c r="DM111" i="19"/>
  <c r="DN111" i="19"/>
  <c r="DO111" i="19"/>
  <c r="DP111" i="19"/>
  <c r="DQ111" i="19"/>
  <c r="DR111" i="19"/>
  <c r="DS111" i="19"/>
  <c r="DT111" i="19"/>
  <c r="DU111" i="19"/>
  <c r="DV111" i="19"/>
  <c r="DW111" i="19"/>
  <c r="DX111" i="19"/>
  <c r="DY111" i="19"/>
  <c r="DZ111" i="19"/>
  <c r="EA111" i="19"/>
  <c r="EB111" i="19"/>
  <c r="EC111" i="19"/>
  <c r="ED111" i="19"/>
  <c r="EE111" i="19"/>
  <c r="EF111" i="19"/>
  <c r="EG111" i="19"/>
  <c r="EH111" i="19"/>
  <c r="EI111" i="19"/>
  <c r="EJ111" i="19"/>
  <c r="EK111" i="19"/>
  <c r="EL111" i="19"/>
  <c r="EM111" i="19"/>
  <c r="EN111" i="19"/>
  <c r="EO111" i="19"/>
  <c r="EP111" i="19"/>
  <c r="EQ111" i="19"/>
  <c r="ER111" i="19"/>
  <c r="ES111" i="19"/>
  <c r="ET111" i="19"/>
  <c r="EU111" i="19"/>
  <c r="EV111" i="19"/>
  <c r="EW111" i="19"/>
  <c r="EX111" i="19"/>
  <c r="EY111" i="19"/>
  <c r="EZ111" i="19"/>
  <c r="FA111" i="19"/>
  <c r="FB111" i="19"/>
  <c r="FC111" i="19"/>
  <c r="FD111" i="19"/>
  <c r="FE111" i="19"/>
  <c r="FF111" i="19"/>
  <c r="FG111" i="19"/>
  <c r="FH111" i="19"/>
  <c r="FI111" i="19"/>
  <c r="FJ111" i="19"/>
  <c r="FK111" i="19"/>
  <c r="FL111" i="19"/>
  <c r="FM111" i="19"/>
  <c r="FN111" i="19"/>
  <c r="FO111" i="19"/>
  <c r="FP111" i="19"/>
  <c r="FQ111" i="19"/>
  <c r="FR111" i="19"/>
  <c r="FS111" i="19"/>
  <c r="FT111" i="19"/>
  <c r="FU111" i="19"/>
  <c r="FV111" i="19"/>
  <c r="FW111" i="19"/>
  <c r="FX111" i="19"/>
  <c r="FY111" i="19"/>
  <c r="FZ111" i="19"/>
  <c r="GA111" i="19"/>
  <c r="GB111" i="19"/>
  <c r="GC111" i="19"/>
  <c r="GD111" i="19"/>
  <c r="GE111" i="19"/>
  <c r="GF111" i="19"/>
  <c r="GG111" i="19"/>
  <c r="GH111" i="19"/>
  <c r="GI111" i="19"/>
  <c r="GJ111" i="19"/>
  <c r="GK111" i="19"/>
  <c r="GL111" i="19"/>
  <c r="GM111" i="19"/>
  <c r="GN111" i="19"/>
  <c r="GO111" i="19"/>
  <c r="GP111" i="19"/>
  <c r="GQ111" i="19"/>
  <c r="GR111" i="19"/>
  <c r="GS111" i="19"/>
  <c r="GT111" i="19"/>
  <c r="GU111" i="19"/>
  <c r="GV111" i="19"/>
  <c r="GW111" i="19"/>
  <c r="GX111" i="19"/>
  <c r="GY111" i="19"/>
  <c r="GZ111" i="19"/>
  <c r="HA111" i="19"/>
  <c r="HB111" i="19"/>
  <c r="HC111" i="19"/>
  <c r="HD111" i="19"/>
  <c r="HE111" i="19"/>
  <c r="HF111" i="19"/>
  <c r="HG111" i="19"/>
  <c r="HH111" i="19"/>
  <c r="HI111" i="19"/>
  <c r="HJ111" i="19"/>
  <c r="HK111" i="19"/>
  <c r="HL111" i="19"/>
  <c r="HM111" i="19"/>
  <c r="HN111" i="19"/>
  <c r="HO111" i="19"/>
  <c r="HP111" i="19"/>
  <c r="HQ111" i="19"/>
  <c r="HR111" i="19"/>
  <c r="HS111" i="19"/>
  <c r="HT111" i="19"/>
  <c r="HU111" i="19"/>
  <c r="HV111" i="19"/>
  <c r="HW111" i="19"/>
  <c r="HX111" i="19"/>
  <c r="HY111" i="19"/>
  <c r="HZ111" i="19"/>
  <c r="IA111" i="19"/>
  <c r="IB111" i="19"/>
  <c r="IC111" i="19"/>
  <c r="ID111" i="19"/>
  <c r="IE111" i="19"/>
  <c r="IF111" i="19"/>
  <c r="IG111" i="19"/>
  <c r="IH111" i="19"/>
  <c r="II111" i="19"/>
  <c r="IJ111" i="19"/>
  <c r="IK111" i="19"/>
  <c r="IL111" i="19"/>
  <c r="IM111" i="19"/>
  <c r="IN111" i="19"/>
  <c r="IO111" i="19"/>
  <c r="IP111" i="19"/>
  <c r="IQ111" i="19"/>
  <c r="IR111" i="19"/>
  <c r="IS111" i="19"/>
  <c r="IT111" i="19"/>
  <c r="IU111" i="19"/>
  <c r="IV111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D112" i="19"/>
  <c r="AE112" i="19"/>
  <c r="AF112" i="19"/>
  <c r="AG112" i="19"/>
  <c r="AH112" i="19"/>
  <c r="AI112" i="19"/>
  <c r="AJ112" i="19"/>
  <c r="AK112" i="19"/>
  <c r="AL112" i="19"/>
  <c r="AM112" i="19"/>
  <c r="AN112" i="19"/>
  <c r="AO112" i="19"/>
  <c r="AP112" i="19"/>
  <c r="AQ112" i="19"/>
  <c r="AR112" i="19"/>
  <c r="AS112" i="19"/>
  <c r="AT112" i="19"/>
  <c r="AU112" i="19"/>
  <c r="AV112" i="19"/>
  <c r="AW112" i="19"/>
  <c r="AX112" i="19"/>
  <c r="AY112" i="19"/>
  <c r="AZ112" i="19"/>
  <c r="BA112" i="19"/>
  <c r="BB112" i="19"/>
  <c r="BC112" i="19"/>
  <c r="BD112" i="19"/>
  <c r="BE112" i="19"/>
  <c r="BF112" i="19"/>
  <c r="BG112" i="19"/>
  <c r="BH112" i="19"/>
  <c r="BI112" i="19"/>
  <c r="BJ112" i="19"/>
  <c r="BK112" i="19"/>
  <c r="BL112" i="19"/>
  <c r="BM112" i="19"/>
  <c r="BN112" i="19"/>
  <c r="BO112" i="19"/>
  <c r="BP112" i="19"/>
  <c r="BQ112" i="19"/>
  <c r="BR112" i="19"/>
  <c r="BS112" i="19"/>
  <c r="BT112" i="19"/>
  <c r="BU112" i="19"/>
  <c r="BV112" i="19"/>
  <c r="BW112" i="19"/>
  <c r="BX112" i="19"/>
  <c r="BY112" i="19"/>
  <c r="BZ112" i="19"/>
  <c r="CA112" i="19"/>
  <c r="CB112" i="19"/>
  <c r="CC112" i="19"/>
  <c r="CD112" i="19"/>
  <c r="CE112" i="19"/>
  <c r="CF112" i="19"/>
  <c r="CG112" i="19"/>
  <c r="CH112" i="19"/>
  <c r="CI112" i="19"/>
  <c r="CJ112" i="19"/>
  <c r="CK112" i="19"/>
  <c r="CL112" i="19"/>
  <c r="CM112" i="19"/>
  <c r="CN112" i="19"/>
  <c r="CO112" i="19"/>
  <c r="CP112" i="19"/>
  <c r="CQ112" i="19"/>
  <c r="CR112" i="19"/>
  <c r="CS112" i="19"/>
  <c r="CT112" i="19"/>
  <c r="CU112" i="19"/>
  <c r="CV112" i="19"/>
  <c r="CW112" i="19"/>
  <c r="CX112" i="19"/>
  <c r="CY112" i="19"/>
  <c r="CZ112" i="19"/>
  <c r="DA112" i="19"/>
  <c r="DB112" i="19"/>
  <c r="DC112" i="19"/>
  <c r="DD112" i="19"/>
  <c r="DE112" i="19"/>
  <c r="DF112" i="19"/>
  <c r="DG112" i="19"/>
  <c r="DH112" i="19"/>
  <c r="DI112" i="19"/>
  <c r="DJ112" i="19"/>
  <c r="DK112" i="19"/>
  <c r="DL112" i="19"/>
  <c r="DM112" i="19"/>
  <c r="DN112" i="19"/>
  <c r="DO112" i="19"/>
  <c r="DP112" i="19"/>
  <c r="DQ112" i="19"/>
  <c r="DR112" i="19"/>
  <c r="DS112" i="19"/>
  <c r="DT112" i="19"/>
  <c r="DU112" i="19"/>
  <c r="DV112" i="19"/>
  <c r="DW112" i="19"/>
  <c r="DX112" i="19"/>
  <c r="DY112" i="19"/>
  <c r="DZ112" i="19"/>
  <c r="EA112" i="19"/>
  <c r="EB112" i="19"/>
  <c r="EC112" i="19"/>
  <c r="ED112" i="19"/>
  <c r="EE112" i="19"/>
  <c r="EF112" i="19"/>
  <c r="EG112" i="19"/>
  <c r="EH112" i="19"/>
  <c r="EI112" i="19"/>
  <c r="EJ112" i="19"/>
  <c r="EK112" i="19"/>
  <c r="EL112" i="19"/>
  <c r="EM112" i="19"/>
  <c r="EN112" i="19"/>
  <c r="EO112" i="19"/>
  <c r="EP112" i="19"/>
  <c r="EQ112" i="19"/>
  <c r="ER112" i="19"/>
  <c r="ES112" i="19"/>
  <c r="ET112" i="19"/>
  <c r="EU112" i="19"/>
  <c r="EV112" i="19"/>
  <c r="EW112" i="19"/>
  <c r="EX112" i="19"/>
  <c r="EY112" i="19"/>
  <c r="EZ112" i="19"/>
  <c r="FA112" i="19"/>
  <c r="FB112" i="19"/>
  <c r="FC112" i="19"/>
  <c r="FD112" i="19"/>
  <c r="FE112" i="19"/>
  <c r="FF112" i="19"/>
  <c r="FG112" i="19"/>
  <c r="FH112" i="19"/>
  <c r="FI112" i="19"/>
  <c r="FJ112" i="19"/>
  <c r="FK112" i="19"/>
  <c r="FL112" i="19"/>
  <c r="FM112" i="19"/>
  <c r="FN112" i="19"/>
  <c r="FO112" i="19"/>
  <c r="FP112" i="19"/>
  <c r="FQ112" i="19"/>
  <c r="FR112" i="19"/>
  <c r="FS112" i="19"/>
  <c r="FT112" i="19"/>
  <c r="FU112" i="19"/>
  <c r="FV112" i="19"/>
  <c r="FW112" i="19"/>
  <c r="FX112" i="19"/>
  <c r="FY112" i="19"/>
  <c r="FZ112" i="19"/>
  <c r="GA112" i="19"/>
  <c r="GB112" i="19"/>
  <c r="GC112" i="19"/>
  <c r="GD112" i="19"/>
  <c r="GE112" i="19"/>
  <c r="GF112" i="19"/>
  <c r="GG112" i="19"/>
  <c r="GH112" i="19"/>
  <c r="GI112" i="19"/>
  <c r="GJ112" i="19"/>
  <c r="GK112" i="19"/>
  <c r="GL112" i="19"/>
  <c r="GM112" i="19"/>
  <c r="GN112" i="19"/>
  <c r="GO112" i="19"/>
  <c r="GP112" i="19"/>
  <c r="GQ112" i="19"/>
  <c r="GR112" i="19"/>
  <c r="GS112" i="19"/>
  <c r="GT112" i="19"/>
  <c r="GU112" i="19"/>
  <c r="GV112" i="19"/>
  <c r="GW112" i="19"/>
  <c r="GX112" i="19"/>
  <c r="GY112" i="19"/>
  <c r="GZ112" i="19"/>
  <c r="HA112" i="19"/>
  <c r="HB112" i="19"/>
  <c r="HC112" i="19"/>
  <c r="HD112" i="19"/>
  <c r="HE112" i="19"/>
  <c r="HF112" i="19"/>
  <c r="HG112" i="19"/>
  <c r="HH112" i="19"/>
  <c r="HI112" i="19"/>
  <c r="HJ112" i="19"/>
  <c r="HK112" i="19"/>
  <c r="HL112" i="19"/>
  <c r="HM112" i="19"/>
  <c r="HN112" i="19"/>
  <c r="HO112" i="19"/>
  <c r="HP112" i="19"/>
  <c r="HQ112" i="19"/>
  <c r="HR112" i="19"/>
  <c r="HS112" i="19"/>
  <c r="HT112" i="19"/>
  <c r="HU112" i="19"/>
  <c r="HV112" i="19"/>
  <c r="HW112" i="19"/>
  <c r="HX112" i="19"/>
  <c r="HY112" i="19"/>
  <c r="HZ112" i="19"/>
  <c r="IA112" i="19"/>
  <c r="IB112" i="19"/>
  <c r="IC112" i="19"/>
  <c r="ID112" i="19"/>
  <c r="IE112" i="19"/>
  <c r="IF112" i="19"/>
  <c r="IG112" i="19"/>
  <c r="IH112" i="19"/>
  <c r="II112" i="19"/>
  <c r="IJ112" i="19"/>
  <c r="IK112" i="19"/>
  <c r="IL112" i="19"/>
  <c r="IM112" i="19"/>
  <c r="IN112" i="19"/>
  <c r="IO112" i="19"/>
  <c r="IP112" i="19"/>
  <c r="IQ112" i="19"/>
  <c r="IR112" i="19"/>
  <c r="IS112" i="19"/>
  <c r="IT112" i="19"/>
  <c r="IU112" i="19"/>
  <c r="IV112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D113" i="19"/>
  <c r="AE113" i="19"/>
  <c r="AF113" i="19"/>
  <c r="AG113" i="19"/>
  <c r="AH113" i="19"/>
  <c r="AI113" i="19"/>
  <c r="AJ113" i="19"/>
  <c r="AK113" i="19"/>
  <c r="AL113" i="19"/>
  <c r="AM113" i="19"/>
  <c r="AN113" i="19"/>
  <c r="AO113" i="19"/>
  <c r="AP113" i="19"/>
  <c r="AQ113" i="19"/>
  <c r="AR113" i="19"/>
  <c r="AS113" i="19"/>
  <c r="AT113" i="19"/>
  <c r="AU113" i="19"/>
  <c r="AV113" i="19"/>
  <c r="AW113" i="19"/>
  <c r="AX113" i="19"/>
  <c r="AY113" i="19"/>
  <c r="AZ113" i="19"/>
  <c r="BA113" i="19"/>
  <c r="BB113" i="19"/>
  <c r="BC113" i="19"/>
  <c r="BD113" i="19"/>
  <c r="BE113" i="19"/>
  <c r="BF113" i="19"/>
  <c r="BG113" i="19"/>
  <c r="BH113" i="19"/>
  <c r="BI113" i="19"/>
  <c r="BJ113" i="19"/>
  <c r="BK113" i="19"/>
  <c r="BL113" i="19"/>
  <c r="BM113" i="19"/>
  <c r="BN113" i="19"/>
  <c r="BO113" i="19"/>
  <c r="BP113" i="19"/>
  <c r="BQ113" i="19"/>
  <c r="BR113" i="19"/>
  <c r="BS113" i="19"/>
  <c r="BT113" i="19"/>
  <c r="BU113" i="19"/>
  <c r="BV113" i="19"/>
  <c r="BW113" i="19"/>
  <c r="BX113" i="19"/>
  <c r="BY113" i="19"/>
  <c r="BZ113" i="19"/>
  <c r="CA113" i="19"/>
  <c r="CB113" i="19"/>
  <c r="CC113" i="19"/>
  <c r="CD113" i="19"/>
  <c r="CE113" i="19"/>
  <c r="CF113" i="19"/>
  <c r="CG113" i="19"/>
  <c r="CH113" i="19"/>
  <c r="CI113" i="19"/>
  <c r="CJ113" i="19"/>
  <c r="CK113" i="19"/>
  <c r="CL113" i="19"/>
  <c r="CM113" i="19"/>
  <c r="CN113" i="19"/>
  <c r="CO113" i="19"/>
  <c r="CP113" i="19"/>
  <c r="CQ113" i="19"/>
  <c r="CR113" i="19"/>
  <c r="CS113" i="19"/>
  <c r="CT113" i="19"/>
  <c r="CU113" i="19"/>
  <c r="CV113" i="19"/>
  <c r="CW113" i="19"/>
  <c r="CX113" i="19"/>
  <c r="CY113" i="19"/>
  <c r="CZ113" i="19"/>
  <c r="DA113" i="19"/>
  <c r="DB113" i="19"/>
  <c r="DC113" i="19"/>
  <c r="DD113" i="19"/>
  <c r="DE113" i="19"/>
  <c r="DF113" i="19"/>
  <c r="DG113" i="19"/>
  <c r="DH113" i="19"/>
  <c r="DI113" i="19"/>
  <c r="DJ113" i="19"/>
  <c r="DK113" i="19"/>
  <c r="DL113" i="19"/>
  <c r="DM113" i="19"/>
  <c r="DN113" i="19"/>
  <c r="DO113" i="19"/>
  <c r="DP113" i="19"/>
  <c r="DQ113" i="19"/>
  <c r="DR113" i="19"/>
  <c r="DS113" i="19"/>
  <c r="DT113" i="19"/>
  <c r="DU113" i="19"/>
  <c r="DV113" i="19"/>
  <c r="DW113" i="19"/>
  <c r="DX113" i="19"/>
  <c r="DY113" i="19"/>
  <c r="DZ113" i="19"/>
  <c r="EA113" i="19"/>
  <c r="EB113" i="19"/>
  <c r="EC113" i="19"/>
  <c r="ED113" i="19"/>
  <c r="EE113" i="19"/>
  <c r="EF113" i="19"/>
  <c r="EG113" i="19"/>
  <c r="EH113" i="19"/>
  <c r="EI113" i="19"/>
  <c r="EJ113" i="19"/>
  <c r="EK113" i="19"/>
  <c r="EL113" i="19"/>
  <c r="EM113" i="19"/>
  <c r="EN113" i="19"/>
  <c r="EO113" i="19"/>
  <c r="EP113" i="19"/>
  <c r="EQ113" i="19"/>
  <c r="ER113" i="19"/>
  <c r="ES113" i="19"/>
  <c r="ET113" i="19"/>
  <c r="EU113" i="19"/>
  <c r="EV113" i="19"/>
  <c r="EW113" i="19"/>
  <c r="EX113" i="19"/>
  <c r="EY113" i="19"/>
  <c r="EZ113" i="19"/>
  <c r="FA113" i="19"/>
  <c r="FB113" i="19"/>
  <c r="FC113" i="19"/>
  <c r="FD113" i="19"/>
  <c r="FE113" i="19"/>
  <c r="FF113" i="19"/>
  <c r="FG113" i="19"/>
  <c r="FH113" i="19"/>
  <c r="FI113" i="19"/>
  <c r="FJ113" i="19"/>
  <c r="FK113" i="19"/>
  <c r="FL113" i="19"/>
  <c r="FM113" i="19"/>
  <c r="FN113" i="19"/>
  <c r="FO113" i="19"/>
  <c r="FP113" i="19"/>
  <c r="FQ113" i="19"/>
  <c r="FR113" i="19"/>
  <c r="FS113" i="19"/>
  <c r="FT113" i="19"/>
  <c r="FU113" i="19"/>
  <c r="FV113" i="19"/>
  <c r="FW113" i="19"/>
  <c r="FX113" i="19"/>
  <c r="FY113" i="19"/>
  <c r="FZ113" i="19"/>
  <c r="GA113" i="19"/>
  <c r="GB113" i="19"/>
  <c r="GC113" i="19"/>
  <c r="GD113" i="19"/>
  <c r="GE113" i="19"/>
  <c r="GF113" i="19"/>
  <c r="GG113" i="19"/>
  <c r="GH113" i="19"/>
  <c r="GI113" i="19"/>
  <c r="GJ113" i="19"/>
  <c r="GK113" i="19"/>
  <c r="GL113" i="19"/>
  <c r="GM113" i="19"/>
  <c r="GN113" i="19"/>
  <c r="GO113" i="19"/>
  <c r="GP113" i="19"/>
  <c r="GQ113" i="19"/>
  <c r="GR113" i="19"/>
  <c r="GS113" i="19"/>
  <c r="GT113" i="19"/>
  <c r="GU113" i="19"/>
  <c r="GV113" i="19"/>
  <c r="GW113" i="19"/>
  <c r="GX113" i="19"/>
  <c r="GY113" i="19"/>
  <c r="GZ113" i="19"/>
  <c r="HA113" i="19"/>
  <c r="HB113" i="19"/>
  <c r="HC113" i="19"/>
  <c r="HD113" i="19"/>
  <c r="HE113" i="19"/>
  <c r="HF113" i="19"/>
  <c r="HG113" i="19"/>
  <c r="HH113" i="19"/>
  <c r="HI113" i="19"/>
  <c r="HJ113" i="19"/>
  <c r="HK113" i="19"/>
  <c r="HL113" i="19"/>
  <c r="HM113" i="19"/>
  <c r="HN113" i="19"/>
  <c r="HO113" i="19"/>
  <c r="HP113" i="19"/>
  <c r="HQ113" i="19"/>
  <c r="HR113" i="19"/>
  <c r="HS113" i="19"/>
  <c r="HT113" i="19"/>
  <c r="HU113" i="19"/>
  <c r="HV113" i="19"/>
  <c r="HW113" i="19"/>
  <c r="HX113" i="19"/>
  <c r="HY113" i="19"/>
  <c r="HZ113" i="19"/>
  <c r="IA113" i="19"/>
  <c r="IB113" i="19"/>
  <c r="IC113" i="19"/>
  <c r="ID113" i="19"/>
  <c r="IE113" i="19"/>
  <c r="IF113" i="19"/>
  <c r="IG113" i="19"/>
  <c r="IH113" i="19"/>
  <c r="II113" i="19"/>
  <c r="IJ113" i="19"/>
  <c r="IK113" i="19"/>
  <c r="IL113" i="19"/>
  <c r="IM113" i="19"/>
  <c r="IN113" i="19"/>
  <c r="IO113" i="19"/>
  <c r="IP113" i="19"/>
  <c r="IQ113" i="19"/>
  <c r="IR113" i="19"/>
  <c r="IS113" i="19"/>
  <c r="IT113" i="19"/>
  <c r="IU113" i="19"/>
  <c r="IV113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AD114" i="19"/>
  <c r="AE114" i="19"/>
  <c r="AF114" i="19"/>
  <c r="AG114" i="19"/>
  <c r="AH114" i="19"/>
  <c r="AI114" i="19"/>
  <c r="AJ114" i="19"/>
  <c r="AK114" i="19"/>
  <c r="AL114" i="19"/>
  <c r="AM114" i="19"/>
  <c r="AN114" i="19"/>
  <c r="AO114" i="19"/>
  <c r="AP114" i="19"/>
  <c r="AQ114" i="19"/>
  <c r="AR114" i="19"/>
  <c r="AS114" i="19"/>
  <c r="AT114" i="19"/>
  <c r="AU114" i="19"/>
  <c r="AV114" i="19"/>
  <c r="AW114" i="19"/>
  <c r="AX114" i="19"/>
  <c r="AY114" i="19"/>
  <c r="AZ114" i="19"/>
  <c r="BA114" i="19"/>
  <c r="BB114" i="19"/>
  <c r="BC114" i="19"/>
  <c r="BD114" i="19"/>
  <c r="BE114" i="19"/>
  <c r="BF114" i="19"/>
  <c r="BG114" i="19"/>
  <c r="BH114" i="19"/>
  <c r="BI114" i="19"/>
  <c r="BJ114" i="19"/>
  <c r="BK114" i="19"/>
  <c r="BL114" i="19"/>
  <c r="BM114" i="19"/>
  <c r="BN114" i="19"/>
  <c r="BO114" i="19"/>
  <c r="BP114" i="19"/>
  <c r="BQ114" i="19"/>
  <c r="BR114" i="19"/>
  <c r="BS114" i="19"/>
  <c r="BT114" i="19"/>
  <c r="BU114" i="19"/>
  <c r="BV114" i="19"/>
  <c r="BW114" i="19"/>
  <c r="BX114" i="19"/>
  <c r="BY114" i="19"/>
  <c r="BZ114" i="19"/>
  <c r="CA114" i="19"/>
  <c r="CB114" i="19"/>
  <c r="CC114" i="19"/>
  <c r="CD114" i="19"/>
  <c r="CE114" i="19"/>
  <c r="CF114" i="19"/>
  <c r="CG114" i="19"/>
  <c r="CH114" i="19"/>
  <c r="CI114" i="19"/>
  <c r="CJ114" i="19"/>
  <c r="CK114" i="19"/>
  <c r="CL114" i="19"/>
  <c r="CM114" i="19"/>
  <c r="CN114" i="19"/>
  <c r="CO114" i="19"/>
  <c r="CP114" i="19"/>
  <c r="CQ114" i="19"/>
  <c r="CR114" i="19"/>
  <c r="CS114" i="19"/>
  <c r="CT114" i="19"/>
  <c r="CU114" i="19"/>
  <c r="CV114" i="19"/>
  <c r="CW114" i="19"/>
  <c r="CX114" i="19"/>
  <c r="CY114" i="19"/>
  <c r="CZ114" i="19"/>
  <c r="DA114" i="19"/>
  <c r="DB114" i="19"/>
  <c r="DC114" i="19"/>
  <c r="DD114" i="19"/>
  <c r="DE114" i="19"/>
  <c r="DF114" i="19"/>
  <c r="DG114" i="19"/>
  <c r="DH114" i="19"/>
  <c r="DI114" i="19"/>
  <c r="DJ114" i="19"/>
  <c r="DK114" i="19"/>
  <c r="DL114" i="19"/>
  <c r="DM114" i="19"/>
  <c r="DN114" i="19"/>
  <c r="DO114" i="19"/>
  <c r="DP114" i="19"/>
  <c r="DQ114" i="19"/>
  <c r="DR114" i="19"/>
  <c r="DS114" i="19"/>
  <c r="DT114" i="19"/>
  <c r="DU114" i="19"/>
  <c r="DV114" i="19"/>
  <c r="DW114" i="19"/>
  <c r="DX114" i="19"/>
  <c r="DY114" i="19"/>
  <c r="DZ114" i="19"/>
  <c r="EA114" i="19"/>
  <c r="EB114" i="19"/>
  <c r="EC114" i="19"/>
  <c r="ED114" i="19"/>
  <c r="EE114" i="19"/>
  <c r="EF114" i="19"/>
  <c r="EG114" i="19"/>
  <c r="EH114" i="19"/>
  <c r="EI114" i="19"/>
  <c r="EJ114" i="19"/>
  <c r="EK114" i="19"/>
  <c r="EL114" i="19"/>
  <c r="EM114" i="19"/>
  <c r="EN114" i="19"/>
  <c r="EO114" i="19"/>
  <c r="EP114" i="19"/>
  <c r="EQ114" i="19"/>
  <c r="ER114" i="19"/>
  <c r="ES114" i="19"/>
  <c r="ET114" i="19"/>
  <c r="EU114" i="19"/>
  <c r="EV114" i="19"/>
  <c r="EW114" i="19"/>
  <c r="EX114" i="19"/>
  <c r="EY114" i="19"/>
  <c r="EZ114" i="19"/>
  <c r="FA114" i="19"/>
  <c r="FB114" i="19"/>
  <c r="FC114" i="19"/>
  <c r="FD114" i="19"/>
  <c r="FE114" i="19"/>
  <c r="FF114" i="19"/>
  <c r="FG114" i="19"/>
  <c r="FH114" i="19"/>
  <c r="FI114" i="19"/>
  <c r="FJ114" i="19"/>
  <c r="FK114" i="19"/>
  <c r="FL114" i="19"/>
  <c r="FM114" i="19"/>
  <c r="FN114" i="19"/>
  <c r="FO114" i="19"/>
  <c r="FP114" i="19"/>
  <c r="FQ114" i="19"/>
  <c r="FR114" i="19"/>
  <c r="FS114" i="19"/>
  <c r="FT114" i="19"/>
  <c r="FU114" i="19"/>
  <c r="FV114" i="19"/>
  <c r="FW114" i="19"/>
  <c r="FX114" i="19"/>
  <c r="FY114" i="19"/>
  <c r="FZ114" i="19"/>
  <c r="GA114" i="19"/>
  <c r="GB114" i="19"/>
  <c r="GC114" i="19"/>
  <c r="GD114" i="19"/>
  <c r="GE114" i="19"/>
  <c r="GF114" i="19"/>
  <c r="GG114" i="19"/>
  <c r="GH114" i="19"/>
  <c r="GI114" i="19"/>
  <c r="GJ114" i="19"/>
  <c r="GK114" i="19"/>
  <c r="GL114" i="19"/>
  <c r="GM114" i="19"/>
  <c r="GN114" i="19"/>
  <c r="GO114" i="19"/>
  <c r="GP114" i="19"/>
  <c r="GQ114" i="19"/>
  <c r="GR114" i="19"/>
  <c r="GS114" i="19"/>
  <c r="GT114" i="19"/>
  <c r="GU114" i="19"/>
  <c r="GV114" i="19"/>
  <c r="GW114" i="19"/>
  <c r="GX114" i="19"/>
  <c r="GY114" i="19"/>
  <c r="GZ114" i="19"/>
  <c r="HA114" i="19"/>
  <c r="HB114" i="19"/>
  <c r="HC114" i="19"/>
  <c r="HD114" i="19"/>
  <c r="HE114" i="19"/>
  <c r="HF114" i="19"/>
  <c r="HG114" i="19"/>
  <c r="HH114" i="19"/>
  <c r="HI114" i="19"/>
  <c r="HJ114" i="19"/>
  <c r="HK114" i="19"/>
  <c r="HL114" i="19"/>
  <c r="HM114" i="19"/>
  <c r="HN114" i="19"/>
  <c r="HO114" i="19"/>
  <c r="HP114" i="19"/>
  <c r="HQ114" i="19"/>
  <c r="HR114" i="19"/>
  <c r="HS114" i="19"/>
  <c r="HT114" i="19"/>
  <c r="HU114" i="19"/>
  <c r="HV114" i="19"/>
  <c r="HW114" i="19"/>
  <c r="HX114" i="19"/>
  <c r="HY114" i="19"/>
  <c r="HZ114" i="19"/>
  <c r="IA114" i="19"/>
  <c r="IB114" i="19"/>
  <c r="IC114" i="19"/>
  <c r="ID114" i="19"/>
  <c r="IE114" i="19"/>
  <c r="IF114" i="19"/>
  <c r="IG114" i="19"/>
  <c r="IH114" i="19"/>
  <c r="II114" i="19"/>
  <c r="IJ114" i="19"/>
  <c r="IK114" i="19"/>
  <c r="IL114" i="19"/>
  <c r="IM114" i="19"/>
  <c r="IN114" i="19"/>
  <c r="IO114" i="19"/>
  <c r="IP114" i="19"/>
  <c r="IQ114" i="19"/>
  <c r="IR114" i="19"/>
  <c r="IS114" i="19"/>
  <c r="IT114" i="19"/>
  <c r="IU114" i="19"/>
  <c r="IV114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AF115" i="19"/>
  <c r="AG115" i="19"/>
  <c r="AH115" i="19"/>
  <c r="AI115" i="19"/>
  <c r="AJ115" i="19"/>
  <c r="AK115" i="19"/>
  <c r="AL115" i="19"/>
  <c r="AM115" i="19"/>
  <c r="AN115" i="19"/>
  <c r="AO115" i="19"/>
  <c r="AP115" i="19"/>
  <c r="AQ115" i="19"/>
  <c r="AR115" i="19"/>
  <c r="AS115" i="19"/>
  <c r="AT115" i="19"/>
  <c r="AU115" i="19"/>
  <c r="AV115" i="19"/>
  <c r="AW115" i="19"/>
  <c r="AX115" i="19"/>
  <c r="AY115" i="19"/>
  <c r="AZ115" i="19"/>
  <c r="BA115" i="19"/>
  <c r="BB115" i="19"/>
  <c r="BC115" i="19"/>
  <c r="BD115" i="19"/>
  <c r="BE115" i="19"/>
  <c r="BF115" i="19"/>
  <c r="BG115" i="19"/>
  <c r="BH115" i="19"/>
  <c r="BI115" i="19"/>
  <c r="BJ115" i="19"/>
  <c r="BK115" i="19"/>
  <c r="BL115" i="19"/>
  <c r="BM115" i="19"/>
  <c r="BN115" i="19"/>
  <c r="BO115" i="19"/>
  <c r="BP115" i="19"/>
  <c r="BQ115" i="19"/>
  <c r="BR115" i="19"/>
  <c r="BS115" i="19"/>
  <c r="BT115" i="19"/>
  <c r="BU115" i="19"/>
  <c r="BV115" i="19"/>
  <c r="BW115" i="19"/>
  <c r="BX115" i="19"/>
  <c r="BY115" i="19"/>
  <c r="BZ115" i="19"/>
  <c r="CA115" i="19"/>
  <c r="CB115" i="19"/>
  <c r="CC115" i="19"/>
  <c r="CD115" i="19"/>
  <c r="CE115" i="19"/>
  <c r="CF115" i="19"/>
  <c r="CG115" i="19"/>
  <c r="CH115" i="19"/>
  <c r="CI115" i="19"/>
  <c r="CJ115" i="19"/>
  <c r="CK115" i="19"/>
  <c r="CL115" i="19"/>
  <c r="CM115" i="19"/>
  <c r="CN115" i="19"/>
  <c r="CO115" i="19"/>
  <c r="CP115" i="19"/>
  <c r="CQ115" i="19"/>
  <c r="CR115" i="19"/>
  <c r="CS115" i="19"/>
  <c r="CT115" i="19"/>
  <c r="CU115" i="19"/>
  <c r="CV115" i="19"/>
  <c r="CW115" i="19"/>
  <c r="CX115" i="19"/>
  <c r="CY115" i="19"/>
  <c r="CZ115" i="19"/>
  <c r="DA115" i="19"/>
  <c r="DB115" i="19"/>
  <c r="DC115" i="19"/>
  <c r="DD115" i="19"/>
  <c r="DE115" i="19"/>
  <c r="DF115" i="19"/>
  <c r="DG115" i="19"/>
  <c r="DH115" i="19"/>
  <c r="DI115" i="19"/>
  <c r="DJ115" i="19"/>
  <c r="DK115" i="19"/>
  <c r="DL115" i="19"/>
  <c r="DM115" i="19"/>
  <c r="DN115" i="19"/>
  <c r="DO115" i="19"/>
  <c r="DP115" i="19"/>
  <c r="DQ115" i="19"/>
  <c r="DR115" i="19"/>
  <c r="DS115" i="19"/>
  <c r="DT115" i="19"/>
  <c r="DU115" i="19"/>
  <c r="DV115" i="19"/>
  <c r="DW115" i="19"/>
  <c r="DX115" i="19"/>
  <c r="DY115" i="19"/>
  <c r="DZ115" i="19"/>
  <c r="EA115" i="19"/>
  <c r="EB115" i="19"/>
  <c r="EC115" i="19"/>
  <c r="ED115" i="19"/>
  <c r="EE115" i="19"/>
  <c r="EF115" i="19"/>
  <c r="EG115" i="19"/>
  <c r="EH115" i="19"/>
  <c r="EI115" i="19"/>
  <c r="EJ115" i="19"/>
  <c r="EK115" i="19"/>
  <c r="EL115" i="19"/>
  <c r="EM115" i="19"/>
  <c r="EN115" i="19"/>
  <c r="EO115" i="19"/>
  <c r="EP115" i="19"/>
  <c r="EQ115" i="19"/>
  <c r="ER115" i="19"/>
  <c r="ES115" i="19"/>
  <c r="ET115" i="19"/>
  <c r="EU115" i="19"/>
  <c r="EV115" i="19"/>
  <c r="EW115" i="19"/>
  <c r="EX115" i="19"/>
  <c r="EY115" i="19"/>
  <c r="EZ115" i="19"/>
  <c r="FA115" i="19"/>
  <c r="FB115" i="19"/>
  <c r="FC115" i="19"/>
  <c r="FD115" i="19"/>
  <c r="FE115" i="19"/>
  <c r="FF115" i="19"/>
  <c r="FG115" i="19"/>
  <c r="FH115" i="19"/>
  <c r="FI115" i="19"/>
  <c r="FJ115" i="19"/>
  <c r="FK115" i="19"/>
  <c r="FL115" i="19"/>
  <c r="FM115" i="19"/>
  <c r="FN115" i="19"/>
  <c r="FO115" i="19"/>
  <c r="FP115" i="19"/>
  <c r="FQ115" i="19"/>
  <c r="FR115" i="19"/>
  <c r="FS115" i="19"/>
  <c r="FT115" i="19"/>
  <c r="FU115" i="19"/>
  <c r="FV115" i="19"/>
  <c r="FW115" i="19"/>
  <c r="FX115" i="19"/>
  <c r="FY115" i="19"/>
  <c r="FZ115" i="19"/>
  <c r="GA115" i="19"/>
  <c r="GB115" i="19"/>
  <c r="GC115" i="19"/>
  <c r="GD115" i="19"/>
  <c r="GE115" i="19"/>
  <c r="GF115" i="19"/>
  <c r="GG115" i="19"/>
  <c r="GH115" i="19"/>
  <c r="GI115" i="19"/>
  <c r="GJ115" i="19"/>
  <c r="GK115" i="19"/>
  <c r="GL115" i="19"/>
  <c r="GM115" i="19"/>
  <c r="GN115" i="19"/>
  <c r="GO115" i="19"/>
  <c r="GP115" i="19"/>
  <c r="GQ115" i="19"/>
  <c r="GR115" i="19"/>
  <c r="GS115" i="19"/>
  <c r="GT115" i="19"/>
  <c r="GU115" i="19"/>
  <c r="GV115" i="19"/>
  <c r="GW115" i="19"/>
  <c r="GX115" i="19"/>
  <c r="GY115" i="19"/>
  <c r="GZ115" i="19"/>
  <c r="HA115" i="19"/>
  <c r="HB115" i="19"/>
  <c r="HC115" i="19"/>
  <c r="HD115" i="19"/>
  <c r="HE115" i="19"/>
  <c r="HF115" i="19"/>
  <c r="HG115" i="19"/>
  <c r="HH115" i="19"/>
  <c r="HI115" i="19"/>
  <c r="HJ115" i="19"/>
  <c r="HK115" i="19"/>
  <c r="HL115" i="19"/>
  <c r="HM115" i="19"/>
  <c r="HN115" i="19"/>
  <c r="HO115" i="19"/>
  <c r="HP115" i="19"/>
  <c r="HQ115" i="19"/>
  <c r="HR115" i="19"/>
  <c r="HS115" i="19"/>
  <c r="HT115" i="19"/>
  <c r="HU115" i="19"/>
  <c r="HV115" i="19"/>
  <c r="HW115" i="19"/>
  <c r="HX115" i="19"/>
  <c r="HY115" i="19"/>
  <c r="HZ115" i="19"/>
  <c r="IA115" i="19"/>
  <c r="IB115" i="19"/>
  <c r="IC115" i="19"/>
  <c r="ID115" i="19"/>
  <c r="IE115" i="19"/>
  <c r="IF115" i="19"/>
  <c r="IG115" i="19"/>
  <c r="IH115" i="19"/>
  <c r="II115" i="19"/>
  <c r="IJ115" i="19"/>
  <c r="IK115" i="19"/>
  <c r="IL115" i="19"/>
  <c r="IM115" i="19"/>
  <c r="IN115" i="19"/>
  <c r="IO115" i="19"/>
  <c r="IP115" i="19"/>
  <c r="IQ115" i="19"/>
  <c r="IR115" i="19"/>
  <c r="IS115" i="19"/>
  <c r="IT115" i="19"/>
  <c r="IU115" i="19"/>
  <c r="IV115" i="19"/>
  <c r="F116" i="19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T116" i="19"/>
  <c r="U116" i="19"/>
  <c r="V116" i="19"/>
  <c r="W116" i="19"/>
  <c r="X116" i="19"/>
  <c r="Y116" i="19"/>
  <c r="Z116" i="19"/>
  <c r="AA116" i="19"/>
  <c r="AB116" i="19"/>
  <c r="AC116" i="19"/>
  <c r="AD116" i="19"/>
  <c r="AE116" i="19"/>
  <c r="AF116" i="19"/>
  <c r="AG116" i="19"/>
  <c r="AH116" i="19"/>
  <c r="AI116" i="19"/>
  <c r="AJ116" i="19"/>
  <c r="AK116" i="19"/>
  <c r="AL116" i="19"/>
  <c r="AM116" i="19"/>
  <c r="AN116" i="19"/>
  <c r="AO116" i="19"/>
  <c r="AP116" i="19"/>
  <c r="AQ116" i="19"/>
  <c r="AR116" i="19"/>
  <c r="AS116" i="19"/>
  <c r="AT116" i="19"/>
  <c r="AU116" i="19"/>
  <c r="AV116" i="19"/>
  <c r="AW116" i="19"/>
  <c r="AX116" i="19"/>
  <c r="AY116" i="19"/>
  <c r="AZ116" i="19"/>
  <c r="BA116" i="19"/>
  <c r="BB116" i="19"/>
  <c r="BC116" i="19"/>
  <c r="BD116" i="19"/>
  <c r="BE116" i="19"/>
  <c r="BF116" i="19"/>
  <c r="BG116" i="19"/>
  <c r="BH116" i="19"/>
  <c r="BI116" i="19"/>
  <c r="BJ116" i="19"/>
  <c r="BK116" i="19"/>
  <c r="BL116" i="19"/>
  <c r="BM116" i="19"/>
  <c r="BN116" i="19"/>
  <c r="BO116" i="19"/>
  <c r="BP116" i="19"/>
  <c r="BQ116" i="19"/>
  <c r="BR116" i="19"/>
  <c r="BS116" i="19"/>
  <c r="BT116" i="19"/>
  <c r="BU116" i="19"/>
  <c r="BV116" i="19"/>
  <c r="BW116" i="19"/>
  <c r="BX116" i="19"/>
  <c r="BY116" i="19"/>
  <c r="BZ116" i="19"/>
  <c r="CA116" i="19"/>
  <c r="CB116" i="19"/>
  <c r="CC116" i="19"/>
  <c r="CD116" i="19"/>
  <c r="CE116" i="19"/>
  <c r="CF116" i="19"/>
  <c r="CG116" i="19"/>
  <c r="CH116" i="19"/>
  <c r="CI116" i="19"/>
  <c r="CJ116" i="19"/>
  <c r="CK116" i="19"/>
  <c r="CL116" i="19"/>
  <c r="CM116" i="19"/>
  <c r="CN116" i="19"/>
  <c r="CO116" i="19"/>
  <c r="CP116" i="19"/>
  <c r="CQ116" i="19"/>
  <c r="CR116" i="19"/>
  <c r="CS116" i="19"/>
  <c r="CT116" i="19"/>
  <c r="CU116" i="19"/>
  <c r="CV116" i="19"/>
  <c r="CW116" i="19"/>
  <c r="CX116" i="19"/>
  <c r="CY116" i="19"/>
  <c r="CZ116" i="19"/>
  <c r="DA116" i="19"/>
  <c r="DB116" i="19"/>
  <c r="DC116" i="19"/>
  <c r="DD116" i="19"/>
  <c r="DE116" i="19"/>
  <c r="DF116" i="19"/>
  <c r="DG116" i="19"/>
  <c r="DH116" i="19"/>
  <c r="DI116" i="19"/>
  <c r="DJ116" i="19"/>
  <c r="DK116" i="19"/>
  <c r="DL116" i="19"/>
  <c r="DM116" i="19"/>
  <c r="DN116" i="19"/>
  <c r="DO116" i="19"/>
  <c r="DP116" i="19"/>
  <c r="DQ116" i="19"/>
  <c r="DR116" i="19"/>
  <c r="DS116" i="19"/>
  <c r="DT116" i="19"/>
  <c r="DU116" i="19"/>
  <c r="DV116" i="19"/>
  <c r="DW116" i="19"/>
  <c r="DX116" i="19"/>
  <c r="DY116" i="19"/>
  <c r="DZ116" i="19"/>
  <c r="EA116" i="19"/>
  <c r="EB116" i="19"/>
  <c r="EC116" i="19"/>
  <c r="ED116" i="19"/>
  <c r="EE116" i="19"/>
  <c r="EF116" i="19"/>
  <c r="EG116" i="19"/>
  <c r="EH116" i="19"/>
  <c r="EI116" i="19"/>
  <c r="EJ116" i="19"/>
  <c r="EK116" i="19"/>
  <c r="EL116" i="19"/>
  <c r="EM116" i="19"/>
  <c r="EN116" i="19"/>
  <c r="EO116" i="19"/>
  <c r="EP116" i="19"/>
  <c r="EQ116" i="19"/>
  <c r="ER116" i="19"/>
  <c r="ES116" i="19"/>
  <c r="ET116" i="19"/>
  <c r="EU116" i="19"/>
  <c r="EV116" i="19"/>
  <c r="EW116" i="19"/>
  <c r="EX116" i="19"/>
  <c r="EY116" i="19"/>
  <c r="EZ116" i="19"/>
  <c r="FA116" i="19"/>
  <c r="FB116" i="19"/>
  <c r="FC116" i="19"/>
  <c r="FD116" i="19"/>
  <c r="FE116" i="19"/>
  <c r="FF116" i="19"/>
  <c r="FG116" i="19"/>
  <c r="FH116" i="19"/>
  <c r="FI116" i="19"/>
  <c r="FJ116" i="19"/>
  <c r="FK116" i="19"/>
  <c r="FL116" i="19"/>
  <c r="FM116" i="19"/>
  <c r="FN116" i="19"/>
  <c r="FO116" i="19"/>
  <c r="FP116" i="19"/>
  <c r="FQ116" i="19"/>
  <c r="FR116" i="19"/>
  <c r="FS116" i="19"/>
  <c r="FT116" i="19"/>
  <c r="FU116" i="19"/>
  <c r="FV116" i="19"/>
  <c r="FW116" i="19"/>
  <c r="FX116" i="19"/>
  <c r="FY116" i="19"/>
  <c r="FZ116" i="19"/>
  <c r="GA116" i="19"/>
  <c r="GB116" i="19"/>
  <c r="GC116" i="19"/>
  <c r="GD116" i="19"/>
  <c r="GE116" i="19"/>
  <c r="GF116" i="19"/>
  <c r="GG116" i="19"/>
  <c r="GH116" i="19"/>
  <c r="GI116" i="19"/>
  <c r="GJ116" i="19"/>
  <c r="GK116" i="19"/>
  <c r="GL116" i="19"/>
  <c r="GM116" i="19"/>
  <c r="GN116" i="19"/>
  <c r="GO116" i="19"/>
  <c r="GP116" i="19"/>
  <c r="GQ116" i="19"/>
  <c r="GR116" i="19"/>
  <c r="GS116" i="19"/>
  <c r="GT116" i="19"/>
  <c r="GU116" i="19"/>
  <c r="GV116" i="19"/>
  <c r="GW116" i="19"/>
  <c r="GX116" i="19"/>
  <c r="GY116" i="19"/>
  <c r="GZ116" i="19"/>
  <c r="HA116" i="19"/>
  <c r="HB116" i="19"/>
  <c r="HC116" i="19"/>
  <c r="HD116" i="19"/>
  <c r="HE116" i="19"/>
  <c r="HF116" i="19"/>
  <c r="HG116" i="19"/>
  <c r="HH116" i="19"/>
  <c r="HI116" i="19"/>
  <c r="HJ116" i="19"/>
  <c r="HK116" i="19"/>
  <c r="HL116" i="19"/>
  <c r="HM116" i="19"/>
  <c r="HN116" i="19"/>
  <c r="HO116" i="19"/>
  <c r="HP116" i="19"/>
  <c r="HQ116" i="19"/>
  <c r="HR116" i="19"/>
  <c r="HS116" i="19"/>
  <c r="HT116" i="19"/>
  <c r="HU116" i="19"/>
  <c r="HV116" i="19"/>
  <c r="HW116" i="19"/>
  <c r="HX116" i="19"/>
  <c r="HY116" i="19"/>
  <c r="HZ116" i="19"/>
  <c r="IA116" i="19"/>
  <c r="IB116" i="19"/>
  <c r="IC116" i="19"/>
  <c r="ID116" i="19"/>
  <c r="IE116" i="19"/>
  <c r="IF116" i="19"/>
  <c r="IG116" i="19"/>
  <c r="IH116" i="19"/>
  <c r="II116" i="19"/>
  <c r="IJ116" i="19"/>
  <c r="IK116" i="19"/>
  <c r="IL116" i="19"/>
  <c r="IM116" i="19"/>
  <c r="IN116" i="19"/>
  <c r="IO116" i="19"/>
  <c r="IP116" i="19"/>
  <c r="IQ116" i="19"/>
  <c r="IR116" i="19"/>
  <c r="IS116" i="19"/>
  <c r="IT116" i="19"/>
  <c r="IU116" i="19"/>
  <c r="IV116" i="19"/>
  <c r="F117" i="19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T117" i="19"/>
  <c r="U117" i="19"/>
  <c r="V117" i="19"/>
  <c r="W117" i="19"/>
  <c r="X117" i="19"/>
  <c r="Y117" i="19"/>
  <c r="Z117" i="19"/>
  <c r="AA117" i="19"/>
  <c r="AB117" i="19"/>
  <c r="AC117" i="19"/>
  <c r="AD117" i="19"/>
  <c r="AE117" i="19"/>
  <c r="AF117" i="19"/>
  <c r="AG117" i="19"/>
  <c r="AH117" i="19"/>
  <c r="AI117" i="19"/>
  <c r="AJ117" i="19"/>
  <c r="AK117" i="19"/>
  <c r="AL117" i="19"/>
  <c r="AM117" i="19"/>
  <c r="AN117" i="19"/>
  <c r="AO117" i="19"/>
  <c r="AP117" i="19"/>
  <c r="AQ117" i="19"/>
  <c r="AR117" i="19"/>
  <c r="AS117" i="19"/>
  <c r="AT117" i="19"/>
  <c r="AU117" i="19"/>
  <c r="AV117" i="19"/>
  <c r="AW117" i="19"/>
  <c r="AX117" i="19"/>
  <c r="AY117" i="19"/>
  <c r="AZ117" i="19"/>
  <c r="BA117" i="19"/>
  <c r="BB117" i="19"/>
  <c r="BC117" i="19"/>
  <c r="BD117" i="19"/>
  <c r="BE117" i="19"/>
  <c r="BF117" i="19"/>
  <c r="BG117" i="19"/>
  <c r="BH117" i="19"/>
  <c r="BI117" i="19"/>
  <c r="BJ117" i="19"/>
  <c r="BK117" i="19"/>
  <c r="BL117" i="19"/>
  <c r="BM117" i="19"/>
  <c r="BN117" i="19"/>
  <c r="BO117" i="19"/>
  <c r="BP117" i="19"/>
  <c r="BQ117" i="19"/>
  <c r="BR117" i="19"/>
  <c r="BS117" i="19"/>
  <c r="BT117" i="19"/>
  <c r="BU117" i="19"/>
  <c r="BV117" i="19"/>
  <c r="BW117" i="19"/>
  <c r="BX117" i="19"/>
  <c r="BY117" i="19"/>
  <c r="BZ117" i="19"/>
  <c r="CA117" i="19"/>
  <c r="CB117" i="19"/>
  <c r="CC117" i="19"/>
  <c r="CD117" i="19"/>
  <c r="CE117" i="19"/>
  <c r="CF117" i="19"/>
  <c r="CG117" i="19"/>
  <c r="CH117" i="19"/>
  <c r="CI117" i="19"/>
  <c r="CJ117" i="19"/>
  <c r="CK117" i="19"/>
  <c r="CL117" i="19"/>
  <c r="CM117" i="19"/>
  <c r="CN117" i="19"/>
  <c r="CO117" i="19"/>
  <c r="CP117" i="19"/>
  <c r="CQ117" i="19"/>
  <c r="CR117" i="19"/>
  <c r="CS117" i="19"/>
  <c r="CT117" i="19"/>
  <c r="CU117" i="19"/>
  <c r="CV117" i="19"/>
  <c r="CW117" i="19"/>
  <c r="CX117" i="19"/>
  <c r="CY117" i="19"/>
  <c r="CZ117" i="19"/>
  <c r="DA117" i="19"/>
  <c r="DB117" i="19"/>
  <c r="DC117" i="19"/>
  <c r="DD117" i="19"/>
  <c r="DE117" i="19"/>
  <c r="DF117" i="19"/>
  <c r="DG117" i="19"/>
  <c r="DH117" i="19"/>
  <c r="DI117" i="19"/>
  <c r="DJ117" i="19"/>
  <c r="DK117" i="19"/>
  <c r="DL117" i="19"/>
  <c r="DM117" i="19"/>
  <c r="DN117" i="19"/>
  <c r="DO117" i="19"/>
  <c r="DP117" i="19"/>
  <c r="DQ117" i="19"/>
  <c r="DR117" i="19"/>
  <c r="DS117" i="19"/>
  <c r="DT117" i="19"/>
  <c r="DU117" i="19"/>
  <c r="DV117" i="19"/>
  <c r="DW117" i="19"/>
  <c r="DX117" i="19"/>
  <c r="DY117" i="19"/>
  <c r="DZ117" i="19"/>
  <c r="EA117" i="19"/>
  <c r="EB117" i="19"/>
  <c r="EC117" i="19"/>
  <c r="ED117" i="19"/>
  <c r="EE117" i="19"/>
  <c r="EF117" i="19"/>
  <c r="EG117" i="19"/>
  <c r="EH117" i="19"/>
  <c r="EI117" i="19"/>
  <c r="EJ117" i="19"/>
  <c r="EK117" i="19"/>
  <c r="EL117" i="19"/>
  <c r="EM117" i="19"/>
  <c r="EN117" i="19"/>
  <c r="EO117" i="19"/>
  <c r="EP117" i="19"/>
  <c r="EQ117" i="19"/>
  <c r="ER117" i="19"/>
  <c r="ES117" i="19"/>
  <c r="ET117" i="19"/>
  <c r="EU117" i="19"/>
  <c r="EV117" i="19"/>
  <c r="EW117" i="19"/>
  <c r="EX117" i="19"/>
  <c r="EY117" i="19"/>
  <c r="EZ117" i="19"/>
  <c r="FA117" i="19"/>
  <c r="FB117" i="19"/>
  <c r="FC117" i="19"/>
  <c r="FD117" i="19"/>
  <c r="FE117" i="19"/>
  <c r="FF117" i="19"/>
  <c r="FG117" i="19"/>
  <c r="FH117" i="19"/>
  <c r="FI117" i="19"/>
  <c r="FJ117" i="19"/>
  <c r="FK117" i="19"/>
  <c r="FL117" i="19"/>
  <c r="FM117" i="19"/>
  <c r="FN117" i="19"/>
  <c r="FO117" i="19"/>
  <c r="FP117" i="19"/>
  <c r="FQ117" i="19"/>
  <c r="FR117" i="19"/>
  <c r="FS117" i="19"/>
  <c r="FT117" i="19"/>
  <c r="FU117" i="19"/>
  <c r="FV117" i="19"/>
  <c r="FW117" i="19"/>
  <c r="FX117" i="19"/>
  <c r="FY117" i="19"/>
  <c r="FZ117" i="19"/>
  <c r="GA117" i="19"/>
  <c r="GB117" i="19"/>
  <c r="GC117" i="19"/>
  <c r="GD117" i="19"/>
  <c r="GE117" i="19"/>
  <c r="GF117" i="19"/>
  <c r="GG117" i="19"/>
  <c r="GH117" i="19"/>
  <c r="GI117" i="19"/>
  <c r="GJ117" i="19"/>
  <c r="GK117" i="19"/>
  <c r="GL117" i="19"/>
  <c r="GM117" i="19"/>
  <c r="GN117" i="19"/>
  <c r="GO117" i="19"/>
  <c r="GP117" i="19"/>
  <c r="GQ117" i="19"/>
  <c r="GR117" i="19"/>
  <c r="GS117" i="19"/>
  <c r="GT117" i="19"/>
  <c r="GU117" i="19"/>
  <c r="GV117" i="19"/>
  <c r="GW117" i="19"/>
  <c r="GX117" i="19"/>
  <c r="GY117" i="19"/>
  <c r="GZ117" i="19"/>
  <c r="HA117" i="19"/>
  <c r="HB117" i="19"/>
  <c r="HC117" i="19"/>
  <c r="HD117" i="19"/>
  <c r="HE117" i="19"/>
  <c r="HF117" i="19"/>
  <c r="HG117" i="19"/>
  <c r="HH117" i="19"/>
  <c r="HI117" i="19"/>
  <c r="HJ117" i="19"/>
  <c r="HK117" i="19"/>
  <c r="HL117" i="19"/>
  <c r="HM117" i="19"/>
  <c r="HN117" i="19"/>
  <c r="HO117" i="19"/>
  <c r="HP117" i="19"/>
  <c r="HQ117" i="19"/>
  <c r="HR117" i="19"/>
  <c r="HS117" i="19"/>
  <c r="HT117" i="19"/>
  <c r="HU117" i="19"/>
  <c r="HV117" i="19"/>
  <c r="HW117" i="19"/>
  <c r="HX117" i="19"/>
  <c r="HY117" i="19"/>
  <c r="HZ117" i="19"/>
  <c r="IA117" i="19"/>
  <c r="IB117" i="19"/>
  <c r="IC117" i="19"/>
  <c r="ID117" i="19"/>
  <c r="IE117" i="19"/>
  <c r="IF117" i="19"/>
  <c r="IG117" i="19"/>
  <c r="IH117" i="19"/>
  <c r="II117" i="19"/>
  <c r="IJ117" i="19"/>
  <c r="IK117" i="19"/>
  <c r="IL117" i="19"/>
  <c r="IM117" i="19"/>
  <c r="IN117" i="19"/>
  <c r="IO117" i="19"/>
  <c r="IP117" i="19"/>
  <c r="IQ117" i="19"/>
  <c r="IR117" i="19"/>
  <c r="IS117" i="19"/>
  <c r="IT117" i="19"/>
  <c r="IU117" i="19"/>
  <c r="IV117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AD118" i="19"/>
  <c r="AE118" i="19"/>
  <c r="AF118" i="19"/>
  <c r="AG118" i="19"/>
  <c r="AH118" i="19"/>
  <c r="AI118" i="19"/>
  <c r="AJ118" i="19"/>
  <c r="AK118" i="19"/>
  <c r="AL118" i="19"/>
  <c r="AM118" i="19"/>
  <c r="AN118" i="19"/>
  <c r="AO118" i="19"/>
  <c r="AP118" i="19"/>
  <c r="AQ118" i="19"/>
  <c r="AR118" i="19"/>
  <c r="AS118" i="19"/>
  <c r="AT118" i="19"/>
  <c r="AU118" i="19"/>
  <c r="AV118" i="19"/>
  <c r="AW118" i="19"/>
  <c r="AX118" i="19"/>
  <c r="AY118" i="19"/>
  <c r="AZ118" i="19"/>
  <c r="BA118" i="19"/>
  <c r="BB118" i="19"/>
  <c r="BC118" i="19"/>
  <c r="BD118" i="19"/>
  <c r="BE118" i="19"/>
  <c r="BF118" i="19"/>
  <c r="BG118" i="19"/>
  <c r="BH118" i="19"/>
  <c r="BI118" i="19"/>
  <c r="BJ118" i="19"/>
  <c r="BK118" i="19"/>
  <c r="BL118" i="19"/>
  <c r="BM118" i="19"/>
  <c r="BN118" i="19"/>
  <c r="BO118" i="19"/>
  <c r="BP118" i="19"/>
  <c r="BQ118" i="19"/>
  <c r="BR118" i="19"/>
  <c r="BS118" i="19"/>
  <c r="BT118" i="19"/>
  <c r="BU118" i="19"/>
  <c r="BV118" i="19"/>
  <c r="BW118" i="19"/>
  <c r="BX118" i="19"/>
  <c r="BY118" i="19"/>
  <c r="BZ118" i="19"/>
  <c r="CA118" i="19"/>
  <c r="CB118" i="19"/>
  <c r="CC118" i="19"/>
  <c r="CD118" i="19"/>
  <c r="CE118" i="19"/>
  <c r="CF118" i="19"/>
  <c r="CG118" i="19"/>
  <c r="CH118" i="19"/>
  <c r="CI118" i="19"/>
  <c r="CJ118" i="19"/>
  <c r="CK118" i="19"/>
  <c r="CL118" i="19"/>
  <c r="CM118" i="19"/>
  <c r="CN118" i="19"/>
  <c r="CO118" i="19"/>
  <c r="CP118" i="19"/>
  <c r="CQ118" i="19"/>
  <c r="CR118" i="19"/>
  <c r="CS118" i="19"/>
  <c r="CT118" i="19"/>
  <c r="CU118" i="19"/>
  <c r="CV118" i="19"/>
  <c r="CW118" i="19"/>
  <c r="CX118" i="19"/>
  <c r="CY118" i="19"/>
  <c r="CZ118" i="19"/>
  <c r="DA118" i="19"/>
  <c r="DB118" i="19"/>
  <c r="DC118" i="19"/>
  <c r="DD118" i="19"/>
  <c r="DE118" i="19"/>
  <c r="DF118" i="19"/>
  <c r="DG118" i="19"/>
  <c r="DH118" i="19"/>
  <c r="DI118" i="19"/>
  <c r="DJ118" i="19"/>
  <c r="DK118" i="19"/>
  <c r="DL118" i="19"/>
  <c r="DM118" i="19"/>
  <c r="DN118" i="19"/>
  <c r="DO118" i="19"/>
  <c r="DP118" i="19"/>
  <c r="DQ118" i="19"/>
  <c r="DR118" i="19"/>
  <c r="DS118" i="19"/>
  <c r="DT118" i="19"/>
  <c r="DU118" i="19"/>
  <c r="DV118" i="19"/>
  <c r="DW118" i="19"/>
  <c r="DX118" i="19"/>
  <c r="DY118" i="19"/>
  <c r="DZ118" i="19"/>
  <c r="EA118" i="19"/>
  <c r="EB118" i="19"/>
  <c r="EC118" i="19"/>
  <c r="ED118" i="19"/>
  <c r="EE118" i="19"/>
  <c r="EF118" i="19"/>
  <c r="EG118" i="19"/>
  <c r="EH118" i="19"/>
  <c r="EI118" i="19"/>
  <c r="EJ118" i="19"/>
  <c r="EK118" i="19"/>
  <c r="EL118" i="19"/>
  <c r="EM118" i="19"/>
  <c r="EN118" i="19"/>
  <c r="EO118" i="19"/>
  <c r="EP118" i="19"/>
  <c r="EQ118" i="19"/>
  <c r="ER118" i="19"/>
  <c r="ES118" i="19"/>
  <c r="ET118" i="19"/>
  <c r="EU118" i="19"/>
  <c r="EV118" i="19"/>
  <c r="EW118" i="19"/>
  <c r="EX118" i="19"/>
  <c r="EY118" i="19"/>
  <c r="EZ118" i="19"/>
  <c r="FA118" i="19"/>
  <c r="FB118" i="19"/>
  <c r="FC118" i="19"/>
  <c r="FD118" i="19"/>
  <c r="FE118" i="19"/>
  <c r="FF118" i="19"/>
  <c r="FG118" i="19"/>
  <c r="FH118" i="19"/>
  <c r="FI118" i="19"/>
  <c r="FJ118" i="19"/>
  <c r="FK118" i="19"/>
  <c r="FL118" i="19"/>
  <c r="FM118" i="19"/>
  <c r="FN118" i="19"/>
  <c r="FO118" i="19"/>
  <c r="FP118" i="19"/>
  <c r="FQ118" i="19"/>
  <c r="FR118" i="19"/>
  <c r="FS118" i="19"/>
  <c r="FT118" i="19"/>
  <c r="FU118" i="19"/>
  <c r="FV118" i="19"/>
  <c r="FW118" i="19"/>
  <c r="FX118" i="19"/>
  <c r="FY118" i="19"/>
  <c r="FZ118" i="19"/>
  <c r="GA118" i="19"/>
  <c r="GB118" i="19"/>
  <c r="GC118" i="19"/>
  <c r="GD118" i="19"/>
  <c r="GE118" i="19"/>
  <c r="GF118" i="19"/>
  <c r="GG118" i="19"/>
  <c r="GH118" i="19"/>
  <c r="GI118" i="19"/>
  <c r="GJ118" i="19"/>
  <c r="GK118" i="19"/>
  <c r="GL118" i="19"/>
  <c r="GM118" i="19"/>
  <c r="GN118" i="19"/>
  <c r="GO118" i="19"/>
  <c r="GP118" i="19"/>
  <c r="GQ118" i="19"/>
  <c r="GR118" i="19"/>
  <c r="GS118" i="19"/>
  <c r="GT118" i="19"/>
  <c r="GU118" i="19"/>
  <c r="GV118" i="19"/>
  <c r="GW118" i="19"/>
  <c r="GX118" i="19"/>
  <c r="GY118" i="19"/>
  <c r="GZ118" i="19"/>
  <c r="HA118" i="19"/>
  <c r="HB118" i="19"/>
  <c r="HC118" i="19"/>
  <c r="HD118" i="19"/>
  <c r="HE118" i="19"/>
  <c r="HF118" i="19"/>
  <c r="HG118" i="19"/>
  <c r="HH118" i="19"/>
  <c r="HI118" i="19"/>
  <c r="HJ118" i="19"/>
  <c r="HK118" i="19"/>
  <c r="HL118" i="19"/>
  <c r="HM118" i="19"/>
  <c r="HN118" i="19"/>
  <c r="HO118" i="19"/>
  <c r="HP118" i="19"/>
  <c r="HQ118" i="19"/>
  <c r="HR118" i="19"/>
  <c r="HS118" i="19"/>
  <c r="HT118" i="19"/>
  <c r="HU118" i="19"/>
  <c r="HV118" i="19"/>
  <c r="HW118" i="19"/>
  <c r="HX118" i="19"/>
  <c r="HY118" i="19"/>
  <c r="HZ118" i="19"/>
  <c r="IA118" i="19"/>
  <c r="IB118" i="19"/>
  <c r="IC118" i="19"/>
  <c r="ID118" i="19"/>
  <c r="IE118" i="19"/>
  <c r="IF118" i="19"/>
  <c r="IG118" i="19"/>
  <c r="IH118" i="19"/>
  <c r="II118" i="19"/>
  <c r="IJ118" i="19"/>
  <c r="IK118" i="19"/>
  <c r="IL118" i="19"/>
  <c r="IM118" i="19"/>
  <c r="IN118" i="19"/>
  <c r="IO118" i="19"/>
  <c r="IP118" i="19"/>
  <c r="IQ118" i="19"/>
  <c r="IR118" i="19"/>
  <c r="IS118" i="19"/>
  <c r="IT118" i="19"/>
  <c r="IU118" i="19"/>
  <c r="IV118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AD119" i="19"/>
  <c r="AE119" i="19"/>
  <c r="AF119" i="19"/>
  <c r="AG119" i="19"/>
  <c r="AH119" i="19"/>
  <c r="AI119" i="19"/>
  <c r="AJ119" i="19"/>
  <c r="AK119" i="19"/>
  <c r="AL119" i="19"/>
  <c r="AM119" i="19"/>
  <c r="AN119" i="19"/>
  <c r="AO119" i="19"/>
  <c r="AP119" i="19"/>
  <c r="AQ119" i="19"/>
  <c r="AR119" i="19"/>
  <c r="AS119" i="19"/>
  <c r="AT119" i="19"/>
  <c r="AU119" i="19"/>
  <c r="AV119" i="19"/>
  <c r="AW119" i="19"/>
  <c r="AX119" i="19"/>
  <c r="AY119" i="19"/>
  <c r="AZ119" i="19"/>
  <c r="BA119" i="19"/>
  <c r="BB119" i="19"/>
  <c r="BC119" i="19"/>
  <c r="BD119" i="19"/>
  <c r="BE119" i="19"/>
  <c r="BF119" i="19"/>
  <c r="BG119" i="19"/>
  <c r="BH119" i="19"/>
  <c r="BI119" i="19"/>
  <c r="BJ119" i="19"/>
  <c r="BK119" i="19"/>
  <c r="BL119" i="19"/>
  <c r="BM119" i="19"/>
  <c r="BN119" i="19"/>
  <c r="BO119" i="19"/>
  <c r="BP119" i="19"/>
  <c r="BQ119" i="19"/>
  <c r="BR119" i="19"/>
  <c r="BS119" i="19"/>
  <c r="BT119" i="19"/>
  <c r="BU119" i="19"/>
  <c r="BV119" i="19"/>
  <c r="BW119" i="19"/>
  <c r="BX119" i="19"/>
  <c r="BY119" i="19"/>
  <c r="BZ119" i="19"/>
  <c r="CA119" i="19"/>
  <c r="CB119" i="19"/>
  <c r="CC119" i="19"/>
  <c r="CD119" i="19"/>
  <c r="CE119" i="19"/>
  <c r="CF119" i="19"/>
  <c r="CG119" i="19"/>
  <c r="CH119" i="19"/>
  <c r="CI119" i="19"/>
  <c r="CJ119" i="19"/>
  <c r="CK119" i="19"/>
  <c r="CL119" i="19"/>
  <c r="CM119" i="19"/>
  <c r="CN119" i="19"/>
  <c r="CO119" i="19"/>
  <c r="CP119" i="19"/>
  <c r="CQ119" i="19"/>
  <c r="CR119" i="19"/>
  <c r="CS119" i="19"/>
  <c r="CT119" i="19"/>
  <c r="CU119" i="19"/>
  <c r="CV119" i="19"/>
  <c r="CW119" i="19"/>
  <c r="CX119" i="19"/>
  <c r="CY119" i="19"/>
  <c r="CZ119" i="19"/>
  <c r="DA119" i="19"/>
  <c r="DB119" i="19"/>
  <c r="DC119" i="19"/>
  <c r="DD119" i="19"/>
  <c r="DE119" i="19"/>
  <c r="DF119" i="19"/>
  <c r="DG119" i="19"/>
  <c r="DH119" i="19"/>
  <c r="DI119" i="19"/>
  <c r="DJ119" i="19"/>
  <c r="DK119" i="19"/>
  <c r="DL119" i="19"/>
  <c r="DM119" i="19"/>
  <c r="DN119" i="19"/>
  <c r="DO119" i="19"/>
  <c r="DP119" i="19"/>
  <c r="DQ119" i="19"/>
  <c r="DR119" i="19"/>
  <c r="DS119" i="19"/>
  <c r="DT119" i="19"/>
  <c r="DU119" i="19"/>
  <c r="DV119" i="19"/>
  <c r="DW119" i="19"/>
  <c r="DX119" i="19"/>
  <c r="DY119" i="19"/>
  <c r="DZ119" i="19"/>
  <c r="EA119" i="19"/>
  <c r="EB119" i="19"/>
  <c r="EC119" i="19"/>
  <c r="ED119" i="19"/>
  <c r="EE119" i="19"/>
  <c r="EF119" i="19"/>
  <c r="EG119" i="19"/>
  <c r="EH119" i="19"/>
  <c r="EI119" i="19"/>
  <c r="EJ119" i="19"/>
  <c r="EK119" i="19"/>
  <c r="EL119" i="19"/>
  <c r="EM119" i="19"/>
  <c r="EN119" i="19"/>
  <c r="EO119" i="19"/>
  <c r="EP119" i="19"/>
  <c r="EQ119" i="19"/>
  <c r="ER119" i="19"/>
  <c r="ES119" i="19"/>
  <c r="ET119" i="19"/>
  <c r="EU119" i="19"/>
  <c r="EV119" i="19"/>
  <c r="EW119" i="19"/>
  <c r="EX119" i="19"/>
  <c r="EY119" i="19"/>
  <c r="EZ119" i="19"/>
  <c r="FA119" i="19"/>
  <c r="FB119" i="19"/>
  <c r="FC119" i="19"/>
  <c r="FD119" i="19"/>
  <c r="FE119" i="19"/>
  <c r="FF119" i="19"/>
  <c r="FG119" i="19"/>
  <c r="FH119" i="19"/>
  <c r="FI119" i="19"/>
  <c r="FJ119" i="19"/>
  <c r="FK119" i="19"/>
  <c r="FL119" i="19"/>
  <c r="FM119" i="19"/>
  <c r="FN119" i="19"/>
  <c r="FO119" i="19"/>
  <c r="FP119" i="19"/>
  <c r="FQ119" i="19"/>
  <c r="FR119" i="19"/>
  <c r="FS119" i="19"/>
  <c r="FT119" i="19"/>
  <c r="FU119" i="19"/>
  <c r="FV119" i="19"/>
  <c r="FW119" i="19"/>
  <c r="FX119" i="19"/>
  <c r="FY119" i="19"/>
  <c r="FZ119" i="19"/>
  <c r="GA119" i="19"/>
  <c r="GB119" i="19"/>
  <c r="GC119" i="19"/>
  <c r="GD119" i="19"/>
  <c r="GE119" i="19"/>
  <c r="GF119" i="19"/>
  <c r="GG119" i="19"/>
  <c r="GH119" i="19"/>
  <c r="GI119" i="19"/>
  <c r="GJ119" i="19"/>
  <c r="GK119" i="19"/>
  <c r="GL119" i="19"/>
  <c r="GM119" i="19"/>
  <c r="GN119" i="19"/>
  <c r="GO119" i="19"/>
  <c r="GP119" i="19"/>
  <c r="GQ119" i="19"/>
  <c r="GR119" i="19"/>
  <c r="GS119" i="19"/>
  <c r="GT119" i="19"/>
  <c r="GU119" i="19"/>
  <c r="GV119" i="19"/>
  <c r="GW119" i="19"/>
  <c r="GX119" i="19"/>
  <c r="GY119" i="19"/>
  <c r="GZ119" i="19"/>
  <c r="HA119" i="19"/>
  <c r="HB119" i="19"/>
  <c r="HC119" i="19"/>
  <c r="HD119" i="19"/>
  <c r="HE119" i="19"/>
  <c r="HF119" i="19"/>
  <c r="HG119" i="19"/>
  <c r="HH119" i="19"/>
  <c r="HI119" i="19"/>
  <c r="HJ119" i="19"/>
  <c r="HK119" i="19"/>
  <c r="HL119" i="19"/>
  <c r="HM119" i="19"/>
  <c r="HN119" i="19"/>
  <c r="HO119" i="19"/>
  <c r="HP119" i="19"/>
  <c r="HQ119" i="19"/>
  <c r="HR119" i="19"/>
  <c r="HS119" i="19"/>
  <c r="HT119" i="19"/>
  <c r="HU119" i="19"/>
  <c r="HV119" i="19"/>
  <c r="HW119" i="19"/>
  <c r="HX119" i="19"/>
  <c r="HY119" i="19"/>
  <c r="HZ119" i="19"/>
  <c r="IA119" i="19"/>
  <c r="IB119" i="19"/>
  <c r="IC119" i="19"/>
  <c r="ID119" i="19"/>
  <c r="IE119" i="19"/>
  <c r="IF119" i="19"/>
  <c r="IG119" i="19"/>
  <c r="IH119" i="19"/>
  <c r="II119" i="19"/>
  <c r="IJ119" i="19"/>
  <c r="IK119" i="19"/>
  <c r="IL119" i="19"/>
  <c r="IM119" i="19"/>
  <c r="IN119" i="19"/>
  <c r="IO119" i="19"/>
  <c r="IP119" i="19"/>
  <c r="IQ119" i="19"/>
  <c r="IR119" i="19"/>
  <c r="IS119" i="19"/>
  <c r="IT119" i="19"/>
  <c r="IU119" i="19"/>
  <c r="IV119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AD120" i="19"/>
  <c r="AE120" i="19"/>
  <c r="AF120" i="19"/>
  <c r="AG120" i="19"/>
  <c r="AH120" i="19"/>
  <c r="AI120" i="19"/>
  <c r="AJ120" i="19"/>
  <c r="AK120" i="19"/>
  <c r="AL120" i="19"/>
  <c r="AM120" i="19"/>
  <c r="AN120" i="19"/>
  <c r="AO120" i="19"/>
  <c r="AP120" i="19"/>
  <c r="AQ120" i="19"/>
  <c r="AR120" i="19"/>
  <c r="AS120" i="19"/>
  <c r="AT120" i="19"/>
  <c r="AU120" i="19"/>
  <c r="AV120" i="19"/>
  <c r="AW120" i="19"/>
  <c r="AX120" i="19"/>
  <c r="AY120" i="19"/>
  <c r="AZ120" i="19"/>
  <c r="BA120" i="19"/>
  <c r="BB120" i="19"/>
  <c r="BC120" i="19"/>
  <c r="BD120" i="19"/>
  <c r="BE120" i="19"/>
  <c r="BF120" i="19"/>
  <c r="BG120" i="19"/>
  <c r="BH120" i="19"/>
  <c r="BI120" i="19"/>
  <c r="BJ120" i="19"/>
  <c r="BK120" i="19"/>
  <c r="BL120" i="19"/>
  <c r="BM120" i="19"/>
  <c r="BN120" i="19"/>
  <c r="BO120" i="19"/>
  <c r="BP120" i="19"/>
  <c r="BQ120" i="19"/>
  <c r="BR120" i="19"/>
  <c r="BS120" i="19"/>
  <c r="BT120" i="19"/>
  <c r="BU120" i="19"/>
  <c r="BV120" i="19"/>
  <c r="BW120" i="19"/>
  <c r="BX120" i="19"/>
  <c r="BY120" i="19"/>
  <c r="BZ120" i="19"/>
  <c r="CA120" i="19"/>
  <c r="CB120" i="19"/>
  <c r="CC120" i="19"/>
  <c r="CD120" i="19"/>
  <c r="CE120" i="19"/>
  <c r="CF120" i="19"/>
  <c r="CG120" i="19"/>
  <c r="CH120" i="19"/>
  <c r="CI120" i="19"/>
  <c r="CJ120" i="19"/>
  <c r="CK120" i="19"/>
  <c r="CL120" i="19"/>
  <c r="CM120" i="19"/>
  <c r="CN120" i="19"/>
  <c r="CO120" i="19"/>
  <c r="CP120" i="19"/>
  <c r="CQ120" i="19"/>
  <c r="CR120" i="19"/>
  <c r="CS120" i="19"/>
  <c r="CT120" i="19"/>
  <c r="CU120" i="19"/>
  <c r="CV120" i="19"/>
  <c r="CW120" i="19"/>
  <c r="CX120" i="19"/>
  <c r="CY120" i="19"/>
  <c r="CZ120" i="19"/>
  <c r="DA120" i="19"/>
  <c r="DB120" i="19"/>
  <c r="DC120" i="19"/>
  <c r="DD120" i="19"/>
  <c r="DE120" i="19"/>
  <c r="DF120" i="19"/>
  <c r="DG120" i="19"/>
  <c r="DH120" i="19"/>
  <c r="DI120" i="19"/>
  <c r="DJ120" i="19"/>
  <c r="DK120" i="19"/>
  <c r="DL120" i="19"/>
  <c r="DM120" i="19"/>
  <c r="DN120" i="19"/>
  <c r="DO120" i="19"/>
  <c r="DP120" i="19"/>
  <c r="DQ120" i="19"/>
  <c r="DR120" i="19"/>
  <c r="DS120" i="19"/>
  <c r="DT120" i="19"/>
  <c r="DU120" i="19"/>
  <c r="DV120" i="19"/>
  <c r="DW120" i="19"/>
  <c r="DX120" i="19"/>
  <c r="DY120" i="19"/>
  <c r="DZ120" i="19"/>
  <c r="EA120" i="19"/>
  <c r="EB120" i="19"/>
  <c r="EC120" i="19"/>
  <c r="ED120" i="19"/>
  <c r="EE120" i="19"/>
  <c r="EF120" i="19"/>
  <c r="EG120" i="19"/>
  <c r="EH120" i="19"/>
  <c r="EI120" i="19"/>
  <c r="EJ120" i="19"/>
  <c r="EK120" i="19"/>
  <c r="EL120" i="19"/>
  <c r="EM120" i="19"/>
  <c r="EN120" i="19"/>
  <c r="EO120" i="19"/>
  <c r="EP120" i="19"/>
  <c r="EQ120" i="19"/>
  <c r="ER120" i="19"/>
  <c r="ES120" i="19"/>
  <c r="ET120" i="19"/>
  <c r="EU120" i="19"/>
  <c r="EV120" i="19"/>
  <c r="EW120" i="19"/>
  <c r="EX120" i="19"/>
  <c r="EY120" i="19"/>
  <c r="EZ120" i="19"/>
  <c r="FA120" i="19"/>
  <c r="FB120" i="19"/>
  <c r="FC120" i="19"/>
  <c r="FD120" i="19"/>
  <c r="FE120" i="19"/>
  <c r="FF120" i="19"/>
  <c r="FG120" i="19"/>
  <c r="FH120" i="19"/>
  <c r="FI120" i="19"/>
  <c r="FJ120" i="19"/>
  <c r="FK120" i="19"/>
  <c r="FL120" i="19"/>
  <c r="FM120" i="19"/>
  <c r="FN120" i="19"/>
  <c r="FO120" i="19"/>
  <c r="FP120" i="19"/>
  <c r="FQ120" i="19"/>
  <c r="FR120" i="19"/>
  <c r="FS120" i="19"/>
  <c r="FT120" i="19"/>
  <c r="FU120" i="19"/>
  <c r="FV120" i="19"/>
  <c r="FW120" i="19"/>
  <c r="FX120" i="19"/>
  <c r="FY120" i="19"/>
  <c r="FZ120" i="19"/>
  <c r="GA120" i="19"/>
  <c r="GB120" i="19"/>
  <c r="GC120" i="19"/>
  <c r="GD120" i="19"/>
  <c r="GE120" i="19"/>
  <c r="GF120" i="19"/>
  <c r="GG120" i="19"/>
  <c r="GH120" i="19"/>
  <c r="GI120" i="19"/>
  <c r="GJ120" i="19"/>
  <c r="GK120" i="19"/>
  <c r="GL120" i="19"/>
  <c r="GM120" i="19"/>
  <c r="GN120" i="19"/>
  <c r="GO120" i="19"/>
  <c r="GP120" i="19"/>
  <c r="GQ120" i="19"/>
  <c r="GR120" i="19"/>
  <c r="GS120" i="19"/>
  <c r="GT120" i="19"/>
  <c r="GU120" i="19"/>
  <c r="GV120" i="19"/>
  <c r="GW120" i="19"/>
  <c r="GX120" i="19"/>
  <c r="GY120" i="19"/>
  <c r="GZ120" i="19"/>
  <c r="HA120" i="19"/>
  <c r="HB120" i="19"/>
  <c r="HC120" i="19"/>
  <c r="HD120" i="19"/>
  <c r="HE120" i="19"/>
  <c r="HF120" i="19"/>
  <c r="HG120" i="19"/>
  <c r="HH120" i="19"/>
  <c r="HI120" i="19"/>
  <c r="HJ120" i="19"/>
  <c r="HK120" i="19"/>
  <c r="HL120" i="19"/>
  <c r="HM120" i="19"/>
  <c r="HN120" i="19"/>
  <c r="HO120" i="19"/>
  <c r="HP120" i="19"/>
  <c r="HQ120" i="19"/>
  <c r="HR120" i="19"/>
  <c r="HS120" i="19"/>
  <c r="HT120" i="19"/>
  <c r="HU120" i="19"/>
  <c r="HV120" i="19"/>
  <c r="HW120" i="19"/>
  <c r="HX120" i="19"/>
  <c r="HY120" i="19"/>
  <c r="HZ120" i="19"/>
  <c r="IA120" i="19"/>
  <c r="IB120" i="19"/>
  <c r="IC120" i="19"/>
  <c r="ID120" i="19"/>
  <c r="IE120" i="19"/>
  <c r="IF120" i="19"/>
  <c r="IG120" i="19"/>
  <c r="IH120" i="19"/>
  <c r="II120" i="19"/>
  <c r="IJ120" i="19"/>
  <c r="IK120" i="19"/>
  <c r="IL120" i="19"/>
  <c r="IM120" i="19"/>
  <c r="IN120" i="19"/>
  <c r="IO120" i="19"/>
  <c r="IP120" i="19"/>
  <c r="IQ120" i="19"/>
  <c r="IR120" i="19"/>
  <c r="IS120" i="19"/>
  <c r="IT120" i="19"/>
  <c r="IU120" i="19"/>
  <c r="IV120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AD121" i="19"/>
  <c r="AE121" i="19"/>
  <c r="AF121" i="19"/>
  <c r="AG121" i="19"/>
  <c r="AH121" i="19"/>
  <c r="AI121" i="19"/>
  <c r="AJ121" i="19"/>
  <c r="AK121" i="19"/>
  <c r="AL121" i="19"/>
  <c r="AM121" i="19"/>
  <c r="AN121" i="19"/>
  <c r="AO121" i="19"/>
  <c r="AP121" i="19"/>
  <c r="AQ121" i="19"/>
  <c r="AR121" i="19"/>
  <c r="AS121" i="19"/>
  <c r="AT121" i="19"/>
  <c r="AU121" i="19"/>
  <c r="AV121" i="19"/>
  <c r="AW121" i="19"/>
  <c r="AX121" i="19"/>
  <c r="AY121" i="19"/>
  <c r="AZ121" i="19"/>
  <c r="BA121" i="19"/>
  <c r="BB121" i="19"/>
  <c r="BC121" i="19"/>
  <c r="BD121" i="19"/>
  <c r="BE121" i="19"/>
  <c r="BF121" i="19"/>
  <c r="BG121" i="19"/>
  <c r="BH121" i="19"/>
  <c r="BI121" i="19"/>
  <c r="BJ121" i="19"/>
  <c r="BK121" i="19"/>
  <c r="BL121" i="19"/>
  <c r="BM121" i="19"/>
  <c r="BN121" i="19"/>
  <c r="BO121" i="19"/>
  <c r="BP121" i="19"/>
  <c r="BQ121" i="19"/>
  <c r="BR121" i="19"/>
  <c r="BS121" i="19"/>
  <c r="BT121" i="19"/>
  <c r="BU121" i="19"/>
  <c r="BV121" i="19"/>
  <c r="BW121" i="19"/>
  <c r="BX121" i="19"/>
  <c r="BY121" i="19"/>
  <c r="BZ121" i="19"/>
  <c r="CA121" i="19"/>
  <c r="CB121" i="19"/>
  <c r="CC121" i="19"/>
  <c r="CD121" i="19"/>
  <c r="CE121" i="19"/>
  <c r="CF121" i="19"/>
  <c r="CG121" i="19"/>
  <c r="CH121" i="19"/>
  <c r="CI121" i="19"/>
  <c r="CJ121" i="19"/>
  <c r="CK121" i="19"/>
  <c r="CL121" i="19"/>
  <c r="CM121" i="19"/>
  <c r="CN121" i="19"/>
  <c r="CO121" i="19"/>
  <c r="CP121" i="19"/>
  <c r="CQ121" i="19"/>
  <c r="CR121" i="19"/>
  <c r="CS121" i="19"/>
  <c r="CT121" i="19"/>
  <c r="CU121" i="19"/>
  <c r="CV121" i="19"/>
  <c r="CW121" i="19"/>
  <c r="CX121" i="19"/>
  <c r="CY121" i="19"/>
  <c r="CZ121" i="19"/>
  <c r="DA121" i="19"/>
  <c r="DB121" i="19"/>
  <c r="DC121" i="19"/>
  <c r="DD121" i="19"/>
  <c r="DE121" i="19"/>
  <c r="DF121" i="19"/>
  <c r="DG121" i="19"/>
  <c r="DH121" i="19"/>
  <c r="DI121" i="19"/>
  <c r="DJ121" i="19"/>
  <c r="DK121" i="19"/>
  <c r="DL121" i="19"/>
  <c r="DM121" i="19"/>
  <c r="DN121" i="19"/>
  <c r="DO121" i="19"/>
  <c r="DP121" i="19"/>
  <c r="DQ121" i="19"/>
  <c r="DR121" i="19"/>
  <c r="DS121" i="19"/>
  <c r="DT121" i="19"/>
  <c r="DU121" i="19"/>
  <c r="DV121" i="19"/>
  <c r="DW121" i="19"/>
  <c r="DX121" i="19"/>
  <c r="DY121" i="19"/>
  <c r="DZ121" i="19"/>
  <c r="EA121" i="19"/>
  <c r="EB121" i="19"/>
  <c r="EC121" i="19"/>
  <c r="ED121" i="19"/>
  <c r="EE121" i="19"/>
  <c r="EF121" i="19"/>
  <c r="EG121" i="19"/>
  <c r="EH121" i="19"/>
  <c r="EI121" i="19"/>
  <c r="EJ121" i="19"/>
  <c r="EK121" i="19"/>
  <c r="EL121" i="19"/>
  <c r="EM121" i="19"/>
  <c r="EN121" i="19"/>
  <c r="EO121" i="19"/>
  <c r="EP121" i="19"/>
  <c r="EQ121" i="19"/>
  <c r="ER121" i="19"/>
  <c r="ES121" i="19"/>
  <c r="ET121" i="19"/>
  <c r="EU121" i="19"/>
  <c r="EV121" i="19"/>
  <c r="EW121" i="19"/>
  <c r="EX121" i="19"/>
  <c r="EY121" i="19"/>
  <c r="EZ121" i="19"/>
  <c r="FA121" i="19"/>
  <c r="FB121" i="19"/>
  <c r="FC121" i="19"/>
  <c r="FD121" i="19"/>
  <c r="FE121" i="19"/>
  <c r="FF121" i="19"/>
  <c r="FG121" i="19"/>
  <c r="FH121" i="19"/>
  <c r="FI121" i="19"/>
  <c r="FJ121" i="19"/>
  <c r="FK121" i="19"/>
  <c r="FL121" i="19"/>
  <c r="FM121" i="19"/>
  <c r="FN121" i="19"/>
  <c r="FO121" i="19"/>
  <c r="FP121" i="19"/>
  <c r="FQ121" i="19"/>
  <c r="FR121" i="19"/>
  <c r="FS121" i="19"/>
  <c r="FT121" i="19"/>
  <c r="FU121" i="19"/>
  <c r="FV121" i="19"/>
  <c r="FW121" i="19"/>
  <c r="FX121" i="19"/>
  <c r="FY121" i="19"/>
  <c r="FZ121" i="19"/>
  <c r="GA121" i="19"/>
  <c r="GB121" i="19"/>
  <c r="GC121" i="19"/>
  <c r="GD121" i="19"/>
  <c r="GE121" i="19"/>
  <c r="GF121" i="19"/>
  <c r="GG121" i="19"/>
  <c r="GH121" i="19"/>
  <c r="GI121" i="19"/>
  <c r="GJ121" i="19"/>
  <c r="GK121" i="19"/>
  <c r="GL121" i="19"/>
  <c r="GM121" i="19"/>
  <c r="GN121" i="19"/>
  <c r="GO121" i="19"/>
  <c r="GP121" i="19"/>
  <c r="GQ121" i="19"/>
  <c r="GR121" i="19"/>
  <c r="GS121" i="19"/>
  <c r="GT121" i="19"/>
  <c r="GU121" i="19"/>
  <c r="GV121" i="19"/>
  <c r="GW121" i="19"/>
  <c r="GX121" i="19"/>
  <c r="GY121" i="19"/>
  <c r="GZ121" i="19"/>
  <c r="HA121" i="19"/>
  <c r="HB121" i="19"/>
  <c r="HC121" i="19"/>
  <c r="HD121" i="19"/>
  <c r="HE121" i="19"/>
  <c r="HF121" i="19"/>
  <c r="HG121" i="19"/>
  <c r="HH121" i="19"/>
  <c r="HI121" i="19"/>
  <c r="HJ121" i="19"/>
  <c r="HK121" i="19"/>
  <c r="HL121" i="19"/>
  <c r="HM121" i="19"/>
  <c r="HN121" i="19"/>
  <c r="HO121" i="19"/>
  <c r="HP121" i="19"/>
  <c r="HQ121" i="19"/>
  <c r="HR121" i="19"/>
  <c r="HS121" i="19"/>
  <c r="HT121" i="19"/>
  <c r="HU121" i="19"/>
  <c r="HV121" i="19"/>
  <c r="HW121" i="19"/>
  <c r="HX121" i="19"/>
  <c r="HY121" i="19"/>
  <c r="HZ121" i="19"/>
  <c r="IA121" i="19"/>
  <c r="IB121" i="19"/>
  <c r="IC121" i="19"/>
  <c r="ID121" i="19"/>
  <c r="IE121" i="19"/>
  <c r="IF121" i="19"/>
  <c r="IG121" i="19"/>
  <c r="IH121" i="19"/>
  <c r="II121" i="19"/>
  <c r="IJ121" i="19"/>
  <c r="IK121" i="19"/>
  <c r="IL121" i="19"/>
  <c r="IM121" i="19"/>
  <c r="IN121" i="19"/>
  <c r="IO121" i="19"/>
  <c r="IP121" i="19"/>
  <c r="IQ121" i="19"/>
  <c r="IR121" i="19"/>
  <c r="IS121" i="19"/>
  <c r="IT121" i="19"/>
  <c r="IU121" i="19"/>
  <c r="IV121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T122" i="19"/>
  <c r="U122" i="19"/>
  <c r="V122" i="19"/>
  <c r="W122" i="19"/>
  <c r="X122" i="19"/>
  <c r="Y122" i="19"/>
  <c r="Z122" i="19"/>
  <c r="AA122" i="19"/>
  <c r="AB122" i="19"/>
  <c r="AC122" i="19"/>
  <c r="AD122" i="19"/>
  <c r="AE122" i="19"/>
  <c r="AF122" i="19"/>
  <c r="AG122" i="19"/>
  <c r="AH122" i="19"/>
  <c r="AI122" i="19"/>
  <c r="AJ122" i="19"/>
  <c r="AK122" i="19"/>
  <c r="AL122" i="19"/>
  <c r="AM122" i="19"/>
  <c r="AN122" i="19"/>
  <c r="AO122" i="19"/>
  <c r="AP122" i="19"/>
  <c r="AQ122" i="19"/>
  <c r="AR122" i="19"/>
  <c r="AS122" i="19"/>
  <c r="AT122" i="19"/>
  <c r="AU122" i="19"/>
  <c r="AV122" i="19"/>
  <c r="AW122" i="19"/>
  <c r="AX122" i="19"/>
  <c r="AY122" i="19"/>
  <c r="AZ122" i="19"/>
  <c r="BA122" i="19"/>
  <c r="BB122" i="19"/>
  <c r="BC122" i="19"/>
  <c r="BD122" i="19"/>
  <c r="BE122" i="19"/>
  <c r="BF122" i="19"/>
  <c r="BG122" i="19"/>
  <c r="BH122" i="19"/>
  <c r="BI122" i="19"/>
  <c r="BJ122" i="19"/>
  <c r="BK122" i="19"/>
  <c r="BL122" i="19"/>
  <c r="BM122" i="19"/>
  <c r="BN122" i="19"/>
  <c r="BO122" i="19"/>
  <c r="BP122" i="19"/>
  <c r="BQ122" i="19"/>
  <c r="BR122" i="19"/>
  <c r="BS122" i="19"/>
  <c r="BT122" i="19"/>
  <c r="BU122" i="19"/>
  <c r="BV122" i="19"/>
  <c r="BW122" i="19"/>
  <c r="BX122" i="19"/>
  <c r="BY122" i="19"/>
  <c r="BZ122" i="19"/>
  <c r="CA122" i="19"/>
  <c r="CB122" i="19"/>
  <c r="CC122" i="19"/>
  <c r="CD122" i="19"/>
  <c r="CE122" i="19"/>
  <c r="CF122" i="19"/>
  <c r="CG122" i="19"/>
  <c r="CH122" i="19"/>
  <c r="CI122" i="19"/>
  <c r="CJ122" i="19"/>
  <c r="CK122" i="19"/>
  <c r="CL122" i="19"/>
  <c r="CM122" i="19"/>
  <c r="CN122" i="19"/>
  <c r="CO122" i="19"/>
  <c r="CP122" i="19"/>
  <c r="CQ122" i="19"/>
  <c r="CR122" i="19"/>
  <c r="CS122" i="19"/>
  <c r="CT122" i="19"/>
  <c r="CU122" i="19"/>
  <c r="CV122" i="19"/>
  <c r="CW122" i="19"/>
  <c r="CX122" i="19"/>
  <c r="CY122" i="19"/>
  <c r="CZ122" i="19"/>
  <c r="DA122" i="19"/>
  <c r="DB122" i="19"/>
  <c r="DC122" i="19"/>
  <c r="DD122" i="19"/>
  <c r="DE122" i="19"/>
  <c r="DF122" i="19"/>
  <c r="DG122" i="19"/>
  <c r="DH122" i="19"/>
  <c r="DI122" i="19"/>
  <c r="DJ122" i="19"/>
  <c r="DK122" i="19"/>
  <c r="DL122" i="19"/>
  <c r="DM122" i="19"/>
  <c r="DN122" i="19"/>
  <c r="DO122" i="19"/>
  <c r="DP122" i="19"/>
  <c r="DQ122" i="19"/>
  <c r="DR122" i="19"/>
  <c r="DS122" i="19"/>
  <c r="DT122" i="19"/>
  <c r="DU122" i="19"/>
  <c r="DV122" i="19"/>
  <c r="DW122" i="19"/>
  <c r="DX122" i="19"/>
  <c r="DY122" i="19"/>
  <c r="DZ122" i="19"/>
  <c r="EA122" i="19"/>
  <c r="EB122" i="19"/>
  <c r="EC122" i="19"/>
  <c r="ED122" i="19"/>
  <c r="EE122" i="19"/>
  <c r="EF122" i="19"/>
  <c r="EG122" i="19"/>
  <c r="EH122" i="19"/>
  <c r="EI122" i="19"/>
  <c r="EJ122" i="19"/>
  <c r="EK122" i="19"/>
  <c r="EL122" i="19"/>
  <c r="EM122" i="19"/>
  <c r="EN122" i="19"/>
  <c r="EO122" i="19"/>
  <c r="EP122" i="19"/>
  <c r="EQ122" i="19"/>
  <c r="ER122" i="19"/>
  <c r="ES122" i="19"/>
  <c r="ET122" i="19"/>
  <c r="EU122" i="19"/>
  <c r="EV122" i="19"/>
  <c r="EW122" i="19"/>
  <c r="EX122" i="19"/>
  <c r="EY122" i="19"/>
  <c r="EZ122" i="19"/>
  <c r="FA122" i="19"/>
  <c r="FB122" i="19"/>
  <c r="FC122" i="19"/>
  <c r="FD122" i="19"/>
  <c r="FE122" i="19"/>
  <c r="FF122" i="19"/>
  <c r="FG122" i="19"/>
  <c r="FH122" i="19"/>
  <c r="FI122" i="19"/>
  <c r="FJ122" i="19"/>
  <c r="FK122" i="19"/>
  <c r="FL122" i="19"/>
  <c r="FM122" i="19"/>
  <c r="FN122" i="19"/>
  <c r="FO122" i="19"/>
  <c r="FP122" i="19"/>
  <c r="FQ122" i="19"/>
  <c r="FR122" i="19"/>
  <c r="FS122" i="19"/>
  <c r="FT122" i="19"/>
  <c r="FU122" i="19"/>
  <c r="FV122" i="19"/>
  <c r="FW122" i="19"/>
  <c r="FX122" i="19"/>
  <c r="FY122" i="19"/>
  <c r="FZ122" i="19"/>
  <c r="GA122" i="19"/>
  <c r="GB122" i="19"/>
  <c r="GC122" i="19"/>
  <c r="GD122" i="19"/>
  <c r="GE122" i="19"/>
  <c r="GF122" i="19"/>
  <c r="GG122" i="19"/>
  <c r="GH122" i="19"/>
  <c r="GI122" i="19"/>
  <c r="GJ122" i="19"/>
  <c r="GK122" i="19"/>
  <c r="GL122" i="19"/>
  <c r="GM122" i="19"/>
  <c r="GN122" i="19"/>
  <c r="GO122" i="19"/>
  <c r="GP122" i="19"/>
  <c r="GQ122" i="19"/>
  <c r="GR122" i="19"/>
  <c r="GS122" i="19"/>
  <c r="GT122" i="19"/>
  <c r="GU122" i="19"/>
  <c r="GV122" i="19"/>
  <c r="GW122" i="19"/>
  <c r="GX122" i="19"/>
  <c r="GY122" i="19"/>
  <c r="GZ122" i="19"/>
  <c r="HA122" i="19"/>
  <c r="HB122" i="19"/>
  <c r="HC122" i="19"/>
  <c r="HD122" i="19"/>
  <c r="HE122" i="19"/>
  <c r="HF122" i="19"/>
  <c r="HG122" i="19"/>
  <c r="HH122" i="19"/>
  <c r="HI122" i="19"/>
  <c r="HJ122" i="19"/>
  <c r="HK122" i="19"/>
  <c r="HL122" i="19"/>
  <c r="HM122" i="19"/>
  <c r="HN122" i="19"/>
  <c r="HO122" i="19"/>
  <c r="HP122" i="19"/>
  <c r="HQ122" i="19"/>
  <c r="HR122" i="19"/>
  <c r="HS122" i="19"/>
  <c r="HT122" i="19"/>
  <c r="HU122" i="19"/>
  <c r="HV122" i="19"/>
  <c r="HW122" i="19"/>
  <c r="HX122" i="19"/>
  <c r="HY122" i="19"/>
  <c r="HZ122" i="19"/>
  <c r="IA122" i="19"/>
  <c r="IB122" i="19"/>
  <c r="IC122" i="19"/>
  <c r="ID122" i="19"/>
  <c r="IE122" i="19"/>
  <c r="IF122" i="19"/>
  <c r="IG122" i="19"/>
  <c r="IH122" i="19"/>
  <c r="II122" i="19"/>
  <c r="IJ122" i="19"/>
  <c r="IK122" i="19"/>
  <c r="IL122" i="19"/>
  <c r="IM122" i="19"/>
  <c r="IN122" i="19"/>
  <c r="IO122" i="19"/>
  <c r="IP122" i="19"/>
  <c r="IQ122" i="19"/>
  <c r="IR122" i="19"/>
  <c r="IS122" i="19"/>
  <c r="IT122" i="19"/>
  <c r="IU122" i="19"/>
  <c r="IV122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AD123" i="19"/>
  <c r="AE123" i="19"/>
  <c r="AF123" i="19"/>
  <c r="AG123" i="19"/>
  <c r="AH123" i="19"/>
  <c r="AI123" i="19"/>
  <c r="AJ123" i="19"/>
  <c r="AK123" i="19"/>
  <c r="AL123" i="19"/>
  <c r="AM123" i="19"/>
  <c r="AN123" i="19"/>
  <c r="AO123" i="19"/>
  <c r="AP123" i="19"/>
  <c r="AQ123" i="19"/>
  <c r="AR123" i="19"/>
  <c r="AS123" i="19"/>
  <c r="AT123" i="19"/>
  <c r="AU123" i="19"/>
  <c r="AV123" i="19"/>
  <c r="AW123" i="19"/>
  <c r="AX123" i="19"/>
  <c r="AY123" i="19"/>
  <c r="AZ123" i="19"/>
  <c r="BA123" i="19"/>
  <c r="BB123" i="19"/>
  <c r="BC123" i="19"/>
  <c r="BD123" i="19"/>
  <c r="BE123" i="19"/>
  <c r="BF123" i="19"/>
  <c r="BG123" i="19"/>
  <c r="BH123" i="19"/>
  <c r="BI123" i="19"/>
  <c r="BJ123" i="19"/>
  <c r="BK123" i="19"/>
  <c r="BL123" i="19"/>
  <c r="BM123" i="19"/>
  <c r="BN123" i="19"/>
  <c r="BO123" i="19"/>
  <c r="BP123" i="19"/>
  <c r="BQ123" i="19"/>
  <c r="BR123" i="19"/>
  <c r="BS123" i="19"/>
  <c r="BT123" i="19"/>
  <c r="BU123" i="19"/>
  <c r="BV123" i="19"/>
  <c r="BW123" i="19"/>
  <c r="BX123" i="19"/>
  <c r="BY123" i="19"/>
  <c r="BZ123" i="19"/>
  <c r="CA123" i="19"/>
  <c r="CB123" i="19"/>
  <c r="CC123" i="19"/>
  <c r="CD123" i="19"/>
  <c r="CE123" i="19"/>
  <c r="CF123" i="19"/>
  <c r="CG123" i="19"/>
  <c r="CH123" i="19"/>
  <c r="CI123" i="19"/>
  <c r="CJ123" i="19"/>
  <c r="CK123" i="19"/>
  <c r="CL123" i="19"/>
  <c r="CM123" i="19"/>
  <c r="CN123" i="19"/>
  <c r="CO123" i="19"/>
  <c r="CP123" i="19"/>
  <c r="CQ123" i="19"/>
  <c r="CR123" i="19"/>
  <c r="CS123" i="19"/>
  <c r="CT123" i="19"/>
  <c r="CU123" i="19"/>
  <c r="CV123" i="19"/>
  <c r="CW123" i="19"/>
  <c r="CX123" i="19"/>
  <c r="CY123" i="19"/>
  <c r="CZ123" i="19"/>
  <c r="DA123" i="19"/>
  <c r="DB123" i="19"/>
  <c r="DC123" i="19"/>
  <c r="DD123" i="19"/>
  <c r="DE123" i="19"/>
  <c r="DF123" i="19"/>
  <c r="DG123" i="19"/>
  <c r="DH123" i="19"/>
  <c r="DI123" i="19"/>
  <c r="DJ123" i="19"/>
  <c r="DK123" i="19"/>
  <c r="DL123" i="19"/>
  <c r="DM123" i="19"/>
  <c r="DN123" i="19"/>
  <c r="DO123" i="19"/>
  <c r="DP123" i="19"/>
  <c r="DQ123" i="19"/>
  <c r="DR123" i="19"/>
  <c r="DS123" i="19"/>
  <c r="DT123" i="19"/>
  <c r="DU123" i="19"/>
  <c r="DV123" i="19"/>
  <c r="DW123" i="19"/>
  <c r="DX123" i="19"/>
  <c r="DY123" i="19"/>
  <c r="DZ123" i="19"/>
  <c r="EA123" i="19"/>
  <c r="EB123" i="19"/>
  <c r="EC123" i="19"/>
  <c r="ED123" i="19"/>
  <c r="EE123" i="19"/>
  <c r="EF123" i="19"/>
  <c r="EG123" i="19"/>
  <c r="EH123" i="19"/>
  <c r="EI123" i="19"/>
  <c r="EJ123" i="19"/>
  <c r="EK123" i="19"/>
  <c r="EL123" i="19"/>
  <c r="EM123" i="19"/>
  <c r="EN123" i="19"/>
  <c r="EO123" i="19"/>
  <c r="EP123" i="19"/>
  <c r="EQ123" i="19"/>
  <c r="ER123" i="19"/>
  <c r="ES123" i="19"/>
  <c r="ET123" i="19"/>
  <c r="EU123" i="19"/>
  <c r="EV123" i="19"/>
  <c r="EW123" i="19"/>
  <c r="EX123" i="19"/>
  <c r="EY123" i="19"/>
  <c r="EZ123" i="19"/>
  <c r="FA123" i="19"/>
  <c r="FB123" i="19"/>
  <c r="FC123" i="19"/>
  <c r="FD123" i="19"/>
  <c r="FE123" i="19"/>
  <c r="FF123" i="19"/>
  <c r="FG123" i="19"/>
  <c r="FH123" i="19"/>
  <c r="FI123" i="19"/>
  <c r="FJ123" i="19"/>
  <c r="FK123" i="19"/>
  <c r="FL123" i="19"/>
  <c r="FM123" i="19"/>
  <c r="FN123" i="19"/>
  <c r="FO123" i="19"/>
  <c r="FP123" i="19"/>
  <c r="FQ123" i="19"/>
  <c r="FR123" i="19"/>
  <c r="FS123" i="19"/>
  <c r="FT123" i="19"/>
  <c r="FU123" i="19"/>
  <c r="FV123" i="19"/>
  <c r="FW123" i="19"/>
  <c r="FX123" i="19"/>
  <c r="FY123" i="19"/>
  <c r="FZ123" i="19"/>
  <c r="GA123" i="19"/>
  <c r="GB123" i="19"/>
  <c r="GC123" i="19"/>
  <c r="GD123" i="19"/>
  <c r="GE123" i="19"/>
  <c r="GF123" i="19"/>
  <c r="GG123" i="19"/>
  <c r="GH123" i="19"/>
  <c r="GI123" i="19"/>
  <c r="GJ123" i="19"/>
  <c r="GK123" i="19"/>
  <c r="GL123" i="19"/>
  <c r="GM123" i="19"/>
  <c r="GN123" i="19"/>
  <c r="GO123" i="19"/>
  <c r="GP123" i="19"/>
  <c r="GQ123" i="19"/>
  <c r="GR123" i="19"/>
  <c r="GS123" i="19"/>
  <c r="GT123" i="19"/>
  <c r="GU123" i="19"/>
  <c r="GV123" i="19"/>
  <c r="GW123" i="19"/>
  <c r="GX123" i="19"/>
  <c r="GY123" i="19"/>
  <c r="GZ123" i="19"/>
  <c r="HA123" i="19"/>
  <c r="HB123" i="19"/>
  <c r="HC123" i="19"/>
  <c r="HD123" i="19"/>
  <c r="HE123" i="19"/>
  <c r="HF123" i="19"/>
  <c r="HG123" i="19"/>
  <c r="HH123" i="19"/>
  <c r="HI123" i="19"/>
  <c r="HJ123" i="19"/>
  <c r="HK123" i="19"/>
  <c r="HL123" i="19"/>
  <c r="HM123" i="19"/>
  <c r="HN123" i="19"/>
  <c r="HO123" i="19"/>
  <c r="HP123" i="19"/>
  <c r="HQ123" i="19"/>
  <c r="HR123" i="19"/>
  <c r="HS123" i="19"/>
  <c r="HT123" i="19"/>
  <c r="HU123" i="19"/>
  <c r="HV123" i="19"/>
  <c r="HW123" i="19"/>
  <c r="HX123" i="19"/>
  <c r="HY123" i="19"/>
  <c r="HZ123" i="19"/>
  <c r="IA123" i="19"/>
  <c r="IB123" i="19"/>
  <c r="IC123" i="19"/>
  <c r="ID123" i="19"/>
  <c r="IE123" i="19"/>
  <c r="IF123" i="19"/>
  <c r="IG123" i="19"/>
  <c r="IH123" i="19"/>
  <c r="II123" i="19"/>
  <c r="IJ123" i="19"/>
  <c r="IK123" i="19"/>
  <c r="IL123" i="19"/>
  <c r="IM123" i="19"/>
  <c r="IN123" i="19"/>
  <c r="IO123" i="19"/>
  <c r="IP123" i="19"/>
  <c r="IQ123" i="19"/>
  <c r="IR123" i="19"/>
  <c r="IS123" i="19"/>
  <c r="IT123" i="19"/>
  <c r="IU123" i="19"/>
  <c r="IV123" i="19"/>
  <c r="F124" i="19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T124" i="19"/>
  <c r="U124" i="19"/>
  <c r="V124" i="19"/>
  <c r="W124" i="19"/>
  <c r="X124" i="19"/>
  <c r="Y124" i="19"/>
  <c r="Z124" i="19"/>
  <c r="AA124" i="19"/>
  <c r="AB124" i="19"/>
  <c r="AC124" i="19"/>
  <c r="AD124" i="19"/>
  <c r="AE124" i="19"/>
  <c r="AF124" i="19"/>
  <c r="AG124" i="19"/>
  <c r="AH124" i="19"/>
  <c r="AI124" i="19"/>
  <c r="AJ124" i="19"/>
  <c r="AK124" i="19"/>
  <c r="AL124" i="19"/>
  <c r="AM124" i="19"/>
  <c r="AN124" i="19"/>
  <c r="AO124" i="19"/>
  <c r="AP124" i="19"/>
  <c r="AQ124" i="19"/>
  <c r="AR124" i="19"/>
  <c r="AS124" i="19"/>
  <c r="AT124" i="19"/>
  <c r="AU124" i="19"/>
  <c r="AV124" i="19"/>
  <c r="AW124" i="19"/>
  <c r="AX124" i="19"/>
  <c r="AY124" i="19"/>
  <c r="AZ124" i="19"/>
  <c r="BA124" i="19"/>
  <c r="BB124" i="19"/>
  <c r="BC124" i="19"/>
  <c r="BD124" i="19"/>
  <c r="BE124" i="19"/>
  <c r="BF124" i="19"/>
  <c r="BG124" i="19"/>
  <c r="BH124" i="19"/>
  <c r="BI124" i="19"/>
  <c r="BJ124" i="19"/>
  <c r="BK124" i="19"/>
  <c r="BL124" i="19"/>
  <c r="BM124" i="19"/>
  <c r="BN124" i="19"/>
  <c r="BO124" i="19"/>
  <c r="BP124" i="19"/>
  <c r="BQ124" i="19"/>
  <c r="BR124" i="19"/>
  <c r="BS124" i="19"/>
  <c r="BT124" i="19"/>
  <c r="BU124" i="19"/>
  <c r="BV124" i="19"/>
  <c r="BW124" i="19"/>
  <c r="BX124" i="19"/>
  <c r="BY124" i="19"/>
  <c r="BZ124" i="19"/>
  <c r="CA124" i="19"/>
  <c r="CB124" i="19"/>
  <c r="CC124" i="19"/>
  <c r="CD124" i="19"/>
  <c r="CE124" i="19"/>
  <c r="CF124" i="19"/>
  <c r="CG124" i="19"/>
  <c r="CH124" i="19"/>
  <c r="CI124" i="19"/>
  <c r="CJ124" i="19"/>
  <c r="CK124" i="19"/>
  <c r="CL124" i="19"/>
  <c r="CM124" i="19"/>
  <c r="CN124" i="19"/>
  <c r="CO124" i="19"/>
  <c r="CP124" i="19"/>
  <c r="CQ124" i="19"/>
  <c r="CR124" i="19"/>
  <c r="CS124" i="19"/>
  <c r="CT124" i="19"/>
  <c r="CU124" i="19"/>
  <c r="CV124" i="19"/>
  <c r="CW124" i="19"/>
  <c r="CX124" i="19"/>
  <c r="CY124" i="19"/>
  <c r="CZ124" i="19"/>
  <c r="DA124" i="19"/>
  <c r="DB124" i="19"/>
  <c r="DC124" i="19"/>
  <c r="DD124" i="19"/>
  <c r="DE124" i="19"/>
  <c r="DF124" i="19"/>
  <c r="DG124" i="19"/>
  <c r="DH124" i="19"/>
  <c r="DI124" i="19"/>
  <c r="DJ124" i="19"/>
  <c r="DK124" i="19"/>
  <c r="DL124" i="19"/>
  <c r="DM124" i="19"/>
  <c r="DN124" i="19"/>
  <c r="DO124" i="19"/>
  <c r="DP124" i="19"/>
  <c r="DQ124" i="19"/>
  <c r="DR124" i="19"/>
  <c r="DS124" i="19"/>
  <c r="DT124" i="19"/>
  <c r="DU124" i="19"/>
  <c r="DV124" i="19"/>
  <c r="DW124" i="19"/>
  <c r="DX124" i="19"/>
  <c r="DY124" i="19"/>
  <c r="DZ124" i="19"/>
  <c r="EA124" i="19"/>
  <c r="EB124" i="19"/>
  <c r="EC124" i="19"/>
  <c r="ED124" i="19"/>
  <c r="EE124" i="19"/>
  <c r="EF124" i="19"/>
  <c r="EG124" i="19"/>
  <c r="EH124" i="19"/>
  <c r="EI124" i="19"/>
  <c r="EJ124" i="19"/>
  <c r="EK124" i="19"/>
  <c r="EL124" i="19"/>
  <c r="EM124" i="19"/>
  <c r="EN124" i="19"/>
  <c r="EO124" i="19"/>
  <c r="EP124" i="19"/>
  <c r="EQ124" i="19"/>
  <c r="ER124" i="19"/>
  <c r="ES124" i="19"/>
  <c r="ET124" i="19"/>
  <c r="EU124" i="19"/>
  <c r="EV124" i="19"/>
  <c r="EW124" i="19"/>
  <c r="EX124" i="19"/>
  <c r="EY124" i="19"/>
  <c r="EZ124" i="19"/>
  <c r="FA124" i="19"/>
  <c r="FB124" i="19"/>
  <c r="FC124" i="19"/>
  <c r="FD124" i="19"/>
  <c r="FE124" i="19"/>
  <c r="FF124" i="19"/>
  <c r="FG124" i="19"/>
  <c r="FH124" i="19"/>
  <c r="FI124" i="19"/>
  <c r="FJ124" i="19"/>
  <c r="FK124" i="19"/>
  <c r="FL124" i="19"/>
  <c r="FM124" i="19"/>
  <c r="FN124" i="19"/>
  <c r="FO124" i="19"/>
  <c r="FP124" i="19"/>
  <c r="FQ124" i="19"/>
  <c r="FR124" i="19"/>
  <c r="FS124" i="19"/>
  <c r="FT124" i="19"/>
  <c r="FU124" i="19"/>
  <c r="FV124" i="19"/>
  <c r="FW124" i="19"/>
  <c r="FX124" i="19"/>
  <c r="FY124" i="19"/>
  <c r="FZ124" i="19"/>
  <c r="GA124" i="19"/>
  <c r="GB124" i="19"/>
  <c r="GC124" i="19"/>
  <c r="GD124" i="19"/>
  <c r="GE124" i="19"/>
  <c r="GF124" i="19"/>
  <c r="GG124" i="19"/>
  <c r="GH124" i="19"/>
  <c r="GI124" i="19"/>
  <c r="GJ124" i="19"/>
  <c r="GK124" i="19"/>
  <c r="GL124" i="19"/>
  <c r="GM124" i="19"/>
  <c r="GN124" i="19"/>
  <c r="GO124" i="19"/>
  <c r="GP124" i="19"/>
  <c r="GQ124" i="19"/>
  <c r="GR124" i="19"/>
  <c r="GS124" i="19"/>
  <c r="GT124" i="19"/>
  <c r="GU124" i="19"/>
  <c r="GV124" i="19"/>
  <c r="GW124" i="19"/>
  <c r="GX124" i="19"/>
  <c r="GY124" i="19"/>
  <c r="GZ124" i="19"/>
  <c r="HA124" i="19"/>
  <c r="HB124" i="19"/>
  <c r="HC124" i="19"/>
  <c r="HD124" i="19"/>
  <c r="HE124" i="19"/>
  <c r="HF124" i="19"/>
  <c r="HG124" i="19"/>
  <c r="HH124" i="19"/>
  <c r="HI124" i="19"/>
  <c r="HJ124" i="19"/>
  <c r="HK124" i="19"/>
  <c r="HL124" i="19"/>
  <c r="HM124" i="19"/>
  <c r="HN124" i="19"/>
  <c r="HO124" i="19"/>
  <c r="HP124" i="19"/>
  <c r="HQ124" i="19"/>
  <c r="HR124" i="19"/>
  <c r="HS124" i="19"/>
  <c r="HT124" i="19"/>
  <c r="HU124" i="19"/>
  <c r="HV124" i="19"/>
  <c r="HW124" i="19"/>
  <c r="HX124" i="19"/>
  <c r="HY124" i="19"/>
  <c r="HZ124" i="19"/>
  <c r="IA124" i="19"/>
  <c r="IB124" i="19"/>
  <c r="IC124" i="19"/>
  <c r="ID124" i="19"/>
  <c r="IE124" i="19"/>
  <c r="IF124" i="19"/>
  <c r="IG124" i="19"/>
  <c r="IH124" i="19"/>
  <c r="II124" i="19"/>
  <c r="IJ124" i="19"/>
  <c r="IK124" i="19"/>
  <c r="IL124" i="19"/>
  <c r="IM124" i="19"/>
  <c r="IN124" i="19"/>
  <c r="IO124" i="19"/>
  <c r="IP124" i="19"/>
  <c r="IQ124" i="19"/>
  <c r="IR124" i="19"/>
  <c r="IS124" i="19"/>
  <c r="IT124" i="19"/>
  <c r="IU124" i="19"/>
  <c r="IV124" i="19"/>
  <c r="F125" i="19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T125" i="19"/>
  <c r="U125" i="19"/>
  <c r="V125" i="19"/>
  <c r="W125" i="19"/>
  <c r="X125" i="19"/>
  <c r="Y125" i="19"/>
  <c r="Z125" i="19"/>
  <c r="AA125" i="19"/>
  <c r="AB125" i="19"/>
  <c r="AC125" i="19"/>
  <c r="AD125" i="19"/>
  <c r="AE125" i="19"/>
  <c r="AF125" i="19"/>
  <c r="AG125" i="19"/>
  <c r="AH125" i="19"/>
  <c r="AI125" i="19"/>
  <c r="AJ125" i="19"/>
  <c r="AK125" i="19"/>
  <c r="AL125" i="19"/>
  <c r="AM125" i="19"/>
  <c r="AN125" i="19"/>
  <c r="AO125" i="19"/>
  <c r="AP125" i="19"/>
  <c r="AQ125" i="19"/>
  <c r="AR125" i="19"/>
  <c r="AS125" i="19"/>
  <c r="AT125" i="19"/>
  <c r="AU125" i="19"/>
  <c r="AV125" i="19"/>
  <c r="AW125" i="19"/>
  <c r="AX125" i="19"/>
  <c r="AY125" i="19"/>
  <c r="AZ125" i="19"/>
  <c r="BA125" i="19"/>
  <c r="BB125" i="19"/>
  <c r="BC125" i="19"/>
  <c r="BD125" i="19"/>
  <c r="BE125" i="19"/>
  <c r="BF125" i="19"/>
  <c r="BG125" i="19"/>
  <c r="BH125" i="19"/>
  <c r="BI125" i="19"/>
  <c r="BJ125" i="19"/>
  <c r="BK125" i="19"/>
  <c r="BL125" i="19"/>
  <c r="BM125" i="19"/>
  <c r="BN125" i="19"/>
  <c r="BO125" i="19"/>
  <c r="BP125" i="19"/>
  <c r="BQ125" i="19"/>
  <c r="BR125" i="19"/>
  <c r="BS125" i="19"/>
  <c r="BT125" i="19"/>
  <c r="BU125" i="19"/>
  <c r="BV125" i="19"/>
  <c r="BW125" i="19"/>
  <c r="BX125" i="19"/>
  <c r="BY125" i="19"/>
  <c r="BZ125" i="19"/>
  <c r="CA125" i="19"/>
  <c r="CB125" i="19"/>
  <c r="CC125" i="19"/>
  <c r="CD125" i="19"/>
  <c r="CE125" i="19"/>
  <c r="CF125" i="19"/>
  <c r="CG125" i="19"/>
  <c r="CH125" i="19"/>
  <c r="CI125" i="19"/>
  <c r="CJ125" i="19"/>
  <c r="CK125" i="19"/>
  <c r="CL125" i="19"/>
  <c r="CM125" i="19"/>
  <c r="CN125" i="19"/>
  <c r="CO125" i="19"/>
  <c r="CP125" i="19"/>
  <c r="CQ125" i="19"/>
  <c r="CR125" i="19"/>
  <c r="CS125" i="19"/>
  <c r="CT125" i="19"/>
  <c r="CU125" i="19"/>
  <c r="CV125" i="19"/>
  <c r="CW125" i="19"/>
  <c r="CX125" i="19"/>
  <c r="CY125" i="19"/>
  <c r="CZ125" i="19"/>
  <c r="DA125" i="19"/>
  <c r="DB125" i="19"/>
  <c r="DC125" i="19"/>
  <c r="DD125" i="19"/>
  <c r="DE125" i="19"/>
  <c r="DF125" i="19"/>
  <c r="DG125" i="19"/>
  <c r="DH125" i="19"/>
  <c r="DI125" i="19"/>
  <c r="DJ125" i="19"/>
  <c r="DK125" i="19"/>
  <c r="DL125" i="19"/>
  <c r="DM125" i="19"/>
  <c r="DN125" i="19"/>
  <c r="DO125" i="19"/>
  <c r="DP125" i="19"/>
  <c r="DQ125" i="19"/>
  <c r="DR125" i="19"/>
  <c r="DS125" i="19"/>
  <c r="DT125" i="19"/>
  <c r="DU125" i="19"/>
  <c r="DV125" i="19"/>
  <c r="DW125" i="19"/>
  <c r="DX125" i="19"/>
  <c r="DY125" i="19"/>
  <c r="DZ125" i="19"/>
  <c r="EA125" i="19"/>
  <c r="EB125" i="19"/>
  <c r="EC125" i="19"/>
  <c r="ED125" i="19"/>
  <c r="EE125" i="19"/>
  <c r="EF125" i="19"/>
  <c r="EG125" i="19"/>
  <c r="EH125" i="19"/>
  <c r="EI125" i="19"/>
  <c r="EJ125" i="19"/>
  <c r="EK125" i="19"/>
  <c r="EL125" i="19"/>
  <c r="EM125" i="19"/>
  <c r="EN125" i="19"/>
  <c r="EO125" i="19"/>
  <c r="EP125" i="19"/>
  <c r="EQ125" i="19"/>
  <c r="ER125" i="19"/>
  <c r="ES125" i="19"/>
  <c r="ET125" i="19"/>
  <c r="EU125" i="19"/>
  <c r="EV125" i="19"/>
  <c r="EW125" i="19"/>
  <c r="EX125" i="19"/>
  <c r="EY125" i="19"/>
  <c r="EZ125" i="19"/>
  <c r="FA125" i="19"/>
  <c r="FB125" i="19"/>
  <c r="FC125" i="19"/>
  <c r="FD125" i="19"/>
  <c r="FE125" i="19"/>
  <c r="FF125" i="19"/>
  <c r="FG125" i="19"/>
  <c r="FH125" i="19"/>
  <c r="FI125" i="19"/>
  <c r="FJ125" i="19"/>
  <c r="FK125" i="19"/>
  <c r="FL125" i="19"/>
  <c r="FM125" i="19"/>
  <c r="FN125" i="19"/>
  <c r="FO125" i="19"/>
  <c r="FP125" i="19"/>
  <c r="FQ125" i="19"/>
  <c r="FR125" i="19"/>
  <c r="FS125" i="19"/>
  <c r="FT125" i="19"/>
  <c r="FU125" i="19"/>
  <c r="FV125" i="19"/>
  <c r="FW125" i="19"/>
  <c r="FX125" i="19"/>
  <c r="FY125" i="19"/>
  <c r="FZ125" i="19"/>
  <c r="GA125" i="19"/>
  <c r="GB125" i="19"/>
  <c r="GC125" i="19"/>
  <c r="GD125" i="19"/>
  <c r="GE125" i="19"/>
  <c r="GF125" i="19"/>
  <c r="GG125" i="19"/>
  <c r="GH125" i="19"/>
  <c r="GI125" i="19"/>
  <c r="GJ125" i="19"/>
  <c r="GK125" i="19"/>
  <c r="GL125" i="19"/>
  <c r="GM125" i="19"/>
  <c r="GN125" i="19"/>
  <c r="GO125" i="19"/>
  <c r="GP125" i="19"/>
  <c r="GQ125" i="19"/>
  <c r="GR125" i="19"/>
  <c r="GS125" i="19"/>
  <c r="GT125" i="19"/>
  <c r="GU125" i="19"/>
  <c r="GV125" i="19"/>
  <c r="GW125" i="19"/>
  <c r="GX125" i="19"/>
  <c r="GY125" i="19"/>
  <c r="GZ125" i="19"/>
  <c r="HA125" i="19"/>
  <c r="HB125" i="19"/>
  <c r="HC125" i="19"/>
  <c r="HD125" i="19"/>
  <c r="HE125" i="19"/>
  <c r="HF125" i="19"/>
  <c r="HG125" i="19"/>
  <c r="HH125" i="19"/>
  <c r="HI125" i="19"/>
  <c r="HJ125" i="19"/>
  <c r="HK125" i="19"/>
  <c r="HL125" i="19"/>
  <c r="HM125" i="19"/>
  <c r="HN125" i="19"/>
  <c r="HO125" i="19"/>
  <c r="HP125" i="19"/>
  <c r="HQ125" i="19"/>
  <c r="HR125" i="19"/>
  <c r="HS125" i="19"/>
  <c r="HT125" i="19"/>
  <c r="HU125" i="19"/>
  <c r="HV125" i="19"/>
  <c r="HW125" i="19"/>
  <c r="HX125" i="19"/>
  <c r="HY125" i="19"/>
  <c r="HZ125" i="19"/>
  <c r="IA125" i="19"/>
  <c r="IB125" i="19"/>
  <c r="IC125" i="19"/>
  <c r="ID125" i="19"/>
  <c r="IE125" i="19"/>
  <c r="IF125" i="19"/>
  <c r="IG125" i="19"/>
  <c r="IH125" i="19"/>
  <c r="II125" i="19"/>
  <c r="IJ125" i="19"/>
  <c r="IK125" i="19"/>
  <c r="IL125" i="19"/>
  <c r="IM125" i="19"/>
  <c r="IN125" i="19"/>
  <c r="IO125" i="19"/>
  <c r="IP125" i="19"/>
  <c r="IQ125" i="19"/>
  <c r="IR125" i="19"/>
  <c r="IS125" i="19"/>
  <c r="IT125" i="19"/>
  <c r="IU125" i="19"/>
  <c r="IV125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AD126" i="19"/>
  <c r="AE126" i="19"/>
  <c r="AF126" i="19"/>
  <c r="AG126" i="19"/>
  <c r="AH126" i="19"/>
  <c r="AI126" i="19"/>
  <c r="AJ126" i="19"/>
  <c r="AK126" i="19"/>
  <c r="AL126" i="19"/>
  <c r="AM126" i="19"/>
  <c r="AN126" i="19"/>
  <c r="AO126" i="19"/>
  <c r="AP126" i="19"/>
  <c r="AQ126" i="19"/>
  <c r="AR126" i="19"/>
  <c r="AS126" i="19"/>
  <c r="AT126" i="19"/>
  <c r="AU126" i="19"/>
  <c r="AV126" i="19"/>
  <c r="AW126" i="19"/>
  <c r="AX126" i="19"/>
  <c r="AY126" i="19"/>
  <c r="AZ126" i="19"/>
  <c r="BA126" i="19"/>
  <c r="BB126" i="19"/>
  <c r="BC126" i="19"/>
  <c r="BD126" i="19"/>
  <c r="BE126" i="19"/>
  <c r="BF126" i="19"/>
  <c r="BG126" i="19"/>
  <c r="BH126" i="19"/>
  <c r="BI126" i="19"/>
  <c r="BJ126" i="19"/>
  <c r="BK126" i="19"/>
  <c r="BL126" i="19"/>
  <c r="BM126" i="19"/>
  <c r="BN126" i="19"/>
  <c r="BO126" i="19"/>
  <c r="BP126" i="19"/>
  <c r="BQ126" i="19"/>
  <c r="BR126" i="19"/>
  <c r="BS126" i="19"/>
  <c r="BT126" i="19"/>
  <c r="BU126" i="19"/>
  <c r="BV126" i="19"/>
  <c r="BW126" i="19"/>
  <c r="BX126" i="19"/>
  <c r="BY126" i="19"/>
  <c r="BZ126" i="19"/>
  <c r="CA126" i="19"/>
  <c r="CB126" i="19"/>
  <c r="CC126" i="19"/>
  <c r="CD126" i="19"/>
  <c r="CE126" i="19"/>
  <c r="CF126" i="19"/>
  <c r="CG126" i="19"/>
  <c r="CH126" i="19"/>
  <c r="CI126" i="19"/>
  <c r="CJ126" i="19"/>
  <c r="CK126" i="19"/>
  <c r="CL126" i="19"/>
  <c r="CM126" i="19"/>
  <c r="CN126" i="19"/>
  <c r="CO126" i="19"/>
  <c r="CP126" i="19"/>
  <c r="CQ126" i="19"/>
  <c r="CR126" i="19"/>
  <c r="CS126" i="19"/>
  <c r="CT126" i="19"/>
  <c r="CU126" i="19"/>
  <c r="CV126" i="19"/>
  <c r="CW126" i="19"/>
  <c r="CX126" i="19"/>
  <c r="CY126" i="19"/>
  <c r="CZ126" i="19"/>
  <c r="DA126" i="19"/>
  <c r="DB126" i="19"/>
  <c r="DC126" i="19"/>
  <c r="DD126" i="19"/>
  <c r="DE126" i="19"/>
  <c r="DF126" i="19"/>
  <c r="DG126" i="19"/>
  <c r="DH126" i="19"/>
  <c r="DI126" i="19"/>
  <c r="DJ126" i="19"/>
  <c r="DK126" i="19"/>
  <c r="DL126" i="19"/>
  <c r="DM126" i="19"/>
  <c r="DN126" i="19"/>
  <c r="DO126" i="19"/>
  <c r="DP126" i="19"/>
  <c r="DQ126" i="19"/>
  <c r="DR126" i="19"/>
  <c r="DS126" i="19"/>
  <c r="DT126" i="19"/>
  <c r="DU126" i="19"/>
  <c r="DV126" i="19"/>
  <c r="DW126" i="19"/>
  <c r="DX126" i="19"/>
  <c r="DY126" i="19"/>
  <c r="DZ126" i="19"/>
  <c r="EA126" i="19"/>
  <c r="EB126" i="19"/>
  <c r="EC126" i="19"/>
  <c r="ED126" i="19"/>
  <c r="EE126" i="19"/>
  <c r="EF126" i="19"/>
  <c r="EG126" i="19"/>
  <c r="EH126" i="19"/>
  <c r="EI126" i="19"/>
  <c r="EJ126" i="19"/>
  <c r="EK126" i="19"/>
  <c r="EL126" i="19"/>
  <c r="EM126" i="19"/>
  <c r="EN126" i="19"/>
  <c r="EO126" i="19"/>
  <c r="EP126" i="19"/>
  <c r="EQ126" i="19"/>
  <c r="ER126" i="19"/>
  <c r="ES126" i="19"/>
  <c r="ET126" i="19"/>
  <c r="EU126" i="19"/>
  <c r="EV126" i="19"/>
  <c r="EW126" i="19"/>
  <c r="EX126" i="19"/>
  <c r="EY126" i="19"/>
  <c r="EZ126" i="19"/>
  <c r="FA126" i="19"/>
  <c r="FB126" i="19"/>
  <c r="FC126" i="19"/>
  <c r="FD126" i="19"/>
  <c r="FE126" i="19"/>
  <c r="FF126" i="19"/>
  <c r="FG126" i="19"/>
  <c r="FH126" i="19"/>
  <c r="FI126" i="19"/>
  <c r="FJ126" i="19"/>
  <c r="FK126" i="19"/>
  <c r="FL126" i="19"/>
  <c r="FM126" i="19"/>
  <c r="FN126" i="19"/>
  <c r="FO126" i="19"/>
  <c r="FP126" i="19"/>
  <c r="FQ126" i="19"/>
  <c r="FR126" i="19"/>
  <c r="FS126" i="19"/>
  <c r="FT126" i="19"/>
  <c r="FU126" i="19"/>
  <c r="FV126" i="19"/>
  <c r="FW126" i="19"/>
  <c r="FX126" i="19"/>
  <c r="FY126" i="19"/>
  <c r="FZ126" i="19"/>
  <c r="GA126" i="19"/>
  <c r="GB126" i="19"/>
  <c r="GC126" i="19"/>
  <c r="GD126" i="19"/>
  <c r="GE126" i="19"/>
  <c r="GF126" i="19"/>
  <c r="GG126" i="19"/>
  <c r="GH126" i="19"/>
  <c r="GI126" i="19"/>
  <c r="GJ126" i="19"/>
  <c r="GK126" i="19"/>
  <c r="GL126" i="19"/>
  <c r="GM126" i="19"/>
  <c r="GN126" i="19"/>
  <c r="GO126" i="19"/>
  <c r="GP126" i="19"/>
  <c r="GQ126" i="19"/>
  <c r="GR126" i="19"/>
  <c r="GS126" i="19"/>
  <c r="GT126" i="19"/>
  <c r="GU126" i="19"/>
  <c r="GV126" i="19"/>
  <c r="GW126" i="19"/>
  <c r="GX126" i="19"/>
  <c r="GY126" i="19"/>
  <c r="GZ126" i="19"/>
  <c r="HA126" i="19"/>
  <c r="HB126" i="19"/>
  <c r="HC126" i="19"/>
  <c r="HD126" i="19"/>
  <c r="HE126" i="19"/>
  <c r="HF126" i="19"/>
  <c r="HG126" i="19"/>
  <c r="HH126" i="19"/>
  <c r="HI126" i="19"/>
  <c r="HJ126" i="19"/>
  <c r="HK126" i="19"/>
  <c r="HL126" i="19"/>
  <c r="HM126" i="19"/>
  <c r="HN126" i="19"/>
  <c r="HO126" i="19"/>
  <c r="HP126" i="19"/>
  <c r="HQ126" i="19"/>
  <c r="HR126" i="19"/>
  <c r="HS126" i="19"/>
  <c r="HT126" i="19"/>
  <c r="HU126" i="19"/>
  <c r="HV126" i="19"/>
  <c r="HW126" i="19"/>
  <c r="HX126" i="19"/>
  <c r="HY126" i="19"/>
  <c r="HZ126" i="19"/>
  <c r="IA126" i="19"/>
  <c r="IB126" i="19"/>
  <c r="IC126" i="19"/>
  <c r="ID126" i="19"/>
  <c r="IE126" i="19"/>
  <c r="IF126" i="19"/>
  <c r="IG126" i="19"/>
  <c r="IH126" i="19"/>
  <c r="II126" i="19"/>
  <c r="IJ126" i="19"/>
  <c r="IK126" i="19"/>
  <c r="IL126" i="19"/>
  <c r="IM126" i="19"/>
  <c r="IN126" i="19"/>
  <c r="IO126" i="19"/>
  <c r="IP126" i="19"/>
  <c r="IQ126" i="19"/>
  <c r="IR126" i="19"/>
  <c r="IS126" i="19"/>
  <c r="IT126" i="19"/>
  <c r="IU126" i="19"/>
  <c r="IV126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AD127" i="19"/>
  <c r="AE127" i="19"/>
  <c r="AF127" i="19"/>
  <c r="AG127" i="19"/>
  <c r="AH127" i="19"/>
  <c r="AI127" i="19"/>
  <c r="AJ127" i="19"/>
  <c r="AK127" i="19"/>
  <c r="AL127" i="19"/>
  <c r="AM127" i="19"/>
  <c r="AN127" i="19"/>
  <c r="AO127" i="19"/>
  <c r="AP127" i="19"/>
  <c r="AQ127" i="19"/>
  <c r="AR127" i="19"/>
  <c r="AS127" i="19"/>
  <c r="AT127" i="19"/>
  <c r="AU127" i="19"/>
  <c r="AV127" i="19"/>
  <c r="AW127" i="19"/>
  <c r="AX127" i="19"/>
  <c r="AY127" i="19"/>
  <c r="AZ127" i="19"/>
  <c r="BA127" i="19"/>
  <c r="BB127" i="19"/>
  <c r="BC127" i="19"/>
  <c r="BD127" i="19"/>
  <c r="BE127" i="19"/>
  <c r="BF127" i="19"/>
  <c r="BG127" i="19"/>
  <c r="BH127" i="19"/>
  <c r="BI127" i="19"/>
  <c r="BJ127" i="19"/>
  <c r="BK127" i="19"/>
  <c r="BL127" i="19"/>
  <c r="BM127" i="19"/>
  <c r="BN127" i="19"/>
  <c r="BO127" i="19"/>
  <c r="BP127" i="19"/>
  <c r="BQ127" i="19"/>
  <c r="BR127" i="19"/>
  <c r="BS127" i="19"/>
  <c r="BT127" i="19"/>
  <c r="BU127" i="19"/>
  <c r="BV127" i="19"/>
  <c r="BW127" i="19"/>
  <c r="BX127" i="19"/>
  <c r="BY127" i="19"/>
  <c r="BZ127" i="19"/>
  <c r="CA127" i="19"/>
  <c r="CB127" i="19"/>
  <c r="CC127" i="19"/>
  <c r="CD127" i="19"/>
  <c r="CE127" i="19"/>
  <c r="CF127" i="19"/>
  <c r="CG127" i="19"/>
  <c r="CH127" i="19"/>
  <c r="CI127" i="19"/>
  <c r="CJ127" i="19"/>
  <c r="CK127" i="19"/>
  <c r="CL127" i="19"/>
  <c r="CM127" i="19"/>
  <c r="CN127" i="19"/>
  <c r="CO127" i="19"/>
  <c r="CP127" i="19"/>
  <c r="CQ127" i="19"/>
  <c r="CR127" i="19"/>
  <c r="CS127" i="19"/>
  <c r="CT127" i="19"/>
  <c r="CU127" i="19"/>
  <c r="CV127" i="19"/>
  <c r="CW127" i="19"/>
  <c r="CX127" i="19"/>
  <c r="CY127" i="19"/>
  <c r="CZ127" i="19"/>
  <c r="DA127" i="19"/>
  <c r="DB127" i="19"/>
  <c r="DC127" i="19"/>
  <c r="DD127" i="19"/>
  <c r="DE127" i="19"/>
  <c r="DF127" i="19"/>
  <c r="DG127" i="19"/>
  <c r="DH127" i="19"/>
  <c r="DI127" i="19"/>
  <c r="DJ127" i="19"/>
  <c r="DK127" i="19"/>
  <c r="DL127" i="19"/>
  <c r="DM127" i="19"/>
  <c r="DN127" i="19"/>
  <c r="DO127" i="19"/>
  <c r="DP127" i="19"/>
  <c r="DQ127" i="19"/>
  <c r="DR127" i="19"/>
  <c r="DS127" i="19"/>
  <c r="DT127" i="19"/>
  <c r="DU127" i="19"/>
  <c r="DV127" i="19"/>
  <c r="DW127" i="19"/>
  <c r="DX127" i="19"/>
  <c r="DY127" i="19"/>
  <c r="DZ127" i="19"/>
  <c r="EA127" i="19"/>
  <c r="EB127" i="19"/>
  <c r="EC127" i="19"/>
  <c r="ED127" i="19"/>
  <c r="EE127" i="19"/>
  <c r="EF127" i="19"/>
  <c r="EG127" i="19"/>
  <c r="EH127" i="19"/>
  <c r="EI127" i="19"/>
  <c r="EJ127" i="19"/>
  <c r="EK127" i="19"/>
  <c r="EL127" i="19"/>
  <c r="EM127" i="19"/>
  <c r="EN127" i="19"/>
  <c r="EO127" i="19"/>
  <c r="EP127" i="19"/>
  <c r="EQ127" i="19"/>
  <c r="ER127" i="19"/>
  <c r="ES127" i="19"/>
  <c r="ET127" i="19"/>
  <c r="EU127" i="19"/>
  <c r="EV127" i="19"/>
  <c r="EW127" i="19"/>
  <c r="EX127" i="19"/>
  <c r="EY127" i="19"/>
  <c r="EZ127" i="19"/>
  <c r="FA127" i="19"/>
  <c r="FB127" i="19"/>
  <c r="FC127" i="19"/>
  <c r="FD127" i="19"/>
  <c r="FE127" i="19"/>
  <c r="FF127" i="19"/>
  <c r="FG127" i="19"/>
  <c r="FH127" i="19"/>
  <c r="FI127" i="19"/>
  <c r="FJ127" i="19"/>
  <c r="FK127" i="19"/>
  <c r="FL127" i="19"/>
  <c r="FM127" i="19"/>
  <c r="FN127" i="19"/>
  <c r="FO127" i="19"/>
  <c r="FP127" i="19"/>
  <c r="FQ127" i="19"/>
  <c r="FR127" i="19"/>
  <c r="FS127" i="19"/>
  <c r="FT127" i="19"/>
  <c r="FU127" i="19"/>
  <c r="FV127" i="19"/>
  <c r="FW127" i="19"/>
  <c r="FX127" i="19"/>
  <c r="FY127" i="19"/>
  <c r="FZ127" i="19"/>
  <c r="GA127" i="19"/>
  <c r="GB127" i="19"/>
  <c r="GC127" i="19"/>
  <c r="GD127" i="19"/>
  <c r="GE127" i="19"/>
  <c r="GF127" i="19"/>
  <c r="GG127" i="19"/>
  <c r="GH127" i="19"/>
  <c r="GI127" i="19"/>
  <c r="GJ127" i="19"/>
  <c r="GK127" i="19"/>
  <c r="GL127" i="19"/>
  <c r="GM127" i="19"/>
  <c r="GN127" i="19"/>
  <c r="GO127" i="19"/>
  <c r="GP127" i="19"/>
  <c r="GQ127" i="19"/>
  <c r="GR127" i="19"/>
  <c r="GS127" i="19"/>
  <c r="GT127" i="19"/>
  <c r="GU127" i="19"/>
  <c r="GV127" i="19"/>
  <c r="GW127" i="19"/>
  <c r="GX127" i="19"/>
  <c r="GY127" i="19"/>
  <c r="GZ127" i="19"/>
  <c r="HA127" i="19"/>
  <c r="HB127" i="19"/>
  <c r="HC127" i="19"/>
  <c r="HD127" i="19"/>
  <c r="HE127" i="19"/>
  <c r="HF127" i="19"/>
  <c r="HG127" i="19"/>
  <c r="HH127" i="19"/>
  <c r="HI127" i="19"/>
  <c r="HJ127" i="19"/>
  <c r="HK127" i="19"/>
  <c r="HL127" i="19"/>
  <c r="HM127" i="19"/>
  <c r="HN127" i="19"/>
  <c r="HO127" i="19"/>
  <c r="HP127" i="19"/>
  <c r="HQ127" i="19"/>
  <c r="HR127" i="19"/>
  <c r="HS127" i="19"/>
  <c r="HT127" i="19"/>
  <c r="HU127" i="19"/>
  <c r="HV127" i="19"/>
  <c r="HW127" i="19"/>
  <c r="HX127" i="19"/>
  <c r="HY127" i="19"/>
  <c r="HZ127" i="19"/>
  <c r="IA127" i="19"/>
  <c r="IB127" i="19"/>
  <c r="IC127" i="19"/>
  <c r="ID127" i="19"/>
  <c r="IE127" i="19"/>
  <c r="IF127" i="19"/>
  <c r="IG127" i="19"/>
  <c r="IH127" i="19"/>
  <c r="II127" i="19"/>
  <c r="IJ127" i="19"/>
  <c r="IK127" i="19"/>
  <c r="IL127" i="19"/>
  <c r="IM127" i="19"/>
  <c r="IN127" i="19"/>
  <c r="IO127" i="19"/>
  <c r="IP127" i="19"/>
  <c r="IQ127" i="19"/>
  <c r="IR127" i="19"/>
  <c r="IS127" i="19"/>
  <c r="IT127" i="19"/>
  <c r="IU127" i="19"/>
  <c r="IV127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AF128" i="19"/>
  <c r="AG128" i="19"/>
  <c r="AH128" i="19"/>
  <c r="AI128" i="19"/>
  <c r="AJ128" i="19"/>
  <c r="AK128" i="19"/>
  <c r="AL128" i="19"/>
  <c r="AM128" i="19"/>
  <c r="AN128" i="19"/>
  <c r="AO128" i="19"/>
  <c r="AP128" i="19"/>
  <c r="AQ128" i="19"/>
  <c r="AR128" i="19"/>
  <c r="AS128" i="19"/>
  <c r="AT128" i="19"/>
  <c r="AU128" i="19"/>
  <c r="AV128" i="19"/>
  <c r="AW128" i="19"/>
  <c r="AX128" i="19"/>
  <c r="AY128" i="19"/>
  <c r="AZ128" i="19"/>
  <c r="BA128" i="19"/>
  <c r="BB128" i="19"/>
  <c r="BC128" i="19"/>
  <c r="BD128" i="19"/>
  <c r="BE128" i="19"/>
  <c r="BF128" i="19"/>
  <c r="BG128" i="19"/>
  <c r="BH128" i="19"/>
  <c r="BI128" i="19"/>
  <c r="BJ128" i="19"/>
  <c r="BK128" i="19"/>
  <c r="BL128" i="19"/>
  <c r="BM128" i="19"/>
  <c r="BN128" i="19"/>
  <c r="BO128" i="19"/>
  <c r="BP128" i="19"/>
  <c r="BQ128" i="19"/>
  <c r="BR128" i="19"/>
  <c r="BS128" i="19"/>
  <c r="BT128" i="19"/>
  <c r="BU128" i="19"/>
  <c r="BV128" i="19"/>
  <c r="BW128" i="19"/>
  <c r="BX128" i="19"/>
  <c r="BY128" i="19"/>
  <c r="BZ128" i="19"/>
  <c r="CA128" i="19"/>
  <c r="CB128" i="19"/>
  <c r="CC128" i="19"/>
  <c r="CD128" i="19"/>
  <c r="CE128" i="19"/>
  <c r="CF128" i="19"/>
  <c r="CG128" i="19"/>
  <c r="CH128" i="19"/>
  <c r="CI128" i="19"/>
  <c r="CJ128" i="19"/>
  <c r="CK128" i="19"/>
  <c r="CL128" i="19"/>
  <c r="CM128" i="19"/>
  <c r="CN128" i="19"/>
  <c r="CO128" i="19"/>
  <c r="CP128" i="19"/>
  <c r="CQ128" i="19"/>
  <c r="CR128" i="19"/>
  <c r="CS128" i="19"/>
  <c r="CT128" i="19"/>
  <c r="CU128" i="19"/>
  <c r="CV128" i="19"/>
  <c r="CW128" i="19"/>
  <c r="CX128" i="19"/>
  <c r="CY128" i="19"/>
  <c r="CZ128" i="19"/>
  <c r="DA128" i="19"/>
  <c r="DB128" i="19"/>
  <c r="DC128" i="19"/>
  <c r="DD128" i="19"/>
  <c r="DE128" i="19"/>
  <c r="DF128" i="19"/>
  <c r="DG128" i="19"/>
  <c r="DH128" i="19"/>
  <c r="DI128" i="19"/>
  <c r="DJ128" i="19"/>
  <c r="DK128" i="19"/>
  <c r="DL128" i="19"/>
  <c r="DM128" i="19"/>
  <c r="DN128" i="19"/>
  <c r="DO128" i="19"/>
  <c r="DP128" i="19"/>
  <c r="DQ128" i="19"/>
  <c r="DR128" i="19"/>
  <c r="DS128" i="19"/>
  <c r="DT128" i="19"/>
  <c r="DU128" i="19"/>
  <c r="DV128" i="19"/>
  <c r="DW128" i="19"/>
  <c r="DX128" i="19"/>
  <c r="DY128" i="19"/>
  <c r="DZ128" i="19"/>
  <c r="EA128" i="19"/>
  <c r="EB128" i="19"/>
  <c r="EC128" i="19"/>
  <c r="ED128" i="19"/>
  <c r="EE128" i="19"/>
  <c r="EF128" i="19"/>
  <c r="EG128" i="19"/>
  <c r="EH128" i="19"/>
  <c r="EI128" i="19"/>
  <c r="EJ128" i="19"/>
  <c r="EK128" i="19"/>
  <c r="EL128" i="19"/>
  <c r="EM128" i="19"/>
  <c r="EN128" i="19"/>
  <c r="EO128" i="19"/>
  <c r="EP128" i="19"/>
  <c r="EQ128" i="19"/>
  <c r="ER128" i="19"/>
  <c r="ES128" i="19"/>
  <c r="ET128" i="19"/>
  <c r="EU128" i="19"/>
  <c r="EV128" i="19"/>
  <c r="EW128" i="19"/>
  <c r="EX128" i="19"/>
  <c r="EY128" i="19"/>
  <c r="EZ128" i="19"/>
  <c r="FA128" i="19"/>
  <c r="FB128" i="19"/>
  <c r="FC128" i="19"/>
  <c r="FD128" i="19"/>
  <c r="FE128" i="19"/>
  <c r="FF128" i="19"/>
  <c r="FG128" i="19"/>
  <c r="FH128" i="19"/>
  <c r="FI128" i="19"/>
  <c r="FJ128" i="19"/>
  <c r="FK128" i="19"/>
  <c r="FL128" i="19"/>
  <c r="FM128" i="19"/>
  <c r="FN128" i="19"/>
  <c r="FO128" i="19"/>
  <c r="FP128" i="19"/>
  <c r="FQ128" i="19"/>
  <c r="FR128" i="19"/>
  <c r="FS128" i="19"/>
  <c r="FT128" i="19"/>
  <c r="FU128" i="19"/>
  <c r="FV128" i="19"/>
  <c r="FW128" i="19"/>
  <c r="FX128" i="19"/>
  <c r="FY128" i="19"/>
  <c r="FZ128" i="19"/>
  <c r="GA128" i="19"/>
  <c r="GB128" i="19"/>
  <c r="GC128" i="19"/>
  <c r="GD128" i="19"/>
  <c r="GE128" i="19"/>
  <c r="GF128" i="19"/>
  <c r="GG128" i="19"/>
  <c r="GH128" i="19"/>
  <c r="GI128" i="19"/>
  <c r="GJ128" i="19"/>
  <c r="GK128" i="19"/>
  <c r="GL128" i="19"/>
  <c r="GM128" i="19"/>
  <c r="GN128" i="19"/>
  <c r="GO128" i="19"/>
  <c r="GP128" i="19"/>
  <c r="GQ128" i="19"/>
  <c r="GR128" i="19"/>
  <c r="GS128" i="19"/>
  <c r="GT128" i="19"/>
  <c r="GU128" i="19"/>
  <c r="GV128" i="19"/>
  <c r="GW128" i="19"/>
  <c r="GX128" i="19"/>
  <c r="GY128" i="19"/>
  <c r="GZ128" i="19"/>
  <c r="HA128" i="19"/>
  <c r="HB128" i="19"/>
  <c r="HC128" i="19"/>
  <c r="HD128" i="19"/>
  <c r="HE128" i="19"/>
  <c r="HF128" i="19"/>
  <c r="HG128" i="19"/>
  <c r="HH128" i="19"/>
  <c r="HI128" i="19"/>
  <c r="HJ128" i="19"/>
  <c r="HK128" i="19"/>
  <c r="HL128" i="19"/>
  <c r="HM128" i="19"/>
  <c r="HN128" i="19"/>
  <c r="HO128" i="19"/>
  <c r="HP128" i="19"/>
  <c r="HQ128" i="19"/>
  <c r="HR128" i="19"/>
  <c r="HS128" i="19"/>
  <c r="HT128" i="19"/>
  <c r="HU128" i="19"/>
  <c r="HV128" i="19"/>
  <c r="HW128" i="19"/>
  <c r="HX128" i="19"/>
  <c r="HY128" i="19"/>
  <c r="HZ128" i="19"/>
  <c r="IA128" i="19"/>
  <c r="IB128" i="19"/>
  <c r="IC128" i="19"/>
  <c r="ID128" i="19"/>
  <c r="IE128" i="19"/>
  <c r="IF128" i="19"/>
  <c r="IG128" i="19"/>
  <c r="IH128" i="19"/>
  <c r="II128" i="19"/>
  <c r="IJ128" i="19"/>
  <c r="IK128" i="19"/>
  <c r="IL128" i="19"/>
  <c r="IM128" i="19"/>
  <c r="IN128" i="19"/>
  <c r="IO128" i="19"/>
  <c r="IP128" i="19"/>
  <c r="IQ128" i="19"/>
  <c r="IR128" i="19"/>
  <c r="IS128" i="19"/>
  <c r="IT128" i="19"/>
  <c r="IU128" i="19"/>
  <c r="IV128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T129" i="19"/>
  <c r="U129" i="19"/>
  <c r="V129" i="19"/>
  <c r="W129" i="19"/>
  <c r="X129" i="19"/>
  <c r="Y129" i="19"/>
  <c r="Z129" i="19"/>
  <c r="AA129" i="19"/>
  <c r="AB129" i="19"/>
  <c r="AC129" i="19"/>
  <c r="AD129" i="19"/>
  <c r="AE129" i="19"/>
  <c r="AF129" i="19"/>
  <c r="AG129" i="19"/>
  <c r="AH129" i="19"/>
  <c r="AI129" i="19"/>
  <c r="AJ129" i="19"/>
  <c r="AK129" i="19"/>
  <c r="AL129" i="19"/>
  <c r="AM129" i="19"/>
  <c r="AN129" i="19"/>
  <c r="AO129" i="19"/>
  <c r="AP129" i="19"/>
  <c r="AQ129" i="19"/>
  <c r="AR129" i="19"/>
  <c r="AS129" i="19"/>
  <c r="AT129" i="19"/>
  <c r="AU129" i="19"/>
  <c r="AV129" i="19"/>
  <c r="AW129" i="19"/>
  <c r="AX129" i="19"/>
  <c r="AY129" i="19"/>
  <c r="AZ129" i="19"/>
  <c r="BA129" i="19"/>
  <c r="BB129" i="19"/>
  <c r="BC129" i="19"/>
  <c r="BD129" i="19"/>
  <c r="BE129" i="19"/>
  <c r="BF129" i="19"/>
  <c r="BG129" i="19"/>
  <c r="BH129" i="19"/>
  <c r="BI129" i="19"/>
  <c r="BJ129" i="19"/>
  <c r="BK129" i="19"/>
  <c r="BL129" i="19"/>
  <c r="BM129" i="19"/>
  <c r="BN129" i="19"/>
  <c r="BO129" i="19"/>
  <c r="BP129" i="19"/>
  <c r="BQ129" i="19"/>
  <c r="BR129" i="19"/>
  <c r="BS129" i="19"/>
  <c r="BT129" i="19"/>
  <c r="BU129" i="19"/>
  <c r="BV129" i="19"/>
  <c r="BW129" i="19"/>
  <c r="BX129" i="19"/>
  <c r="BY129" i="19"/>
  <c r="BZ129" i="19"/>
  <c r="CA129" i="19"/>
  <c r="CB129" i="19"/>
  <c r="CC129" i="19"/>
  <c r="CD129" i="19"/>
  <c r="CE129" i="19"/>
  <c r="CF129" i="19"/>
  <c r="CG129" i="19"/>
  <c r="CH129" i="19"/>
  <c r="CI129" i="19"/>
  <c r="CJ129" i="19"/>
  <c r="CK129" i="19"/>
  <c r="CL129" i="19"/>
  <c r="CM129" i="19"/>
  <c r="CN129" i="19"/>
  <c r="CO129" i="19"/>
  <c r="CP129" i="19"/>
  <c r="CQ129" i="19"/>
  <c r="CR129" i="19"/>
  <c r="CS129" i="19"/>
  <c r="CT129" i="19"/>
  <c r="CU129" i="19"/>
  <c r="CV129" i="19"/>
  <c r="CW129" i="19"/>
  <c r="CX129" i="19"/>
  <c r="CY129" i="19"/>
  <c r="CZ129" i="19"/>
  <c r="DA129" i="19"/>
  <c r="DB129" i="19"/>
  <c r="DC129" i="19"/>
  <c r="DD129" i="19"/>
  <c r="DE129" i="19"/>
  <c r="DF129" i="19"/>
  <c r="DG129" i="19"/>
  <c r="DH129" i="19"/>
  <c r="DI129" i="19"/>
  <c r="DJ129" i="19"/>
  <c r="DK129" i="19"/>
  <c r="DL129" i="19"/>
  <c r="DM129" i="19"/>
  <c r="DN129" i="19"/>
  <c r="DO129" i="19"/>
  <c r="DP129" i="19"/>
  <c r="DQ129" i="19"/>
  <c r="DR129" i="19"/>
  <c r="DS129" i="19"/>
  <c r="DT129" i="19"/>
  <c r="DU129" i="19"/>
  <c r="DV129" i="19"/>
  <c r="DW129" i="19"/>
  <c r="DX129" i="19"/>
  <c r="DY129" i="19"/>
  <c r="DZ129" i="19"/>
  <c r="EA129" i="19"/>
  <c r="EB129" i="19"/>
  <c r="EC129" i="19"/>
  <c r="ED129" i="19"/>
  <c r="EE129" i="19"/>
  <c r="EF129" i="19"/>
  <c r="EG129" i="19"/>
  <c r="EH129" i="19"/>
  <c r="EI129" i="19"/>
  <c r="EJ129" i="19"/>
  <c r="EK129" i="19"/>
  <c r="EL129" i="19"/>
  <c r="EM129" i="19"/>
  <c r="EN129" i="19"/>
  <c r="EO129" i="19"/>
  <c r="EP129" i="19"/>
  <c r="EQ129" i="19"/>
  <c r="ER129" i="19"/>
  <c r="ES129" i="19"/>
  <c r="ET129" i="19"/>
  <c r="EU129" i="19"/>
  <c r="EV129" i="19"/>
  <c r="EW129" i="19"/>
  <c r="EX129" i="19"/>
  <c r="EY129" i="19"/>
  <c r="EZ129" i="19"/>
  <c r="FA129" i="19"/>
  <c r="FB129" i="19"/>
  <c r="FC129" i="19"/>
  <c r="FD129" i="19"/>
  <c r="FE129" i="19"/>
  <c r="FF129" i="19"/>
  <c r="FG129" i="19"/>
  <c r="FH129" i="19"/>
  <c r="FI129" i="19"/>
  <c r="FJ129" i="19"/>
  <c r="FK129" i="19"/>
  <c r="FL129" i="19"/>
  <c r="FM129" i="19"/>
  <c r="FN129" i="19"/>
  <c r="FO129" i="19"/>
  <c r="FP129" i="19"/>
  <c r="FQ129" i="19"/>
  <c r="FR129" i="19"/>
  <c r="FS129" i="19"/>
  <c r="FT129" i="19"/>
  <c r="FU129" i="19"/>
  <c r="FV129" i="19"/>
  <c r="FW129" i="19"/>
  <c r="FX129" i="19"/>
  <c r="FY129" i="19"/>
  <c r="FZ129" i="19"/>
  <c r="GA129" i="19"/>
  <c r="GB129" i="19"/>
  <c r="GC129" i="19"/>
  <c r="GD129" i="19"/>
  <c r="GE129" i="19"/>
  <c r="GF129" i="19"/>
  <c r="GG129" i="19"/>
  <c r="GH129" i="19"/>
  <c r="GI129" i="19"/>
  <c r="GJ129" i="19"/>
  <c r="GK129" i="19"/>
  <c r="GL129" i="19"/>
  <c r="GM129" i="19"/>
  <c r="GN129" i="19"/>
  <c r="GO129" i="19"/>
  <c r="GP129" i="19"/>
  <c r="GQ129" i="19"/>
  <c r="GR129" i="19"/>
  <c r="GS129" i="19"/>
  <c r="GT129" i="19"/>
  <c r="GU129" i="19"/>
  <c r="GV129" i="19"/>
  <c r="GW129" i="19"/>
  <c r="GX129" i="19"/>
  <c r="GY129" i="19"/>
  <c r="GZ129" i="19"/>
  <c r="HA129" i="19"/>
  <c r="HB129" i="19"/>
  <c r="HC129" i="19"/>
  <c r="HD129" i="19"/>
  <c r="HE129" i="19"/>
  <c r="HF129" i="19"/>
  <c r="HG129" i="19"/>
  <c r="HH129" i="19"/>
  <c r="HI129" i="19"/>
  <c r="HJ129" i="19"/>
  <c r="HK129" i="19"/>
  <c r="HL129" i="19"/>
  <c r="HM129" i="19"/>
  <c r="HN129" i="19"/>
  <c r="HO129" i="19"/>
  <c r="HP129" i="19"/>
  <c r="HQ129" i="19"/>
  <c r="HR129" i="19"/>
  <c r="HS129" i="19"/>
  <c r="HT129" i="19"/>
  <c r="HU129" i="19"/>
  <c r="HV129" i="19"/>
  <c r="HW129" i="19"/>
  <c r="HX129" i="19"/>
  <c r="HY129" i="19"/>
  <c r="HZ129" i="19"/>
  <c r="IA129" i="19"/>
  <c r="IB129" i="19"/>
  <c r="IC129" i="19"/>
  <c r="ID129" i="19"/>
  <c r="IE129" i="19"/>
  <c r="IF129" i="19"/>
  <c r="IG129" i="19"/>
  <c r="IH129" i="19"/>
  <c r="II129" i="19"/>
  <c r="IJ129" i="19"/>
  <c r="IK129" i="19"/>
  <c r="IL129" i="19"/>
  <c r="IM129" i="19"/>
  <c r="IN129" i="19"/>
  <c r="IO129" i="19"/>
  <c r="IP129" i="19"/>
  <c r="IQ129" i="19"/>
  <c r="IR129" i="19"/>
  <c r="IS129" i="19"/>
  <c r="IT129" i="19"/>
  <c r="IU129" i="19"/>
  <c r="IV129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T130" i="19"/>
  <c r="U130" i="19"/>
  <c r="V130" i="19"/>
  <c r="W130" i="19"/>
  <c r="X130" i="19"/>
  <c r="Y130" i="19"/>
  <c r="Z130" i="19"/>
  <c r="AA130" i="19"/>
  <c r="AB130" i="19"/>
  <c r="AC130" i="19"/>
  <c r="AD130" i="19"/>
  <c r="AE130" i="19"/>
  <c r="AF130" i="19"/>
  <c r="AG130" i="19"/>
  <c r="AH130" i="19"/>
  <c r="AI130" i="19"/>
  <c r="AJ130" i="19"/>
  <c r="AK130" i="19"/>
  <c r="AL130" i="19"/>
  <c r="AM130" i="19"/>
  <c r="AN130" i="19"/>
  <c r="AO130" i="19"/>
  <c r="AP130" i="19"/>
  <c r="AQ130" i="19"/>
  <c r="AR130" i="19"/>
  <c r="AS130" i="19"/>
  <c r="AT130" i="19"/>
  <c r="AU130" i="19"/>
  <c r="AV130" i="19"/>
  <c r="AW130" i="19"/>
  <c r="AX130" i="19"/>
  <c r="AY130" i="19"/>
  <c r="AZ130" i="19"/>
  <c r="BA130" i="19"/>
  <c r="BB130" i="19"/>
  <c r="BC130" i="19"/>
  <c r="BD130" i="19"/>
  <c r="BE130" i="19"/>
  <c r="BF130" i="19"/>
  <c r="BG130" i="19"/>
  <c r="BH130" i="19"/>
  <c r="BI130" i="19"/>
  <c r="BJ130" i="19"/>
  <c r="BK130" i="19"/>
  <c r="BL130" i="19"/>
  <c r="BM130" i="19"/>
  <c r="BN130" i="19"/>
  <c r="BO130" i="19"/>
  <c r="BP130" i="19"/>
  <c r="BQ130" i="19"/>
  <c r="BR130" i="19"/>
  <c r="BS130" i="19"/>
  <c r="BT130" i="19"/>
  <c r="BU130" i="19"/>
  <c r="BV130" i="19"/>
  <c r="BW130" i="19"/>
  <c r="BX130" i="19"/>
  <c r="BY130" i="19"/>
  <c r="BZ130" i="19"/>
  <c r="CA130" i="19"/>
  <c r="CB130" i="19"/>
  <c r="CC130" i="19"/>
  <c r="CD130" i="19"/>
  <c r="CE130" i="19"/>
  <c r="CF130" i="19"/>
  <c r="CG130" i="19"/>
  <c r="CH130" i="19"/>
  <c r="CI130" i="19"/>
  <c r="CJ130" i="19"/>
  <c r="CK130" i="19"/>
  <c r="CL130" i="19"/>
  <c r="CM130" i="19"/>
  <c r="CN130" i="19"/>
  <c r="CO130" i="19"/>
  <c r="CP130" i="19"/>
  <c r="CQ130" i="19"/>
  <c r="CR130" i="19"/>
  <c r="CS130" i="19"/>
  <c r="CT130" i="19"/>
  <c r="CU130" i="19"/>
  <c r="CV130" i="19"/>
  <c r="CW130" i="19"/>
  <c r="CX130" i="19"/>
  <c r="CY130" i="19"/>
  <c r="CZ130" i="19"/>
  <c r="DA130" i="19"/>
  <c r="DB130" i="19"/>
  <c r="DC130" i="19"/>
  <c r="DD130" i="19"/>
  <c r="DE130" i="19"/>
  <c r="DF130" i="19"/>
  <c r="DG130" i="19"/>
  <c r="DH130" i="19"/>
  <c r="DI130" i="19"/>
  <c r="DJ130" i="19"/>
  <c r="DK130" i="19"/>
  <c r="DL130" i="19"/>
  <c r="DM130" i="19"/>
  <c r="DN130" i="19"/>
  <c r="DO130" i="19"/>
  <c r="DP130" i="19"/>
  <c r="DQ130" i="19"/>
  <c r="DR130" i="19"/>
  <c r="DS130" i="19"/>
  <c r="DT130" i="19"/>
  <c r="DU130" i="19"/>
  <c r="DV130" i="19"/>
  <c r="DW130" i="19"/>
  <c r="DX130" i="19"/>
  <c r="DY130" i="19"/>
  <c r="DZ130" i="19"/>
  <c r="EA130" i="19"/>
  <c r="EB130" i="19"/>
  <c r="EC130" i="19"/>
  <c r="ED130" i="19"/>
  <c r="EE130" i="19"/>
  <c r="EF130" i="19"/>
  <c r="EG130" i="19"/>
  <c r="EH130" i="19"/>
  <c r="EI130" i="19"/>
  <c r="EJ130" i="19"/>
  <c r="EK130" i="19"/>
  <c r="EL130" i="19"/>
  <c r="EM130" i="19"/>
  <c r="EN130" i="19"/>
  <c r="EO130" i="19"/>
  <c r="EP130" i="19"/>
  <c r="EQ130" i="19"/>
  <c r="ER130" i="19"/>
  <c r="ES130" i="19"/>
  <c r="ET130" i="19"/>
  <c r="EU130" i="19"/>
  <c r="EV130" i="19"/>
  <c r="EW130" i="19"/>
  <c r="EX130" i="19"/>
  <c r="EY130" i="19"/>
  <c r="EZ130" i="19"/>
  <c r="FA130" i="19"/>
  <c r="FB130" i="19"/>
  <c r="FC130" i="19"/>
  <c r="FD130" i="19"/>
  <c r="FE130" i="19"/>
  <c r="FF130" i="19"/>
  <c r="FG130" i="19"/>
  <c r="FH130" i="19"/>
  <c r="FI130" i="19"/>
  <c r="FJ130" i="19"/>
  <c r="FK130" i="19"/>
  <c r="FL130" i="19"/>
  <c r="FM130" i="19"/>
  <c r="FN130" i="19"/>
  <c r="FO130" i="19"/>
  <c r="FP130" i="19"/>
  <c r="FQ130" i="19"/>
  <c r="FR130" i="19"/>
  <c r="FS130" i="19"/>
  <c r="FT130" i="19"/>
  <c r="FU130" i="19"/>
  <c r="FV130" i="19"/>
  <c r="FW130" i="19"/>
  <c r="FX130" i="19"/>
  <c r="FY130" i="19"/>
  <c r="FZ130" i="19"/>
  <c r="GA130" i="19"/>
  <c r="GB130" i="19"/>
  <c r="GC130" i="19"/>
  <c r="GD130" i="19"/>
  <c r="GE130" i="19"/>
  <c r="GF130" i="19"/>
  <c r="GG130" i="19"/>
  <c r="GH130" i="19"/>
  <c r="GI130" i="19"/>
  <c r="GJ130" i="19"/>
  <c r="GK130" i="19"/>
  <c r="GL130" i="19"/>
  <c r="GM130" i="19"/>
  <c r="GN130" i="19"/>
  <c r="GO130" i="19"/>
  <c r="GP130" i="19"/>
  <c r="GQ130" i="19"/>
  <c r="GR130" i="19"/>
  <c r="GS130" i="19"/>
  <c r="GT130" i="19"/>
  <c r="GU130" i="19"/>
  <c r="GV130" i="19"/>
  <c r="GW130" i="19"/>
  <c r="GX130" i="19"/>
  <c r="GY130" i="19"/>
  <c r="GZ130" i="19"/>
  <c r="HA130" i="19"/>
  <c r="HB130" i="19"/>
  <c r="HC130" i="19"/>
  <c r="HD130" i="19"/>
  <c r="HE130" i="19"/>
  <c r="HF130" i="19"/>
  <c r="HG130" i="19"/>
  <c r="HH130" i="19"/>
  <c r="HI130" i="19"/>
  <c r="HJ130" i="19"/>
  <c r="HK130" i="19"/>
  <c r="HL130" i="19"/>
  <c r="HM130" i="19"/>
  <c r="HN130" i="19"/>
  <c r="HO130" i="19"/>
  <c r="HP130" i="19"/>
  <c r="HQ130" i="19"/>
  <c r="HR130" i="19"/>
  <c r="HS130" i="19"/>
  <c r="HT130" i="19"/>
  <c r="HU130" i="19"/>
  <c r="HV130" i="19"/>
  <c r="HW130" i="19"/>
  <c r="HX130" i="19"/>
  <c r="HY130" i="19"/>
  <c r="HZ130" i="19"/>
  <c r="IA130" i="19"/>
  <c r="IB130" i="19"/>
  <c r="IC130" i="19"/>
  <c r="ID130" i="19"/>
  <c r="IE130" i="19"/>
  <c r="IF130" i="19"/>
  <c r="IG130" i="19"/>
  <c r="IH130" i="19"/>
  <c r="II130" i="19"/>
  <c r="IJ130" i="19"/>
  <c r="IK130" i="19"/>
  <c r="IL130" i="19"/>
  <c r="IM130" i="19"/>
  <c r="IN130" i="19"/>
  <c r="IO130" i="19"/>
  <c r="IP130" i="19"/>
  <c r="IQ130" i="19"/>
  <c r="IR130" i="19"/>
  <c r="IS130" i="19"/>
  <c r="IT130" i="19"/>
  <c r="IU130" i="19"/>
  <c r="IV130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AD131" i="19"/>
  <c r="AE131" i="19"/>
  <c r="AF131" i="19"/>
  <c r="AG131" i="19"/>
  <c r="AH131" i="19"/>
  <c r="AI131" i="19"/>
  <c r="AJ131" i="19"/>
  <c r="AK131" i="19"/>
  <c r="AL131" i="19"/>
  <c r="AM131" i="19"/>
  <c r="AN131" i="19"/>
  <c r="AO131" i="19"/>
  <c r="AP131" i="19"/>
  <c r="AQ131" i="19"/>
  <c r="AR131" i="19"/>
  <c r="AS131" i="19"/>
  <c r="AT131" i="19"/>
  <c r="AU131" i="19"/>
  <c r="AV131" i="19"/>
  <c r="AW131" i="19"/>
  <c r="AX131" i="19"/>
  <c r="AY131" i="19"/>
  <c r="AZ131" i="19"/>
  <c r="BA131" i="19"/>
  <c r="BB131" i="19"/>
  <c r="BC131" i="19"/>
  <c r="BD131" i="19"/>
  <c r="BE131" i="19"/>
  <c r="BF131" i="19"/>
  <c r="BG131" i="19"/>
  <c r="BH131" i="19"/>
  <c r="BI131" i="19"/>
  <c r="BJ131" i="19"/>
  <c r="BK131" i="19"/>
  <c r="BL131" i="19"/>
  <c r="BM131" i="19"/>
  <c r="BN131" i="19"/>
  <c r="BO131" i="19"/>
  <c r="BP131" i="19"/>
  <c r="BQ131" i="19"/>
  <c r="BR131" i="19"/>
  <c r="BS131" i="19"/>
  <c r="BT131" i="19"/>
  <c r="BU131" i="19"/>
  <c r="BV131" i="19"/>
  <c r="BW131" i="19"/>
  <c r="BX131" i="19"/>
  <c r="BY131" i="19"/>
  <c r="BZ131" i="19"/>
  <c r="CA131" i="19"/>
  <c r="CB131" i="19"/>
  <c r="CC131" i="19"/>
  <c r="CD131" i="19"/>
  <c r="CE131" i="19"/>
  <c r="CF131" i="19"/>
  <c r="CG131" i="19"/>
  <c r="CH131" i="19"/>
  <c r="CI131" i="19"/>
  <c r="CJ131" i="19"/>
  <c r="CK131" i="19"/>
  <c r="CL131" i="19"/>
  <c r="CM131" i="19"/>
  <c r="CN131" i="19"/>
  <c r="CO131" i="19"/>
  <c r="CP131" i="19"/>
  <c r="CQ131" i="19"/>
  <c r="CR131" i="19"/>
  <c r="CS131" i="19"/>
  <c r="CT131" i="19"/>
  <c r="CU131" i="19"/>
  <c r="CV131" i="19"/>
  <c r="CW131" i="19"/>
  <c r="CX131" i="19"/>
  <c r="CY131" i="19"/>
  <c r="CZ131" i="19"/>
  <c r="DA131" i="19"/>
  <c r="DB131" i="19"/>
  <c r="DC131" i="19"/>
  <c r="DD131" i="19"/>
  <c r="DE131" i="19"/>
  <c r="DF131" i="19"/>
  <c r="DG131" i="19"/>
  <c r="DH131" i="19"/>
  <c r="DI131" i="19"/>
  <c r="DJ131" i="19"/>
  <c r="DK131" i="19"/>
  <c r="DL131" i="19"/>
  <c r="DM131" i="19"/>
  <c r="DN131" i="19"/>
  <c r="DO131" i="19"/>
  <c r="DP131" i="19"/>
  <c r="DQ131" i="19"/>
  <c r="DR131" i="19"/>
  <c r="DS131" i="19"/>
  <c r="DT131" i="19"/>
  <c r="DU131" i="19"/>
  <c r="DV131" i="19"/>
  <c r="DW131" i="19"/>
  <c r="DX131" i="19"/>
  <c r="DY131" i="19"/>
  <c r="DZ131" i="19"/>
  <c r="EA131" i="19"/>
  <c r="EB131" i="19"/>
  <c r="EC131" i="19"/>
  <c r="ED131" i="19"/>
  <c r="EE131" i="19"/>
  <c r="EF131" i="19"/>
  <c r="EG131" i="19"/>
  <c r="EH131" i="19"/>
  <c r="EI131" i="19"/>
  <c r="EJ131" i="19"/>
  <c r="EK131" i="19"/>
  <c r="EL131" i="19"/>
  <c r="EM131" i="19"/>
  <c r="EN131" i="19"/>
  <c r="EO131" i="19"/>
  <c r="EP131" i="19"/>
  <c r="EQ131" i="19"/>
  <c r="ER131" i="19"/>
  <c r="ES131" i="19"/>
  <c r="ET131" i="19"/>
  <c r="EU131" i="19"/>
  <c r="EV131" i="19"/>
  <c r="EW131" i="19"/>
  <c r="EX131" i="19"/>
  <c r="EY131" i="19"/>
  <c r="EZ131" i="19"/>
  <c r="FA131" i="19"/>
  <c r="FB131" i="19"/>
  <c r="FC131" i="19"/>
  <c r="FD131" i="19"/>
  <c r="FE131" i="19"/>
  <c r="FF131" i="19"/>
  <c r="FG131" i="19"/>
  <c r="FH131" i="19"/>
  <c r="FI131" i="19"/>
  <c r="FJ131" i="19"/>
  <c r="FK131" i="19"/>
  <c r="FL131" i="19"/>
  <c r="FM131" i="19"/>
  <c r="FN131" i="19"/>
  <c r="FO131" i="19"/>
  <c r="FP131" i="19"/>
  <c r="FQ131" i="19"/>
  <c r="FR131" i="19"/>
  <c r="FS131" i="19"/>
  <c r="FT131" i="19"/>
  <c r="FU131" i="19"/>
  <c r="FV131" i="19"/>
  <c r="FW131" i="19"/>
  <c r="FX131" i="19"/>
  <c r="FY131" i="19"/>
  <c r="FZ131" i="19"/>
  <c r="GA131" i="19"/>
  <c r="GB131" i="19"/>
  <c r="GC131" i="19"/>
  <c r="GD131" i="19"/>
  <c r="GE131" i="19"/>
  <c r="GF131" i="19"/>
  <c r="GG131" i="19"/>
  <c r="GH131" i="19"/>
  <c r="GI131" i="19"/>
  <c r="GJ131" i="19"/>
  <c r="GK131" i="19"/>
  <c r="GL131" i="19"/>
  <c r="GM131" i="19"/>
  <c r="GN131" i="19"/>
  <c r="GO131" i="19"/>
  <c r="GP131" i="19"/>
  <c r="GQ131" i="19"/>
  <c r="GR131" i="19"/>
  <c r="GS131" i="19"/>
  <c r="GT131" i="19"/>
  <c r="GU131" i="19"/>
  <c r="GV131" i="19"/>
  <c r="GW131" i="19"/>
  <c r="GX131" i="19"/>
  <c r="GY131" i="19"/>
  <c r="GZ131" i="19"/>
  <c r="HA131" i="19"/>
  <c r="HB131" i="19"/>
  <c r="HC131" i="19"/>
  <c r="HD131" i="19"/>
  <c r="HE131" i="19"/>
  <c r="HF131" i="19"/>
  <c r="HG131" i="19"/>
  <c r="HH131" i="19"/>
  <c r="HI131" i="19"/>
  <c r="HJ131" i="19"/>
  <c r="HK131" i="19"/>
  <c r="HL131" i="19"/>
  <c r="HM131" i="19"/>
  <c r="HN131" i="19"/>
  <c r="HO131" i="19"/>
  <c r="HP131" i="19"/>
  <c r="HQ131" i="19"/>
  <c r="HR131" i="19"/>
  <c r="HS131" i="19"/>
  <c r="HT131" i="19"/>
  <c r="HU131" i="19"/>
  <c r="HV131" i="19"/>
  <c r="HW131" i="19"/>
  <c r="HX131" i="19"/>
  <c r="HY131" i="19"/>
  <c r="HZ131" i="19"/>
  <c r="IA131" i="19"/>
  <c r="IB131" i="19"/>
  <c r="IC131" i="19"/>
  <c r="ID131" i="19"/>
  <c r="IE131" i="19"/>
  <c r="IF131" i="19"/>
  <c r="IG131" i="19"/>
  <c r="IH131" i="19"/>
  <c r="II131" i="19"/>
  <c r="IJ131" i="19"/>
  <c r="IK131" i="19"/>
  <c r="IL131" i="19"/>
  <c r="IM131" i="19"/>
  <c r="IN131" i="19"/>
  <c r="IO131" i="19"/>
  <c r="IP131" i="19"/>
  <c r="IQ131" i="19"/>
  <c r="IR131" i="19"/>
  <c r="IS131" i="19"/>
  <c r="IT131" i="19"/>
  <c r="IU131" i="19"/>
  <c r="IV131" i="19"/>
  <c r="F132" i="19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X132" i="19"/>
  <c r="Y132" i="19"/>
  <c r="Z132" i="19"/>
  <c r="AA132" i="19"/>
  <c r="AB132" i="19"/>
  <c r="AC132" i="19"/>
  <c r="AD132" i="19"/>
  <c r="AE132" i="19"/>
  <c r="AF132" i="19"/>
  <c r="AG132" i="19"/>
  <c r="AH132" i="19"/>
  <c r="AI132" i="19"/>
  <c r="AJ132" i="19"/>
  <c r="AK132" i="19"/>
  <c r="AL132" i="19"/>
  <c r="AM132" i="19"/>
  <c r="AN132" i="19"/>
  <c r="AO132" i="19"/>
  <c r="AP132" i="19"/>
  <c r="AQ132" i="19"/>
  <c r="AR132" i="19"/>
  <c r="AS132" i="19"/>
  <c r="AT132" i="19"/>
  <c r="AU132" i="19"/>
  <c r="AV132" i="19"/>
  <c r="AW132" i="19"/>
  <c r="AX132" i="19"/>
  <c r="AY132" i="19"/>
  <c r="AZ132" i="19"/>
  <c r="BA132" i="19"/>
  <c r="BB132" i="19"/>
  <c r="BC132" i="19"/>
  <c r="BD132" i="19"/>
  <c r="BE132" i="19"/>
  <c r="BF132" i="19"/>
  <c r="BG132" i="19"/>
  <c r="BH132" i="19"/>
  <c r="BI132" i="19"/>
  <c r="BJ132" i="19"/>
  <c r="BK132" i="19"/>
  <c r="BL132" i="19"/>
  <c r="BM132" i="19"/>
  <c r="BN132" i="19"/>
  <c r="BO132" i="19"/>
  <c r="BP132" i="19"/>
  <c r="BQ132" i="19"/>
  <c r="BR132" i="19"/>
  <c r="BS132" i="19"/>
  <c r="BT132" i="19"/>
  <c r="BU132" i="19"/>
  <c r="BV132" i="19"/>
  <c r="BW132" i="19"/>
  <c r="BX132" i="19"/>
  <c r="BY132" i="19"/>
  <c r="BZ132" i="19"/>
  <c r="CA132" i="19"/>
  <c r="CB132" i="19"/>
  <c r="CC132" i="19"/>
  <c r="CD132" i="19"/>
  <c r="CE132" i="19"/>
  <c r="CF132" i="19"/>
  <c r="CG132" i="19"/>
  <c r="CH132" i="19"/>
  <c r="CI132" i="19"/>
  <c r="CJ132" i="19"/>
  <c r="CK132" i="19"/>
  <c r="CL132" i="19"/>
  <c r="CM132" i="19"/>
  <c r="CN132" i="19"/>
  <c r="CO132" i="19"/>
  <c r="CP132" i="19"/>
  <c r="CQ132" i="19"/>
  <c r="CR132" i="19"/>
  <c r="CS132" i="19"/>
  <c r="CT132" i="19"/>
  <c r="CU132" i="19"/>
  <c r="CV132" i="19"/>
  <c r="CW132" i="19"/>
  <c r="CX132" i="19"/>
  <c r="CY132" i="19"/>
  <c r="CZ132" i="19"/>
  <c r="DA132" i="19"/>
  <c r="DB132" i="19"/>
  <c r="DC132" i="19"/>
  <c r="DD132" i="19"/>
  <c r="DE132" i="19"/>
  <c r="DF132" i="19"/>
  <c r="DG132" i="19"/>
  <c r="DH132" i="19"/>
  <c r="DI132" i="19"/>
  <c r="DJ132" i="19"/>
  <c r="DK132" i="19"/>
  <c r="DL132" i="19"/>
  <c r="DM132" i="19"/>
  <c r="DN132" i="19"/>
  <c r="DO132" i="19"/>
  <c r="DP132" i="19"/>
  <c r="DQ132" i="19"/>
  <c r="DR132" i="19"/>
  <c r="DS132" i="19"/>
  <c r="DT132" i="19"/>
  <c r="DU132" i="19"/>
  <c r="DV132" i="19"/>
  <c r="DW132" i="19"/>
  <c r="DX132" i="19"/>
  <c r="DY132" i="19"/>
  <c r="DZ132" i="19"/>
  <c r="EA132" i="19"/>
  <c r="EB132" i="19"/>
  <c r="EC132" i="19"/>
  <c r="ED132" i="19"/>
  <c r="EE132" i="19"/>
  <c r="EF132" i="19"/>
  <c r="EG132" i="19"/>
  <c r="EH132" i="19"/>
  <c r="EI132" i="19"/>
  <c r="EJ132" i="19"/>
  <c r="EK132" i="19"/>
  <c r="EL132" i="19"/>
  <c r="EM132" i="19"/>
  <c r="EN132" i="19"/>
  <c r="EO132" i="19"/>
  <c r="EP132" i="19"/>
  <c r="EQ132" i="19"/>
  <c r="ER132" i="19"/>
  <c r="ES132" i="19"/>
  <c r="ET132" i="19"/>
  <c r="EU132" i="19"/>
  <c r="EV132" i="19"/>
  <c r="EW132" i="19"/>
  <c r="EX132" i="19"/>
  <c r="EY132" i="19"/>
  <c r="EZ132" i="19"/>
  <c r="FA132" i="19"/>
  <c r="FB132" i="19"/>
  <c r="FC132" i="19"/>
  <c r="FD132" i="19"/>
  <c r="FE132" i="19"/>
  <c r="FF132" i="19"/>
  <c r="FG132" i="19"/>
  <c r="FH132" i="19"/>
  <c r="FI132" i="19"/>
  <c r="FJ132" i="19"/>
  <c r="FK132" i="19"/>
  <c r="FL132" i="19"/>
  <c r="FM132" i="19"/>
  <c r="FN132" i="19"/>
  <c r="FO132" i="19"/>
  <c r="FP132" i="19"/>
  <c r="FQ132" i="19"/>
  <c r="FR132" i="19"/>
  <c r="FS132" i="19"/>
  <c r="FT132" i="19"/>
  <c r="FU132" i="19"/>
  <c r="FV132" i="19"/>
  <c r="FW132" i="19"/>
  <c r="FX132" i="19"/>
  <c r="FY132" i="19"/>
  <c r="FZ132" i="19"/>
  <c r="GA132" i="19"/>
  <c r="GB132" i="19"/>
  <c r="GC132" i="19"/>
  <c r="GD132" i="19"/>
  <c r="GE132" i="19"/>
  <c r="GF132" i="19"/>
  <c r="GG132" i="19"/>
  <c r="GH132" i="19"/>
  <c r="GI132" i="19"/>
  <c r="GJ132" i="19"/>
  <c r="GK132" i="19"/>
  <c r="GL132" i="19"/>
  <c r="GM132" i="19"/>
  <c r="GN132" i="19"/>
  <c r="GO132" i="19"/>
  <c r="GP132" i="19"/>
  <c r="GQ132" i="19"/>
  <c r="GR132" i="19"/>
  <c r="GS132" i="19"/>
  <c r="GT132" i="19"/>
  <c r="GU132" i="19"/>
  <c r="GV132" i="19"/>
  <c r="GW132" i="19"/>
  <c r="GX132" i="19"/>
  <c r="GY132" i="19"/>
  <c r="GZ132" i="19"/>
  <c r="HA132" i="19"/>
  <c r="HB132" i="19"/>
  <c r="HC132" i="19"/>
  <c r="HD132" i="19"/>
  <c r="HE132" i="19"/>
  <c r="HF132" i="19"/>
  <c r="HG132" i="19"/>
  <c r="HH132" i="19"/>
  <c r="HI132" i="19"/>
  <c r="HJ132" i="19"/>
  <c r="HK132" i="19"/>
  <c r="HL132" i="19"/>
  <c r="HM132" i="19"/>
  <c r="HN132" i="19"/>
  <c r="HO132" i="19"/>
  <c r="HP132" i="19"/>
  <c r="HQ132" i="19"/>
  <c r="HR132" i="19"/>
  <c r="HS132" i="19"/>
  <c r="HT132" i="19"/>
  <c r="HU132" i="19"/>
  <c r="HV132" i="19"/>
  <c r="HW132" i="19"/>
  <c r="HX132" i="19"/>
  <c r="HY132" i="19"/>
  <c r="HZ132" i="19"/>
  <c r="IA132" i="19"/>
  <c r="IB132" i="19"/>
  <c r="IC132" i="19"/>
  <c r="ID132" i="19"/>
  <c r="IE132" i="19"/>
  <c r="IF132" i="19"/>
  <c r="IG132" i="19"/>
  <c r="IH132" i="19"/>
  <c r="II132" i="19"/>
  <c r="IJ132" i="19"/>
  <c r="IK132" i="19"/>
  <c r="IL132" i="19"/>
  <c r="IM132" i="19"/>
  <c r="IN132" i="19"/>
  <c r="IO132" i="19"/>
  <c r="IP132" i="19"/>
  <c r="IQ132" i="19"/>
  <c r="IR132" i="19"/>
  <c r="IS132" i="19"/>
  <c r="IT132" i="19"/>
  <c r="IU132" i="19"/>
  <c r="IV132" i="19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T133" i="19"/>
  <c r="U133" i="19"/>
  <c r="V133" i="19"/>
  <c r="W133" i="19"/>
  <c r="X133" i="19"/>
  <c r="Y133" i="19"/>
  <c r="Z133" i="19"/>
  <c r="AA133" i="19"/>
  <c r="AB133" i="19"/>
  <c r="AC133" i="19"/>
  <c r="AD133" i="19"/>
  <c r="AE133" i="19"/>
  <c r="AF133" i="19"/>
  <c r="AG133" i="19"/>
  <c r="AH133" i="19"/>
  <c r="AI133" i="19"/>
  <c r="AJ133" i="19"/>
  <c r="AK133" i="19"/>
  <c r="AL133" i="19"/>
  <c r="AM133" i="19"/>
  <c r="AN133" i="19"/>
  <c r="AO133" i="19"/>
  <c r="AP133" i="19"/>
  <c r="AQ133" i="19"/>
  <c r="AR133" i="19"/>
  <c r="AS133" i="19"/>
  <c r="AT133" i="19"/>
  <c r="AU133" i="19"/>
  <c r="AV133" i="19"/>
  <c r="AW133" i="19"/>
  <c r="AX133" i="19"/>
  <c r="AY133" i="19"/>
  <c r="AZ133" i="19"/>
  <c r="BA133" i="19"/>
  <c r="BB133" i="19"/>
  <c r="BC133" i="19"/>
  <c r="BD133" i="19"/>
  <c r="BE133" i="19"/>
  <c r="BF133" i="19"/>
  <c r="BG133" i="19"/>
  <c r="BH133" i="19"/>
  <c r="BI133" i="19"/>
  <c r="BJ133" i="19"/>
  <c r="BK133" i="19"/>
  <c r="BL133" i="19"/>
  <c r="BM133" i="19"/>
  <c r="BN133" i="19"/>
  <c r="BO133" i="19"/>
  <c r="BP133" i="19"/>
  <c r="BQ133" i="19"/>
  <c r="BR133" i="19"/>
  <c r="BS133" i="19"/>
  <c r="BT133" i="19"/>
  <c r="BU133" i="19"/>
  <c r="BV133" i="19"/>
  <c r="BW133" i="19"/>
  <c r="BX133" i="19"/>
  <c r="BY133" i="19"/>
  <c r="BZ133" i="19"/>
  <c r="CA133" i="19"/>
  <c r="CB133" i="19"/>
  <c r="CC133" i="19"/>
  <c r="CD133" i="19"/>
  <c r="CE133" i="19"/>
  <c r="CF133" i="19"/>
  <c r="CG133" i="19"/>
  <c r="CH133" i="19"/>
  <c r="CI133" i="19"/>
  <c r="CJ133" i="19"/>
  <c r="CK133" i="19"/>
  <c r="CL133" i="19"/>
  <c r="CM133" i="19"/>
  <c r="CN133" i="19"/>
  <c r="CO133" i="19"/>
  <c r="CP133" i="19"/>
  <c r="CQ133" i="19"/>
  <c r="CR133" i="19"/>
  <c r="CS133" i="19"/>
  <c r="CT133" i="19"/>
  <c r="CU133" i="19"/>
  <c r="CV133" i="19"/>
  <c r="CW133" i="19"/>
  <c r="CX133" i="19"/>
  <c r="CY133" i="19"/>
  <c r="CZ133" i="19"/>
  <c r="DA133" i="19"/>
  <c r="DB133" i="19"/>
  <c r="DC133" i="19"/>
  <c r="DD133" i="19"/>
  <c r="DE133" i="19"/>
  <c r="DF133" i="19"/>
  <c r="DG133" i="19"/>
  <c r="DH133" i="19"/>
  <c r="DI133" i="19"/>
  <c r="DJ133" i="19"/>
  <c r="DK133" i="19"/>
  <c r="DL133" i="19"/>
  <c r="DM133" i="19"/>
  <c r="DN133" i="19"/>
  <c r="DO133" i="19"/>
  <c r="DP133" i="19"/>
  <c r="DQ133" i="19"/>
  <c r="DR133" i="19"/>
  <c r="DS133" i="19"/>
  <c r="DT133" i="19"/>
  <c r="DU133" i="19"/>
  <c r="DV133" i="19"/>
  <c r="DW133" i="19"/>
  <c r="DX133" i="19"/>
  <c r="DY133" i="19"/>
  <c r="DZ133" i="19"/>
  <c r="EA133" i="19"/>
  <c r="EB133" i="19"/>
  <c r="EC133" i="19"/>
  <c r="ED133" i="19"/>
  <c r="EE133" i="19"/>
  <c r="EF133" i="19"/>
  <c r="EG133" i="19"/>
  <c r="EH133" i="19"/>
  <c r="EI133" i="19"/>
  <c r="EJ133" i="19"/>
  <c r="EK133" i="19"/>
  <c r="EL133" i="19"/>
  <c r="EM133" i="19"/>
  <c r="EN133" i="19"/>
  <c r="EO133" i="19"/>
  <c r="EP133" i="19"/>
  <c r="EQ133" i="19"/>
  <c r="ER133" i="19"/>
  <c r="ES133" i="19"/>
  <c r="ET133" i="19"/>
  <c r="EU133" i="19"/>
  <c r="EV133" i="19"/>
  <c r="EW133" i="19"/>
  <c r="EX133" i="19"/>
  <c r="EY133" i="19"/>
  <c r="EZ133" i="19"/>
  <c r="FA133" i="19"/>
  <c r="FB133" i="19"/>
  <c r="FC133" i="19"/>
  <c r="FD133" i="19"/>
  <c r="FE133" i="19"/>
  <c r="FF133" i="19"/>
  <c r="FG133" i="19"/>
  <c r="FH133" i="19"/>
  <c r="FI133" i="19"/>
  <c r="FJ133" i="19"/>
  <c r="FK133" i="19"/>
  <c r="FL133" i="19"/>
  <c r="FM133" i="19"/>
  <c r="FN133" i="19"/>
  <c r="FO133" i="19"/>
  <c r="FP133" i="19"/>
  <c r="FQ133" i="19"/>
  <c r="FR133" i="19"/>
  <c r="FS133" i="19"/>
  <c r="FT133" i="19"/>
  <c r="FU133" i="19"/>
  <c r="FV133" i="19"/>
  <c r="FW133" i="19"/>
  <c r="FX133" i="19"/>
  <c r="FY133" i="19"/>
  <c r="FZ133" i="19"/>
  <c r="GA133" i="19"/>
  <c r="GB133" i="19"/>
  <c r="GC133" i="19"/>
  <c r="GD133" i="19"/>
  <c r="GE133" i="19"/>
  <c r="GF133" i="19"/>
  <c r="GG133" i="19"/>
  <c r="GH133" i="19"/>
  <c r="GI133" i="19"/>
  <c r="GJ133" i="19"/>
  <c r="GK133" i="19"/>
  <c r="GL133" i="19"/>
  <c r="GM133" i="19"/>
  <c r="GN133" i="19"/>
  <c r="GO133" i="19"/>
  <c r="GP133" i="19"/>
  <c r="GQ133" i="19"/>
  <c r="GR133" i="19"/>
  <c r="GS133" i="19"/>
  <c r="GT133" i="19"/>
  <c r="GU133" i="19"/>
  <c r="GV133" i="19"/>
  <c r="GW133" i="19"/>
  <c r="GX133" i="19"/>
  <c r="GY133" i="19"/>
  <c r="GZ133" i="19"/>
  <c r="HA133" i="19"/>
  <c r="HB133" i="19"/>
  <c r="HC133" i="19"/>
  <c r="HD133" i="19"/>
  <c r="HE133" i="19"/>
  <c r="HF133" i="19"/>
  <c r="HG133" i="19"/>
  <c r="HH133" i="19"/>
  <c r="HI133" i="19"/>
  <c r="HJ133" i="19"/>
  <c r="HK133" i="19"/>
  <c r="HL133" i="19"/>
  <c r="HM133" i="19"/>
  <c r="HN133" i="19"/>
  <c r="HO133" i="19"/>
  <c r="HP133" i="19"/>
  <c r="HQ133" i="19"/>
  <c r="HR133" i="19"/>
  <c r="HS133" i="19"/>
  <c r="HT133" i="19"/>
  <c r="HU133" i="19"/>
  <c r="HV133" i="19"/>
  <c r="HW133" i="19"/>
  <c r="HX133" i="19"/>
  <c r="HY133" i="19"/>
  <c r="HZ133" i="19"/>
  <c r="IA133" i="19"/>
  <c r="IB133" i="19"/>
  <c r="IC133" i="19"/>
  <c r="ID133" i="19"/>
  <c r="IE133" i="19"/>
  <c r="IF133" i="19"/>
  <c r="IG133" i="19"/>
  <c r="IH133" i="19"/>
  <c r="II133" i="19"/>
  <c r="IJ133" i="19"/>
  <c r="IK133" i="19"/>
  <c r="IL133" i="19"/>
  <c r="IM133" i="19"/>
  <c r="IN133" i="19"/>
  <c r="IO133" i="19"/>
  <c r="IP133" i="19"/>
  <c r="IQ133" i="19"/>
  <c r="IR133" i="19"/>
  <c r="IS133" i="19"/>
  <c r="IT133" i="19"/>
  <c r="IU133" i="19"/>
  <c r="IV133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AD134" i="19"/>
  <c r="AE134" i="19"/>
  <c r="AF134" i="19"/>
  <c r="AG134" i="19"/>
  <c r="AH134" i="19"/>
  <c r="AI134" i="19"/>
  <c r="AJ134" i="19"/>
  <c r="AK134" i="19"/>
  <c r="AL134" i="19"/>
  <c r="AM134" i="19"/>
  <c r="AN134" i="19"/>
  <c r="AO134" i="19"/>
  <c r="AP134" i="19"/>
  <c r="AQ134" i="19"/>
  <c r="AR134" i="19"/>
  <c r="AS134" i="19"/>
  <c r="AT134" i="19"/>
  <c r="AU134" i="19"/>
  <c r="AV134" i="19"/>
  <c r="AW134" i="19"/>
  <c r="AX134" i="19"/>
  <c r="AY134" i="19"/>
  <c r="AZ134" i="19"/>
  <c r="BA134" i="19"/>
  <c r="BB134" i="19"/>
  <c r="BC134" i="19"/>
  <c r="BD134" i="19"/>
  <c r="BE134" i="19"/>
  <c r="BF134" i="19"/>
  <c r="BG134" i="19"/>
  <c r="BH134" i="19"/>
  <c r="BI134" i="19"/>
  <c r="BJ134" i="19"/>
  <c r="BK134" i="19"/>
  <c r="BL134" i="19"/>
  <c r="BM134" i="19"/>
  <c r="BN134" i="19"/>
  <c r="BO134" i="19"/>
  <c r="BP134" i="19"/>
  <c r="BQ134" i="19"/>
  <c r="BR134" i="19"/>
  <c r="BS134" i="19"/>
  <c r="BT134" i="19"/>
  <c r="BU134" i="19"/>
  <c r="BV134" i="19"/>
  <c r="BW134" i="19"/>
  <c r="BX134" i="19"/>
  <c r="BY134" i="19"/>
  <c r="BZ134" i="19"/>
  <c r="CA134" i="19"/>
  <c r="CB134" i="19"/>
  <c r="CC134" i="19"/>
  <c r="CD134" i="19"/>
  <c r="CE134" i="19"/>
  <c r="CF134" i="19"/>
  <c r="CG134" i="19"/>
  <c r="CH134" i="19"/>
  <c r="CI134" i="19"/>
  <c r="CJ134" i="19"/>
  <c r="CK134" i="19"/>
  <c r="CL134" i="19"/>
  <c r="CM134" i="19"/>
  <c r="CN134" i="19"/>
  <c r="CO134" i="19"/>
  <c r="CP134" i="19"/>
  <c r="CQ134" i="19"/>
  <c r="CR134" i="19"/>
  <c r="CS134" i="19"/>
  <c r="CT134" i="19"/>
  <c r="CU134" i="19"/>
  <c r="CV134" i="19"/>
  <c r="CW134" i="19"/>
  <c r="CX134" i="19"/>
  <c r="CY134" i="19"/>
  <c r="CZ134" i="19"/>
  <c r="DA134" i="19"/>
  <c r="DB134" i="19"/>
  <c r="DC134" i="19"/>
  <c r="DD134" i="19"/>
  <c r="DE134" i="19"/>
  <c r="DF134" i="19"/>
  <c r="DG134" i="19"/>
  <c r="DH134" i="19"/>
  <c r="DI134" i="19"/>
  <c r="DJ134" i="19"/>
  <c r="DK134" i="19"/>
  <c r="DL134" i="19"/>
  <c r="DM134" i="19"/>
  <c r="DN134" i="19"/>
  <c r="DO134" i="19"/>
  <c r="DP134" i="19"/>
  <c r="DQ134" i="19"/>
  <c r="DR134" i="19"/>
  <c r="DS134" i="19"/>
  <c r="DT134" i="19"/>
  <c r="DU134" i="19"/>
  <c r="DV134" i="19"/>
  <c r="DW134" i="19"/>
  <c r="DX134" i="19"/>
  <c r="DY134" i="19"/>
  <c r="DZ134" i="19"/>
  <c r="EA134" i="19"/>
  <c r="EB134" i="19"/>
  <c r="EC134" i="19"/>
  <c r="ED134" i="19"/>
  <c r="EE134" i="19"/>
  <c r="EF134" i="19"/>
  <c r="EG134" i="19"/>
  <c r="EH134" i="19"/>
  <c r="EI134" i="19"/>
  <c r="EJ134" i="19"/>
  <c r="EK134" i="19"/>
  <c r="EL134" i="19"/>
  <c r="EM134" i="19"/>
  <c r="EN134" i="19"/>
  <c r="EO134" i="19"/>
  <c r="EP134" i="19"/>
  <c r="EQ134" i="19"/>
  <c r="ER134" i="19"/>
  <c r="ES134" i="19"/>
  <c r="ET134" i="19"/>
  <c r="EU134" i="19"/>
  <c r="EV134" i="19"/>
  <c r="EW134" i="19"/>
  <c r="EX134" i="19"/>
  <c r="EY134" i="19"/>
  <c r="EZ134" i="19"/>
  <c r="FA134" i="19"/>
  <c r="FB134" i="19"/>
  <c r="FC134" i="19"/>
  <c r="FD134" i="19"/>
  <c r="FE134" i="19"/>
  <c r="FF134" i="19"/>
  <c r="FG134" i="19"/>
  <c r="FH134" i="19"/>
  <c r="FI134" i="19"/>
  <c r="FJ134" i="19"/>
  <c r="FK134" i="19"/>
  <c r="FL134" i="19"/>
  <c r="FM134" i="19"/>
  <c r="FN134" i="19"/>
  <c r="FO134" i="19"/>
  <c r="FP134" i="19"/>
  <c r="FQ134" i="19"/>
  <c r="FR134" i="19"/>
  <c r="FS134" i="19"/>
  <c r="FT134" i="19"/>
  <c r="FU134" i="19"/>
  <c r="FV134" i="19"/>
  <c r="FW134" i="19"/>
  <c r="FX134" i="19"/>
  <c r="FY134" i="19"/>
  <c r="FZ134" i="19"/>
  <c r="GA134" i="19"/>
  <c r="GB134" i="19"/>
  <c r="GC134" i="19"/>
  <c r="GD134" i="19"/>
  <c r="GE134" i="19"/>
  <c r="GF134" i="19"/>
  <c r="GG134" i="19"/>
  <c r="GH134" i="19"/>
  <c r="GI134" i="19"/>
  <c r="GJ134" i="19"/>
  <c r="GK134" i="19"/>
  <c r="GL134" i="19"/>
  <c r="GM134" i="19"/>
  <c r="GN134" i="19"/>
  <c r="GO134" i="19"/>
  <c r="GP134" i="19"/>
  <c r="GQ134" i="19"/>
  <c r="GR134" i="19"/>
  <c r="GS134" i="19"/>
  <c r="GT134" i="19"/>
  <c r="GU134" i="19"/>
  <c r="GV134" i="19"/>
  <c r="GW134" i="19"/>
  <c r="GX134" i="19"/>
  <c r="GY134" i="19"/>
  <c r="GZ134" i="19"/>
  <c r="HA134" i="19"/>
  <c r="HB134" i="19"/>
  <c r="HC134" i="19"/>
  <c r="HD134" i="19"/>
  <c r="HE134" i="19"/>
  <c r="HF134" i="19"/>
  <c r="HG134" i="19"/>
  <c r="HH134" i="19"/>
  <c r="HI134" i="19"/>
  <c r="HJ134" i="19"/>
  <c r="HK134" i="19"/>
  <c r="HL134" i="19"/>
  <c r="HM134" i="19"/>
  <c r="HN134" i="19"/>
  <c r="HO134" i="19"/>
  <c r="HP134" i="19"/>
  <c r="HQ134" i="19"/>
  <c r="HR134" i="19"/>
  <c r="HS134" i="19"/>
  <c r="HT134" i="19"/>
  <c r="HU134" i="19"/>
  <c r="HV134" i="19"/>
  <c r="HW134" i="19"/>
  <c r="HX134" i="19"/>
  <c r="HY134" i="19"/>
  <c r="HZ134" i="19"/>
  <c r="IA134" i="19"/>
  <c r="IB134" i="19"/>
  <c r="IC134" i="19"/>
  <c r="ID134" i="19"/>
  <c r="IE134" i="19"/>
  <c r="IF134" i="19"/>
  <c r="IG134" i="19"/>
  <c r="IH134" i="19"/>
  <c r="II134" i="19"/>
  <c r="IJ134" i="19"/>
  <c r="IK134" i="19"/>
  <c r="IL134" i="19"/>
  <c r="IM134" i="19"/>
  <c r="IN134" i="19"/>
  <c r="IO134" i="19"/>
  <c r="IP134" i="19"/>
  <c r="IQ134" i="19"/>
  <c r="IR134" i="19"/>
  <c r="IS134" i="19"/>
  <c r="IT134" i="19"/>
  <c r="IU134" i="19"/>
  <c r="IV134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D135" i="19"/>
  <c r="AE135" i="19"/>
  <c r="AF135" i="19"/>
  <c r="AG135" i="19"/>
  <c r="AH135" i="19"/>
  <c r="AI135" i="19"/>
  <c r="AJ135" i="19"/>
  <c r="AK135" i="19"/>
  <c r="AL135" i="19"/>
  <c r="AM135" i="19"/>
  <c r="AN135" i="19"/>
  <c r="AO135" i="19"/>
  <c r="AP135" i="19"/>
  <c r="AQ135" i="19"/>
  <c r="AR135" i="19"/>
  <c r="AS135" i="19"/>
  <c r="AT135" i="19"/>
  <c r="AU135" i="19"/>
  <c r="AV135" i="19"/>
  <c r="AW135" i="19"/>
  <c r="AX135" i="19"/>
  <c r="AY135" i="19"/>
  <c r="AZ135" i="19"/>
  <c r="BA135" i="19"/>
  <c r="BB135" i="19"/>
  <c r="BC135" i="19"/>
  <c r="BD135" i="19"/>
  <c r="BE135" i="19"/>
  <c r="BF135" i="19"/>
  <c r="BG135" i="19"/>
  <c r="BH135" i="19"/>
  <c r="BI135" i="19"/>
  <c r="BJ135" i="19"/>
  <c r="BK135" i="19"/>
  <c r="BL135" i="19"/>
  <c r="BM135" i="19"/>
  <c r="BN135" i="19"/>
  <c r="BO135" i="19"/>
  <c r="BP135" i="19"/>
  <c r="BQ135" i="19"/>
  <c r="BR135" i="19"/>
  <c r="BS135" i="19"/>
  <c r="BT135" i="19"/>
  <c r="BU135" i="19"/>
  <c r="BV135" i="19"/>
  <c r="BW135" i="19"/>
  <c r="BX135" i="19"/>
  <c r="BY135" i="19"/>
  <c r="BZ135" i="19"/>
  <c r="CA135" i="19"/>
  <c r="CB135" i="19"/>
  <c r="CC135" i="19"/>
  <c r="CD135" i="19"/>
  <c r="CE135" i="19"/>
  <c r="CF135" i="19"/>
  <c r="CG135" i="19"/>
  <c r="CH135" i="19"/>
  <c r="CI135" i="19"/>
  <c r="CJ135" i="19"/>
  <c r="CK135" i="19"/>
  <c r="CL135" i="19"/>
  <c r="CM135" i="19"/>
  <c r="CN135" i="19"/>
  <c r="CO135" i="19"/>
  <c r="CP135" i="19"/>
  <c r="CQ135" i="19"/>
  <c r="CR135" i="19"/>
  <c r="CS135" i="19"/>
  <c r="CT135" i="19"/>
  <c r="CU135" i="19"/>
  <c r="CV135" i="19"/>
  <c r="CW135" i="19"/>
  <c r="CX135" i="19"/>
  <c r="CY135" i="19"/>
  <c r="CZ135" i="19"/>
  <c r="DA135" i="19"/>
  <c r="DB135" i="19"/>
  <c r="DC135" i="19"/>
  <c r="DD135" i="19"/>
  <c r="DE135" i="19"/>
  <c r="DF135" i="19"/>
  <c r="DG135" i="19"/>
  <c r="DH135" i="19"/>
  <c r="DI135" i="19"/>
  <c r="DJ135" i="19"/>
  <c r="DK135" i="19"/>
  <c r="DL135" i="19"/>
  <c r="DM135" i="19"/>
  <c r="DN135" i="19"/>
  <c r="DO135" i="19"/>
  <c r="DP135" i="19"/>
  <c r="DQ135" i="19"/>
  <c r="DR135" i="19"/>
  <c r="DS135" i="19"/>
  <c r="DT135" i="19"/>
  <c r="DU135" i="19"/>
  <c r="DV135" i="19"/>
  <c r="DW135" i="19"/>
  <c r="DX135" i="19"/>
  <c r="DY135" i="19"/>
  <c r="DZ135" i="19"/>
  <c r="EA135" i="19"/>
  <c r="EB135" i="19"/>
  <c r="EC135" i="19"/>
  <c r="ED135" i="19"/>
  <c r="EE135" i="19"/>
  <c r="EF135" i="19"/>
  <c r="EG135" i="19"/>
  <c r="EH135" i="19"/>
  <c r="EI135" i="19"/>
  <c r="EJ135" i="19"/>
  <c r="EK135" i="19"/>
  <c r="EL135" i="19"/>
  <c r="EM135" i="19"/>
  <c r="EN135" i="19"/>
  <c r="EO135" i="19"/>
  <c r="EP135" i="19"/>
  <c r="EQ135" i="19"/>
  <c r="ER135" i="19"/>
  <c r="ES135" i="19"/>
  <c r="ET135" i="19"/>
  <c r="EU135" i="19"/>
  <c r="EV135" i="19"/>
  <c r="EW135" i="19"/>
  <c r="EX135" i="19"/>
  <c r="EY135" i="19"/>
  <c r="EZ135" i="19"/>
  <c r="FA135" i="19"/>
  <c r="FB135" i="19"/>
  <c r="FC135" i="19"/>
  <c r="FD135" i="19"/>
  <c r="FE135" i="19"/>
  <c r="FF135" i="19"/>
  <c r="FG135" i="19"/>
  <c r="FH135" i="19"/>
  <c r="FI135" i="19"/>
  <c r="FJ135" i="19"/>
  <c r="FK135" i="19"/>
  <c r="FL135" i="19"/>
  <c r="FM135" i="19"/>
  <c r="FN135" i="19"/>
  <c r="FO135" i="19"/>
  <c r="FP135" i="19"/>
  <c r="FQ135" i="19"/>
  <c r="FR135" i="19"/>
  <c r="FS135" i="19"/>
  <c r="FT135" i="19"/>
  <c r="FU135" i="19"/>
  <c r="FV135" i="19"/>
  <c r="FW135" i="19"/>
  <c r="FX135" i="19"/>
  <c r="FY135" i="19"/>
  <c r="FZ135" i="19"/>
  <c r="GA135" i="19"/>
  <c r="GB135" i="19"/>
  <c r="GC135" i="19"/>
  <c r="GD135" i="19"/>
  <c r="GE135" i="19"/>
  <c r="GF135" i="19"/>
  <c r="GG135" i="19"/>
  <c r="GH135" i="19"/>
  <c r="GI135" i="19"/>
  <c r="GJ135" i="19"/>
  <c r="GK135" i="19"/>
  <c r="GL135" i="19"/>
  <c r="GM135" i="19"/>
  <c r="GN135" i="19"/>
  <c r="GO135" i="19"/>
  <c r="GP135" i="19"/>
  <c r="GQ135" i="19"/>
  <c r="GR135" i="19"/>
  <c r="GS135" i="19"/>
  <c r="GT135" i="19"/>
  <c r="GU135" i="19"/>
  <c r="GV135" i="19"/>
  <c r="GW135" i="19"/>
  <c r="GX135" i="19"/>
  <c r="GY135" i="19"/>
  <c r="GZ135" i="19"/>
  <c r="HA135" i="19"/>
  <c r="HB135" i="19"/>
  <c r="HC135" i="19"/>
  <c r="HD135" i="19"/>
  <c r="HE135" i="19"/>
  <c r="HF135" i="19"/>
  <c r="HG135" i="19"/>
  <c r="HH135" i="19"/>
  <c r="HI135" i="19"/>
  <c r="HJ135" i="19"/>
  <c r="HK135" i="19"/>
  <c r="HL135" i="19"/>
  <c r="HM135" i="19"/>
  <c r="HN135" i="19"/>
  <c r="HO135" i="19"/>
  <c r="HP135" i="19"/>
  <c r="HQ135" i="19"/>
  <c r="HR135" i="19"/>
  <c r="HS135" i="19"/>
  <c r="HT135" i="19"/>
  <c r="HU135" i="19"/>
  <c r="HV135" i="19"/>
  <c r="HW135" i="19"/>
  <c r="HX135" i="19"/>
  <c r="HY135" i="19"/>
  <c r="HZ135" i="19"/>
  <c r="IA135" i="19"/>
  <c r="IB135" i="19"/>
  <c r="IC135" i="19"/>
  <c r="ID135" i="19"/>
  <c r="IE135" i="19"/>
  <c r="IF135" i="19"/>
  <c r="IG135" i="19"/>
  <c r="IH135" i="19"/>
  <c r="II135" i="19"/>
  <c r="IJ135" i="19"/>
  <c r="IK135" i="19"/>
  <c r="IL135" i="19"/>
  <c r="IM135" i="19"/>
  <c r="IN135" i="19"/>
  <c r="IO135" i="19"/>
  <c r="IP135" i="19"/>
  <c r="IQ135" i="19"/>
  <c r="IR135" i="19"/>
  <c r="IS135" i="19"/>
  <c r="IT135" i="19"/>
  <c r="IU135" i="19"/>
  <c r="IV135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AD136" i="19"/>
  <c r="AE136" i="19"/>
  <c r="AF136" i="19"/>
  <c r="AG136" i="19"/>
  <c r="AH136" i="19"/>
  <c r="AI136" i="19"/>
  <c r="AJ136" i="19"/>
  <c r="AK136" i="19"/>
  <c r="AL136" i="19"/>
  <c r="AM136" i="19"/>
  <c r="AN136" i="19"/>
  <c r="AO136" i="19"/>
  <c r="AP136" i="19"/>
  <c r="AQ136" i="19"/>
  <c r="AR136" i="19"/>
  <c r="AS136" i="19"/>
  <c r="AT136" i="19"/>
  <c r="AU136" i="19"/>
  <c r="AV136" i="19"/>
  <c r="AW136" i="19"/>
  <c r="AX136" i="19"/>
  <c r="AY136" i="19"/>
  <c r="AZ136" i="19"/>
  <c r="BA136" i="19"/>
  <c r="BB136" i="19"/>
  <c r="BC136" i="19"/>
  <c r="BD136" i="19"/>
  <c r="BE136" i="19"/>
  <c r="BF136" i="19"/>
  <c r="BG136" i="19"/>
  <c r="BH136" i="19"/>
  <c r="BI136" i="19"/>
  <c r="BJ136" i="19"/>
  <c r="BK136" i="19"/>
  <c r="BL136" i="19"/>
  <c r="BM136" i="19"/>
  <c r="BN136" i="19"/>
  <c r="BO136" i="19"/>
  <c r="BP136" i="19"/>
  <c r="BQ136" i="19"/>
  <c r="BR136" i="19"/>
  <c r="BS136" i="19"/>
  <c r="BT136" i="19"/>
  <c r="BU136" i="19"/>
  <c r="BV136" i="19"/>
  <c r="BW136" i="19"/>
  <c r="BX136" i="19"/>
  <c r="BY136" i="19"/>
  <c r="BZ136" i="19"/>
  <c r="CA136" i="19"/>
  <c r="CB136" i="19"/>
  <c r="CC136" i="19"/>
  <c r="CD136" i="19"/>
  <c r="CE136" i="19"/>
  <c r="CF136" i="19"/>
  <c r="CG136" i="19"/>
  <c r="CH136" i="19"/>
  <c r="CI136" i="19"/>
  <c r="CJ136" i="19"/>
  <c r="CK136" i="19"/>
  <c r="CL136" i="19"/>
  <c r="CM136" i="19"/>
  <c r="CN136" i="19"/>
  <c r="CO136" i="19"/>
  <c r="CP136" i="19"/>
  <c r="CQ136" i="19"/>
  <c r="CR136" i="19"/>
  <c r="CS136" i="19"/>
  <c r="CT136" i="19"/>
  <c r="CU136" i="19"/>
  <c r="CV136" i="19"/>
  <c r="CW136" i="19"/>
  <c r="CX136" i="19"/>
  <c r="CY136" i="19"/>
  <c r="CZ136" i="19"/>
  <c r="DA136" i="19"/>
  <c r="DB136" i="19"/>
  <c r="DC136" i="19"/>
  <c r="DD136" i="19"/>
  <c r="DE136" i="19"/>
  <c r="DF136" i="19"/>
  <c r="DG136" i="19"/>
  <c r="DH136" i="19"/>
  <c r="DI136" i="19"/>
  <c r="DJ136" i="19"/>
  <c r="DK136" i="19"/>
  <c r="DL136" i="19"/>
  <c r="DM136" i="19"/>
  <c r="DN136" i="19"/>
  <c r="DO136" i="19"/>
  <c r="DP136" i="19"/>
  <c r="DQ136" i="19"/>
  <c r="DR136" i="19"/>
  <c r="DS136" i="19"/>
  <c r="DT136" i="19"/>
  <c r="DU136" i="19"/>
  <c r="DV136" i="19"/>
  <c r="DW136" i="19"/>
  <c r="DX136" i="19"/>
  <c r="DY136" i="19"/>
  <c r="DZ136" i="19"/>
  <c r="EA136" i="19"/>
  <c r="EB136" i="19"/>
  <c r="EC136" i="19"/>
  <c r="ED136" i="19"/>
  <c r="EE136" i="19"/>
  <c r="EF136" i="19"/>
  <c r="EG136" i="19"/>
  <c r="EH136" i="19"/>
  <c r="EI136" i="19"/>
  <c r="EJ136" i="19"/>
  <c r="EK136" i="19"/>
  <c r="EL136" i="19"/>
  <c r="EM136" i="19"/>
  <c r="EN136" i="19"/>
  <c r="EO136" i="19"/>
  <c r="EP136" i="19"/>
  <c r="EQ136" i="19"/>
  <c r="ER136" i="19"/>
  <c r="ES136" i="19"/>
  <c r="ET136" i="19"/>
  <c r="EU136" i="19"/>
  <c r="EV136" i="19"/>
  <c r="EW136" i="19"/>
  <c r="EX136" i="19"/>
  <c r="EY136" i="19"/>
  <c r="EZ136" i="19"/>
  <c r="FA136" i="19"/>
  <c r="FB136" i="19"/>
  <c r="FC136" i="19"/>
  <c r="FD136" i="19"/>
  <c r="FE136" i="19"/>
  <c r="FF136" i="19"/>
  <c r="FG136" i="19"/>
  <c r="FH136" i="19"/>
  <c r="FI136" i="19"/>
  <c r="FJ136" i="19"/>
  <c r="FK136" i="19"/>
  <c r="FL136" i="19"/>
  <c r="FM136" i="19"/>
  <c r="FN136" i="19"/>
  <c r="FO136" i="19"/>
  <c r="FP136" i="19"/>
  <c r="FQ136" i="19"/>
  <c r="FR136" i="19"/>
  <c r="FS136" i="19"/>
  <c r="FT136" i="19"/>
  <c r="FU136" i="19"/>
  <c r="FV136" i="19"/>
  <c r="FW136" i="19"/>
  <c r="FX136" i="19"/>
  <c r="FY136" i="19"/>
  <c r="FZ136" i="19"/>
  <c r="GA136" i="19"/>
  <c r="GB136" i="19"/>
  <c r="GC136" i="19"/>
  <c r="GD136" i="19"/>
  <c r="GE136" i="19"/>
  <c r="GF136" i="19"/>
  <c r="GG136" i="19"/>
  <c r="GH136" i="19"/>
  <c r="GI136" i="19"/>
  <c r="GJ136" i="19"/>
  <c r="GK136" i="19"/>
  <c r="GL136" i="19"/>
  <c r="GM136" i="19"/>
  <c r="GN136" i="19"/>
  <c r="GO136" i="19"/>
  <c r="GP136" i="19"/>
  <c r="GQ136" i="19"/>
  <c r="GR136" i="19"/>
  <c r="GS136" i="19"/>
  <c r="GT136" i="19"/>
  <c r="GU136" i="19"/>
  <c r="GV136" i="19"/>
  <c r="GW136" i="19"/>
  <c r="GX136" i="19"/>
  <c r="GY136" i="19"/>
  <c r="GZ136" i="19"/>
  <c r="HA136" i="19"/>
  <c r="HB136" i="19"/>
  <c r="HC136" i="19"/>
  <c r="HD136" i="19"/>
  <c r="HE136" i="19"/>
  <c r="HF136" i="19"/>
  <c r="HG136" i="19"/>
  <c r="HH136" i="19"/>
  <c r="HI136" i="19"/>
  <c r="HJ136" i="19"/>
  <c r="HK136" i="19"/>
  <c r="HL136" i="19"/>
  <c r="HM136" i="19"/>
  <c r="HN136" i="19"/>
  <c r="HO136" i="19"/>
  <c r="HP136" i="19"/>
  <c r="HQ136" i="19"/>
  <c r="HR136" i="19"/>
  <c r="HS136" i="19"/>
  <c r="HT136" i="19"/>
  <c r="HU136" i="19"/>
  <c r="HV136" i="19"/>
  <c r="HW136" i="19"/>
  <c r="HX136" i="19"/>
  <c r="HY136" i="19"/>
  <c r="HZ136" i="19"/>
  <c r="IA136" i="19"/>
  <c r="IB136" i="19"/>
  <c r="IC136" i="19"/>
  <c r="ID136" i="19"/>
  <c r="IE136" i="19"/>
  <c r="IF136" i="19"/>
  <c r="IG136" i="19"/>
  <c r="IH136" i="19"/>
  <c r="II136" i="19"/>
  <c r="IJ136" i="19"/>
  <c r="IK136" i="19"/>
  <c r="IL136" i="19"/>
  <c r="IM136" i="19"/>
  <c r="IN136" i="19"/>
  <c r="IO136" i="19"/>
  <c r="IP136" i="19"/>
  <c r="IQ136" i="19"/>
  <c r="IR136" i="19"/>
  <c r="IS136" i="19"/>
  <c r="IT136" i="19"/>
  <c r="IU136" i="19"/>
  <c r="IV136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AD137" i="19"/>
  <c r="AE137" i="19"/>
  <c r="AF137" i="19"/>
  <c r="AG137" i="19"/>
  <c r="AH137" i="19"/>
  <c r="AI137" i="19"/>
  <c r="AJ137" i="19"/>
  <c r="AK137" i="19"/>
  <c r="AL137" i="19"/>
  <c r="AM137" i="19"/>
  <c r="AN137" i="19"/>
  <c r="AO137" i="19"/>
  <c r="AP137" i="19"/>
  <c r="AQ137" i="19"/>
  <c r="AR137" i="19"/>
  <c r="AS137" i="19"/>
  <c r="AT137" i="19"/>
  <c r="AU137" i="19"/>
  <c r="AV137" i="19"/>
  <c r="AW137" i="19"/>
  <c r="AX137" i="19"/>
  <c r="AY137" i="19"/>
  <c r="AZ137" i="19"/>
  <c r="BA137" i="19"/>
  <c r="BB137" i="19"/>
  <c r="BC137" i="19"/>
  <c r="BD137" i="19"/>
  <c r="BE137" i="19"/>
  <c r="BF137" i="19"/>
  <c r="BG137" i="19"/>
  <c r="BH137" i="19"/>
  <c r="BI137" i="19"/>
  <c r="BJ137" i="19"/>
  <c r="BK137" i="19"/>
  <c r="BL137" i="19"/>
  <c r="BM137" i="19"/>
  <c r="BN137" i="19"/>
  <c r="BO137" i="19"/>
  <c r="BP137" i="19"/>
  <c r="BQ137" i="19"/>
  <c r="BR137" i="19"/>
  <c r="BS137" i="19"/>
  <c r="BT137" i="19"/>
  <c r="BU137" i="19"/>
  <c r="BV137" i="19"/>
  <c r="BW137" i="19"/>
  <c r="BX137" i="19"/>
  <c r="BY137" i="19"/>
  <c r="BZ137" i="19"/>
  <c r="CA137" i="19"/>
  <c r="CB137" i="19"/>
  <c r="CC137" i="19"/>
  <c r="CD137" i="19"/>
  <c r="CE137" i="19"/>
  <c r="CF137" i="19"/>
  <c r="CG137" i="19"/>
  <c r="CH137" i="19"/>
  <c r="CI137" i="19"/>
  <c r="CJ137" i="19"/>
  <c r="CK137" i="19"/>
  <c r="CL137" i="19"/>
  <c r="CM137" i="19"/>
  <c r="CN137" i="19"/>
  <c r="CO137" i="19"/>
  <c r="CP137" i="19"/>
  <c r="CQ137" i="19"/>
  <c r="CR137" i="19"/>
  <c r="CS137" i="19"/>
  <c r="CT137" i="19"/>
  <c r="CU137" i="19"/>
  <c r="CV137" i="19"/>
  <c r="CW137" i="19"/>
  <c r="CX137" i="19"/>
  <c r="CY137" i="19"/>
  <c r="CZ137" i="19"/>
  <c r="DA137" i="19"/>
  <c r="DB137" i="19"/>
  <c r="DC137" i="19"/>
  <c r="DD137" i="19"/>
  <c r="DE137" i="19"/>
  <c r="DF137" i="19"/>
  <c r="DG137" i="19"/>
  <c r="DH137" i="19"/>
  <c r="DI137" i="19"/>
  <c r="DJ137" i="19"/>
  <c r="DK137" i="19"/>
  <c r="DL137" i="19"/>
  <c r="DM137" i="19"/>
  <c r="DN137" i="19"/>
  <c r="DO137" i="19"/>
  <c r="DP137" i="19"/>
  <c r="DQ137" i="19"/>
  <c r="DR137" i="19"/>
  <c r="DS137" i="19"/>
  <c r="DT137" i="19"/>
  <c r="DU137" i="19"/>
  <c r="DV137" i="19"/>
  <c r="DW137" i="19"/>
  <c r="DX137" i="19"/>
  <c r="DY137" i="19"/>
  <c r="DZ137" i="19"/>
  <c r="EA137" i="19"/>
  <c r="EB137" i="19"/>
  <c r="EC137" i="19"/>
  <c r="ED137" i="19"/>
  <c r="EE137" i="19"/>
  <c r="EF137" i="19"/>
  <c r="EG137" i="19"/>
  <c r="EH137" i="19"/>
  <c r="EI137" i="19"/>
  <c r="EJ137" i="19"/>
  <c r="EK137" i="19"/>
  <c r="EL137" i="19"/>
  <c r="EM137" i="19"/>
  <c r="EN137" i="19"/>
  <c r="EO137" i="19"/>
  <c r="EP137" i="19"/>
  <c r="EQ137" i="19"/>
  <c r="ER137" i="19"/>
  <c r="ES137" i="19"/>
  <c r="ET137" i="19"/>
  <c r="EU137" i="19"/>
  <c r="EV137" i="19"/>
  <c r="EW137" i="19"/>
  <c r="EX137" i="19"/>
  <c r="EY137" i="19"/>
  <c r="EZ137" i="19"/>
  <c r="FA137" i="19"/>
  <c r="FB137" i="19"/>
  <c r="FC137" i="19"/>
  <c r="FD137" i="19"/>
  <c r="FE137" i="19"/>
  <c r="FF137" i="19"/>
  <c r="FG137" i="19"/>
  <c r="FH137" i="19"/>
  <c r="FI137" i="19"/>
  <c r="FJ137" i="19"/>
  <c r="FK137" i="19"/>
  <c r="FL137" i="19"/>
  <c r="FM137" i="19"/>
  <c r="FN137" i="19"/>
  <c r="FO137" i="19"/>
  <c r="FP137" i="19"/>
  <c r="FQ137" i="19"/>
  <c r="FR137" i="19"/>
  <c r="FS137" i="19"/>
  <c r="FT137" i="19"/>
  <c r="FU137" i="19"/>
  <c r="FV137" i="19"/>
  <c r="FW137" i="19"/>
  <c r="FX137" i="19"/>
  <c r="FY137" i="19"/>
  <c r="FZ137" i="19"/>
  <c r="GA137" i="19"/>
  <c r="GB137" i="19"/>
  <c r="GC137" i="19"/>
  <c r="GD137" i="19"/>
  <c r="GE137" i="19"/>
  <c r="GF137" i="19"/>
  <c r="GG137" i="19"/>
  <c r="GH137" i="19"/>
  <c r="GI137" i="19"/>
  <c r="GJ137" i="19"/>
  <c r="GK137" i="19"/>
  <c r="GL137" i="19"/>
  <c r="GM137" i="19"/>
  <c r="GN137" i="19"/>
  <c r="GO137" i="19"/>
  <c r="GP137" i="19"/>
  <c r="GQ137" i="19"/>
  <c r="GR137" i="19"/>
  <c r="GS137" i="19"/>
  <c r="GT137" i="19"/>
  <c r="GU137" i="19"/>
  <c r="GV137" i="19"/>
  <c r="GW137" i="19"/>
  <c r="GX137" i="19"/>
  <c r="GY137" i="19"/>
  <c r="GZ137" i="19"/>
  <c r="HA137" i="19"/>
  <c r="HB137" i="19"/>
  <c r="HC137" i="19"/>
  <c r="HD137" i="19"/>
  <c r="HE137" i="19"/>
  <c r="HF137" i="19"/>
  <c r="HG137" i="19"/>
  <c r="HH137" i="19"/>
  <c r="HI137" i="19"/>
  <c r="HJ137" i="19"/>
  <c r="HK137" i="19"/>
  <c r="HL137" i="19"/>
  <c r="HM137" i="19"/>
  <c r="HN137" i="19"/>
  <c r="HO137" i="19"/>
  <c r="HP137" i="19"/>
  <c r="HQ137" i="19"/>
  <c r="HR137" i="19"/>
  <c r="HS137" i="19"/>
  <c r="HT137" i="19"/>
  <c r="HU137" i="19"/>
  <c r="HV137" i="19"/>
  <c r="HW137" i="19"/>
  <c r="HX137" i="19"/>
  <c r="HY137" i="19"/>
  <c r="HZ137" i="19"/>
  <c r="IA137" i="19"/>
  <c r="IB137" i="19"/>
  <c r="IC137" i="19"/>
  <c r="ID137" i="19"/>
  <c r="IE137" i="19"/>
  <c r="IF137" i="19"/>
  <c r="IG137" i="19"/>
  <c r="IH137" i="19"/>
  <c r="II137" i="19"/>
  <c r="IJ137" i="19"/>
  <c r="IK137" i="19"/>
  <c r="IL137" i="19"/>
  <c r="IM137" i="19"/>
  <c r="IN137" i="19"/>
  <c r="IO137" i="19"/>
  <c r="IP137" i="19"/>
  <c r="IQ137" i="19"/>
  <c r="IR137" i="19"/>
  <c r="IS137" i="19"/>
  <c r="IT137" i="19"/>
  <c r="IU137" i="19"/>
  <c r="IV137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X138" i="19"/>
  <c r="Y138" i="19"/>
  <c r="Z138" i="19"/>
  <c r="AA138" i="19"/>
  <c r="AB138" i="19"/>
  <c r="AC138" i="19"/>
  <c r="AD138" i="19"/>
  <c r="AE138" i="19"/>
  <c r="AF138" i="19"/>
  <c r="AG138" i="19"/>
  <c r="AH138" i="19"/>
  <c r="AI138" i="19"/>
  <c r="AJ138" i="19"/>
  <c r="AK138" i="19"/>
  <c r="AL138" i="19"/>
  <c r="AM138" i="19"/>
  <c r="AN138" i="19"/>
  <c r="AO138" i="19"/>
  <c r="AP138" i="19"/>
  <c r="AQ138" i="19"/>
  <c r="AR138" i="19"/>
  <c r="AS138" i="19"/>
  <c r="AT138" i="19"/>
  <c r="AU138" i="19"/>
  <c r="AV138" i="19"/>
  <c r="AW138" i="19"/>
  <c r="AX138" i="19"/>
  <c r="AY138" i="19"/>
  <c r="AZ138" i="19"/>
  <c r="BA138" i="19"/>
  <c r="BB138" i="19"/>
  <c r="BC138" i="19"/>
  <c r="BD138" i="19"/>
  <c r="BE138" i="19"/>
  <c r="BF138" i="19"/>
  <c r="BG138" i="19"/>
  <c r="BH138" i="19"/>
  <c r="BI138" i="19"/>
  <c r="BJ138" i="19"/>
  <c r="BK138" i="19"/>
  <c r="BL138" i="19"/>
  <c r="BM138" i="19"/>
  <c r="BN138" i="19"/>
  <c r="BO138" i="19"/>
  <c r="BP138" i="19"/>
  <c r="BQ138" i="19"/>
  <c r="BR138" i="19"/>
  <c r="BS138" i="19"/>
  <c r="BT138" i="19"/>
  <c r="BU138" i="19"/>
  <c r="BV138" i="19"/>
  <c r="BW138" i="19"/>
  <c r="BX138" i="19"/>
  <c r="BY138" i="19"/>
  <c r="BZ138" i="19"/>
  <c r="CA138" i="19"/>
  <c r="CB138" i="19"/>
  <c r="CC138" i="19"/>
  <c r="CD138" i="19"/>
  <c r="CE138" i="19"/>
  <c r="CF138" i="19"/>
  <c r="CG138" i="19"/>
  <c r="CH138" i="19"/>
  <c r="CI138" i="19"/>
  <c r="CJ138" i="19"/>
  <c r="CK138" i="19"/>
  <c r="CL138" i="19"/>
  <c r="CM138" i="19"/>
  <c r="CN138" i="19"/>
  <c r="CO138" i="19"/>
  <c r="CP138" i="19"/>
  <c r="CQ138" i="19"/>
  <c r="CR138" i="19"/>
  <c r="CS138" i="19"/>
  <c r="CT138" i="19"/>
  <c r="CU138" i="19"/>
  <c r="CV138" i="19"/>
  <c r="CW138" i="19"/>
  <c r="CX138" i="19"/>
  <c r="CY138" i="19"/>
  <c r="CZ138" i="19"/>
  <c r="DA138" i="19"/>
  <c r="DB138" i="19"/>
  <c r="DC138" i="19"/>
  <c r="DD138" i="19"/>
  <c r="DE138" i="19"/>
  <c r="DF138" i="19"/>
  <c r="DG138" i="19"/>
  <c r="DH138" i="19"/>
  <c r="DI138" i="19"/>
  <c r="DJ138" i="19"/>
  <c r="DK138" i="19"/>
  <c r="DL138" i="19"/>
  <c r="DM138" i="19"/>
  <c r="DN138" i="19"/>
  <c r="DO138" i="19"/>
  <c r="DP138" i="19"/>
  <c r="DQ138" i="19"/>
  <c r="DR138" i="19"/>
  <c r="DS138" i="19"/>
  <c r="DT138" i="19"/>
  <c r="DU138" i="19"/>
  <c r="DV138" i="19"/>
  <c r="DW138" i="19"/>
  <c r="DX138" i="19"/>
  <c r="DY138" i="19"/>
  <c r="DZ138" i="19"/>
  <c r="EA138" i="19"/>
  <c r="EB138" i="19"/>
  <c r="EC138" i="19"/>
  <c r="ED138" i="19"/>
  <c r="EE138" i="19"/>
  <c r="EF138" i="19"/>
  <c r="EG138" i="19"/>
  <c r="EH138" i="19"/>
  <c r="EI138" i="19"/>
  <c r="EJ138" i="19"/>
  <c r="EK138" i="19"/>
  <c r="EL138" i="19"/>
  <c r="EM138" i="19"/>
  <c r="EN138" i="19"/>
  <c r="EO138" i="19"/>
  <c r="EP138" i="19"/>
  <c r="EQ138" i="19"/>
  <c r="ER138" i="19"/>
  <c r="ES138" i="19"/>
  <c r="ET138" i="19"/>
  <c r="EU138" i="19"/>
  <c r="EV138" i="19"/>
  <c r="EW138" i="19"/>
  <c r="EX138" i="19"/>
  <c r="EY138" i="19"/>
  <c r="EZ138" i="19"/>
  <c r="FA138" i="19"/>
  <c r="FB138" i="19"/>
  <c r="FC138" i="19"/>
  <c r="FD138" i="19"/>
  <c r="FE138" i="19"/>
  <c r="FF138" i="19"/>
  <c r="FG138" i="19"/>
  <c r="FH138" i="19"/>
  <c r="FI138" i="19"/>
  <c r="FJ138" i="19"/>
  <c r="FK138" i="19"/>
  <c r="FL138" i="19"/>
  <c r="FM138" i="19"/>
  <c r="FN138" i="19"/>
  <c r="FO138" i="19"/>
  <c r="FP138" i="19"/>
  <c r="FQ138" i="19"/>
  <c r="FR138" i="19"/>
  <c r="FS138" i="19"/>
  <c r="FT138" i="19"/>
  <c r="FU138" i="19"/>
  <c r="FV138" i="19"/>
  <c r="FW138" i="19"/>
  <c r="FX138" i="19"/>
  <c r="FY138" i="19"/>
  <c r="FZ138" i="19"/>
  <c r="GA138" i="19"/>
  <c r="GB138" i="19"/>
  <c r="GC138" i="19"/>
  <c r="GD138" i="19"/>
  <c r="GE138" i="19"/>
  <c r="GF138" i="19"/>
  <c r="GG138" i="19"/>
  <c r="GH138" i="19"/>
  <c r="GI138" i="19"/>
  <c r="GJ138" i="19"/>
  <c r="GK138" i="19"/>
  <c r="GL138" i="19"/>
  <c r="GM138" i="19"/>
  <c r="GN138" i="19"/>
  <c r="GO138" i="19"/>
  <c r="GP138" i="19"/>
  <c r="GQ138" i="19"/>
  <c r="GR138" i="19"/>
  <c r="GS138" i="19"/>
  <c r="GT138" i="19"/>
  <c r="GU138" i="19"/>
  <c r="GV138" i="19"/>
  <c r="GW138" i="19"/>
  <c r="GX138" i="19"/>
  <c r="GY138" i="19"/>
  <c r="GZ138" i="19"/>
  <c r="HA138" i="19"/>
  <c r="HB138" i="19"/>
  <c r="HC138" i="19"/>
  <c r="HD138" i="19"/>
  <c r="HE138" i="19"/>
  <c r="HF138" i="19"/>
  <c r="HG138" i="19"/>
  <c r="HH138" i="19"/>
  <c r="HI138" i="19"/>
  <c r="HJ138" i="19"/>
  <c r="HK138" i="19"/>
  <c r="HL138" i="19"/>
  <c r="HM138" i="19"/>
  <c r="HN138" i="19"/>
  <c r="HO138" i="19"/>
  <c r="HP138" i="19"/>
  <c r="HQ138" i="19"/>
  <c r="HR138" i="19"/>
  <c r="HS138" i="19"/>
  <c r="HT138" i="19"/>
  <c r="HU138" i="19"/>
  <c r="HV138" i="19"/>
  <c r="HW138" i="19"/>
  <c r="HX138" i="19"/>
  <c r="HY138" i="19"/>
  <c r="HZ138" i="19"/>
  <c r="IA138" i="19"/>
  <c r="IB138" i="19"/>
  <c r="IC138" i="19"/>
  <c r="ID138" i="19"/>
  <c r="IE138" i="19"/>
  <c r="IF138" i="19"/>
  <c r="IG138" i="19"/>
  <c r="IH138" i="19"/>
  <c r="II138" i="19"/>
  <c r="IJ138" i="19"/>
  <c r="IK138" i="19"/>
  <c r="IL138" i="19"/>
  <c r="IM138" i="19"/>
  <c r="IN138" i="19"/>
  <c r="IO138" i="19"/>
  <c r="IP138" i="19"/>
  <c r="IQ138" i="19"/>
  <c r="IR138" i="19"/>
  <c r="IS138" i="19"/>
  <c r="IT138" i="19"/>
  <c r="IU138" i="19"/>
  <c r="IV138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D139" i="19"/>
  <c r="AE139" i="19"/>
  <c r="AF139" i="19"/>
  <c r="AG139" i="19"/>
  <c r="AH139" i="19"/>
  <c r="AI139" i="19"/>
  <c r="AJ139" i="19"/>
  <c r="AK139" i="19"/>
  <c r="AL139" i="19"/>
  <c r="AM139" i="19"/>
  <c r="AN139" i="19"/>
  <c r="AO139" i="19"/>
  <c r="AP139" i="19"/>
  <c r="AQ139" i="19"/>
  <c r="AR139" i="19"/>
  <c r="AS139" i="19"/>
  <c r="AT139" i="19"/>
  <c r="AU139" i="19"/>
  <c r="AV139" i="19"/>
  <c r="AW139" i="19"/>
  <c r="AX139" i="19"/>
  <c r="AY139" i="19"/>
  <c r="AZ139" i="19"/>
  <c r="BA139" i="19"/>
  <c r="BB139" i="19"/>
  <c r="BC139" i="19"/>
  <c r="BD139" i="19"/>
  <c r="BE139" i="19"/>
  <c r="BF139" i="19"/>
  <c r="BG139" i="19"/>
  <c r="BH139" i="19"/>
  <c r="BI139" i="19"/>
  <c r="BJ139" i="19"/>
  <c r="BK139" i="19"/>
  <c r="BL139" i="19"/>
  <c r="BM139" i="19"/>
  <c r="BN139" i="19"/>
  <c r="BO139" i="19"/>
  <c r="BP139" i="19"/>
  <c r="BQ139" i="19"/>
  <c r="BR139" i="19"/>
  <c r="BS139" i="19"/>
  <c r="BT139" i="19"/>
  <c r="BU139" i="19"/>
  <c r="BV139" i="19"/>
  <c r="BW139" i="19"/>
  <c r="BX139" i="19"/>
  <c r="BY139" i="19"/>
  <c r="BZ139" i="19"/>
  <c r="CA139" i="19"/>
  <c r="CB139" i="19"/>
  <c r="CC139" i="19"/>
  <c r="CD139" i="19"/>
  <c r="CE139" i="19"/>
  <c r="CF139" i="19"/>
  <c r="CG139" i="19"/>
  <c r="CH139" i="19"/>
  <c r="CI139" i="19"/>
  <c r="CJ139" i="19"/>
  <c r="CK139" i="19"/>
  <c r="CL139" i="19"/>
  <c r="CM139" i="19"/>
  <c r="CN139" i="19"/>
  <c r="CO139" i="19"/>
  <c r="CP139" i="19"/>
  <c r="CQ139" i="19"/>
  <c r="CR139" i="19"/>
  <c r="CS139" i="19"/>
  <c r="CT139" i="19"/>
  <c r="CU139" i="19"/>
  <c r="CV139" i="19"/>
  <c r="CW139" i="19"/>
  <c r="CX139" i="19"/>
  <c r="CY139" i="19"/>
  <c r="CZ139" i="19"/>
  <c r="DA139" i="19"/>
  <c r="DB139" i="19"/>
  <c r="DC139" i="19"/>
  <c r="DD139" i="19"/>
  <c r="DE139" i="19"/>
  <c r="DF139" i="19"/>
  <c r="DG139" i="19"/>
  <c r="DH139" i="19"/>
  <c r="DI139" i="19"/>
  <c r="DJ139" i="19"/>
  <c r="DK139" i="19"/>
  <c r="DL139" i="19"/>
  <c r="DM139" i="19"/>
  <c r="DN139" i="19"/>
  <c r="DO139" i="19"/>
  <c r="DP139" i="19"/>
  <c r="DQ139" i="19"/>
  <c r="DR139" i="19"/>
  <c r="DS139" i="19"/>
  <c r="DT139" i="19"/>
  <c r="DU139" i="19"/>
  <c r="DV139" i="19"/>
  <c r="DW139" i="19"/>
  <c r="DX139" i="19"/>
  <c r="DY139" i="19"/>
  <c r="DZ139" i="19"/>
  <c r="EA139" i="19"/>
  <c r="EB139" i="19"/>
  <c r="EC139" i="19"/>
  <c r="ED139" i="19"/>
  <c r="EE139" i="19"/>
  <c r="EF139" i="19"/>
  <c r="EG139" i="19"/>
  <c r="EH139" i="19"/>
  <c r="EI139" i="19"/>
  <c r="EJ139" i="19"/>
  <c r="EK139" i="19"/>
  <c r="EL139" i="19"/>
  <c r="EM139" i="19"/>
  <c r="EN139" i="19"/>
  <c r="EO139" i="19"/>
  <c r="EP139" i="19"/>
  <c r="EQ139" i="19"/>
  <c r="ER139" i="19"/>
  <c r="ES139" i="19"/>
  <c r="ET139" i="19"/>
  <c r="EU139" i="19"/>
  <c r="EV139" i="19"/>
  <c r="EW139" i="19"/>
  <c r="EX139" i="19"/>
  <c r="EY139" i="19"/>
  <c r="EZ139" i="19"/>
  <c r="FA139" i="19"/>
  <c r="FB139" i="19"/>
  <c r="FC139" i="19"/>
  <c r="FD139" i="19"/>
  <c r="FE139" i="19"/>
  <c r="FF139" i="19"/>
  <c r="FG139" i="19"/>
  <c r="FH139" i="19"/>
  <c r="FI139" i="19"/>
  <c r="FJ139" i="19"/>
  <c r="FK139" i="19"/>
  <c r="FL139" i="19"/>
  <c r="FM139" i="19"/>
  <c r="FN139" i="19"/>
  <c r="FO139" i="19"/>
  <c r="FP139" i="19"/>
  <c r="FQ139" i="19"/>
  <c r="FR139" i="19"/>
  <c r="FS139" i="19"/>
  <c r="FT139" i="19"/>
  <c r="FU139" i="19"/>
  <c r="FV139" i="19"/>
  <c r="FW139" i="19"/>
  <c r="FX139" i="19"/>
  <c r="FY139" i="19"/>
  <c r="FZ139" i="19"/>
  <c r="GA139" i="19"/>
  <c r="GB139" i="19"/>
  <c r="GC139" i="19"/>
  <c r="GD139" i="19"/>
  <c r="GE139" i="19"/>
  <c r="GF139" i="19"/>
  <c r="GG139" i="19"/>
  <c r="GH139" i="19"/>
  <c r="GI139" i="19"/>
  <c r="GJ139" i="19"/>
  <c r="GK139" i="19"/>
  <c r="GL139" i="19"/>
  <c r="GM139" i="19"/>
  <c r="GN139" i="19"/>
  <c r="GO139" i="19"/>
  <c r="GP139" i="19"/>
  <c r="GQ139" i="19"/>
  <c r="GR139" i="19"/>
  <c r="GS139" i="19"/>
  <c r="GT139" i="19"/>
  <c r="GU139" i="19"/>
  <c r="GV139" i="19"/>
  <c r="GW139" i="19"/>
  <c r="GX139" i="19"/>
  <c r="GY139" i="19"/>
  <c r="GZ139" i="19"/>
  <c r="HA139" i="19"/>
  <c r="HB139" i="19"/>
  <c r="HC139" i="19"/>
  <c r="HD139" i="19"/>
  <c r="HE139" i="19"/>
  <c r="HF139" i="19"/>
  <c r="HG139" i="19"/>
  <c r="HH139" i="19"/>
  <c r="HI139" i="19"/>
  <c r="HJ139" i="19"/>
  <c r="HK139" i="19"/>
  <c r="HL139" i="19"/>
  <c r="HM139" i="19"/>
  <c r="HN139" i="19"/>
  <c r="HO139" i="19"/>
  <c r="HP139" i="19"/>
  <c r="HQ139" i="19"/>
  <c r="HR139" i="19"/>
  <c r="HS139" i="19"/>
  <c r="HT139" i="19"/>
  <c r="HU139" i="19"/>
  <c r="HV139" i="19"/>
  <c r="HW139" i="19"/>
  <c r="HX139" i="19"/>
  <c r="HY139" i="19"/>
  <c r="HZ139" i="19"/>
  <c r="IA139" i="19"/>
  <c r="IB139" i="19"/>
  <c r="IC139" i="19"/>
  <c r="ID139" i="19"/>
  <c r="IE139" i="19"/>
  <c r="IF139" i="19"/>
  <c r="IG139" i="19"/>
  <c r="IH139" i="19"/>
  <c r="II139" i="19"/>
  <c r="IJ139" i="19"/>
  <c r="IK139" i="19"/>
  <c r="IL139" i="19"/>
  <c r="IM139" i="19"/>
  <c r="IN139" i="19"/>
  <c r="IO139" i="19"/>
  <c r="IP139" i="19"/>
  <c r="IQ139" i="19"/>
  <c r="IR139" i="19"/>
  <c r="IS139" i="19"/>
  <c r="IT139" i="19"/>
  <c r="IU139" i="19"/>
  <c r="IV139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X140" i="19"/>
  <c r="Y140" i="19"/>
  <c r="Z140" i="19"/>
  <c r="AA140" i="19"/>
  <c r="AB140" i="19"/>
  <c r="AC140" i="19"/>
  <c r="AD140" i="19"/>
  <c r="AE140" i="19"/>
  <c r="AF140" i="19"/>
  <c r="AG140" i="19"/>
  <c r="AH140" i="19"/>
  <c r="AI140" i="19"/>
  <c r="AJ140" i="19"/>
  <c r="AK140" i="19"/>
  <c r="AL140" i="19"/>
  <c r="AM140" i="19"/>
  <c r="AN140" i="19"/>
  <c r="AO140" i="19"/>
  <c r="AP140" i="19"/>
  <c r="AQ140" i="19"/>
  <c r="AR140" i="19"/>
  <c r="AS140" i="19"/>
  <c r="AT140" i="19"/>
  <c r="AU140" i="19"/>
  <c r="AV140" i="19"/>
  <c r="AW140" i="19"/>
  <c r="AX140" i="19"/>
  <c r="AY140" i="19"/>
  <c r="AZ140" i="19"/>
  <c r="BA140" i="19"/>
  <c r="BB140" i="19"/>
  <c r="BC140" i="19"/>
  <c r="BD140" i="19"/>
  <c r="BE140" i="19"/>
  <c r="BF140" i="19"/>
  <c r="BG140" i="19"/>
  <c r="BH140" i="19"/>
  <c r="BI140" i="19"/>
  <c r="BJ140" i="19"/>
  <c r="BK140" i="19"/>
  <c r="BL140" i="19"/>
  <c r="BM140" i="19"/>
  <c r="BN140" i="19"/>
  <c r="BO140" i="19"/>
  <c r="BP140" i="19"/>
  <c r="BQ140" i="19"/>
  <c r="BR140" i="19"/>
  <c r="BS140" i="19"/>
  <c r="BT140" i="19"/>
  <c r="BU140" i="19"/>
  <c r="BV140" i="19"/>
  <c r="BW140" i="19"/>
  <c r="BX140" i="19"/>
  <c r="BY140" i="19"/>
  <c r="BZ140" i="19"/>
  <c r="CA140" i="19"/>
  <c r="CB140" i="19"/>
  <c r="CC140" i="19"/>
  <c r="CD140" i="19"/>
  <c r="CE140" i="19"/>
  <c r="CF140" i="19"/>
  <c r="CG140" i="19"/>
  <c r="CH140" i="19"/>
  <c r="CI140" i="19"/>
  <c r="CJ140" i="19"/>
  <c r="CK140" i="19"/>
  <c r="CL140" i="19"/>
  <c r="CM140" i="19"/>
  <c r="CN140" i="19"/>
  <c r="CO140" i="19"/>
  <c r="CP140" i="19"/>
  <c r="CQ140" i="19"/>
  <c r="CR140" i="19"/>
  <c r="CS140" i="19"/>
  <c r="CT140" i="19"/>
  <c r="CU140" i="19"/>
  <c r="CV140" i="19"/>
  <c r="CW140" i="19"/>
  <c r="CX140" i="19"/>
  <c r="CY140" i="19"/>
  <c r="CZ140" i="19"/>
  <c r="DA140" i="19"/>
  <c r="DB140" i="19"/>
  <c r="DC140" i="19"/>
  <c r="DD140" i="19"/>
  <c r="DE140" i="19"/>
  <c r="DF140" i="19"/>
  <c r="DG140" i="19"/>
  <c r="DH140" i="19"/>
  <c r="DI140" i="19"/>
  <c r="DJ140" i="19"/>
  <c r="DK140" i="19"/>
  <c r="DL140" i="19"/>
  <c r="DM140" i="19"/>
  <c r="DN140" i="19"/>
  <c r="DO140" i="19"/>
  <c r="DP140" i="19"/>
  <c r="DQ140" i="19"/>
  <c r="DR140" i="19"/>
  <c r="DS140" i="19"/>
  <c r="DT140" i="19"/>
  <c r="DU140" i="19"/>
  <c r="DV140" i="19"/>
  <c r="DW140" i="19"/>
  <c r="DX140" i="19"/>
  <c r="DY140" i="19"/>
  <c r="DZ140" i="19"/>
  <c r="EA140" i="19"/>
  <c r="EB140" i="19"/>
  <c r="EC140" i="19"/>
  <c r="ED140" i="19"/>
  <c r="EE140" i="19"/>
  <c r="EF140" i="19"/>
  <c r="EG140" i="19"/>
  <c r="EH140" i="19"/>
  <c r="EI140" i="19"/>
  <c r="EJ140" i="19"/>
  <c r="EK140" i="19"/>
  <c r="EL140" i="19"/>
  <c r="EM140" i="19"/>
  <c r="EN140" i="19"/>
  <c r="EO140" i="19"/>
  <c r="EP140" i="19"/>
  <c r="EQ140" i="19"/>
  <c r="ER140" i="19"/>
  <c r="ES140" i="19"/>
  <c r="ET140" i="19"/>
  <c r="EU140" i="19"/>
  <c r="EV140" i="19"/>
  <c r="EW140" i="19"/>
  <c r="EX140" i="19"/>
  <c r="EY140" i="19"/>
  <c r="EZ140" i="19"/>
  <c r="FA140" i="19"/>
  <c r="FB140" i="19"/>
  <c r="FC140" i="19"/>
  <c r="FD140" i="19"/>
  <c r="FE140" i="19"/>
  <c r="FF140" i="19"/>
  <c r="FG140" i="19"/>
  <c r="FH140" i="19"/>
  <c r="FI140" i="19"/>
  <c r="FJ140" i="19"/>
  <c r="FK140" i="19"/>
  <c r="FL140" i="19"/>
  <c r="FM140" i="19"/>
  <c r="FN140" i="19"/>
  <c r="FO140" i="19"/>
  <c r="FP140" i="19"/>
  <c r="FQ140" i="19"/>
  <c r="FR140" i="19"/>
  <c r="FS140" i="19"/>
  <c r="FT140" i="19"/>
  <c r="FU140" i="19"/>
  <c r="FV140" i="19"/>
  <c r="FW140" i="19"/>
  <c r="FX140" i="19"/>
  <c r="FY140" i="19"/>
  <c r="FZ140" i="19"/>
  <c r="GA140" i="19"/>
  <c r="GB140" i="19"/>
  <c r="GC140" i="19"/>
  <c r="GD140" i="19"/>
  <c r="GE140" i="19"/>
  <c r="GF140" i="19"/>
  <c r="GG140" i="19"/>
  <c r="GH140" i="19"/>
  <c r="GI140" i="19"/>
  <c r="GJ140" i="19"/>
  <c r="GK140" i="19"/>
  <c r="GL140" i="19"/>
  <c r="GM140" i="19"/>
  <c r="GN140" i="19"/>
  <c r="GO140" i="19"/>
  <c r="GP140" i="19"/>
  <c r="GQ140" i="19"/>
  <c r="GR140" i="19"/>
  <c r="GS140" i="19"/>
  <c r="GT140" i="19"/>
  <c r="GU140" i="19"/>
  <c r="GV140" i="19"/>
  <c r="GW140" i="19"/>
  <c r="GX140" i="19"/>
  <c r="GY140" i="19"/>
  <c r="GZ140" i="19"/>
  <c r="HA140" i="19"/>
  <c r="HB140" i="19"/>
  <c r="HC140" i="19"/>
  <c r="HD140" i="19"/>
  <c r="HE140" i="19"/>
  <c r="HF140" i="19"/>
  <c r="HG140" i="19"/>
  <c r="HH140" i="19"/>
  <c r="HI140" i="19"/>
  <c r="HJ140" i="19"/>
  <c r="HK140" i="19"/>
  <c r="HL140" i="19"/>
  <c r="HM140" i="19"/>
  <c r="HN140" i="19"/>
  <c r="HO140" i="19"/>
  <c r="HP140" i="19"/>
  <c r="HQ140" i="19"/>
  <c r="HR140" i="19"/>
  <c r="HS140" i="19"/>
  <c r="HT140" i="19"/>
  <c r="HU140" i="19"/>
  <c r="HV140" i="19"/>
  <c r="HW140" i="19"/>
  <c r="HX140" i="19"/>
  <c r="HY140" i="19"/>
  <c r="HZ140" i="19"/>
  <c r="IA140" i="19"/>
  <c r="IB140" i="19"/>
  <c r="IC140" i="19"/>
  <c r="ID140" i="19"/>
  <c r="IE140" i="19"/>
  <c r="IF140" i="19"/>
  <c r="IG140" i="19"/>
  <c r="IH140" i="19"/>
  <c r="II140" i="19"/>
  <c r="IJ140" i="19"/>
  <c r="IK140" i="19"/>
  <c r="IL140" i="19"/>
  <c r="IM140" i="19"/>
  <c r="IN140" i="19"/>
  <c r="IO140" i="19"/>
  <c r="IP140" i="19"/>
  <c r="IQ140" i="19"/>
  <c r="IR140" i="19"/>
  <c r="IS140" i="19"/>
  <c r="IT140" i="19"/>
  <c r="IU140" i="19"/>
  <c r="IV140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X141" i="19"/>
  <c r="Y141" i="19"/>
  <c r="Z141" i="19"/>
  <c r="AA141" i="19"/>
  <c r="AB141" i="19"/>
  <c r="AC141" i="19"/>
  <c r="AD141" i="19"/>
  <c r="AE141" i="19"/>
  <c r="AF141" i="19"/>
  <c r="AG141" i="19"/>
  <c r="AH141" i="19"/>
  <c r="AI141" i="19"/>
  <c r="AJ141" i="19"/>
  <c r="AK141" i="19"/>
  <c r="AL141" i="19"/>
  <c r="AM141" i="19"/>
  <c r="AN141" i="19"/>
  <c r="AO141" i="19"/>
  <c r="AP141" i="19"/>
  <c r="AQ141" i="19"/>
  <c r="AR141" i="19"/>
  <c r="AS141" i="19"/>
  <c r="AT141" i="19"/>
  <c r="AU141" i="19"/>
  <c r="AV141" i="19"/>
  <c r="AW141" i="19"/>
  <c r="AX141" i="19"/>
  <c r="AY141" i="19"/>
  <c r="AZ141" i="19"/>
  <c r="BA141" i="19"/>
  <c r="BB141" i="19"/>
  <c r="BC141" i="19"/>
  <c r="BD141" i="19"/>
  <c r="BE141" i="19"/>
  <c r="BF141" i="19"/>
  <c r="BG141" i="19"/>
  <c r="BH141" i="19"/>
  <c r="BI141" i="19"/>
  <c r="BJ141" i="19"/>
  <c r="BK141" i="19"/>
  <c r="BL141" i="19"/>
  <c r="BM141" i="19"/>
  <c r="BN141" i="19"/>
  <c r="BO141" i="19"/>
  <c r="BP141" i="19"/>
  <c r="BQ141" i="19"/>
  <c r="BR141" i="19"/>
  <c r="BS141" i="19"/>
  <c r="BT141" i="19"/>
  <c r="BU141" i="19"/>
  <c r="BV141" i="19"/>
  <c r="BW141" i="19"/>
  <c r="BX141" i="19"/>
  <c r="BY141" i="19"/>
  <c r="BZ141" i="19"/>
  <c r="CA141" i="19"/>
  <c r="CB141" i="19"/>
  <c r="CC141" i="19"/>
  <c r="CD141" i="19"/>
  <c r="CE141" i="19"/>
  <c r="CF141" i="19"/>
  <c r="CG141" i="19"/>
  <c r="CH141" i="19"/>
  <c r="CI141" i="19"/>
  <c r="CJ141" i="19"/>
  <c r="CK141" i="19"/>
  <c r="CL141" i="19"/>
  <c r="CM141" i="19"/>
  <c r="CN141" i="19"/>
  <c r="CO141" i="19"/>
  <c r="CP141" i="19"/>
  <c r="CQ141" i="19"/>
  <c r="CR141" i="19"/>
  <c r="CS141" i="19"/>
  <c r="CT141" i="19"/>
  <c r="CU141" i="19"/>
  <c r="CV141" i="19"/>
  <c r="CW141" i="19"/>
  <c r="CX141" i="19"/>
  <c r="CY141" i="19"/>
  <c r="CZ141" i="19"/>
  <c r="DA141" i="19"/>
  <c r="DB141" i="19"/>
  <c r="DC141" i="19"/>
  <c r="DD141" i="19"/>
  <c r="DE141" i="19"/>
  <c r="DF141" i="19"/>
  <c r="DG141" i="19"/>
  <c r="DH141" i="19"/>
  <c r="DI141" i="19"/>
  <c r="DJ141" i="19"/>
  <c r="DK141" i="19"/>
  <c r="DL141" i="19"/>
  <c r="DM141" i="19"/>
  <c r="DN141" i="19"/>
  <c r="DO141" i="19"/>
  <c r="DP141" i="19"/>
  <c r="DQ141" i="19"/>
  <c r="DR141" i="19"/>
  <c r="DS141" i="19"/>
  <c r="DT141" i="19"/>
  <c r="DU141" i="19"/>
  <c r="DV141" i="19"/>
  <c r="DW141" i="19"/>
  <c r="DX141" i="19"/>
  <c r="DY141" i="19"/>
  <c r="DZ141" i="19"/>
  <c r="EA141" i="19"/>
  <c r="EB141" i="19"/>
  <c r="EC141" i="19"/>
  <c r="ED141" i="19"/>
  <c r="EE141" i="19"/>
  <c r="EF141" i="19"/>
  <c r="EG141" i="19"/>
  <c r="EH141" i="19"/>
  <c r="EI141" i="19"/>
  <c r="EJ141" i="19"/>
  <c r="EK141" i="19"/>
  <c r="EL141" i="19"/>
  <c r="EM141" i="19"/>
  <c r="EN141" i="19"/>
  <c r="EO141" i="19"/>
  <c r="EP141" i="19"/>
  <c r="EQ141" i="19"/>
  <c r="ER141" i="19"/>
  <c r="ES141" i="19"/>
  <c r="ET141" i="19"/>
  <c r="EU141" i="19"/>
  <c r="EV141" i="19"/>
  <c r="EW141" i="19"/>
  <c r="EX141" i="19"/>
  <c r="EY141" i="19"/>
  <c r="EZ141" i="19"/>
  <c r="FA141" i="19"/>
  <c r="FB141" i="19"/>
  <c r="FC141" i="19"/>
  <c r="FD141" i="19"/>
  <c r="FE141" i="19"/>
  <c r="FF141" i="19"/>
  <c r="FG141" i="19"/>
  <c r="FH141" i="19"/>
  <c r="FI141" i="19"/>
  <c r="FJ141" i="19"/>
  <c r="FK141" i="19"/>
  <c r="FL141" i="19"/>
  <c r="FM141" i="19"/>
  <c r="FN141" i="19"/>
  <c r="FO141" i="19"/>
  <c r="FP141" i="19"/>
  <c r="FQ141" i="19"/>
  <c r="FR141" i="19"/>
  <c r="FS141" i="19"/>
  <c r="FT141" i="19"/>
  <c r="FU141" i="19"/>
  <c r="FV141" i="19"/>
  <c r="FW141" i="19"/>
  <c r="FX141" i="19"/>
  <c r="FY141" i="19"/>
  <c r="FZ141" i="19"/>
  <c r="GA141" i="19"/>
  <c r="GB141" i="19"/>
  <c r="GC141" i="19"/>
  <c r="GD141" i="19"/>
  <c r="GE141" i="19"/>
  <c r="GF141" i="19"/>
  <c r="GG141" i="19"/>
  <c r="GH141" i="19"/>
  <c r="GI141" i="19"/>
  <c r="GJ141" i="19"/>
  <c r="GK141" i="19"/>
  <c r="GL141" i="19"/>
  <c r="GM141" i="19"/>
  <c r="GN141" i="19"/>
  <c r="GO141" i="19"/>
  <c r="GP141" i="19"/>
  <c r="GQ141" i="19"/>
  <c r="GR141" i="19"/>
  <c r="GS141" i="19"/>
  <c r="GT141" i="19"/>
  <c r="GU141" i="19"/>
  <c r="GV141" i="19"/>
  <c r="GW141" i="19"/>
  <c r="GX141" i="19"/>
  <c r="GY141" i="19"/>
  <c r="GZ141" i="19"/>
  <c r="HA141" i="19"/>
  <c r="HB141" i="19"/>
  <c r="HC141" i="19"/>
  <c r="HD141" i="19"/>
  <c r="HE141" i="19"/>
  <c r="HF141" i="19"/>
  <c r="HG141" i="19"/>
  <c r="HH141" i="19"/>
  <c r="HI141" i="19"/>
  <c r="HJ141" i="19"/>
  <c r="HK141" i="19"/>
  <c r="HL141" i="19"/>
  <c r="HM141" i="19"/>
  <c r="HN141" i="19"/>
  <c r="HO141" i="19"/>
  <c r="HP141" i="19"/>
  <c r="HQ141" i="19"/>
  <c r="HR141" i="19"/>
  <c r="HS141" i="19"/>
  <c r="HT141" i="19"/>
  <c r="HU141" i="19"/>
  <c r="HV141" i="19"/>
  <c r="HW141" i="19"/>
  <c r="HX141" i="19"/>
  <c r="HY141" i="19"/>
  <c r="HZ141" i="19"/>
  <c r="IA141" i="19"/>
  <c r="IB141" i="19"/>
  <c r="IC141" i="19"/>
  <c r="ID141" i="19"/>
  <c r="IE141" i="19"/>
  <c r="IF141" i="19"/>
  <c r="IG141" i="19"/>
  <c r="IH141" i="19"/>
  <c r="II141" i="19"/>
  <c r="IJ141" i="19"/>
  <c r="IK141" i="19"/>
  <c r="IL141" i="19"/>
  <c r="IM141" i="19"/>
  <c r="IN141" i="19"/>
  <c r="IO141" i="19"/>
  <c r="IP141" i="19"/>
  <c r="IQ141" i="19"/>
  <c r="IR141" i="19"/>
  <c r="IS141" i="19"/>
  <c r="IT141" i="19"/>
  <c r="IU141" i="19"/>
  <c r="IV141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AD142" i="19"/>
  <c r="AE142" i="19"/>
  <c r="AF142" i="19"/>
  <c r="AG142" i="19"/>
  <c r="AH142" i="19"/>
  <c r="AI142" i="19"/>
  <c r="AJ142" i="19"/>
  <c r="AK142" i="19"/>
  <c r="AL142" i="19"/>
  <c r="AM142" i="19"/>
  <c r="AN142" i="19"/>
  <c r="AO142" i="19"/>
  <c r="AP142" i="19"/>
  <c r="AQ142" i="19"/>
  <c r="AR142" i="19"/>
  <c r="AS142" i="19"/>
  <c r="AT142" i="19"/>
  <c r="AU142" i="19"/>
  <c r="AV142" i="19"/>
  <c r="AW142" i="19"/>
  <c r="AX142" i="19"/>
  <c r="AY142" i="19"/>
  <c r="AZ142" i="19"/>
  <c r="BA142" i="19"/>
  <c r="BB142" i="19"/>
  <c r="BC142" i="19"/>
  <c r="BD142" i="19"/>
  <c r="BE142" i="19"/>
  <c r="BF142" i="19"/>
  <c r="BG142" i="19"/>
  <c r="BH142" i="19"/>
  <c r="BI142" i="19"/>
  <c r="BJ142" i="19"/>
  <c r="BK142" i="19"/>
  <c r="BL142" i="19"/>
  <c r="BM142" i="19"/>
  <c r="BN142" i="19"/>
  <c r="BO142" i="19"/>
  <c r="BP142" i="19"/>
  <c r="BQ142" i="19"/>
  <c r="BR142" i="19"/>
  <c r="BS142" i="19"/>
  <c r="BT142" i="19"/>
  <c r="BU142" i="19"/>
  <c r="BV142" i="19"/>
  <c r="BW142" i="19"/>
  <c r="BX142" i="19"/>
  <c r="BY142" i="19"/>
  <c r="BZ142" i="19"/>
  <c r="CA142" i="19"/>
  <c r="CB142" i="19"/>
  <c r="CC142" i="19"/>
  <c r="CD142" i="19"/>
  <c r="CE142" i="19"/>
  <c r="CF142" i="19"/>
  <c r="CG142" i="19"/>
  <c r="CH142" i="19"/>
  <c r="CI142" i="19"/>
  <c r="CJ142" i="19"/>
  <c r="CK142" i="19"/>
  <c r="CL142" i="19"/>
  <c r="CM142" i="19"/>
  <c r="CN142" i="19"/>
  <c r="CO142" i="19"/>
  <c r="CP142" i="19"/>
  <c r="CQ142" i="19"/>
  <c r="CR142" i="19"/>
  <c r="CS142" i="19"/>
  <c r="CT142" i="19"/>
  <c r="CU142" i="19"/>
  <c r="CV142" i="19"/>
  <c r="CW142" i="19"/>
  <c r="CX142" i="19"/>
  <c r="CY142" i="19"/>
  <c r="CZ142" i="19"/>
  <c r="DA142" i="19"/>
  <c r="DB142" i="19"/>
  <c r="DC142" i="19"/>
  <c r="DD142" i="19"/>
  <c r="DE142" i="19"/>
  <c r="DF142" i="19"/>
  <c r="DG142" i="19"/>
  <c r="DH142" i="19"/>
  <c r="DI142" i="19"/>
  <c r="DJ142" i="19"/>
  <c r="DK142" i="19"/>
  <c r="DL142" i="19"/>
  <c r="DM142" i="19"/>
  <c r="DN142" i="19"/>
  <c r="DO142" i="19"/>
  <c r="DP142" i="19"/>
  <c r="DQ142" i="19"/>
  <c r="DR142" i="19"/>
  <c r="DS142" i="19"/>
  <c r="DT142" i="19"/>
  <c r="DU142" i="19"/>
  <c r="DV142" i="19"/>
  <c r="DW142" i="19"/>
  <c r="DX142" i="19"/>
  <c r="DY142" i="19"/>
  <c r="DZ142" i="19"/>
  <c r="EA142" i="19"/>
  <c r="EB142" i="19"/>
  <c r="EC142" i="19"/>
  <c r="ED142" i="19"/>
  <c r="EE142" i="19"/>
  <c r="EF142" i="19"/>
  <c r="EG142" i="19"/>
  <c r="EH142" i="19"/>
  <c r="EI142" i="19"/>
  <c r="EJ142" i="19"/>
  <c r="EK142" i="19"/>
  <c r="EL142" i="19"/>
  <c r="EM142" i="19"/>
  <c r="EN142" i="19"/>
  <c r="EO142" i="19"/>
  <c r="EP142" i="19"/>
  <c r="EQ142" i="19"/>
  <c r="ER142" i="19"/>
  <c r="ES142" i="19"/>
  <c r="ET142" i="19"/>
  <c r="EU142" i="19"/>
  <c r="EV142" i="19"/>
  <c r="EW142" i="19"/>
  <c r="EX142" i="19"/>
  <c r="EY142" i="19"/>
  <c r="EZ142" i="19"/>
  <c r="FA142" i="19"/>
  <c r="FB142" i="19"/>
  <c r="FC142" i="19"/>
  <c r="FD142" i="19"/>
  <c r="FE142" i="19"/>
  <c r="FF142" i="19"/>
  <c r="FG142" i="19"/>
  <c r="FH142" i="19"/>
  <c r="FI142" i="19"/>
  <c r="FJ142" i="19"/>
  <c r="FK142" i="19"/>
  <c r="FL142" i="19"/>
  <c r="FM142" i="19"/>
  <c r="FN142" i="19"/>
  <c r="FO142" i="19"/>
  <c r="FP142" i="19"/>
  <c r="FQ142" i="19"/>
  <c r="FR142" i="19"/>
  <c r="FS142" i="19"/>
  <c r="FT142" i="19"/>
  <c r="FU142" i="19"/>
  <c r="FV142" i="19"/>
  <c r="FW142" i="19"/>
  <c r="FX142" i="19"/>
  <c r="FY142" i="19"/>
  <c r="FZ142" i="19"/>
  <c r="GA142" i="19"/>
  <c r="GB142" i="19"/>
  <c r="GC142" i="19"/>
  <c r="GD142" i="19"/>
  <c r="GE142" i="19"/>
  <c r="GF142" i="19"/>
  <c r="GG142" i="19"/>
  <c r="GH142" i="19"/>
  <c r="GI142" i="19"/>
  <c r="GJ142" i="19"/>
  <c r="GK142" i="19"/>
  <c r="GL142" i="19"/>
  <c r="GM142" i="19"/>
  <c r="GN142" i="19"/>
  <c r="GO142" i="19"/>
  <c r="GP142" i="19"/>
  <c r="GQ142" i="19"/>
  <c r="GR142" i="19"/>
  <c r="GS142" i="19"/>
  <c r="GT142" i="19"/>
  <c r="GU142" i="19"/>
  <c r="GV142" i="19"/>
  <c r="GW142" i="19"/>
  <c r="GX142" i="19"/>
  <c r="GY142" i="19"/>
  <c r="GZ142" i="19"/>
  <c r="HA142" i="19"/>
  <c r="HB142" i="19"/>
  <c r="HC142" i="19"/>
  <c r="HD142" i="19"/>
  <c r="HE142" i="19"/>
  <c r="HF142" i="19"/>
  <c r="HG142" i="19"/>
  <c r="HH142" i="19"/>
  <c r="HI142" i="19"/>
  <c r="HJ142" i="19"/>
  <c r="HK142" i="19"/>
  <c r="HL142" i="19"/>
  <c r="HM142" i="19"/>
  <c r="HN142" i="19"/>
  <c r="HO142" i="19"/>
  <c r="HP142" i="19"/>
  <c r="HQ142" i="19"/>
  <c r="HR142" i="19"/>
  <c r="HS142" i="19"/>
  <c r="HT142" i="19"/>
  <c r="HU142" i="19"/>
  <c r="HV142" i="19"/>
  <c r="HW142" i="19"/>
  <c r="HX142" i="19"/>
  <c r="HY142" i="19"/>
  <c r="HZ142" i="19"/>
  <c r="IA142" i="19"/>
  <c r="IB142" i="19"/>
  <c r="IC142" i="19"/>
  <c r="ID142" i="19"/>
  <c r="IE142" i="19"/>
  <c r="IF142" i="19"/>
  <c r="IG142" i="19"/>
  <c r="IH142" i="19"/>
  <c r="II142" i="19"/>
  <c r="IJ142" i="19"/>
  <c r="IK142" i="19"/>
  <c r="IL142" i="19"/>
  <c r="IM142" i="19"/>
  <c r="IN142" i="19"/>
  <c r="IO142" i="19"/>
  <c r="IP142" i="19"/>
  <c r="IQ142" i="19"/>
  <c r="IR142" i="19"/>
  <c r="IS142" i="19"/>
  <c r="IT142" i="19"/>
  <c r="IU142" i="19"/>
  <c r="IV142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AD143" i="19"/>
  <c r="AE143" i="19"/>
  <c r="AF143" i="19"/>
  <c r="AG143" i="19"/>
  <c r="AH143" i="19"/>
  <c r="AI143" i="19"/>
  <c r="AJ143" i="19"/>
  <c r="AK143" i="19"/>
  <c r="AL143" i="19"/>
  <c r="AM143" i="19"/>
  <c r="AN143" i="19"/>
  <c r="AO143" i="19"/>
  <c r="AP143" i="19"/>
  <c r="AQ143" i="19"/>
  <c r="AR143" i="19"/>
  <c r="AS143" i="19"/>
  <c r="AT143" i="19"/>
  <c r="AU143" i="19"/>
  <c r="AV143" i="19"/>
  <c r="AW143" i="19"/>
  <c r="AX143" i="19"/>
  <c r="AY143" i="19"/>
  <c r="AZ143" i="19"/>
  <c r="BA143" i="19"/>
  <c r="BB143" i="19"/>
  <c r="BC143" i="19"/>
  <c r="BD143" i="19"/>
  <c r="BE143" i="19"/>
  <c r="BF143" i="19"/>
  <c r="BG143" i="19"/>
  <c r="BH143" i="19"/>
  <c r="BI143" i="19"/>
  <c r="BJ143" i="19"/>
  <c r="BK143" i="19"/>
  <c r="BL143" i="19"/>
  <c r="BM143" i="19"/>
  <c r="BN143" i="19"/>
  <c r="BO143" i="19"/>
  <c r="BP143" i="19"/>
  <c r="BQ143" i="19"/>
  <c r="BR143" i="19"/>
  <c r="BS143" i="19"/>
  <c r="BT143" i="19"/>
  <c r="BU143" i="19"/>
  <c r="BV143" i="19"/>
  <c r="BW143" i="19"/>
  <c r="BX143" i="19"/>
  <c r="BY143" i="19"/>
  <c r="BZ143" i="19"/>
  <c r="CA143" i="19"/>
  <c r="CB143" i="19"/>
  <c r="CC143" i="19"/>
  <c r="CD143" i="19"/>
  <c r="CE143" i="19"/>
  <c r="CF143" i="19"/>
  <c r="CG143" i="19"/>
  <c r="CH143" i="19"/>
  <c r="CI143" i="19"/>
  <c r="CJ143" i="19"/>
  <c r="CK143" i="19"/>
  <c r="CL143" i="19"/>
  <c r="CM143" i="19"/>
  <c r="CN143" i="19"/>
  <c r="CO143" i="19"/>
  <c r="CP143" i="19"/>
  <c r="CQ143" i="19"/>
  <c r="CR143" i="19"/>
  <c r="CS143" i="19"/>
  <c r="CT143" i="19"/>
  <c r="CU143" i="19"/>
  <c r="CV143" i="19"/>
  <c r="CW143" i="19"/>
  <c r="CX143" i="19"/>
  <c r="CY143" i="19"/>
  <c r="CZ143" i="19"/>
  <c r="DA143" i="19"/>
  <c r="DB143" i="19"/>
  <c r="DC143" i="19"/>
  <c r="DD143" i="19"/>
  <c r="DE143" i="19"/>
  <c r="DF143" i="19"/>
  <c r="DG143" i="19"/>
  <c r="DH143" i="19"/>
  <c r="DI143" i="19"/>
  <c r="DJ143" i="19"/>
  <c r="DK143" i="19"/>
  <c r="DL143" i="19"/>
  <c r="DM143" i="19"/>
  <c r="DN143" i="19"/>
  <c r="DO143" i="19"/>
  <c r="DP143" i="19"/>
  <c r="DQ143" i="19"/>
  <c r="DR143" i="19"/>
  <c r="DS143" i="19"/>
  <c r="DT143" i="19"/>
  <c r="DU143" i="19"/>
  <c r="DV143" i="19"/>
  <c r="DW143" i="19"/>
  <c r="DX143" i="19"/>
  <c r="DY143" i="19"/>
  <c r="DZ143" i="19"/>
  <c r="EA143" i="19"/>
  <c r="EB143" i="19"/>
  <c r="EC143" i="19"/>
  <c r="ED143" i="19"/>
  <c r="EE143" i="19"/>
  <c r="EF143" i="19"/>
  <c r="EG143" i="19"/>
  <c r="EH143" i="19"/>
  <c r="EI143" i="19"/>
  <c r="EJ143" i="19"/>
  <c r="EK143" i="19"/>
  <c r="EL143" i="19"/>
  <c r="EM143" i="19"/>
  <c r="EN143" i="19"/>
  <c r="EO143" i="19"/>
  <c r="EP143" i="19"/>
  <c r="EQ143" i="19"/>
  <c r="ER143" i="19"/>
  <c r="ES143" i="19"/>
  <c r="ET143" i="19"/>
  <c r="EU143" i="19"/>
  <c r="EV143" i="19"/>
  <c r="EW143" i="19"/>
  <c r="EX143" i="19"/>
  <c r="EY143" i="19"/>
  <c r="EZ143" i="19"/>
  <c r="FA143" i="19"/>
  <c r="FB143" i="19"/>
  <c r="FC143" i="19"/>
  <c r="FD143" i="19"/>
  <c r="FE143" i="19"/>
  <c r="FF143" i="19"/>
  <c r="FG143" i="19"/>
  <c r="FH143" i="19"/>
  <c r="FI143" i="19"/>
  <c r="FJ143" i="19"/>
  <c r="FK143" i="19"/>
  <c r="FL143" i="19"/>
  <c r="FM143" i="19"/>
  <c r="FN143" i="19"/>
  <c r="FO143" i="19"/>
  <c r="FP143" i="19"/>
  <c r="FQ143" i="19"/>
  <c r="FR143" i="19"/>
  <c r="FS143" i="19"/>
  <c r="FT143" i="19"/>
  <c r="FU143" i="19"/>
  <c r="FV143" i="19"/>
  <c r="FW143" i="19"/>
  <c r="FX143" i="19"/>
  <c r="FY143" i="19"/>
  <c r="FZ143" i="19"/>
  <c r="GA143" i="19"/>
  <c r="GB143" i="19"/>
  <c r="GC143" i="19"/>
  <c r="GD143" i="19"/>
  <c r="GE143" i="19"/>
  <c r="GF143" i="19"/>
  <c r="GG143" i="19"/>
  <c r="GH143" i="19"/>
  <c r="GI143" i="19"/>
  <c r="GJ143" i="19"/>
  <c r="GK143" i="19"/>
  <c r="GL143" i="19"/>
  <c r="GM143" i="19"/>
  <c r="GN143" i="19"/>
  <c r="GO143" i="19"/>
  <c r="GP143" i="19"/>
  <c r="GQ143" i="19"/>
  <c r="GR143" i="19"/>
  <c r="GS143" i="19"/>
  <c r="GT143" i="19"/>
  <c r="GU143" i="19"/>
  <c r="GV143" i="19"/>
  <c r="GW143" i="19"/>
  <c r="GX143" i="19"/>
  <c r="GY143" i="19"/>
  <c r="GZ143" i="19"/>
  <c r="HA143" i="19"/>
  <c r="HB143" i="19"/>
  <c r="HC143" i="19"/>
  <c r="HD143" i="19"/>
  <c r="HE143" i="19"/>
  <c r="HF143" i="19"/>
  <c r="HG143" i="19"/>
  <c r="HH143" i="19"/>
  <c r="HI143" i="19"/>
  <c r="HJ143" i="19"/>
  <c r="HK143" i="19"/>
  <c r="HL143" i="19"/>
  <c r="HM143" i="19"/>
  <c r="HN143" i="19"/>
  <c r="HO143" i="19"/>
  <c r="HP143" i="19"/>
  <c r="HQ143" i="19"/>
  <c r="HR143" i="19"/>
  <c r="HS143" i="19"/>
  <c r="HT143" i="19"/>
  <c r="HU143" i="19"/>
  <c r="HV143" i="19"/>
  <c r="HW143" i="19"/>
  <c r="HX143" i="19"/>
  <c r="HY143" i="19"/>
  <c r="HZ143" i="19"/>
  <c r="IA143" i="19"/>
  <c r="IB143" i="19"/>
  <c r="IC143" i="19"/>
  <c r="ID143" i="19"/>
  <c r="IE143" i="19"/>
  <c r="IF143" i="19"/>
  <c r="IG143" i="19"/>
  <c r="IH143" i="19"/>
  <c r="II143" i="19"/>
  <c r="IJ143" i="19"/>
  <c r="IK143" i="19"/>
  <c r="IL143" i="19"/>
  <c r="IM143" i="19"/>
  <c r="IN143" i="19"/>
  <c r="IO143" i="19"/>
  <c r="IP143" i="19"/>
  <c r="IQ143" i="19"/>
  <c r="IR143" i="19"/>
  <c r="IS143" i="19"/>
  <c r="IT143" i="19"/>
  <c r="IU143" i="19"/>
  <c r="IV143" i="19"/>
  <c r="F144" i="19"/>
  <c r="G144" i="19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T144" i="19"/>
  <c r="U144" i="19"/>
  <c r="V144" i="19"/>
  <c r="W144" i="19"/>
  <c r="X144" i="19"/>
  <c r="Y144" i="19"/>
  <c r="Z144" i="19"/>
  <c r="AA144" i="19"/>
  <c r="AB144" i="19"/>
  <c r="AC144" i="19"/>
  <c r="AD144" i="19"/>
  <c r="AE144" i="19"/>
  <c r="AF144" i="19"/>
  <c r="AG144" i="19"/>
  <c r="AH144" i="19"/>
  <c r="AI144" i="19"/>
  <c r="AJ144" i="19"/>
  <c r="AK144" i="19"/>
  <c r="AL144" i="19"/>
  <c r="AM144" i="19"/>
  <c r="AN144" i="19"/>
  <c r="AO144" i="19"/>
  <c r="AP144" i="19"/>
  <c r="AQ144" i="19"/>
  <c r="AR144" i="19"/>
  <c r="AS144" i="19"/>
  <c r="AT144" i="19"/>
  <c r="AU144" i="19"/>
  <c r="AV144" i="19"/>
  <c r="AW144" i="19"/>
  <c r="AX144" i="19"/>
  <c r="AY144" i="19"/>
  <c r="AZ144" i="19"/>
  <c r="BA144" i="19"/>
  <c r="BB144" i="19"/>
  <c r="BC144" i="19"/>
  <c r="BD144" i="19"/>
  <c r="BE144" i="19"/>
  <c r="BF144" i="19"/>
  <c r="BG144" i="19"/>
  <c r="BH144" i="19"/>
  <c r="BI144" i="19"/>
  <c r="BJ144" i="19"/>
  <c r="BK144" i="19"/>
  <c r="BL144" i="19"/>
  <c r="BM144" i="19"/>
  <c r="BN144" i="19"/>
  <c r="BO144" i="19"/>
  <c r="BP144" i="19"/>
  <c r="BQ144" i="19"/>
  <c r="BR144" i="19"/>
  <c r="BS144" i="19"/>
  <c r="BT144" i="19"/>
  <c r="BU144" i="19"/>
  <c r="BV144" i="19"/>
  <c r="BW144" i="19"/>
  <c r="BX144" i="19"/>
  <c r="BY144" i="19"/>
  <c r="BZ144" i="19"/>
  <c r="CA144" i="19"/>
  <c r="CB144" i="19"/>
  <c r="CC144" i="19"/>
  <c r="CD144" i="19"/>
  <c r="CE144" i="19"/>
  <c r="CF144" i="19"/>
  <c r="CG144" i="19"/>
  <c r="CH144" i="19"/>
  <c r="CI144" i="19"/>
  <c r="CJ144" i="19"/>
  <c r="CK144" i="19"/>
  <c r="CL144" i="19"/>
  <c r="CM144" i="19"/>
  <c r="CN144" i="19"/>
  <c r="CO144" i="19"/>
  <c r="CP144" i="19"/>
  <c r="CQ144" i="19"/>
  <c r="CR144" i="19"/>
  <c r="CS144" i="19"/>
  <c r="CT144" i="19"/>
  <c r="CU144" i="19"/>
  <c r="CV144" i="19"/>
  <c r="CW144" i="19"/>
  <c r="CX144" i="19"/>
  <c r="CY144" i="19"/>
  <c r="CZ144" i="19"/>
  <c r="DA144" i="19"/>
  <c r="DB144" i="19"/>
  <c r="DC144" i="19"/>
  <c r="DD144" i="19"/>
  <c r="DE144" i="19"/>
  <c r="DF144" i="19"/>
  <c r="DG144" i="19"/>
  <c r="DH144" i="19"/>
  <c r="DI144" i="19"/>
  <c r="DJ144" i="19"/>
  <c r="DK144" i="19"/>
  <c r="DL144" i="19"/>
  <c r="DM144" i="19"/>
  <c r="DN144" i="19"/>
  <c r="DO144" i="19"/>
  <c r="DP144" i="19"/>
  <c r="DQ144" i="19"/>
  <c r="DR144" i="19"/>
  <c r="DS144" i="19"/>
  <c r="DT144" i="19"/>
  <c r="DU144" i="19"/>
  <c r="DV144" i="19"/>
  <c r="DW144" i="19"/>
  <c r="DX144" i="19"/>
  <c r="DY144" i="19"/>
  <c r="DZ144" i="19"/>
  <c r="EA144" i="19"/>
  <c r="EB144" i="19"/>
  <c r="EC144" i="19"/>
  <c r="ED144" i="19"/>
  <c r="EE144" i="19"/>
  <c r="EF144" i="19"/>
  <c r="EG144" i="19"/>
  <c r="EH144" i="19"/>
  <c r="EI144" i="19"/>
  <c r="EJ144" i="19"/>
  <c r="EK144" i="19"/>
  <c r="EL144" i="19"/>
  <c r="EM144" i="19"/>
  <c r="EN144" i="19"/>
  <c r="EO144" i="19"/>
  <c r="EP144" i="19"/>
  <c r="EQ144" i="19"/>
  <c r="ER144" i="19"/>
  <c r="ES144" i="19"/>
  <c r="ET144" i="19"/>
  <c r="EU144" i="19"/>
  <c r="EV144" i="19"/>
  <c r="EW144" i="19"/>
  <c r="EX144" i="19"/>
  <c r="EY144" i="19"/>
  <c r="EZ144" i="19"/>
  <c r="FA144" i="19"/>
  <c r="FB144" i="19"/>
  <c r="FC144" i="19"/>
  <c r="FD144" i="19"/>
  <c r="FE144" i="19"/>
  <c r="FF144" i="19"/>
  <c r="FG144" i="19"/>
  <c r="FH144" i="19"/>
  <c r="FI144" i="19"/>
  <c r="FJ144" i="19"/>
  <c r="FK144" i="19"/>
  <c r="FL144" i="19"/>
  <c r="FM144" i="19"/>
  <c r="FN144" i="19"/>
  <c r="FO144" i="19"/>
  <c r="FP144" i="19"/>
  <c r="FQ144" i="19"/>
  <c r="FR144" i="19"/>
  <c r="FS144" i="19"/>
  <c r="FT144" i="19"/>
  <c r="FU144" i="19"/>
  <c r="FV144" i="19"/>
  <c r="FW144" i="19"/>
  <c r="FX144" i="19"/>
  <c r="FY144" i="19"/>
  <c r="FZ144" i="19"/>
  <c r="GA144" i="19"/>
  <c r="GB144" i="19"/>
  <c r="GC144" i="19"/>
  <c r="GD144" i="19"/>
  <c r="GE144" i="19"/>
  <c r="GF144" i="19"/>
  <c r="GG144" i="19"/>
  <c r="GH144" i="19"/>
  <c r="GI144" i="19"/>
  <c r="GJ144" i="19"/>
  <c r="GK144" i="19"/>
  <c r="GL144" i="19"/>
  <c r="GM144" i="19"/>
  <c r="GN144" i="19"/>
  <c r="GO144" i="19"/>
  <c r="GP144" i="19"/>
  <c r="GQ144" i="19"/>
  <c r="GR144" i="19"/>
  <c r="GS144" i="19"/>
  <c r="GT144" i="19"/>
  <c r="GU144" i="19"/>
  <c r="GV144" i="19"/>
  <c r="GW144" i="19"/>
  <c r="GX144" i="19"/>
  <c r="GY144" i="19"/>
  <c r="GZ144" i="19"/>
  <c r="HA144" i="19"/>
  <c r="HB144" i="19"/>
  <c r="HC144" i="19"/>
  <c r="HD144" i="19"/>
  <c r="HE144" i="19"/>
  <c r="HF144" i="19"/>
  <c r="HG144" i="19"/>
  <c r="HH144" i="19"/>
  <c r="HI144" i="19"/>
  <c r="HJ144" i="19"/>
  <c r="HK144" i="19"/>
  <c r="HL144" i="19"/>
  <c r="HM144" i="19"/>
  <c r="HN144" i="19"/>
  <c r="HO144" i="19"/>
  <c r="HP144" i="19"/>
  <c r="HQ144" i="19"/>
  <c r="HR144" i="19"/>
  <c r="HS144" i="19"/>
  <c r="HT144" i="19"/>
  <c r="HU144" i="19"/>
  <c r="HV144" i="19"/>
  <c r="HW144" i="19"/>
  <c r="HX144" i="19"/>
  <c r="HY144" i="19"/>
  <c r="HZ144" i="19"/>
  <c r="IA144" i="19"/>
  <c r="IB144" i="19"/>
  <c r="IC144" i="19"/>
  <c r="ID144" i="19"/>
  <c r="IE144" i="19"/>
  <c r="IF144" i="19"/>
  <c r="IG144" i="19"/>
  <c r="IH144" i="19"/>
  <c r="II144" i="19"/>
  <c r="IJ144" i="19"/>
  <c r="IK144" i="19"/>
  <c r="IL144" i="19"/>
  <c r="IM144" i="19"/>
  <c r="IN144" i="19"/>
  <c r="IO144" i="19"/>
  <c r="IP144" i="19"/>
  <c r="IQ144" i="19"/>
  <c r="IR144" i="19"/>
  <c r="IS144" i="19"/>
  <c r="IT144" i="19"/>
  <c r="IU144" i="19"/>
  <c r="IV144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T145" i="19"/>
  <c r="U145" i="19"/>
  <c r="V145" i="19"/>
  <c r="W145" i="19"/>
  <c r="X145" i="19"/>
  <c r="Y145" i="19"/>
  <c r="Z145" i="19"/>
  <c r="AA145" i="19"/>
  <c r="AB145" i="19"/>
  <c r="AC145" i="19"/>
  <c r="AD145" i="19"/>
  <c r="AE145" i="19"/>
  <c r="AF145" i="19"/>
  <c r="AG145" i="19"/>
  <c r="AH145" i="19"/>
  <c r="AI145" i="19"/>
  <c r="AJ145" i="19"/>
  <c r="AK145" i="19"/>
  <c r="AL145" i="19"/>
  <c r="AM145" i="19"/>
  <c r="AN145" i="19"/>
  <c r="AO145" i="19"/>
  <c r="AP145" i="19"/>
  <c r="AQ145" i="19"/>
  <c r="AR145" i="19"/>
  <c r="AS145" i="19"/>
  <c r="AT145" i="19"/>
  <c r="AU145" i="19"/>
  <c r="AV145" i="19"/>
  <c r="AW145" i="19"/>
  <c r="AX145" i="19"/>
  <c r="AY145" i="19"/>
  <c r="AZ145" i="19"/>
  <c r="BA145" i="19"/>
  <c r="BB145" i="19"/>
  <c r="BC145" i="19"/>
  <c r="BD145" i="19"/>
  <c r="BE145" i="19"/>
  <c r="BF145" i="19"/>
  <c r="BG145" i="19"/>
  <c r="BH145" i="19"/>
  <c r="BI145" i="19"/>
  <c r="BJ145" i="19"/>
  <c r="BK145" i="19"/>
  <c r="BL145" i="19"/>
  <c r="BM145" i="19"/>
  <c r="BN145" i="19"/>
  <c r="BO145" i="19"/>
  <c r="BP145" i="19"/>
  <c r="BQ145" i="19"/>
  <c r="BR145" i="19"/>
  <c r="BS145" i="19"/>
  <c r="BT145" i="19"/>
  <c r="BU145" i="19"/>
  <c r="BV145" i="19"/>
  <c r="BW145" i="19"/>
  <c r="BX145" i="19"/>
  <c r="BY145" i="19"/>
  <c r="BZ145" i="19"/>
  <c r="CA145" i="19"/>
  <c r="CB145" i="19"/>
  <c r="CC145" i="19"/>
  <c r="CD145" i="19"/>
  <c r="CE145" i="19"/>
  <c r="CF145" i="19"/>
  <c r="CG145" i="19"/>
  <c r="CH145" i="19"/>
  <c r="CI145" i="19"/>
  <c r="CJ145" i="19"/>
  <c r="CK145" i="19"/>
  <c r="CL145" i="19"/>
  <c r="CM145" i="19"/>
  <c r="CN145" i="19"/>
  <c r="CO145" i="19"/>
  <c r="CP145" i="19"/>
  <c r="CQ145" i="19"/>
  <c r="CR145" i="19"/>
  <c r="CS145" i="19"/>
  <c r="CT145" i="19"/>
  <c r="CU145" i="19"/>
  <c r="CV145" i="19"/>
  <c r="CW145" i="19"/>
  <c r="CX145" i="19"/>
  <c r="CY145" i="19"/>
  <c r="CZ145" i="19"/>
  <c r="DA145" i="19"/>
  <c r="DB145" i="19"/>
  <c r="DC145" i="19"/>
  <c r="DD145" i="19"/>
  <c r="DE145" i="19"/>
  <c r="DF145" i="19"/>
  <c r="DG145" i="19"/>
  <c r="DH145" i="19"/>
  <c r="DI145" i="19"/>
  <c r="DJ145" i="19"/>
  <c r="DK145" i="19"/>
  <c r="DL145" i="19"/>
  <c r="DM145" i="19"/>
  <c r="DN145" i="19"/>
  <c r="DO145" i="19"/>
  <c r="DP145" i="19"/>
  <c r="DQ145" i="19"/>
  <c r="DR145" i="19"/>
  <c r="DS145" i="19"/>
  <c r="DT145" i="19"/>
  <c r="DU145" i="19"/>
  <c r="DV145" i="19"/>
  <c r="DW145" i="19"/>
  <c r="DX145" i="19"/>
  <c r="DY145" i="19"/>
  <c r="DZ145" i="19"/>
  <c r="EA145" i="19"/>
  <c r="EB145" i="19"/>
  <c r="EC145" i="19"/>
  <c r="ED145" i="19"/>
  <c r="EE145" i="19"/>
  <c r="EF145" i="19"/>
  <c r="EG145" i="19"/>
  <c r="EH145" i="19"/>
  <c r="EI145" i="19"/>
  <c r="EJ145" i="19"/>
  <c r="EK145" i="19"/>
  <c r="EL145" i="19"/>
  <c r="EM145" i="19"/>
  <c r="EN145" i="19"/>
  <c r="EO145" i="19"/>
  <c r="EP145" i="19"/>
  <c r="EQ145" i="19"/>
  <c r="ER145" i="19"/>
  <c r="ES145" i="19"/>
  <c r="ET145" i="19"/>
  <c r="EU145" i="19"/>
  <c r="EV145" i="19"/>
  <c r="EW145" i="19"/>
  <c r="EX145" i="19"/>
  <c r="EY145" i="19"/>
  <c r="EZ145" i="19"/>
  <c r="FA145" i="19"/>
  <c r="FB145" i="19"/>
  <c r="FC145" i="19"/>
  <c r="FD145" i="19"/>
  <c r="FE145" i="19"/>
  <c r="FF145" i="19"/>
  <c r="FG145" i="19"/>
  <c r="FH145" i="19"/>
  <c r="FI145" i="19"/>
  <c r="FJ145" i="19"/>
  <c r="FK145" i="19"/>
  <c r="FL145" i="19"/>
  <c r="FM145" i="19"/>
  <c r="FN145" i="19"/>
  <c r="FO145" i="19"/>
  <c r="FP145" i="19"/>
  <c r="FQ145" i="19"/>
  <c r="FR145" i="19"/>
  <c r="FS145" i="19"/>
  <c r="FT145" i="19"/>
  <c r="FU145" i="19"/>
  <c r="FV145" i="19"/>
  <c r="FW145" i="19"/>
  <c r="FX145" i="19"/>
  <c r="FY145" i="19"/>
  <c r="FZ145" i="19"/>
  <c r="GA145" i="19"/>
  <c r="GB145" i="19"/>
  <c r="GC145" i="19"/>
  <c r="GD145" i="19"/>
  <c r="GE145" i="19"/>
  <c r="GF145" i="19"/>
  <c r="GG145" i="19"/>
  <c r="GH145" i="19"/>
  <c r="GI145" i="19"/>
  <c r="GJ145" i="19"/>
  <c r="GK145" i="19"/>
  <c r="GL145" i="19"/>
  <c r="GM145" i="19"/>
  <c r="GN145" i="19"/>
  <c r="GO145" i="19"/>
  <c r="GP145" i="19"/>
  <c r="GQ145" i="19"/>
  <c r="GR145" i="19"/>
  <c r="GS145" i="19"/>
  <c r="GT145" i="19"/>
  <c r="GU145" i="19"/>
  <c r="GV145" i="19"/>
  <c r="GW145" i="19"/>
  <c r="GX145" i="19"/>
  <c r="GY145" i="19"/>
  <c r="GZ145" i="19"/>
  <c r="HA145" i="19"/>
  <c r="HB145" i="19"/>
  <c r="HC145" i="19"/>
  <c r="HD145" i="19"/>
  <c r="HE145" i="19"/>
  <c r="HF145" i="19"/>
  <c r="HG145" i="19"/>
  <c r="HH145" i="19"/>
  <c r="HI145" i="19"/>
  <c r="HJ145" i="19"/>
  <c r="HK145" i="19"/>
  <c r="HL145" i="19"/>
  <c r="HM145" i="19"/>
  <c r="HN145" i="19"/>
  <c r="HO145" i="19"/>
  <c r="HP145" i="19"/>
  <c r="HQ145" i="19"/>
  <c r="HR145" i="19"/>
  <c r="HS145" i="19"/>
  <c r="HT145" i="19"/>
  <c r="HU145" i="19"/>
  <c r="HV145" i="19"/>
  <c r="HW145" i="19"/>
  <c r="HX145" i="19"/>
  <c r="HY145" i="19"/>
  <c r="HZ145" i="19"/>
  <c r="IA145" i="19"/>
  <c r="IB145" i="19"/>
  <c r="IC145" i="19"/>
  <c r="ID145" i="19"/>
  <c r="IE145" i="19"/>
  <c r="IF145" i="19"/>
  <c r="IG145" i="19"/>
  <c r="IH145" i="19"/>
  <c r="II145" i="19"/>
  <c r="IJ145" i="19"/>
  <c r="IK145" i="19"/>
  <c r="IL145" i="19"/>
  <c r="IM145" i="19"/>
  <c r="IN145" i="19"/>
  <c r="IO145" i="19"/>
  <c r="IP145" i="19"/>
  <c r="IQ145" i="19"/>
  <c r="IR145" i="19"/>
  <c r="IS145" i="19"/>
  <c r="IT145" i="19"/>
  <c r="IU145" i="19"/>
  <c r="IV145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X146" i="19"/>
  <c r="Y146" i="19"/>
  <c r="Z146" i="19"/>
  <c r="AA146" i="19"/>
  <c r="AB146" i="19"/>
  <c r="AC146" i="19"/>
  <c r="AD146" i="19"/>
  <c r="AE146" i="19"/>
  <c r="AF146" i="19"/>
  <c r="AG146" i="19"/>
  <c r="AH146" i="19"/>
  <c r="AI146" i="19"/>
  <c r="AJ146" i="19"/>
  <c r="AK146" i="19"/>
  <c r="AL146" i="19"/>
  <c r="AM146" i="19"/>
  <c r="AN146" i="19"/>
  <c r="AO146" i="19"/>
  <c r="AP146" i="19"/>
  <c r="AQ146" i="19"/>
  <c r="AR146" i="19"/>
  <c r="AS146" i="19"/>
  <c r="AT146" i="19"/>
  <c r="AU146" i="19"/>
  <c r="AV146" i="19"/>
  <c r="AW146" i="19"/>
  <c r="AX146" i="19"/>
  <c r="AY146" i="19"/>
  <c r="AZ146" i="19"/>
  <c r="BA146" i="19"/>
  <c r="BB146" i="19"/>
  <c r="BC146" i="19"/>
  <c r="BD146" i="19"/>
  <c r="BE146" i="19"/>
  <c r="BF146" i="19"/>
  <c r="BG146" i="19"/>
  <c r="BH146" i="19"/>
  <c r="BI146" i="19"/>
  <c r="BJ146" i="19"/>
  <c r="BK146" i="19"/>
  <c r="BL146" i="19"/>
  <c r="BM146" i="19"/>
  <c r="BN146" i="19"/>
  <c r="BO146" i="19"/>
  <c r="BP146" i="19"/>
  <c r="BQ146" i="19"/>
  <c r="BR146" i="19"/>
  <c r="BS146" i="19"/>
  <c r="BT146" i="19"/>
  <c r="BU146" i="19"/>
  <c r="BV146" i="19"/>
  <c r="BW146" i="19"/>
  <c r="BX146" i="19"/>
  <c r="BY146" i="19"/>
  <c r="BZ146" i="19"/>
  <c r="CA146" i="19"/>
  <c r="CB146" i="19"/>
  <c r="CC146" i="19"/>
  <c r="CD146" i="19"/>
  <c r="CE146" i="19"/>
  <c r="CF146" i="19"/>
  <c r="CG146" i="19"/>
  <c r="CH146" i="19"/>
  <c r="CI146" i="19"/>
  <c r="CJ146" i="19"/>
  <c r="CK146" i="19"/>
  <c r="CL146" i="19"/>
  <c r="CM146" i="19"/>
  <c r="CN146" i="19"/>
  <c r="CO146" i="19"/>
  <c r="CP146" i="19"/>
  <c r="CQ146" i="19"/>
  <c r="CR146" i="19"/>
  <c r="CS146" i="19"/>
  <c r="CT146" i="19"/>
  <c r="CU146" i="19"/>
  <c r="CV146" i="19"/>
  <c r="CW146" i="19"/>
  <c r="CX146" i="19"/>
  <c r="CY146" i="19"/>
  <c r="CZ146" i="19"/>
  <c r="DA146" i="19"/>
  <c r="DB146" i="19"/>
  <c r="DC146" i="19"/>
  <c r="DD146" i="19"/>
  <c r="DE146" i="19"/>
  <c r="DF146" i="19"/>
  <c r="DG146" i="19"/>
  <c r="DH146" i="19"/>
  <c r="DI146" i="19"/>
  <c r="DJ146" i="19"/>
  <c r="DK146" i="19"/>
  <c r="DL146" i="19"/>
  <c r="DM146" i="19"/>
  <c r="DN146" i="19"/>
  <c r="DO146" i="19"/>
  <c r="DP146" i="19"/>
  <c r="DQ146" i="19"/>
  <c r="DR146" i="19"/>
  <c r="DS146" i="19"/>
  <c r="DT146" i="19"/>
  <c r="DU146" i="19"/>
  <c r="DV146" i="19"/>
  <c r="DW146" i="19"/>
  <c r="DX146" i="19"/>
  <c r="DY146" i="19"/>
  <c r="DZ146" i="19"/>
  <c r="EA146" i="19"/>
  <c r="EB146" i="19"/>
  <c r="EC146" i="19"/>
  <c r="ED146" i="19"/>
  <c r="EE146" i="19"/>
  <c r="EF146" i="19"/>
  <c r="EG146" i="19"/>
  <c r="EH146" i="19"/>
  <c r="EI146" i="19"/>
  <c r="EJ146" i="19"/>
  <c r="EK146" i="19"/>
  <c r="EL146" i="19"/>
  <c r="EM146" i="19"/>
  <c r="EN146" i="19"/>
  <c r="EO146" i="19"/>
  <c r="EP146" i="19"/>
  <c r="EQ146" i="19"/>
  <c r="ER146" i="19"/>
  <c r="ES146" i="19"/>
  <c r="ET146" i="19"/>
  <c r="EU146" i="19"/>
  <c r="EV146" i="19"/>
  <c r="EW146" i="19"/>
  <c r="EX146" i="19"/>
  <c r="EY146" i="19"/>
  <c r="EZ146" i="19"/>
  <c r="FA146" i="19"/>
  <c r="FB146" i="19"/>
  <c r="FC146" i="19"/>
  <c r="FD146" i="19"/>
  <c r="FE146" i="19"/>
  <c r="FF146" i="19"/>
  <c r="FG146" i="19"/>
  <c r="FH146" i="19"/>
  <c r="FI146" i="19"/>
  <c r="FJ146" i="19"/>
  <c r="FK146" i="19"/>
  <c r="FL146" i="19"/>
  <c r="FM146" i="19"/>
  <c r="FN146" i="19"/>
  <c r="FO146" i="19"/>
  <c r="FP146" i="19"/>
  <c r="FQ146" i="19"/>
  <c r="FR146" i="19"/>
  <c r="FS146" i="19"/>
  <c r="FT146" i="19"/>
  <c r="FU146" i="19"/>
  <c r="FV146" i="19"/>
  <c r="FW146" i="19"/>
  <c r="FX146" i="19"/>
  <c r="FY146" i="19"/>
  <c r="FZ146" i="19"/>
  <c r="GA146" i="19"/>
  <c r="GB146" i="19"/>
  <c r="GC146" i="19"/>
  <c r="GD146" i="19"/>
  <c r="GE146" i="19"/>
  <c r="GF146" i="19"/>
  <c r="GG146" i="19"/>
  <c r="GH146" i="19"/>
  <c r="GI146" i="19"/>
  <c r="GJ146" i="19"/>
  <c r="GK146" i="19"/>
  <c r="GL146" i="19"/>
  <c r="GM146" i="19"/>
  <c r="GN146" i="19"/>
  <c r="GO146" i="19"/>
  <c r="GP146" i="19"/>
  <c r="GQ146" i="19"/>
  <c r="GR146" i="19"/>
  <c r="GS146" i="19"/>
  <c r="GT146" i="19"/>
  <c r="GU146" i="19"/>
  <c r="GV146" i="19"/>
  <c r="GW146" i="19"/>
  <c r="GX146" i="19"/>
  <c r="GY146" i="19"/>
  <c r="GZ146" i="19"/>
  <c r="HA146" i="19"/>
  <c r="HB146" i="19"/>
  <c r="HC146" i="19"/>
  <c r="HD146" i="19"/>
  <c r="HE146" i="19"/>
  <c r="HF146" i="19"/>
  <c r="HG146" i="19"/>
  <c r="HH146" i="19"/>
  <c r="HI146" i="19"/>
  <c r="HJ146" i="19"/>
  <c r="HK146" i="19"/>
  <c r="HL146" i="19"/>
  <c r="HM146" i="19"/>
  <c r="HN146" i="19"/>
  <c r="HO146" i="19"/>
  <c r="HP146" i="19"/>
  <c r="HQ146" i="19"/>
  <c r="HR146" i="19"/>
  <c r="HS146" i="19"/>
  <c r="HT146" i="19"/>
  <c r="HU146" i="19"/>
  <c r="HV146" i="19"/>
  <c r="HW146" i="19"/>
  <c r="HX146" i="19"/>
  <c r="HY146" i="19"/>
  <c r="HZ146" i="19"/>
  <c r="IA146" i="19"/>
  <c r="IB146" i="19"/>
  <c r="IC146" i="19"/>
  <c r="ID146" i="19"/>
  <c r="IE146" i="19"/>
  <c r="IF146" i="19"/>
  <c r="IG146" i="19"/>
  <c r="IH146" i="19"/>
  <c r="II146" i="19"/>
  <c r="IJ146" i="19"/>
  <c r="IK146" i="19"/>
  <c r="IL146" i="19"/>
  <c r="IM146" i="19"/>
  <c r="IN146" i="19"/>
  <c r="IO146" i="19"/>
  <c r="IP146" i="19"/>
  <c r="IQ146" i="19"/>
  <c r="IR146" i="19"/>
  <c r="IS146" i="19"/>
  <c r="IT146" i="19"/>
  <c r="IU146" i="19"/>
  <c r="IV146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T147" i="19"/>
  <c r="U147" i="19"/>
  <c r="V147" i="19"/>
  <c r="W147" i="19"/>
  <c r="X147" i="19"/>
  <c r="Y147" i="19"/>
  <c r="Z147" i="19"/>
  <c r="AA147" i="19"/>
  <c r="AB147" i="19"/>
  <c r="AC147" i="19"/>
  <c r="AD147" i="19"/>
  <c r="AE147" i="19"/>
  <c r="AF147" i="19"/>
  <c r="AG147" i="19"/>
  <c r="AH147" i="19"/>
  <c r="AI147" i="19"/>
  <c r="AJ147" i="19"/>
  <c r="AK147" i="19"/>
  <c r="AL147" i="19"/>
  <c r="AM147" i="19"/>
  <c r="AN147" i="19"/>
  <c r="AO147" i="19"/>
  <c r="AP147" i="19"/>
  <c r="AQ147" i="19"/>
  <c r="AR147" i="19"/>
  <c r="AS147" i="19"/>
  <c r="AT147" i="19"/>
  <c r="AU147" i="19"/>
  <c r="AV147" i="19"/>
  <c r="AW147" i="19"/>
  <c r="AX147" i="19"/>
  <c r="AY147" i="19"/>
  <c r="AZ147" i="19"/>
  <c r="BA147" i="19"/>
  <c r="BB147" i="19"/>
  <c r="BC147" i="19"/>
  <c r="BD147" i="19"/>
  <c r="BE147" i="19"/>
  <c r="BF147" i="19"/>
  <c r="BG147" i="19"/>
  <c r="BH147" i="19"/>
  <c r="BI147" i="19"/>
  <c r="BJ147" i="19"/>
  <c r="BK147" i="19"/>
  <c r="BL147" i="19"/>
  <c r="BM147" i="19"/>
  <c r="BN147" i="19"/>
  <c r="BO147" i="19"/>
  <c r="BP147" i="19"/>
  <c r="BQ147" i="19"/>
  <c r="BR147" i="19"/>
  <c r="BS147" i="19"/>
  <c r="BT147" i="19"/>
  <c r="BU147" i="19"/>
  <c r="BV147" i="19"/>
  <c r="BW147" i="19"/>
  <c r="BX147" i="19"/>
  <c r="BY147" i="19"/>
  <c r="BZ147" i="19"/>
  <c r="CA147" i="19"/>
  <c r="CB147" i="19"/>
  <c r="CC147" i="19"/>
  <c r="CD147" i="19"/>
  <c r="CE147" i="19"/>
  <c r="CF147" i="19"/>
  <c r="CG147" i="19"/>
  <c r="CH147" i="19"/>
  <c r="CI147" i="19"/>
  <c r="CJ147" i="19"/>
  <c r="CK147" i="19"/>
  <c r="CL147" i="19"/>
  <c r="CM147" i="19"/>
  <c r="CN147" i="19"/>
  <c r="CO147" i="19"/>
  <c r="CP147" i="19"/>
  <c r="CQ147" i="19"/>
  <c r="CR147" i="19"/>
  <c r="CS147" i="19"/>
  <c r="CT147" i="19"/>
  <c r="CU147" i="19"/>
  <c r="CV147" i="19"/>
  <c r="CW147" i="19"/>
  <c r="CX147" i="19"/>
  <c r="CY147" i="19"/>
  <c r="CZ147" i="19"/>
  <c r="DA147" i="19"/>
  <c r="DB147" i="19"/>
  <c r="DC147" i="19"/>
  <c r="DD147" i="19"/>
  <c r="DE147" i="19"/>
  <c r="DF147" i="19"/>
  <c r="DG147" i="19"/>
  <c r="DH147" i="19"/>
  <c r="DI147" i="19"/>
  <c r="DJ147" i="19"/>
  <c r="DK147" i="19"/>
  <c r="DL147" i="19"/>
  <c r="DM147" i="19"/>
  <c r="DN147" i="19"/>
  <c r="DO147" i="19"/>
  <c r="DP147" i="19"/>
  <c r="DQ147" i="19"/>
  <c r="DR147" i="19"/>
  <c r="DS147" i="19"/>
  <c r="DT147" i="19"/>
  <c r="DU147" i="19"/>
  <c r="DV147" i="19"/>
  <c r="DW147" i="19"/>
  <c r="DX147" i="19"/>
  <c r="DY147" i="19"/>
  <c r="DZ147" i="19"/>
  <c r="EA147" i="19"/>
  <c r="EB147" i="19"/>
  <c r="EC147" i="19"/>
  <c r="ED147" i="19"/>
  <c r="EE147" i="19"/>
  <c r="EF147" i="19"/>
  <c r="EG147" i="19"/>
  <c r="EH147" i="19"/>
  <c r="EI147" i="19"/>
  <c r="EJ147" i="19"/>
  <c r="EK147" i="19"/>
  <c r="EL147" i="19"/>
  <c r="EM147" i="19"/>
  <c r="EN147" i="19"/>
  <c r="EO147" i="19"/>
  <c r="EP147" i="19"/>
  <c r="EQ147" i="19"/>
  <c r="ER147" i="19"/>
  <c r="ES147" i="19"/>
  <c r="ET147" i="19"/>
  <c r="EU147" i="19"/>
  <c r="EV147" i="19"/>
  <c r="EW147" i="19"/>
  <c r="EX147" i="19"/>
  <c r="EY147" i="19"/>
  <c r="EZ147" i="19"/>
  <c r="FA147" i="19"/>
  <c r="FB147" i="19"/>
  <c r="FC147" i="19"/>
  <c r="FD147" i="19"/>
  <c r="FE147" i="19"/>
  <c r="FF147" i="19"/>
  <c r="FG147" i="19"/>
  <c r="FH147" i="19"/>
  <c r="FI147" i="19"/>
  <c r="FJ147" i="19"/>
  <c r="FK147" i="19"/>
  <c r="FL147" i="19"/>
  <c r="FM147" i="19"/>
  <c r="FN147" i="19"/>
  <c r="FO147" i="19"/>
  <c r="FP147" i="19"/>
  <c r="FQ147" i="19"/>
  <c r="FR147" i="19"/>
  <c r="FS147" i="19"/>
  <c r="FT147" i="19"/>
  <c r="FU147" i="19"/>
  <c r="FV147" i="19"/>
  <c r="FW147" i="19"/>
  <c r="FX147" i="19"/>
  <c r="FY147" i="19"/>
  <c r="FZ147" i="19"/>
  <c r="GA147" i="19"/>
  <c r="GB147" i="19"/>
  <c r="GC147" i="19"/>
  <c r="GD147" i="19"/>
  <c r="GE147" i="19"/>
  <c r="GF147" i="19"/>
  <c r="GG147" i="19"/>
  <c r="GH147" i="19"/>
  <c r="GI147" i="19"/>
  <c r="GJ147" i="19"/>
  <c r="GK147" i="19"/>
  <c r="GL147" i="19"/>
  <c r="GM147" i="19"/>
  <c r="GN147" i="19"/>
  <c r="GO147" i="19"/>
  <c r="GP147" i="19"/>
  <c r="GQ147" i="19"/>
  <c r="GR147" i="19"/>
  <c r="GS147" i="19"/>
  <c r="GT147" i="19"/>
  <c r="GU147" i="19"/>
  <c r="GV147" i="19"/>
  <c r="GW147" i="19"/>
  <c r="GX147" i="19"/>
  <c r="GY147" i="19"/>
  <c r="GZ147" i="19"/>
  <c r="HA147" i="19"/>
  <c r="HB147" i="19"/>
  <c r="HC147" i="19"/>
  <c r="HD147" i="19"/>
  <c r="HE147" i="19"/>
  <c r="HF147" i="19"/>
  <c r="HG147" i="19"/>
  <c r="HH147" i="19"/>
  <c r="HI147" i="19"/>
  <c r="HJ147" i="19"/>
  <c r="HK147" i="19"/>
  <c r="HL147" i="19"/>
  <c r="HM147" i="19"/>
  <c r="HN147" i="19"/>
  <c r="HO147" i="19"/>
  <c r="HP147" i="19"/>
  <c r="HQ147" i="19"/>
  <c r="HR147" i="19"/>
  <c r="HS147" i="19"/>
  <c r="HT147" i="19"/>
  <c r="HU147" i="19"/>
  <c r="HV147" i="19"/>
  <c r="HW147" i="19"/>
  <c r="HX147" i="19"/>
  <c r="HY147" i="19"/>
  <c r="HZ147" i="19"/>
  <c r="IA147" i="19"/>
  <c r="IB147" i="19"/>
  <c r="IC147" i="19"/>
  <c r="ID147" i="19"/>
  <c r="IE147" i="19"/>
  <c r="IF147" i="19"/>
  <c r="IG147" i="19"/>
  <c r="IH147" i="19"/>
  <c r="II147" i="19"/>
  <c r="IJ147" i="19"/>
  <c r="IK147" i="19"/>
  <c r="IL147" i="19"/>
  <c r="IM147" i="19"/>
  <c r="IN147" i="19"/>
  <c r="IO147" i="19"/>
  <c r="IP147" i="19"/>
  <c r="IQ147" i="19"/>
  <c r="IR147" i="19"/>
  <c r="IS147" i="19"/>
  <c r="IT147" i="19"/>
  <c r="IU147" i="19"/>
  <c r="IV147" i="19"/>
  <c r="F148" i="19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T148" i="19"/>
  <c r="U148" i="19"/>
  <c r="V148" i="19"/>
  <c r="W148" i="19"/>
  <c r="X148" i="19"/>
  <c r="Y148" i="19"/>
  <c r="Z148" i="19"/>
  <c r="AA148" i="19"/>
  <c r="AB148" i="19"/>
  <c r="AC148" i="19"/>
  <c r="AD148" i="19"/>
  <c r="AE148" i="19"/>
  <c r="AF148" i="19"/>
  <c r="AG148" i="19"/>
  <c r="AH148" i="19"/>
  <c r="AI148" i="19"/>
  <c r="AJ148" i="19"/>
  <c r="AK148" i="19"/>
  <c r="AL148" i="19"/>
  <c r="AM148" i="19"/>
  <c r="AN148" i="19"/>
  <c r="AO148" i="19"/>
  <c r="AP148" i="19"/>
  <c r="AQ148" i="19"/>
  <c r="AR148" i="19"/>
  <c r="AS148" i="19"/>
  <c r="AT148" i="19"/>
  <c r="AU148" i="19"/>
  <c r="AV148" i="19"/>
  <c r="AW148" i="19"/>
  <c r="AX148" i="19"/>
  <c r="AY148" i="19"/>
  <c r="AZ148" i="19"/>
  <c r="BA148" i="19"/>
  <c r="BB148" i="19"/>
  <c r="BC148" i="19"/>
  <c r="BD148" i="19"/>
  <c r="BE148" i="19"/>
  <c r="BF148" i="19"/>
  <c r="BG148" i="19"/>
  <c r="BH148" i="19"/>
  <c r="BI148" i="19"/>
  <c r="BJ148" i="19"/>
  <c r="BK148" i="19"/>
  <c r="BL148" i="19"/>
  <c r="BM148" i="19"/>
  <c r="BN148" i="19"/>
  <c r="BO148" i="19"/>
  <c r="BP148" i="19"/>
  <c r="BQ148" i="19"/>
  <c r="BR148" i="19"/>
  <c r="BS148" i="19"/>
  <c r="BT148" i="19"/>
  <c r="BU148" i="19"/>
  <c r="BV148" i="19"/>
  <c r="BW148" i="19"/>
  <c r="BX148" i="19"/>
  <c r="BY148" i="19"/>
  <c r="BZ148" i="19"/>
  <c r="CA148" i="19"/>
  <c r="CB148" i="19"/>
  <c r="CC148" i="19"/>
  <c r="CD148" i="19"/>
  <c r="CE148" i="19"/>
  <c r="CF148" i="19"/>
  <c r="CG148" i="19"/>
  <c r="CH148" i="19"/>
  <c r="CI148" i="19"/>
  <c r="CJ148" i="19"/>
  <c r="CK148" i="19"/>
  <c r="CL148" i="19"/>
  <c r="CM148" i="19"/>
  <c r="CN148" i="19"/>
  <c r="CO148" i="19"/>
  <c r="CP148" i="19"/>
  <c r="CQ148" i="19"/>
  <c r="CR148" i="19"/>
  <c r="CS148" i="19"/>
  <c r="CT148" i="19"/>
  <c r="CU148" i="19"/>
  <c r="CV148" i="19"/>
  <c r="CW148" i="19"/>
  <c r="CX148" i="19"/>
  <c r="CY148" i="19"/>
  <c r="CZ148" i="19"/>
  <c r="DA148" i="19"/>
  <c r="DB148" i="19"/>
  <c r="DC148" i="19"/>
  <c r="DD148" i="19"/>
  <c r="DE148" i="19"/>
  <c r="DF148" i="19"/>
  <c r="DG148" i="19"/>
  <c r="DH148" i="19"/>
  <c r="DI148" i="19"/>
  <c r="DJ148" i="19"/>
  <c r="DK148" i="19"/>
  <c r="DL148" i="19"/>
  <c r="DM148" i="19"/>
  <c r="DN148" i="19"/>
  <c r="DO148" i="19"/>
  <c r="DP148" i="19"/>
  <c r="DQ148" i="19"/>
  <c r="DR148" i="19"/>
  <c r="DS148" i="19"/>
  <c r="DT148" i="19"/>
  <c r="DU148" i="19"/>
  <c r="DV148" i="19"/>
  <c r="DW148" i="19"/>
  <c r="DX148" i="19"/>
  <c r="DY148" i="19"/>
  <c r="DZ148" i="19"/>
  <c r="EA148" i="19"/>
  <c r="EB148" i="19"/>
  <c r="EC148" i="19"/>
  <c r="ED148" i="19"/>
  <c r="EE148" i="19"/>
  <c r="EF148" i="19"/>
  <c r="EG148" i="19"/>
  <c r="EH148" i="19"/>
  <c r="EI148" i="19"/>
  <c r="EJ148" i="19"/>
  <c r="EK148" i="19"/>
  <c r="EL148" i="19"/>
  <c r="EM148" i="19"/>
  <c r="EN148" i="19"/>
  <c r="EO148" i="19"/>
  <c r="EP148" i="19"/>
  <c r="EQ148" i="19"/>
  <c r="ER148" i="19"/>
  <c r="ES148" i="19"/>
  <c r="ET148" i="19"/>
  <c r="EU148" i="19"/>
  <c r="EV148" i="19"/>
  <c r="EW148" i="19"/>
  <c r="EX148" i="19"/>
  <c r="EY148" i="19"/>
  <c r="EZ148" i="19"/>
  <c r="FA148" i="19"/>
  <c r="FB148" i="19"/>
  <c r="FC148" i="19"/>
  <c r="FD148" i="19"/>
  <c r="FE148" i="19"/>
  <c r="FF148" i="19"/>
  <c r="FG148" i="19"/>
  <c r="FH148" i="19"/>
  <c r="FI148" i="19"/>
  <c r="FJ148" i="19"/>
  <c r="FK148" i="19"/>
  <c r="FL148" i="19"/>
  <c r="FM148" i="19"/>
  <c r="FN148" i="19"/>
  <c r="FO148" i="19"/>
  <c r="FP148" i="19"/>
  <c r="FQ148" i="19"/>
  <c r="FR148" i="19"/>
  <c r="FS148" i="19"/>
  <c r="FT148" i="19"/>
  <c r="FU148" i="19"/>
  <c r="FV148" i="19"/>
  <c r="FW148" i="19"/>
  <c r="FX148" i="19"/>
  <c r="FY148" i="19"/>
  <c r="FZ148" i="19"/>
  <c r="GA148" i="19"/>
  <c r="GB148" i="19"/>
  <c r="GC148" i="19"/>
  <c r="GD148" i="19"/>
  <c r="GE148" i="19"/>
  <c r="GF148" i="19"/>
  <c r="GG148" i="19"/>
  <c r="GH148" i="19"/>
  <c r="GI148" i="19"/>
  <c r="GJ148" i="19"/>
  <c r="GK148" i="19"/>
  <c r="GL148" i="19"/>
  <c r="GM148" i="19"/>
  <c r="GN148" i="19"/>
  <c r="GO148" i="19"/>
  <c r="GP148" i="19"/>
  <c r="GQ148" i="19"/>
  <c r="GR148" i="19"/>
  <c r="GS148" i="19"/>
  <c r="GT148" i="19"/>
  <c r="GU148" i="19"/>
  <c r="GV148" i="19"/>
  <c r="GW148" i="19"/>
  <c r="GX148" i="19"/>
  <c r="GY148" i="19"/>
  <c r="GZ148" i="19"/>
  <c r="HA148" i="19"/>
  <c r="HB148" i="19"/>
  <c r="HC148" i="19"/>
  <c r="HD148" i="19"/>
  <c r="HE148" i="19"/>
  <c r="HF148" i="19"/>
  <c r="HG148" i="19"/>
  <c r="HH148" i="19"/>
  <c r="HI148" i="19"/>
  <c r="HJ148" i="19"/>
  <c r="HK148" i="19"/>
  <c r="HL148" i="19"/>
  <c r="HM148" i="19"/>
  <c r="HN148" i="19"/>
  <c r="HO148" i="19"/>
  <c r="HP148" i="19"/>
  <c r="HQ148" i="19"/>
  <c r="HR148" i="19"/>
  <c r="HS148" i="19"/>
  <c r="HT148" i="19"/>
  <c r="HU148" i="19"/>
  <c r="HV148" i="19"/>
  <c r="HW148" i="19"/>
  <c r="HX148" i="19"/>
  <c r="HY148" i="19"/>
  <c r="HZ148" i="19"/>
  <c r="IA148" i="19"/>
  <c r="IB148" i="19"/>
  <c r="IC148" i="19"/>
  <c r="ID148" i="19"/>
  <c r="IE148" i="19"/>
  <c r="IF148" i="19"/>
  <c r="IG148" i="19"/>
  <c r="IH148" i="19"/>
  <c r="II148" i="19"/>
  <c r="IJ148" i="19"/>
  <c r="IK148" i="19"/>
  <c r="IL148" i="19"/>
  <c r="IM148" i="19"/>
  <c r="IN148" i="19"/>
  <c r="IO148" i="19"/>
  <c r="IP148" i="19"/>
  <c r="IQ148" i="19"/>
  <c r="IR148" i="19"/>
  <c r="IS148" i="19"/>
  <c r="IT148" i="19"/>
  <c r="IU148" i="19"/>
  <c r="IV148" i="19"/>
  <c r="F149" i="19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T149" i="19"/>
  <c r="U149" i="19"/>
  <c r="V149" i="19"/>
  <c r="W149" i="19"/>
  <c r="X149" i="19"/>
  <c r="Y149" i="19"/>
  <c r="Z149" i="19"/>
  <c r="AA149" i="19"/>
  <c r="AB149" i="19"/>
  <c r="AC149" i="19"/>
  <c r="AD149" i="19"/>
  <c r="AE149" i="19"/>
  <c r="AF149" i="19"/>
  <c r="AG149" i="19"/>
  <c r="AH149" i="19"/>
  <c r="AI149" i="19"/>
  <c r="AJ149" i="19"/>
  <c r="AK149" i="19"/>
  <c r="AL149" i="19"/>
  <c r="AM149" i="19"/>
  <c r="AN149" i="19"/>
  <c r="AO149" i="19"/>
  <c r="AP149" i="19"/>
  <c r="AQ149" i="19"/>
  <c r="AR149" i="19"/>
  <c r="AS149" i="19"/>
  <c r="AT149" i="19"/>
  <c r="AU149" i="19"/>
  <c r="AV149" i="19"/>
  <c r="AW149" i="19"/>
  <c r="AX149" i="19"/>
  <c r="AY149" i="19"/>
  <c r="AZ149" i="19"/>
  <c r="BA149" i="19"/>
  <c r="BB149" i="19"/>
  <c r="BC149" i="19"/>
  <c r="BD149" i="19"/>
  <c r="BE149" i="19"/>
  <c r="BF149" i="19"/>
  <c r="BG149" i="19"/>
  <c r="BH149" i="19"/>
  <c r="BI149" i="19"/>
  <c r="BJ149" i="19"/>
  <c r="BK149" i="19"/>
  <c r="BL149" i="19"/>
  <c r="BM149" i="19"/>
  <c r="BN149" i="19"/>
  <c r="BO149" i="19"/>
  <c r="BP149" i="19"/>
  <c r="BQ149" i="19"/>
  <c r="BR149" i="19"/>
  <c r="BS149" i="19"/>
  <c r="BT149" i="19"/>
  <c r="BU149" i="19"/>
  <c r="BV149" i="19"/>
  <c r="BW149" i="19"/>
  <c r="BX149" i="19"/>
  <c r="BY149" i="19"/>
  <c r="BZ149" i="19"/>
  <c r="CA149" i="19"/>
  <c r="CB149" i="19"/>
  <c r="CC149" i="19"/>
  <c r="CD149" i="19"/>
  <c r="CE149" i="19"/>
  <c r="CF149" i="19"/>
  <c r="CG149" i="19"/>
  <c r="CH149" i="19"/>
  <c r="CI149" i="19"/>
  <c r="CJ149" i="19"/>
  <c r="CK149" i="19"/>
  <c r="CL149" i="19"/>
  <c r="CM149" i="19"/>
  <c r="CN149" i="19"/>
  <c r="CO149" i="19"/>
  <c r="CP149" i="19"/>
  <c r="CQ149" i="19"/>
  <c r="CR149" i="19"/>
  <c r="CS149" i="19"/>
  <c r="CT149" i="19"/>
  <c r="CU149" i="19"/>
  <c r="CV149" i="19"/>
  <c r="CW149" i="19"/>
  <c r="CX149" i="19"/>
  <c r="CY149" i="19"/>
  <c r="CZ149" i="19"/>
  <c r="DA149" i="19"/>
  <c r="DB149" i="19"/>
  <c r="DC149" i="19"/>
  <c r="DD149" i="19"/>
  <c r="DE149" i="19"/>
  <c r="DF149" i="19"/>
  <c r="DG149" i="19"/>
  <c r="DH149" i="19"/>
  <c r="DI149" i="19"/>
  <c r="DJ149" i="19"/>
  <c r="DK149" i="19"/>
  <c r="DL149" i="19"/>
  <c r="DM149" i="19"/>
  <c r="DN149" i="19"/>
  <c r="DO149" i="19"/>
  <c r="DP149" i="19"/>
  <c r="DQ149" i="19"/>
  <c r="DR149" i="19"/>
  <c r="DS149" i="19"/>
  <c r="DT149" i="19"/>
  <c r="DU149" i="19"/>
  <c r="DV149" i="19"/>
  <c r="DW149" i="19"/>
  <c r="DX149" i="19"/>
  <c r="DY149" i="19"/>
  <c r="DZ149" i="19"/>
  <c r="EA149" i="19"/>
  <c r="EB149" i="19"/>
  <c r="EC149" i="19"/>
  <c r="ED149" i="19"/>
  <c r="EE149" i="19"/>
  <c r="EF149" i="19"/>
  <c r="EG149" i="19"/>
  <c r="EH149" i="19"/>
  <c r="EI149" i="19"/>
  <c r="EJ149" i="19"/>
  <c r="EK149" i="19"/>
  <c r="EL149" i="19"/>
  <c r="EM149" i="19"/>
  <c r="EN149" i="19"/>
  <c r="EO149" i="19"/>
  <c r="EP149" i="19"/>
  <c r="EQ149" i="19"/>
  <c r="ER149" i="19"/>
  <c r="ES149" i="19"/>
  <c r="ET149" i="19"/>
  <c r="EU149" i="19"/>
  <c r="EV149" i="19"/>
  <c r="EW149" i="19"/>
  <c r="EX149" i="19"/>
  <c r="EY149" i="19"/>
  <c r="EZ149" i="19"/>
  <c r="FA149" i="19"/>
  <c r="FB149" i="19"/>
  <c r="FC149" i="19"/>
  <c r="FD149" i="19"/>
  <c r="FE149" i="19"/>
  <c r="FF149" i="19"/>
  <c r="FG149" i="19"/>
  <c r="FH149" i="19"/>
  <c r="FI149" i="19"/>
  <c r="FJ149" i="19"/>
  <c r="FK149" i="19"/>
  <c r="FL149" i="19"/>
  <c r="FM149" i="19"/>
  <c r="FN149" i="19"/>
  <c r="FO149" i="19"/>
  <c r="FP149" i="19"/>
  <c r="FQ149" i="19"/>
  <c r="FR149" i="19"/>
  <c r="FS149" i="19"/>
  <c r="FT149" i="19"/>
  <c r="FU149" i="19"/>
  <c r="FV149" i="19"/>
  <c r="FW149" i="19"/>
  <c r="FX149" i="19"/>
  <c r="FY149" i="19"/>
  <c r="FZ149" i="19"/>
  <c r="GA149" i="19"/>
  <c r="GB149" i="19"/>
  <c r="GC149" i="19"/>
  <c r="GD149" i="19"/>
  <c r="GE149" i="19"/>
  <c r="GF149" i="19"/>
  <c r="GG149" i="19"/>
  <c r="GH149" i="19"/>
  <c r="GI149" i="19"/>
  <c r="GJ149" i="19"/>
  <c r="GK149" i="19"/>
  <c r="GL149" i="19"/>
  <c r="GM149" i="19"/>
  <c r="GN149" i="19"/>
  <c r="GO149" i="19"/>
  <c r="GP149" i="19"/>
  <c r="GQ149" i="19"/>
  <c r="GR149" i="19"/>
  <c r="GS149" i="19"/>
  <c r="GT149" i="19"/>
  <c r="GU149" i="19"/>
  <c r="GV149" i="19"/>
  <c r="GW149" i="19"/>
  <c r="GX149" i="19"/>
  <c r="GY149" i="19"/>
  <c r="GZ149" i="19"/>
  <c r="HA149" i="19"/>
  <c r="HB149" i="19"/>
  <c r="HC149" i="19"/>
  <c r="HD149" i="19"/>
  <c r="HE149" i="19"/>
  <c r="HF149" i="19"/>
  <c r="HG149" i="19"/>
  <c r="HH149" i="19"/>
  <c r="HI149" i="19"/>
  <c r="HJ149" i="19"/>
  <c r="HK149" i="19"/>
  <c r="HL149" i="19"/>
  <c r="HM149" i="19"/>
  <c r="HN149" i="19"/>
  <c r="HO149" i="19"/>
  <c r="HP149" i="19"/>
  <c r="HQ149" i="19"/>
  <c r="HR149" i="19"/>
  <c r="HS149" i="19"/>
  <c r="HT149" i="19"/>
  <c r="HU149" i="19"/>
  <c r="HV149" i="19"/>
  <c r="HW149" i="19"/>
  <c r="HX149" i="19"/>
  <c r="HY149" i="19"/>
  <c r="HZ149" i="19"/>
  <c r="IA149" i="19"/>
  <c r="IB149" i="19"/>
  <c r="IC149" i="19"/>
  <c r="ID149" i="19"/>
  <c r="IE149" i="19"/>
  <c r="IF149" i="19"/>
  <c r="IG149" i="19"/>
  <c r="IH149" i="19"/>
  <c r="II149" i="19"/>
  <c r="IJ149" i="19"/>
  <c r="IK149" i="19"/>
  <c r="IL149" i="19"/>
  <c r="IM149" i="19"/>
  <c r="IN149" i="19"/>
  <c r="IO149" i="19"/>
  <c r="IP149" i="19"/>
  <c r="IQ149" i="19"/>
  <c r="IR149" i="19"/>
  <c r="IS149" i="19"/>
  <c r="IT149" i="19"/>
  <c r="IU149" i="19"/>
  <c r="IV149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T150" i="19"/>
  <c r="U150" i="19"/>
  <c r="V150" i="19"/>
  <c r="W150" i="19"/>
  <c r="X150" i="19"/>
  <c r="Y150" i="19"/>
  <c r="Z150" i="19"/>
  <c r="AA150" i="19"/>
  <c r="AB150" i="19"/>
  <c r="AC150" i="19"/>
  <c r="AD150" i="19"/>
  <c r="AE150" i="19"/>
  <c r="AF150" i="19"/>
  <c r="AG150" i="19"/>
  <c r="AH150" i="19"/>
  <c r="AI150" i="19"/>
  <c r="AJ150" i="19"/>
  <c r="AK150" i="19"/>
  <c r="AL150" i="19"/>
  <c r="AM150" i="19"/>
  <c r="AN150" i="19"/>
  <c r="AO150" i="19"/>
  <c r="AP150" i="19"/>
  <c r="AQ150" i="19"/>
  <c r="AR150" i="19"/>
  <c r="AS150" i="19"/>
  <c r="AT150" i="19"/>
  <c r="AU150" i="19"/>
  <c r="AV150" i="19"/>
  <c r="AW150" i="19"/>
  <c r="AX150" i="19"/>
  <c r="AY150" i="19"/>
  <c r="AZ150" i="19"/>
  <c r="BA150" i="19"/>
  <c r="BB150" i="19"/>
  <c r="BC150" i="19"/>
  <c r="BD150" i="19"/>
  <c r="BE150" i="19"/>
  <c r="BF150" i="19"/>
  <c r="BG150" i="19"/>
  <c r="BH150" i="19"/>
  <c r="BI150" i="19"/>
  <c r="BJ150" i="19"/>
  <c r="BK150" i="19"/>
  <c r="BL150" i="19"/>
  <c r="BM150" i="19"/>
  <c r="BN150" i="19"/>
  <c r="BO150" i="19"/>
  <c r="BP150" i="19"/>
  <c r="BQ150" i="19"/>
  <c r="BR150" i="19"/>
  <c r="BS150" i="19"/>
  <c r="BT150" i="19"/>
  <c r="BU150" i="19"/>
  <c r="BV150" i="19"/>
  <c r="BW150" i="19"/>
  <c r="BX150" i="19"/>
  <c r="BY150" i="19"/>
  <c r="BZ150" i="19"/>
  <c r="CA150" i="19"/>
  <c r="CB150" i="19"/>
  <c r="CC150" i="19"/>
  <c r="CD150" i="19"/>
  <c r="CE150" i="19"/>
  <c r="CF150" i="19"/>
  <c r="CG150" i="19"/>
  <c r="CH150" i="19"/>
  <c r="CI150" i="19"/>
  <c r="CJ150" i="19"/>
  <c r="CK150" i="19"/>
  <c r="CL150" i="19"/>
  <c r="CM150" i="19"/>
  <c r="CN150" i="19"/>
  <c r="CO150" i="19"/>
  <c r="CP150" i="19"/>
  <c r="CQ150" i="19"/>
  <c r="CR150" i="19"/>
  <c r="CS150" i="19"/>
  <c r="CT150" i="19"/>
  <c r="CU150" i="19"/>
  <c r="CV150" i="19"/>
  <c r="CW150" i="19"/>
  <c r="CX150" i="19"/>
  <c r="CY150" i="19"/>
  <c r="CZ150" i="19"/>
  <c r="DA150" i="19"/>
  <c r="DB150" i="19"/>
  <c r="DC150" i="19"/>
  <c r="DD150" i="19"/>
  <c r="DE150" i="19"/>
  <c r="DF150" i="19"/>
  <c r="DG150" i="19"/>
  <c r="DH150" i="19"/>
  <c r="DI150" i="19"/>
  <c r="DJ150" i="19"/>
  <c r="DK150" i="19"/>
  <c r="DL150" i="19"/>
  <c r="DM150" i="19"/>
  <c r="DN150" i="19"/>
  <c r="DO150" i="19"/>
  <c r="DP150" i="19"/>
  <c r="DQ150" i="19"/>
  <c r="DR150" i="19"/>
  <c r="DS150" i="19"/>
  <c r="DT150" i="19"/>
  <c r="DU150" i="19"/>
  <c r="DV150" i="19"/>
  <c r="DW150" i="19"/>
  <c r="DX150" i="19"/>
  <c r="DY150" i="19"/>
  <c r="DZ150" i="19"/>
  <c r="EA150" i="19"/>
  <c r="EB150" i="19"/>
  <c r="EC150" i="19"/>
  <c r="ED150" i="19"/>
  <c r="EE150" i="19"/>
  <c r="EF150" i="19"/>
  <c r="EG150" i="19"/>
  <c r="EH150" i="19"/>
  <c r="EI150" i="19"/>
  <c r="EJ150" i="19"/>
  <c r="EK150" i="19"/>
  <c r="EL150" i="19"/>
  <c r="EM150" i="19"/>
  <c r="EN150" i="19"/>
  <c r="EO150" i="19"/>
  <c r="EP150" i="19"/>
  <c r="EQ150" i="19"/>
  <c r="ER150" i="19"/>
  <c r="ES150" i="19"/>
  <c r="ET150" i="19"/>
  <c r="EU150" i="19"/>
  <c r="EV150" i="19"/>
  <c r="EW150" i="19"/>
  <c r="EX150" i="19"/>
  <c r="EY150" i="19"/>
  <c r="EZ150" i="19"/>
  <c r="FA150" i="19"/>
  <c r="FB150" i="19"/>
  <c r="FC150" i="19"/>
  <c r="FD150" i="19"/>
  <c r="FE150" i="19"/>
  <c r="FF150" i="19"/>
  <c r="FG150" i="19"/>
  <c r="FH150" i="19"/>
  <c r="FI150" i="19"/>
  <c r="FJ150" i="19"/>
  <c r="FK150" i="19"/>
  <c r="FL150" i="19"/>
  <c r="FM150" i="19"/>
  <c r="FN150" i="19"/>
  <c r="FO150" i="19"/>
  <c r="FP150" i="19"/>
  <c r="FQ150" i="19"/>
  <c r="FR150" i="19"/>
  <c r="FS150" i="19"/>
  <c r="FT150" i="19"/>
  <c r="FU150" i="19"/>
  <c r="FV150" i="19"/>
  <c r="FW150" i="19"/>
  <c r="FX150" i="19"/>
  <c r="FY150" i="19"/>
  <c r="FZ150" i="19"/>
  <c r="GA150" i="19"/>
  <c r="GB150" i="19"/>
  <c r="GC150" i="19"/>
  <c r="GD150" i="19"/>
  <c r="GE150" i="19"/>
  <c r="GF150" i="19"/>
  <c r="GG150" i="19"/>
  <c r="GH150" i="19"/>
  <c r="GI150" i="19"/>
  <c r="GJ150" i="19"/>
  <c r="GK150" i="19"/>
  <c r="GL150" i="19"/>
  <c r="GM150" i="19"/>
  <c r="GN150" i="19"/>
  <c r="GO150" i="19"/>
  <c r="GP150" i="19"/>
  <c r="GQ150" i="19"/>
  <c r="GR150" i="19"/>
  <c r="GS150" i="19"/>
  <c r="GT150" i="19"/>
  <c r="GU150" i="19"/>
  <c r="GV150" i="19"/>
  <c r="GW150" i="19"/>
  <c r="GX150" i="19"/>
  <c r="GY150" i="19"/>
  <c r="GZ150" i="19"/>
  <c r="HA150" i="19"/>
  <c r="HB150" i="19"/>
  <c r="HC150" i="19"/>
  <c r="HD150" i="19"/>
  <c r="HE150" i="19"/>
  <c r="HF150" i="19"/>
  <c r="HG150" i="19"/>
  <c r="HH150" i="19"/>
  <c r="HI150" i="19"/>
  <c r="HJ150" i="19"/>
  <c r="HK150" i="19"/>
  <c r="HL150" i="19"/>
  <c r="HM150" i="19"/>
  <c r="HN150" i="19"/>
  <c r="HO150" i="19"/>
  <c r="HP150" i="19"/>
  <c r="HQ150" i="19"/>
  <c r="HR150" i="19"/>
  <c r="HS150" i="19"/>
  <c r="HT150" i="19"/>
  <c r="HU150" i="19"/>
  <c r="HV150" i="19"/>
  <c r="HW150" i="19"/>
  <c r="HX150" i="19"/>
  <c r="HY150" i="19"/>
  <c r="HZ150" i="19"/>
  <c r="IA150" i="19"/>
  <c r="IB150" i="19"/>
  <c r="IC150" i="19"/>
  <c r="ID150" i="19"/>
  <c r="IE150" i="19"/>
  <c r="IF150" i="19"/>
  <c r="IG150" i="19"/>
  <c r="IH150" i="19"/>
  <c r="II150" i="19"/>
  <c r="IJ150" i="19"/>
  <c r="IK150" i="19"/>
  <c r="IL150" i="19"/>
  <c r="IM150" i="19"/>
  <c r="IN150" i="19"/>
  <c r="IO150" i="19"/>
  <c r="IP150" i="19"/>
  <c r="IQ150" i="19"/>
  <c r="IR150" i="19"/>
  <c r="IS150" i="19"/>
  <c r="IT150" i="19"/>
  <c r="IU150" i="19"/>
  <c r="IV150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T151" i="19"/>
  <c r="U151" i="19"/>
  <c r="V151" i="19"/>
  <c r="W151" i="19"/>
  <c r="X151" i="19"/>
  <c r="Y151" i="19"/>
  <c r="Z151" i="19"/>
  <c r="AA151" i="19"/>
  <c r="AB151" i="19"/>
  <c r="AC151" i="19"/>
  <c r="AD151" i="19"/>
  <c r="AE151" i="19"/>
  <c r="AF151" i="19"/>
  <c r="AG151" i="19"/>
  <c r="AH151" i="19"/>
  <c r="AI151" i="19"/>
  <c r="AJ151" i="19"/>
  <c r="AK151" i="19"/>
  <c r="AL151" i="19"/>
  <c r="AM151" i="19"/>
  <c r="AN151" i="19"/>
  <c r="AO151" i="19"/>
  <c r="AP151" i="19"/>
  <c r="AQ151" i="19"/>
  <c r="AR151" i="19"/>
  <c r="AS151" i="19"/>
  <c r="AT151" i="19"/>
  <c r="AU151" i="19"/>
  <c r="AV151" i="19"/>
  <c r="AW151" i="19"/>
  <c r="AX151" i="19"/>
  <c r="AY151" i="19"/>
  <c r="AZ151" i="19"/>
  <c r="BA151" i="19"/>
  <c r="BB151" i="19"/>
  <c r="BC151" i="19"/>
  <c r="BD151" i="19"/>
  <c r="BE151" i="19"/>
  <c r="BF151" i="19"/>
  <c r="BG151" i="19"/>
  <c r="BH151" i="19"/>
  <c r="BI151" i="19"/>
  <c r="BJ151" i="19"/>
  <c r="BK151" i="19"/>
  <c r="BL151" i="19"/>
  <c r="BM151" i="19"/>
  <c r="BN151" i="19"/>
  <c r="BO151" i="19"/>
  <c r="BP151" i="19"/>
  <c r="BQ151" i="19"/>
  <c r="BR151" i="19"/>
  <c r="BS151" i="19"/>
  <c r="BT151" i="19"/>
  <c r="BU151" i="19"/>
  <c r="BV151" i="19"/>
  <c r="BW151" i="19"/>
  <c r="BX151" i="19"/>
  <c r="BY151" i="19"/>
  <c r="BZ151" i="19"/>
  <c r="CA151" i="19"/>
  <c r="CB151" i="19"/>
  <c r="CC151" i="19"/>
  <c r="CD151" i="19"/>
  <c r="CE151" i="19"/>
  <c r="CF151" i="19"/>
  <c r="CG151" i="19"/>
  <c r="CH151" i="19"/>
  <c r="CI151" i="19"/>
  <c r="CJ151" i="19"/>
  <c r="CK151" i="19"/>
  <c r="CL151" i="19"/>
  <c r="CM151" i="19"/>
  <c r="CN151" i="19"/>
  <c r="CO151" i="19"/>
  <c r="CP151" i="19"/>
  <c r="CQ151" i="19"/>
  <c r="CR151" i="19"/>
  <c r="CS151" i="19"/>
  <c r="CT151" i="19"/>
  <c r="CU151" i="19"/>
  <c r="CV151" i="19"/>
  <c r="CW151" i="19"/>
  <c r="CX151" i="19"/>
  <c r="CY151" i="19"/>
  <c r="CZ151" i="19"/>
  <c r="DA151" i="19"/>
  <c r="DB151" i="19"/>
  <c r="DC151" i="19"/>
  <c r="DD151" i="19"/>
  <c r="DE151" i="19"/>
  <c r="DF151" i="19"/>
  <c r="DG151" i="19"/>
  <c r="DH151" i="19"/>
  <c r="DI151" i="19"/>
  <c r="DJ151" i="19"/>
  <c r="DK151" i="19"/>
  <c r="DL151" i="19"/>
  <c r="DM151" i="19"/>
  <c r="DN151" i="19"/>
  <c r="DO151" i="19"/>
  <c r="DP151" i="19"/>
  <c r="DQ151" i="19"/>
  <c r="DR151" i="19"/>
  <c r="DS151" i="19"/>
  <c r="DT151" i="19"/>
  <c r="DU151" i="19"/>
  <c r="DV151" i="19"/>
  <c r="DW151" i="19"/>
  <c r="DX151" i="19"/>
  <c r="DY151" i="19"/>
  <c r="DZ151" i="19"/>
  <c r="EA151" i="19"/>
  <c r="EB151" i="19"/>
  <c r="EC151" i="19"/>
  <c r="ED151" i="19"/>
  <c r="EE151" i="19"/>
  <c r="EF151" i="19"/>
  <c r="EG151" i="19"/>
  <c r="EH151" i="19"/>
  <c r="EI151" i="19"/>
  <c r="EJ151" i="19"/>
  <c r="EK151" i="19"/>
  <c r="EL151" i="19"/>
  <c r="EM151" i="19"/>
  <c r="EN151" i="19"/>
  <c r="EO151" i="19"/>
  <c r="EP151" i="19"/>
  <c r="EQ151" i="19"/>
  <c r="ER151" i="19"/>
  <c r="ES151" i="19"/>
  <c r="ET151" i="19"/>
  <c r="EU151" i="19"/>
  <c r="EV151" i="19"/>
  <c r="EW151" i="19"/>
  <c r="EX151" i="19"/>
  <c r="EY151" i="19"/>
  <c r="EZ151" i="19"/>
  <c r="FA151" i="19"/>
  <c r="FB151" i="19"/>
  <c r="FC151" i="19"/>
  <c r="FD151" i="19"/>
  <c r="FE151" i="19"/>
  <c r="FF151" i="19"/>
  <c r="FG151" i="19"/>
  <c r="FH151" i="19"/>
  <c r="FI151" i="19"/>
  <c r="FJ151" i="19"/>
  <c r="FK151" i="19"/>
  <c r="FL151" i="19"/>
  <c r="FM151" i="19"/>
  <c r="FN151" i="19"/>
  <c r="FO151" i="19"/>
  <c r="FP151" i="19"/>
  <c r="FQ151" i="19"/>
  <c r="FR151" i="19"/>
  <c r="FS151" i="19"/>
  <c r="FT151" i="19"/>
  <c r="FU151" i="19"/>
  <c r="FV151" i="19"/>
  <c r="FW151" i="19"/>
  <c r="FX151" i="19"/>
  <c r="FY151" i="19"/>
  <c r="FZ151" i="19"/>
  <c r="GA151" i="19"/>
  <c r="GB151" i="19"/>
  <c r="GC151" i="19"/>
  <c r="GD151" i="19"/>
  <c r="GE151" i="19"/>
  <c r="GF151" i="19"/>
  <c r="GG151" i="19"/>
  <c r="GH151" i="19"/>
  <c r="GI151" i="19"/>
  <c r="GJ151" i="19"/>
  <c r="GK151" i="19"/>
  <c r="GL151" i="19"/>
  <c r="GM151" i="19"/>
  <c r="GN151" i="19"/>
  <c r="GO151" i="19"/>
  <c r="GP151" i="19"/>
  <c r="GQ151" i="19"/>
  <c r="GR151" i="19"/>
  <c r="GS151" i="19"/>
  <c r="GT151" i="19"/>
  <c r="GU151" i="19"/>
  <c r="GV151" i="19"/>
  <c r="GW151" i="19"/>
  <c r="GX151" i="19"/>
  <c r="GY151" i="19"/>
  <c r="GZ151" i="19"/>
  <c r="HA151" i="19"/>
  <c r="HB151" i="19"/>
  <c r="HC151" i="19"/>
  <c r="HD151" i="19"/>
  <c r="HE151" i="19"/>
  <c r="HF151" i="19"/>
  <c r="HG151" i="19"/>
  <c r="HH151" i="19"/>
  <c r="HI151" i="19"/>
  <c r="HJ151" i="19"/>
  <c r="HK151" i="19"/>
  <c r="HL151" i="19"/>
  <c r="HM151" i="19"/>
  <c r="HN151" i="19"/>
  <c r="HO151" i="19"/>
  <c r="HP151" i="19"/>
  <c r="HQ151" i="19"/>
  <c r="HR151" i="19"/>
  <c r="HS151" i="19"/>
  <c r="HT151" i="19"/>
  <c r="HU151" i="19"/>
  <c r="HV151" i="19"/>
  <c r="HW151" i="19"/>
  <c r="HX151" i="19"/>
  <c r="HY151" i="19"/>
  <c r="HZ151" i="19"/>
  <c r="IA151" i="19"/>
  <c r="IB151" i="19"/>
  <c r="IC151" i="19"/>
  <c r="ID151" i="19"/>
  <c r="IE151" i="19"/>
  <c r="IF151" i="19"/>
  <c r="IG151" i="19"/>
  <c r="IH151" i="19"/>
  <c r="II151" i="19"/>
  <c r="IJ151" i="19"/>
  <c r="IK151" i="19"/>
  <c r="IL151" i="19"/>
  <c r="IM151" i="19"/>
  <c r="IN151" i="19"/>
  <c r="IO151" i="19"/>
  <c r="IP151" i="19"/>
  <c r="IQ151" i="19"/>
  <c r="IR151" i="19"/>
  <c r="IS151" i="19"/>
  <c r="IT151" i="19"/>
  <c r="IU151" i="19"/>
  <c r="IV151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T152" i="19"/>
  <c r="U152" i="19"/>
  <c r="V152" i="19"/>
  <c r="W152" i="19"/>
  <c r="X152" i="19"/>
  <c r="Y152" i="19"/>
  <c r="Z152" i="19"/>
  <c r="AA152" i="19"/>
  <c r="AB152" i="19"/>
  <c r="AC152" i="19"/>
  <c r="AD152" i="19"/>
  <c r="AE152" i="19"/>
  <c r="AF152" i="19"/>
  <c r="AG152" i="19"/>
  <c r="AH152" i="19"/>
  <c r="AI152" i="19"/>
  <c r="AJ152" i="19"/>
  <c r="AK152" i="19"/>
  <c r="AL152" i="19"/>
  <c r="AM152" i="19"/>
  <c r="AN152" i="19"/>
  <c r="AO152" i="19"/>
  <c r="AP152" i="19"/>
  <c r="AQ152" i="19"/>
  <c r="AR152" i="19"/>
  <c r="AS152" i="19"/>
  <c r="AT152" i="19"/>
  <c r="AU152" i="19"/>
  <c r="AV152" i="19"/>
  <c r="AW152" i="19"/>
  <c r="AX152" i="19"/>
  <c r="AY152" i="19"/>
  <c r="AZ152" i="19"/>
  <c r="BA152" i="19"/>
  <c r="BB152" i="19"/>
  <c r="BC152" i="19"/>
  <c r="BD152" i="19"/>
  <c r="BE152" i="19"/>
  <c r="BF152" i="19"/>
  <c r="BG152" i="19"/>
  <c r="BH152" i="19"/>
  <c r="BI152" i="19"/>
  <c r="BJ152" i="19"/>
  <c r="BK152" i="19"/>
  <c r="BL152" i="19"/>
  <c r="BM152" i="19"/>
  <c r="BN152" i="19"/>
  <c r="BO152" i="19"/>
  <c r="BP152" i="19"/>
  <c r="BQ152" i="19"/>
  <c r="BR152" i="19"/>
  <c r="BS152" i="19"/>
  <c r="BT152" i="19"/>
  <c r="BU152" i="19"/>
  <c r="BV152" i="19"/>
  <c r="BW152" i="19"/>
  <c r="BX152" i="19"/>
  <c r="BY152" i="19"/>
  <c r="BZ152" i="19"/>
  <c r="CA152" i="19"/>
  <c r="CB152" i="19"/>
  <c r="CC152" i="19"/>
  <c r="CD152" i="19"/>
  <c r="CE152" i="19"/>
  <c r="CF152" i="19"/>
  <c r="CG152" i="19"/>
  <c r="CH152" i="19"/>
  <c r="CI152" i="19"/>
  <c r="CJ152" i="19"/>
  <c r="CK152" i="19"/>
  <c r="CL152" i="19"/>
  <c r="CM152" i="19"/>
  <c r="CN152" i="19"/>
  <c r="CO152" i="19"/>
  <c r="CP152" i="19"/>
  <c r="CQ152" i="19"/>
  <c r="CR152" i="19"/>
  <c r="CS152" i="19"/>
  <c r="CT152" i="19"/>
  <c r="CU152" i="19"/>
  <c r="CV152" i="19"/>
  <c r="CW152" i="19"/>
  <c r="CX152" i="19"/>
  <c r="CY152" i="19"/>
  <c r="CZ152" i="19"/>
  <c r="DA152" i="19"/>
  <c r="DB152" i="19"/>
  <c r="DC152" i="19"/>
  <c r="DD152" i="19"/>
  <c r="DE152" i="19"/>
  <c r="DF152" i="19"/>
  <c r="DG152" i="19"/>
  <c r="DH152" i="19"/>
  <c r="DI152" i="19"/>
  <c r="DJ152" i="19"/>
  <c r="DK152" i="19"/>
  <c r="DL152" i="19"/>
  <c r="DM152" i="19"/>
  <c r="DN152" i="19"/>
  <c r="DO152" i="19"/>
  <c r="DP152" i="19"/>
  <c r="DQ152" i="19"/>
  <c r="DR152" i="19"/>
  <c r="DS152" i="19"/>
  <c r="DT152" i="19"/>
  <c r="DU152" i="19"/>
  <c r="DV152" i="19"/>
  <c r="DW152" i="19"/>
  <c r="DX152" i="19"/>
  <c r="DY152" i="19"/>
  <c r="DZ152" i="19"/>
  <c r="EA152" i="19"/>
  <c r="EB152" i="19"/>
  <c r="EC152" i="19"/>
  <c r="ED152" i="19"/>
  <c r="EE152" i="19"/>
  <c r="EF152" i="19"/>
  <c r="EG152" i="19"/>
  <c r="EH152" i="19"/>
  <c r="EI152" i="19"/>
  <c r="EJ152" i="19"/>
  <c r="EK152" i="19"/>
  <c r="EL152" i="19"/>
  <c r="EM152" i="19"/>
  <c r="EN152" i="19"/>
  <c r="EO152" i="19"/>
  <c r="EP152" i="19"/>
  <c r="EQ152" i="19"/>
  <c r="ER152" i="19"/>
  <c r="ES152" i="19"/>
  <c r="ET152" i="19"/>
  <c r="EU152" i="19"/>
  <c r="EV152" i="19"/>
  <c r="EW152" i="19"/>
  <c r="EX152" i="19"/>
  <c r="EY152" i="19"/>
  <c r="EZ152" i="19"/>
  <c r="FA152" i="19"/>
  <c r="FB152" i="19"/>
  <c r="FC152" i="19"/>
  <c r="FD152" i="19"/>
  <c r="FE152" i="19"/>
  <c r="FF152" i="19"/>
  <c r="FG152" i="19"/>
  <c r="FH152" i="19"/>
  <c r="FI152" i="19"/>
  <c r="FJ152" i="19"/>
  <c r="FK152" i="19"/>
  <c r="FL152" i="19"/>
  <c r="FM152" i="19"/>
  <c r="FN152" i="19"/>
  <c r="FO152" i="19"/>
  <c r="FP152" i="19"/>
  <c r="FQ152" i="19"/>
  <c r="FR152" i="19"/>
  <c r="FS152" i="19"/>
  <c r="FT152" i="19"/>
  <c r="FU152" i="19"/>
  <c r="FV152" i="19"/>
  <c r="FW152" i="19"/>
  <c r="FX152" i="19"/>
  <c r="FY152" i="19"/>
  <c r="FZ152" i="19"/>
  <c r="GA152" i="19"/>
  <c r="GB152" i="19"/>
  <c r="GC152" i="19"/>
  <c r="GD152" i="19"/>
  <c r="GE152" i="19"/>
  <c r="GF152" i="19"/>
  <c r="GG152" i="19"/>
  <c r="GH152" i="19"/>
  <c r="GI152" i="19"/>
  <c r="GJ152" i="19"/>
  <c r="GK152" i="19"/>
  <c r="GL152" i="19"/>
  <c r="GM152" i="19"/>
  <c r="GN152" i="19"/>
  <c r="GO152" i="19"/>
  <c r="GP152" i="19"/>
  <c r="GQ152" i="19"/>
  <c r="GR152" i="19"/>
  <c r="GS152" i="19"/>
  <c r="GT152" i="19"/>
  <c r="GU152" i="19"/>
  <c r="GV152" i="19"/>
  <c r="GW152" i="19"/>
  <c r="GX152" i="19"/>
  <c r="GY152" i="19"/>
  <c r="GZ152" i="19"/>
  <c r="HA152" i="19"/>
  <c r="HB152" i="19"/>
  <c r="HC152" i="19"/>
  <c r="HD152" i="19"/>
  <c r="HE152" i="19"/>
  <c r="HF152" i="19"/>
  <c r="HG152" i="19"/>
  <c r="HH152" i="19"/>
  <c r="HI152" i="19"/>
  <c r="HJ152" i="19"/>
  <c r="HK152" i="19"/>
  <c r="HL152" i="19"/>
  <c r="HM152" i="19"/>
  <c r="HN152" i="19"/>
  <c r="HO152" i="19"/>
  <c r="HP152" i="19"/>
  <c r="HQ152" i="19"/>
  <c r="HR152" i="19"/>
  <c r="HS152" i="19"/>
  <c r="HT152" i="19"/>
  <c r="HU152" i="19"/>
  <c r="HV152" i="19"/>
  <c r="HW152" i="19"/>
  <c r="HX152" i="19"/>
  <c r="HY152" i="19"/>
  <c r="HZ152" i="19"/>
  <c r="IA152" i="19"/>
  <c r="IB152" i="19"/>
  <c r="IC152" i="19"/>
  <c r="ID152" i="19"/>
  <c r="IE152" i="19"/>
  <c r="IF152" i="19"/>
  <c r="IG152" i="19"/>
  <c r="IH152" i="19"/>
  <c r="II152" i="19"/>
  <c r="IJ152" i="19"/>
  <c r="IK152" i="19"/>
  <c r="IL152" i="19"/>
  <c r="IM152" i="19"/>
  <c r="IN152" i="19"/>
  <c r="IO152" i="19"/>
  <c r="IP152" i="19"/>
  <c r="IQ152" i="19"/>
  <c r="IR152" i="19"/>
  <c r="IS152" i="19"/>
  <c r="IT152" i="19"/>
  <c r="IU152" i="19"/>
  <c r="IV152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T153" i="19"/>
  <c r="U153" i="19"/>
  <c r="V153" i="19"/>
  <c r="W153" i="19"/>
  <c r="X153" i="19"/>
  <c r="Y153" i="19"/>
  <c r="Z153" i="19"/>
  <c r="AA153" i="19"/>
  <c r="AB153" i="19"/>
  <c r="AC153" i="19"/>
  <c r="AD153" i="19"/>
  <c r="AE153" i="19"/>
  <c r="AF153" i="19"/>
  <c r="AG153" i="19"/>
  <c r="AH153" i="19"/>
  <c r="AI153" i="19"/>
  <c r="AJ153" i="19"/>
  <c r="AK153" i="19"/>
  <c r="AL153" i="19"/>
  <c r="AM153" i="19"/>
  <c r="AN153" i="19"/>
  <c r="AO153" i="19"/>
  <c r="AP153" i="19"/>
  <c r="AQ153" i="19"/>
  <c r="AR153" i="19"/>
  <c r="AS153" i="19"/>
  <c r="AT153" i="19"/>
  <c r="AU153" i="19"/>
  <c r="AV153" i="19"/>
  <c r="AW153" i="19"/>
  <c r="AX153" i="19"/>
  <c r="AY153" i="19"/>
  <c r="AZ153" i="19"/>
  <c r="BA153" i="19"/>
  <c r="BB153" i="19"/>
  <c r="BC153" i="19"/>
  <c r="BD153" i="19"/>
  <c r="BE153" i="19"/>
  <c r="BF153" i="19"/>
  <c r="BG153" i="19"/>
  <c r="BH153" i="19"/>
  <c r="BI153" i="19"/>
  <c r="BJ153" i="19"/>
  <c r="BK153" i="19"/>
  <c r="BL153" i="19"/>
  <c r="BM153" i="19"/>
  <c r="BN153" i="19"/>
  <c r="BO153" i="19"/>
  <c r="BP153" i="19"/>
  <c r="BQ153" i="19"/>
  <c r="BR153" i="19"/>
  <c r="BS153" i="19"/>
  <c r="BT153" i="19"/>
  <c r="BU153" i="19"/>
  <c r="BV153" i="19"/>
  <c r="BW153" i="19"/>
  <c r="BX153" i="19"/>
  <c r="BY153" i="19"/>
  <c r="BZ153" i="19"/>
  <c r="CA153" i="19"/>
  <c r="CB153" i="19"/>
  <c r="CC153" i="19"/>
  <c r="CD153" i="19"/>
  <c r="CE153" i="19"/>
  <c r="CF153" i="19"/>
  <c r="CG153" i="19"/>
  <c r="CH153" i="19"/>
  <c r="CI153" i="19"/>
  <c r="CJ153" i="19"/>
  <c r="CK153" i="19"/>
  <c r="CL153" i="19"/>
  <c r="CM153" i="19"/>
  <c r="CN153" i="19"/>
  <c r="CO153" i="19"/>
  <c r="CP153" i="19"/>
  <c r="CQ153" i="19"/>
  <c r="CR153" i="19"/>
  <c r="CS153" i="19"/>
  <c r="CT153" i="19"/>
  <c r="CU153" i="19"/>
  <c r="CV153" i="19"/>
  <c r="CW153" i="19"/>
  <c r="CX153" i="19"/>
  <c r="CY153" i="19"/>
  <c r="CZ153" i="19"/>
  <c r="DA153" i="19"/>
  <c r="DB153" i="19"/>
  <c r="DC153" i="19"/>
  <c r="DD153" i="19"/>
  <c r="DE153" i="19"/>
  <c r="DF153" i="19"/>
  <c r="DG153" i="19"/>
  <c r="DH153" i="19"/>
  <c r="DI153" i="19"/>
  <c r="DJ153" i="19"/>
  <c r="DK153" i="19"/>
  <c r="DL153" i="19"/>
  <c r="DM153" i="19"/>
  <c r="DN153" i="19"/>
  <c r="DO153" i="19"/>
  <c r="DP153" i="19"/>
  <c r="DQ153" i="19"/>
  <c r="DR153" i="19"/>
  <c r="DS153" i="19"/>
  <c r="DT153" i="19"/>
  <c r="DU153" i="19"/>
  <c r="DV153" i="19"/>
  <c r="DW153" i="19"/>
  <c r="DX153" i="19"/>
  <c r="DY153" i="19"/>
  <c r="DZ153" i="19"/>
  <c r="EA153" i="19"/>
  <c r="EB153" i="19"/>
  <c r="EC153" i="19"/>
  <c r="ED153" i="19"/>
  <c r="EE153" i="19"/>
  <c r="EF153" i="19"/>
  <c r="EG153" i="19"/>
  <c r="EH153" i="19"/>
  <c r="EI153" i="19"/>
  <c r="EJ153" i="19"/>
  <c r="EK153" i="19"/>
  <c r="EL153" i="19"/>
  <c r="EM153" i="19"/>
  <c r="EN153" i="19"/>
  <c r="EO153" i="19"/>
  <c r="EP153" i="19"/>
  <c r="EQ153" i="19"/>
  <c r="ER153" i="19"/>
  <c r="ES153" i="19"/>
  <c r="ET153" i="19"/>
  <c r="EU153" i="19"/>
  <c r="EV153" i="19"/>
  <c r="EW153" i="19"/>
  <c r="EX153" i="19"/>
  <c r="EY153" i="19"/>
  <c r="EZ153" i="19"/>
  <c r="FA153" i="19"/>
  <c r="FB153" i="19"/>
  <c r="FC153" i="19"/>
  <c r="FD153" i="19"/>
  <c r="FE153" i="19"/>
  <c r="FF153" i="19"/>
  <c r="FG153" i="19"/>
  <c r="FH153" i="19"/>
  <c r="FI153" i="19"/>
  <c r="FJ153" i="19"/>
  <c r="FK153" i="19"/>
  <c r="FL153" i="19"/>
  <c r="FM153" i="19"/>
  <c r="FN153" i="19"/>
  <c r="FO153" i="19"/>
  <c r="FP153" i="19"/>
  <c r="FQ153" i="19"/>
  <c r="FR153" i="19"/>
  <c r="FS153" i="19"/>
  <c r="FT153" i="19"/>
  <c r="FU153" i="19"/>
  <c r="FV153" i="19"/>
  <c r="FW153" i="19"/>
  <c r="FX153" i="19"/>
  <c r="FY153" i="19"/>
  <c r="FZ153" i="19"/>
  <c r="GA153" i="19"/>
  <c r="GB153" i="19"/>
  <c r="GC153" i="19"/>
  <c r="GD153" i="19"/>
  <c r="GE153" i="19"/>
  <c r="GF153" i="19"/>
  <c r="GG153" i="19"/>
  <c r="GH153" i="19"/>
  <c r="GI153" i="19"/>
  <c r="GJ153" i="19"/>
  <c r="GK153" i="19"/>
  <c r="GL153" i="19"/>
  <c r="GM153" i="19"/>
  <c r="GN153" i="19"/>
  <c r="GO153" i="19"/>
  <c r="GP153" i="19"/>
  <c r="GQ153" i="19"/>
  <c r="GR153" i="19"/>
  <c r="GS153" i="19"/>
  <c r="GT153" i="19"/>
  <c r="GU153" i="19"/>
  <c r="GV153" i="19"/>
  <c r="GW153" i="19"/>
  <c r="GX153" i="19"/>
  <c r="GY153" i="19"/>
  <c r="GZ153" i="19"/>
  <c r="HA153" i="19"/>
  <c r="HB153" i="19"/>
  <c r="HC153" i="19"/>
  <c r="HD153" i="19"/>
  <c r="HE153" i="19"/>
  <c r="HF153" i="19"/>
  <c r="HG153" i="19"/>
  <c r="HH153" i="19"/>
  <c r="HI153" i="19"/>
  <c r="HJ153" i="19"/>
  <c r="HK153" i="19"/>
  <c r="HL153" i="19"/>
  <c r="HM153" i="19"/>
  <c r="HN153" i="19"/>
  <c r="HO153" i="19"/>
  <c r="HP153" i="19"/>
  <c r="HQ153" i="19"/>
  <c r="HR153" i="19"/>
  <c r="HS153" i="19"/>
  <c r="HT153" i="19"/>
  <c r="HU153" i="19"/>
  <c r="HV153" i="19"/>
  <c r="HW153" i="19"/>
  <c r="HX153" i="19"/>
  <c r="HY153" i="19"/>
  <c r="HZ153" i="19"/>
  <c r="IA153" i="19"/>
  <c r="IB153" i="19"/>
  <c r="IC153" i="19"/>
  <c r="ID153" i="19"/>
  <c r="IE153" i="19"/>
  <c r="IF153" i="19"/>
  <c r="IG153" i="19"/>
  <c r="IH153" i="19"/>
  <c r="II153" i="19"/>
  <c r="IJ153" i="19"/>
  <c r="IK153" i="19"/>
  <c r="IL153" i="19"/>
  <c r="IM153" i="19"/>
  <c r="IN153" i="19"/>
  <c r="IO153" i="19"/>
  <c r="IP153" i="19"/>
  <c r="IQ153" i="19"/>
  <c r="IR153" i="19"/>
  <c r="IS153" i="19"/>
  <c r="IT153" i="19"/>
  <c r="IU153" i="19"/>
  <c r="IV153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T154" i="19"/>
  <c r="U154" i="19"/>
  <c r="V154" i="19"/>
  <c r="W154" i="19"/>
  <c r="X154" i="19"/>
  <c r="Y154" i="19"/>
  <c r="Z154" i="19"/>
  <c r="AA154" i="19"/>
  <c r="AB154" i="19"/>
  <c r="AC154" i="19"/>
  <c r="AD154" i="19"/>
  <c r="AE154" i="19"/>
  <c r="AF154" i="19"/>
  <c r="AG154" i="19"/>
  <c r="AH154" i="19"/>
  <c r="AI154" i="19"/>
  <c r="AJ154" i="19"/>
  <c r="AK154" i="19"/>
  <c r="AL154" i="19"/>
  <c r="AM154" i="19"/>
  <c r="AN154" i="19"/>
  <c r="AO154" i="19"/>
  <c r="AP154" i="19"/>
  <c r="AQ154" i="19"/>
  <c r="AR154" i="19"/>
  <c r="AS154" i="19"/>
  <c r="AT154" i="19"/>
  <c r="AU154" i="19"/>
  <c r="AV154" i="19"/>
  <c r="AW154" i="19"/>
  <c r="AX154" i="19"/>
  <c r="AY154" i="19"/>
  <c r="AZ154" i="19"/>
  <c r="BA154" i="19"/>
  <c r="BB154" i="19"/>
  <c r="BC154" i="19"/>
  <c r="BD154" i="19"/>
  <c r="BE154" i="19"/>
  <c r="BF154" i="19"/>
  <c r="BG154" i="19"/>
  <c r="BH154" i="19"/>
  <c r="BI154" i="19"/>
  <c r="BJ154" i="19"/>
  <c r="BK154" i="19"/>
  <c r="BL154" i="19"/>
  <c r="BM154" i="19"/>
  <c r="BN154" i="19"/>
  <c r="BO154" i="19"/>
  <c r="BP154" i="19"/>
  <c r="BQ154" i="19"/>
  <c r="BR154" i="19"/>
  <c r="BS154" i="19"/>
  <c r="BT154" i="19"/>
  <c r="BU154" i="19"/>
  <c r="BV154" i="19"/>
  <c r="BW154" i="19"/>
  <c r="BX154" i="19"/>
  <c r="BY154" i="19"/>
  <c r="BZ154" i="19"/>
  <c r="CA154" i="19"/>
  <c r="CB154" i="19"/>
  <c r="CC154" i="19"/>
  <c r="CD154" i="19"/>
  <c r="CE154" i="19"/>
  <c r="CF154" i="19"/>
  <c r="CG154" i="19"/>
  <c r="CH154" i="19"/>
  <c r="CI154" i="19"/>
  <c r="CJ154" i="19"/>
  <c r="CK154" i="19"/>
  <c r="CL154" i="19"/>
  <c r="CM154" i="19"/>
  <c r="CN154" i="19"/>
  <c r="CO154" i="19"/>
  <c r="CP154" i="19"/>
  <c r="CQ154" i="19"/>
  <c r="CR154" i="19"/>
  <c r="CS154" i="19"/>
  <c r="CT154" i="19"/>
  <c r="CU154" i="19"/>
  <c r="CV154" i="19"/>
  <c r="CW154" i="19"/>
  <c r="CX154" i="19"/>
  <c r="CY154" i="19"/>
  <c r="CZ154" i="19"/>
  <c r="DA154" i="19"/>
  <c r="DB154" i="19"/>
  <c r="DC154" i="19"/>
  <c r="DD154" i="19"/>
  <c r="DE154" i="19"/>
  <c r="DF154" i="19"/>
  <c r="DG154" i="19"/>
  <c r="DH154" i="19"/>
  <c r="DI154" i="19"/>
  <c r="DJ154" i="19"/>
  <c r="DK154" i="19"/>
  <c r="DL154" i="19"/>
  <c r="DM154" i="19"/>
  <c r="DN154" i="19"/>
  <c r="DO154" i="19"/>
  <c r="DP154" i="19"/>
  <c r="DQ154" i="19"/>
  <c r="DR154" i="19"/>
  <c r="DS154" i="19"/>
  <c r="DT154" i="19"/>
  <c r="DU154" i="19"/>
  <c r="DV154" i="19"/>
  <c r="DW154" i="19"/>
  <c r="DX154" i="19"/>
  <c r="DY154" i="19"/>
  <c r="DZ154" i="19"/>
  <c r="EA154" i="19"/>
  <c r="EB154" i="19"/>
  <c r="EC154" i="19"/>
  <c r="ED154" i="19"/>
  <c r="EE154" i="19"/>
  <c r="EF154" i="19"/>
  <c r="EG154" i="19"/>
  <c r="EH154" i="19"/>
  <c r="EI154" i="19"/>
  <c r="EJ154" i="19"/>
  <c r="EK154" i="19"/>
  <c r="EL154" i="19"/>
  <c r="EM154" i="19"/>
  <c r="EN154" i="19"/>
  <c r="EO154" i="19"/>
  <c r="EP154" i="19"/>
  <c r="EQ154" i="19"/>
  <c r="ER154" i="19"/>
  <c r="ES154" i="19"/>
  <c r="ET154" i="19"/>
  <c r="EU154" i="19"/>
  <c r="EV154" i="19"/>
  <c r="EW154" i="19"/>
  <c r="EX154" i="19"/>
  <c r="EY154" i="19"/>
  <c r="EZ154" i="19"/>
  <c r="FA154" i="19"/>
  <c r="FB154" i="19"/>
  <c r="FC154" i="19"/>
  <c r="FD154" i="19"/>
  <c r="FE154" i="19"/>
  <c r="FF154" i="19"/>
  <c r="FG154" i="19"/>
  <c r="FH154" i="19"/>
  <c r="FI154" i="19"/>
  <c r="FJ154" i="19"/>
  <c r="FK154" i="19"/>
  <c r="FL154" i="19"/>
  <c r="FM154" i="19"/>
  <c r="FN154" i="19"/>
  <c r="FO154" i="19"/>
  <c r="FP154" i="19"/>
  <c r="FQ154" i="19"/>
  <c r="FR154" i="19"/>
  <c r="FS154" i="19"/>
  <c r="FT154" i="19"/>
  <c r="FU154" i="19"/>
  <c r="FV154" i="19"/>
  <c r="FW154" i="19"/>
  <c r="FX154" i="19"/>
  <c r="FY154" i="19"/>
  <c r="FZ154" i="19"/>
  <c r="GA154" i="19"/>
  <c r="GB154" i="19"/>
  <c r="GC154" i="19"/>
  <c r="GD154" i="19"/>
  <c r="GE154" i="19"/>
  <c r="GF154" i="19"/>
  <c r="GG154" i="19"/>
  <c r="GH154" i="19"/>
  <c r="GI154" i="19"/>
  <c r="GJ154" i="19"/>
  <c r="GK154" i="19"/>
  <c r="GL154" i="19"/>
  <c r="GM154" i="19"/>
  <c r="GN154" i="19"/>
  <c r="GO154" i="19"/>
  <c r="GP154" i="19"/>
  <c r="GQ154" i="19"/>
  <c r="GR154" i="19"/>
  <c r="GS154" i="19"/>
  <c r="GT154" i="19"/>
  <c r="GU154" i="19"/>
  <c r="GV154" i="19"/>
  <c r="GW154" i="19"/>
  <c r="GX154" i="19"/>
  <c r="GY154" i="19"/>
  <c r="GZ154" i="19"/>
  <c r="HA154" i="19"/>
  <c r="HB154" i="19"/>
  <c r="HC154" i="19"/>
  <c r="HD154" i="19"/>
  <c r="HE154" i="19"/>
  <c r="HF154" i="19"/>
  <c r="HG154" i="19"/>
  <c r="HH154" i="19"/>
  <c r="HI154" i="19"/>
  <c r="HJ154" i="19"/>
  <c r="HK154" i="19"/>
  <c r="HL154" i="19"/>
  <c r="HM154" i="19"/>
  <c r="HN154" i="19"/>
  <c r="HO154" i="19"/>
  <c r="HP154" i="19"/>
  <c r="HQ154" i="19"/>
  <c r="HR154" i="19"/>
  <c r="HS154" i="19"/>
  <c r="HT154" i="19"/>
  <c r="HU154" i="19"/>
  <c r="HV154" i="19"/>
  <c r="HW154" i="19"/>
  <c r="HX154" i="19"/>
  <c r="HY154" i="19"/>
  <c r="HZ154" i="19"/>
  <c r="IA154" i="19"/>
  <c r="IB154" i="19"/>
  <c r="IC154" i="19"/>
  <c r="ID154" i="19"/>
  <c r="IE154" i="19"/>
  <c r="IF154" i="19"/>
  <c r="IG154" i="19"/>
  <c r="IH154" i="19"/>
  <c r="II154" i="19"/>
  <c r="IJ154" i="19"/>
  <c r="IK154" i="19"/>
  <c r="IL154" i="19"/>
  <c r="IM154" i="19"/>
  <c r="IN154" i="19"/>
  <c r="IO154" i="19"/>
  <c r="IP154" i="19"/>
  <c r="IQ154" i="19"/>
  <c r="IR154" i="19"/>
  <c r="IS154" i="19"/>
  <c r="IT154" i="19"/>
  <c r="IU154" i="19"/>
  <c r="IV154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T155" i="19"/>
  <c r="U155" i="19"/>
  <c r="V155" i="19"/>
  <c r="W155" i="19"/>
  <c r="X155" i="19"/>
  <c r="Y155" i="19"/>
  <c r="Z155" i="19"/>
  <c r="AA155" i="19"/>
  <c r="AB155" i="19"/>
  <c r="AC155" i="19"/>
  <c r="AD155" i="19"/>
  <c r="AE155" i="19"/>
  <c r="AF155" i="19"/>
  <c r="AG155" i="19"/>
  <c r="AH155" i="19"/>
  <c r="AI155" i="19"/>
  <c r="AJ155" i="19"/>
  <c r="AK155" i="19"/>
  <c r="AL155" i="19"/>
  <c r="AM155" i="19"/>
  <c r="AN155" i="19"/>
  <c r="AO155" i="19"/>
  <c r="AP155" i="19"/>
  <c r="AQ155" i="19"/>
  <c r="AR155" i="19"/>
  <c r="AS155" i="19"/>
  <c r="AT155" i="19"/>
  <c r="AU155" i="19"/>
  <c r="AV155" i="19"/>
  <c r="AW155" i="19"/>
  <c r="AX155" i="19"/>
  <c r="AY155" i="19"/>
  <c r="AZ155" i="19"/>
  <c r="BA155" i="19"/>
  <c r="BB155" i="19"/>
  <c r="BC155" i="19"/>
  <c r="BD155" i="19"/>
  <c r="BE155" i="19"/>
  <c r="BF155" i="19"/>
  <c r="BG155" i="19"/>
  <c r="BH155" i="19"/>
  <c r="BI155" i="19"/>
  <c r="BJ155" i="19"/>
  <c r="BK155" i="19"/>
  <c r="BL155" i="19"/>
  <c r="BM155" i="19"/>
  <c r="BN155" i="19"/>
  <c r="BO155" i="19"/>
  <c r="BP155" i="19"/>
  <c r="BQ155" i="19"/>
  <c r="BR155" i="19"/>
  <c r="BS155" i="19"/>
  <c r="BT155" i="19"/>
  <c r="BU155" i="19"/>
  <c r="BV155" i="19"/>
  <c r="BW155" i="19"/>
  <c r="BX155" i="19"/>
  <c r="BY155" i="19"/>
  <c r="BZ155" i="19"/>
  <c r="CA155" i="19"/>
  <c r="CB155" i="19"/>
  <c r="CC155" i="19"/>
  <c r="CD155" i="19"/>
  <c r="CE155" i="19"/>
  <c r="CF155" i="19"/>
  <c r="CG155" i="19"/>
  <c r="CH155" i="19"/>
  <c r="CI155" i="19"/>
  <c r="CJ155" i="19"/>
  <c r="CK155" i="19"/>
  <c r="CL155" i="19"/>
  <c r="CM155" i="19"/>
  <c r="CN155" i="19"/>
  <c r="CO155" i="19"/>
  <c r="CP155" i="19"/>
  <c r="CQ155" i="19"/>
  <c r="CR155" i="19"/>
  <c r="CS155" i="19"/>
  <c r="CT155" i="19"/>
  <c r="CU155" i="19"/>
  <c r="CV155" i="19"/>
  <c r="CW155" i="19"/>
  <c r="CX155" i="19"/>
  <c r="CY155" i="19"/>
  <c r="CZ155" i="19"/>
  <c r="DA155" i="19"/>
  <c r="DB155" i="19"/>
  <c r="DC155" i="19"/>
  <c r="DD155" i="19"/>
  <c r="DE155" i="19"/>
  <c r="DF155" i="19"/>
  <c r="DG155" i="19"/>
  <c r="DH155" i="19"/>
  <c r="DI155" i="19"/>
  <c r="DJ155" i="19"/>
  <c r="DK155" i="19"/>
  <c r="DL155" i="19"/>
  <c r="DM155" i="19"/>
  <c r="DN155" i="19"/>
  <c r="DO155" i="19"/>
  <c r="DP155" i="19"/>
  <c r="DQ155" i="19"/>
  <c r="DR155" i="19"/>
  <c r="DS155" i="19"/>
  <c r="DT155" i="19"/>
  <c r="DU155" i="19"/>
  <c r="DV155" i="19"/>
  <c r="DW155" i="19"/>
  <c r="DX155" i="19"/>
  <c r="DY155" i="19"/>
  <c r="DZ155" i="19"/>
  <c r="EA155" i="19"/>
  <c r="EB155" i="19"/>
  <c r="EC155" i="19"/>
  <c r="ED155" i="19"/>
  <c r="EE155" i="19"/>
  <c r="EF155" i="19"/>
  <c r="EG155" i="19"/>
  <c r="EH155" i="19"/>
  <c r="EI155" i="19"/>
  <c r="EJ155" i="19"/>
  <c r="EK155" i="19"/>
  <c r="EL155" i="19"/>
  <c r="EM155" i="19"/>
  <c r="EN155" i="19"/>
  <c r="EO155" i="19"/>
  <c r="EP155" i="19"/>
  <c r="EQ155" i="19"/>
  <c r="ER155" i="19"/>
  <c r="ES155" i="19"/>
  <c r="ET155" i="19"/>
  <c r="EU155" i="19"/>
  <c r="EV155" i="19"/>
  <c r="EW155" i="19"/>
  <c r="EX155" i="19"/>
  <c r="EY155" i="19"/>
  <c r="EZ155" i="19"/>
  <c r="FA155" i="19"/>
  <c r="FB155" i="19"/>
  <c r="FC155" i="19"/>
  <c r="FD155" i="19"/>
  <c r="FE155" i="19"/>
  <c r="FF155" i="19"/>
  <c r="FG155" i="19"/>
  <c r="FH155" i="19"/>
  <c r="FI155" i="19"/>
  <c r="FJ155" i="19"/>
  <c r="FK155" i="19"/>
  <c r="FL155" i="19"/>
  <c r="FM155" i="19"/>
  <c r="FN155" i="19"/>
  <c r="FO155" i="19"/>
  <c r="FP155" i="19"/>
  <c r="FQ155" i="19"/>
  <c r="FR155" i="19"/>
  <c r="FS155" i="19"/>
  <c r="FT155" i="19"/>
  <c r="FU155" i="19"/>
  <c r="FV155" i="19"/>
  <c r="FW155" i="19"/>
  <c r="FX155" i="19"/>
  <c r="FY155" i="19"/>
  <c r="FZ155" i="19"/>
  <c r="GA155" i="19"/>
  <c r="GB155" i="19"/>
  <c r="GC155" i="19"/>
  <c r="GD155" i="19"/>
  <c r="GE155" i="19"/>
  <c r="GF155" i="19"/>
  <c r="GG155" i="19"/>
  <c r="GH155" i="19"/>
  <c r="GI155" i="19"/>
  <c r="GJ155" i="19"/>
  <c r="GK155" i="19"/>
  <c r="GL155" i="19"/>
  <c r="GM155" i="19"/>
  <c r="GN155" i="19"/>
  <c r="GO155" i="19"/>
  <c r="GP155" i="19"/>
  <c r="GQ155" i="19"/>
  <c r="GR155" i="19"/>
  <c r="GS155" i="19"/>
  <c r="GT155" i="19"/>
  <c r="GU155" i="19"/>
  <c r="GV155" i="19"/>
  <c r="GW155" i="19"/>
  <c r="GX155" i="19"/>
  <c r="GY155" i="19"/>
  <c r="GZ155" i="19"/>
  <c r="HA155" i="19"/>
  <c r="HB155" i="19"/>
  <c r="HC155" i="19"/>
  <c r="HD155" i="19"/>
  <c r="HE155" i="19"/>
  <c r="HF155" i="19"/>
  <c r="HG155" i="19"/>
  <c r="HH155" i="19"/>
  <c r="HI155" i="19"/>
  <c r="HJ155" i="19"/>
  <c r="HK155" i="19"/>
  <c r="HL155" i="19"/>
  <c r="HM155" i="19"/>
  <c r="HN155" i="19"/>
  <c r="HO155" i="19"/>
  <c r="HP155" i="19"/>
  <c r="HQ155" i="19"/>
  <c r="HR155" i="19"/>
  <c r="HS155" i="19"/>
  <c r="HT155" i="19"/>
  <c r="HU155" i="19"/>
  <c r="HV155" i="19"/>
  <c r="HW155" i="19"/>
  <c r="HX155" i="19"/>
  <c r="HY155" i="19"/>
  <c r="HZ155" i="19"/>
  <c r="IA155" i="19"/>
  <c r="IB155" i="19"/>
  <c r="IC155" i="19"/>
  <c r="ID155" i="19"/>
  <c r="IE155" i="19"/>
  <c r="IF155" i="19"/>
  <c r="IG155" i="19"/>
  <c r="IH155" i="19"/>
  <c r="II155" i="19"/>
  <c r="IJ155" i="19"/>
  <c r="IK155" i="19"/>
  <c r="IL155" i="19"/>
  <c r="IM155" i="19"/>
  <c r="IN155" i="19"/>
  <c r="IO155" i="19"/>
  <c r="IP155" i="19"/>
  <c r="IQ155" i="19"/>
  <c r="IR155" i="19"/>
  <c r="IS155" i="19"/>
  <c r="IT155" i="19"/>
  <c r="IU155" i="19"/>
  <c r="IV155" i="19"/>
  <c r="F156" i="19"/>
  <c r="G156" i="19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T156" i="19"/>
  <c r="U156" i="19"/>
  <c r="V156" i="19"/>
  <c r="W156" i="19"/>
  <c r="X156" i="19"/>
  <c r="Y156" i="19"/>
  <c r="Z156" i="19"/>
  <c r="AA156" i="19"/>
  <c r="AB156" i="19"/>
  <c r="AC156" i="19"/>
  <c r="AD156" i="19"/>
  <c r="AE156" i="19"/>
  <c r="AF156" i="19"/>
  <c r="AG156" i="19"/>
  <c r="AH156" i="19"/>
  <c r="AI156" i="19"/>
  <c r="AJ156" i="19"/>
  <c r="AK156" i="19"/>
  <c r="AL156" i="19"/>
  <c r="AM156" i="19"/>
  <c r="AN156" i="19"/>
  <c r="AO156" i="19"/>
  <c r="AP156" i="19"/>
  <c r="AQ156" i="19"/>
  <c r="AR156" i="19"/>
  <c r="AS156" i="19"/>
  <c r="AT156" i="19"/>
  <c r="AU156" i="19"/>
  <c r="AV156" i="19"/>
  <c r="AW156" i="19"/>
  <c r="AX156" i="19"/>
  <c r="AY156" i="19"/>
  <c r="AZ156" i="19"/>
  <c r="BA156" i="19"/>
  <c r="BB156" i="19"/>
  <c r="BC156" i="19"/>
  <c r="BD156" i="19"/>
  <c r="BE156" i="19"/>
  <c r="BF156" i="19"/>
  <c r="BG156" i="19"/>
  <c r="BH156" i="19"/>
  <c r="BI156" i="19"/>
  <c r="BJ156" i="19"/>
  <c r="BK156" i="19"/>
  <c r="BL156" i="19"/>
  <c r="BM156" i="19"/>
  <c r="BN156" i="19"/>
  <c r="BO156" i="19"/>
  <c r="BP156" i="19"/>
  <c r="BQ156" i="19"/>
  <c r="BR156" i="19"/>
  <c r="BS156" i="19"/>
  <c r="BT156" i="19"/>
  <c r="BU156" i="19"/>
  <c r="BV156" i="19"/>
  <c r="BW156" i="19"/>
  <c r="BX156" i="19"/>
  <c r="BY156" i="19"/>
  <c r="BZ156" i="19"/>
  <c r="CA156" i="19"/>
  <c r="CB156" i="19"/>
  <c r="CC156" i="19"/>
  <c r="CD156" i="19"/>
  <c r="CE156" i="19"/>
  <c r="CF156" i="19"/>
  <c r="CG156" i="19"/>
  <c r="CH156" i="19"/>
  <c r="CI156" i="19"/>
  <c r="CJ156" i="19"/>
  <c r="CK156" i="19"/>
  <c r="CL156" i="19"/>
  <c r="CM156" i="19"/>
  <c r="CN156" i="19"/>
  <c r="CO156" i="19"/>
  <c r="CP156" i="19"/>
  <c r="CQ156" i="19"/>
  <c r="CR156" i="19"/>
  <c r="CS156" i="19"/>
  <c r="CT156" i="19"/>
  <c r="CU156" i="19"/>
  <c r="CV156" i="19"/>
  <c r="CW156" i="19"/>
  <c r="CX156" i="19"/>
  <c r="CY156" i="19"/>
  <c r="CZ156" i="19"/>
  <c r="DA156" i="19"/>
  <c r="DB156" i="19"/>
  <c r="DC156" i="19"/>
  <c r="DD156" i="19"/>
  <c r="DE156" i="19"/>
  <c r="DF156" i="19"/>
  <c r="DG156" i="19"/>
  <c r="DH156" i="19"/>
  <c r="DI156" i="19"/>
  <c r="DJ156" i="19"/>
  <c r="DK156" i="19"/>
  <c r="DL156" i="19"/>
  <c r="DM156" i="19"/>
  <c r="DN156" i="19"/>
  <c r="DO156" i="19"/>
  <c r="DP156" i="19"/>
  <c r="DQ156" i="19"/>
  <c r="DR156" i="19"/>
  <c r="DS156" i="19"/>
  <c r="DT156" i="19"/>
  <c r="DU156" i="19"/>
  <c r="DV156" i="19"/>
  <c r="DW156" i="19"/>
  <c r="DX156" i="19"/>
  <c r="DY156" i="19"/>
  <c r="DZ156" i="19"/>
  <c r="EA156" i="19"/>
  <c r="EB156" i="19"/>
  <c r="EC156" i="19"/>
  <c r="ED156" i="19"/>
  <c r="EE156" i="19"/>
  <c r="EF156" i="19"/>
  <c r="EG156" i="19"/>
  <c r="EH156" i="19"/>
  <c r="EI156" i="19"/>
  <c r="EJ156" i="19"/>
  <c r="EK156" i="19"/>
  <c r="EL156" i="19"/>
  <c r="EM156" i="19"/>
  <c r="EN156" i="19"/>
  <c r="EO156" i="19"/>
  <c r="EP156" i="19"/>
  <c r="EQ156" i="19"/>
  <c r="ER156" i="19"/>
  <c r="ES156" i="19"/>
  <c r="ET156" i="19"/>
  <c r="EU156" i="19"/>
  <c r="EV156" i="19"/>
  <c r="EW156" i="19"/>
  <c r="EX156" i="19"/>
  <c r="EY156" i="19"/>
  <c r="EZ156" i="19"/>
  <c r="FA156" i="19"/>
  <c r="FB156" i="19"/>
  <c r="FC156" i="19"/>
  <c r="FD156" i="19"/>
  <c r="FE156" i="19"/>
  <c r="FF156" i="19"/>
  <c r="FG156" i="19"/>
  <c r="FH156" i="19"/>
  <c r="FI156" i="19"/>
  <c r="FJ156" i="19"/>
  <c r="FK156" i="19"/>
  <c r="FL156" i="19"/>
  <c r="FM156" i="19"/>
  <c r="FN156" i="19"/>
  <c r="FO156" i="19"/>
  <c r="FP156" i="19"/>
  <c r="FQ156" i="19"/>
  <c r="FR156" i="19"/>
  <c r="FS156" i="19"/>
  <c r="FT156" i="19"/>
  <c r="FU156" i="19"/>
  <c r="FV156" i="19"/>
  <c r="FW156" i="19"/>
  <c r="FX156" i="19"/>
  <c r="FY156" i="19"/>
  <c r="FZ156" i="19"/>
  <c r="GA156" i="19"/>
  <c r="GB156" i="19"/>
  <c r="GC156" i="19"/>
  <c r="GD156" i="19"/>
  <c r="GE156" i="19"/>
  <c r="GF156" i="19"/>
  <c r="GG156" i="19"/>
  <c r="GH156" i="19"/>
  <c r="GI156" i="19"/>
  <c r="GJ156" i="19"/>
  <c r="GK156" i="19"/>
  <c r="GL156" i="19"/>
  <c r="GM156" i="19"/>
  <c r="GN156" i="19"/>
  <c r="GO156" i="19"/>
  <c r="GP156" i="19"/>
  <c r="GQ156" i="19"/>
  <c r="GR156" i="19"/>
  <c r="GS156" i="19"/>
  <c r="GT156" i="19"/>
  <c r="GU156" i="19"/>
  <c r="GV156" i="19"/>
  <c r="GW156" i="19"/>
  <c r="GX156" i="19"/>
  <c r="GY156" i="19"/>
  <c r="GZ156" i="19"/>
  <c r="HA156" i="19"/>
  <c r="HB156" i="19"/>
  <c r="HC156" i="19"/>
  <c r="HD156" i="19"/>
  <c r="HE156" i="19"/>
  <c r="HF156" i="19"/>
  <c r="HG156" i="19"/>
  <c r="HH156" i="19"/>
  <c r="HI156" i="19"/>
  <c r="HJ156" i="19"/>
  <c r="HK156" i="19"/>
  <c r="HL156" i="19"/>
  <c r="HM156" i="19"/>
  <c r="HN156" i="19"/>
  <c r="HO156" i="19"/>
  <c r="HP156" i="19"/>
  <c r="HQ156" i="19"/>
  <c r="HR156" i="19"/>
  <c r="HS156" i="19"/>
  <c r="HT156" i="19"/>
  <c r="HU156" i="19"/>
  <c r="HV156" i="19"/>
  <c r="HW156" i="19"/>
  <c r="HX156" i="19"/>
  <c r="HY156" i="19"/>
  <c r="HZ156" i="19"/>
  <c r="IA156" i="19"/>
  <c r="IB156" i="19"/>
  <c r="IC156" i="19"/>
  <c r="ID156" i="19"/>
  <c r="IE156" i="19"/>
  <c r="IF156" i="19"/>
  <c r="IG156" i="19"/>
  <c r="IH156" i="19"/>
  <c r="II156" i="19"/>
  <c r="IJ156" i="19"/>
  <c r="IK156" i="19"/>
  <c r="IL156" i="19"/>
  <c r="IM156" i="19"/>
  <c r="IN156" i="19"/>
  <c r="IO156" i="19"/>
  <c r="IP156" i="19"/>
  <c r="IQ156" i="19"/>
  <c r="IR156" i="19"/>
  <c r="IS156" i="19"/>
  <c r="IT156" i="19"/>
  <c r="IU156" i="19"/>
  <c r="IV156" i="19"/>
  <c r="F157" i="19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AD157" i="19"/>
  <c r="AE157" i="19"/>
  <c r="AF157" i="19"/>
  <c r="AG157" i="19"/>
  <c r="AH157" i="19"/>
  <c r="AI157" i="19"/>
  <c r="AJ157" i="19"/>
  <c r="AK157" i="19"/>
  <c r="AL157" i="19"/>
  <c r="AM157" i="19"/>
  <c r="AN157" i="19"/>
  <c r="AO157" i="19"/>
  <c r="AP157" i="19"/>
  <c r="AQ157" i="19"/>
  <c r="AR157" i="19"/>
  <c r="AS157" i="19"/>
  <c r="AT157" i="19"/>
  <c r="AU157" i="19"/>
  <c r="AV157" i="19"/>
  <c r="AW157" i="19"/>
  <c r="AX157" i="19"/>
  <c r="AY157" i="19"/>
  <c r="AZ157" i="19"/>
  <c r="BA157" i="19"/>
  <c r="BB157" i="19"/>
  <c r="BC157" i="19"/>
  <c r="BD157" i="19"/>
  <c r="BE157" i="19"/>
  <c r="BF157" i="19"/>
  <c r="BG157" i="19"/>
  <c r="BH157" i="19"/>
  <c r="BI157" i="19"/>
  <c r="BJ157" i="19"/>
  <c r="BK157" i="19"/>
  <c r="BL157" i="19"/>
  <c r="BM157" i="19"/>
  <c r="BN157" i="19"/>
  <c r="BO157" i="19"/>
  <c r="BP157" i="19"/>
  <c r="BQ157" i="19"/>
  <c r="BR157" i="19"/>
  <c r="BS157" i="19"/>
  <c r="BT157" i="19"/>
  <c r="BU157" i="19"/>
  <c r="BV157" i="19"/>
  <c r="BW157" i="19"/>
  <c r="BX157" i="19"/>
  <c r="BY157" i="19"/>
  <c r="BZ157" i="19"/>
  <c r="CA157" i="19"/>
  <c r="CB157" i="19"/>
  <c r="CC157" i="19"/>
  <c r="CD157" i="19"/>
  <c r="CE157" i="19"/>
  <c r="CF157" i="19"/>
  <c r="CG157" i="19"/>
  <c r="CH157" i="19"/>
  <c r="CI157" i="19"/>
  <c r="CJ157" i="19"/>
  <c r="CK157" i="19"/>
  <c r="CL157" i="19"/>
  <c r="CM157" i="19"/>
  <c r="CN157" i="19"/>
  <c r="CO157" i="19"/>
  <c r="CP157" i="19"/>
  <c r="CQ157" i="19"/>
  <c r="CR157" i="19"/>
  <c r="CS157" i="19"/>
  <c r="CT157" i="19"/>
  <c r="CU157" i="19"/>
  <c r="CV157" i="19"/>
  <c r="CW157" i="19"/>
  <c r="CX157" i="19"/>
  <c r="CY157" i="19"/>
  <c r="CZ157" i="19"/>
  <c r="DA157" i="19"/>
  <c r="DB157" i="19"/>
  <c r="DC157" i="19"/>
  <c r="DD157" i="19"/>
  <c r="DE157" i="19"/>
  <c r="DF157" i="19"/>
  <c r="DG157" i="19"/>
  <c r="DH157" i="19"/>
  <c r="DI157" i="19"/>
  <c r="DJ157" i="19"/>
  <c r="DK157" i="19"/>
  <c r="DL157" i="19"/>
  <c r="DM157" i="19"/>
  <c r="DN157" i="19"/>
  <c r="DO157" i="19"/>
  <c r="DP157" i="19"/>
  <c r="DQ157" i="19"/>
  <c r="DR157" i="19"/>
  <c r="DS157" i="19"/>
  <c r="DT157" i="19"/>
  <c r="DU157" i="19"/>
  <c r="DV157" i="19"/>
  <c r="DW157" i="19"/>
  <c r="DX157" i="19"/>
  <c r="DY157" i="19"/>
  <c r="DZ157" i="19"/>
  <c r="EA157" i="19"/>
  <c r="EB157" i="19"/>
  <c r="EC157" i="19"/>
  <c r="ED157" i="19"/>
  <c r="EE157" i="19"/>
  <c r="EF157" i="19"/>
  <c r="EG157" i="19"/>
  <c r="EH157" i="19"/>
  <c r="EI157" i="19"/>
  <c r="EJ157" i="19"/>
  <c r="EK157" i="19"/>
  <c r="EL157" i="19"/>
  <c r="EM157" i="19"/>
  <c r="EN157" i="19"/>
  <c r="EO157" i="19"/>
  <c r="EP157" i="19"/>
  <c r="EQ157" i="19"/>
  <c r="ER157" i="19"/>
  <c r="ES157" i="19"/>
  <c r="ET157" i="19"/>
  <c r="EU157" i="19"/>
  <c r="EV157" i="19"/>
  <c r="EW157" i="19"/>
  <c r="EX157" i="19"/>
  <c r="EY157" i="19"/>
  <c r="EZ157" i="19"/>
  <c r="FA157" i="19"/>
  <c r="FB157" i="19"/>
  <c r="FC157" i="19"/>
  <c r="FD157" i="19"/>
  <c r="FE157" i="19"/>
  <c r="FF157" i="19"/>
  <c r="FG157" i="19"/>
  <c r="FH157" i="19"/>
  <c r="FI157" i="19"/>
  <c r="FJ157" i="19"/>
  <c r="FK157" i="19"/>
  <c r="FL157" i="19"/>
  <c r="FM157" i="19"/>
  <c r="FN157" i="19"/>
  <c r="FO157" i="19"/>
  <c r="FP157" i="19"/>
  <c r="FQ157" i="19"/>
  <c r="FR157" i="19"/>
  <c r="FS157" i="19"/>
  <c r="FT157" i="19"/>
  <c r="FU157" i="19"/>
  <c r="FV157" i="19"/>
  <c r="FW157" i="19"/>
  <c r="FX157" i="19"/>
  <c r="FY157" i="19"/>
  <c r="FZ157" i="19"/>
  <c r="GA157" i="19"/>
  <c r="GB157" i="19"/>
  <c r="GC157" i="19"/>
  <c r="GD157" i="19"/>
  <c r="GE157" i="19"/>
  <c r="GF157" i="19"/>
  <c r="GG157" i="19"/>
  <c r="GH157" i="19"/>
  <c r="GI157" i="19"/>
  <c r="GJ157" i="19"/>
  <c r="GK157" i="19"/>
  <c r="GL157" i="19"/>
  <c r="GM157" i="19"/>
  <c r="GN157" i="19"/>
  <c r="GO157" i="19"/>
  <c r="GP157" i="19"/>
  <c r="GQ157" i="19"/>
  <c r="GR157" i="19"/>
  <c r="GS157" i="19"/>
  <c r="GT157" i="19"/>
  <c r="GU157" i="19"/>
  <c r="GV157" i="19"/>
  <c r="GW157" i="19"/>
  <c r="GX157" i="19"/>
  <c r="GY157" i="19"/>
  <c r="GZ157" i="19"/>
  <c r="HA157" i="19"/>
  <c r="HB157" i="19"/>
  <c r="HC157" i="19"/>
  <c r="HD157" i="19"/>
  <c r="HE157" i="19"/>
  <c r="HF157" i="19"/>
  <c r="HG157" i="19"/>
  <c r="HH157" i="19"/>
  <c r="HI157" i="19"/>
  <c r="HJ157" i="19"/>
  <c r="HK157" i="19"/>
  <c r="HL157" i="19"/>
  <c r="HM157" i="19"/>
  <c r="HN157" i="19"/>
  <c r="HO157" i="19"/>
  <c r="HP157" i="19"/>
  <c r="HQ157" i="19"/>
  <c r="HR157" i="19"/>
  <c r="HS157" i="19"/>
  <c r="HT157" i="19"/>
  <c r="HU157" i="19"/>
  <c r="HV157" i="19"/>
  <c r="HW157" i="19"/>
  <c r="HX157" i="19"/>
  <c r="HY157" i="19"/>
  <c r="HZ157" i="19"/>
  <c r="IA157" i="19"/>
  <c r="IB157" i="19"/>
  <c r="IC157" i="19"/>
  <c r="ID157" i="19"/>
  <c r="IE157" i="19"/>
  <c r="IF157" i="19"/>
  <c r="IG157" i="19"/>
  <c r="IH157" i="19"/>
  <c r="II157" i="19"/>
  <c r="IJ157" i="19"/>
  <c r="IK157" i="19"/>
  <c r="IL157" i="19"/>
  <c r="IM157" i="19"/>
  <c r="IN157" i="19"/>
  <c r="IO157" i="19"/>
  <c r="IP157" i="19"/>
  <c r="IQ157" i="19"/>
  <c r="IR157" i="19"/>
  <c r="IS157" i="19"/>
  <c r="IT157" i="19"/>
  <c r="IU157" i="19"/>
  <c r="IV157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T158" i="19"/>
  <c r="U158" i="19"/>
  <c r="V158" i="19"/>
  <c r="W158" i="19"/>
  <c r="X158" i="19"/>
  <c r="Y158" i="19"/>
  <c r="Z158" i="19"/>
  <c r="AA158" i="19"/>
  <c r="AB158" i="19"/>
  <c r="AC158" i="19"/>
  <c r="AD158" i="19"/>
  <c r="AE158" i="19"/>
  <c r="AF158" i="19"/>
  <c r="AG158" i="19"/>
  <c r="AH158" i="19"/>
  <c r="AI158" i="19"/>
  <c r="AJ158" i="19"/>
  <c r="AK158" i="19"/>
  <c r="AL158" i="19"/>
  <c r="AM158" i="19"/>
  <c r="AN158" i="19"/>
  <c r="AO158" i="19"/>
  <c r="AP158" i="19"/>
  <c r="AQ158" i="19"/>
  <c r="AR158" i="19"/>
  <c r="AS158" i="19"/>
  <c r="AT158" i="19"/>
  <c r="AU158" i="19"/>
  <c r="AV158" i="19"/>
  <c r="AW158" i="19"/>
  <c r="AX158" i="19"/>
  <c r="AY158" i="19"/>
  <c r="AZ158" i="19"/>
  <c r="BA158" i="19"/>
  <c r="BB158" i="19"/>
  <c r="BC158" i="19"/>
  <c r="BD158" i="19"/>
  <c r="BE158" i="19"/>
  <c r="BF158" i="19"/>
  <c r="BG158" i="19"/>
  <c r="BH158" i="19"/>
  <c r="BI158" i="19"/>
  <c r="BJ158" i="19"/>
  <c r="BK158" i="19"/>
  <c r="BL158" i="19"/>
  <c r="BM158" i="19"/>
  <c r="BN158" i="19"/>
  <c r="BO158" i="19"/>
  <c r="BP158" i="19"/>
  <c r="BQ158" i="19"/>
  <c r="BR158" i="19"/>
  <c r="BS158" i="19"/>
  <c r="BT158" i="19"/>
  <c r="BU158" i="19"/>
  <c r="BV158" i="19"/>
  <c r="BW158" i="19"/>
  <c r="BX158" i="19"/>
  <c r="BY158" i="19"/>
  <c r="BZ158" i="19"/>
  <c r="CA158" i="19"/>
  <c r="CB158" i="19"/>
  <c r="CC158" i="19"/>
  <c r="CD158" i="19"/>
  <c r="CE158" i="19"/>
  <c r="CF158" i="19"/>
  <c r="CG158" i="19"/>
  <c r="CH158" i="19"/>
  <c r="CI158" i="19"/>
  <c r="CJ158" i="19"/>
  <c r="CK158" i="19"/>
  <c r="CL158" i="19"/>
  <c r="CM158" i="19"/>
  <c r="CN158" i="19"/>
  <c r="CO158" i="19"/>
  <c r="CP158" i="19"/>
  <c r="CQ158" i="19"/>
  <c r="CR158" i="19"/>
  <c r="CS158" i="19"/>
  <c r="CT158" i="19"/>
  <c r="CU158" i="19"/>
  <c r="CV158" i="19"/>
  <c r="CW158" i="19"/>
  <c r="CX158" i="19"/>
  <c r="CY158" i="19"/>
  <c r="CZ158" i="19"/>
  <c r="DA158" i="19"/>
  <c r="DB158" i="19"/>
  <c r="DC158" i="19"/>
  <c r="DD158" i="19"/>
  <c r="DE158" i="19"/>
  <c r="DF158" i="19"/>
  <c r="DG158" i="19"/>
  <c r="DH158" i="19"/>
  <c r="DI158" i="19"/>
  <c r="DJ158" i="19"/>
  <c r="DK158" i="19"/>
  <c r="DL158" i="19"/>
  <c r="DM158" i="19"/>
  <c r="DN158" i="19"/>
  <c r="DO158" i="19"/>
  <c r="DP158" i="19"/>
  <c r="DQ158" i="19"/>
  <c r="DR158" i="19"/>
  <c r="DS158" i="19"/>
  <c r="DT158" i="19"/>
  <c r="DU158" i="19"/>
  <c r="DV158" i="19"/>
  <c r="DW158" i="19"/>
  <c r="DX158" i="19"/>
  <c r="DY158" i="19"/>
  <c r="DZ158" i="19"/>
  <c r="EA158" i="19"/>
  <c r="EB158" i="19"/>
  <c r="EC158" i="19"/>
  <c r="ED158" i="19"/>
  <c r="EE158" i="19"/>
  <c r="EF158" i="19"/>
  <c r="EG158" i="19"/>
  <c r="EH158" i="19"/>
  <c r="EI158" i="19"/>
  <c r="EJ158" i="19"/>
  <c r="EK158" i="19"/>
  <c r="EL158" i="19"/>
  <c r="EM158" i="19"/>
  <c r="EN158" i="19"/>
  <c r="EO158" i="19"/>
  <c r="EP158" i="19"/>
  <c r="EQ158" i="19"/>
  <c r="ER158" i="19"/>
  <c r="ES158" i="19"/>
  <c r="ET158" i="19"/>
  <c r="EU158" i="19"/>
  <c r="EV158" i="19"/>
  <c r="EW158" i="19"/>
  <c r="EX158" i="19"/>
  <c r="EY158" i="19"/>
  <c r="EZ158" i="19"/>
  <c r="FA158" i="19"/>
  <c r="FB158" i="19"/>
  <c r="FC158" i="19"/>
  <c r="FD158" i="19"/>
  <c r="FE158" i="19"/>
  <c r="FF158" i="19"/>
  <c r="FG158" i="19"/>
  <c r="FH158" i="19"/>
  <c r="FI158" i="19"/>
  <c r="FJ158" i="19"/>
  <c r="FK158" i="19"/>
  <c r="FL158" i="19"/>
  <c r="FM158" i="19"/>
  <c r="FN158" i="19"/>
  <c r="FO158" i="19"/>
  <c r="FP158" i="19"/>
  <c r="FQ158" i="19"/>
  <c r="FR158" i="19"/>
  <c r="FS158" i="19"/>
  <c r="FT158" i="19"/>
  <c r="FU158" i="19"/>
  <c r="FV158" i="19"/>
  <c r="FW158" i="19"/>
  <c r="FX158" i="19"/>
  <c r="FY158" i="19"/>
  <c r="FZ158" i="19"/>
  <c r="GA158" i="19"/>
  <c r="GB158" i="19"/>
  <c r="GC158" i="19"/>
  <c r="GD158" i="19"/>
  <c r="GE158" i="19"/>
  <c r="GF158" i="19"/>
  <c r="GG158" i="19"/>
  <c r="GH158" i="19"/>
  <c r="GI158" i="19"/>
  <c r="GJ158" i="19"/>
  <c r="GK158" i="19"/>
  <c r="GL158" i="19"/>
  <c r="GM158" i="19"/>
  <c r="GN158" i="19"/>
  <c r="GO158" i="19"/>
  <c r="GP158" i="19"/>
  <c r="GQ158" i="19"/>
  <c r="GR158" i="19"/>
  <c r="GS158" i="19"/>
  <c r="GT158" i="19"/>
  <c r="GU158" i="19"/>
  <c r="GV158" i="19"/>
  <c r="GW158" i="19"/>
  <c r="GX158" i="19"/>
  <c r="GY158" i="19"/>
  <c r="GZ158" i="19"/>
  <c r="HA158" i="19"/>
  <c r="HB158" i="19"/>
  <c r="HC158" i="19"/>
  <c r="HD158" i="19"/>
  <c r="HE158" i="19"/>
  <c r="HF158" i="19"/>
  <c r="HG158" i="19"/>
  <c r="HH158" i="19"/>
  <c r="HI158" i="19"/>
  <c r="HJ158" i="19"/>
  <c r="HK158" i="19"/>
  <c r="HL158" i="19"/>
  <c r="HM158" i="19"/>
  <c r="HN158" i="19"/>
  <c r="HO158" i="19"/>
  <c r="HP158" i="19"/>
  <c r="HQ158" i="19"/>
  <c r="HR158" i="19"/>
  <c r="HS158" i="19"/>
  <c r="HT158" i="19"/>
  <c r="HU158" i="19"/>
  <c r="HV158" i="19"/>
  <c r="HW158" i="19"/>
  <c r="HX158" i="19"/>
  <c r="HY158" i="19"/>
  <c r="HZ158" i="19"/>
  <c r="IA158" i="19"/>
  <c r="IB158" i="19"/>
  <c r="IC158" i="19"/>
  <c r="ID158" i="19"/>
  <c r="IE158" i="19"/>
  <c r="IF158" i="19"/>
  <c r="IG158" i="19"/>
  <c r="IH158" i="19"/>
  <c r="II158" i="19"/>
  <c r="IJ158" i="19"/>
  <c r="IK158" i="19"/>
  <c r="IL158" i="19"/>
  <c r="IM158" i="19"/>
  <c r="IN158" i="19"/>
  <c r="IO158" i="19"/>
  <c r="IP158" i="19"/>
  <c r="IQ158" i="19"/>
  <c r="IR158" i="19"/>
  <c r="IS158" i="19"/>
  <c r="IT158" i="19"/>
  <c r="IU158" i="19"/>
  <c r="IV158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T159" i="19"/>
  <c r="U159" i="19"/>
  <c r="V159" i="19"/>
  <c r="W159" i="19"/>
  <c r="X159" i="19"/>
  <c r="Y159" i="19"/>
  <c r="Z159" i="19"/>
  <c r="AA159" i="19"/>
  <c r="AB159" i="19"/>
  <c r="AC159" i="19"/>
  <c r="AD159" i="19"/>
  <c r="AE159" i="19"/>
  <c r="AF159" i="19"/>
  <c r="AG159" i="19"/>
  <c r="AH159" i="19"/>
  <c r="AI159" i="19"/>
  <c r="AJ159" i="19"/>
  <c r="AK159" i="19"/>
  <c r="AL159" i="19"/>
  <c r="AM159" i="19"/>
  <c r="AN159" i="19"/>
  <c r="AO159" i="19"/>
  <c r="AP159" i="19"/>
  <c r="AQ159" i="19"/>
  <c r="AR159" i="19"/>
  <c r="AS159" i="19"/>
  <c r="AT159" i="19"/>
  <c r="AU159" i="19"/>
  <c r="AV159" i="19"/>
  <c r="AW159" i="19"/>
  <c r="AX159" i="19"/>
  <c r="AY159" i="19"/>
  <c r="AZ159" i="19"/>
  <c r="BA159" i="19"/>
  <c r="BB159" i="19"/>
  <c r="BC159" i="19"/>
  <c r="BD159" i="19"/>
  <c r="BE159" i="19"/>
  <c r="BF159" i="19"/>
  <c r="BG159" i="19"/>
  <c r="BH159" i="19"/>
  <c r="BI159" i="19"/>
  <c r="BJ159" i="19"/>
  <c r="BK159" i="19"/>
  <c r="BL159" i="19"/>
  <c r="BM159" i="19"/>
  <c r="BN159" i="19"/>
  <c r="BO159" i="19"/>
  <c r="BP159" i="19"/>
  <c r="BQ159" i="19"/>
  <c r="BR159" i="19"/>
  <c r="BS159" i="19"/>
  <c r="BT159" i="19"/>
  <c r="BU159" i="19"/>
  <c r="BV159" i="19"/>
  <c r="BW159" i="19"/>
  <c r="BX159" i="19"/>
  <c r="BY159" i="19"/>
  <c r="BZ159" i="19"/>
  <c r="CA159" i="19"/>
  <c r="CB159" i="19"/>
  <c r="CC159" i="19"/>
  <c r="CD159" i="19"/>
  <c r="CE159" i="19"/>
  <c r="CF159" i="19"/>
  <c r="CG159" i="19"/>
  <c r="CH159" i="19"/>
  <c r="CI159" i="19"/>
  <c r="CJ159" i="19"/>
  <c r="CK159" i="19"/>
  <c r="CL159" i="19"/>
  <c r="CM159" i="19"/>
  <c r="CN159" i="19"/>
  <c r="CO159" i="19"/>
  <c r="CP159" i="19"/>
  <c r="CQ159" i="19"/>
  <c r="CR159" i="19"/>
  <c r="CS159" i="19"/>
  <c r="CT159" i="19"/>
  <c r="CU159" i="19"/>
  <c r="CV159" i="19"/>
  <c r="CW159" i="19"/>
  <c r="CX159" i="19"/>
  <c r="CY159" i="19"/>
  <c r="CZ159" i="19"/>
  <c r="DA159" i="19"/>
  <c r="DB159" i="19"/>
  <c r="DC159" i="19"/>
  <c r="DD159" i="19"/>
  <c r="DE159" i="19"/>
  <c r="DF159" i="19"/>
  <c r="DG159" i="19"/>
  <c r="DH159" i="19"/>
  <c r="DI159" i="19"/>
  <c r="DJ159" i="19"/>
  <c r="DK159" i="19"/>
  <c r="DL159" i="19"/>
  <c r="DM159" i="19"/>
  <c r="DN159" i="19"/>
  <c r="DO159" i="19"/>
  <c r="DP159" i="19"/>
  <c r="DQ159" i="19"/>
  <c r="DR159" i="19"/>
  <c r="DS159" i="19"/>
  <c r="DT159" i="19"/>
  <c r="DU159" i="19"/>
  <c r="DV159" i="19"/>
  <c r="DW159" i="19"/>
  <c r="DX159" i="19"/>
  <c r="DY159" i="19"/>
  <c r="DZ159" i="19"/>
  <c r="EA159" i="19"/>
  <c r="EB159" i="19"/>
  <c r="EC159" i="19"/>
  <c r="ED159" i="19"/>
  <c r="EE159" i="19"/>
  <c r="EF159" i="19"/>
  <c r="EG159" i="19"/>
  <c r="EH159" i="19"/>
  <c r="EI159" i="19"/>
  <c r="EJ159" i="19"/>
  <c r="EK159" i="19"/>
  <c r="EL159" i="19"/>
  <c r="EM159" i="19"/>
  <c r="EN159" i="19"/>
  <c r="EO159" i="19"/>
  <c r="EP159" i="19"/>
  <c r="EQ159" i="19"/>
  <c r="ER159" i="19"/>
  <c r="ES159" i="19"/>
  <c r="ET159" i="19"/>
  <c r="EU159" i="19"/>
  <c r="EV159" i="19"/>
  <c r="EW159" i="19"/>
  <c r="EX159" i="19"/>
  <c r="EY159" i="19"/>
  <c r="EZ159" i="19"/>
  <c r="FA159" i="19"/>
  <c r="FB159" i="19"/>
  <c r="FC159" i="19"/>
  <c r="FD159" i="19"/>
  <c r="FE159" i="19"/>
  <c r="FF159" i="19"/>
  <c r="FG159" i="19"/>
  <c r="FH159" i="19"/>
  <c r="FI159" i="19"/>
  <c r="FJ159" i="19"/>
  <c r="FK159" i="19"/>
  <c r="FL159" i="19"/>
  <c r="FM159" i="19"/>
  <c r="FN159" i="19"/>
  <c r="FO159" i="19"/>
  <c r="FP159" i="19"/>
  <c r="FQ159" i="19"/>
  <c r="FR159" i="19"/>
  <c r="FS159" i="19"/>
  <c r="FT159" i="19"/>
  <c r="FU159" i="19"/>
  <c r="FV159" i="19"/>
  <c r="FW159" i="19"/>
  <c r="FX159" i="19"/>
  <c r="FY159" i="19"/>
  <c r="FZ159" i="19"/>
  <c r="GA159" i="19"/>
  <c r="GB159" i="19"/>
  <c r="GC159" i="19"/>
  <c r="GD159" i="19"/>
  <c r="GE159" i="19"/>
  <c r="GF159" i="19"/>
  <c r="GG159" i="19"/>
  <c r="GH159" i="19"/>
  <c r="GI159" i="19"/>
  <c r="GJ159" i="19"/>
  <c r="GK159" i="19"/>
  <c r="GL159" i="19"/>
  <c r="GM159" i="19"/>
  <c r="GN159" i="19"/>
  <c r="GO159" i="19"/>
  <c r="GP159" i="19"/>
  <c r="GQ159" i="19"/>
  <c r="GR159" i="19"/>
  <c r="GS159" i="19"/>
  <c r="GT159" i="19"/>
  <c r="GU159" i="19"/>
  <c r="GV159" i="19"/>
  <c r="GW159" i="19"/>
  <c r="GX159" i="19"/>
  <c r="GY159" i="19"/>
  <c r="GZ159" i="19"/>
  <c r="HA159" i="19"/>
  <c r="HB159" i="19"/>
  <c r="HC159" i="19"/>
  <c r="HD159" i="19"/>
  <c r="HE159" i="19"/>
  <c r="HF159" i="19"/>
  <c r="HG159" i="19"/>
  <c r="HH159" i="19"/>
  <c r="HI159" i="19"/>
  <c r="HJ159" i="19"/>
  <c r="HK159" i="19"/>
  <c r="HL159" i="19"/>
  <c r="HM159" i="19"/>
  <c r="HN159" i="19"/>
  <c r="HO159" i="19"/>
  <c r="HP159" i="19"/>
  <c r="HQ159" i="19"/>
  <c r="HR159" i="19"/>
  <c r="HS159" i="19"/>
  <c r="HT159" i="19"/>
  <c r="HU159" i="19"/>
  <c r="HV159" i="19"/>
  <c r="HW159" i="19"/>
  <c r="HX159" i="19"/>
  <c r="HY159" i="19"/>
  <c r="HZ159" i="19"/>
  <c r="IA159" i="19"/>
  <c r="IB159" i="19"/>
  <c r="IC159" i="19"/>
  <c r="ID159" i="19"/>
  <c r="IE159" i="19"/>
  <c r="IF159" i="19"/>
  <c r="IG159" i="19"/>
  <c r="IH159" i="19"/>
  <c r="II159" i="19"/>
  <c r="IJ159" i="19"/>
  <c r="IK159" i="19"/>
  <c r="IL159" i="19"/>
  <c r="IM159" i="19"/>
  <c r="IN159" i="19"/>
  <c r="IO159" i="19"/>
  <c r="IP159" i="19"/>
  <c r="IQ159" i="19"/>
  <c r="IR159" i="19"/>
  <c r="IS159" i="19"/>
  <c r="IT159" i="19"/>
  <c r="IU159" i="19"/>
  <c r="IV159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T160" i="19"/>
  <c r="U160" i="19"/>
  <c r="V160" i="19"/>
  <c r="W160" i="19"/>
  <c r="X160" i="19"/>
  <c r="Y160" i="19"/>
  <c r="Z160" i="19"/>
  <c r="AA160" i="19"/>
  <c r="AB160" i="19"/>
  <c r="AC160" i="19"/>
  <c r="AD160" i="19"/>
  <c r="AE160" i="19"/>
  <c r="AF160" i="19"/>
  <c r="AG160" i="19"/>
  <c r="AH160" i="19"/>
  <c r="AI160" i="19"/>
  <c r="AJ160" i="19"/>
  <c r="AK160" i="19"/>
  <c r="AL160" i="19"/>
  <c r="AM160" i="19"/>
  <c r="AN160" i="19"/>
  <c r="AO160" i="19"/>
  <c r="AP160" i="19"/>
  <c r="AQ160" i="19"/>
  <c r="AR160" i="19"/>
  <c r="AS160" i="19"/>
  <c r="AT160" i="19"/>
  <c r="AU160" i="19"/>
  <c r="AV160" i="19"/>
  <c r="AW160" i="19"/>
  <c r="AX160" i="19"/>
  <c r="AY160" i="19"/>
  <c r="AZ160" i="19"/>
  <c r="BA160" i="19"/>
  <c r="BB160" i="19"/>
  <c r="BC160" i="19"/>
  <c r="BD160" i="19"/>
  <c r="BE160" i="19"/>
  <c r="BF160" i="19"/>
  <c r="BG160" i="19"/>
  <c r="BH160" i="19"/>
  <c r="BI160" i="19"/>
  <c r="BJ160" i="19"/>
  <c r="BK160" i="19"/>
  <c r="BL160" i="19"/>
  <c r="BM160" i="19"/>
  <c r="BN160" i="19"/>
  <c r="BO160" i="19"/>
  <c r="BP160" i="19"/>
  <c r="BQ160" i="19"/>
  <c r="BR160" i="19"/>
  <c r="BS160" i="19"/>
  <c r="BT160" i="19"/>
  <c r="BU160" i="19"/>
  <c r="BV160" i="19"/>
  <c r="BW160" i="19"/>
  <c r="BX160" i="19"/>
  <c r="BY160" i="19"/>
  <c r="BZ160" i="19"/>
  <c r="CA160" i="19"/>
  <c r="CB160" i="19"/>
  <c r="CC160" i="19"/>
  <c r="CD160" i="19"/>
  <c r="CE160" i="19"/>
  <c r="CF160" i="19"/>
  <c r="CG160" i="19"/>
  <c r="CH160" i="19"/>
  <c r="CI160" i="19"/>
  <c r="CJ160" i="19"/>
  <c r="CK160" i="19"/>
  <c r="CL160" i="19"/>
  <c r="CM160" i="19"/>
  <c r="CN160" i="19"/>
  <c r="CO160" i="19"/>
  <c r="CP160" i="19"/>
  <c r="CQ160" i="19"/>
  <c r="CR160" i="19"/>
  <c r="CS160" i="19"/>
  <c r="CT160" i="19"/>
  <c r="CU160" i="19"/>
  <c r="CV160" i="19"/>
  <c r="CW160" i="19"/>
  <c r="CX160" i="19"/>
  <c r="CY160" i="19"/>
  <c r="CZ160" i="19"/>
  <c r="DA160" i="19"/>
  <c r="DB160" i="19"/>
  <c r="DC160" i="19"/>
  <c r="DD160" i="19"/>
  <c r="DE160" i="19"/>
  <c r="DF160" i="19"/>
  <c r="DG160" i="19"/>
  <c r="DH160" i="19"/>
  <c r="DI160" i="19"/>
  <c r="DJ160" i="19"/>
  <c r="DK160" i="19"/>
  <c r="DL160" i="19"/>
  <c r="DM160" i="19"/>
  <c r="DN160" i="19"/>
  <c r="DO160" i="19"/>
  <c r="DP160" i="19"/>
  <c r="DQ160" i="19"/>
  <c r="DR160" i="19"/>
  <c r="DS160" i="19"/>
  <c r="DT160" i="19"/>
  <c r="DU160" i="19"/>
  <c r="DV160" i="19"/>
  <c r="DW160" i="19"/>
  <c r="DX160" i="19"/>
  <c r="DY160" i="19"/>
  <c r="DZ160" i="19"/>
  <c r="EA160" i="19"/>
  <c r="EB160" i="19"/>
  <c r="EC160" i="19"/>
  <c r="ED160" i="19"/>
  <c r="EE160" i="19"/>
  <c r="EF160" i="19"/>
  <c r="EG160" i="19"/>
  <c r="EH160" i="19"/>
  <c r="EI160" i="19"/>
  <c r="EJ160" i="19"/>
  <c r="EK160" i="19"/>
  <c r="EL160" i="19"/>
  <c r="EM160" i="19"/>
  <c r="EN160" i="19"/>
  <c r="EO160" i="19"/>
  <c r="EP160" i="19"/>
  <c r="EQ160" i="19"/>
  <c r="ER160" i="19"/>
  <c r="ES160" i="19"/>
  <c r="ET160" i="19"/>
  <c r="EU160" i="19"/>
  <c r="EV160" i="19"/>
  <c r="EW160" i="19"/>
  <c r="EX160" i="19"/>
  <c r="EY160" i="19"/>
  <c r="EZ160" i="19"/>
  <c r="FA160" i="19"/>
  <c r="FB160" i="19"/>
  <c r="FC160" i="19"/>
  <c r="FD160" i="19"/>
  <c r="FE160" i="19"/>
  <c r="FF160" i="19"/>
  <c r="FG160" i="19"/>
  <c r="FH160" i="19"/>
  <c r="FI160" i="19"/>
  <c r="FJ160" i="19"/>
  <c r="FK160" i="19"/>
  <c r="FL160" i="19"/>
  <c r="FM160" i="19"/>
  <c r="FN160" i="19"/>
  <c r="FO160" i="19"/>
  <c r="FP160" i="19"/>
  <c r="FQ160" i="19"/>
  <c r="FR160" i="19"/>
  <c r="FS160" i="19"/>
  <c r="FT160" i="19"/>
  <c r="FU160" i="19"/>
  <c r="FV160" i="19"/>
  <c r="FW160" i="19"/>
  <c r="FX160" i="19"/>
  <c r="FY160" i="19"/>
  <c r="FZ160" i="19"/>
  <c r="GA160" i="19"/>
  <c r="GB160" i="19"/>
  <c r="GC160" i="19"/>
  <c r="GD160" i="19"/>
  <c r="GE160" i="19"/>
  <c r="GF160" i="19"/>
  <c r="GG160" i="19"/>
  <c r="GH160" i="19"/>
  <c r="GI160" i="19"/>
  <c r="GJ160" i="19"/>
  <c r="GK160" i="19"/>
  <c r="GL160" i="19"/>
  <c r="GM160" i="19"/>
  <c r="GN160" i="19"/>
  <c r="GO160" i="19"/>
  <c r="GP160" i="19"/>
  <c r="GQ160" i="19"/>
  <c r="GR160" i="19"/>
  <c r="GS160" i="19"/>
  <c r="GT160" i="19"/>
  <c r="GU160" i="19"/>
  <c r="GV160" i="19"/>
  <c r="GW160" i="19"/>
  <c r="GX160" i="19"/>
  <c r="GY160" i="19"/>
  <c r="GZ160" i="19"/>
  <c r="HA160" i="19"/>
  <c r="HB160" i="19"/>
  <c r="HC160" i="19"/>
  <c r="HD160" i="19"/>
  <c r="HE160" i="19"/>
  <c r="HF160" i="19"/>
  <c r="HG160" i="19"/>
  <c r="HH160" i="19"/>
  <c r="HI160" i="19"/>
  <c r="HJ160" i="19"/>
  <c r="HK160" i="19"/>
  <c r="HL160" i="19"/>
  <c r="HM160" i="19"/>
  <c r="HN160" i="19"/>
  <c r="HO160" i="19"/>
  <c r="HP160" i="19"/>
  <c r="HQ160" i="19"/>
  <c r="HR160" i="19"/>
  <c r="HS160" i="19"/>
  <c r="HT160" i="19"/>
  <c r="HU160" i="19"/>
  <c r="HV160" i="19"/>
  <c r="HW160" i="19"/>
  <c r="HX160" i="19"/>
  <c r="HY160" i="19"/>
  <c r="HZ160" i="19"/>
  <c r="IA160" i="19"/>
  <c r="IB160" i="19"/>
  <c r="IC160" i="19"/>
  <c r="ID160" i="19"/>
  <c r="IE160" i="19"/>
  <c r="IF160" i="19"/>
  <c r="IG160" i="19"/>
  <c r="IH160" i="19"/>
  <c r="II160" i="19"/>
  <c r="IJ160" i="19"/>
  <c r="IK160" i="19"/>
  <c r="IL160" i="19"/>
  <c r="IM160" i="19"/>
  <c r="IN160" i="19"/>
  <c r="IO160" i="19"/>
  <c r="IP160" i="19"/>
  <c r="IQ160" i="19"/>
  <c r="IR160" i="19"/>
  <c r="IS160" i="19"/>
  <c r="IT160" i="19"/>
  <c r="IU160" i="19"/>
  <c r="IV160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T161" i="19"/>
  <c r="U161" i="19"/>
  <c r="V161" i="19"/>
  <c r="W161" i="19"/>
  <c r="X161" i="19"/>
  <c r="Y161" i="19"/>
  <c r="Z161" i="19"/>
  <c r="AA161" i="19"/>
  <c r="AB161" i="19"/>
  <c r="AC161" i="19"/>
  <c r="AD161" i="19"/>
  <c r="AE161" i="19"/>
  <c r="AF161" i="19"/>
  <c r="AG161" i="19"/>
  <c r="AH161" i="19"/>
  <c r="AI161" i="19"/>
  <c r="AJ161" i="19"/>
  <c r="AK161" i="19"/>
  <c r="AL161" i="19"/>
  <c r="AM161" i="19"/>
  <c r="AN161" i="19"/>
  <c r="AO161" i="19"/>
  <c r="AP161" i="19"/>
  <c r="AQ161" i="19"/>
  <c r="AR161" i="19"/>
  <c r="AS161" i="19"/>
  <c r="AT161" i="19"/>
  <c r="AU161" i="19"/>
  <c r="AV161" i="19"/>
  <c r="AW161" i="19"/>
  <c r="AX161" i="19"/>
  <c r="AY161" i="19"/>
  <c r="AZ161" i="19"/>
  <c r="BA161" i="19"/>
  <c r="BB161" i="19"/>
  <c r="BC161" i="19"/>
  <c r="BD161" i="19"/>
  <c r="BE161" i="19"/>
  <c r="BF161" i="19"/>
  <c r="BG161" i="19"/>
  <c r="BH161" i="19"/>
  <c r="BI161" i="19"/>
  <c r="BJ161" i="19"/>
  <c r="BK161" i="19"/>
  <c r="BL161" i="19"/>
  <c r="BM161" i="19"/>
  <c r="BN161" i="19"/>
  <c r="BO161" i="19"/>
  <c r="BP161" i="19"/>
  <c r="BQ161" i="19"/>
  <c r="BR161" i="19"/>
  <c r="BS161" i="19"/>
  <c r="BT161" i="19"/>
  <c r="BU161" i="19"/>
  <c r="BV161" i="19"/>
  <c r="BW161" i="19"/>
  <c r="BX161" i="19"/>
  <c r="BY161" i="19"/>
  <c r="BZ161" i="19"/>
  <c r="CA161" i="19"/>
  <c r="CB161" i="19"/>
  <c r="CC161" i="19"/>
  <c r="CD161" i="19"/>
  <c r="CE161" i="19"/>
  <c r="CF161" i="19"/>
  <c r="CG161" i="19"/>
  <c r="CH161" i="19"/>
  <c r="CI161" i="19"/>
  <c r="CJ161" i="19"/>
  <c r="CK161" i="19"/>
  <c r="CL161" i="19"/>
  <c r="CM161" i="19"/>
  <c r="CN161" i="19"/>
  <c r="CO161" i="19"/>
  <c r="CP161" i="19"/>
  <c r="CQ161" i="19"/>
  <c r="CR161" i="19"/>
  <c r="CS161" i="19"/>
  <c r="CT161" i="19"/>
  <c r="CU161" i="19"/>
  <c r="CV161" i="19"/>
  <c r="CW161" i="19"/>
  <c r="CX161" i="19"/>
  <c r="CY161" i="19"/>
  <c r="CZ161" i="19"/>
  <c r="DA161" i="19"/>
  <c r="DB161" i="19"/>
  <c r="DC161" i="19"/>
  <c r="DD161" i="19"/>
  <c r="DE161" i="19"/>
  <c r="DF161" i="19"/>
  <c r="DG161" i="19"/>
  <c r="DH161" i="19"/>
  <c r="DI161" i="19"/>
  <c r="DJ161" i="19"/>
  <c r="DK161" i="19"/>
  <c r="DL161" i="19"/>
  <c r="DM161" i="19"/>
  <c r="DN161" i="19"/>
  <c r="DO161" i="19"/>
  <c r="DP161" i="19"/>
  <c r="DQ161" i="19"/>
  <c r="DR161" i="19"/>
  <c r="DS161" i="19"/>
  <c r="DT161" i="19"/>
  <c r="DU161" i="19"/>
  <c r="DV161" i="19"/>
  <c r="DW161" i="19"/>
  <c r="DX161" i="19"/>
  <c r="DY161" i="19"/>
  <c r="DZ161" i="19"/>
  <c r="EA161" i="19"/>
  <c r="EB161" i="19"/>
  <c r="EC161" i="19"/>
  <c r="ED161" i="19"/>
  <c r="EE161" i="19"/>
  <c r="EF161" i="19"/>
  <c r="EG161" i="19"/>
  <c r="EH161" i="19"/>
  <c r="EI161" i="19"/>
  <c r="EJ161" i="19"/>
  <c r="EK161" i="19"/>
  <c r="EL161" i="19"/>
  <c r="EM161" i="19"/>
  <c r="EN161" i="19"/>
  <c r="EO161" i="19"/>
  <c r="EP161" i="19"/>
  <c r="EQ161" i="19"/>
  <c r="ER161" i="19"/>
  <c r="ES161" i="19"/>
  <c r="ET161" i="19"/>
  <c r="EU161" i="19"/>
  <c r="EV161" i="19"/>
  <c r="EW161" i="19"/>
  <c r="EX161" i="19"/>
  <c r="EY161" i="19"/>
  <c r="EZ161" i="19"/>
  <c r="FA161" i="19"/>
  <c r="FB161" i="19"/>
  <c r="FC161" i="19"/>
  <c r="FD161" i="19"/>
  <c r="FE161" i="19"/>
  <c r="FF161" i="19"/>
  <c r="FG161" i="19"/>
  <c r="FH161" i="19"/>
  <c r="FI161" i="19"/>
  <c r="FJ161" i="19"/>
  <c r="FK161" i="19"/>
  <c r="FL161" i="19"/>
  <c r="FM161" i="19"/>
  <c r="FN161" i="19"/>
  <c r="FO161" i="19"/>
  <c r="FP161" i="19"/>
  <c r="FQ161" i="19"/>
  <c r="FR161" i="19"/>
  <c r="FS161" i="19"/>
  <c r="FT161" i="19"/>
  <c r="FU161" i="19"/>
  <c r="FV161" i="19"/>
  <c r="FW161" i="19"/>
  <c r="FX161" i="19"/>
  <c r="FY161" i="19"/>
  <c r="FZ161" i="19"/>
  <c r="GA161" i="19"/>
  <c r="GB161" i="19"/>
  <c r="GC161" i="19"/>
  <c r="GD161" i="19"/>
  <c r="GE161" i="19"/>
  <c r="GF161" i="19"/>
  <c r="GG161" i="19"/>
  <c r="GH161" i="19"/>
  <c r="GI161" i="19"/>
  <c r="GJ161" i="19"/>
  <c r="GK161" i="19"/>
  <c r="GL161" i="19"/>
  <c r="GM161" i="19"/>
  <c r="GN161" i="19"/>
  <c r="GO161" i="19"/>
  <c r="GP161" i="19"/>
  <c r="GQ161" i="19"/>
  <c r="GR161" i="19"/>
  <c r="GS161" i="19"/>
  <c r="GT161" i="19"/>
  <c r="GU161" i="19"/>
  <c r="GV161" i="19"/>
  <c r="GW161" i="19"/>
  <c r="GX161" i="19"/>
  <c r="GY161" i="19"/>
  <c r="GZ161" i="19"/>
  <c r="HA161" i="19"/>
  <c r="HB161" i="19"/>
  <c r="HC161" i="19"/>
  <c r="HD161" i="19"/>
  <c r="HE161" i="19"/>
  <c r="HF161" i="19"/>
  <c r="HG161" i="19"/>
  <c r="HH161" i="19"/>
  <c r="HI161" i="19"/>
  <c r="HJ161" i="19"/>
  <c r="HK161" i="19"/>
  <c r="HL161" i="19"/>
  <c r="HM161" i="19"/>
  <c r="HN161" i="19"/>
  <c r="HO161" i="19"/>
  <c r="HP161" i="19"/>
  <c r="HQ161" i="19"/>
  <c r="HR161" i="19"/>
  <c r="HS161" i="19"/>
  <c r="HT161" i="19"/>
  <c r="HU161" i="19"/>
  <c r="HV161" i="19"/>
  <c r="HW161" i="19"/>
  <c r="HX161" i="19"/>
  <c r="HY161" i="19"/>
  <c r="HZ161" i="19"/>
  <c r="IA161" i="19"/>
  <c r="IB161" i="19"/>
  <c r="IC161" i="19"/>
  <c r="ID161" i="19"/>
  <c r="IE161" i="19"/>
  <c r="IF161" i="19"/>
  <c r="IG161" i="19"/>
  <c r="IH161" i="19"/>
  <c r="II161" i="19"/>
  <c r="IJ161" i="19"/>
  <c r="IK161" i="19"/>
  <c r="IL161" i="19"/>
  <c r="IM161" i="19"/>
  <c r="IN161" i="19"/>
  <c r="IO161" i="19"/>
  <c r="IP161" i="19"/>
  <c r="IQ161" i="19"/>
  <c r="IR161" i="19"/>
  <c r="IS161" i="19"/>
  <c r="IT161" i="19"/>
  <c r="IU161" i="19"/>
  <c r="IV161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T162" i="19"/>
  <c r="U162" i="19"/>
  <c r="V162" i="19"/>
  <c r="W162" i="19"/>
  <c r="X162" i="19"/>
  <c r="Y162" i="19"/>
  <c r="Z162" i="19"/>
  <c r="AA162" i="19"/>
  <c r="AB162" i="19"/>
  <c r="AC162" i="19"/>
  <c r="AD162" i="19"/>
  <c r="AE162" i="19"/>
  <c r="AF162" i="19"/>
  <c r="AG162" i="19"/>
  <c r="AH162" i="19"/>
  <c r="AI162" i="19"/>
  <c r="AJ162" i="19"/>
  <c r="AK162" i="19"/>
  <c r="AL162" i="19"/>
  <c r="AM162" i="19"/>
  <c r="AN162" i="19"/>
  <c r="AO162" i="19"/>
  <c r="AP162" i="19"/>
  <c r="AQ162" i="19"/>
  <c r="AR162" i="19"/>
  <c r="AS162" i="19"/>
  <c r="AT162" i="19"/>
  <c r="AU162" i="19"/>
  <c r="AV162" i="19"/>
  <c r="AW162" i="19"/>
  <c r="AX162" i="19"/>
  <c r="AY162" i="19"/>
  <c r="AZ162" i="19"/>
  <c r="BA162" i="19"/>
  <c r="BB162" i="19"/>
  <c r="BC162" i="19"/>
  <c r="BD162" i="19"/>
  <c r="BE162" i="19"/>
  <c r="BF162" i="19"/>
  <c r="BG162" i="19"/>
  <c r="BH162" i="19"/>
  <c r="BI162" i="19"/>
  <c r="BJ162" i="19"/>
  <c r="BK162" i="19"/>
  <c r="BL162" i="19"/>
  <c r="BM162" i="19"/>
  <c r="BN162" i="19"/>
  <c r="BO162" i="19"/>
  <c r="BP162" i="19"/>
  <c r="BQ162" i="19"/>
  <c r="BR162" i="19"/>
  <c r="BS162" i="19"/>
  <c r="BT162" i="19"/>
  <c r="BU162" i="19"/>
  <c r="BV162" i="19"/>
  <c r="BW162" i="19"/>
  <c r="BX162" i="19"/>
  <c r="BY162" i="19"/>
  <c r="BZ162" i="19"/>
  <c r="CA162" i="19"/>
  <c r="CB162" i="19"/>
  <c r="CC162" i="19"/>
  <c r="CD162" i="19"/>
  <c r="CE162" i="19"/>
  <c r="CF162" i="19"/>
  <c r="CG162" i="19"/>
  <c r="CH162" i="19"/>
  <c r="CI162" i="19"/>
  <c r="CJ162" i="19"/>
  <c r="CK162" i="19"/>
  <c r="CL162" i="19"/>
  <c r="CM162" i="19"/>
  <c r="CN162" i="19"/>
  <c r="CO162" i="19"/>
  <c r="CP162" i="19"/>
  <c r="CQ162" i="19"/>
  <c r="CR162" i="19"/>
  <c r="CS162" i="19"/>
  <c r="CT162" i="19"/>
  <c r="CU162" i="19"/>
  <c r="CV162" i="19"/>
  <c r="CW162" i="19"/>
  <c r="CX162" i="19"/>
  <c r="CY162" i="19"/>
  <c r="CZ162" i="19"/>
  <c r="DA162" i="19"/>
  <c r="DB162" i="19"/>
  <c r="DC162" i="19"/>
  <c r="DD162" i="19"/>
  <c r="DE162" i="19"/>
  <c r="DF162" i="19"/>
  <c r="DG162" i="19"/>
  <c r="DH162" i="19"/>
  <c r="DI162" i="19"/>
  <c r="DJ162" i="19"/>
  <c r="DK162" i="19"/>
  <c r="DL162" i="19"/>
  <c r="DM162" i="19"/>
  <c r="DN162" i="19"/>
  <c r="DO162" i="19"/>
  <c r="DP162" i="19"/>
  <c r="DQ162" i="19"/>
  <c r="DR162" i="19"/>
  <c r="DS162" i="19"/>
  <c r="DT162" i="19"/>
  <c r="DU162" i="19"/>
  <c r="DV162" i="19"/>
  <c r="DW162" i="19"/>
  <c r="DX162" i="19"/>
  <c r="DY162" i="19"/>
  <c r="DZ162" i="19"/>
  <c r="EA162" i="19"/>
  <c r="EB162" i="19"/>
  <c r="EC162" i="19"/>
  <c r="ED162" i="19"/>
  <c r="EE162" i="19"/>
  <c r="EF162" i="19"/>
  <c r="EG162" i="19"/>
  <c r="EH162" i="19"/>
  <c r="EI162" i="19"/>
  <c r="EJ162" i="19"/>
  <c r="EK162" i="19"/>
  <c r="EL162" i="19"/>
  <c r="EM162" i="19"/>
  <c r="EN162" i="19"/>
  <c r="EO162" i="19"/>
  <c r="EP162" i="19"/>
  <c r="EQ162" i="19"/>
  <c r="ER162" i="19"/>
  <c r="ES162" i="19"/>
  <c r="ET162" i="19"/>
  <c r="EU162" i="19"/>
  <c r="EV162" i="19"/>
  <c r="EW162" i="19"/>
  <c r="EX162" i="19"/>
  <c r="EY162" i="19"/>
  <c r="EZ162" i="19"/>
  <c r="FA162" i="19"/>
  <c r="FB162" i="19"/>
  <c r="FC162" i="19"/>
  <c r="FD162" i="19"/>
  <c r="FE162" i="19"/>
  <c r="FF162" i="19"/>
  <c r="FG162" i="19"/>
  <c r="FH162" i="19"/>
  <c r="FI162" i="19"/>
  <c r="FJ162" i="19"/>
  <c r="FK162" i="19"/>
  <c r="FL162" i="19"/>
  <c r="FM162" i="19"/>
  <c r="FN162" i="19"/>
  <c r="FO162" i="19"/>
  <c r="FP162" i="19"/>
  <c r="FQ162" i="19"/>
  <c r="FR162" i="19"/>
  <c r="FS162" i="19"/>
  <c r="FT162" i="19"/>
  <c r="FU162" i="19"/>
  <c r="FV162" i="19"/>
  <c r="FW162" i="19"/>
  <c r="FX162" i="19"/>
  <c r="FY162" i="19"/>
  <c r="FZ162" i="19"/>
  <c r="GA162" i="19"/>
  <c r="GB162" i="19"/>
  <c r="GC162" i="19"/>
  <c r="GD162" i="19"/>
  <c r="GE162" i="19"/>
  <c r="GF162" i="19"/>
  <c r="GG162" i="19"/>
  <c r="GH162" i="19"/>
  <c r="GI162" i="19"/>
  <c r="GJ162" i="19"/>
  <c r="GK162" i="19"/>
  <c r="GL162" i="19"/>
  <c r="GM162" i="19"/>
  <c r="GN162" i="19"/>
  <c r="GO162" i="19"/>
  <c r="GP162" i="19"/>
  <c r="GQ162" i="19"/>
  <c r="GR162" i="19"/>
  <c r="GS162" i="19"/>
  <c r="GT162" i="19"/>
  <c r="GU162" i="19"/>
  <c r="GV162" i="19"/>
  <c r="GW162" i="19"/>
  <c r="GX162" i="19"/>
  <c r="GY162" i="19"/>
  <c r="GZ162" i="19"/>
  <c r="HA162" i="19"/>
  <c r="HB162" i="19"/>
  <c r="HC162" i="19"/>
  <c r="HD162" i="19"/>
  <c r="HE162" i="19"/>
  <c r="HF162" i="19"/>
  <c r="HG162" i="19"/>
  <c r="HH162" i="19"/>
  <c r="HI162" i="19"/>
  <c r="HJ162" i="19"/>
  <c r="HK162" i="19"/>
  <c r="HL162" i="19"/>
  <c r="HM162" i="19"/>
  <c r="HN162" i="19"/>
  <c r="HO162" i="19"/>
  <c r="HP162" i="19"/>
  <c r="HQ162" i="19"/>
  <c r="HR162" i="19"/>
  <c r="HS162" i="19"/>
  <c r="HT162" i="19"/>
  <c r="HU162" i="19"/>
  <c r="HV162" i="19"/>
  <c r="HW162" i="19"/>
  <c r="HX162" i="19"/>
  <c r="HY162" i="19"/>
  <c r="HZ162" i="19"/>
  <c r="IA162" i="19"/>
  <c r="IB162" i="19"/>
  <c r="IC162" i="19"/>
  <c r="ID162" i="19"/>
  <c r="IE162" i="19"/>
  <c r="IF162" i="19"/>
  <c r="IG162" i="19"/>
  <c r="IH162" i="19"/>
  <c r="II162" i="19"/>
  <c r="IJ162" i="19"/>
  <c r="IK162" i="19"/>
  <c r="IL162" i="19"/>
  <c r="IM162" i="19"/>
  <c r="IN162" i="19"/>
  <c r="IO162" i="19"/>
  <c r="IP162" i="19"/>
  <c r="IQ162" i="19"/>
  <c r="IR162" i="19"/>
  <c r="IS162" i="19"/>
  <c r="IT162" i="19"/>
  <c r="IU162" i="19"/>
  <c r="IV162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T163" i="19"/>
  <c r="U163" i="19"/>
  <c r="V163" i="19"/>
  <c r="W163" i="19"/>
  <c r="X163" i="19"/>
  <c r="Y163" i="19"/>
  <c r="Z163" i="19"/>
  <c r="AA163" i="19"/>
  <c r="AB163" i="19"/>
  <c r="AC163" i="19"/>
  <c r="AD163" i="19"/>
  <c r="AE163" i="19"/>
  <c r="AF163" i="19"/>
  <c r="AG163" i="19"/>
  <c r="AH163" i="19"/>
  <c r="AI163" i="19"/>
  <c r="AJ163" i="19"/>
  <c r="AK163" i="19"/>
  <c r="AL163" i="19"/>
  <c r="AM163" i="19"/>
  <c r="AN163" i="19"/>
  <c r="AO163" i="19"/>
  <c r="AP163" i="19"/>
  <c r="AQ163" i="19"/>
  <c r="AR163" i="19"/>
  <c r="AS163" i="19"/>
  <c r="AT163" i="19"/>
  <c r="AU163" i="19"/>
  <c r="AV163" i="19"/>
  <c r="AW163" i="19"/>
  <c r="AX163" i="19"/>
  <c r="AY163" i="19"/>
  <c r="AZ163" i="19"/>
  <c r="BA163" i="19"/>
  <c r="BB163" i="19"/>
  <c r="BC163" i="19"/>
  <c r="BD163" i="19"/>
  <c r="BE163" i="19"/>
  <c r="BF163" i="19"/>
  <c r="BG163" i="19"/>
  <c r="BH163" i="19"/>
  <c r="BI163" i="19"/>
  <c r="BJ163" i="19"/>
  <c r="BK163" i="19"/>
  <c r="BL163" i="19"/>
  <c r="BM163" i="19"/>
  <c r="BN163" i="19"/>
  <c r="BO163" i="19"/>
  <c r="BP163" i="19"/>
  <c r="BQ163" i="19"/>
  <c r="BR163" i="19"/>
  <c r="BS163" i="19"/>
  <c r="BT163" i="19"/>
  <c r="BU163" i="19"/>
  <c r="BV163" i="19"/>
  <c r="BW163" i="19"/>
  <c r="BX163" i="19"/>
  <c r="BY163" i="19"/>
  <c r="BZ163" i="19"/>
  <c r="CA163" i="19"/>
  <c r="CB163" i="19"/>
  <c r="CC163" i="19"/>
  <c r="CD163" i="19"/>
  <c r="CE163" i="19"/>
  <c r="CF163" i="19"/>
  <c r="CG163" i="19"/>
  <c r="CH163" i="19"/>
  <c r="CI163" i="19"/>
  <c r="CJ163" i="19"/>
  <c r="CK163" i="19"/>
  <c r="CL163" i="19"/>
  <c r="CM163" i="19"/>
  <c r="CN163" i="19"/>
  <c r="CO163" i="19"/>
  <c r="CP163" i="19"/>
  <c r="CQ163" i="19"/>
  <c r="CR163" i="19"/>
  <c r="CS163" i="19"/>
  <c r="CT163" i="19"/>
  <c r="CU163" i="19"/>
  <c r="CV163" i="19"/>
  <c r="CW163" i="19"/>
  <c r="CX163" i="19"/>
  <c r="CY163" i="19"/>
  <c r="CZ163" i="19"/>
  <c r="DA163" i="19"/>
  <c r="DB163" i="19"/>
  <c r="DC163" i="19"/>
  <c r="DD163" i="19"/>
  <c r="DE163" i="19"/>
  <c r="DF163" i="19"/>
  <c r="DG163" i="19"/>
  <c r="DH163" i="19"/>
  <c r="DI163" i="19"/>
  <c r="DJ163" i="19"/>
  <c r="DK163" i="19"/>
  <c r="DL163" i="19"/>
  <c r="DM163" i="19"/>
  <c r="DN163" i="19"/>
  <c r="DO163" i="19"/>
  <c r="DP163" i="19"/>
  <c r="DQ163" i="19"/>
  <c r="DR163" i="19"/>
  <c r="DS163" i="19"/>
  <c r="DT163" i="19"/>
  <c r="DU163" i="19"/>
  <c r="DV163" i="19"/>
  <c r="DW163" i="19"/>
  <c r="DX163" i="19"/>
  <c r="DY163" i="19"/>
  <c r="DZ163" i="19"/>
  <c r="EA163" i="19"/>
  <c r="EB163" i="19"/>
  <c r="EC163" i="19"/>
  <c r="ED163" i="19"/>
  <c r="EE163" i="19"/>
  <c r="EF163" i="19"/>
  <c r="EG163" i="19"/>
  <c r="EH163" i="19"/>
  <c r="EI163" i="19"/>
  <c r="EJ163" i="19"/>
  <c r="EK163" i="19"/>
  <c r="EL163" i="19"/>
  <c r="EM163" i="19"/>
  <c r="EN163" i="19"/>
  <c r="EO163" i="19"/>
  <c r="EP163" i="19"/>
  <c r="EQ163" i="19"/>
  <c r="ER163" i="19"/>
  <c r="ES163" i="19"/>
  <c r="ET163" i="19"/>
  <c r="EU163" i="19"/>
  <c r="EV163" i="19"/>
  <c r="EW163" i="19"/>
  <c r="EX163" i="19"/>
  <c r="EY163" i="19"/>
  <c r="EZ163" i="19"/>
  <c r="FA163" i="19"/>
  <c r="FB163" i="19"/>
  <c r="FC163" i="19"/>
  <c r="FD163" i="19"/>
  <c r="FE163" i="19"/>
  <c r="FF163" i="19"/>
  <c r="FG163" i="19"/>
  <c r="FH163" i="19"/>
  <c r="FI163" i="19"/>
  <c r="FJ163" i="19"/>
  <c r="FK163" i="19"/>
  <c r="FL163" i="19"/>
  <c r="FM163" i="19"/>
  <c r="FN163" i="19"/>
  <c r="FO163" i="19"/>
  <c r="FP163" i="19"/>
  <c r="FQ163" i="19"/>
  <c r="FR163" i="19"/>
  <c r="FS163" i="19"/>
  <c r="FT163" i="19"/>
  <c r="FU163" i="19"/>
  <c r="FV163" i="19"/>
  <c r="FW163" i="19"/>
  <c r="FX163" i="19"/>
  <c r="FY163" i="19"/>
  <c r="FZ163" i="19"/>
  <c r="GA163" i="19"/>
  <c r="GB163" i="19"/>
  <c r="GC163" i="19"/>
  <c r="GD163" i="19"/>
  <c r="GE163" i="19"/>
  <c r="GF163" i="19"/>
  <c r="GG163" i="19"/>
  <c r="GH163" i="19"/>
  <c r="GI163" i="19"/>
  <c r="GJ163" i="19"/>
  <c r="GK163" i="19"/>
  <c r="GL163" i="19"/>
  <c r="GM163" i="19"/>
  <c r="GN163" i="19"/>
  <c r="GO163" i="19"/>
  <c r="GP163" i="19"/>
  <c r="GQ163" i="19"/>
  <c r="GR163" i="19"/>
  <c r="GS163" i="19"/>
  <c r="GT163" i="19"/>
  <c r="GU163" i="19"/>
  <c r="GV163" i="19"/>
  <c r="GW163" i="19"/>
  <c r="GX163" i="19"/>
  <c r="GY163" i="19"/>
  <c r="GZ163" i="19"/>
  <c r="HA163" i="19"/>
  <c r="HB163" i="19"/>
  <c r="HC163" i="19"/>
  <c r="HD163" i="19"/>
  <c r="HE163" i="19"/>
  <c r="HF163" i="19"/>
  <c r="HG163" i="19"/>
  <c r="HH163" i="19"/>
  <c r="HI163" i="19"/>
  <c r="HJ163" i="19"/>
  <c r="HK163" i="19"/>
  <c r="HL163" i="19"/>
  <c r="HM163" i="19"/>
  <c r="HN163" i="19"/>
  <c r="HO163" i="19"/>
  <c r="HP163" i="19"/>
  <c r="HQ163" i="19"/>
  <c r="HR163" i="19"/>
  <c r="HS163" i="19"/>
  <c r="HT163" i="19"/>
  <c r="HU163" i="19"/>
  <c r="HV163" i="19"/>
  <c r="HW163" i="19"/>
  <c r="HX163" i="19"/>
  <c r="HY163" i="19"/>
  <c r="HZ163" i="19"/>
  <c r="IA163" i="19"/>
  <c r="IB163" i="19"/>
  <c r="IC163" i="19"/>
  <c r="ID163" i="19"/>
  <c r="IE163" i="19"/>
  <c r="IF163" i="19"/>
  <c r="IG163" i="19"/>
  <c r="IH163" i="19"/>
  <c r="II163" i="19"/>
  <c r="IJ163" i="19"/>
  <c r="IK163" i="19"/>
  <c r="IL163" i="19"/>
  <c r="IM163" i="19"/>
  <c r="IN163" i="19"/>
  <c r="IO163" i="19"/>
  <c r="IP163" i="19"/>
  <c r="IQ163" i="19"/>
  <c r="IR163" i="19"/>
  <c r="IS163" i="19"/>
  <c r="IT163" i="19"/>
  <c r="IU163" i="19"/>
  <c r="IV163" i="19"/>
  <c r="F164" i="19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T164" i="19"/>
  <c r="U164" i="19"/>
  <c r="V164" i="19"/>
  <c r="W164" i="19"/>
  <c r="X164" i="19"/>
  <c r="Y164" i="19"/>
  <c r="Z164" i="19"/>
  <c r="AA164" i="19"/>
  <c r="AB164" i="19"/>
  <c r="AC164" i="19"/>
  <c r="AD164" i="19"/>
  <c r="AE164" i="19"/>
  <c r="AF164" i="19"/>
  <c r="AG164" i="19"/>
  <c r="AH164" i="19"/>
  <c r="AI164" i="19"/>
  <c r="AJ164" i="19"/>
  <c r="AK164" i="19"/>
  <c r="AL164" i="19"/>
  <c r="AM164" i="19"/>
  <c r="AN164" i="19"/>
  <c r="AO164" i="19"/>
  <c r="AP164" i="19"/>
  <c r="AQ164" i="19"/>
  <c r="AR164" i="19"/>
  <c r="AS164" i="19"/>
  <c r="AT164" i="19"/>
  <c r="AU164" i="19"/>
  <c r="AV164" i="19"/>
  <c r="AW164" i="19"/>
  <c r="AX164" i="19"/>
  <c r="AY164" i="19"/>
  <c r="AZ164" i="19"/>
  <c r="BA164" i="19"/>
  <c r="BB164" i="19"/>
  <c r="BC164" i="19"/>
  <c r="BD164" i="19"/>
  <c r="BE164" i="19"/>
  <c r="BF164" i="19"/>
  <c r="BG164" i="19"/>
  <c r="BH164" i="19"/>
  <c r="BI164" i="19"/>
  <c r="BJ164" i="19"/>
  <c r="BK164" i="19"/>
  <c r="BL164" i="19"/>
  <c r="BM164" i="19"/>
  <c r="BN164" i="19"/>
  <c r="BO164" i="19"/>
  <c r="BP164" i="19"/>
  <c r="BQ164" i="19"/>
  <c r="BR164" i="19"/>
  <c r="BS164" i="19"/>
  <c r="BT164" i="19"/>
  <c r="BU164" i="19"/>
  <c r="BV164" i="19"/>
  <c r="BW164" i="19"/>
  <c r="BX164" i="19"/>
  <c r="BY164" i="19"/>
  <c r="BZ164" i="19"/>
  <c r="CA164" i="19"/>
  <c r="CB164" i="19"/>
  <c r="CC164" i="19"/>
  <c r="CD164" i="19"/>
  <c r="CE164" i="19"/>
  <c r="CF164" i="19"/>
  <c r="CG164" i="19"/>
  <c r="CH164" i="19"/>
  <c r="CI164" i="19"/>
  <c r="CJ164" i="19"/>
  <c r="CK164" i="19"/>
  <c r="CL164" i="19"/>
  <c r="CM164" i="19"/>
  <c r="CN164" i="19"/>
  <c r="CO164" i="19"/>
  <c r="CP164" i="19"/>
  <c r="CQ164" i="19"/>
  <c r="CR164" i="19"/>
  <c r="CS164" i="19"/>
  <c r="CT164" i="19"/>
  <c r="CU164" i="19"/>
  <c r="CV164" i="19"/>
  <c r="CW164" i="19"/>
  <c r="CX164" i="19"/>
  <c r="CY164" i="19"/>
  <c r="CZ164" i="19"/>
  <c r="DA164" i="19"/>
  <c r="DB164" i="19"/>
  <c r="DC164" i="19"/>
  <c r="DD164" i="19"/>
  <c r="DE164" i="19"/>
  <c r="DF164" i="19"/>
  <c r="DG164" i="19"/>
  <c r="DH164" i="19"/>
  <c r="DI164" i="19"/>
  <c r="DJ164" i="19"/>
  <c r="DK164" i="19"/>
  <c r="DL164" i="19"/>
  <c r="DM164" i="19"/>
  <c r="DN164" i="19"/>
  <c r="DO164" i="19"/>
  <c r="DP164" i="19"/>
  <c r="DQ164" i="19"/>
  <c r="DR164" i="19"/>
  <c r="DS164" i="19"/>
  <c r="DT164" i="19"/>
  <c r="DU164" i="19"/>
  <c r="DV164" i="19"/>
  <c r="DW164" i="19"/>
  <c r="DX164" i="19"/>
  <c r="DY164" i="19"/>
  <c r="DZ164" i="19"/>
  <c r="EA164" i="19"/>
  <c r="EB164" i="19"/>
  <c r="EC164" i="19"/>
  <c r="ED164" i="19"/>
  <c r="EE164" i="19"/>
  <c r="EF164" i="19"/>
  <c r="EG164" i="19"/>
  <c r="EH164" i="19"/>
  <c r="EI164" i="19"/>
  <c r="EJ164" i="19"/>
  <c r="EK164" i="19"/>
  <c r="EL164" i="19"/>
  <c r="EM164" i="19"/>
  <c r="EN164" i="19"/>
  <c r="EO164" i="19"/>
  <c r="EP164" i="19"/>
  <c r="EQ164" i="19"/>
  <c r="ER164" i="19"/>
  <c r="ES164" i="19"/>
  <c r="ET164" i="19"/>
  <c r="EU164" i="19"/>
  <c r="EV164" i="19"/>
  <c r="EW164" i="19"/>
  <c r="EX164" i="19"/>
  <c r="EY164" i="19"/>
  <c r="EZ164" i="19"/>
  <c r="FA164" i="19"/>
  <c r="FB164" i="19"/>
  <c r="FC164" i="19"/>
  <c r="FD164" i="19"/>
  <c r="FE164" i="19"/>
  <c r="FF164" i="19"/>
  <c r="FG164" i="19"/>
  <c r="FH164" i="19"/>
  <c r="FI164" i="19"/>
  <c r="FJ164" i="19"/>
  <c r="FK164" i="19"/>
  <c r="FL164" i="19"/>
  <c r="FM164" i="19"/>
  <c r="FN164" i="19"/>
  <c r="FO164" i="19"/>
  <c r="FP164" i="19"/>
  <c r="FQ164" i="19"/>
  <c r="FR164" i="19"/>
  <c r="FS164" i="19"/>
  <c r="FT164" i="19"/>
  <c r="FU164" i="19"/>
  <c r="FV164" i="19"/>
  <c r="FW164" i="19"/>
  <c r="FX164" i="19"/>
  <c r="FY164" i="19"/>
  <c r="FZ164" i="19"/>
  <c r="GA164" i="19"/>
  <c r="GB164" i="19"/>
  <c r="GC164" i="19"/>
  <c r="GD164" i="19"/>
  <c r="GE164" i="19"/>
  <c r="GF164" i="19"/>
  <c r="GG164" i="19"/>
  <c r="GH164" i="19"/>
  <c r="GI164" i="19"/>
  <c r="GJ164" i="19"/>
  <c r="GK164" i="19"/>
  <c r="GL164" i="19"/>
  <c r="GM164" i="19"/>
  <c r="GN164" i="19"/>
  <c r="GO164" i="19"/>
  <c r="GP164" i="19"/>
  <c r="GQ164" i="19"/>
  <c r="GR164" i="19"/>
  <c r="GS164" i="19"/>
  <c r="GT164" i="19"/>
  <c r="GU164" i="19"/>
  <c r="GV164" i="19"/>
  <c r="GW164" i="19"/>
  <c r="GX164" i="19"/>
  <c r="GY164" i="19"/>
  <c r="GZ164" i="19"/>
  <c r="HA164" i="19"/>
  <c r="HB164" i="19"/>
  <c r="HC164" i="19"/>
  <c r="HD164" i="19"/>
  <c r="HE164" i="19"/>
  <c r="HF164" i="19"/>
  <c r="HG164" i="19"/>
  <c r="HH164" i="19"/>
  <c r="HI164" i="19"/>
  <c r="HJ164" i="19"/>
  <c r="HK164" i="19"/>
  <c r="HL164" i="19"/>
  <c r="HM164" i="19"/>
  <c r="HN164" i="19"/>
  <c r="HO164" i="19"/>
  <c r="HP164" i="19"/>
  <c r="HQ164" i="19"/>
  <c r="HR164" i="19"/>
  <c r="HS164" i="19"/>
  <c r="HT164" i="19"/>
  <c r="HU164" i="19"/>
  <c r="HV164" i="19"/>
  <c r="HW164" i="19"/>
  <c r="HX164" i="19"/>
  <c r="HY164" i="19"/>
  <c r="HZ164" i="19"/>
  <c r="IA164" i="19"/>
  <c r="IB164" i="19"/>
  <c r="IC164" i="19"/>
  <c r="ID164" i="19"/>
  <c r="IE164" i="19"/>
  <c r="IF164" i="19"/>
  <c r="IG164" i="19"/>
  <c r="IH164" i="19"/>
  <c r="II164" i="19"/>
  <c r="IJ164" i="19"/>
  <c r="IK164" i="19"/>
  <c r="IL164" i="19"/>
  <c r="IM164" i="19"/>
  <c r="IN164" i="19"/>
  <c r="IO164" i="19"/>
  <c r="IP164" i="19"/>
  <c r="IQ164" i="19"/>
  <c r="IR164" i="19"/>
  <c r="IS164" i="19"/>
  <c r="IT164" i="19"/>
  <c r="IU164" i="19"/>
  <c r="IV164" i="19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T165" i="19"/>
  <c r="U165" i="19"/>
  <c r="V165" i="19"/>
  <c r="W165" i="19"/>
  <c r="X165" i="19"/>
  <c r="Y165" i="19"/>
  <c r="Z165" i="19"/>
  <c r="AA165" i="19"/>
  <c r="AB165" i="19"/>
  <c r="AC165" i="19"/>
  <c r="AD165" i="19"/>
  <c r="AE165" i="19"/>
  <c r="AF165" i="19"/>
  <c r="AG165" i="19"/>
  <c r="AH165" i="19"/>
  <c r="AI165" i="19"/>
  <c r="AJ165" i="19"/>
  <c r="AK165" i="19"/>
  <c r="AL165" i="19"/>
  <c r="AM165" i="19"/>
  <c r="AN165" i="19"/>
  <c r="AO165" i="19"/>
  <c r="AP165" i="19"/>
  <c r="AQ165" i="19"/>
  <c r="AR165" i="19"/>
  <c r="AS165" i="19"/>
  <c r="AT165" i="19"/>
  <c r="AU165" i="19"/>
  <c r="AV165" i="19"/>
  <c r="AW165" i="19"/>
  <c r="AX165" i="19"/>
  <c r="AY165" i="19"/>
  <c r="AZ165" i="19"/>
  <c r="BA165" i="19"/>
  <c r="BB165" i="19"/>
  <c r="BC165" i="19"/>
  <c r="BD165" i="19"/>
  <c r="BE165" i="19"/>
  <c r="BF165" i="19"/>
  <c r="BG165" i="19"/>
  <c r="BH165" i="19"/>
  <c r="BI165" i="19"/>
  <c r="BJ165" i="19"/>
  <c r="BK165" i="19"/>
  <c r="BL165" i="19"/>
  <c r="BM165" i="19"/>
  <c r="BN165" i="19"/>
  <c r="BO165" i="19"/>
  <c r="BP165" i="19"/>
  <c r="BQ165" i="19"/>
  <c r="BR165" i="19"/>
  <c r="BS165" i="19"/>
  <c r="BT165" i="19"/>
  <c r="BU165" i="19"/>
  <c r="BV165" i="19"/>
  <c r="BW165" i="19"/>
  <c r="BX165" i="19"/>
  <c r="BY165" i="19"/>
  <c r="BZ165" i="19"/>
  <c r="CA165" i="19"/>
  <c r="CB165" i="19"/>
  <c r="CC165" i="19"/>
  <c r="CD165" i="19"/>
  <c r="CE165" i="19"/>
  <c r="CF165" i="19"/>
  <c r="CG165" i="19"/>
  <c r="CH165" i="19"/>
  <c r="CI165" i="19"/>
  <c r="CJ165" i="19"/>
  <c r="CK165" i="19"/>
  <c r="CL165" i="19"/>
  <c r="CM165" i="19"/>
  <c r="CN165" i="19"/>
  <c r="CO165" i="19"/>
  <c r="CP165" i="19"/>
  <c r="CQ165" i="19"/>
  <c r="CR165" i="19"/>
  <c r="CS165" i="19"/>
  <c r="CT165" i="19"/>
  <c r="CU165" i="19"/>
  <c r="CV165" i="19"/>
  <c r="CW165" i="19"/>
  <c r="CX165" i="19"/>
  <c r="CY165" i="19"/>
  <c r="CZ165" i="19"/>
  <c r="DA165" i="19"/>
  <c r="DB165" i="19"/>
  <c r="DC165" i="19"/>
  <c r="DD165" i="19"/>
  <c r="DE165" i="19"/>
  <c r="DF165" i="19"/>
  <c r="DG165" i="19"/>
  <c r="DH165" i="19"/>
  <c r="DI165" i="19"/>
  <c r="DJ165" i="19"/>
  <c r="DK165" i="19"/>
  <c r="DL165" i="19"/>
  <c r="DM165" i="19"/>
  <c r="DN165" i="19"/>
  <c r="DO165" i="19"/>
  <c r="DP165" i="19"/>
  <c r="DQ165" i="19"/>
  <c r="DR165" i="19"/>
  <c r="DS165" i="19"/>
  <c r="DT165" i="19"/>
  <c r="DU165" i="19"/>
  <c r="DV165" i="19"/>
  <c r="DW165" i="19"/>
  <c r="DX165" i="19"/>
  <c r="DY165" i="19"/>
  <c r="DZ165" i="19"/>
  <c r="EA165" i="19"/>
  <c r="EB165" i="19"/>
  <c r="EC165" i="19"/>
  <c r="ED165" i="19"/>
  <c r="EE165" i="19"/>
  <c r="EF165" i="19"/>
  <c r="EG165" i="19"/>
  <c r="EH165" i="19"/>
  <c r="EI165" i="19"/>
  <c r="EJ165" i="19"/>
  <c r="EK165" i="19"/>
  <c r="EL165" i="19"/>
  <c r="EM165" i="19"/>
  <c r="EN165" i="19"/>
  <c r="EO165" i="19"/>
  <c r="EP165" i="19"/>
  <c r="EQ165" i="19"/>
  <c r="ER165" i="19"/>
  <c r="ES165" i="19"/>
  <c r="ET165" i="19"/>
  <c r="EU165" i="19"/>
  <c r="EV165" i="19"/>
  <c r="EW165" i="19"/>
  <c r="EX165" i="19"/>
  <c r="EY165" i="19"/>
  <c r="EZ165" i="19"/>
  <c r="FA165" i="19"/>
  <c r="FB165" i="19"/>
  <c r="FC165" i="19"/>
  <c r="FD165" i="19"/>
  <c r="FE165" i="19"/>
  <c r="FF165" i="19"/>
  <c r="FG165" i="19"/>
  <c r="FH165" i="19"/>
  <c r="FI165" i="19"/>
  <c r="FJ165" i="19"/>
  <c r="FK165" i="19"/>
  <c r="FL165" i="19"/>
  <c r="FM165" i="19"/>
  <c r="FN165" i="19"/>
  <c r="FO165" i="19"/>
  <c r="FP165" i="19"/>
  <c r="FQ165" i="19"/>
  <c r="FR165" i="19"/>
  <c r="FS165" i="19"/>
  <c r="FT165" i="19"/>
  <c r="FU165" i="19"/>
  <c r="FV165" i="19"/>
  <c r="FW165" i="19"/>
  <c r="FX165" i="19"/>
  <c r="FY165" i="19"/>
  <c r="FZ165" i="19"/>
  <c r="GA165" i="19"/>
  <c r="GB165" i="19"/>
  <c r="GC165" i="19"/>
  <c r="GD165" i="19"/>
  <c r="GE165" i="19"/>
  <c r="GF165" i="19"/>
  <c r="GG165" i="19"/>
  <c r="GH165" i="19"/>
  <c r="GI165" i="19"/>
  <c r="GJ165" i="19"/>
  <c r="GK165" i="19"/>
  <c r="GL165" i="19"/>
  <c r="GM165" i="19"/>
  <c r="GN165" i="19"/>
  <c r="GO165" i="19"/>
  <c r="GP165" i="19"/>
  <c r="GQ165" i="19"/>
  <c r="GR165" i="19"/>
  <c r="GS165" i="19"/>
  <c r="GT165" i="19"/>
  <c r="GU165" i="19"/>
  <c r="GV165" i="19"/>
  <c r="GW165" i="19"/>
  <c r="GX165" i="19"/>
  <c r="GY165" i="19"/>
  <c r="GZ165" i="19"/>
  <c r="HA165" i="19"/>
  <c r="HB165" i="19"/>
  <c r="HC165" i="19"/>
  <c r="HD165" i="19"/>
  <c r="HE165" i="19"/>
  <c r="HF165" i="19"/>
  <c r="HG165" i="19"/>
  <c r="HH165" i="19"/>
  <c r="HI165" i="19"/>
  <c r="HJ165" i="19"/>
  <c r="HK165" i="19"/>
  <c r="HL165" i="19"/>
  <c r="HM165" i="19"/>
  <c r="HN165" i="19"/>
  <c r="HO165" i="19"/>
  <c r="HP165" i="19"/>
  <c r="HQ165" i="19"/>
  <c r="HR165" i="19"/>
  <c r="HS165" i="19"/>
  <c r="HT165" i="19"/>
  <c r="HU165" i="19"/>
  <c r="HV165" i="19"/>
  <c r="HW165" i="19"/>
  <c r="HX165" i="19"/>
  <c r="HY165" i="19"/>
  <c r="HZ165" i="19"/>
  <c r="IA165" i="19"/>
  <c r="IB165" i="19"/>
  <c r="IC165" i="19"/>
  <c r="ID165" i="19"/>
  <c r="IE165" i="19"/>
  <c r="IF165" i="19"/>
  <c r="IG165" i="19"/>
  <c r="IH165" i="19"/>
  <c r="II165" i="19"/>
  <c r="IJ165" i="19"/>
  <c r="IK165" i="19"/>
  <c r="IL165" i="19"/>
  <c r="IM165" i="19"/>
  <c r="IN165" i="19"/>
  <c r="IO165" i="19"/>
  <c r="IP165" i="19"/>
  <c r="IQ165" i="19"/>
  <c r="IR165" i="19"/>
  <c r="IS165" i="19"/>
  <c r="IT165" i="19"/>
  <c r="IU165" i="19"/>
  <c r="IV165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T166" i="19"/>
  <c r="U166" i="19"/>
  <c r="V166" i="19"/>
  <c r="W166" i="19"/>
  <c r="X166" i="19"/>
  <c r="Y166" i="19"/>
  <c r="Z166" i="19"/>
  <c r="AA166" i="19"/>
  <c r="AB166" i="19"/>
  <c r="AC166" i="19"/>
  <c r="AD166" i="19"/>
  <c r="AE166" i="19"/>
  <c r="AF166" i="19"/>
  <c r="AG166" i="19"/>
  <c r="AH166" i="19"/>
  <c r="AI166" i="19"/>
  <c r="AJ166" i="19"/>
  <c r="AK166" i="19"/>
  <c r="AL166" i="19"/>
  <c r="AM166" i="19"/>
  <c r="AN166" i="19"/>
  <c r="AO166" i="19"/>
  <c r="AP166" i="19"/>
  <c r="AQ166" i="19"/>
  <c r="AR166" i="19"/>
  <c r="AS166" i="19"/>
  <c r="AT166" i="19"/>
  <c r="AU166" i="19"/>
  <c r="AV166" i="19"/>
  <c r="AW166" i="19"/>
  <c r="AX166" i="19"/>
  <c r="AY166" i="19"/>
  <c r="AZ166" i="19"/>
  <c r="BA166" i="19"/>
  <c r="BB166" i="19"/>
  <c r="BC166" i="19"/>
  <c r="BD166" i="19"/>
  <c r="BE166" i="19"/>
  <c r="BF166" i="19"/>
  <c r="BG166" i="19"/>
  <c r="BH166" i="19"/>
  <c r="BI166" i="19"/>
  <c r="BJ166" i="19"/>
  <c r="BK166" i="19"/>
  <c r="BL166" i="19"/>
  <c r="BM166" i="19"/>
  <c r="BN166" i="19"/>
  <c r="BO166" i="19"/>
  <c r="BP166" i="19"/>
  <c r="BQ166" i="19"/>
  <c r="BR166" i="19"/>
  <c r="BS166" i="19"/>
  <c r="BT166" i="19"/>
  <c r="BU166" i="19"/>
  <c r="BV166" i="19"/>
  <c r="BW166" i="19"/>
  <c r="BX166" i="19"/>
  <c r="BY166" i="19"/>
  <c r="BZ166" i="19"/>
  <c r="CA166" i="19"/>
  <c r="CB166" i="19"/>
  <c r="CC166" i="19"/>
  <c r="CD166" i="19"/>
  <c r="CE166" i="19"/>
  <c r="CF166" i="19"/>
  <c r="CG166" i="19"/>
  <c r="CH166" i="19"/>
  <c r="CI166" i="19"/>
  <c r="CJ166" i="19"/>
  <c r="CK166" i="19"/>
  <c r="CL166" i="19"/>
  <c r="CM166" i="19"/>
  <c r="CN166" i="19"/>
  <c r="CO166" i="19"/>
  <c r="CP166" i="19"/>
  <c r="CQ166" i="19"/>
  <c r="CR166" i="19"/>
  <c r="CS166" i="19"/>
  <c r="CT166" i="19"/>
  <c r="CU166" i="19"/>
  <c r="CV166" i="19"/>
  <c r="CW166" i="19"/>
  <c r="CX166" i="19"/>
  <c r="CY166" i="19"/>
  <c r="CZ166" i="19"/>
  <c r="DA166" i="19"/>
  <c r="DB166" i="19"/>
  <c r="DC166" i="19"/>
  <c r="DD166" i="19"/>
  <c r="DE166" i="19"/>
  <c r="DF166" i="19"/>
  <c r="DG166" i="19"/>
  <c r="DH166" i="19"/>
  <c r="DI166" i="19"/>
  <c r="DJ166" i="19"/>
  <c r="DK166" i="19"/>
  <c r="DL166" i="19"/>
  <c r="DM166" i="19"/>
  <c r="DN166" i="19"/>
  <c r="DO166" i="19"/>
  <c r="DP166" i="19"/>
  <c r="DQ166" i="19"/>
  <c r="DR166" i="19"/>
  <c r="DS166" i="19"/>
  <c r="DT166" i="19"/>
  <c r="DU166" i="19"/>
  <c r="DV166" i="19"/>
  <c r="DW166" i="19"/>
  <c r="DX166" i="19"/>
  <c r="DY166" i="19"/>
  <c r="DZ166" i="19"/>
  <c r="EA166" i="19"/>
  <c r="EB166" i="19"/>
  <c r="EC166" i="19"/>
  <c r="ED166" i="19"/>
  <c r="EE166" i="19"/>
  <c r="EF166" i="19"/>
  <c r="EG166" i="19"/>
  <c r="EH166" i="19"/>
  <c r="EI166" i="19"/>
  <c r="EJ166" i="19"/>
  <c r="EK166" i="19"/>
  <c r="EL166" i="19"/>
  <c r="EM166" i="19"/>
  <c r="EN166" i="19"/>
  <c r="EO166" i="19"/>
  <c r="EP166" i="19"/>
  <c r="EQ166" i="19"/>
  <c r="ER166" i="19"/>
  <c r="ES166" i="19"/>
  <c r="ET166" i="19"/>
  <c r="EU166" i="19"/>
  <c r="EV166" i="19"/>
  <c r="EW166" i="19"/>
  <c r="EX166" i="19"/>
  <c r="EY166" i="19"/>
  <c r="EZ166" i="19"/>
  <c r="FA166" i="19"/>
  <c r="FB166" i="19"/>
  <c r="FC166" i="19"/>
  <c r="FD166" i="19"/>
  <c r="FE166" i="19"/>
  <c r="FF166" i="19"/>
  <c r="FG166" i="19"/>
  <c r="FH166" i="19"/>
  <c r="FI166" i="19"/>
  <c r="FJ166" i="19"/>
  <c r="FK166" i="19"/>
  <c r="FL166" i="19"/>
  <c r="FM166" i="19"/>
  <c r="FN166" i="19"/>
  <c r="FO166" i="19"/>
  <c r="FP166" i="19"/>
  <c r="FQ166" i="19"/>
  <c r="FR166" i="19"/>
  <c r="FS166" i="19"/>
  <c r="FT166" i="19"/>
  <c r="FU166" i="19"/>
  <c r="FV166" i="19"/>
  <c r="FW166" i="19"/>
  <c r="FX166" i="19"/>
  <c r="FY166" i="19"/>
  <c r="FZ166" i="19"/>
  <c r="GA166" i="19"/>
  <c r="GB166" i="19"/>
  <c r="GC166" i="19"/>
  <c r="GD166" i="19"/>
  <c r="GE166" i="19"/>
  <c r="GF166" i="19"/>
  <c r="GG166" i="19"/>
  <c r="GH166" i="19"/>
  <c r="GI166" i="19"/>
  <c r="GJ166" i="19"/>
  <c r="GK166" i="19"/>
  <c r="GL166" i="19"/>
  <c r="GM166" i="19"/>
  <c r="GN166" i="19"/>
  <c r="GO166" i="19"/>
  <c r="GP166" i="19"/>
  <c r="GQ166" i="19"/>
  <c r="GR166" i="19"/>
  <c r="GS166" i="19"/>
  <c r="GT166" i="19"/>
  <c r="GU166" i="19"/>
  <c r="GV166" i="19"/>
  <c r="GW166" i="19"/>
  <c r="GX166" i="19"/>
  <c r="GY166" i="19"/>
  <c r="GZ166" i="19"/>
  <c r="HA166" i="19"/>
  <c r="HB166" i="19"/>
  <c r="HC166" i="19"/>
  <c r="HD166" i="19"/>
  <c r="HE166" i="19"/>
  <c r="HF166" i="19"/>
  <c r="HG166" i="19"/>
  <c r="HH166" i="19"/>
  <c r="HI166" i="19"/>
  <c r="HJ166" i="19"/>
  <c r="HK166" i="19"/>
  <c r="HL166" i="19"/>
  <c r="HM166" i="19"/>
  <c r="HN166" i="19"/>
  <c r="HO166" i="19"/>
  <c r="HP166" i="19"/>
  <c r="HQ166" i="19"/>
  <c r="HR166" i="19"/>
  <c r="HS166" i="19"/>
  <c r="HT166" i="19"/>
  <c r="HU166" i="19"/>
  <c r="HV166" i="19"/>
  <c r="HW166" i="19"/>
  <c r="HX166" i="19"/>
  <c r="HY166" i="19"/>
  <c r="HZ166" i="19"/>
  <c r="IA166" i="19"/>
  <c r="IB166" i="19"/>
  <c r="IC166" i="19"/>
  <c r="ID166" i="19"/>
  <c r="IE166" i="19"/>
  <c r="IF166" i="19"/>
  <c r="IG166" i="19"/>
  <c r="IH166" i="19"/>
  <c r="II166" i="19"/>
  <c r="IJ166" i="19"/>
  <c r="IK166" i="19"/>
  <c r="IL166" i="19"/>
  <c r="IM166" i="19"/>
  <c r="IN166" i="19"/>
  <c r="IO166" i="19"/>
  <c r="IP166" i="19"/>
  <c r="IQ166" i="19"/>
  <c r="IR166" i="19"/>
  <c r="IS166" i="19"/>
  <c r="IT166" i="19"/>
  <c r="IU166" i="19"/>
  <c r="IV166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T167" i="19"/>
  <c r="U167" i="19"/>
  <c r="V167" i="19"/>
  <c r="W167" i="19"/>
  <c r="X167" i="19"/>
  <c r="Y167" i="19"/>
  <c r="Z167" i="19"/>
  <c r="AA167" i="19"/>
  <c r="AB167" i="19"/>
  <c r="AC167" i="19"/>
  <c r="AD167" i="19"/>
  <c r="AE167" i="19"/>
  <c r="AF167" i="19"/>
  <c r="AG167" i="19"/>
  <c r="AH167" i="19"/>
  <c r="AI167" i="19"/>
  <c r="AJ167" i="19"/>
  <c r="AK167" i="19"/>
  <c r="AL167" i="19"/>
  <c r="AM167" i="19"/>
  <c r="AN167" i="19"/>
  <c r="AO167" i="19"/>
  <c r="AP167" i="19"/>
  <c r="AQ167" i="19"/>
  <c r="AR167" i="19"/>
  <c r="AS167" i="19"/>
  <c r="AT167" i="19"/>
  <c r="AU167" i="19"/>
  <c r="AV167" i="19"/>
  <c r="AW167" i="19"/>
  <c r="AX167" i="19"/>
  <c r="AY167" i="19"/>
  <c r="AZ167" i="19"/>
  <c r="BA167" i="19"/>
  <c r="BB167" i="19"/>
  <c r="BC167" i="19"/>
  <c r="BD167" i="19"/>
  <c r="BE167" i="19"/>
  <c r="BF167" i="19"/>
  <c r="BG167" i="19"/>
  <c r="BH167" i="19"/>
  <c r="BI167" i="19"/>
  <c r="BJ167" i="19"/>
  <c r="BK167" i="19"/>
  <c r="BL167" i="19"/>
  <c r="BM167" i="19"/>
  <c r="BN167" i="19"/>
  <c r="BO167" i="19"/>
  <c r="BP167" i="19"/>
  <c r="BQ167" i="19"/>
  <c r="BR167" i="19"/>
  <c r="BS167" i="19"/>
  <c r="BT167" i="19"/>
  <c r="BU167" i="19"/>
  <c r="BV167" i="19"/>
  <c r="BW167" i="19"/>
  <c r="BX167" i="19"/>
  <c r="BY167" i="19"/>
  <c r="BZ167" i="19"/>
  <c r="CA167" i="19"/>
  <c r="CB167" i="19"/>
  <c r="CC167" i="19"/>
  <c r="CD167" i="19"/>
  <c r="CE167" i="19"/>
  <c r="CF167" i="19"/>
  <c r="CG167" i="19"/>
  <c r="CH167" i="19"/>
  <c r="CI167" i="19"/>
  <c r="CJ167" i="19"/>
  <c r="CK167" i="19"/>
  <c r="CL167" i="19"/>
  <c r="CM167" i="19"/>
  <c r="CN167" i="19"/>
  <c r="CO167" i="19"/>
  <c r="CP167" i="19"/>
  <c r="CQ167" i="19"/>
  <c r="CR167" i="19"/>
  <c r="CS167" i="19"/>
  <c r="CT167" i="19"/>
  <c r="CU167" i="19"/>
  <c r="CV167" i="19"/>
  <c r="CW167" i="19"/>
  <c r="CX167" i="19"/>
  <c r="CY167" i="19"/>
  <c r="CZ167" i="19"/>
  <c r="DA167" i="19"/>
  <c r="DB167" i="19"/>
  <c r="DC167" i="19"/>
  <c r="DD167" i="19"/>
  <c r="DE167" i="19"/>
  <c r="DF167" i="19"/>
  <c r="DG167" i="19"/>
  <c r="DH167" i="19"/>
  <c r="DI167" i="19"/>
  <c r="DJ167" i="19"/>
  <c r="DK167" i="19"/>
  <c r="DL167" i="19"/>
  <c r="DM167" i="19"/>
  <c r="DN167" i="19"/>
  <c r="DO167" i="19"/>
  <c r="DP167" i="19"/>
  <c r="DQ167" i="19"/>
  <c r="DR167" i="19"/>
  <c r="DS167" i="19"/>
  <c r="DT167" i="19"/>
  <c r="DU167" i="19"/>
  <c r="DV167" i="19"/>
  <c r="DW167" i="19"/>
  <c r="DX167" i="19"/>
  <c r="DY167" i="19"/>
  <c r="DZ167" i="19"/>
  <c r="EA167" i="19"/>
  <c r="EB167" i="19"/>
  <c r="EC167" i="19"/>
  <c r="ED167" i="19"/>
  <c r="EE167" i="19"/>
  <c r="EF167" i="19"/>
  <c r="EG167" i="19"/>
  <c r="EH167" i="19"/>
  <c r="EI167" i="19"/>
  <c r="EJ167" i="19"/>
  <c r="EK167" i="19"/>
  <c r="EL167" i="19"/>
  <c r="EM167" i="19"/>
  <c r="EN167" i="19"/>
  <c r="EO167" i="19"/>
  <c r="EP167" i="19"/>
  <c r="EQ167" i="19"/>
  <c r="ER167" i="19"/>
  <c r="ES167" i="19"/>
  <c r="ET167" i="19"/>
  <c r="EU167" i="19"/>
  <c r="EV167" i="19"/>
  <c r="EW167" i="19"/>
  <c r="EX167" i="19"/>
  <c r="EY167" i="19"/>
  <c r="EZ167" i="19"/>
  <c r="FA167" i="19"/>
  <c r="FB167" i="19"/>
  <c r="FC167" i="19"/>
  <c r="FD167" i="19"/>
  <c r="FE167" i="19"/>
  <c r="FF167" i="19"/>
  <c r="FG167" i="19"/>
  <c r="FH167" i="19"/>
  <c r="FI167" i="19"/>
  <c r="FJ167" i="19"/>
  <c r="FK167" i="19"/>
  <c r="FL167" i="19"/>
  <c r="FM167" i="19"/>
  <c r="FN167" i="19"/>
  <c r="FO167" i="19"/>
  <c r="FP167" i="19"/>
  <c r="FQ167" i="19"/>
  <c r="FR167" i="19"/>
  <c r="FS167" i="19"/>
  <c r="FT167" i="19"/>
  <c r="FU167" i="19"/>
  <c r="FV167" i="19"/>
  <c r="FW167" i="19"/>
  <c r="FX167" i="19"/>
  <c r="FY167" i="19"/>
  <c r="FZ167" i="19"/>
  <c r="GA167" i="19"/>
  <c r="GB167" i="19"/>
  <c r="GC167" i="19"/>
  <c r="GD167" i="19"/>
  <c r="GE167" i="19"/>
  <c r="GF167" i="19"/>
  <c r="GG167" i="19"/>
  <c r="GH167" i="19"/>
  <c r="GI167" i="19"/>
  <c r="GJ167" i="19"/>
  <c r="GK167" i="19"/>
  <c r="GL167" i="19"/>
  <c r="GM167" i="19"/>
  <c r="GN167" i="19"/>
  <c r="GO167" i="19"/>
  <c r="GP167" i="19"/>
  <c r="GQ167" i="19"/>
  <c r="GR167" i="19"/>
  <c r="GS167" i="19"/>
  <c r="GT167" i="19"/>
  <c r="GU167" i="19"/>
  <c r="GV167" i="19"/>
  <c r="GW167" i="19"/>
  <c r="GX167" i="19"/>
  <c r="GY167" i="19"/>
  <c r="GZ167" i="19"/>
  <c r="HA167" i="19"/>
  <c r="HB167" i="19"/>
  <c r="HC167" i="19"/>
  <c r="HD167" i="19"/>
  <c r="HE167" i="19"/>
  <c r="HF167" i="19"/>
  <c r="HG167" i="19"/>
  <c r="HH167" i="19"/>
  <c r="HI167" i="19"/>
  <c r="HJ167" i="19"/>
  <c r="HK167" i="19"/>
  <c r="HL167" i="19"/>
  <c r="HM167" i="19"/>
  <c r="HN167" i="19"/>
  <c r="HO167" i="19"/>
  <c r="HP167" i="19"/>
  <c r="HQ167" i="19"/>
  <c r="HR167" i="19"/>
  <c r="HS167" i="19"/>
  <c r="HT167" i="19"/>
  <c r="HU167" i="19"/>
  <c r="HV167" i="19"/>
  <c r="HW167" i="19"/>
  <c r="HX167" i="19"/>
  <c r="HY167" i="19"/>
  <c r="HZ167" i="19"/>
  <c r="IA167" i="19"/>
  <c r="IB167" i="19"/>
  <c r="IC167" i="19"/>
  <c r="ID167" i="19"/>
  <c r="IE167" i="19"/>
  <c r="IF167" i="19"/>
  <c r="IG167" i="19"/>
  <c r="IH167" i="19"/>
  <c r="II167" i="19"/>
  <c r="IJ167" i="19"/>
  <c r="IK167" i="19"/>
  <c r="IL167" i="19"/>
  <c r="IM167" i="19"/>
  <c r="IN167" i="19"/>
  <c r="IO167" i="19"/>
  <c r="IP167" i="19"/>
  <c r="IQ167" i="19"/>
  <c r="IR167" i="19"/>
  <c r="IS167" i="19"/>
  <c r="IT167" i="19"/>
  <c r="IU167" i="19"/>
  <c r="IV167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AD168" i="19"/>
  <c r="AE168" i="19"/>
  <c r="AF168" i="19"/>
  <c r="AG168" i="19"/>
  <c r="AH168" i="19"/>
  <c r="AI168" i="19"/>
  <c r="AJ168" i="19"/>
  <c r="AK168" i="19"/>
  <c r="AL168" i="19"/>
  <c r="AM168" i="19"/>
  <c r="AN168" i="19"/>
  <c r="AO168" i="19"/>
  <c r="AP168" i="19"/>
  <c r="AQ168" i="19"/>
  <c r="AR168" i="19"/>
  <c r="AS168" i="19"/>
  <c r="AT168" i="19"/>
  <c r="AU168" i="19"/>
  <c r="AV168" i="19"/>
  <c r="AW168" i="19"/>
  <c r="AX168" i="19"/>
  <c r="AY168" i="19"/>
  <c r="AZ168" i="19"/>
  <c r="BA168" i="19"/>
  <c r="BB168" i="19"/>
  <c r="BC168" i="19"/>
  <c r="BD168" i="19"/>
  <c r="BE168" i="19"/>
  <c r="BF168" i="19"/>
  <c r="BG168" i="19"/>
  <c r="BH168" i="19"/>
  <c r="BI168" i="19"/>
  <c r="BJ168" i="19"/>
  <c r="BK168" i="19"/>
  <c r="BL168" i="19"/>
  <c r="BM168" i="19"/>
  <c r="BN168" i="19"/>
  <c r="BO168" i="19"/>
  <c r="BP168" i="19"/>
  <c r="BQ168" i="19"/>
  <c r="BR168" i="19"/>
  <c r="BS168" i="19"/>
  <c r="BT168" i="19"/>
  <c r="BU168" i="19"/>
  <c r="BV168" i="19"/>
  <c r="BW168" i="19"/>
  <c r="BX168" i="19"/>
  <c r="BY168" i="19"/>
  <c r="BZ168" i="19"/>
  <c r="CA168" i="19"/>
  <c r="CB168" i="19"/>
  <c r="CC168" i="19"/>
  <c r="CD168" i="19"/>
  <c r="CE168" i="19"/>
  <c r="CF168" i="19"/>
  <c r="CG168" i="19"/>
  <c r="CH168" i="19"/>
  <c r="CI168" i="19"/>
  <c r="CJ168" i="19"/>
  <c r="CK168" i="19"/>
  <c r="CL168" i="19"/>
  <c r="CM168" i="19"/>
  <c r="CN168" i="19"/>
  <c r="CO168" i="19"/>
  <c r="CP168" i="19"/>
  <c r="CQ168" i="19"/>
  <c r="CR168" i="19"/>
  <c r="CS168" i="19"/>
  <c r="CT168" i="19"/>
  <c r="CU168" i="19"/>
  <c r="CV168" i="19"/>
  <c r="CW168" i="19"/>
  <c r="CX168" i="19"/>
  <c r="CY168" i="19"/>
  <c r="CZ168" i="19"/>
  <c r="DA168" i="19"/>
  <c r="DB168" i="19"/>
  <c r="DC168" i="19"/>
  <c r="DD168" i="19"/>
  <c r="DE168" i="19"/>
  <c r="DF168" i="19"/>
  <c r="DG168" i="19"/>
  <c r="DH168" i="19"/>
  <c r="DI168" i="19"/>
  <c r="DJ168" i="19"/>
  <c r="DK168" i="19"/>
  <c r="DL168" i="19"/>
  <c r="DM168" i="19"/>
  <c r="DN168" i="19"/>
  <c r="DO168" i="19"/>
  <c r="DP168" i="19"/>
  <c r="DQ168" i="19"/>
  <c r="DR168" i="19"/>
  <c r="DS168" i="19"/>
  <c r="DT168" i="19"/>
  <c r="DU168" i="19"/>
  <c r="DV168" i="19"/>
  <c r="DW168" i="19"/>
  <c r="DX168" i="19"/>
  <c r="DY168" i="19"/>
  <c r="DZ168" i="19"/>
  <c r="EA168" i="19"/>
  <c r="EB168" i="19"/>
  <c r="EC168" i="19"/>
  <c r="ED168" i="19"/>
  <c r="EE168" i="19"/>
  <c r="EF168" i="19"/>
  <c r="EG168" i="19"/>
  <c r="EH168" i="19"/>
  <c r="EI168" i="19"/>
  <c r="EJ168" i="19"/>
  <c r="EK168" i="19"/>
  <c r="EL168" i="19"/>
  <c r="EM168" i="19"/>
  <c r="EN168" i="19"/>
  <c r="EO168" i="19"/>
  <c r="EP168" i="19"/>
  <c r="EQ168" i="19"/>
  <c r="ER168" i="19"/>
  <c r="ES168" i="19"/>
  <c r="ET168" i="19"/>
  <c r="EU168" i="19"/>
  <c r="EV168" i="19"/>
  <c r="EW168" i="19"/>
  <c r="EX168" i="19"/>
  <c r="EY168" i="19"/>
  <c r="EZ168" i="19"/>
  <c r="FA168" i="19"/>
  <c r="FB168" i="19"/>
  <c r="FC168" i="19"/>
  <c r="FD168" i="19"/>
  <c r="FE168" i="19"/>
  <c r="FF168" i="19"/>
  <c r="FG168" i="19"/>
  <c r="FH168" i="19"/>
  <c r="FI168" i="19"/>
  <c r="FJ168" i="19"/>
  <c r="FK168" i="19"/>
  <c r="FL168" i="19"/>
  <c r="FM168" i="19"/>
  <c r="FN168" i="19"/>
  <c r="FO168" i="19"/>
  <c r="FP168" i="19"/>
  <c r="FQ168" i="19"/>
  <c r="FR168" i="19"/>
  <c r="FS168" i="19"/>
  <c r="FT168" i="19"/>
  <c r="FU168" i="19"/>
  <c r="FV168" i="19"/>
  <c r="FW168" i="19"/>
  <c r="FX168" i="19"/>
  <c r="FY168" i="19"/>
  <c r="FZ168" i="19"/>
  <c r="GA168" i="19"/>
  <c r="GB168" i="19"/>
  <c r="GC168" i="19"/>
  <c r="GD168" i="19"/>
  <c r="GE168" i="19"/>
  <c r="GF168" i="19"/>
  <c r="GG168" i="19"/>
  <c r="GH168" i="19"/>
  <c r="GI168" i="19"/>
  <c r="GJ168" i="19"/>
  <c r="GK168" i="19"/>
  <c r="GL168" i="19"/>
  <c r="GM168" i="19"/>
  <c r="GN168" i="19"/>
  <c r="GO168" i="19"/>
  <c r="GP168" i="19"/>
  <c r="GQ168" i="19"/>
  <c r="GR168" i="19"/>
  <c r="GS168" i="19"/>
  <c r="GT168" i="19"/>
  <c r="GU168" i="19"/>
  <c r="GV168" i="19"/>
  <c r="GW168" i="19"/>
  <c r="GX168" i="19"/>
  <c r="GY168" i="19"/>
  <c r="GZ168" i="19"/>
  <c r="HA168" i="19"/>
  <c r="HB168" i="19"/>
  <c r="HC168" i="19"/>
  <c r="HD168" i="19"/>
  <c r="HE168" i="19"/>
  <c r="HF168" i="19"/>
  <c r="HG168" i="19"/>
  <c r="HH168" i="19"/>
  <c r="HI168" i="19"/>
  <c r="HJ168" i="19"/>
  <c r="HK168" i="19"/>
  <c r="HL168" i="19"/>
  <c r="HM168" i="19"/>
  <c r="HN168" i="19"/>
  <c r="HO168" i="19"/>
  <c r="HP168" i="19"/>
  <c r="HQ168" i="19"/>
  <c r="HR168" i="19"/>
  <c r="HS168" i="19"/>
  <c r="HT168" i="19"/>
  <c r="HU168" i="19"/>
  <c r="HV168" i="19"/>
  <c r="HW168" i="19"/>
  <c r="HX168" i="19"/>
  <c r="HY168" i="19"/>
  <c r="HZ168" i="19"/>
  <c r="IA168" i="19"/>
  <c r="IB168" i="19"/>
  <c r="IC168" i="19"/>
  <c r="ID168" i="19"/>
  <c r="IE168" i="19"/>
  <c r="IF168" i="19"/>
  <c r="IG168" i="19"/>
  <c r="IH168" i="19"/>
  <c r="II168" i="19"/>
  <c r="IJ168" i="19"/>
  <c r="IK168" i="19"/>
  <c r="IL168" i="19"/>
  <c r="IM168" i="19"/>
  <c r="IN168" i="19"/>
  <c r="IO168" i="19"/>
  <c r="IP168" i="19"/>
  <c r="IQ168" i="19"/>
  <c r="IR168" i="19"/>
  <c r="IS168" i="19"/>
  <c r="IT168" i="19"/>
  <c r="IU168" i="19"/>
  <c r="IV168" i="19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T169" i="19"/>
  <c r="U169" i="19"/>
  <c r="V169" i="19"/>
  <c r="W169" i="19"/>
  <c r="X169" i="19"/>
  <c r="Y169" i="19"/>
  <c r="Z169" i="19"/>
  <c r="AA169" i="19"/>
  <c r="AB169" i="19"/>
  <c r="AC169" i="19"/>
  <c r="AD169" i="19"/>
  <c r="AE169" i="19"/>
  <c r="AF169" i="19"/>
  <c r="AG169" i="19"/>
  <c r="AH169" i="19"/>
  <c r="AI169" i="19"/>
  <c r="AJ169" i="19"/>
  <c r="AK169" i="19"/>
  <c r="AL169" i="19"/>
  <c r="AM169" i="19"/>
  <c r="AN169" i="19"/>
  <c r="AO169" i="19"/>
  <c r="AP169" i="19"/>
  <c r="AQ169" i="19"/>
  <c r="AR169" i="19"/>
  <c r="AS169" i="19"/>
  <c r="AT169" i="19"/>
  <c r="AU169" i="19"/>
  <c r="AV169" i="19"/>
  <c r="AW169" i="19"/>
  <c r="AX169" i="19"/>
  <c r="AY169" i="19"/>
  <c r="AZ169" i="19"/>
  <c r="BA169" i="19"/>
  <c r="BB169" i="19"/>
  <c r="BC169" i="19"/>
  <c r="BD169" i="19"/>
  <c r="BE169" i="19"/>
  <c r="BF169" i="19"/>
  <c r="BG169" i="19"/>
  <c r="BH169" i="19"/>
  <c r="BI169" i="19"/>
  <c r="BJ169" i="19"/>
  <c r="BK169" i="19"/>
  <c r="BL169" i="19"/>
  <c r="BM169" i="19"/>
  <c r="BN169" i="19"/>
  <c r="BO169" i="19"/>
  <c r="BP169" i="19"/>
  <c r="BQ169" i="19"/>
  <c r="BR169" i="19"/>
  <c r="BS169" i="19"/>
  <c r="BT169" i="19"/>
  <c r="BU169" i="19"/>
  <c r="BV169" i="19"/>
  <c r="BW169" i="19"/>
  <c r="BX169" i="19"/>
  <c r="BY169" i="19"/>
  <c r="BZ169" i="19"/>
  <c r="CA169" i="19"/>
  <c r="CB169" i="19"/>
  <c r="CC169" i="19"/>
  <c r="CD169" i="19"/>
  <c r="CE169" i="19"/>
  <c r="CF169" i="19"/>
  <c r="CG169" i="19"/>
  <c r="CH169" i="19"/>
  <c r="CI169" i="19"/>
  <c r="CJ169" i="19"/>
  <c r="CK169" i="19"/>
  <c r="CL169" i="19"/>
  <c r="CM169" i="19"/>
  <c r="CN169" i="19"/>
  <c r="CO169" i="19"/>
  <c r="CP169" i="19"/>
  <c r="CQ169" i="19"/>
  <c r="CR169" i="19"/>
  <c r="CS169" i="19"/>
  <c r="CT169" i="19"/>
  <c r="CU169" i="19"/>
  <c r="CV169" i="19"/>
  <c r="CW169" i="19"/>
  <c r="CX169" i="19"/>
  <c r="CY169" i="19"/>
  <c r="CZ169" i="19"/>
  <c r="DA169" i="19"/>
  <c r="DB169" i="19"/>
  <c r="DC169" i="19"/>
  <c r="DD169" i="19"/>
  <c r="DE169" i="19"/>
  <c r="DF169" i="19"/>
  <c r="DG169" i="19"/>
  <c r="DH169" i="19"/>
  <c r="DI169" i="19"/>
  <c r="DJ169" i="19"/>
  <c r="DK169" i="19"/>
  <c r="DL169" i="19"/>
  <c r="DM169" i="19"/>
  <c r="DN169" i="19"/>
  <c r="DO169" i="19"/>
  <c r="DP169" i="19"/>
  <c r="DQ169" i="19"/>
  <c r="DR169" i="19"/>
  <c r="DS169" i="19"/>
  <c r="DT169" i="19"/>
  <c r="DU169" i="19"/>
  <c r="DV169" i="19"/>
  <c r="DW169" i="19"/>
  <c r="DX169" i="19"/>
  <c r="DY169" i="19"/>
  <c r="DZ169" i="19"/>
  <c r="EA169" i="19"/>
  <c r="EB169" i="19"/>
  <c r="EC169" i="19"/>
  <c r="ED169" i="19"/>
  <c r="EE169" i="19"/>
  <c r="EF169" i="19"/>
  <c r="EG169" i="19"/>
  <c r="EH169" i="19"/>
  <c r="EI169" i="19"/>
  <c r="EJ169" i="19"/>
  <c r="EK169" i="19"/>
  <c r="EL169" i="19"/>
  <c r="EM169" i="19"/>
  <c r="EN169" i="19"/>
  <c r="EO169" i="19"/>
  <c r="EP169" i="19"/>
  <c r="EQ169" i="19"/>
  <c r="ER169" i="19"/>
  <c r="ES169" i="19"/>
  <c r="ET169" i="19"/>
  <c r="EU169" i="19"/>
  <c r="EV169" i="19"/>
  <c r="EW169" i="19"/>
  <c r="EX169" i="19"/>
  <c r="EY169" i="19"/>
  <c r="EZ169" i="19"/>
  <c r="FA169" i="19"/>
  <c r="FB169" i="19"/>
  <c r="FC169" i="19"/>
  <c r="FD169" i="19"/>
  <c r="FE169" i="19"/>
  <c r="FF169" i="19"/>
  <c r="FG169" i="19"/>
  <c r="FH169" i="19"/>
  <c r="FI169" i="19"/>
  <c r="FJ169" i="19"/>
  <c r="FK169" i="19"/>
  <c r="FL169" i="19"/>
  <c r="FM169" i="19"/>
  <c r="FN169" i="19"/>
  <c r="FO169" i="19"/>
  <c r="FP169" i="19"/>
  <c r="FQ169" i="19"/>
  <c r="FR169" i="19"/>
  <c r="FS169" i="19"/>
  <c r="FT169" i="19"/>
  <c r="FU169" i="19"/>
  <c r="FV169" i="19"/>
  <c r="FW169" i="19"/>
  <c r="FX169" i="19"/>
  <c r="FY169" i="19"/>
  <c r="FZ169" i="19"/>
  <c r="GA169" i="19"/>
  <c r="GB169" i="19"/>
  <c r="GC169" i="19"/>
  <c r="GD169" i="19"/>
  <c r="GE169" i="19"/>
  <c r="GF169" i="19"/>
  <c r="GG169" i="19"/>
  <c r="GH169" i="19"/>
  <c r="GI169" i="19"/>
  <c r="GJ169" i="19"/>
  <c r="GK169" i="19"/>
  <c r="GL169" i="19"/>
  <c r="GM169" i="19"/>
  <c r="GN169" i="19"/>
  <c r="GO169" i="19"/>
  <c r="GP169" i="19"/>
  <c r="GQ169" i="19"/>
  <c r="GR169" i="19"/>
  <c r="GS169" i="19"/>
  <c r="GT169" i="19"/>
  <c r="GU169" i="19"/>
  <c r="GV169" i="19"/>
  <c r="GW169" i="19"/>
  <c r="GX169" i="19"/>
  <c r="GY169" i="19"/>
  <c r="GZ169" i="19"/>
  <c r="HA169" i="19"/>
  <c r="HB169" i="19"/>
  <c r="HC169" i="19"/>
  <c r="HD169" i="19"/>
  <c r="HE169" i="19"/>
  <c r="HF169" i="19"/>
  <c r="HG169" i="19"/>
  <c r="HH169" i="19"/>
  <c r="HI169" i="19"/>
  <c r="HJ169" i="19"/>
  <c r="HK169" i="19"/>
  <c r="HL169" i="19"/>
  <c r="HM169" i="19"/>
  <c r="HN169" i="19"/>
  <c r="HO169" i="19"/>
  <c r="HP169" i="19"/>
  <c r="HQ169" i="19"/>
  <c r="HR169" i="19"/>
  <c r="HS169" i="19"/>
  <c r="HT169" i="19"/>
  <c r="HU169" i="19"/>
  <c r="HV169" i="19"/>
  <c r="HW169" i="19"/>
  <c r="HX169" i="19"/>
  <c r="HY169" i="19"/>
  <c r="HZ169" i="19"/>
  <c r="IA169" i="19"/>
  <c r="IB169" i="19"/>
  <c r="IC169" i="19"/>
  <c r="ID169" i="19"/>
  <c r="IE169" i="19"/>
  <c r="IF169" i="19"/>
  <c r="IG169" i="19"/>
  <c r="IH169" i="19"/>
  <c r="II169" i="19"/>
  <c r="IJ169" i="19"/>
  <c r="IK169" i="19"/>
  <c r="IL169" i="19"/>
  <c r="IM169" i="19"/>
  <c r="IN169" i="19"/>
  <c r="IO169" i="19"/>
  <c r="IP169" i="19"/>
  <c r="IQ169" i="19"/>
  <c r="IR169" i="19"/>
  <c r="IS169" i="19"/>
  <c r="IT169" i="19"/>
  <c r="IU169" i="19"/>
  <c r="IV169" i="19"/>
  <c r="F170" i="19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T170" i="19"/>
  <c r="U170" i="19"/>
  <c r="V170" i="19"/>
  <c r="W170" i="19"/>
  <c r="X170" i="19"/>
  <c r="Y170" i="19"/>
  <c r="Z170" i="19"/>
  <c r="AA170" i="19"/>
  <c r="AB170" i="19"/>
  <c r="AC170" i="19"/>
  <c r="AD170" i="19"/>
  <c r="AE170" i="19"/>
  <c r="AF170" i="19"/>
  <c r="AG170" i="19"/>
  <c r="AH170" i="19"/>
  <c r="AI170" i="19"/>
  <c r="AJ170" i="19"/>
  <c r="AK170" i="19"/>
  <c r="AL170" i="19"/>
  <c r="AM170" i="19"/>
  <c r="AN170" i="19"/>
  <c r="AO170" i="19"/>
  <c r="AP170" i="19"/>
  <c r="AQ170" i="19"/>
  <c r="AR170" i="19"/>
  <c r="AS170" i="19"/>
  <c r="AT170" i="19"/>
  <c r="AU170" i="19"/>
  <c r="AV170" i="19"/>
  <c r="AW170" i="19"/>
  <c r="AX170" i="19"/>
  <c r="AY170" i="19"/>
  <c r="AZ170" i="19"/>
  <c r="BA170" i="19"/>
  <c r="BB170" i="19"/>
  <c r="BC170" i="19"/>
  <c r="BD170" i="19"/>
  <c r="BE170" i="19"/>
  <c r="BF170" i="19"/>
  <c r="BG170" i="19"/>
  <c r="BH170" i="19"/>
  <c r="BI170" i="19"/>
  <c r="BJ170" i="19"/>
  <c r="BK170" i="19"/>
  <c r="BL170" i="19"/>
  <c r="BM170" i="19"/>
  <c r="BN170" i="19"/>
  <c r="BO170" i="19"/>
  <c r="BP170" i="19"/>
  <c r="BQ170" i="19"/>
  <c r="BR170" i="19"/>
  <c r="BS170" i="19"/>
  <c r="BT170" i="19"/>
  <c r="BU170" i="19"/>
  <c r="BV170" i="19"/>
  <c r="BW170" i="19"/>
  <c r="BX170" i="19"/>
  <c r="BY170" i="19"/>
  <c r="BZ170" i="19"/>
  <c r="CA170" i="19"/>
  <c r="CB170" i="19"/>
  <c r="CC170" i="19"/>
  <c r="CD170" i="19"/>
  <c r="CE170" i="19"/>
  <c r="CF170" i="19"/>
  <c r="CG170" i="19"/>
  <c r="CH170" i="19"/>
  <c r="CI170" i="19"/>
  <c r="CJ170" i="19"/>
  <c r="CK170" i="19"/>
  <c r="CL170" i="19"/>
  <c r="CM170" i="19"/>
  <c r="CN170" i="19"/>
  <c r="CO170" i="19"/>
  <c r="CP170" i="19"/>
  <c r="CQ170" i="19"/>
  <c r="CR170" i="19"/>
  <c r="CS170" i="19"/>
  <c r="CT170" i="19"/>
  <c r="CU170" i="19"/>
  <c r="CV170" i="19"/>
  <c r="CW170" i="19"/>
  <c r="CX170" i="19"/>
  <c r="CY170" i="19"/>
  <c r="CZ170" i="19"/>
  <c r="DA170" i="19"/>
  <c r="DB170" i="19"/>
  <c r="DC170" i="19"/>
  <c r="DD170" i="19"/>
  <c r="DE170" i="19"/>
  <c r="DF170" i="19"/>
  <c r="DG170" i="19"/>
  <c r="DH170" i="19"/>
  <c r="DI170" i="19"/>
  <c r="DJ170" i="19"/>
  <c r="DK170" i="19"/>
  <c r="DL170" i="19"/>
  <c r="DM170" i="19"/>
  <c r="DN170" i="19"/>
  <c r="DO170" i="19"/>
  <c r="DP170" i="19"/>
  <c r="DQ170" i="19"/>
  <c r="DR170" i="19"/>
  <c r="DS170" i="19"/>
  <c r="DT170" i="19"/>
  <c r="DU170" i="19"/>
  <c r="DV170" i="19"/>
  <c r="DW170" i="19"/>
  <c r="DX170" i="19"/>
  <c r="DY170" i="19"/>
  <c r="DZ170" i="19"/>
  <c r="EA170" i="19"/>
  <c r="EB170" i="19"/>
  <c r="EC170" i="19"/>
  <c r="ED170" i="19"/>
  <c r="EE170" i="19"/>
  <c r="EF170" i="19"/>
  <c r="EG170" i="19"/>
  <c r="EH170" i="19"/>
  <c r="EI170" i="19"/>
  <c r="EJ170" i="19"/>
  <c r="EK170" i="19"/>
  <c r="EL170" i="19"/>
  <c r="EM170" i="19"/>
  <c r="EN170" i="19"/>
  <c r="EO170" i="19"/>
  <c r="EP170" i="19"/>
  <c r="EQ170" i="19"/>
  <c r="ER170" i="19"/>
  <c r="ES170" i="19"/>
  <c r="ET170" i="19"/>
  <c r="EU170" i="19"/>
  <c r="EV170" i="19"/>
  <c r="EW170" i="19"/>
  <c r="EX170" i="19"/>
  <c r="EY170" i="19"/>
  <c r="EZ170" i="19"/>
  <c r="FA170" i="19"/>
  <c r="FB170" i="19"/>
  <c r="FC170" i="19"/>
  <c r="FD170" i="19"/>
  <c r="FE170" i="19"/>
  <c r="FF170" i="19"/>
  <c r="FG170" i="19"/>
  <c r="FH170" i="19"/>
  <c r="FI170" i="19"/>
  <c r="FJ170" i="19"/>
  <c r="FK170" i="19"/>
  <c r="FL170" i="19"/>
  <c r="FM170" i="19"/>
  <c r="FN170" i="19"/>
  <c r="FO170" i="19"/>
  <c r="FP170" i="19"/>
  <c r="FQ170" i="19"/>
  <c r="FR170" i="19"/>
  <c r="FS170" i="19"/>
  <c r="FT170" i="19"/>
  <c r="FU170" i="19"/>
  <c r="FV170" i="19"/>
  <c r="FW170" i="19"/>
  <c r="FX170" i="19"/>
  <c r="FY170" i="19"/>
  <c r="FZ170" i="19"/>
  <c r="GA170" i="19"/>
  <c r="GB170" i="19"/>
  <c r="GC170" i="19"/>
  <c r="GD170" i="19"/>
  <c r="GE170" i="19"/>
  <c r="GF170" i="19"/>
  <c r="GG170" i="19"/>
  <c r="GH170" i="19"/>
  <c r="GI170" i="19"/>
  <c r="GJ170" i="19"/>
  <c r="GK170" i="19"/>
  <c r="GL170" i="19"/>
  <c r="GM170" i="19"/>
  <c r="GN170" i="19"/>
  <c r="GO170" i="19"/>
  <c r="GP170" i="19"/>
  <c r="GQ170" i="19"/>
  <c r="GR170" i="19"/>
  <c r="GS170" i="19"/>
  <c r="GT170" i="19"/>
  <c r="GU170" i="19"/>
  <c r="GV170" i="19"/>
  <c r="GW170" i="19"/>
  <c r="GX170" i="19"/>
  <c r="GY170" i="19"/>
  <c r="GZ170" i="19"/>
  <c r="HA170" i="19"/>
  <c r="HB170" i="19"/>
  <c r="HC170" i="19"/>
  <c r="HD170" i="19"/>
  <c r="HE170" i="19"/>
  <c r="HF170" i="19"/>
  <c r="HG170" i="19"/>
  <c r="HH170" i="19"/>
  <c r="HI170" i="19"/>
  <c r="HJ170" i="19"/>
  <c r="HK170" i="19"/>
  <c r="HL170" i="19"/>
  <c r="HM170" i="19"/>
  <c r="HN170" i="19"/>
  <c r="HO170" i="19"/>
  <c r="HP170" i="19"/>
  <c r="HQ170" i="19"/>
  <c r="HR170" i="19"/>
  <c r="HS170" i="19"/>
  <c r="HT170" i="19"/>
  <c r="HU170" i="19"/>
  <c r="HV170" i="19"/>
  <c r="HW170" i="19"/>
  <c r="HX170" i="19"/>
  <c r="HY170" i="19"/>
  <c r="HZ170" i="19"/>
  <c r="IA170" i="19"/>
  <c r="IB170" i="19"/>
  <c r="IC170" i="19"/>
  <c r="ID170" i="19"/>
  <c r="IE170" i="19"/>
  <c r="IF170" i="19"/>
  <c r="IG170" i="19"/>
  <c r="IH170" i="19"/>
  <c r="II170" i="19"/>
  <c r="IJ170" i="19"/>
  <c r="IK170" i="19"/>
  <c r="IL170" i="19"/>
  <c r="IM170" i="19"/>
  <c r="IN170" i="19"/>
  <c r="IO170" i="19"/>
  <c r="IP170" i="19"/>
  <c r="IQ170" i="19"/>
  <c r="IR170" i="19"/>
  <c r="IS170" i="19"/>
  <c r="IT170" i="19"/>
  <c r="IU170" i="19"/>
  <c r="IV170" i="19"/>
  <c r="F171" i="19"/>
  <c r="G171" i="19"/>
  <c r="H171" i="19"/>
  <c r="I171" i="19"/>
  <c r="J171" i="19"/>
  <c r="K171" i="19"/>
  <c r="L171" i="19"/>
  <c r="M171" i="19"/>
  <c r="N171" i="19"/>
  <c r="O171" i="19"/>
  <c r="P171" i="19"/>
  <c r="Q171" i="19"/>
  <c r="R171" i="19"/>
  <c r="S171" i="19"/>
  <c r="T171" i="19"/>
  <c r="U171" i="19"/>
  <c r="V171" i="19"/>
  <c r="W171" i="19"/>
  <c r="X171" i="19"/>
  <c r="Y171" i="19"/>
  <c r="Z171" i="19"/>
  <c r="AA171" i="19"/>
  <c r="AB171" i="19"/>
  <c r="AC171" i="19"/>
  <c r="AD171" i="19"/>
  <c r="AE171" i="19"/>
  <c r="AF171" i="19"/>
  <c r="AG171" i="19"/>
  <c r="AH171" i="19"/>
  <c r="AI171" i="19"/>
  <c r="AJ171" i="19"/>
  <c r="AK171" i="19"/>
  <c r="AL171" i="19"/>
  <c r="AM171" i="19"/>
  <c r="AN171" i="19"/>
  <c r="AO171" i="19"/>
  <c r="AP171" i="19"/>
  <c r="AQ171" i="19"/>
  <c r="AR171" i="19"/>
  <c r="AS171" i="19"/>
  <c r="AT171" i="19"/>
  <c r="AU171" i="19"/>
  <c r="AV171" i="19"/>
  <c r="AW171" i="19"/>
  <c r="AX171" i="19"/>
  <c r="AY171" i="19"/>
  <c r="AZ171" i="19"/>
  <c r="BA171" i="19"/>
  <c r="BB171" i="19"/>
  <c r="BC171" i="19"/>
  <c r="BD171" i="19"/>
  <c r="BE171" i="19"/>
  <c r="BF171" i="19"/>
  <c r="BG171" i="19"/>
  <c r="BH171" i="19"/>
  <c r="BI171" i="19"/>
  <c r="BJ171" i="19"/>
  <c r="BK171" i="19"/>
  <c r="BL171" i="19"/>
  <c r="BM171" i="19"/>
  <c r="BN171" i="19"/>
  <c r="BO171" i="19"/>
  <c r="BP171" i="19"/>
  <c r="BQ171" i="19"/>
  <c r="BR171" i="19"/>
  <c r="BS171" i="19"/>
  <c r="BT171" i="19"/>
  <c r="BU171" i="19"/>
  <c r="BV171" i="19"/>
  <c r="BW171" i="19"/>
  <c r="BX171" i="19"/>
  <c r="BY171" i="19"/>
  <c r="BZ171" i="19"/>
  <c r="CA171" i="19"/>
  <c r="CB171" i="19"/>
  <c r="CC171" i="19"/>
  <c r="CD171" i="19"/>
  <c r="CE171" i="19"/>
  <c r="CF171" i="19"/>
  <c r="CG171" i="19"/>
  <c r="CH171" i="19"/>
  <c r="CI171" i="19"/>
  <c r="CJ171" i="19"/>
  <c r="CK171" i="19"/>
  <c r="CL171" i="19"/>
  <c r="CM171" i="19"/>
  <c r="CN171" i="19"/>
  <c r="CO171" i="19"/>
  <c r="CP171" i="19"/>
  <c r="CQ171" i="19"/>
  <c r="CR171" i="19"/>
  <c r="CS171" i="19"/>
  <c r="CT171" i="19"/>
  <c r="CU171" i="19"/>
  <c r="CV171" i="19"/>
  <c r="CW171" i="19"/>
  <c r="CX171" i="19"/>
  <c r="CY171" i="19"/>
  <c r="CZ171" i="19"/>
  <c r="DA171" i="19"/>
  <c r="DB171" i="19"/>
  <c r="DC171" i="19"/>
  <c r="DD171" i="19"/>
  <c r="DE171" i="19"/>
  <c r="DF171" i="19"/>
  <c r="DG171" i="19"/>
  <c r="DH171" i="19"/>
  <c r="DI171" i="19"/>
  <c r="DJ171" i="19"/>
  <c r="DK171" i="19"/>
  <c r="DL171" i="19"/>
  <c r="DM171" i="19"/>
  <c r="DN171" i="19"/>
  <c r="DO171" i="19"/>
  <c r="DP171" i="19"/>
  <c r="DQ171" i="19"/>
  <c r="DR171" i="19"/>
  <c r="DS171" i="19"/>
  <c r="DT171" i="19"/>
  <c r="DU171" i="19"/>
  <c r="DV171" i="19"/>
  <c r="DW171" i="19"/>
  <c r="DX171" i="19"/>
  <c r="DY171" i="19"/>
  <c r="DZ171" i="19"/>
  <c r="EA171" i="19"/>
  <c r="EB171" i="19"/>
  <c r="EC171" i="19"/>
  <c r="ED171" i="19"/>
  <c r="EE171" i="19"/>
  <c r="EF171" i="19"/>
  <c r="EG171" i="19"/>
  <c r="EH171" i="19"/>
  <c r="EI171" i="19"/>
  <c r="EJ171" i="19"/>
  <c r="EK171" i="19"/>
  <c r="EL171" i="19"/>
  <c r="EM171" i="19"/>
  <c r="EN171" i="19"/>
  <c r="EO171" i="19"/>
  <c r="EP171" i="19"/>
  <c r="EQ171" i="19"/>
  <c r="ER171" i="19"/>
  <c r="ES171" i="19"/>
  <c r="ET171" i="19"/>
  <c r="EU171" i="19"/>
  <c r="EV171" i="19"/>
  <c r="EW171" i="19"/>
  <c r="EX171" i="19"/>
  <c r="EY171" i="19"/>
  <c r="EZ171" i="19"/>
  <c r="FA171" i="19"/>
  <c r="FB171" i="19"/>
  <c r="FC171" i="19"/>
  <c r="FD171" i="19"/>
  <c r="FE171" i="19"/>
  <c r="FF171" i="19"/>
  <c r="FG171" i="19"/>
  <c r="FH171" i="19"/>
  <c r="FI171" i="19"/>
  <c r="FJ171" i="19"/>
  <c r="FK171" i="19"/>
  <c r="FL171" i="19"/>
  <c r="FM171" i="19"/>
  <c r="FN171" i="19"/>
  <c r="FO171" i="19"/>
  <c r="FP171" i="19"/>
  <c r="FQ171" i="19"/>
  <c r="FR171" i="19"/>
  <c r="FS171" i="19"/>
  <c r="FT171" i="19"/>
  <c r="FU171" i="19"/>
  <c r="FV171" i="19"/>
  <c r="FW171" i="19"/>
  <c r="FX171" i="19"/>
  <c r="FY171" i="19"/>
  <c r="FZ171" i="19"/>
  <c r="GA171" i="19"/>
  <c r="GB171" i="19"/>
  <c r="GC171" i="19"/>
  <c r="GD171" i="19"/>
  <c r="GE171" i="19"/>
  <c r="GF171" i="19"/>
  <c r="GG171" i="19"/>
  <c r="GH171" i="19"/>
  <c r="GI171" i="19"/>
  <c r="GJ171" i="19"/>
  <c r="GK171" i="19"/>
  <c r="GL171" i="19"/>
  <c r="GM171" i="19"/>
  <c r="GN171" i="19"/>
  <c r="GO171" i="19"/>
  <c r="GP171" i="19"/>
  <c r="GQ171" i="19"/>
  <c r="GR171" i="19"/>
  <c r="GS171" i="19"/>
  <c r="GT171" i="19"/>
  <c r="GU171" i="19"/>
  <c r="GV171" i="19"/>
  <c r="GW171" i="19"/>
  <c r="GX171" i="19"/>
  <c r="GY171" i="19"/>
  <c r="GZ171" i="19"/>
  <c r="HA171" i="19"/>
  <c r="HB171" i="19"/>
  <c r="HC171" i="19"/>
  <c r="HD171" i="19"/>
  <c r="HE171" i="19"/>
  <c r="HF171" i="19"/>
  <c r="HG171" i="19"/>
  <c r="HH171" i="19"/>
  <c r="HI171" i="19"/>
  <c r="HJ171" i="19"/>
  <c r="HK171" i="19"/>
  <c r="HL171" i="19"/>
  <c r="HM171" i="19"/>
  <c r="HN171" i="19"/>
  <c r="HO171" i="19"/>
  <c r="HP171" i="19"/>
  <c r="HQ171" i="19"/>
  <c r="HR171" i="19"/>
  <c r="HS171" i="19"/>
  <c r="HT171" i="19"/>
  <c r="HU171" i="19"/>
  <c r="HV171" i="19"/>
  <c r="HW171" i="19"/>
  <c r="HX171" i="19"/>
  <c r="HY171" i="19"/>
  <c r="HZ171" i="19"/>
  <c r="IA171" i="19"/>
  <c r="IB171" i="19"/>
  <c r="IC171" i="19"/>
  <c r="ID171" i="19"/>
  <c r="IE171" i="19"/>
  <c r="IF171" i="19"/>
  <c r="IG171" i="19"/>
  <c r="IH171" i="19"/>
  <c r="II171" i="19"/>
  <c r="IJ171" i="19"/>
  <c r="IK171" i="19"/>
  <c r="IL171" i="19"/>
  <c r="IM171" i="19"/>
  <c r="IN171" i="19"/>
  <c r="IO171" i="19"/>
  <c r="IP171" i="19"/>
  <c r="IQ171" i="19"/>
  <c r="IR171" i="19"/>
  <c r="IS171" i="19"/>
  <c r="IT171" i="19"/>
  <c r="IU171" i="19"/>
  <c r="IV171" i="19"/>
  <c r="F172" i="19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T172" i="19"/>
  <c r="U172" i="19"/>
  <c r="V172" i="19"/>
  <c r="W172" i="19"/>
  <c r="X172" i="19"/>
  <c r="Y172" i="19"/>
  <c r="Z172" i="19"/>
  <c r="AA172" i="19"/>
  <c r="AB172" i="19"/>
  <c r="AC172" i="19"/>
  <c r="AD172" i="19"/>
  <c r="AE172" i="19"/>
  <c r="AF172" i="19"/>
  <c r="AG172" i="19"/>
  <c r="AH172" i="19"/>
  <c r="AI172" i="19"/>
  <c r="AJ172" i="19"/>
  <c r="AK172" i="19"/>
  <c r="AL172" i="19"/>
  <c r="AM172" i="19"/>
  <c r="AN172" i="19"/>
  <c r="AO172" i="19"/>
  <c r="AP172" i="19"/>
  <c r="AQ172" i="19"/>
  <c r="AR172" i="19"/>
  <c r="AS172" i="19"/>
  <c r="AT172" i="19"/>
  <c r="AU172" i="19"/>
  <c r="AV172" i="19"/>
  <c r="AW172" i="19"/>
  <c r="AX172" i="19"/>
  <c r="AY172" i="19"/>
  <c r="AZ172" i="19"/>
  <c r="BA172" i="19"/>
  <c r="BB172" i="19"/>
  <c r="BC172" i="19"/>
  <c r="BD172" i="19"/>
  <c r="BE172" i="19"/>
  <c r="BF172" i="19"/>
  <c r="BG172" i="19"/>
  <c r="BH172" i="19"/>
  <c r="BI172" i="19"/>
  <c r="BJ172" i="19"/>
  <c r="BK172" i="19"/>
  <c r="BL172" i="19"/>
  <c r="BM172" i="19"/>
  <c r="BN172" i="19"/>
  <c r="BO172" i="19"/>
  <c r="BP172" i="19"/>
  <c r="BQ172" i="19"/>
  <c r="BR172" i="19"/>
  <c r="BS172" i="19"/>
  <c r="BT172" i="19"/>
  <c r="BU172" i="19"/>
  <c r="BV172" i="19"/>
  <c r="BW172" i="19"/>
  <c r="BX172" i="19"/>
  <c r="BY172" i="19"/>
  <c r="BZ172" i="19"/>
  <c r="CA172" i="19"/>
  <c r="CB172" i="19"/>
  <c r="CC172" i="19"/>
  <c r="CD172" i="19"/>
  <c r="CE172" i="19"/>
  <c r="CF172" i="19"/>
  <c r="CG172" i="19"/>
  <c r="CH172" i="19"/>
  <c r="CI172" i="19"/>
  <c r="CJ172" i="19"/>
  <c r="CK172" i="19"/>
  <c r="CL172" i="19"/>
  <c r="CM172" i="19"/>
  <c r="CN172" i="19"/>
  <c r="CO172" i="19"/>
  <c r="CP172" i="19"/>
  <c r="CQ172" i="19"/>
  <c r="CR172" i="19"/>
  <c r="CS172" i="19"/>
  <c r="CT172" i="19"/>
  <c r="CU172" i="19"/>
  <c r="CV172" i="19"/>
  <c r="CW172" i="19"/>
  <c r="CX172" i="19"/>
  <c r="CY172" i="19"/>
  <c r="CZ172" i="19"/>
  <c r="DA172" i="19"/>
  <c r="DB172" i="19"/>
  <c r="DC172" i="19"/>
  <c r="DD172" i="19"/>
  <c r="DE172" i="19"/>
  <c r="DF172" i="19"/>
  <c r="DG172" i="19"/>
  <c r="DH172" i="19"/>
  <c r="DI172" i="19"/>
  <c r="DJ172" i="19"/>
  <c r="DK172" i="19"/>
  <c r="DL172" i="19"/>
  <c r="DM172" i="19"/>
  <c r="DN172" i="19"/>
  <c r="DO172" i="19"/>
  <c r="DP172" i="19"/>
  <c r="DQ172" i="19"/>
  <c r="DR172" i="19"/>
  <c r="DS172" i="19"/>
  <c r="DT172" i="19"/>
  <c r="DU172" i="19"/>
  <c r="DV172" i="19"/>
  <c r="DW172" i="19"/>
  <c r="DX172" i="19"/>
  <c r="DY172" i="19"/>
  <c r="DZ172" i="19"/>
  <c r="EA172" i="19"/>
  <c r="EB172" i="19"/>
  <c r="EC172" i="19"/>
  <c r="ED172" i="19"/>
  <c r="EE172" i="19"/>
  <c r="EF172" i="19"/>
  <c r="EG172" i="19"/>
  <c r="EH172" i="19"/>
  <c r="EI172" i="19"/>
  <c r="EJ172" i="19"/>
  <c r="EK172" i="19"/>
  <c r="EL172" i="19"/>
  <c r="EM172" i="19"/>
  <c r="EN172" i="19"/>
  <c r="EO172" i="19"/>
  <c r="EP172" i="19"/>
  <c r="EQ172" i="19"/>
  <c r="ER172" i="19"/>
  <c r="ES172" i="19"/>
  <c r="ET172" i="19"/>
  <c r="EU172" i="19"/>
  <c r="EV172" i="19"/>
  <c r="EW172" i="19"/>
  <c r="EX172" i="19"/>
  <c r="EY172" i="19"/>
  <c r="EZ172" i="19"/>
  <c r="FA172" i="19"/>
  <c r="FB172" i="19"/>
  <c r="FC172" i="19"/>
  <c r="FD172" i="19"/>
  <c r="FE172" i="19"/>
  <c r="FF172" i="19"/>
  <c r="FG172" i="19"/>
  <c r="FH172" i="19"/>
  <c r="FI172" i="19"/>
  <c r="FJ172" i="19"/>
  <c r="FK172" i="19"/>
  <c r="FL172" i="19"/>
  <c r="FM172" i="19"/>
  <c r="FN172" i="19"/>
  <c r="FO172" i="19"/>
  <c r="FP172" i="19"/>
  <c r="FQ172" i="19"/>
  <c r="FR172" i="19"/>
  <c r="FS172" i="19"/>
  <c r="FT172" i="19"/>
  <c r="FU172" i="19"/>
  <c r="FV172" i="19"/>
  <c r="FW172" i="19"/>
  <c r="FX172" i="19"/>
  <c r="FY172" i="19"/>
  <c r="FZ172" i="19"/>
  <c r="GA172" i="19"/>
  <c r="GB172" i="19"/>
  <c r="GC172" i="19"/>
  <c r="GD172" i="19"/>
  <c r="GE172" i="19"/>
  <c r="GF172" i="19"/>
  <c r="GG172" i="19"/>
  <c r="GH172" i="19"/>
  <c r="GI172" i="19"/>
  <c r="GJ172" i="19"/>
  <c r="GK172" i="19"/>
  <c r="GL172" i="19"/>
  <c r="GM172" i="19"/>
  <c r="GN172" i="19"/>
  <c r="GO172" i="19"/>
  <c r="GP172" i="19"/>
  <c r="GQ172" i="19"/>
  <c r="GR172" i="19"/>
  <c r="GS172" i="19"/>
  <c r="GT172" i="19"/>
  <c r="GU172" i="19"/>
  <c r="GV172" i="19"/>
  <c r="GW172" i="19"/>
  <c r="GX172" i="19"/>
  <c r="GY172" i="19"/>
  <c r="GZ172" i="19"/>
  <c r="HA172" i="19"/>
  <c r="HB172" i="19"/>
  <c r="HC172" i="19"/>
  <c r="HD172" i="19"/>
  <c r="HE172" i="19"/>
  <c r="HF172" i="19"/>
  <c r="HG172" i="19"/>
  <c r="HH172" i="19"/>
  <c r="HI172" i="19"/>
  <c r="HJ172" i="19"/>
  <c r="HK172" i="19"/>
  <c r="HL172" i="19"/>
  <c r="HM172" i="19"/>
  <c r="HN172" i="19"/>
  <c r="HO172" i="19"/>
  <c r="HP172" i="19"/>
  <c r="HQ172" i="19"/>
  <c r="HR172" i="19"/>
  <c r="HS172" i="19"/>
  <c r="HT172" i="19"/>
  <c r="HU172" i="19"/>
  <c r="HV172" i="19"/>
  <c r="HW172" i="19"/>
  <c r="HX172" i="19"/>
  <c r="HY172" i="19"/>
  <c r="HZ172" i="19"/>
  <c r="IA172" i="19"/>
  <c r="IB172" i="19"/>
  <c r="IC172" i="19"/>
  <c r="ID172" i="19"/>
  <c r="IE172" i="19"/>
  <c r="IF172" i="19"/>
  <c r="IG172" i="19"/>
  <c r="IH172" i="19"/>
  <c r="II172" i="19"/>
  <c r="IJ172" i="19"/>
  <c r="IK172" i="19"/>
  <c r="IL172" i="19"/>
  <c r="IM172" i="19"/>
  <c r="IN172" i="19"/>
  <c r="IO172" i="19"/>
  <c r="IP172" i="19"/>
  <c r="IQ172" i="19"/>
  <c r="IR172" i="19"/>
  <c r="IS172" i="19"/>
  <c r="IT172" i="19"/>
  <c r="IU172" i="19"/>
  <c r="IV172" i="19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T173" i="19"/>
  <c r="U173" i="19"/>
  <c r="V173" i="19"/>
  <c r="W173" i="19"/>
  <c r="X173" i="19"/>
  <c r="Y173" i="19"/>
  <c r="Z173" i="19"/>
  <c r="AA173" i="19"/>
  <c r="AB173" i="19"/>
  <c r="AC173" i="19"/>
  <c r="AD173" i="19"/>
  <c r="AE173" i="19"/>
  <c r="AF173" i="19"/>
  <c r="AG173" i="19"/>
  <c r="AH173" i="19"/>
  <c r="AI173" i="19"/>
  <c r="AJ173" i="19"/>
  <c r="AK173" i="19"/>
  <c r="AL173" i="19"/>
  <c r="AM173" i="19"/>
  <c r="AN173" i="19"/>
  <c r="AO173" i="19"/>
  <c r="AP173" i="19"/>
  <c r="AQ173" i="19"/>
  <c r="AR173" i="19"/>
  <c r="AS173" i="19"/>
  <c r="AT173" i="19"/>
  <c r="AU173" i="19"/>
  <c r="AV173" i="19"/>
  <c r="AW173" i="19"/>
  <c r="AX173" i="19"/>
  <c r="AY173" i="19"/>
  <c r="AZ173" i="19"/>
  <c r="BA173" i="19"/>
  <c r="BB173" i="19"/>
  <c r="BC173" i="19"/>
  <c r="BD173" i="19"/>
  <c r="BE173" i="19"/>
  <c r="BF173" i="19"/>
  <c r="BG173" i="19"/>
  <c r="BH173" i="19"/>
  <c r="BI173" i="19"/>
  <c r="BJ173" i="19"/>
  <c r="BK173" i="19"/>
  <c r="BL173" i="19"/>
  <c r="BM173" i="19"/>
  <c r="BN173" i="19"/>
  <c r="BO173" i="19"/>
  <c r="BP173" i="19"/>
  <c r="BQ173" i="19"/>
  <c r="BR173" i="19"/>
  <c r="BS173" i="19"/>
  <c r="BT173" i="19"/>
  <c r="BU173" i="19"/>
  <c r="BV173" i="19"/>
  <c r="BW173" i="19"/>
  <c r="BX173" i="19"/>
  <c r="BY173" i="19"/>
  <c r="BZ173" i="19"/>
  <c r="CA173" i="19"/>
  <c r="CB173" i="19"/>
  <c r="CC173" i="19"/>
  <c r="CD173" i="19"/>
  <c r="CE173" i="19"/>
  <c r="CF173" i="19"/>
  <c r="CG173" i="19"/>
  <c r="CH173" i="19"/>
  <c r="CI173" i="19"/>
  <c r="CJ173" i="19"/>
  <c r="CK173" i="19"/>
  <c r="CL173" i="19"/>
  <c r="CM173" i="19"/>
  <c r="CN173" i="19"/>
  <c r="CO173" i="19"/>
  <c r="CP173" i="19"/>
  <c r="CQ173" i="19"/>
  <c r="CR173" i="19"/>
  <c r="CS173" i="19"/>
  <c r="CT173" i="19"/>
  <c r="CU173" i="19"/>
  <c r="CV173" i="19"/>
  <c r="CW173" i="19"/>
  <c r="CX173" i="19"/>
  <c r="CY173" i="19"/>
  <c r="CZ173" i="19"/>
  <c r="DA173" i="19"/>
  <c r="DB173" i="19"/>
  <c r="DC173" i="19"/>
  <c r="DD173" i="19"/>
  <c r="DE173" i="19"/>
  <c r="DF173" i="19"/>
  <c r="DG173" i="19"/>
  <c r="DH173" i="19"/>
  <c r="DI173" i="19"/>
  <c r="DJ173" i="19"/>
  <c r="DK173" i="19"/>
  <c r="DL173" i="19"/>
  <c r="DM173" i="19"/>
  <c r="DN173" i="19"/>
  <c r="DO173" i="19"/>
  <c r="DP173" i="19"/>
  <c r="DQ173" i="19"/>
  <c r="DR173" i="19"/>
  <c r="DS173" i="19"/>
  <c r="DT173" i="19"/>
  <c r="DU173" i="19"/>
  <c r="DV173" i="19"/>
  <c r="DW173" i="19"/>
  <c r="DX173" i="19"/>
  <c r="DY173" i="19"/>
  <c r="DZ173" i="19"/>
  <c r="EA173" i="19"/>
  <c r="EB173" i="19"/>
  <c r="EC173" i="19"/>
  <c r="ED173" i="19"/>
  <c r="EE173" i="19"/>
  <c r="EF173" i="19"/>
  <c r="EG173" i="19"/>
  <c r="EH173" i="19"/>
  <c r="EI173" i="19"/>
  <c r="EJ173" i="19"/>
  <c r="EK173" i="19"/>
  <c r="EL173" i="19"/>
  <c r="EM173" i="19"/>
  <c r="EN173" i="19"/>
  <c r="EO173" i="19"/>
  <c r="EP173" i="19"/>
  <c r="EQ173" i="19"/>
  <c r="ER173" i="19"/>
  <c r="ES173" i="19"/>
  <c r="ET173" i="19"/>
  <c r="EU173" i="19"/>
  <c r="EV173" i="19"/>
  <c r="EW173" i="19"/>
  <c r="EX173" i="19"/>
  <c r="EY173" i="19"/>
  <c r="EZ173" i="19"/>
  <c r="FA173" i="19"/>
  <c r="FB173" i="19"/>
  <c r="FC173" i="19"/>
  <c r="FD173" i="19"/>
  <c r="FE173" i="19"/>
  <c r="FF173" i="19"/>
  <c r="FG173" i="19"/>
  <c r="FH173" i="19"/>
  <c r="FI173" i="19"/>
  <c r="FJ173" i="19"/>
  <c r="FK173" i="19"/>
  <c r="FL173" i="19"/>
  <c r="FM173" i="19"/>
  <c r="FN173" i="19"/>
  <c r="FO173" i="19"/>
  <c r="FP173" i="19"/>
  <c r="FQ173" i="19"/>
  <c r="FR173" i="19"/>
  <c r="FS173" i="19"/>
  <c r="FT173" i="19"/>
  <c r="FU173" i="19"/>
  <c r="FV173" i="19"/>
  <c r="FW173" i="19"/>
  <c r="FX173" i="19"/>
  <c r="FY173" i="19"/>
  <c r="FZ173" i="19"/>
  <c r="GA173" i="19"/>
  <c r="GB173" i="19"/>
  <c r="GC173" i="19"/>
  <c r="GD173" i="19"/>
  <c r="GE173" i="19"/>
  <c r="GF173" i="19"/>
  <c r="GG173" i="19"/>
  <c r="GH173" i="19"/>
  <c r="GI173" i="19"/>
  <c r="GJ173" i="19"/>
  <c r="GK173" i="19"/>
  <c r="GL173" i="19"/>
  <c r="GM173" i="19"/>
  <c r="GN173" i="19"/>
  <c r="GO173" i="19"/>
  <c r="GP173" i="19"/>
  <c r="GQ173" i="19"/>
  <c r="GR173" i="19"/>
  <c r="GS173" i="19"/>
  <c r="GT173" i="19"/>
  <c r="GU173" i="19"/>
  <c r="GV173" i="19"/>
  <c r="GW173" i="19"/>
  <c r="GX173" i="19"/>
  <c r="GY173" i="19"/>
  <c r="GZ173" i="19"/>
  <c r="HA173" i="19"/>
  <c r="HB173" i="19"/>
  <c r="HC173" i="19"/>
  <c r="HD173" i="19"/>
  <c r="HE173" i="19"/>
  <c r="HF173" i="19"/>
  <c r="HG173" i="19"/>
  <c r="HH173" i="19"/>
  <c r="HI173" i="19"/>
  <c r="HJ173" i="19"/>
  <c r="HK173" i="19"/>
  <c r="HL173" i="19"/>
  <c r="HM173" i="19"/>
  <c r="HN173" i="19"/>
  <c r="HO173" i="19"/>
  <c r="HP173" i="19"/>
  <c r="HQ173" i="19"/>
  <c r="HR173" i="19"/>
  <c r="HS173" i="19"/>
  <c r="HT173" i="19"/>
  <c r="HU173" i="19"/>
  <c r="HV173" i="19"/>
  <c r="HW173" i="19"/>
  <c r="HX173" i="19"/>
  <c r="HY173" i="19"/>
  <c r="HZ173" i="19"/>
  <c r="IA173" i="19"/>
  <c r="IB173" i="19"/>
  <c r="IC173" i="19"/>
  <c r="ID173" i="19"/>
  <c r="IE173" i="19"/>
  <c r="IF173" i="19"/>
  <c r="IG173" i="19"/>
  <c r="IH173" i="19"/>
  <c r="II173" i="19"/>
  <c r="IJ173" i="19"/>
  <c r="IK173" i="19"/>
  <c r="IL173" i="19"/>
  <c r="IM173" i="19"/>
  <c r="IN173" i="19"/>
  <c r="IO173" i="19"/>
  <c r="IP173" i="19"/>
  <c r="IQ173" i="19"/>
  <c r="IR173" i="19"/>
  <c r="IS173" i="19"/>
  <c r="IT173" i="19"/>
  <c r="IU173" i="19"/>
  <c r="IV173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T174" i="19"/>
  <c r="U174" i="19"/>
  <c r="V174" i="19"/>
  <c r="W174" i="19"/>
  <c r="X174" i="19"/>
  <c r="Y174" i="19"/>
  <c r="Z174" i="19"/>
  <c r="AA174" i="19"/>
  <c r="AB174" i="19"/>
  <c r="AC174" i="19"/>
  <c r="AD174" i="19"/>
  <c r="AE174" i="19"/>
  <c r="AF174" i="19"/>
  <c r="AG174" i="19"/>
  <c r="AH174" i="19"/>
  <c r="AI174" i="19"/>
  <c r="AJ174" i="19"/>
  <c r="AK174" i="19"/>
  <c r="AL174" i="19"/>
  <c r="AM174" i="19"/>
  <c r="AN174" i="19"/>
  <c r="AO174" i="19"/>
  <c r="AP174" i="19"/>
  <c r="AQ174" i="19"/>
  <c r="AR174" i="19"/>
  <c r="AS174" i="19"/>
  <c r="AT174" i="19"/>
  <c r="AU174" i="19"/>
  <c r="AV174" i="19"/>
  <c r="AW174" i="19"/>
  <c r="AX174" i="19"/>
  <c r="AY174" i="19"/>
  <c r="AZ174" i="19"/>
  <c r="BA174" i="19"/>
  <c r="BB174" i="19"/>
  <c r="BC174" i="19"/>
  <c r="BD174" i="19"/>
  <c r="BE174" i="19"/>
  <c r="BF174" i="19"/>
  <c r="BG174" i="19"/>
  <c r="BH174" i="19"/>
  <c r="BI174" i="19"/>
  <c r="BJ174" i="19"/>
  <c r="BK174" i="19"/>
  <c r="BL174" i="19"/>
  <c r="BM174" i="19"/>
  <c r="BN174" i="19"/>
  <c r="BO174" i="19"/>
  <c r="BP174" i="19"/>
  <c r="BQ174" i="19"/>
  <c r="BR174" i="19"/>
  <c r="BS174" i="19"/>
  <c r="BT174" i="19"/>
  <c r="BU174" i="19"/>
  <c r="BV174" i="19"/>
  <c r="BW174" i="19"/>
  <c r="BX174" i="19"/>
  <c r="BY174" i="19"/>
  <c r="BZ174" i="19"/>
  <c r="CA174" i="19"/>
  <c r="CB174" i="19"/>
  <c r="CC174" i="19"/>
  <c r="CD174" i="19"/>
  <c r="CE174" i="19"/>
  <c r="CF174" i="19"/>
  <c r="CG174" i="19"/>
  <c r="CH174" i="19"/>
  <c r="CI174" i="19"/>
  <c r="CJ174" i="19"/>
  <c r="CK174" i="19"/>
  <c r="CL174" i="19"/>
  <c r="CM174" i="19"/>
  <c r="CN174" i="19"/>
  <c r="CO174" i="19"/>
  <c r="CP174" i="19"/>
  <c r="CQ174" i="19"/>
  <c r="CR174" i="19"/>
  <c r="CS174" i="19"/>
  <c r="CT174" i="19"/>
  <c r="CU174" i="19"/>
  <c r="CV174" i="19"/>
  <c r="CW174" i="19"/>
  <c r="CX174" i="19"/>
  <c r="CY174" i="19"/>
  <c r="CZ174" i="19"/>
  <c r="DA174" i="19"/>
  <c r="DB174" i="19"/>
  <c r="DC174" i="19"/>
  <c r="DD174" i="19"/>
  <c r="DE174" i="19"/>
  <c r="DF174" i="19"/>
  <c r="DG174" i="19"/>
  <c r="DH174" i="19"/>
  <c r="DI174" i="19"/>
  <c r="DJ174" i="19"/>
  <c r="DK174" i="19"/>
  <c r="DL174" i="19"/>
  <c r="DM174" i="19"/>
  <c r="DN174" i="19"/>
  <c r="DO174" i="19"/>
  <c r="DP174" i="19"/>
  <c r="DQ174" i="19"/>
  <c r="DR174" i="19"/>
  <c r="DS174" i="19"/>
  <c r="DT174" i="19"/>
  <c r="DU174" i="19"/>
  <c r="DV174" i="19"/>
  <c r="DW174" i="19"/>
  <c r="DX174" i="19"/>
  <c r="DY174" i="19"/>
  <c r="DZ174" i="19"/>
  <c r="EA174" i="19"/>
  <c r="EB174" i="19"/>
  <c r="EC174" i="19"/>
  <c r="ED174" i="19"/>
  <c r="EE174" i="19"/>
  <c r="EF174" i="19"/>
  <c r="EG174" i="19"/>
  <c r="EH174" i="19"/>
  <c r="EI174" i="19"/>
  <c r="EJ174" i="19"/>
  <c r="EK174" i="19"/>
  <c r="EL174" i="19"/>
  <c r="EM174" i="19"/>
  <c r="EN174" i="19"/>
  <c r="EO174" i="19"/>
  <c r="EP174" i="19"/>
  <c r="EQ174" i="19"/>
  <c r="ER174" i="19"/>
  <c r="ES174" i="19"/>
  <c r="ET174" i="19"/>
  <c r="EU174" i="19"/>
  <c r="EV174" i="19"/>
  <c r="EW174" i="19"/>
  <c r="EX174" i="19"/>
  <c r="EY174" i="19"/>
  <c r="EZ174" i="19"/>
  <c r="FA174" i="19"/>
  <c r="FB174" i="19"/>
  <c r="FC174" i="19"/>
  <c r="FD174" i="19"/>
  <c r="FE174" i="19"/>
  <c r="FF174" i="19"/>
  <c r="FG174" i="19"/>
  <c r="FH174" i="19"/>
  <c r="FI174" i="19"/>
  <c r="FJ174" i="19"/>
  <c r="FK174" i="19"/>
  <c r="FL174" i="19"/>
  <c r="FM174" i="19"/>
  <c r="FN174" i="19"/>
  <c r="FO174" i="19"/>
  <c r="FP174" i="19"/>
  <c r="FQ174" i="19"/>
  <c r="FR174" i="19"/>
  <c r="FS174" i="19"/>
  <c r="FT174" i="19"/>
  <c r="FU174" i="19"/>
  <c r="FV174" i="19"/>
  <c r="FW174" i="19"/>
  <c r="FX174" i="19"/>
  <c r="FY174" i="19"/>
  <c r="FZ174" i="19"/>
  <c r="GA174" i="19"/>
  <c r="GB174" i="19"/>
  <c r="GC174" i="19"/>
  <c r="GD174" i="19"/>
  <c r="GE174" i="19"/>
  <c r="GF174" i="19"/>
  <c r="GG174" i="19"/>
  <c r="GH174" i="19"/>
  <c r="GI174" i="19"/>
  <c r="GJ174" i="19"/>
  <c r="GK174" i="19"/>
  <c r="GL174" i="19"/>
  <c r="GM174" i="19"/>
  <c r="GN174" i="19"/>
  <c r="GO174" i="19"/>
  <c r="GP174" i="19"/>
  <c r="GQ174" i="19"/>
  <c r="GR174" i="19"/>
  <c r="GS174" i="19"/>
  <c r="GT174" i="19"/>
  <c r="GU174" i="19"/>
  <c r="GV174" i="19"/>
  <c r="GW174" i="19"/>
  <c r="GX174" i="19"/>
  <c r="GY174" i="19"/>
  <c r="GZ174" i="19"/>
  <c r="HA174" i="19"/>
  <c r="HB174" i="19"/>
  <c r="HC174" i="19"/>
  <c r="HD174" i="19"/>
  <c r="HE174" i="19"/>
  <c r="HF174" i="19"/>
  <c r="HG174" i="19"/>
  <c r="HH174" i="19"/>
  <c r="HI174" i="19"/>
  <c r="HJ174" i="19"/>
  <c r="HK174" i="19"/>
  <c r="HL174" i="19"/>
  <c r="HM174" i="19"/>
  <c r="HN174" i="19"/>
  <c r="HO174" i="19"/>
  <c r="HP174" i="19"/>
  <c r="HQ174" i="19"/>
  <c r="HR174" i="19"/>
  <c r="HS174" i="19"/>
  <c r="HT174" i="19"/>
  <c r="HU174" i="19"/>
  <c r="HV174" i="19"/>
  <c r="HW174" i="19"/>
  <c r="HX174" i="19"/>
  <c r="HY174" i="19"/>
  <c r="HZ174" i="19"/>
  <c r="IA174" i="19"/>
  <c r="IB174" i="19"/>
  <c r="IC174" i="19"/>
  <c r="ID174" i="19"/>
  <c r="IE174" i="19"/>
  <c r="IF174" i="19"/>
  <c r="IG174" i="19"/>
  <c r="IH174" i="19"/>
  <c r="II174" i="19"/>
  <c r="IJ174" i="19"/>
  <c r="IK174" i="19"/>
  <c r="IL174" i="19"/>
  <c r="IM174" i="19"/>
  <c r="IN174" i="19"/>
  <c r="IO174" i="19"/>
  <c r="IP174" i="19"/>
  <c r="IQ174" i="19"/>
  <c r="IR174" i="19"/>
  <c r="IS174" i="19"/>
  <c r="IT174" i="19"/>
  <c r="IU174" i="19"/>
  <c r="IV174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T175" i="19"/>
  <c r="U175" i="19"/>
  <c r="V175" i="19"/>
  <c r="W175" i="19"/>
  <c r="X175" i="19"/>
  <c r="Y175" i="19"/>
  <c r="Z175" i="19"/>
  <c r="AA175" i="19"/>
  <c r="AB175" i="19"/>
  <c r="AC175" i="19"/>
  <c r="AD175" i="19"/>
  <c r="AE175" i="19"/>
  <c r="AF175" i="19"/>
  <c r="AG175" i="19"/>
  <c r="AH175" i="19"/>
  <c r="AI175" i="19"/>
  <c r="AJ175" i="19"/>
  <c r="AK175" i="19"/>
  <c r="AL175" i="19"/>
  <c r="AM175" i="19"/>
  <c r="AN175" i="19"/>
  <c r="AO175" i="19"/>
  <c r="AP175" i="19"/>
  <c r="AQ175" i="19"/>
  <c r="AR175" i="19"/>
  <c r="AS175" i="19"/>
  <c r="AT175" i="19"/>
  <c r="AU175" i="19"/>
  <c r="AV175" i="19"/>
  <c r="AW175" i="19"/>
  <c r="AX175" i="19"/>
  <c r="AY175" i="19"/>
  <c r="AZ175" i="19"/>
  <c r="BA175" i="19"/>
  <c r="BB175" i="19"/>
  <c r="BC175" i="19"/>
  <c r="BD175" i="19"/>
  <c r="BE175" i="19"/>
  <c r="BF175" i="19"/>
  <c r="BG175" i="19"/>
  <c r="BH175" i="19"/>
  <c r="BI175" i="19"/>
  <c r="BJ175" i="19"/>
  <c r="BK175" i="19"/>
  <c r="BL175" i="19"/>
  <c r="BM175" i="19"/>
  <c r="BN175" i="19"/>
  <c r="BO175" i="19"/>
  <c r="BP175" i="19"/>
  <c r="BQ175" i="19"/>
  <c r="BR175" i="19"/>
  <c r="BS175" i="19"/>
  <c r="BT175" i="19"/>
  <c r="BU175" i="19"/>
  <c r="BV175" i="19"/>
  <c r="BW175" i="19"/>
  <c r="BX175" i="19"/>
  <c r="BY175" i="19"/>
  <c r="BZ175" i="19"/>
  <c r="CA175" i="19"/>
  <c r="CB175" i="19"/>
  <c r="CC175" i="19"/>
  <c r="CD175" i="19"/>
  <c r="CE175" i="19"/>
  <c r="CF175" i="19"/>
  <c r="CG175" i="19"/>
  <c r="CH175" i="19"/>
  <c r="CI175" i="19"/>
  <c r="CJ175" i="19"/>
  <c r="CK175" i="19"/>
  <c r="CL175" i="19"/>
  <c r="CM175" i="19"/>
  <c r="CN175" i="19"/>
  <c r="CO175" i="19"/>
  <c r="CP175" i="19"/>
  <c r="CQ175" i="19"/>
  <c r="CR175" i="19"/>
  <c r="CS175" i="19"/>
  <c r="CT175" i="19"/>
  <c r="CU175" i="19"/>
  <c r="CV175" i="19"/>
  <c r="CW175" i="19"/>
  <c r="CX175" i="19"/>
  <c r="CY175" i="19"/>
  <c r="CZ175" i="19"/>
  <c r="DA175" i="19"/>
  <c r="DB175" i="19"/>
  <c r="DC175" i="19"/>
  <c r="DD175" i="19"/>
  <c r="DE175" i="19"/>
  <c r="DF175" i="19"/>
  <c r="DG175" i="19"/>
  <c r="DH175" i="19"/>
  <c r="DI175" i="19"/>
  <c r="DJ175" i="19"/>
  <c r="DK175" i="19"/>
  <c r="DL175" i="19"/>
  <c r="DM175" i="19"/>
  <c r="DN175" i="19"/>
  <c r="DO175" i="19"/>
  <c r="DP175" i="19"/>
  <c r="DQ175" i="19"/>
  <c r="DR175" i="19"/>
  <c r="DS175" i="19"/>
  <c r="DT175" i="19"/>
  <c r="DU175" i="19"/>
  <c r="DV175" i="19"/>
  <c r="DW175" i="19"/>
  <c r="DX175" i="19"/>
  <c r="DY175" i="19"/>
  <c r="DZ175" i="19"/>
  <c r="EA175" i="19"/>
  <c r="EB175" i="19"/>
  <c r="EC175" i="19"/>
  <c r="ED175" i="19"/>
  <c r="EE175" i="19"/>
  <c r="EF175" i="19"/>
  <c r="EG175" i="19"/>
  <c r="EH175" i="19"/>
  <c r="EI175" i="19"/>
  <c r="EJ175" i="19"/>
  <c r="EK175" i="19"/>
  <c r="EL175" i="19"/>
  <c r="EM175" i="19"/>
  <c r="EN175" i="19"/>
  <c r="EO175" i="19"/>
  <c r="EP175" i="19"/>
  <c r="EQ175" i="19"/>
  <c r="ER175" i="19"/>
  <c r="ES175" i="19"/>
  <c r="ET175" i="19"/>
  <c r="EU175" i="19"/>
  <c r="EV175" i="19"/>
  <c r="EW175" i="19"/>
  <c r="EX175" i="19"/>
  <c r="EY175" i="19"/>
  <c r="EZ175" i="19"/>
  <c r="FA175" i="19"/>
  <c r="FB175" i="19"/>
  <c r="FC175" i="19"/>
  <c r="FD175" i="19"/>
  <c r="FE175" i="19"/>
  <c r="FF175" i="19"/>
  <c r="FG175" i="19"/>
  <c r="FH175" i="19"/>
  <c r="FI175" i="19"/>
  <c r="FJ175" i="19"/>
  <c r="FK175" i="19"/>
  <c r="FL175" i="19"/>
  <c r="FM175" i="19"/>
  <c r="FN175" i="19"/>
  <c r="FO175" i="19"/>
  <c r="FP175" i="19"/>
  <c r="FQ175" i="19"/>
  <c r="FR175" i="19"/>
  <c r="FS175" i="19"/>
  <c r="FT175" i="19"/>
  <c r="FU175" i="19"/>
  <c r="FV175" i="19"/>
  <c r="FW175" i="19"/>
  <c r="FX175" i="19"/>
  <c r="FY175" i="19"/>
  <c r="FZ175" i="19"/>
  <c r="GA175" i="19"/>
  <c r="GB175" i="19"/>
  <c r="GC175" i="19"/>
  <c r="GD175" i="19"/>
  <c r="GE175" i="19"/>
  <c r="GF175" i="19"/>
  <c r="GG175" i="19"/>
  <c r="GH175" i="19"/>
  <c r="GI175" i="19"/>
  <c r="GJ175" i="19"/>
  <c r="GK175" i="19"/>
  <c r="GL175" i="19"/>
  <c r="GM175" i="19"/>
  <c r="GN175" i="19"/>
  <c r="GO175" i="19"/>
  <c r="GP175" i="19"/>
  <c r="GQ175" i="19"/>
  <c r="GR175" i="19"/>
  <c r="GS175" i="19"/>
  <c r="GT175" i="19"/>
  <c r="GU175" i="19"/>
  <c r="GV175" i="19"/>
  <c r="GW175" i="19"/>
  <c r="GX175" i="19"/>
  <c r="GY175" i="19"/>
  <c r="GZ175" i="19"/>
  <c r="HA175" i="19"/>
  <c r="HB175" i="19"/>
  <c r="HC175" i="19"/>
  <c r="HD175" i="19"/>
  <c r="HE175" i="19"/>
  <c r="HF175" i="19"/>
  <c r="HG175" i="19"/>
  <c r="HH175" i="19"/>
  <c r="HI175" i="19"/>
  <c r="HJ175" i="19"/>
  <c r="HK175" i="19"/>
  <c r="HL175" i="19"/>
  <c r="HM175" i="19"/>
  <c r="HN175" i="19"/>
  <c r="HO175" i="19"/>
  <c r="HP175" i="19"/>
  <c r="HQ175" i="19"/>
  <c r="HR175" i="19"/>
  <c r="HS175" i="19"/>
  <c r="HT175" i="19"/>
  <c r="HU175" i="19"/>
  <c r="HV175" i="19"/>
  <c r="HW175" i="19"/>
  <c r="HX175" i="19"/>
  <c r="HY175" i="19"/>
  <c r="HZ175" i="19"/>
  <c r="IA175" i="19"/>
  <c r="IB175" i="19"/>
  <c r="IC175" i="19"/>
  <c r="ID175" i="19"/>
  <c r="IE175" i="19"/>
  <c r="IF175" i="19"/>
  <c r="IG175" i="19"/>
  <c r="IH175" i="19"/>
  <c r="II175" i="19"/>
  <c r="IJ175" i="19"/>
  <c r="IK175" i="19"/>
  <c r="IL175" i="19"/>
  <c r="IM175" i="19"/>
  <c r="IN175" i="19"/>
  <c r="IO175" i="19"/>
  <c r="IP175" i="19"/>
  <c r="IQ175" i="19"/>
  <c r="IR175" i="19"/>
  <c r="IS175" i="19"/>
  <c r="IT175" i="19"/>
  <c r="IU175" i="19"/>
  <c r="IV175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T176" i="19"/>
  <c r="U176" i="19"/>
  <c r="V176" i="19"/>
  <c r="W176" i="19"/>
  <c r="X176" i="19"/>
  <c r="Y176" i="19"/>
  <c r="Z176" i="19"/>
  <c r="AA176" i="19"/>
  <c r="AB176" i="19"/>
  <c r="AC176" i="19"/>
  <c r="AD176" i="19"/>
  <c r="AE176" i="19"/>
  <c r="AF176" i="19"/>
  <c r="AG176" i="19"/>
  <c r="AH176" i="19"/>
  <c r="AI176" i="19"/>
  <c r="AJ176" i="19"/>
  <c r="AK176" i="19"/>
  <c r="AL176" i="19"/>
  <c r="AM176" i="19"/>
  <c r="AN176" i="19"/>
  <c r="AO176" i="19"/>
  <c r="AP176" i="19"/>
  <c r="AQ176" i="19"/>
  <c r="AR176" i="19"/>
  <c r="AS176" i="19"/>
  <c r="AT176" i="19"/>
  <c r="AU176" i="19"/>
  <c r="AV176" i="19"/>
  <c r="AW176" i="19"/>
  <c r="AX176" i="19"/>
  <c r="AY176" i="19"/>
  <c r="AZ176" i="19"/>
  <c r="BA176" i="19"/>
  <c r="BB176" i="19"/>
  <c r="BC176" i="19"/>
  <c r="BD176" i="19"/>
  <c r="BE176" i="19"/>
  <c r="BF176" i="19"/>
  <c r="BG176" i="19"/>
  <c r="BH176" i="19"/>
  <c r="BI176" i="19"/>
  <c r="BJ176" i="19"/>
  <c r="BK176" i="19"/>
  <c r="BL176" i="19"/>
  <c r="BM176" i="19"/>
  <c r="BN176" i="19"/>
  <c r="BO176" i="19"/>
  <c r="BP176" i="19"/>
  <c r="BQ176" i="19"/>
  <c r="BR176" i="19"/>
  <c r="BS176" i="19"/>
  <c r="BT176" i="19"/>
  <c r="BU176" i="19"/>
  <c r="BV176" i="19"/>
  <c r="BW176" i="19"/>
  <c r="BX176" i="19"/>
  <c r="BY176" i="19"/>
  <c r="BZ176" i="19"/>
  <c r="CA176" i="19"/>
  <c r="CB176" i="19"/>
  <c r="CC176" i="19"/>
  <c r="CD176" i="19"/>
  <c r="CE176" i="19"/>
  <c r="CF176" i="19"/>
  <c r="CG176" i="19"/>
  <c r="CH176" i="19"/>
  <c r="CI176" i="19"/>
  <c r="CJ176" i="19"/>
  <c r="CK176" i="19"/>
  <c r="CL176" i="19"/>
  <c r="CM176" i="19"/>
  <c r="CN176" i="19"/>
  <c r="CO176" i="19"/>
  <c r="CP176" i="19"/>
  <c r="CQ176" i="19"/>
  <c r="CR176" i="19"/>
  <c r="CS176" i="19"/>
  <c r="CT176" i="19"/>
  <c r="CU176" i="19"/>
  <c r="CV176" i="19"/>
  <c r="CW176" i="19"/>
  <c r="CX176" i="19"/>
  <c r="CY176" i="19"/>
  <c r="CZ176" i="19"/>
  <c r="DA176" i="19"/>
  <c r="DB176" i="19"/>
  <c r="DC176" i="19"/>
  <c r="DD176" i="19"/>
  <c r="DE176" i="19"/>
  <c r="DF176" i="19"/>
  <c r="DG176" i="19"/>
  <c r="DH176" i="19"/>
  <c r="DI176" i="19"/>
  <c r="DJ176" i="19"/>
  <c r="DK176" i="19"/>
  <c r="DL176" i="19"/>
  <c r="DM176" i="19"/>
  <c r="DN176" i="19"/>
  <c r="DO176" i="19"/>
  <c r="DP176" i="19"/>
  <c r="DQ176" i="19"/>
  <c r="DR176" i="19"/>
  <c r="DS176" i="19"/>
  <c r="DT176" i="19"/>
  <c r="DU176" i="19"/>
  <c r="DV176" i="19"/>
  <c r="DW176" i="19"/>
  <c r="DX176" i="19"/>
  <c r="DY176" i="19"/>
  <c r="DZ176" i="19"/>
  <c r="EA176" i="19"/>
  <c r="EB176" i="19"/>
  <c r="EC176" i="19"/>
  <c r="ED176" i="19"/>
  <c r="EE176" i="19"/>
  <c r="EF176" i="19"/>
  <c r="EG176" i="19"/>
  <c r="EH176" i="19"/>
  <c r="EI176" i="19"/>
  <c r="EJ176" i="19"/>
  <c r="EK176" i="19"/>
  <c r="EL176" i="19"/>
  <c r="EM176" i="19"/>
  <c r="EN176" i="19"/>
  <c r="EO176" i="19"/>
  <c r="EP176" i="19"/>
  <c r="EQ176" i="19"/>
  <c r="ER176" i="19"/>
  <c r="ES176" i="19"/>
  <c r="ET176" i="19"/>
  <c r="EU176" i="19"/>
  <c r="EV176" i="19"/>
  <c r="EW176" i="19"/>
  <c r="EX176" i="19"/>
  <c r="EY176" i="19"/>
  <c r="EZ176" i="19"/>
  <c r="FA176" i="19"/>
  <c r="FB176" i="19"/>
  <c r="FC176" i="19"/>
  <c r="FD176" i="19"/>
  <c r="FE176" i="19"/>
  <c r="FF176" i="19"/>
  <c r="FG176" i="19"/>
  <c r="FH176" i="19"/>
  <c r="FI176" i="19"/>
  <c r="FJ176" i="19"/>
  <c r="FK176" i="19"/>
  <c r="FL176" i="19"/>
  <c r="FM176" i="19"/>
  <c r="FN176" i="19"/>
  <c r="FO176" i="19"/>
  <c r="FP176" i="19"/>
  <c r="FQ176" i="19"/>
  <c r="FR176" i="19"/>
  <c r="FS176" i="19"/>
  <c r="FT176" i="19"/>
  <c r="FU176" i="19"/>
  <c r="FV176" i="19"/>
  <c r="FW176" i="19"/>
  <c r="FX176" i="19"/>
  <c r="FY176" i="19"/>
  <c r="FZ176" i="19"/>
  <c r="GA176" i="19"/>
  <c r="GB176" i="19"/>
  <c r="GC176" i="19"/>
  <c r="GD176" i="19"/>
  <c r="GE176" i="19"/>
  <c r="GF176" i="19"/>
  <c r="GG176" i="19"/>
  <c r="GH176" i="19"/>
  <c r="GI176" i="19"/>
  <c r="GJ176" i="19"/>
  <c r="GK176" i="19"/>
  <c r="GL176" i="19"/>
  <c r="GM176" i="19"/>
  <c r="GN176" i="19"/>
  <c r="GO176" i="19"/>
  <c r="GP176" i="19"/>
  <c r="GQ176" i="19"/>
  <c r="GR176" i="19"/>
  <c r="GS176" i="19"/>
  <c r="GT176" i="19"/>
  <c r="GU176" i="19"/>
  <c r="GV176" i="19"/>
  <c r="GW176" i="19"/>
  <c r="GX176" i="19"/>
  <c r="GY176" i="19"/>
  <c r="GZ176" i="19"/>
  <c r="HA176" i="19"/>
  <c r="HB176" i="19"/>
  <c r="HC176" i="19"/>
  <c r="HD176" i="19"/>
  <c r="HE176" i="19"/>
  <c r="HF176" i="19"/>
  <c r="HG176" i="19"/>
  <c r="HH176" i="19"/>
  <c r="HI176" i="19"/>
  <c r="HJ176" i="19"/>
  <c r="HK176" i="19"/>
  <c r="HL176" i="19"/>
  <c r="HM176" i="19"/>
  <c r="HN176" i="19"/>
  <c r="HO176" i="19"/>
  <c r="HP176" i="19"/>
  <c r="HQ176" i="19"/>
  <c r="HR176" i="19"/>
  <c r="HS176" i="19"/>
  <c r="HT176" i="19"/>
  <c r="HU176" i="19"/>
  <c r="HV176" i="19"/>
  <c r="HW176" i="19"/>
  <c r="HX176" i="19"/>
  <c r="HY176" i="19"/>
  <c r="HZ176" i="19"/>
  <c r="IA176" i="19"/>
  <c r="IB176" i="19"/>
  <c r="IC176" i="19"/>
  <c r="ID176" i="19"/>
  <c r="IE176" i="19"/>
  <c r="IF176" i="19"/>
  <c r="IG176" i="19"/>
  <c r="IH176" i="19"/>
  <c r="II176" i="19"/>
  <c r="IJ176" i="19"/>
  <c r="IK176" i="19"/>
  <c r="IL176" i="19"/>
  <c r="IM176" i="19"/>
  <c r="IN176" i="19"/>
  <c r="IO176" i="19"/>
  <c r="IP176" i="19"/>
  <c r="IQ176" i="19"/>
  <c r="IR176" i="19"/>
  <c r="IS176" i="19"/>
  <c r="IT176" i="19"/>
  <c r="IU176" i="19"/>
  <c r="IV176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T177" i="19"/>
  <c r="U177" i="19"/>
  <c r="V177" i="19"/>
  <c r="W177" i="19"/>
  <c r="X177" i="19"/>
  <c r="Y177" i="19"/>
  <c r="Z177" i="19"/>
  <c r="AA177" i="19"/>
  <c r="AB177" i="19"/>
  <c r="AC177" i="19"/>
  <c r="AD177" i="19"/>
  <c r="AE177" i="19"/>
  <c r="AF177" i="19"/>
  <c r="AG177" i="19"/>
  <c r="AH177" i="19"/>
  <c r="AI177" i="19"/>
  <c r="AJ177" i="19"/>
  <c r="AK177" i="19"/>
  <c r="AL177" i="19"/>
  <c r="AM177" i="19"/>
  <c r="AN177" i="19"/>
  <c r="AO177" i="19"/>
  <c r="AP177" i="19"/>
  <c r="AQ177" i="19"/>
  <c r="AR177" i="19"/>
  <c r="AS177" i="19"/>
  <c r="AT177" i="19"/>
  <c r="AU177" i="19"/>
  <c r="AV177" i="19"/>
  <c r="AW177" i="19"/>
  <c r="AX177" i="19"/>
  <c r="AY177" i="19"/>
  <c r="AZ177" i="19"/>
  <c r="BA177" i="19"/>
  <c r="BB177" i="19"/>
  <c r="BC177" i="19"/>
  <c r="BD177" i="19"/>
  <c r="BE177" i="19"/>
  <c r="BF177" i="19"/>
  <c r="BG177" i="19"/>
  <c r="BH177" i="19"/>
  <c r="BI177" i="19"/>
  <c r="BJ177" i="19"/>
  <c r="BK177" i="19"/>
  <c r="BL177" i="19"/>
  <c r="BM177" i="19"/>
  <c r="BN177" i="19"/>
  <c r="BO177" i="19"/>
  <c r="BP177" i="19"/>
  <c r="BQ177" i="19"/>
  <c r="BR177" i="19"/>
  <c r="BS177" i="19"/>
  <c r="BT177" i="19"/>
  <c r="BU177" i="19"/>
  <c r="BV177" i="19"/>
  <c r="BW177" i="19"/>
  <c r="BX177" i="19"/>
  <c r="BY177" i="19"/>
  <c r="BZ177" i="19"/>
  <c r="CA177" i="19"/>
  <c r="CB177" i="19"/>
  <c r="CC177" i="19"/>
  <c r="CD177" i="19"/>
  <c r="CE177" i="19"/>
  <c r="CF177" i="19"/>
  <c r="CG177" i="19"/>
  <c r="CH177" i="19"/>
  <c r="CI177" i="19"/>
  <c r="CJ177" i="19"/>
  <c r="CK177" i="19"/>
  <c r="CL177" i="19"/>
  <c r="CM177" i="19"/>
  <c r="CN177" i="19"/>
  <c r="CO177" i="19"/>
  <c r="CP177" i="19"/>
  <c r="CQ177" i="19"/>
  <c r="CR177" i="19"/>
  <c r="CS177" i="19"/>
  <c r="CT177" i="19"/>
  <c r="CU177" i="19"/>
  <c r="CV177" i="19"/>
  <c r="CW177" i="19"/>
  <c r="CX177" i="19"/>
  <c r="CY177" i="19"/>
  <c r="CZ177" i="19"/>
  <c r="DA177" i="19"/>
  <c r="DB177" i="19"/>
  <c r="DC177" i="19"/>
  <c r="DD177" i="19"/>
  <c r="DE177" i="19"/>
  <c r="DF177" i="19"/>
  <c r="DG177" i="19"/>
  <c r="DH177" i="19"/>
  <c r="DI177" i="19"/>
  <c r="DJ177" i="19"/>
  <c r="DK177" i="19"/>
  <c r="DL177" i="19"/>
  <c r="DM177" i="19"/>
  <c r="DN177" i="19"/>
  <c r="DO177" i="19"/>
  <c r="DP177" i="19"/>
  <c r="DQ177" i="19"/>
  <c r="DR177" i="19"/>
  <c r="DS177" i="19"/>
  <c r="DT177" i="19"/>
  <c r="DU177" i="19"/>
  <c r="DV177" i="19"/>
  <c r="DW177" i="19"/>
  <c r="DX177" i="19"/>
  <c r="DY177" i="19"/>
  <c r="DZ177" i="19"/>
  <c r="EA177" i="19"/>
  <c r="EB177" i="19"/>
  <c r="EC177" i="19"/>
  <c r="ED177" i="19"/>
  <c r="EE177" i="19"/>
  <c r="EF177" i="19"/>
  <c r="EG177" i="19"/>
  <c r="EH177" i="19"/>
  <c r="EI177" i="19"/>
  <c r="EJ177" i="19"/>
  <c r="EK177" i="19"/>
  <c r="EL177" i="19"/>
  <c r="EM177" i="19"/>
  <c r="EN177" i="19"/>
  <c r="EO177" i="19"/>
  <c r="EP177" i="19"/>
  <c r="EQ177" i="19"/>
  <c r="ER177" i="19"/>
  <c r="ES177" i="19"/>
  <c r="ET177" i="19"/>
  <c r="EU177" i="19"/>
  <c r="EV177" i="19"/>
  <c r="EW177" i="19"/>
  <c r="EX177" i="19"/>
  <c r="EY177" i="19"/>
  <c r="EZ177" i="19"/>
  <c r="FA177" i="19"/>
  <c r="FB177" i="19"/>
  <c r="FC177" i="19"/>
  <c r="FD177" i="19"/>
  <c r="FE177" i="19"/>
  <c r="FF177" i="19"/>
  <c r="FG177" i="19"/>
  <c r="FH177" i="19"/>
  <c r="FI177" i="19"/>
  <c r="FJ177" i="19"/>
  <c r="FK177" i="19"/>
  <c r="FL177" i="19"/>
  <c r="FM177" i="19"/>
  <c r="FN177" i="19"/>
  <c r="FO177" i="19"/>
  <c r="FP177" i="19"/>
  <c r="FQ177" i="19"/>
  <c r="FR177" i="19"/>
  <c r="FS177" i="19"/>
  <c r="FT177" i="19"/>
  <c r="FU177" i="19"/>
  <c r="FV177" i="19"/>
  <c r="FW177" i="19"/>
  <c r="FX177" i="19"/>
  <c r="FY177" i="19"/>
  <c r="FZ177" i="19"/>
  <c r="GA177" i="19"/>
  <c r="GB177" i="19"/>
  <c r="GC177" i="19"/>
  <c r="GD177" i="19"/>
  <c r="GE177" i="19"/>
  <c r="GF177" i="19"/>
  <c r="GG177" i="19"/>
  <c r="GH177" i="19"/>
  <c r="GI177" i="19"/>
  <c r="GJ177" i="19"/>
  <c r="GK177" i="19"/>
  <c r="GL177" i="19"/>
  <c r="GM177" i="19"/>
  <c r="GN177" i="19"/>
  <c r="GO177" i="19"/>
  <c r="GP177" i="19"/>
  <c r="GQ177" i="19"/>
  <c r="GR177" i="19"/>
  <c r="GS177" i="19"/>
  <c r="GT177" i="19"/>
  <c r="GU177" i="19"/>
  <c r="GV177" i="19"/>
  <c r="GW177" i="19"/>
  <c r="GX177" i="19"/>
  <c r="GY177" i="19"/>
  <c r="GZ177" i="19"/>
  <c r="HA177" i="19"/>
  <c r="HB177" i="19"/>
  <c r="HC177" i="19"/>
  <c r="HD177" i="19"/>
  <c r="HE177" i="19"/>
  <c r="HF177" i="19"/>
  <c r="HG177" i="19"/>
  <c r="HH177" i="19"/>
  <c r="HI177" i="19"/>
  <c r="HJ177" i="19"/>
  <c r="HK177" i="19"/>
  <c r="HL177" i="19"/>
  <c r="HM177" i="19"/>
  <c r="HN177" i="19"/>
  <c r="HO177" i="19"/>
  <c r="HP177" i="19"/>
  <c r="HQ177" i="19"/>
  <c r="HR177" i="19"/>
  <c r="HS177" i="19"/>
  <c r="HT177" i="19"/>
  <c r="HU177" i="19"/>
  <c r="HV177" i="19"/>
  <c r="HW177" i="19"/>
  <c r="HX177" i="19"/>
  <c r="HY177" i="19"/>
  <c r="HZ177" i="19"/>
  <c r="IA177" i="19"/>
  <c r="IB177" i="19"/>
  <c r="IC177" i="19"/>
  <c r="ID177" i="19"/>
  <c r="IE177" i="19"/>
  <c r="IF177" i="19"/>
  <c r="IG177" i="19"/>
  <c r="IH177" i="19"/>
  <c r="II177" i="19"/>
  <c r="IJ177" i="19"/>
  <c r="IK177" i="19"/>
  <c r="IL177" i="19"/>
  <c r="IM177" i="19"/>
  <c r="IN177" i="19"/>
  <c r="IO177" i="19"/>
  <c r="IP177" i="19"/>
  <c r="IQ177" i="19"/>
  <c r="IR177" i="19"/>
  <c r="IS177" i="19"/>
  <c r="IT177" i="19"/>
  <c r="IU177" i="19"/>
  <c r="IV177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T178" i="19"/>
  <c r="U178" i="19"/>
  <c r="V178" i="19"/>
  <c r="W178" i="19"/>
  <c r="X178" i="19"/>
  <c r="Y178" i="19"/>
  <c r="Z178" i="19"/>
  <c r="AA178" i="19"/>
  <c r="AB178" i="19"/>
  <c r="AC178" i="19"/>
  <c r="AD178" i="19"/>
  <c r="AE178" i="19"/>
  <c r="AF178" i="19"/>
  <c r="AG178" i="19"/>
  <c r="AH178" i="19"/>
  <c r="AI178" i="19"/>
  <c r="AJ178" i="19"/>
  <c r="AK178" i="19"/>
  <c r="AL178" i="19"/>
  <c r="AM178" i="19"/>
  <c r="AN178" i="19"/>
  <c r="AO178" i="19"/>
  <c r="AP178" i="19"/>
  <c r="AQ178" i="19"/>
  <c r="AR178" i="19"/>
  <c r="AS178" i="19"/>
  <c r="AT178" i="19"/>
  <c r="AU178" i="19"/>
  <c r="AV178" i="19"/>
  <c r="AW178" i="19"/>
  <c r="AX178" i="19"/>
  <c r="AY178" i="19"/>
  <c r="AZ178" i="19"/>
  <c r="BA178" i="19"/>
  <c r="BB178" i="19"/>
  <c r="BC178" i="19"/>
  <c r="BD178" i="19"/>
  <c r="BE178" i="19"/>
  <c r="BF178" i="19"/>
  <c r="BG178" i="19"/>
  <c r="BH178" i="19"/>
  <c r="BI178" i="19"/>
  <c r="BJ178" i="19"/>
  <c r="BK178" i="19"/>
  <c r="BL178" i="19"/>
  <c r="BM178" i="19"/>
  <c r="BN178" i="19"/>
  <c r="BO178" i="19"/>
  <c r="BP178" i="19"/>
  <c r="BQ178" i="19"/>
  <c r="BR178" i="19"/>
  <c r="BS178" i="19"/>
  <c r="BT178" i="19"/>
  <c r="BU178" i="19"/>
  <c r="BV178" i="19"/>
  <c r="BW178" i="19"/>
  <c r="BX178" i="19"/>
  <c r="BY178" i="19"/>
  <c r="BZ178" i="19"/>
  <c r="CA178" i="19"/>
  <c r="CB178" i="19"/>
  <c r="CC178" i="19"/>
  <c r="CD178" i="19"/>
  <c r="CE178" i="19"/>
  <c r="CF178" i="19"/>
  <c r="CG178" i="19"/>
  <c r="CH178" i="19"/>
  <c r="CI178" i="19"/>
  <c r="CJ178" i="19"/>
  <c r="CK178" i="19"/>
  <c r="CL178" i="19"/>
  <c r="CM178" i="19"/>
  <c r="CN178" i="19"/>
  <c r="CO178" i="19"/>
  <c r="CP178" i="19"/>
  <c r="CQ178" i="19"/>
  <c r="CR178" i="19"/>
  <c r="CS178" i="19"/>
  <c r="CT178" i="19"/>
  <c r="CU178" i="19"/>
  <c r="CV178" i="19"/>
  <c r="CW178" i="19"/>
  <c r="CX178" i="19"/>
  <c r="CY178" i="19"/>
  <c r="CZ178" i="19"/>
  <c r="DA178" i="19"/>
  <c r="DB178" i="19"/>
  <c r="DC178" i="19"/>
  <c r="DD178" i="19"/>
  <c r="DE178" i="19"/>
  <c r="DF178" i="19"/>
  <c r="DG178" i="19"/>
  <c r="DH178" i="19"/>
  <c r="DI178" i="19"/>
  <c r="DJ178" i="19"/>
  <c r="DK178" i="19"/>
  <c r="DL178" i="19"/>
  <c r="DM178" i="19"/>
  <c r="DN178" i="19"/>
  <c r="DO178" i="19"/>
  <c r="DP178" i="19"/>
  <c r="DQ178" i="19"/>
  <c r="DR178" i="19"/>
  <c r="DS178" i="19"/>
  <c r="DT178" i="19"/>
  <c r="DU178" i="19"/>
  <c r="DV178" i="19"/>
  <c r="DW178" i="19"/>
  <c r="DX178" i="19"/>
  <c r="DY178" i="19"/>
  <c r="DZ178" i="19"/>
  <c r="EA178" i="19"/>
  <c r="EB178" i="19"/>
  <c r="EC178" i="19"/>
  <c r="ED178" i="19"/>
  <c r="EE178" i="19"/>
  <c r="EF178" i="19"/>
  <c r="EG178" i="19"/>
  <c r="EH178" i="19"/>
  <c r="EI178" i="19"/>
  <c r="EJ178" i="19"/>
  <c r="EK178" i="19"/>
  <c r="EL178" i="19"/>
  <c r="EM178" i="19"/>
  <c r="EN178" i="19"/>
  <c r="EO178" i="19"/>
  <c r="EP178" i="19"/>
  <c r="EQ178" i="19"/>
  <c r="ER178" i="19"/>
  <c r="ES178" i="19"/>
  <c r="ET178" i="19"/>
  <c r="EU178" i="19"/>
  <c r="EV178" i="19"/>
  <c r="EW178" i="19"/>
  <c r="EX178" i="19"/>
  <c r="EY178" i="19"/>
  <c r="EZ178" i="19"/>
  <c r="FA178" i="19"/>
  <c r="FB178" i="19"/>
  <c r="FC178" i="19"/>
  <c r="FD178" i="19"/>
  <c r="FE178" i="19"/>
  <c r="FF178" i="19"/>
  <c r="FG178" i="19"/>
  <c r="FH178" i="19"/>
  <c r="FI178" i="19"/>
  <c r="FJ178" i="19"/>
  <c r="FK178" i="19"/>
  <c r="FL178" i="19"/>
  <c r="FM178" i="19"/>
  <c r="FN178" i="19"/>
  <c r="FO178" i="19"/>
  <c r="FP178" i="19"/>
  <c r="FQ178" i="19"/>
  <c r="FR178" i="19"/>
  <c r="FS178" i="19"/>
  <c r="FT178" i="19"/>
  <c r="FU178" i="19"/>
  <c r="FV178" i="19"/>
  <c r="FW178" i="19"/>
  <c r="FX178" i="19"/>
  <c r="FY178" i="19"/>
  <c r="FZ178" i="19"/>
  <c r="GA178" i="19"/>
  <c r="GB178" i="19"/>
  <c r="GC178" i="19"/>
  <c r="GD178" i="19"/>
  <c r="GE178" i="19"/>
  <c r="GF178" i="19"/>
  <c r="GG178" i="19"/>
  <c r="GH178" i="19"/>
  <c r="GI178" i="19"/>
  <c r="GJ178" i="19"/>
  <c r="GK178" i="19"/>
  <c r="GL178" i="19"/>
  <c r="GM178" i="19"/>
  <c r="GN178" i="19"/>
  <c r="GO178" i="19"/>
  <c r="GP178" i="19"/>
  <c r="GQ178" i="19"/>
  <c r="GR178" i="19"/>
  <c r="GS178" i="19"/>
  <c r="GT178" i="19"/>
  <c r="GU178" i="19"/>
  <c r="GV178" i="19"/>
  <c r="GW178" i="19"/>
  <c r="GX178" i="19"/>
  <c r="GY178" i="19"/>
  <c r="GZ178" i="19"/>
  <c r="HA178" i="19"/>
  <c r="HB178" i="19"/>
  <c r="HC178" i="19"/>
  <c r="HD178" i="19"/>
  <c r="HE178" i="19"/>
  <c r="HF178" i="19"/>
  <c r="HG178" i="19"/>
  <c r="HH178" i="19"/>
  <c r="HI178" i="19"/>
  <c r="HJ178" i="19"/>
  <c r="HK178" i="19"/>
  <c r="HL178" i="19"/>
  <c r="HM178" i="19"/>
  <c r="HN178" i="19"/>
  <c r="HO178" i="19"/>
  <c r="HP178" i="19"/>
  <c r="HQ178" i="19"/>
  <c r="HR178" i="19"/>
  <c r="HS178" i="19"/>
  <c r="HT178" i="19"/>
  <c r="HU178" i="19"/>
  <c r="HV178" i="19"/>
  <c r="HW178" i="19"/>
  <c r="HX178" i="19"/>
  <c r="HY178" i="19"/>
  <c r="HZ178" i="19"/>
  <c r="IA178" i="19"/>
  <c r="IB178" i="19"/>
  <c r="IC178" i="19"/>
  <c r="ID178" i="19"/>
  <c r="IE178" i="19"/>
  <c r="IF178" i="19"/>
  <c r="IG178" i="19"/>
  <c r="IH178" i="19"/>
  <c r="II178" i="19"/>
  <c r="IJ178" i="19"/>
  <c r="IK178" i="19"/>
  <c r="IL178" i="19"/>
  <c r="IM178" i="19"/>
  <c r="IN178" i="19"/>
  <c r="IO178" i="19"/>
  <c r="IP178" i="19"/>
  <c r="IQ178" i="19"/>
  <c r="IR178" i="19"/>
  <c r="IS178" i="19"/>
  <c r="IT178" i="19"/>
  <c r="IU178" i="19"/>
  <c r="IV178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T179" i="19"/>
  <c r="U179" i="19"/>
  <c r="V179" i="19"/>
  <c r="W179" i="19"/>
  <c r="X179" i="19"/>
  <c r="Y179" i="19"/>
  <c r="Z179" i="19"/>
  <c r="AA179" i="19"/>
  <c r="AB179" i="19"/>
  <c r="AC179" i="19"/>
  <c r="AD179" i="19"/>
  <c r="AE179" i="19"/>
  <c r="AF179" i="19"/>
  <c r="AG179" i="19"/>
  <c r="AH179" i="19"/>
  <c r="AI179" i="19"/>
  <c r="AJ179" i="19"/>
  <c r="AK179" i="19"/>
  <c r="AL179" i="19"/>
  <c r="AM179" i="19"/>
  <c r="AN179" i="19"/>
  <c r="AO179" i="19"/>
  <c r="AP179" i="19"/>
  <c r="AQ179" i="19"/>
  <c r="AR179" i="19"/>
  <c r="AS179" i="19"/>
  <c r="AT179" i="19"/>
  <c r="AU179" i="19"/>
  <c r="AV179" i="19"/>
  <c r="AW179" i="19"/>
  <c r="AX179" i="19"/>
  <c r="AY179" i="19"/>
  <c r="AZ179" i="19"/>
  <c r="BA179" i="19"/>
  <c r="BB179" i="19"/>
  <c r="BC179" i="19"/>
  <c r="BD179" i="19"/>
  <c r="BE179" i="19"/>
  <c r="BF179" i="19"/>
  <c r="BG179" i="19"/>
  <c r="BH179" i="19"/>
  <c r="BI179" i="19"/>
  <c r="BJ179" i="19"/>
  <c r="BK179" i="19"/>
  <c r="BL179" i="19"/>
  <c r="BM179" i="19"/>
  <c r="BN179" i="19"/>
  <c r="BO179" i="19"/>
  <c r="BP179" i="19"/>
  <c r="BQ179" i="19"/>
  <c r="BR179" i="19"/>
  <c r="BS179" i="19"/>
  <c r="BT179" i="19"/>
  <c r="BU179" i="19"/>
  <c r="BV179" i="19"/>
  <c r="BW179" i="19"/>
  <c r="BX179" i="19"/>
  <c r="BY179" i="19"/>
  <c r="BZ179" i="19"/>
  <c r="CA179" i="19"/>
  <c r="CB179" i="19"/>
  <c r="CC179" i="19"/>
  <c r="CD179" i="19"/>
  <c r="CE179" i="19"/>
  <c r="CF179" i="19"/>
  <c r="CG179" i="19"/>
  <c r="CH179" i="19"/>
  <c r="CI179" i="19"/>
  <c r="CJ179" i="19"/>
  <c r="CK179" i="19"/>
  <c r="CL179" i="19"/>
  <c r="CM179" i="19"/>
  <c r="CN179" i="19"/>
  <c r="CO179" i="19"/>
  <c r="CP179" i="19"/>
  <c r="CQ179" i="19"/>
  <c r="CR179" i="19"/>
  <c r="CS179" i="19"/>
  <c r="CT179" i="19"/>
  <c r="CU179" i="19"/>
  <c r="CV179" i="19"/>
  <c r="CW179" i="19"/>
  <c r="CX179" i="19"/>
  <c r="CY179" i="19"/>
  <c r="CZ179" i="19"/>
  <c r="DA179" i="19"/>
  <c r="DB179" i="19"/>
  <c r="DC179" i="19"/>
  <c r="DD179" i="19"/>
  <c r="DE179" i="19"/>
  <c r="DF179" i="19"/>
  <c r="DG179" i="19"/>
  <c r="DH179" i="19"/>
  <c r="DI179" i="19"/>
  <c r="DJ179" i="19"/>
  <c r="DK179" i="19"/>
  <c r="DL179" i="19"/>
  <c r="DM179" i="19"/>
  <c r="DN179" i="19"/>
  <c r="DO179" i="19"/>
  <c r="DP179" i="19"/>
  <c r="DQ179" i="19"/>
  <c r="DR179" i="19"/>
  <c r="DS179" i="19"/>
  <c r="DT179" i="19"/>
  <c r="DU179" i="19"/>
  <c r="DV179" i="19"/>
  <c r="DW179" i="19"/>
  <c r="DX179" i="19"/>
  <c r="DY179" i="19"/>
  <c r="DZ179" i="19"/>
  <c r="EA179" i="19"/>
  <c r="EB179" i="19"/>
  <c r="EC179" i="19"/>
  <c r="ED179" i="19"/>
  <c r="EE179" i="19"/>
  <c r="EF179" i="19"/>
  <c r="EG179" i="19"/>
  <c r="EH179" i="19"/>
  <c r="EI179" i="19"/>
  <c r="EJ179" i="19"/>
  <c r="EK179" i="19"/>
  <c r="EL179" i="19"/>
  <c r="EM179" i="19"/>
  <c r="EN179" i="19"/>
  <c r="EO179" i="19"/>
  <c r="EP179" i="19"/>
  <c r="EQ179" i="19"/>
  <c r="ER179" i="19"/>
  <c r="ES179" i="19"/>
  <c r="ET179" i="19"/>
  <c r="EU179" i="19"/>
  <c r="EV179" i="19"/>
  <c r="EW179" i="19"/>
  <c r="EX179" i="19"/>
  <c r="EY179" i="19"/>
  <c r="EZ179" i="19"/>
  <c r="FA179" i="19"/>
  <c r="FB179" i="19"/>
  <c r="FC179" i="19"/>
  <c r="FD179" i="19"/>
  <c r="FE179" i="19"/>
  <c r="FF179" i="19"/>
  <c r="FG179" i="19"/>
  <c r="FH179" i="19"/>
  <c r="FI179" i="19"/>
  <c r="FJ179" i="19"/>
  <c r="FK179" i="19"/>
  <c r="FL179" i="19"/>
  <c r="FM179" i="19"/>
  <c r="FN179" i="19"/>
  <c r="FO179" i="19"/>
  <c r="FP179" i="19"/>
  <c r="FQ179" i="19"/>
  <c r="FR179" i="19"/>
  <c r="FS179" i="19"/>
  <c r="FT179" i="19"/>
  <c r="FU179" i="19"/>
  <c r="FV179" i="19"/>
  <c r="FW179" i="19"/>
  <c r="FX179" i="19"/>
  <c r="FY179" i="19"/>
  <c r="FZ179" i="19"/>
  <c r="GA179" i="19"/>
  <c r="GB179" i="19"/>
  <c r="GC179" i="19"/>
  <c r="GD179" i="19"/>
  <c r="GE179" i="19"/>
  <c r="GF179" i="19"/>
  <c r="GG179" i="19"/>
  <c r="GH179" i="19"/>
  <c r="GI179" i="19"/>
  <c r="GJ179" i="19"/>
  <c r="GK179" i="19"/>
  <c r="GL179" i="19"/>
  <c r="GM179" i="19"/>
  <c r="GN179" i="19"/>
  <c r="GO179" i="19"/>
  <c r="GP179" i="19"/>
  <c r="GQ179" i="19"/>
  <c r="GR179" i="19"/>
  <c r="GS179" i="19"/>
  <c r="GT179" i="19"/>
  <c r="GU179" i="19"/>
  <c r="GV179" i="19"/>
  <c r="GW179" i="19"/>
  <c r="GX179" i="19"/>
  <c r="GY179" i="19"/>
  <c r="GZ179" i="19"/>
  <c r="HA179" i="19"/>
  <c r="HB179" i="19"/>
  <c r="HC179" i="19"/>
  <c r="HD179" i="19"/>
  <c r="HE179" i="19"/>
  <c r="HF179" i="19"/>
  <c r="HG179" i="19"/>
  <c r="HH179" i="19"/>
  <c r="HI179" i="19"/>
  <c r="HJ179" i="19"/>
  <c r="HK179" i="19"/>
  <c r="HL179" i="19"/>
  <c r="HM179" i="19"/>
  <c r="HN179" i="19"/>
  <c r="HO179" i="19"/>
  <c r="HP179" i="19"/>
  <c r="HQ179" i="19"/>
  <c r="HR179" i="19"/>
  <c r="HS179" i="19"/>
  <c r="HT179" i="19"/>
  <c r="HU179" i="19"/>
  <c r="HV179" i="19"/>
  <c r="HW179" i="19"/>
  <c r="HX179" i="19"/>
  <c r="HY179" i="19"/>
  <c r="HZ179" i="19"/>
  <c r="IA179" i="19"/>
  <c r="IB179" i="19"/>
  <c r="IC179" i="19"/>
  <c r="ID179" i="19"/>
  <c r="IE179" i="19"/>
  <c r="IF179" i="19"/>
  <c r="IG179" i="19"/>
  <c r="IH179" i="19"/>
  <c r="II179" i="19"/>
  <c r="IJ179" i="19"/>
  <c r="IK179" i="19"/>
  <c r="IL179" i="19"/>
  <c r="IM179" i="19"/>
  <c r="IN179" i="19"/>
  <c r="IO179" i="19"/>
  <c r="IP179" i="19"/>
  <c r="IQ179" i="19"/>
  <c r="IR179" i="19"/>
  <c r="IS179" i="19"/>
  <c r="IT179" i="19"/>
  <c r="IU179" i="19"/>
  <c r="IV179" i="19"/>
  <c r="F180" i="19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T180" i="19"/>
  <c r="U180" i="19"/>
  <c r="V180" i="19"/>
  <c r="W180" i="19"/>
  <c r="X180" i="19"/>
  <c r="Y180" i="19"/>
  <c r="Z180" i="19"/>
  <c r="AA180" i="19"/>
  <c r="AB180" i="19"/>
  <c r="AC180" i="19"/>
  <c r="AD180" i="19"/>
  <c r="AE180" i="19"/>
  <c r="AF180" i="19"/>
  <c r="AG180" i="19"/>
  <c r="AH180" i="19"/>
  <c r="AI180" i="19"/>
  <c r="AJ180" i="19"/>
  <c r="AK180" i="19"/>
  <c r="AL180" i="19"/>
  <c r="AM180" i="19"/>
  <c r="AN180" i="19"/>
  <c r="AO180" i="19"/>
  <c r="AP180" i="19"/>
  <c r="AQ180" i="19"/>
  <c r="AR180" i="19"/>
  <c r="AS180" i="19"/>
  <c r="AT180" i="19"/>
  <c r="AU180" i="19"/>
  <c r="AV180" i="19"/>
  <c r="AW180" i="19"/>
  <c r="AX180" i="19"/>
  <c r="AY180" i="19"/>
  <c r="AZ180" i="19"/>
  <c r="BA180" i="19"/>
  <c r="BB180" i="19"/>
  <c r="BC180" i="19"/>
  <c r="BD180" i="19"/>
  <c r="BE180" i="19"/>
  <c r="BF180" i="19"/>
  <c r="BG180" i="19"/>
  <c r="BH180" i="19"/>
  <c r="BI180" i="19"/>
  <c r="BJ180" i="19"/>
  <c r="BK180" i="19"/>
  <c r="BL180" i="19"/>
  <c r="BM180" i="19"/>
  <c r="BN180" i="19"/>
  <c r="BO180" i="19"/>
  <c r="BP180" i="19"/>
  <c r="BQ180" i="19"/>
  <c r="BR180" i="19"/>
  <c r="BS180" i="19"/>
  <c r="BT180" i="19"/>
  <c r="BU180" i="19"/>
  <c r="BV180" i="19"/>
  <c r="BW180" i="19"/>
  <c r="BX180" i="19"/>
  <c r="BY180" i="19"/>
  <c r="BZ180" i="19"/>
  <c r="CA180" i="19"/>
  <c r="CB180" i="19"/>
  <c r="CC180" i="19"/>
  <c r="CD180" i="19"/>
  <c r="CE180" i="19"/>
  <c r="CF180" i="19"/>
  <c r="CG180" i="19"/>
  <c r="CH180" i="19"/>
  <c r="CI180" i="19"/>
  <c r="CJ180" i="19"/>
  <c r="CK180" i="19"/>
  <c r="CL180" i="19"/>
  <c r="CM180" i="19"/>
  <c r="CN180" i="19"/>
  <c r="CO180" i="19"/>
  <c r="CP180" i="19"/>
  <c r="CQ180" i="19"/>
  <c r="CR180" i="19"/>
  <c r="CS180" i="19"/>
  <c r="CT180" i="19"/>
  <c r="CU180" i="19"/>
  <c r="CV180" i="19"/>
  <c r="CW180" i="19"/>
  <c r="CX180" i="19"/>
  <c r="CY180" i="19"/>
  <c r="CZ180" i="19"/>
  <c r="DA180" i="19"/>
  <c r="DB180" i="19"/>
  <c r="DC180" i="19"/>
  <c r="DD180" i="19"/>
  <c r="DE180" i="19"/>
  <c r="DF180" i="19"/>
  <c r="DG180" i="19"/>
  <c r="DH180" i="19"/>
  <c r="DI180" i="19"/>
  <c r="DJ180" i="19"/>
  <c r="DK180" i="19"/>
  <c r="DL180" i="19"/>
  <c r="DM180" i="19"/>
  <c r="DN180" i="19"/>
  <c r="DO180" i="19"/>
  <c r="DP180" i="19"/>
  <c r="DQ180" i="19"/>
  <c r="DR180" i="19"/>
  <c r="DS180" i="19"/>
  <c r="DT180" i="19"/>
  <c r="DU180" i="19"/>
  <c r="DV180" i="19"/>
  <c r="DW180" i="19"/>
  <c r="DX180" i="19"/>
  <c r="DY180" i="19"/>
  <c r="DZ180" i="19"/>
  <c r="EA180" i="19"/>
  <c r="EB180" i="19"/>
  <c r="EC180" i="19"/>
  <c r="ED180" i="19"/>
  <c r="EE180" i="19"/>
  <c r="EF180" i="19"/>
  <c r="EG180" i="19"/>
  <c r="EH180" i="19"/>
  <c r="EI180" i="19"/>
  <c r="EJ180" i="19"/>
  <c r="EK180" i="19"/>
  <c r="EL180" i="19"/>
  <c r="EM180" i="19"/>
  <c r="EN180" i="19"/>
  <c r="EO180" i="19"/>
  <c r="EP180" i="19"/>
  <c r="EQ180" i="19"/>
  <c r="ER180" i="19"/>
  <c r="ES180" i="19"/>
  <c r="ET180" i="19"/>
  <c r="EU180" i="19"/>
  <c r="EV180" i="19"/>
  <c r="EW180" i="19"/>
  <c r="EX180" i="19"/>
  <c r="EY180" i="19"/>
  <c r="EZ180" i="19"/>
  <c r="FA180" i="19"/>
  <c r="FB180" i="19"/>
  <c r="FC180" i="19"/>
  <c r="FD180" i="19"/>
  <c r="FE180" i="19"/>
  <c r="FF180" i="19"/>
  <c r="FG180" i="19"/>
  <c r="FH180" i="19"/>
  <c r="FI180" i="19"/>
  <c r="FJ180" i="19"/>
  <c r="FK180" i="19"/>
  <c r="FL180" i="19"/>
  <c r="FM180" i="19"/>
  <c r="FN180" i="19"/>
  <c r="FO180" i="19"/>
  <c r="FP180" i="19"/>
  <c r="FQ180" i="19"/>
  <c r="FR180" i="19"/>
  <c r="FS180" i="19"/>
  <c r="FT180" i="19"/>
  <c r="FU180" i="19"/>
  <c r="FV180" i="19"/>
  <c r="FW180" i="19"/>
  <c r="FX180" i="19"/>
  <c r="FY180" i="19"/>
  <c r="FZ180" i="19"/>
  <c r="GA180" i="19"/>
  <c r="GB180" i="19"/>
  <c r="GC180" i="19"/>
  <c r="GD180" i="19"/>
  <c r="GE180" i="19"/>
  <c r="GF180" i="19"/>
  <c r="GG180" i="19"/>
  <c r="GH180" i="19"/>
  <c r="GI180" i="19"/>
  <c r="GJ180" i="19"/>
  <c r="GK180" i="19"/>
  <c r="GL180" i="19"/>
  <c r="GM180" i="19"/>
  <c r="GN180" i="19"/>
  <c r="GO180" i="19"/>
  <c r="GP180" i="19"/>
  <c r="GQ180" i="19"/>
  <c r="GR180" i="19"/>
  <c r="GS180" i="19"/>
  <c r="GT180" i="19"/>
  <c r="GU180" i="19"/>
  <c r="GV180" i="19"/>
  <c r="GW180" i="19"/>
  <c r="GX180" i="19"/>
  <c r="GY180" i="19"/>
  <c r="GZ180" i="19"/>
  <c r="HA180" i="19"/>
  <c r="HB180" i="19"/>
  <c r="HC180" i="19"/>
  <c r="HD180" i="19"/>
  <c r="HE180" i="19"/>
  <c r="HF180" i="19"/>
  <c r="HG180" i="19"/>
  <c r="HH180" i="19"/>
  <c r="HI180" i="19"/>
  <c r="HJ180" i="19"/>
  <c r="HK180" i="19"/>
  <c r="HL180" i="19"/>
  <c r="HM180" i="19"/>
  <c r="HN180" i="19"/>
  <c r="HO180" i="19"/>
  <c r="HP180" i="19"/>
  <c r="HQ180" i="19"/>
  <c r="HR180" i="19"/>
  <c r="HS180" i="19"/>
  <c r="HT180" i="19"/>
  <c r="HU180" i="19"/>
  <c r="HV180" i="19"/>
  <c r="HW180" i="19"/>
  <c r="HX180" i="19"/>
  <c r="HY180" i="19"/>
  <c r="HZ180" i="19"/>
  <c r="IA180" i="19"/>
  <c r="IB180" i="19"/>
  <c r="IC180" i="19"/>
  <c r="ID180" i="19"/>
  <c r="IE180" i="19"/>
  <c r="IF180" i="19"/>
  <c r="IG180" i="19"/>
  <c r="IH180" i="19"/>
  <c r="II180" i="19"/>
  <c r="IJ180" i="19"/>
  <c r="IK180" i="19"/>
  <c r="IL180" i="19"/>
  <c r="IM180" i="19"/>
  <c r="IN180" i="19"/>
  <c r="IO180" i="19"/>
  <c r="IP180" i="19"/>
  <c r="IQ180" i="19"/>
  <c r="IR180" i="19"/>
  <c r="IS180" i="19"/>
  <c r="IT180" i="19"/>
  <c r="IU180" i="19"/>
  <c r="IV180" i="19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T181" i="19"/>
  <c r="U181" i="19"/>
  <c r="V181" i="19"/>
  <c r="W181" i="19"/>
  <c r="X181" i="19"/>
  <c r="Y181" i="19"/>
  <c r="Z181" i="19"/>
  <c r="AA181" i="19"/>
  <c r="AB181" i="19"/>
  <c r="AC181" i="19"/>
  <c r="AD181" i="19"/>
  <c r="AE181" i="19"/>
  <c r="AF181" i="19"/>
  <c r="AG181" i="19"/>
  <c r="AH181" i="19"/>
  <c r="AI181" i="19"/>
  <c r="AJ181" i="19"/>
  <c r="AK181" i="19"/>
  <c r="AL181" i="19"/>
  <c r="AM181" i="19"/>
  <c r="AN181" i="19"/>
  <c r="AO181" i="19"/>
  <c r="AP181" i="19"/>
  <c r="AQ181" i="19"/>
  <c r="AR181" i="19"/>
  <c r="AS181" i="19"/>
  <c r="AT181" i="19"/>
  <c r="AU181" i="19"/>
  <c r="AV181" i="19"/>
  <c r="AW181" i="19"/>
  <c r="AX181" i="19"/>
  <c r="AY181" i="19"/>
  <c r="AZ181" i="19"/>
  <c r="BA181" i="19"/>
  <c r="BB181" i="19"/>
  <c r="BC181" i="19"/>
  <c r="BD181" i="19"/>
  <c r="BE181" i="19"/>
  <c r="BF181" i="19"/>
  <c r="BG181" i="19"/>
  <c r="BH181" i="19"/>
  <c r="BI181" i="19"/>
  <c r="BJ181" i="19"/>
  <c r="BK181" i="19"/>
  <c r="BL181" i="19"/>
  <c r="BM181" i="19"/>
  <c r="BN181" i="19"/>
  <c r="BO181" i="19"/>
  <c r="BP181" i="19"/>
  <c r="BQ181" i="19"/>
  <c r="BR181" i="19"/>
  <c r="BS181" i="19"/>
  <c r="BT181" i="19"/>
  <c r="BU181" i="19"/>
  <c r="BV181" i="19"/>
  <c r="BW181" i="19"/>
  <c r="BX181" i="19"/>
  <c r="BY181" i="19"/>
  <c r="BZ181" i="19"/>
  <c r="CA181" i="19"/>
  <c r="CB181" i="19"/>
  <c r="CC181" i="19"/>
  <c r="CD181" i="19"/>
  <c r="CE181" i="19"/>
  <c r="CF181" i="19"/>
  <c r="CG181" i="19"/>
  <c r="CH181" i="19"/>
  <c r="CI181" i="19"/>
  <c r="CJ181" i="19"/>
  <c r="CK181" i="19"/>
  <c r="CL181" i="19"/>
  <c r="CM181" i="19"/>
  <c r="CN181" i="19"/>
  <c r="CO181" i="19"/>
  <c r="CP181" i="19"/>
  <c r="CQ181" i="19"/>
  <c r="CR181" i="19"/>
  <c r="CS181" i="19"/>
  <c r="CT181" i="19"/>
  <c r="CU181" i="19"/>
  <c r="CV181" i="19"/>
  <c r="CW181" i="19"/>
  <c r="CX181" i="19"/>
  <c r="CY181" i="19"/>
  <c r="CZ181" i="19"/>
  <c r="DA181" i="19"/>
  <c r="DB181" i="19"/>
  <c r="DC181" i="19"/>
  <c r="DD181" i="19"/>
  <c r="DE181" i="19"/>
  <c r="DF181" i="19"/>
  <c r="DG181" i="19"/>
  <c r="DH181" i="19"/>
  <c r="DI181" i="19"/>
  <c r="DJ181" i="19"/>
  <c r="DK181" i="19"/>
  <c r="DL181" i="19"/>
  <c r="DM181" i="19"/>
  <c r="DN181" i="19"/>
  <c r="DO181" i="19"/>
  <c r="DP181" i="19"/>
  <c r="DQ181" i="19"/>
  <c r="DR181" i="19"/>
  <c r="DS181" i="19"/>
  <c r="DT181" i="19"/>
  <c r="DU181" i="19"/>
  <c r="DV181" i="19"/>
  <c r="DW181" i="19"/>
  <c r="DX181" i="19"/>
  <c r="DY181" i="19"/>
  <c r="DZ181" i="19"/>
  <c r="EA181" i="19"/>
  <c r="EB181" i="19"/>
  <c r="EC181" i="19"/>
  <c r="ED181" i="19"/>
  <c r="EE181" i="19"/>
  <c r="EF181" i="19"/>
  <c r="EG181" i="19"/>
  <c r="EH181" i="19"/>
  <c r="EI181" i="19"/>
  <c r="EJ181" i="19"/>
  <c r="EK181" i="19"/>
  <c r="EL181" i="19"/>
  <c r="EM181" i="19"/>
  <c r="EN181" i="19"/>
  <c r="EO181" i="19"/>
  <c r="EP181" i="19"/>
  <c r="EQ181" i="19"/>
  <c r="ER181" i="19"/>
  <c r="ES181" i="19"/>
  <c r="ET181" i="19"/>
  <c r="EU181" i="19"/>
  <c r="EV181" i="19"/>
  <c r="EW181" i="19"/>
  <c r="EX181" i="19"/>
  <c r="EY181" i="19"/>
  <c r="EZ181" i="19"/>
  <c r="FA181" i="19"/>
  <c r="FB181" i="19"/>
  <c r="FC181" i="19"/>
  <c r="FD181" i="19"/>
  <c r="FE181" i="19"/>
  <c r="FF181" i="19"/>
  <c r="FG181" i="19"/>
  <c r="FH181" i="19"/>
  <c r="FI181" i="19"/>
  <c r="FJ181" i="19"/>
  <c r="FK181" i="19"/>
  <c r="FL181" i="19"/>
  <c r="FM181" i="19"/>
  <c r="FN181" i="19"/>
  <c r="FO181" i="19"/>
  <c r="FP181" i="19"/>
  <c r="FQ181" i="19"/>
  <c r="FR181" i="19"/>
  <c r="FS181" i="19"/>
  <c r="FT181" i="19"/>
  <c r="FU181" i="19"/>
  <c r="FV181" i="19"/>
  <c r="FW181" i="19"/>
  <c r="FX181" i="19"/>
  <c r="FY181" i="19"/>
  <c r="FZ181" i="19"/>
  <c r="GA181" i="19"/>
  <c r="GB181" i="19"/>
  <c r="GC181" i="19"/>
  <c r="GD181" i="19"/>
  <c r="GE181" i="19"/>
  <c r="GF181" i="19"/>
  <c r="GG181" i="19"/>
  <c r="GH181" i="19"/>
  <c r="GI181" i="19"/>
  <c r="GJ181" i="19"/>
  <c r="GK181" i="19"/>
  <c r="GL181" i="19"/>
  <c r="GM181" i="19"/>
  <c r="GN181" i="19"/>
  <c r="GO181" i="19"/>
  <c r="GP181" i="19"/>
  <c r="GQ181" i="19"/>
  <c r="GR181" i="19"/>
  <c r="GS181" i="19"/>
  <c r="GT181" i="19"/>
  <c r="GU181" i="19"/>
  <c r="GV181" i="19"/>
  <c r="GW181" i="19"/>
  <c r="GX181" i="19"/>
  <c r="GY181" i="19"/>
  <c r="GZ181" i="19"/>
  <c r="HA181" i="19"/>
  <c r="HB181" i="19"/>
  <c r="HC181" i="19"/>
  <c r="HD181" i="19"/>
  <c r="HE181" i="19"/>
  <c r="HF181" i="19"/>
  <c r="HG181" i="19"/>
  <c r="HH181" i="19"/>
  <c r="HI181" i="19"/>
  <c r="HJ181" i="19"/>
  <c r="HK181" i="19"/>
  <c r="HL181" i="19"/>
  <c r="HM181" i="19"/>
  <c r="HN181" i="19"/>
  <c r="HO181" i="19"/>
  <c r="HP181" i="19"/>
  <c r="HQ181" i="19"/>
  <c r="HR181" i="19"/>
  <c r="HS181" i="19"/>
  <c r="HT181" i="19"/>
  <c r="HU181" i="19"/>
  <c r="HV181" i="19"/>
  <c r="HW181" i="19"/>
  <c r="HX181" i="19"/>
  <c r="HY181" i="19"/>
  <c r="HZ181" i="19"/>
  <c r="IA181" i="19"/>
  <c r="IB181" i="19"/>
  <c r="IC181" i="19"/>
  <c r="ID181" i="19"/>
  <c r="IE181" i="19"/>
  <c r="IF181" i="19"/>
  <c r="IG181" i="19"/>
  <c r="IH181" i="19"/>
  <c r="II181" i="19"/>
  <c r="IJ181" i="19"/>
  <c r="IK181" i="19"/>
  <c r="IL181" i="19"/>
  <c r="IM181" i="19"/>
  <c r="IN181" i="19"/>
  <c r="IO181" i="19"/>
  <c r="IP181" i="19"/>
  <c r="IQ181" i="19"/>
  <c r="IR181" i="19"/>
  <c r="IS181" i="19"/>
  <c r="IT181" i="19"/>
  <c r="IU181" i="19"/>
  <c r="IV181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T182" i="19"/>
  <c r="U182" i="19"/>
  <c r="V182" i="19"/>
  <c r="W182" i="19"/>
  <c r="X182" i="19"/>
  <c r="Y182" i="19"/>
  <c r="Z182" i="19"/>
  <c r="AA182" i="19"/>
  <c r="AB182" i="19"/>
  <c r="AC182" i="19"/>
  <c r="AD182" i="19"/>
  <c r="AE182" i="19"/>
  <c r="AF182" i="19"/>
  <c r="AG182" i="19"/>
  <c r="AH182" i="19"/>
  <c r="AI182" i="19"/>
  <c r="AJ182" i="19"/>
  <c r="AK182" i="19"/>
  <c r="AL182" i="19"/>
  <c r="AM182" i="19"/>
  <c r="AN182" i="19"/>
  <c r="AO182" i="19"/>
  <c r="AP182" i="19"/>
  <c r="AQ182" i="19"/>
  <c r="AR182" i="19"/>
  <c r="AS182" i="19"/>
  <c r="AT182" i="19"/>
  <c r="AU182" i="19"/>
  <c r="AV182" i="19"/>
  <c r="AW182" i="19"/>
  <c r="AX182" i="19"/>
  <c r="AY182" i="19"/>
  <c r="AZ182" i="19"/>
  <c r="BA182" i="19"/>
  <c r="BB182" i="19"/>
  <c r="BC182" i="19"/>
  <c r="BD182" i="19"/>
  <c r="BE182" i="19"/>
  <c r="BF182" i="19"/>
  <c r="BG182" i="19"/>
  <c r="BH182" i="19"/>
  <c r="BI182" i="19"/>
  <c r="BJ182" i="19"/>
  <c r="BK182" i="19"/>
  <c r="BL182" i="19"/>
  <c r="BM182" i="19"/>
  <c r="BN182" i="19"/>
  <c r="BO182" i="19"/>
  <c r="BP182" i="19"/>
  <c r="BQ182" i="19"/>
  <c r="BR182" i="19"/>
  <c r="BS182" i="19"/>
  <c r="BT182" i="19"/>
  <c r="BU182" i="19"/>
  <c r="BV182" i="19"/>
  <c r="BW182" i="19"/>
  <c r="BX182" i="19"/>
  <c r="BY182" i="19"/>
  <c r="BZ182" i="19"/>
  <c r="CA182" i="19"/>
  <c r="CB182" i="19"/>
  <c r="CC182" i="19"/>
  <c r="CD182" i="19"/>
  <c r="CE182" i="19"/>
  <c r="CF182" i="19"/>
  <c r="CG182" i="19"/>
  <c r="CH182" i="19"/>
  <c r="CI182" i="19"/>
  <c r="CJ182" i="19"/>
  <c r="CK182" i="19"/>
  <c r="CL182" i="19"/>
  <c r="CM182" i="19"/>
  <c r="CN182" i="19"/>
  <c r="CO182" i="19"/>
  <c r="CP182" i="19"/>
  <c r="CQ182" i="19"/>
  <c r="CR182" i="19"/>
  <c r="CS182" i="19"/>
  <c r="CT182" i="19"/>
  <c r="CU182" i="19"/>
  <c r="CV182" i="19"/>
  <c r="CW182" i="19"/>
  <c r="CX182" i="19"/>
  <c r="CY182" i="19"/>
  <c r="CZ182" i="19"/>
  <c r="DA182" i="19"/>
  <c r="DB182" i="19"/>
  <c r="DC182" i="19"/>
  <c r="DD182" i="19"/>
  <c r="DE182" i="19"/>
  <c r="DF182" i="19"/>
  <c r="DG182" i="19"/>
  <c r="DH182" i="19"/>
  <c r="DI182" i="19"/>
  <c r="DJ182" i="19"/>
  <c r="DK182" i="19"/>
  <c r="DL182" i="19"/>
  <c r="DM182" i="19"/>
  <c r="DN182" i="19"/>
  <c r="DO182" i="19"/>
  <c r="DP182" i="19"/>
  <c r="DQ182" i="19"/>
  <c r="DR182" i="19"/>
  <c r="DS182" i="19"/>
  <c r="DT182" i="19"/>
  <c r="DU182" i="19"/>
  <c r="DV182" i="19"/>
  <c r="DW182" i="19"/>
  <c r="DX182" i="19"/>
  <c r="DY182" i="19"/>
  <c r="DZ182" i="19"/>
  <c r="EA182" i="19"/>
  <c r="EB182" i="19"/>
  <c r="EC182" i="19"/>
  <c r="ED182" i="19"/>
  <c r="EE182" i="19"/>
  <c r="EF182" i="19"/>
  <c r="EG182" i="19"/>
  <c r="EH182" i="19"/>
  <c r="EI182" i="19"/>
  <c r="EJ182" i="19"/>
  <c r="EK182" i="19"/>
  <c r="EL182" i="19"/>
  <c r="EM182" i="19"/>
  <c r="EN182" i="19"/>
  <c r="EO182" i="19"/>
  <c r="EP182" i="19"/>
  <c r="EQ182" i="19"/>
  <c r="ER182" i="19"/>
  <c r="ES182" i="19"/>
  <c r="ET182" i="19"/>
  <c r="EU182" i="19"/>
  <c r="EV182" i="19"/>
  <c r="EW182" i="19"/>
  <c r="EX182" i="19"/>
  <c r="EY182" i="19"/>
  <c r="EZ182" i="19"/>
  <c r="FA182" i="19"/>
  <c r="FB182" i="19"/>
  <c r="FC182" i="19"/>
  <c r="FD182" i="19"/>
  <c r="FE182" i="19"/>
  <c r="FF182" i="19"/>
  <c r="FG182" i="19"/>
  <c r="FH182" i="19"/>
  <c r="FI182" i="19"/>
  <c r="FJ182" i="19"/>
  <c r="FK182" i="19"/>
  <c r="FL182" i="19"/>
  <c r="FM182" i="19"/>
  <c r="FN182" i="19"/>
  <c r="FO182" i="19"/>
  <c r="FP182" i="19"/>
  <c r="FQ182" i="19"/>
  <c r="FR182" i="19"/>
  <c r="FS182" i="19"/>
  <c r="FT182" i="19"/>
  <c r="FU182" i="19"/>
  <c r="FV182" i="19"/>
  <c r="FW182" i="19"/>
  <c r="FX182" i="19"/>
  <c r="FY182" i="19"/>
  <c r="FZ182" i="19"/>
  <c r="GA182" i="19"/>
  <c r="GB182" i="19"/>
  <c r="GC182" i="19"/>
  <c r="GD182" i="19"/>
  <c r="GE182" i="19"/>
  <c r="GF182" i="19"/>
  <c r="GG182" i="19"/>
  <c r="GH182" i="19"/>
  <c r="GI182" i="19"/>
  <c r="GJ182" i="19"/>
  <c r="GK182" i="19"/>
  <c r="GL182" i="19"/>
  <c r="GM182" i="19"/>
  <c r="GN182" i="19"/>
  <c r="GO182" i="19"/>
  <c r="GP182" i="19"/>
  <c r="GQ182" i="19"/>
  <c r="GR182" i="19"/>
  <c r="GS182" i="19"/>
  <c r="GT182" i="19"/>
  <c r="GU182" i="19"/>
  <c r="GV182" i="19"/>
  <c r="GW182" i="19"/>
  <c r="GX182" i="19"/>
  <c r="GY182" i="19"/>
  <c r="GZ182" i="19"/>
  <c r="HA182" i="19"/>
  <c r="HB182" i="19"/>
  <c r="HC182" i="19"/>
  <c r="HD182" i="19"/>
  <c r="HE182" i="19"/>
  <c r="HF182" i="19"/>
  <c r="HG182" i="19"/>
  <c r="HH182" i="19"/>
  <c r="HI182" i="19"/>
  <c r="HJ182" i="19"/>
  <c r="HK182" i="19"/>
  <c r="HL182" i="19"/>
  <c r="HM182" i="19"/>
  <c r="HN182" i="19"/>
  <c r="HO182" i="19"/>
  <c r="HP182" i="19"/>
  <c r="HQ182" i="19"/>
  <c r="HR182" i="19"/>
  <c r="HS182" i="19"/>
  <c r="HT182" i="19"/>
  <c r="HU182" i="19"/>
  <c r="HV182" i="19"/>
  <c r="HW182" i="19"/>
  <c r="HX182" i="19"/>
  <c r="HY182" i="19"/>
  <c r="HZ182" i="19"/>
  <c r="IA182" i="19"/>
  <c r="IB182" i="19"/>
  <c r="IC182" i="19"/>
  <c r="ID182" i="19"/>
  <c r="IE182" i="19"/>
  <c r="IF182" i="19"/>
  <c r="IG182" i="19"/>
  <c r="IH182" i="19"/>
  <c r="II182" i="19"/>
  <c r="IJ182" i="19"/>
  <c r="IK182" i="19"/>
  <c r="IL182" i="19"/>
  <c r="IM182" i="19"/>
  <c r="IN182" i="19"/>
  <c r="IO182" i="19"/>
  <c r="IP182" i="19"/>
  <c r="IQ182" i="19"/>
  <c r="IR182" i="19"/>
  <c r="IS182" i="19"/>
  <c r="IT182" i="19"/>
  <c r="IU182" i="19"/>
  <c r="IV182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T183" i="19"/>
  <c r="U183" i="19"/>
  <c r="V183" i="19"/>
  <c r="W183" i="19"/>
  <c r="X183" i="19"/>
  <c r="Y183" i="19"/>
  <c r="Z183" i="19"/>
  <c r="AA183" i="19"/>
  <c r="AB183" i="19"/>
  <c r="AC183" i="19"/>
  <c r="AD183" i="19"/>
  <c r="AE183" i="19"/>
  <c r="AF183" i="19"/>
  <c r="AG183" i="19"/>
  <c r="AH183" i="19"/>
  <c r="AI183" i="19"/>
  <c r="AJ183" i="19"/>
  <c r="AK183" i="19"/>
  <c r="AL183" i="19"/>
  <c r="AM183" i="19"/>
  <c r="AN183" i="19"/>
  <c r="AO183" i="19"/>
  <c r="AP183" i="19"/>
  <c r="AQ183" i="19"/>
  <c r="AR183" i="19"/>
  <c r="AS183" i="19"/>
  <c r="AT183" i="19"/>
  <c r="AU183" i="19"/>
  <c r="AV183" i="19"/>
  <c r="AW183" i="19"/>
  <c r="AX183" i="19"/>
  <c r="AY183" i="19"/>
  <c r="AZ183" i="19"/>
  <c r="BA183" i="19"/>
  <c r="BB183" i="19"/>
  <c r="BC183" i="19"/>
  <c r="BD183" i="19"/>
  <c r="BE183" i="19"/>
  <c r="BF183" i="19"/>
  <c r="BG183" i="19"/>
  <c r="BH183" i="19"/>
  <c r="BI183" i="19"/>
  <c r="BJ183" i="19"/>
  <c r="BK183" i="19"/>
  <c r="BL183" i="19"/>
  <c r="BM183" i="19"/>
  <c r="BN183" i="19"/>
  <c r="BO183" i="19"/>
  <c r="BP183" i="19"/>
  <c r="BQ183" i="19"/>
  <c r="BR183" i="19"/>
  <c r="BS183" i="19"/>
  <c r="BT183" i="19"/>
  <c r="BU183" i="19"/>
  <c r="BV183" i="19"/>
  <c r="BW183" i="19"/>
  <c r="BX183" i="19"/>
  <c r="BY183" i="19"/>
  <c r="BZ183" i="19"/>
  <c r="CA183" i="19"/>
  <c r="CB183" i="19"/>
  <c r="CC183" i="19"/>
  <c r="CD183" i="19"/>
  <c r="CE183" i="19"/>
  <c r="CF183" i="19"/>
  <c r="CG183" i="19"/>
  <c r="CH183" i="19"/>
  <c r="CI183" i="19"/>
  <c r="CJ183" i="19"/>
  <c r="CK183" i="19"/>
  <c r="CL183" i="19"/>
  <c r="CM183" i="19"/>
  <c r="CN183" i="19"/>
  <c r="CO183" i="19"/>
  <c r="CP183" i="19"/>
  <c r="CQ183" i="19"/>
  <c r="CR183" i="19"/>
  <c r="CS183" i="19"/>
  <c r="CT183" i="19"/>
  <c r="CU183" i="19"/>
  <c r="CV183" i="19"/>
  <c r="CW183" i="19"/>
  <c r="CX183" i="19"/>
  <c r="CY183" i="19"/>
  <c r="CZ183" i="19"/>
  <c r="DA183" i="19"/>
  <c r="DB183" i="19"/>
  <c r="DC183" i="19"/>
  <c r="DD183" i="19"/>
  <c r="DE183" i="19"/>
  <c r="DF183" i="19"/>
  <c r="DG183" i="19"/>
  <c r="DH183" i="19"/>
  <c r="DI183" i="19"/>
  <c r="DJ183" i="19"/>
  <c r="DK183" i="19"/>
  <c r="DL183" i="19"/>
  <c r="DM183" i="19"/>
  <c r="DN183" i="19"/>
  <c r="DO183" i="19"/>
  <c r="DP183" i="19"/>
  <c r="DQ183" i="19"/>
  <c r="DR183" i="19"/>
  <c r="DS183" i="19"/>
  <c r="DT183" i="19"/>
  <c r="DU183" i="19"/>
  <c r="DV183" i="19"/>
  <c r="DW183" i="19"/>
  <c r="DX183" i="19"/>
  <c r="DY183" i="19"/>
  <c r="DZ183" i="19"/>
  <c r="EA183" i="19"/>
  <c r="EB183" i="19"/>
  <c r="EC183" i="19"/>
  <c r="ED183" i="19"/>
  <c r="EE183" i="19"/>
  <c r="EF183" i="19"/>
  <c r="EG183" i="19"/>
  <c r="EH183" i="19"/>
  <c r="EI183" i="19"/>
  <c r="EJ183" i="19"/>
  <c r="EK183" i="19"/>
  <c r="EL183" i="19"/>
  <c r="EM183" i="19"/>
  <c r="EN183" i="19"/>
  <c r="EO183" i="19"/>
  <c r="EP183" i="19"/>
  <c r="EQ183" i="19"/>
  <c r="ER183" i="19"/>
  <c r="ES183" i="19"/>
  <c r="ET183" i="19"/>
  <c r="EU183" i="19"/>
  <c r="EV183" i="19"/>
  <c r="EW183" i="19"/>
  <c r="EX183" i="19"/>
  <c r="EY183" i="19"/>
  <c r="EZ183" i="19"/>
  <c r="FA183" i="19"/>
  <c r="FB183" i="19"/>
  <c r="FC183" i="19"/>
  <c r="FD183" i="19"/>
  <c r="FE183" i="19"/>
  <c r="FF183" i="19"/>
  <c r="FG183" i="19"/>
  <c r="FH183" i="19"/>
  <c r="FI183" i="19"/>
  <c r="FJ183" i="19"/>
  <c r="FK183" i="19"/>
  <c r="FL183" i="19"/>
  <c r="FM183" i="19"/>
  <c r="FN183" i="19"/>
  <c r="FO183" i="19"/>
  <c r="FP183" i="19"/>
  <c r="FQ183" i="19"/>
  <c r="FR183" i="19"/>
  <c r="FS183" i="19"/>
  <c r="FT183" i="19"/>
  <c r="FU183" i="19"/>
  <c r="FV183" i="19"/>
  <c r="FW183" i="19"/>
  <c r="FX183" i="19"/>
  <c r="FY183" i="19"/>
  <c r="FZ183" i="19"/>
  <c r="GA183" i="19"/>
  <c r="GB183" i="19"/>
  <c r="GC183" i="19"/>
  <c r="GD183" i="19"/>
  <c r="GE183" i="19"/>
  <c r="GF183" i="19"/>
  <c r="GG183" i="19"/>
  <c r="GH183" i="19"/>
  <c r="GI183" i="19"/>
  <c r="GJ183" i="19"/>
  <c r="GK183" i="19"/>
  <c r="GL183" i="19"/>
  <c r="GM183" i="19"/>
  <c r="GN183" i="19"/>
  <c r="GO183" i="19"/>
  <c r="GP183" i="19"/>
  <c r="GQ183" i="19"/>
  <c r="GR183" i="19"/>
  <c r="GS183" i="19"/>
  <c r="GT183" i="19"/>
  <c r="GU183" i="19"/>
  <c r="GV183" i="19"/>
  <c r="GW183" i="19"/>
  <c r="GX183" i="19"/>
  <c r="GY183" i="19"/>
  <c r="GZ183" i="19"/>
  <c r="HA183" i="19"/>
  <c r="HB183" i="19"/>
  <c r="HC183" i="19"/>
  <c r="HD183" i="19"/>
  <c r="HE183" i="19"/>
  <c r="HF183" i="19"/>
  <c r="HG183" i="19"/>
  <c r="HH183" i="19"/>
  <c r="HI183" i="19"/>
  <c r="HJ183" i="19"/>
  <c r="HK183" i="19"/>
  <c r="HL183" i="19"/>
  <c r="HM183" i="19"/>
  <c r="HN183" i="19"/>
  <c r="HO183" i="19"/>
  <c r="HP183" i="19"/>
  <c r="HQ183" i="19"/>
  <c r="HR183" i="19"/>
  <c r="HS183" i="19"/>
  <c r="HT183" i="19"/>
  <c r="HU183" i="19"/>
  <c r="HV183" i="19"/>
  <c r="HW183" i="19"/>
  <c r="HX183" i="19"/>
  <c r="HY183" i="19"/>
  <c r="HZ183" i="19"/>
  <c r="IA183" i="19"/>
  <c r="IB183" i="19"/>
  <c r="IC183" i="19"/>
  <c r="ID183" i="19"/>
  <c r="IE183" i="19"/>
  <c r="IF183" i="19"/>
  <c r="IG183" i="19"/>
  <c r="IH183" i="19"/>
  <c r="II183" i="19"/>
  <c r="IJ183" i="19"/>
  <c r="IK183" i="19"/>
  <c r="IL183" i="19"/>
  <c r="IM183" i="19"/>
  <c r="IN183" i="19"/>
  <c r="IO183" i="19"/>
  <c r="IP183" i="19"/>
  <c r="IQ183" i="19"/>
  <c r="IR183" i="19"/>
  <c r="IS183" i="19"/>
  <c r="IT183" i="19"/>
  <c r="IU183" i="19"/>
  <c r="IV183" i="19"/>
  <c r="F184" i="19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T184" i="19"/>
  <c r="U184" i="19"/>
  <c r="V184" i="19"/>
  <c r="W184" i="19"/>
  <c r="X184" i="19"/>
  <c r="Y184" i="19"/>
  <c r="Z184" i="19"/>
  <c r="AA184" i="19"/>
  <c r="AB184" i="19"/>
  <c r="AC184" i="19"/>
  <c r="AD184" i="19"/>
  <c r="AE184" i="19"/>
  <c r="AF184" i="19"/>
  <c r="AG184" i="19"/>
  <c r="AH184" i="19"/>
  <c r="AI184" i="19"/>
  <c r="AJ184" i="19"/>
  <c r="AK184" i="19"/>
  <c r="AL184" i="19"/>
  <c r="AM184" i="19"/>
  <c r="AN184" i="19"/>
  <c r="AO184" i="19"/>
  <c r="AP184" i="19"/>
  <c r="AQ184" i="19"/>
  <c r="AR184" i="19"/>
  <c r="AS184" i="19"/>
  <c r="AT184" i="19"/>
  <c r="AU184" i="19"/>
  <c r="AV184" i="19"/>
  <c r="AW184" i="19"/>
  <c r="AX184" i="19"/>
  <c r="AY184" i="19"/>
  <c r="AZ184" i="19"/>
  <c r="BA184" i="19"/>
  <c r="BB184" i="19"/>
  <c r="BC184" i="19"/>
  <c r="BD184" i="19"/>
  <c r="BE184" i="19"/>
  <c r="BF184" i="19"/>
  <c r="BG184" i="19"/>
  <c r="BH184" i="19"/>
  <c r="BI184" i="19"/>
  <c r="BJ184" i="19"/>
  <c r="BK184" i="19"/>
  <c r="BL184" i="19"/>
  <c r="BM184" i="19"/>
  <c r="BN184" i="19"/>
  <c r="BO184" i="19"/>
  <c r="BP184" i="19"/>
  <c r="BQ184" i="19"/>
  <c r="BR184" i="19"/>
  <c r="BS184" i="19"/>
  <c r="BT184" i="19"/>
  <c r="BU184" i="19"/>
  <c r="BV184" i="19"/>
  <c r="BW184" i="19"/>
  <c r="BX184" i="19"/>
  <c r="BY184" i="19"/>
  <c r="BZ184" i="19"/>
  <c r="CA184" i="19"/>
  <c r="CB184" i="19"/>
  <c r="CC184" i="19"/>
  <c r="CD184" i="19"/>
  <c r="CE184" i="19"/>
  <c r="CF184" i="19"/>
  <c r="CG184" i="19"/>
  <c r="CH184" i="19"/>
  <c r="CI184" i="19"/>
  <c r="CJ184" i="19"/>
  <c r="CK184" i="19"/>
  <c r="CL184" i="19"/>
  <c r="CM184" i="19"/>
  <c r="CN184" i="19"/>
  <c r="CO184" i="19"/>
  <c r="CP184" i="19"/>
  <c r="CQ184" i="19"/>
  <c r="CR184" i="19"/>
  <c r="CS184" i="19"/>
  <c r="CT184" i="19"/>
  <c r="CU184" i="19"/>
  <c r="CV184" i="19"/>
  <c r="CW184" i="19"/>
  <c r="CX184" i="19"/>
  <c r="CY184" i="19"/>
  <c r="CZ184" i="19"/>
  <c r="DA184" i="19"/>
  <c r="DB184" i="19"/>
  <c r="DC184" i="19"/>
  <c r="DD184" i="19"/>
  <c r="DE184" i="19"/>
  <c r="DF184" i="19"/>
  <c r="DG184" i="19"/>
  <c r="DH184" i="19"/>
  <c r="DI184" i="19"/>
  <c r="DJ184" i="19"/>
  <c r="DK184" i="19"/>
  <c r="DL184" i="19"/>
  <c r="DM184" i="19"/>
  <c r="DN184" i="19"/>
  <c r="DO184" i="19"/>
  <c r="DP184" i="19"/>
  <c r="DQ184" i="19"/>
  <c r="DR184" i="19"/>
  <c r="DS184" i="19"/>
  <c r="DT184" i="19"/>
  <c r="DU184" i="19"/>
  <c r="DV184" i="19"/>
  <c r="DW184" i="19"/>
  <c r="DX184" i="19"/>
  <c r="DY184" i="19"/>
  <c r="DZ184" i="19"/>
  <c r="EA184" i="19"/>
  <c r="EB184" i="19"/>
  <c r="EC184" i="19"/>
  <c r="ED184" i="19"/>
  <c r="EE184" i="19"/>
  <c r="EF184" i="19"/>
  <c r="EG184" i="19"/>
  <c r="EH184" i="19"/>
  <c r="EI184" i="19"/>
  <c r="EJ184" i="19"/>
  <c r="EK184" i="19"/>
  <c r="EL184" i="19"/>
  <c r="EM184" i="19"/>
  <c r="EN184" i="19"/>
  <c r="EO184" i="19"/>
  <c r="EP184" i="19"/>
  <c r="EQ184" i="19"/>
  <c r="ER184" i="19"/>
  <c r="ES184" i="19"/>
  <c r="ET184" i="19"/>
  <c r="EU184" i="19"/>
  <c r="EV184" i="19"/>
  <c r="EW184" i="19"/>
  <c r="EX184" i="19"/>
  <c r="EY184" i="19"/>
  <c r="EZ184" i="19"/>
  <c r="FA184" i="19"/>
  <c r="FB184" i="19"/>
  <c r="FC184" i="19"/>
  <c r="FD184" i="19"/>
  <c r="FE184" i="19"/>
  <c r="FF184" i="19"/>
  <c r="FG184" i="19"/>
  <c r="FH184" i="19"/>
  <c r="FI184" i="19"/>
  <c r="FJ184" i="19"/>
  <c r="FK184" i="19"/>
  <c r="FL184" i="19"/>
  <c r="FM184" i="19"/>
  <c r="FN184" i="19"/>
  <c r="FO184" i="19"/>
  <c r="FP184" i="19"/>
  <c r="FQ184" i="19"/>
  <c r="FR184" i="19"/>
  <c r="FS184" i="19"/>
  <c r="FT184" i="19"/>
  <c r="FU184" i="19"/>
  <c r="FV184" i="19"/>
  <c r="FW184" i="19"/>
  <c r="FX184" i="19"/>
  <c r="FY184" i="19"/>
  <c r="FZ184" i="19"/>
  <c r="GA184" i="19"/>
  <c r="GB184" i="19"/>
  <c r="GC184" i="19"/>
  <c r="GD184" i="19"/>
  <c r="GE184" i="19"/>
  <c r="GF184" i="19"/>
  <c r="GG184" i="19"/>
  <c r="GH184" i="19"/>
  <c r="GI184" i="19"/>
  <c r="GJ184" i="19"/>
  <c r="GK184" i="19"/>
  <c r="GL184" i="19"/>
  <c r="GM184" i="19"/>
  <c r="GN184" i="19"/>
  <c r="GO184" i="19"/>
  <c r="GP184" i="19"/>
  <c r="GQ184" i="19"/>
  <c r="GR184" i="19"/>
  <c r="GS184" i="19"/>
  <c r="GT184" i="19"/>
  <c r="GU184" i="19"/>
  <c r="GV184" i="19"/>
  <c r="GW184" i="19"/>
  <c r="GX184" i="19"/>
  <c r="GY184" i="19"/>
  <c r="GZ184" i="19"/>
  <c r="HA184" i="19"/>
  <c r="HB184" i="19"/>
  <c r="HC184" i="19"/>
  <c r="HD184" i="19"/>
  <c r="HE184" i="19"/>
  <c r="HF184" i="19"/>
  <c r="HG184" i="19"/>
  <c r="HH184" i="19"/>
  <c r="HI184" i="19"/>
  <c r="HJ184" i="19"/>
  <c r="HK184" i="19"/>
  <c r="HL184" i="19"/>
  <c r="HM184" i="19"/>
  <c r="HN184" i="19"/>
  <c r="HO184" i="19"/>
  <c r="HP184" i="19"/>
  <c r="HQ184" i="19"/>
  <c r="HR184" i="19"/>
  <c r="HS184" i="19"/>
  <c r="HT184" i="19"/>
  <c r="HU184" i="19"/>
  <c r="HV184" i="19"/>
  <c r="HW184" i="19"/>
  <c r="HX184" i="19"/>
  <c r="HY184" i="19"/>
  <c r="HZ184" i="19"/>
  <c r="IA184" i="19"/>
  <c r="IB184" i="19"/>
  <c r="IC184" i="19"/>
  <c r="ID184" i="19"/>
  <c r="IE184" i="19"/>
  <c r="IF184" i="19"/>
  <c r="IG184" i="19"/>
  <c r="IH184" i="19"/>
  <c r="II184" i="19"/>
  <c r="IJ184" i="19"/>
  <c r="IK184" i="19"/>
  <c r="IL184" i="19"/>
  <c r="IM184" i="19"/>
  <c r="IN184" i="19"/>
  <c r="IO184" i="19"/>
  <c r="IP184" i="19"/>
  <c r="IQ184" i="19"/>
  <c r="IR184" i="19"/>
  <c r="IS184" i="19"/>
  <c r="IT184" i="19"/>
  <c r="IU184" i="19"/>
  <c r="IV184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T185" i="19"/>
  <c r="U185" i="19"/>
  <c r="V185" i="19"/>
  <c r="W185" i="19"/>
  <c r="X185" i="19"/>
  <c r="Y185" i="19"/>
  <c r="Z185" i="19"/>
  <c r="AA185" i="19"/>
  <c r="AB185" i="19"/>
  <c r="AC185" i="19"/>
  <c r="AD185" i="19"/>
  <c r="AE185" i="19"/>
  <c r="AF185" i="19"/>
  <c r="AG185" i="19"/>
  <c r="AH185" i="19"/>
  <c r="AI185" i="19"/>
  <c r="AJ185" i="19"/>
  <c r="AK185" i="19"/>
  <c r="AL185" i="19"/>
  <c r="AM185" i="19"/>
  <c r="AN185" i="19"/>
  <c r="AO185" i="19"/>
  <c r="AP185" i="19"/>
  <c r="AQ185" i="19"/>
  <c r="AR185" i="19"/>
  <c r="AS185" i="19"/>
  <c r="AT185" i="19"/>
  <c r="AU185" i="19"/>
  <c r="AV185" i="19"/>
  <c r="AW185" i="19"/>
  <c r="AX185" i="19"/>
  <c r="AY185" i="19"/>
  <c r="AZ185" i="19"/>
  <c r="BA185" i="19"/>
  <c r="BB185" i="19"/>
  <c r="BC185" i="19"/>
  <c r="BD185" i="19"/>
  <c r="BE185" i="19"/>
  <c r="BF185" i="19"/>
  <c r="BG185" i="19"/>
  <c r="BH185" i="19"/>
  <c r="BI185" i="19"/>
  <c r="BJ185" i="19"/>
  <c r="BK185" i="19"/>
  <c r="BL185" i="19"/>
  <c r="BM185" i="19"/>
  <c r="BN185" i="19"/>
  <c r="BO185" i="19"/>
  <c r="BP185" i="19"/>
  <c r="BQ185" i="19"/>
  <c r="BR185" i="19"/>
  <c r="BS185" i="19"/>
  <c r="BT185" i="19"/>
  <c r="BU185" i="19"/>
  <c r="BV185" i="19"/>
  <c r="BW185" i="19"/>
  <c r="BX185" i="19"/>
  <c r="BY185" i="19"/>
  <c r="BZ185" i="19"/>
  <c r="CA185" i="19"/>
  <c r="CB185" i="19"/>
  <c r="CC185" i="19"/>
  <c r="CD185" i="19"/>
  <c r="CE185" i="19"/>
  <c r="CF185" i="19"/>
  <c r="CG185" i="19"/>
  <c r="CH185" i="19"/>
  <c r="CI185" i="19"/>
  <c r="CJ185" i="19"/>
  <c r="CK185" i="19"/>
  <c r="CL185" i="19"/>
  <c r="CM185" i="19"/>
  <c r="CN185" i="19"/>
  <c r="CO185" i="19"/>
  <c r="CP185" i="19"/>
  <c r="CQ185" i="19"/>
  <c r="CR185" i="19"/>
  <c r="CS185" i="19"/>
  <c r="CT185" i="19"/>
  <c r="CU185" i="19"/>
  <c r="CV185" i="19"/>
  <c r="CW185" i="19"/>
  <c r="CX185" i="19"/>
  <c r="CY185" i="19"/>
  <c r="CZ185" i="19"/>
  <c r="DA185" i="19"/>
  <c r="DB185" i="19"/>
  <c r="DC185" i="19"/>
  <c r="DD185" i="19"/>
  <c r="DE185" i="19"/>
  <c r="DF185" i="19"/>
  <c r="DG185" i="19"/>
  <c r="DH185" i="19"/>
  <c r="DI185" i="19"/>
  <c r="DJ185" i="19"/>
  <c r="DK185" i="19"/>
  <c r="DL185" i="19"/>
  <c r="DM185" i="19"/>
  <c r="DN185" i="19"/>
  <c r="DO185" i="19"/>
  <c r="DP185" i="19"/>
  <c r="DQ185" i="19"/>
  <c r="DR185" i="19"/>
  <c r="DS185" i="19"/>
  <c r="DT185" i="19"/>
  <c r="DU185" i="19"/>
  <c r="DV185" i="19"/>
  <c r="DW185" i="19"/>
  <c r="DX185" i="19"/>
  <c r="DY185" i="19"/>
  <c r="DZ185" i="19"/>
  <c r="EA185" i="19"/>
  <c r="EB185" i="19"/>
  <c r="EC185" i="19"/>
  <c r="ED185" i="19"/>
  <c r="EE185" i="19"/>
  <c r="EF185" i="19"/>
  <c r="EG185" i="19"/>
  <c r="EH185" i="19"/>
  <c r="EI185" i="19"/>
  <c r="EJ185" i="19"/>
  <c r="EK185" i="19"/>
  <c r="EL185" i="19"/>
  <c r="EM185" i="19"/>
  <c r="EN185" i="19"/>
  <c r="EO185" i="19"/>
  <c r="EP185" i="19"/>
  <c r="EQ185" i="19"/>
  <c r="ER185" i="19"/>
  <c r="ES185" i="19"/>
  <c r="ET185" i="19"/>
  <c r="EU185" i="19"/>
  <c r="EV185" i="19"/>
  <c r="EW185" i="19"/>
  <c r="EX185" i="19"/>
  <c r="EY185" i="19"/>
  <c r="EZ185" i="19"/>
  <c r="FA185" i="19"/>
  <c r="FB185" i="19"/>
  <c r="FC185" i="19"/>
  <c r="FD185" i="19"/>
  <c r="FE185" i="19"/>
  <c r="FF185" i="19"/>
  <c r="FG185" i="19"/>
  <c r="FH185" i="19"/>
  <c r="FI185" i="19"/>
  <c r="FJ185" i="19"/>
  <c r="FK185" i="19"/>
  <c r="FL185" i="19"/>
  <c r="FM185" i="19"/>
  <c r="FN185" i="19"/>
  <c r="FO185" i="19"/>
  <c r="FP185" i="19"/>
  <c r="FQ185" i="19"/>
  <c r="FR185" i="19"/>
  <c r="FS185" i="19"/>
  <c r="FT185" i="19"/>
  <c r="FU185" i="19"/>
  <c r="FV185" i="19"/>
  <c r="FW185" i="19"/>
  <c r="FX185" i="19"/>
  <c r="FY185" i="19"/>
  <c r="FZ185" i="19"/>
  <c r="GA185" i="19"/>
  <c r="GB185" i="19"/>
  <c r="GC185" i="19"/>
  <c r="GD185" i="19"/>
  <c r="GE185" i="19"/>
  <c r="GF185" i="19"/>
  <c r="GG185" i="19"/>
  <c r="GH185" i="19"/>
  <c r="GI185" i="19"/>
  <c r="GJ185" i="19"/>
  <c r="GK185" i="19"/>
  <c r="GL185" i="19"/>
  <c r="GM185" i="19"/>
  <c r="GN185" i="19"/>
  <c r="GO185" i="19"/>
  <c r="GP185" i="19"/>
  <c r="GQ185" i="19"/>
  <c r="GR185" i="19"/>
  <c r="GS185" i="19"/>
  <c r="GT185" i="19"/>
  <c r="GU185" i="19"/>
  <c r="GV185" i="19"/>
  <c r="GW185" i="19"/>
  <c r="GX185" i="19"/>
  <c r="GY185" i="19"/>
  <c r="GZ185" i="19"/>
  <c r="HA185" i="19"/>
  <c r="HB185" i="19"/>
  <c r="HC185" i="19"/>
  <c r="HD185" i="19"/>
  <c r="HE185" i="19"/>
  <c r="HF185" i="19"/>
  <c r="HG185" i="19"/>
  <c r="HH185" i="19"/>
  <c r="HI185" i="19"/>
  <c r="HJ185" i="19"/>
  <c r="HK185" i="19"/>
  <c r="HL185" i="19"/>
  <c r="HM185" i="19"/>
  <c r="HN185" i="19"/>
  <c r="HO185" i="19"/>
  <c r="HP185" i="19"/>
  <c r="HQ185" i="19"/>
  <c r="HR185" i="19"/>
  <c r="HS185" i="19"/>
  <c r="HT185" i="19"/>
  <c r="HU185" i="19"/>
  <c r="HV185" i="19"/>
  <c r="HW185" i="19"/>
  <c r="HX185" i="19"/>
  <c r="HY185" i="19"/>
  <c r="HZ185" i="19"/>
  <c r="IA185" i="19"/>
  <c r="IB185" i="19"/>
  <c r="IC185" i="19"/>
  <c r="ID185" i="19"/>
  <c r="IE185" i="19"/>
  <c r="IF185" i="19"/>
  <c r="IG185" i="19"/>
  <c r="IH185" i="19"/>
  <c r="II185" i="19"/>
  <c r="IJ185" i="19"/>
  <c r="IK185" i="19"/>
  <c r="IL185" i="19"/>
  <c r="IM185" i="19"/>
  <c r="IN185" i="19"/>
  <c r="IO185" i="19"/>
  <c r="IP185" i="19"/>
  <c r="IQ185" i="19"/>
  <c r="IR185" i="19"/>
  <c r="IS185" i="19"/>
  <c r="IT185" i="19"/>
  <c r="IU185" i="19"/>
  <c r="IV185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T186" i="19"/>
  <c r="U186" i="19"/>
  <c r="V186" i="19"/>
  <c r="W186" i="19"/>
  <c r="X186" i="19"/>
  <c r="Y186" i="19"/>
  <c r="Z186" i="19"/>
  <c r="AA186" i="19"/>
  <c r="AB186" i="19"/>
  <c r="AC186" i="19"/>
  <c r="AD186" i="19"/>
  <c r="AE186" i="19"/>
  <c r="AF186" i="19"/>
  <c r="AG186" i="19"/>
  <c r="AH186" i="19"/>
  <c r="AI186" i="19"/>
  <c r="AJ186" i="19"/>
  <c r="AK186" i="19"/>
  <c r="AL186" i="19"/>
  <c r="AM186" i="19"/>
  <c r="AN186" i="19"/>
  <c r="AO186" i="19"/>
  <c r="AP186" i="19"/>
  <c r="AQ186" i="19"/>
  <c r="AR186" i="19"/>
  <c r="AS186" i="19"/>
  <c r="AT186" i="19"/>
  <c r="AU186" i="19"/>
  <c r="AV186" i="19"/>
  <c r="AW186" i="19"/>
  <c r="AX186" i="19"/>
  <c r="AY186" i="19"/>
  <c r="AZ186" i="19"/>
  <c r="BA186" i="19"/>
  <c r="BB186" i="19"/>
  <c r="BC186" i="19"/>
  <c r="BD186" i="19"/>
  <c r="BE186" i="19"/>
  <c r="BF186" i="19"/>
  <c r="BG186" i="19"/>
  <c r="BH186" i="19"/>
  <c r="BI186" i="19"/>
  <c r="BJ186" i="19"/>
  <c r="BK186" i="19"/>
  <c r="BL186" i="19"/>
  <c r="BM186" i="19"/>
  <c r="BN186" i="19"/>
  <c r="BO186" i="19"/>
  <c r="BP186" i="19"/>
  <c r="BQ186" i="19"/>
  <c r="BR186" i="19"/>
  <c r="BS186" i="19"/>
  <c r="BT186" i="19"/>
  <c r="BU186" i="19"/>
  <c r="BV186" i="19"/>
  <c r="BW186" i="19"/>
  <c r="BX186" i="19"/>
  <c r="BY186" i="19"/>
  <c r="BZ186" i="19"/>
  <c r="CA186" i="19"/>
  <c r="CB186" i="19"/>
  <c r="CC186" i="19"/>
  <c r="CD186" i="19"/>
  <c r="CE186" i="19"/>
  <c r="CF186" i="19"/>
  <c r="CG186" i="19"/>
  <c r="CH186" i="19"/>
  <c r="CI186" i="19"/>
  <c r="CJ186" i="19"/>
  <c r="CK186" i="19"/>
  <c r="CL186" i="19"/>
  <c r="CM186" i="19"/>
  <c r="CN186" i="19"/>
  <c r="CO186" i="19"/>
  <c r="CP186" i="19"/>
  <c r="CQ186" i="19"/>
  <c r="CR186" i="19"/>
  <c r="CS186" i="19"/>
  <c r="CT186" i="19"/>
  <c r="CU186" i="19"/>
  <c r="CV186" i="19"/>
  <c r="CW186" i="19"/>
  <c r="CX186" i="19"/>
  <c r="CY186" i="19"/>
  <c r="CZ186" i="19"/>
  <c r="DA186" i="19"/>
  <c r="DB186" i="19"/>
  <c r="DC186" i="19"/>
  <c r="DD186" i="19"/>
  <c r="DE186" i="19"/>
  <c r="DF186" i="19"/>
  <c r="DG186" i="19"/>
  <c r="DH186" i="19"/>
  <c r="DI186" i="19"/>
  <c r="DJ186" i="19"/>
  <c r="DK186" i="19"/>
  <c r="DL186" i="19"/>
  <c r="DM186" i="19"/>
  <c r="DN186" i="19"/>
  <c r="DO186" i="19"/>
  <c r="DP186" i="19"/>
  <c r="DQ186" i="19"/>
  <c r="DR186" i="19"/>
  <c r="DS186" i="19"/>
  <c r="DT186" i="19"/>
  <c r="DU186" i="19"/>
  <c r="DV186" i="19"/>
  <c r="DW186" i="19"/>
  <c r="DX186" i="19"/>
  <c r="DY186" i="19"/>
  <c r="DZ186" i="19"/>
  <c r="EA186" i="19"/>
  <c r="EB186" i="19"/>
  <c r="EC186" i="19"/>
  <c r="ED186" i="19"/>
  <c r="EE186" i="19"/>
  <c r="EF186" i="19"/>
  <c r="EG186" i="19"/>
  <c r="EH186" i="19"/>
  <c r="EI186" i="19"/>
  <c r="EJ186" i="19"/>
  <c r="EK186" i="19"/>
  <c r="EL186" i="19"/>
  <c r="EM186" i="19"/>
  <c r="EN186" i="19"/>
  <c r="EO186" i="19"/>
  <c r="EP186" i="19"/>
  <c r="EQ186" i="19"/>
  <c r="ER186" i="19"/>
  <c r="ES186" i="19"/>
  <c r="ET186" i="19"/>
  <c r="EU186" i="19"/>
  <c r="EV186" i="19"/>
  <c r="EW186" i="19"/>
  <c r="EX186" i="19"/>
  <c r="EY186" i="19"/>
  <c r="EZ186" i="19"/>
  <c r="FA186" i="19"/>
  <c r="FB186" i="19"/>
  <c r="FC186" i="19"/>
  <c r="FD186" i="19"/>
  <c r="FE186" i="19"/>
  <c r="FF186" i="19"/>
  <c r="FG186" i="19"/>
  <c r="FH186" i="19"/>
  <c r="FI186" i="19"/>
  <c r="FJ186" i="19"/>
  <c r="FK186" i="19"/>
  <c r="FL186" i="19"/>
  <c r="FM186" i="19"/>
  <c r="FN186" i="19"/>
  <c r="FO186" i="19"/>
  <c r="FP186" i="19"/>
  <c r="FQ186" i="19"/>
  <c r="FR186" i="19"/>
  <c r="FS186" i="19"/>
  <c r="FT186" i="19"/>
  <c r="FU186" i="19"/>
  <c r="FV186" i="19"/>
  <c r="FW186" i="19"/>
  <c r="FX186" i="19"/>
  <c r="FY186" i="19"/>
  <c r="FZ186" i="19"/>
  <c r="GA186" i="19"/>
  <c r="GB186" i="19"/>
  <c r="GC186" i="19"/>
  <c r="GD186" i="19"/>
  <c r="GE186" i="19"/>
  <c r="GF186" i="19"/>
  <c r="GG186" i="19"/>
  <c r="GH186" i="19"/>
  <c r="GI186" i="19"/>
  <c r="GJ186" i="19"/>
  <c r="GK186" i="19"/>
  <c r="GL186" i="19"/>
  <c r="GM186" i="19"/>
  <c r="GN186" i="19"/>
  <c r="GO186" i="19"/>
  <c r="GP186" i="19"/>
  <c r="GQ186" i="19"/>
  <c r="GR186" i="19"/>
  <c r="GS186" i="19"/>
  <c r="GT186" i="19"/>
  <c r="GU186" i="19"/>
  <c r="GV186" i="19"/>
  <c r="GW186" i="19"/>
  <c r="GX186" i="19"/>
  <c r="GY186" i="19"/>
  <c r="GZ186" i="19"/>
  <c r="HA186" i="19"/>
  <c r="HB186" i="19"/>
  <c r="HC186" i="19"/>
  <c r="HD186" i="19"/>
  <c r="HE186" i="19"/>
  <c r="HF186" i="19"/>
  <c r="HG186" i="19"/>
  <c r="HH186" i="19"/>
  <c r="HI186" i="19"/>
  <c r="HJ186" i="19"/>
  <c r="HK186" i="19"/>
  <c r="HL186" i="19"/>
  <c r="HM186" i="19"/>
  <c r="HN186" i="19"/>
  <c r="HO186" i="19"/>
  <c r="HP186" i="19"/>
  <c r="HQ186" i="19"/>
  <c r="HR186" i="19"/>
  <c r="HS186" i="19"/>
  <c r="HT186" i="19"/>
  <c r="HU186" i="19"/>
  <c r="HV186" i="19"/>
  <c r="HW186" i="19"/>
  <c r="HX186" i="19"/>
  <c r="HY186" i="19"/>
  <c r="HZ186" i="19"/>
  <c r="IA186" i="19"/>
  <c r="IB186" i="19"/>
  <c r="IC186" i="19"/>
  <c r="ID186" i="19"/>
  <c r="IE186" i="19"/>
  <c r="IF186" i="19"/>
  <c r="IG186" i="19"/>
  <c r="IH186" i="19"/>
  <c r="II186" i="19"/>
  <c r="IJ186" i="19"/>
  <c r="IK186" i="19"/>
  <c r="IL186" i="19"/>
  <c r="IM186" i="19"/>
  <c r="IN186" i="19"/>
  <c r="IO186" i="19"/>
  <c r="IP186" i="19"/>
  <c r="IQ186" i="19"/>
  <c r="IR186" i="19"/>
  <c r="IS186" i="19"/>
  <c r="IT186" i="19"/>
  <c r="IU186" i="19"/>
  <c r="IV186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T187" i="19"/>
  <c r="U187" i="19"/>
  <c r="V187" i="19"/>
  <c r="W187" i="19"/>
  <c r="X187" i="19"/>
  <c r="Y187" i="19"/>
  <c r="Z187" i="19"/>
  <c r="AA187" i="19"/>
  <c r="AB187" i="19"/>
  <c r="AC187" i="19"/>
  <c r="AD187" i="19"/>
  <c r="AE187" i="19"/>
  <c r="AF187" i="19"/>
  <c r="AG187" i="19"/>
  <c r="AH187" i="19"/>
  <c r="AI187" i="19"/>
  <c r="AJ187" i="19"/>
  <c r="AK187" i="19"/>
  <c r="AL187" i="19"/>
  <c r="AM187" i="19"/>
  <c r="AN187" i="19"/>
  <c r="AO187" i="19"/>
  <c r="AP187" i="19"/>
  <c r="AQ187" i="19"/>
  <c r="AR187" i="19"/>
  <c r="AS187" i="19"/>
  <c r="AT187" i="19"/>
  <c r="AU187" i="19"/>
  <c r="AV187" i="19"/>
  <c r="AW187" i="19"/>
  <c r="AX187" i="19"/>
  <c r="AY187" i="19"/>
  <c r="AZ187" i="19"/>
  <c r="BA187" i="19"/>
  <c r="BB187" i="19"/>
  <c r="BC187" i="19"/>
  <c r="BD187" i="19"/>
  <c r="BE187" i="19"/>
  <c r="BF187" i="19"/>
  <c r="BG187" i="19"/>
  <c r="BH187" i="19"/>
  <c r="BI187" i="19"/>
  <c r="BJ187" i="19"/>
  <c r="BK187" i="19"/>
  <c r="BL187" i="19"/>
  <c r="BM187" i="19"/>
  <c r="BN187" i="19"/>
  <c r="BO187" i="19"/>
  <c r="BP187" i="19"/>
  <c r="BQ187" i="19"/>
  <c r="BR187" i="19"/>
  <c r="BS187" i="19"/>
  <c r="BT187" i="19"/>
  <c r="BU187" i="19"/>
  <c r="BV187" i="19"/>
  <c r="BW187" i="19"/>
  <c r="BX187" i="19"/>
  <c r="BY187" i="19"/>
  <c r="BZ187" i="19"/>
  <c r="CA187" i="19"/>
  <c r="CB187" i="19"/>
  <c r="CC187" i="19"/>
  <c r="CD187" i="19"/>
  <c r="CE187" i="19"/>
  <c r="CF187" i="19"/>
  <c r="CG187" i="19"/>
  <c r="CH187" i="19"/>
  <c r="CI187" i="19"/>
  <c r="CJ187" i="19"/>
  <c r="CK187" i="19"/>
  <c r="CL187" i="19"/>
  <c r="CM187" i="19"/>
  <c r="CN187" i="19"/>
  <c r="CO187" i="19"/>
  <c r="CP187" i="19"/>
  <c r="CQ187" i="19"/>
  <c r="CR187" i="19"/>
  <c r="CS187" i="19"/>
  <c r="CT187" i="19"/>
  <c r="CU187" i="19"/>
  <c r="CV187" i="19"/>
  <c r="CW187" i="19"/>
  <c r="CX187" i="19"/>
  <c r="CY187" i="19"/>
  <c r="CZ187" i="19"/>
  <c r="DA187" i="19"/>
  <c r="DB187" i="19"/>
  <c r="DC187" i="19"/>
  <c r="DD187" i="19"/>
  <c r="DE187" i="19"/>
  <c r="DF187" i="19"/>
  <c r="DG187" i="19"/>
  <c r="DH187" i="19"/>
  <c r="DI187" i="19"/>
  <c r="DJ187" i="19"/>
  <c r="DK187" i="19"/>
  <c r="DL187" i="19"/>
  <c r="DM187" i="19"/>
  <c r="DN187" i="19"/>
  <c r="DO187" i="19"/>
  <c r="DP187" i="19"/>
  <c r="DQ187" i="19"/>
  <c r="DR187" i="19"/>
  <c r="DS187" i="19"/>
  <c r="DT187" i="19"/>
  <c r="DU187" i="19"/>
  <c r="DV187" i="19"/>
  <c r="DW187" i="19"/>
  <c r="DX187" i="19"/>
  <c r="DY187" i="19"/>
  <c r="DZ187" i="19"/>
  <c r="EA187" i="19"/>
  <c r="EB187" i="19"/>
  <c r="EC187" i="19"/>
  <c r="ED187" i="19"/>
  <c r="EE187" i="19"/>
  <c r="EF187" i="19"/>
  <c r="EG187" i="19"/>
  <c r="EH187" i="19"/>
  <c r="EI187" i="19"/>
  <c r="EJ187" i="19"/>
  <c r="EK187" i="19"/>
  <c r="EL187" i="19"/>
  <c r="EM187" i="19"/>
  <c r="EN187" i="19"/>
  <c r="EO187" i="19"/>
  <c r="EP187" i="19"/>
  <c r="EQ187" i="19"/>
  <c r="ER187" i="19"/>
  <c r="ES187" i="19"/>
  <c r="ET187" i="19"/>
  <c r="EU187" i="19"/>
  <c r="EV187" i="19"/>
  <c r="EW187" i="19"/>
  <c r="EX187" i="19"/>
  <c r="EY187" i="19"/>
  <c r="EZ187" i="19"/>
  <c r="FA187" i="19"/>
  <c r="FB187" i="19"/>
  <c r="FC187" i="19"/>
  <c r="FD187" i="19"/>
  <c r="FE187" i="19"/>
  <c r="FF187" i="19"/>
  <c r="FG187" i="19"/>
  <c r="FH187" i="19"/>
  <c r="FI187" i="19"/>
  <c r="FJ187" i="19"/>
  <c r="FK187" i="19"/>
  <c r="FL187" i="19"/>
  <c r="FM187" i="19"/>
  <c r="FN187" i="19"/>
  <c r="FO187" i="19"/>
  <c r="FP187" i="19"/>
  <c r="FQ187" i="19"/>
  <c r="FR187" i="19"/>
  <c r="FS187" i="19"/>
  <c r="FT187" i="19"/>
  <c r="FU187" i="19"/>
  <c r="FV187" i="19"/>
  <c r="FW187" i="19"/>
  <c r="FX187" i="19"/>
  <c r="FY187" i="19"/>
  <c r="FZ187" i="19"/>
  <c r="GA187" i="19"/>
  <c r="GB187" i="19"/>
  <c r="GC187" i="19"/>
  <c r="GD187" i="19"/>
  <c r="GE187" i="19"/>
  <c r="GF187" i="19"/>
  <c r="GG187" i="19"/>
  <c r="GH187" i="19"/>
  <c r="GI187" i="19"/>
  <c r="GJ187" i="19"/>
  <c r="GK187" i="19"/>
  <c r="GL187" i="19"/>
  <c r="GM187" i="19"/>
  <c r="GN187" i="19"/>
  <c r="GO187" i="19"/>
  <c r="GP187" i="19"/>
  <c r="GQ187" i="19"/>
  <c r="GR187" i="19"/>
  <c r="GS187" i="19"/>
  <c r="GT187" i="19"/>
  <c r="GU187" i="19"/>
  <c r="GV187" i="19"/>
  <c r="GW187" i="19"/>
  <c r="GX187" i="19"/>
  <c r="GY187" i="19"/>
  <c r="GZ187" i="19"/>
  <c r="HA187" i="19"/>
  <c r="HB187" i="19"/>
  <c r="HC187" i="19"/>
  <c r="HD187" i="19"/>
  <c r="HE187" i="19"/>
  <c r="HF187" i="19"/>
  <c r="HG187" i="19"/>
  <c r="HH187" i="19"/>
  <c r="HI187" i="19"/>
  <c r="HJ187" i="19"/>
  <c r="HK187" i="19"/>
  <c r="HL187" i="19"/>
  <c r="HM187" i="19"/>
  <c r="HN187" i="19"/>
  <c r="HO187" i="19"/>
  <c r="HP187" i="19"/>
  <c r="HQ187" i="19"/>
  <c r="HR187" i="19"/>
  <c r="HS187" i="19"/>
  <c r="HT187" i="19"/>
  <c r="HU187" i="19"/>
  <c r="HV187" i="19"/>
  <c r="HW187" i="19"/>
  <c r="HX187" i="19"/>
  <c r="HY187" i="19"/>
  <c r="HZ187" i="19"/>
  <c r="IA187" i="19"/>
  <c r="IB187" i="19"/>
  <c r="IC187" i="19"/>
  <c r="ID187" i="19"/>
  <c r="IE187" i="19"/>
  <c r="IF187" i="19"/>
  <c r="IG187" i="19"/>
  <c r="IH187" i="19"/>
  <c r="II187" i="19"/>
  <c r="IJ187" i="19"/>
  <c r="IK187" i="19"/>
  <c r="IL187" i="19"/>
  <c r="IM187" i="19"/>
  <c r="IN187" i="19"/>
  <c r="IO187" i="19"/>
  <c r="IP187" i="19"/>
  <c r="IQ187" i="19"/>
  <c r="IR187" i="19"/>
  <c r="IS187" i="19"/>
  <c r="IT187" i="19"/>
  <c r="IU187" i="19"/>
  <c r="IV187" i="19"/>
  <c r="F188" i="19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T188" i="19"/>
  <c r="U188" i="19"/>
  <c r="V188" i="19"/>
  <c r="W188" i="19"/>
  <c r="X188" i="19"/>
  <c r="Y188" i="19"/>
  <c r="Z188" i="19"/>
  <c r="AA188" i="19"/>
  <c r="AB188" i="19"/>
  <c r="AC188" i="19"/>
  <c r="AD188" i="19"/>
  <c r="AE188" i="19"/>
  <c r="AF188" i="19"/>
  <c r="AG188" i="19"/>
  <c r="AH188" i="19"/>
  <c r="AI188" i="19"/>
  <c r="AJ188" i="19"/>
  <c r="AK188" i="19"/>
  <c r="AL188" i="19"/>
  <c r="AM188" i="19"/>
  <c r="AN188" i="19"/>
  <c r="AO188" i="19"/>
  <c r="AP188" i="19"/>
  <c r="AQ188" i="19"/>
  <c r="AR188" i="19"/>
  <c r="AS188" i="19"/>
  <c r="AT188" i="19"/>
  <c r="AU188" i="19"/>
  <c r="AV188" i="19"/>
  <c r="AW188" i="19"/>
  <c r="AX188" i="19"/>
  <c r="AY188" i="19"/>
  <c r="AZ188" i="19"/>
  <c r="BA188" i="19"/>
  <c r="BB188" i="19"/>
  <c r="BC188" i="19"/>
  <c r="BD188" i="19"/>
  <c r="BE188" i="19"/>
  <c r="BF188" i="19"/>
  <c r="BG188" i="19"/>
  <c r="BH188" i="19"/>
  <c r="BI188" i="19"/>
  <c r="BJ188" i="19"/>
  <c r="BK188" i="19"/>
  <c r="BL188" i="19"/>
  <c r="BM188" i="19"/>
  <c r="BN188" i="19"/>
  <c r="BO188" i="19"/>
  <c r="BP188" i="19"/>
  <c r="BQ188" i="19"/>
  <c r="BR188" i="19"/>
  <c r="BS188" i="19"/>
  <c r="BT188" i="19"/>
  <c r="BU188" i="19"/>
  <c r="BV188" i="19"/>
  <c r="BW188" i="19"/>
  <c r="BX188" i="19"/>
  <c r="BY188" i="19"/>
  <c r="BZ188" i="19"/>
  <c r="CA188" i="19"/>
  <c r="CB188" i="19"/>
  <c r="CC188" i="19"/>
  <c r="CD188" i="19"/>
  <c r="CE188" i="19"/>
  <c r="CF188" i="19"/>
  <c r="CG188" i="19"/>
  <c r="CH188" i="19"/>
  <c r="CI188" i="19"/>
  <c r="CJ188" i="19"/>
  <c r="CK188" i="19"/>
  <c r="CL188" i="19"/>
  <c r="CM188" i="19"/>
  <c r="CN188" i="19"/>
  <c r="CO188" i="19"/>
  <c r="CP188" i="19"/>
  <c r="CQ188" i="19"/>
  <c r="CR188" i="19"/>
  <c r="CS188" i="19"/>
  <c r="CT188" i="19"/>
  <c r="CU188" i="19"/>
  <c r="CV188" i="19"/>
  <c r="CW188" i="19"/>
  <c r="CX188" i="19"/>
  <c r="CY188" i="19"/>
  <c r="CZ188" i="19"/>
  <c r="DA188" i="19"/>
  <c r="DB188" i="19"/>
  <c r="DC188" i="19"/>
  <c r="DD188" i="19"/>
  <c r="DE188" i="19"/>
  <c r="DF188" i="19"/>
  <c r="DG188" i="19"/>
  <c r="DH188" i="19"/>
  <c r="DI188" i="19"/>
  <c r="DJ188" i="19"/>
  <c r="DK188" i="19"/>
  <c r="DL188" i="19"/>
  <c r="DM188" i="19"/>
  <c r="DN188" i="19"/>
  <c r="DO188" i="19"/>
  <c r="DP188" i="19"/>
  <c r="DQ188" i="19"/>
  <c r="DR188" i="19"/>
  <c r="DS188" i="19"/>
  <c r="DT188" i="19"/>
  <c r="DU188" i="19"/>
  <c r="DV188" i="19"/>
  <c r="DW188" i="19"/>
  <c r="DX188" i="19"/>
  <c r="DY188" i="19"/>
  <c r="DZ188" i="19"/>
  <c r="EA188" i="19"/>
  <c r="EB188" i="19"/>
  <c r="EC188" i="19"/>
  <c r="ED188" i="19"/>
  <c r="EE188" i="19"/>
  <c r="EF188" i="19"/>
  <c r="EG188" i="19"/>
  <c r="EH188" i="19"/>
  <c r="EI188" i="19"/>
  <c r="EJ188" i="19"/>
  <c r="EK188" i="19"/>
  <c r="EL188" i="19"/>
  <c r="EM188" i="19"/>
  <c r="EN188" i="19"/>
  <c r="EO188" i="19"/>
  <c r="EP188" i="19"/>
  <c r="EQ188" i="19"/>
  <c r="ER188" i="19"/>
  <c r="ES188" i="19"/>
  <c r="ET188" i="19"/>
  <c r="EU188" i="19"/>
  <c r="EV188" i="19"/>
  <c r="EW188" i="19"/>
  <c r="EX188" i="19"/>
  <c r="EY188" i="19"/>
  <c r="EZ188" i="19"/>
  <c r="FA188" i="19"/>
  <c r="FB188" i="19"/>
  <c r="FC188" i="19"/>
  <c r="FD188" i="19"/>
  <c r="FE188" i="19"/>
  <c r="FF188" i="19"/>
  <c r="FG188" i="19"/>
  <c r="FH188" i="19"/>
  <c r="FI188" i="19"/>
  <c r="FJ188" i="19"/>
  <c r="FK188" i="19"/>
  <c r="FL188" i="19"/>
  <c r="FM188" i="19"/>
  <c r="FN188" i="19"/>
  <c r="FO188" i="19"/>
  <c r="FP188" i="19"/>
  <c r="FQ188" i="19"/>
  <c r="FR188" i="19"/>
  <c r="FS188" i="19"/>
  <c r="FT188" i="19"/>
  <c r="FU188" i="19"/>
  <c r="FV188" i="19"/>
  <c r="FW188" i="19"/>
  <c r="FX188" i="19"/>
  <c r="FY188" i="19"/>
  <c r="FZ188" i="19"/>
  <c r="GA188" i="19"/>
  <c r="GB188" i="19"/>
  <c r="GC188" i="19"/>
  <c r="GD188" i="19"/>
  <c r="GE188" i="19"/>
  <c r="GF188" i="19"/>
  <c r="GG188" i="19"/>
  <c r="GH188" i="19"/>
  <c r="GI188" i="19"/>
  <c r="GJ188" i="19"/>
  <c r="GK188" i="19"/>
  <c r="GL188" i="19"/>
  <c r="GM188" i="19"/>
  <c r="GN188" i="19"/>
  <c r="GO188" i="19"/>
  <c r="GP188" i="19"/>
  <c r="GQ188" i="19"/>
  <c r="GR188" i="19"/>
  <c r="GS188" i="19"/>
  <c r="GT188" i="19"/>
  <c r="GU188" i="19"/>
  <c r="GV188" i="19"/>
  <c r="GW188" i="19"/>
  <c r="GX188" i="19"/>
  <c r="GY188" i="19"/>
  <c r="GZ188" i="19"/>
  <c r="HA188" i="19"/>
  <c r="HB188" i="19"/>
  <c r="HC188" i="19"/>
  <c r="HD188" i="19"/>
  <c r="HE188" i="19"/>
  <c r="HF188" i="19"/>
  <c r="HG188" i="19"/>
  <c r="HH188" i="19"/>
  <c r="HI188" i="19"/>
  <c r="HJ188" i="19"/>
  <c r="HK188" i="19"/>
  <c r="HL188" i="19"/>
  <c r="HM188" i="19"/>
  <c r="HN188" i="19"/>
  <c r="HO188" i="19"/>
  <c r="HP188" i="19"/>
  <c r="HQ188" i="19"/>
  <c r="HR188" i="19"/>
  <c r="HS188" i="19"/>
  <c r="HT188" i="19"/>
  <c r="HU188" i="19"/>
  <c r="HV188" i="19"/>
  <c r="HW188" i="19"/>
  <c r="HX188" i="19"/>
  <c r="HY188" i="19"/>
  <c r="HZ188" i="19"/>
  <c r="IA188" i="19"/>
  <c r="IB188" i="19"/>
  <c r="IC188" i="19"/>
  <c r="ID188" i="19"/>
  <c r="IE188" i="19"/>
  <c r="IF188" i="19"/>
  <c r="IG188" i="19"/>
  <c r="IH188" i="19"/>
  <c r="II188" i="19"/>
  <c r="IJ188" i="19"/>
  <c r="IK188" i="19"/>
  <c r="IL188" i="19"/>
  <c r="IM188" i="19"/>
  <c r="IN188" i="19"/>
  <c r="IO188" i="19"/>
  <c r="IP188" i="19"/>
  <c r="IQ188" i="19"/>
  <c r="IR188" i="19"/>
  <c r="IS188" i="19"/>
  <c r="IT188" i="19"/>
  <c r="IU188" i="19"/>
  <c r="IV188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T189" i="19"/>
  <c r="U189" i="19"/>
  <c r="V189" i="19"/>
  <c r="W189" i="19"/>
  <c r="X189" i="19"/>
  <c r="Y189" i="19"/>
  <c r="Z189" i="19"/>
  <c r="AA189" i="19"/>
  <c r="AB189" i="19"/>
  <c r="AC189" i="19"/>
  <c r="AD189" i="19"/>
  <c r="AE189" i="19"/>
  <c r="AF189" i="19"/>
  <c r="AG189" i="19"/>
  <c r="AH189" i="19"/>
  <c r="AI189" i="19"/>
  <c r="AJ189" i="19"/>
  <c r="AK189" i="19"/>
  <c r="AL189" i="19"/>
  <c r="AM189" i="19"/>
  <c r="AN189" i="19"/>
  <c r="AO189" i="19"/>
  <c r="AP189" i="19"/>
  <c r="AQ189" i="19"/>
  <c r="AR189" i="19"/>
  <c r="AS189" i="19"/>
  <c r="AT189" i="19"/>
  <c r="AU189" i="19"/>
  <c r="AV189" i="19"/>
  <c r="AW189" i="19"/>
  <c r="AX189" i="19"/>
  <c r="AY189" i="19"/>
  <c r="AZ189" i="19"/>
  <c r="BA189" i="19"/>
  <c r="BB189" i="19"/>
  <c r="BC189" i="19"/>
  <c r="BD189" i="19"/>
  <c r="BE189" i="19"/>
  <c r="BF189" i="19"/>
  <c r="BG189" i="19"/>
  <c r="BH189" i="19"/>
  <c r="BI189" i="19"/>
  <c r="BJ189" i="19"/>
  <c r="BK189" i="19"/>
  <c r="BL189" i="19"/>
  <c r="BM189" i="19"/>
  <c r="BN189" i="19"/>
  <c r="BO189" i="19"/>
  <c r="BP189" i="19"/>
  <c r="BQ189" i="19"/>
  <c r="BR189" i="19"/>
  <c r="BS189" i="19"/>
  <c r="BT189" i="19"/>
  <c r="BU189" i="19"/>
  <c r="BV189" i="19"/>
  <c r="BW189" i="19"/>
  <c r="BX189" i="19"/>
  <c r="BY189" i="19"/>
  <c r="BZ189" i="19"/>
  <c r="CA189" i="19"/>
  <c r="CB189" i="19"/>
  <c r="CC189" i="19"/>
  <c r="CD189" i="19"/>
  <c r="CE189" i="19"/>
  <c r="CF189" i="19"/>
  <c r="CG189" i="19"/>
  <c r="CH189" i="19"/>
  <c r="CI189" i="19"/>
  <c r="CJ189" i="19"/>
  <c r="CK189" i="19"/>
  <c r="CL189" i="19"/>
  <c r="CM189" i="19"/>
  <c r="CN189" i="19"/>
  <c r="CO189" i="19"/>
  <c r="CP189" i="19"/>
  <c r="CQ189" i="19"/>
  <c r="CR189" i="19"/>
  <c r="CS189" i="19"/>
  <c r="CT189" i="19"/>
  <c r="CU189" i="19"/>
  <c r="CV189" i="19"/>
  <c r="CW189" i="19"/>
  <c r="CX189" i="19"/>
  <c r="CY189" i="19"/>
  <c r="CZ189" i="19"/>
  <c r="DA189" i="19"/>
  <c r="DB189" i="19"/>
  <c r="DC189" i="19"/>
  <c r="DD189" i="19"/>
  <c r="DE189" i="19"/>
  <c r="DF189" i="19"/>
  <c r="DG189" i="19"/>
  <c r="DH189" i="19"/>
  <c r="DI189" i="19"/>
  <c r="DJ189" i="19"/>
  <c r="DK189" i="19"/>
  <c r="DL189" i="19"/>
  <c r="DM189" i="19"/>
  <c r="DN189" i="19"/>
  <c r="DO189" i="19"/>
  <c r="DP189" i="19"/>
  <c r="DQ189" i="19"/>
  <c r="DR189" i="19"/>
  <c r="DS189" i="19"/>
  <c r="DT189" i="19"/>
  <c r="DU189" i="19"/>
  <c r="DV189" i="19"/>
  <c r="DW189" i="19"/>
  <c r="DX189" i="19"/>
  <c r="DY189" i="19"/>
  <c r="DZ189" i="19"/>
  <c r="EA189" i="19"/>
  <c r="EB189" i="19"/>
  <c r="EC189" i="19"/>
  <c r="ED189" i="19"/>
  <c r="EE189" i="19"/>
  <c r="EF189" i="19"/>
  <c r="EG189" i="19"/>
  <c r="EH189" i="19"/>
  <c r="EI189" i="19"/>
  <c r="EJ189" i="19"/>
  <c r="EK189" i="19"/>
  <c r="EL189" i="19"/>
  <c r="EM189" i="19"/>
  <c r="EN189" i="19"/>
  <c r="EO189" i="19"/>
  <c r="EP189" i="19"/>
  <c r="EQ189" i="19"/>
  <c r="ER189" i="19"/>
  <c r="ES189" i="19"/>
  <c r="ET189" i="19"/>
  <c r="EU189" i="19"/>
  <c r="EV189" i="19"/>
  <c r="EW189" i="19"/>
  <c r="EX189" i="19"/>
  <c r="EY189" i="19"/>
  <c r="EZ189" i="19"/>
  <c r="FA189" i="19"/>
  <c r="FB189" i="19"/>
  <c r="FC189" i="19"/>
  <c r="FD189" i="19"/>
  <c r="FE189" i="19"/>
  <c r="FF189" i="19"/>
  <c r="FG189" i="19"/>
  <c r="FH189" i="19"/>
  <c r="FI189" i="19"/>
  <c r="FJ189" i="19"/>
  <c r="FK189" i="19"/>
  <c r="FL189" i="19"/>
  <c r="FM189" i="19"/>
  <c r="FN189" i="19"/>
  <c r="FO189" i="19"/>
  <c r="FP189" i="19"/>
  <c r="FQ189" i="19"/>
  <c r="FR189" i="19"/>
  <c r="FS189" i="19"/>
  <c r="FT189" i="19"/>
  <c r="FU189" i="19"/>
  <c r="FV189" i="19"/>
  <c r="FW189" i="19"/>
  <c r="FX189" i="19"/>
  <c r="FY189" i="19"/>
  <c r="FZ189" i="19"/>
  <c r="GA189" i="19"/>
  <c r="GB189" i="19"/>
  <c r="GC189" i="19"/>
  <c r="GD189" i="19"/>
  <c r="GE189" i="19"/>
  <c r="GF189" i="19"/>
  <c r="GG189" i="19"/>
  <c r="GH189" i="19"/>
  <c r="GI189" i="19"/>
  <c r="GJ189" i="19"/>
  <c r="GK189" i="19"/>
  <c r="GL189" i="19"/>
  <c r="GM189" i="19"/>
  <c r="GN189" i="19"/>
  <c r="GO189" i="19"/>
  <c r="GP189" i="19"/>
  <c r="GQ189" i="19"/>
  <c r="GR189" i="19"/>
  <c r="GS189" i="19"/>
  <c r="GT189" i="19"/>
  <c r="GU189" i="19"/>
  <c r="GV189" i="19"/>
  <c r="GW189" i="19"/>
  <c r="GX189" i="19"/>
  <c r="GY189" i="19"/>
  <c r="GZ189" i="19"/>
  <c r="HA189" i="19"/>
  <c r="HB189" i="19"/>
  <c r="HC189" i="19"/>
  <c r="HD189" i="19"/>
  <c r="HE189" i="19"/>
  <c r="HF189" i="19"/>
  <c r="HG189" i="19"/>
  <c r="HH189" i="19"/>
  <c r="HI189" i="19"/>
  <c r="HJ189" i="19"/>
  <c r="HK189" i="19"/>
  <c r="HL189" i="19"/>
  <c r="HM189" i="19"/>
  <c r="HN189" i="19"/>
  <c r="HO189" i="19"/>
  <c r="HP189" i="19"/>
  <c r="HQ189" i="19"/>
  <c r="HR189" i="19"/>
  <c r="HS189" i="19"/>
  <c r="HT189" i="19"/>
  <c r="HU189" i="19"/>
  <c r="HV189" i="19"/>
  <c r="HW189" i="19"/>
  <c r="HX189" i="19"/>
  <c r="HY189" i="19"/>
  <c r="HZ189" i="19"/>
  <c r="IA189" i="19"/>
  <c r="IB189" i="19"/>
  <c r="IC189" i="19"/>
  <c r="ID189" i="19"/>
  <c r="IE189" i="19"/>
  <c r="IF189" i="19"/>
  <c r="IG189" i="19"/>
  <c r="IH189" i="19"/>
  <c r="II189" i="19"/>
  <c r="IJ189" i="19"/>
  <c r="IK189" i="19"/>
  <c r="IL189" i="19"/>
  <c r="IM189" i="19"/>
  <c r="IN189" i="19"/>
  <c r="IO189" i="19"/>
  <c r="IP189" i="19"/>
  <c r="IQ189" i="19"/>
  <c r="IR189" i="19"/>
  <c r="IS189" i="19"/>
  <c r="IT189" i="19"/>
  <c r="IU189" i="19"/>
  <c r="IV189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T190" i="19"/>
  <c r="U190" i="19"/>
  <c r="V190" i="19"/>
  <c r="W190" i="19"/>
  <c r="X190" i="19"/>
  <c r="Y190" i="19"/>
  <c r="Z190" i="19"/>
  <c r="AA190" i="19"/>
  <c r="AB190" i="19"/>
  <c r="AC190" i="19"/>
  <c r="AD190" i="19"/>
  <c r="AE190" i="19"/>
  <c r="AF190" i="19"/>
  <c r="AG190" i="19"/>
  <c r="AH190" i="19"/>
  <c r="AI190" i="19"/>
  <c r="AJ190" i="19"/>
  <c r="AK190" i="19"/>
  <c r="AL190" i="19"/>
  <c r="AM190" i="19"/>
  <c r="AN190" i="19"/>
  <c r="AO190" i="19"/>
  <c r="AP190" i="19"/>
  <c r="AQ190" i="19"/>
  <c r="AR190" i="19"/>
  <c r="AS190" i="19"/>
  <c r="AT190" i="19"/>
  <c r="AU190" i="19"/>
  <c r="AV190" i="19"/>
  <c r="AW190" i="19"/>
  <c r="AX190" i="19"/>
  <c r="AY190" i="19"/>
  <c r="AZ190" i="19"/>
  <c r="BA190" i="19"/>
  <c r="BB190" i="19"/>
  <c r="BC190" i="19"/>
  <c r="BD190" i="19"/>
  <c r="BE190" i="19"/>
  <c r="BF190" i="19"/>
  <c r="BG190" i="19"/>
  <c r="BH190" i="19"/>
  <c r="BI190" i="19"/>
  <c r="BJ190" i="19"/>
  <c r="BK190" i="19"/>
  <c r="BL190" i="19"/>
  <c r="BM190" i="19"/>
  <c r="BN190" i="19"/>
  <c r="BO190" i="19"/>
  <c r="BP190" i="19"/>
  <c r="BQ190" i="19"/>
  <c r="BR190" i="19"/>
  <c r="BS190" i="19"/>
  <c r="BT190" i="19"/>
  <c r="BU190" i="19"/>
  <c r="BV190" i="19"/>
  <c r="BW190" i="19"/>
  <c r="BX190" i="19"/>
  <c r="BY190" i="19"/>
  <c r="BZ190" i="19"/>
  <c r="CA190" i="19"/>
  <c r="CB190" i="19"/>
  <c r="CC190" i="19"/>
  <c r="CD190" i="19"/>
  <c r="CE190" i="19"/>
  <c r="CF190" i="19"/>
  <c r="CG190" i="19"/>
  <c r="CH190" i="19"/>
  <c r="CI190" i="19"/>
  <c r="CJ190" i="19"/>
  <c r="CK190" i="19"/>
  <c r="CL190" i="19"/>
  <c r="CM190" i="19"/>
  <c r="CN190" i="19"/>
  <c r="CO190" i="19"/>
  <c r="CP190" i="19"/>
  <c r="CQ190" i="19"/>
  <c r="CR190" i="19"/>
  <c r="CS190" i="19"/>
  <c r="CT190" i="19"/>
  <c r="CU190" i="19"/>
  <c r="CV190" i="19"/>
  <c r="CW190" i="19"/>
  <c r="CX190" i="19"/>
  <c r="CY190" i="19"/>
  <c r="CZ190" i="19"/>
  <c r="DA190" i="19"/>
  <c r="DB190" i="19"/>
  <c r="DC190" i="19"/>
  <c r="DD190" i="19"/>
  <c r="DE190" i="19"/>
  <c r="DF190" i="19"/>
  <c r="DG190" i="19"/>
  <c r="DH190" i="19"/>
  <c r="DI190" i="19"/>
  <c r="DJ190" i="19"/>
  <c r="DK190" i="19"/>
  <c r="DL190" i="19"/>
  <c r="DM190" i="19"/>
  <c r="DN190" i="19"/>
  <c r="DO190" i="19"/>
  <c r="DP190" i="19"/>
  <c r="DQ190" i="19"/>
  <c r="DR190" i="19"/>
  <c r="DS190" i="19"/>
  <c r="DT190" i="19"/>
  <c r="DU190" i="19"/>
  <c r="DV190" i="19"/>
  <c r="DW190" i="19"/>
  <c r="DX190" i="19"/>
  <c r="DY190" i="19"/>
  <c r="DZ190" i="19"/>
  <c r="EA190" i="19"/>
  <c r="EB190" i="19"/>
  <c r="EC190" i="19"/>
  <c r="ED190" i="19"/>
  <c r="EE190" i="19"/>
  <c r="EF190" i="19"/>
  <c r="EG190" i="19"/>
  <c r="EH190" i="19"/>
  <c r="EI190" i="19"/>
  <c r="EJ190" i="19"/>
  <c r="EK190" i="19"/>
  <c r="EL190" i="19"/>
  <c r="EM190" i="19"/>
  <c r="EN190" i="19"/>
  <c r="EO190" i="19"/>
  <c r="EP190" i="19"/>
  <c r="EQ190" i="19"/>
  <c r="ER190" i="19"/>
  <c r="ES190" i="19"/>
  <c r="ET190" i="19"/>
  <c r="EU190" i="19"/>
  <c r="EV190" i="19"/>
  <c r="EW190" i="19"/>
  <c r="EX190" i="19"/>
  <c r="EY190" i="19"/>
  <c r="EZ190" i="19"/>
  <c r="FA190" i="19"/>
  <c r="FB190" i="19"/>
  <c r="FC190" i="19"/>
  <c r="FD190" i="19"/>
  <c r="FE190" i="19"/>
  <c r="FF190" i="19"/>
  <c r="FG190" i="19"/>
  <c r="FH190" i="19"/>
  <c r="FI190" i="19"/>
  <c r="FJ190" i="19"/>
  <c r="FK190" i="19"/>
  <c r="FL190" i="19"/>
  <c r="FM190" i="19"/>
  <c r="FN190" i="19"/>
  <c r="FO190" i="19"/>
  <c r="FP190" i="19"/>
  <c r="FQ190" i="19"/>
  <c r="FR190" i="19"/>
  <c r="FS190" i="19"/>
  <c r="FT190" i="19"/>
  <c r="FU190" i="19"/>
  <c r="FV190" i="19"/>
  <c r="FW190" i="19"/>
  <c r="FX190" i="19"/>
  <c r="FY190" i="19"/>
  <c r="FZ190" i="19"/>
  <c r="GA190" i="19"/>
  <c r="GB190" i="19"/>
  <c r="GC190" i="19"/>
  <c r="GD190" i="19"/>
  <c r="GE190" i="19"/>
  <c r="GF190" i="19"/>
  <c r="GG190" i="19"/>
  <c r="GH190" i="19"/>
  <c r="GI190" i="19"/>
  <c r="GJ190" i="19"/>
  <c r="GK190" i="19"/>
  <c r="GL190" i="19"/>
  <c r="GM190" i="19"/>
  <c r="GN190" i="19"/>
  <c r="GO190" i="19"/>
  <c r="GP190" i="19"/>
  <c r="GQ190" i="19"/>
  <c r="GR190" i="19"/>
  <c r="GS190" i="19"/>
  <c r="GT190" i="19"/>
  <c r="GU190" i="19"/>
  <c r="GV190" i="19"/>
  <c r="GW190" i="19"/>
  <c r="GX190" i="19"/>
  <c r="GY190" i="19"/>
  <c r="GZ190" i="19"/>
  <c r="HA190" i="19"/>
  <c r="HB190" i="19"/>
  <c r="HC190" i="19"/>
  <c r="HD190" i="19"/>
  <c r="HE190" i="19"/>
  <c r="HF190" i="19"/>
  <c r="HG190" i="19"/>
  <c r="HH190" i="19"/>
  <c r="HI190" i="19"/>
  <c r="HJ190" i="19"/>
  <c r="HK190" i="19"/>
  <c r="HL190" i="19"/>
  <c r="HM190" i="19"/>
  <c r="HN190" i="19"/>
  <c r="HO190" i="19"/>
  <c r="HP190" i="19"/>
  <c r="HQ190" i="19"/>
  <c r="HR190" i="19"/>
  <c r="HS190" i="19"/>
  <c r="HT190" i="19"/>
  <c r="HU190" i="19"/>
  <c r="HV190" i="19"/>
  <c r="HW190" i="19"/>
  <c r="HX190" i="19"/>
  <c r="HY190" i="19"/>
  <c r="HZ190" i="19"/>
  <c r="IA190" i="19"/>
  <c r="IB190" i="19"/>
  <c r="IC190" i="19"/>
  <c r="ID190" i="19"/>
  <c r="IE190" i="19"/>
  <c r="IF190" i="19"/>
  <c r="IG190" i="19"/>
  <c r="IH190" i="19"/>
  <c r="II190" i="19"/>
  <c r="IJ190" i="19"/>
  <c r="IK190" i="19"/>
  <c r="IL190" i="19"/>
  <c r="IM190" i="19"/>
  <c r="IN190" i="19"/>
  <c r="IO190" i="19"/>
  <c r="IP190" i="19"/>
  <c r="IQ190" i="19"/>
  <c r="IR190" i="19"/>
  <c r="IS190" i="19"/>
  <c r="IT190" i="19"/>
  <c r="IU190" i="19"/>
  <c r="IV190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T191" i="19"/>
  <c r="U191" i="19"/>
  <c r="V191" i="19"/>
  <c r="W191" i="19"/>
  <c r="X191" i="19"/>
  <c r="Y191" i="19"/>
  <c r="Z191" i="19"/>
  <c r="AA191" i="19"/>
  <c r="AB191" i="19"/>
  <c r="AC191" i="19"/>
  <c r="AD191" i="19"/>
  <c r="AE191" i="19"/>
  <c r="AF191" i="19"/>
  <c r="AG191" i="19"/>
  <c r="AH191" i="19"/>
  <c r="AI191" i="19"/>
  <c r="AJ191" i="19"/>
  <c r="AK191" i="19"/>
  <c r="AL191" i="19"/>
  <c r="AM191" i="19"/>
  <c r="AN191" i="19"/>
  <c r="AO191" i="19"/>
  <c r="AP191" i="19"/>
  <c r="AQ191" i="19"/>
  <c r="AR191" i="19"/>
  <c r="AS191" i="19"/>
  <c r="AT191" i="19"/>
  <c r="AU191" i="19"/>
  <c r="AV191" i="19"/>
  <c r="AW191" i="19"/>
  <c r="AX191" i="19"/>
  <c r="AY191" i="19"/>
  <c r="AZ191" i="19"/>
  <c r="BA191" i="19"/>
  <c r="BB191" i="19"/>
  <c r="BC191" i="19"/>
  <c r="BD191" i="19"/>
  <c r="BE191" i="19"/>
  <c r="BF191" i="19"/>
  <c r="BG191" i="19"/>
  <c r="BH191" i="19"/>
  <c r="BI191" i="19"/>
  <c r="BJ191" i="19"/>
  <c r="BK191" i="19"/>
  <c r="BL191" i="19"/>
  <c r="BM191" i="19"/>
  <c r="BN191" i="19"/>
  <c r="BO191" i="19"/>
  <c r="BP191" i="19"/>
  <c r="BQ191" i="19"/>
  <c r="BR191" i="19"/>
  <c r="BS191" i="19"/>
  <c r="BT191" i="19"/>
  <c r="BU191" i="19"/>
  <c r="BV191" i="19"/>
  <c r="BW191" i="19"/>
  <c r="BX191" i="19"/>
  <c r="BY191" i="19"/>
  <c r="BZ191" i="19"/>
  <c r="CA191" i="19"/>
  <c r="CB191" i="19"/>
  <c r="CC191" i="19"/>
  <c r="CD191" i="19"/>
  <c r="CE191" i="19"/>
  <c r="CF191" i="19"/>
  <c r="CG191" i="19"/>
  <c r="CH191" i="19"/>
  <c r="CI191" i="19"/>
  <c r="CJ191" i="19"/>
  <c r="CK191" i="19"/>
  <c r="CL191" i="19"/>
  <c r="CM191" i="19"/>
  <c r="CN191" i="19"/>
  <c r="CO191" i="19"/>
  <c r="CP191" i="19"/>
  <c r="CQ191" i="19"/>
  <c r="CR191" i="19"/>
  <c r="CS191" i="19"/>
  <c r="CT191" i="19"/>
  <c r="CU191" i="19"/>
  <c r="CV191" i="19"/>
  <c r="CW191" i="19"/>
  <c r="CX191" i="19"/>
  <c r="CY191" i="19"/>
  <c r="CZ191" i="19"/>
  <c r="DA191" i="19"/>
  <c r="DB191" i="19"/>
  <c r="DC191" i="19"/>
  <c r="DD191" i="19"/>
  <c r="DE191" i="19"/>
  <c r="DF191" i="19"/>
  <c r="DG191" i="19"/>
  <c r="DH191" i="19"/>
  <c r="DI191" i="19"/>
  <c r="DJ191" i="19"/>
  <c r="DK191" i="19"/>
  <c r="DL191" i="19"/>
  <c r="DM191" i="19"/>
  <c r="DN191" i="19"/>
  <c r="DO191" i="19"/>
  <c r="DP191" i="19"/>
  <c r="DQ191" i="19"/>
  <c r="DR191" i="19"/>
  <c r="DS191" i="19"/>
  <c r="DT191" i="19"/>
  <c r="DU191" i="19"/>
  <c r="DV191" i="19"/>
  <c r="DW191" i="19"/>
  <c r="DX191" i="19"/>
  <c r="DY191" i="19"/>
  <c r="DZ191" i="19"/>
  <c r="EA191" i="19"/>
  <c r="EB191" i="19"/>
  <c r="EC191" i="19"/>
  <c r="ED191" i="19"/>
  <c r="EE191" i="19"/>
  <c r="EF191" i="19"/>
  <c r="EG191" i="19"/>
  <c r="EH191" i="19"/>
  <c r="EI191" i="19"/>
  <c r="EJ191" i="19"/>
  <c r="EK191" i="19"/>
  <c r="EL191" i="19"/>
  <c r="EM191" i="19"/>
  <c r="EN191" i="19"/>
  <c r="EO191" i="19"/>
  <c r="EP191" i="19"/>
  <c r="EQ191" i="19"/>
  <c r="ER191" i="19"/>
  <c r="ES191" i="19"/>
  <c r="ET191" i="19"/>
  <c r="EU191" i="19"/>
  <c r="EV191" i="19"/>
  <c r="EW191" i="19"/>
  <c r="EX191" i="19"/>
  <c r="EY191" i="19"/>
  <c r="EZ191" i="19"/>
  <c r="FA191" i="19"/>
  <c r="FB191" i="19"/>
  <c r="FC191" i="19"/>
  <c r="FD191" i="19"/>
  <c r="FE191" i="19"/>
  <c r="FF191" i="19"/>
  <c r="FG191" i="19"/>
  <c r="FH191" i="19"/>
  <c r="FI191" i="19"/>
  <c r="FJ191" i="19"/>
  <c r="FK191" i="19"/>
  <c r="FL191" i="19"/>
  <c r="FM191" i="19"/>
  <c r="FN191" i="19"/>
  <c r="FO191" i="19"/>
  <c r="FP191" i="19"/>
  <c r="FQ191" i="19"/>
  <c r="FR191" i="19"/>
  <c r="FS191" i="19"/>
  <c r="FT191" i="19"/>
  <c r="FU191" i="19"/>
  <c r="FV191" i="19"/>
  <c r="FW191" i="19"/>
  <c r="FX191" i="19"/>
  <c r="FY191" i="19"/>
  <c r="FZ191" i="19"/>
  <c r="GA191" i="19"/>
  <c r="GB191" i="19"/>
  <c r="GC191" i="19"/>
  <c r="GD191" i="19"/>
  <c r="GE191" i="19"/>
  <c r="GF191" i="19"/>
  <c r="GG191" i="19"/>
  <c r="GH191" i="19"/>
  <c r="GI191" i="19"/>
  <c r="GJ191" i="19"/>
  <c r="GK191" i="19"/>
  <c r="GL191" i="19"/>
  <c r="GM191" i="19"/>
  <c r="GN191" i="19"/>
  <c r="GO191" i="19"/>
  <c r="GP191" i="19"/>
  <c r="GQ191" i="19"/>
  <c r="GR191" i="19"/>
  <c r="GS191" i="19"/>
  <c r="GT191" i="19"/>
  <c r="GU191" i="19"/>
  <c r="GV191" i="19"/>
  <c r="GW191" i="19"/>
  <c r="GX191" i="19"/>
  <c r="GY191" i="19"/>
  <c r="GZ191" i="19"/>
  <c r="HA191" i="19"/>
  <c r="HB191" i="19"/>
  <c r="HC191" i="19"/>
  <c r="HD191" i="19"/>
  <c r="HE191" i="19"/>
  <c r="HF191" i="19"/>
  <c r="HG191" i="19"/>
  <c r="HH191" i="19"/>
  <c r="HI191" i="19"/>
  <c r="HJ191" i="19"/>
  <c r="HK191" i="19"/>
  <c r="HL191" i="19"/>
  <c r="HM191" i="19"/>
  <c r="HN191" i="19"/>
  <c r="HO191" i="19"/>
  <c r="HP191" i="19"/>
  <c r="HQ191" i="19"/>
  <c r="HR191" i="19"/>
  <c r="HS191" i="19"/>
  <c r="HT191" i="19"/>
  <c r="HU191" i="19"/>
  <c r="HV191" i="19"/>
  <c r="HW191" i="19"/>
  <c r="HX191" i="19"/>
  <c r="HY191" i="19"/>
  <c r="HZ191" i="19"/>
  <c r="IA191" i="19"/>
  <c r="IB191" i="19"/>
  <c r="IC191" i="19"/>
  <c r="ID191" i="19"/>
  <c r="IE191" i="19"/>
  <c r="IF191" i="19"/>
  <c r="IG191" i="19"/>
  <c r="IH191" i="19"/>
  <c r="II191" i="19"/>
  <c r="IJ191" i="19"/>
  <c r="IK191" i="19"/>
  <c r="IL191" i="19"/>
  <c r="IM191" i="19"/>
  <c r="IN191" i="19"/>
  <c r="IO191" i="19"/>
  <c r="IP191" i="19"/>
  <c r="IQ191" i="19"/>
  <c r="IR191" i="19"/>
  <c r="IS191" i="19"/>
  <c r="IT191" i="19"/>
  <c r="IU191" i="19"/>
  <c r="IV191" i="19"/>
  <c r="F192" i="19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T192" i="19"/>
  <c r="U192" i="19"/>
  <c r="V192" i="19"/>
  <c r="W192" i="19"/>
  <c r="X192" i="19"/>
  <c r="Y192" i="19"/>
  <c r="Z192" i="19"/>
  <c r="AA192" i="19"/>
  <c r="AB192" i="19"/>
  <c r="AC192" i="19"/>
  <c r="AD192" i="19"/>
  <c r="AE192" i="19"/>
  <c r="AF192" i="19"/>
  <c r="AG192" i="19"/>
  <c r="AH192" i="19"/>
  <c r="AI192" i="19"/>
  <c r="AJ192" i="19"/>
  <c r="AK192" i="19"/>
  <c r="AL192" i="19"/>
  <c r="AM192" i="19"/>
  <c r="AN192" i="19"/>
  <c r="AO192" i="19"/>
  <c r="AP192" i="19"/>
  <c r="AQ192" i="19"/>
  <c r="AR192" i="19"/>
  <c r="AS192" i="19"/>
  <c r="AT192" i="19"/>
  <c r="AU192" i="19"/>
  <c r="AV192" i="19"/>
  <c r="AW192" i="19"/>
  <c r="AX192" i="19"/>
  <c r="AY192" i="19"/>
  <c r="AZ192" i="19"/>
  <c r="BA192" i="19"/>
  <c r="BB192" i="19"/>
  <c r="BC192" i="19"/>
  <c r="BD192" i="19"/>
  <c r="BE192" i="19"/>
  <c r="BF192" i="19"/>
  <c r="BG192" i="19"/>
  <c r="BH192" i="19"/>
  <c r="BI192" i="19"/>
  <c r="BJ192" i="19"/>
  <c r="BK192" i="19"/>
  <c r="BL192" i="19"/>
  <c r="BM192" i="19"/>
  <c r="BN192" i="19"/>
  <c r="BO192" i="19"/>
  <c r="BP192" i="19"/>
  <c r="BQ192" i="19"/>
  <c r="BR192" i="19"/>
  <c r="BS192" i="19"/>
  <c r="BT192" i="19"/>
  <c r="BU192" i="19"/>
  <c r="BV192" i="19"/>
  <c r="BW192" i="19"/>
  <c r="BX192" i="19"/>
  <c r="BY192" i="19"/>
  <c r="BZ192" i="19"/>
  <c r="CA192" i="19"/>
  <c r="CB192" i="19"/>
  <c r="CC192" i="19"/>
  <c r="CD192" i="19"/>
  <c r="CE192" i="19"/>
  <c r="CF192" i="19"/>
  <c r="CG192" i="19"/>
  <c r="CH192" i="19"/>
  <c r="CI192" i="19"/>
  <c r="CJ192" i="19"/>
  <c r="CK192" i="19"/>
  <c r="CL192" i="19"/>
  <c r="CM192" i="19"/>
  <c r="CN192" i="19"/>
  <c r="CO192" i="19"/>
  <c r="CP192" i="19"/>
  <c r="CQ192" i="19"/>
  <c r="CR192" i="19"/>
  <c r="CS192" i="19"/>
  <c r="CT192" i="19"/>
  <c r="CU192" i="19"/>
  <c r="CV192" i="19"/>
  <c r="CW192" i="19"/>
  <c r="CX192" i="19"/>
  <c r="CY192" i="19"/>
  <c r="CZ192" i="19"/>
  <c r="DA192" i="19"/>
  <c r="DB192" i="19"/>
  <c r="DC192" i="19"/>
  <c r="DD192" i="19"/>
  <c r="DE192" i="19"/>
  <c r="DF192" i="19"/>
  <c r="DG192" i="19"/>
  <c r="DH192" i="19"/>
  <c r="DI192" i="19"/>
  <c r="DJ192" i="19"/>
  <c r="DK192" i="19"/>
  <c r="DL192" i="19"/>
  <c r="DM192" i="19"/>
  <c r="DN192" i="19"/>
  <c r="DO192" i="19"/>
  <c r="DP192" i="19"/>
  <c r="DQ192" i="19"/>
  <c r="DR192" i="19"/>
  <c r="DS192" i="19"/>
  <c r="DT192" i="19"/>
  <c r="DU192" i="19"/>
  <c r="DV192" i="19"/>
  <c r="DW192" i="19"/>
  <c r="DX192" i="19"/>
  <c r="DY192" i="19"/>
  <c r="DZ192" i="19"/>
  <c r="EA192" i="19"/>
  <c r="EB192" i="19"/>
  <c r="EC192" i="19"/>
  <c r="ED192" i="19"/>
  <c r="EE192" i="19"/>
  <c r="EF192" i="19"/>
  <c r="EG192" i="19"/>
  <c r="EH192" i="19"/>
  <c r="EI192" i="19"/>
  <c r="EJ192" i="19"/>
  <c r="EK192" i="19"/>
  <c r="EL192" i="19"/>
  <c r="EM192" i="19"/>
  <c r="EN192" i="19"/>
  <c r="EO192" i="19"/>
  <c r="EP192" i="19"/>
  <c r="EQ192" i="19"/>
  <c r="ER192" i="19"/>
  <c r="ES192" i="19"/>
  <c r="ET192" i="19"/>
  <c r="EU192" i="19"/>
  <c r="EV192" i="19"/>
  <c r="EW192" i="19"/>
  <c r="EX192" i="19"/>
  <c r="EY192" i="19"/>
  <c r="EZ192" i="19"/>
  <c r="FA192" i="19"/>
  <c r="FB192" i="19"/>
  <c r="FC192" i="19"/>
  <c r="FD192" i="19"/>
  <c r="FE192" i="19"/>
  <c r="FF192" i="19"/>
  <c r="FG192" i="19"/>
  <c r="FH192" i="19"/>
  <c r="FI192" i="19"/>
  <c r="FJ192" i="19"/>
  <c r="FK192" i="19"/>
  <c r="FL192" i="19"/>
  <c r="FM192" i="19"/>
  <c r="FN192" i="19"/>
  <c r="FO192" i="19"/>
  <c r="FP192" i="19"/>
  <c r="FQ192" i="19"/>
  <c r="FR192" i="19"/>
  <c r="FS192" i="19"/>
  <c r="FT192" i="19"/>
  <c r="FU192" i="19"/>
  <c r="FV192" i="19"/>
  <c r="FW192" i="19"/>
  <c r="FX192" i="19"/>
  <c r="FY192" i="19"/>
  <c r="FZ192" i="19"/>
  <c r="GA192" i="19"/>
  <c r="GB192" i="19"/>
  <c r="GC192" i="19"/>
  <c r="GD192" i="19"/>
  <c r="GE192" i="19"/>
  <c r="GF192" i="19"/>
  <c r="GG192" i="19"/>
  <c r="GH192" i="19"/>
  <c r="GI192" i="19"/>
  <c r="GJ192" i="19"/>
  <c r="GK192" i="19"/>
  <c r="GL192" i="19"/>
  <c r="GM192" i="19"/>
  <c r="GN192" i="19"/>
  <c r="GO192" i="19"/>
  <c r="GP192" i="19"/>
  <c r="GQ192" i="19"/>
  <c r="GR192" i="19"/>
  <c r="GS192" i="19"/>
  <c r="GT192" i="19"/>
  <c r="GU192" i="19"/>
  <c r="GV192" i="19"/>
  <c r="GW192" i="19"/>
  <c r="GX192" i="19"/>
  <c r="GY192" i="19"/>
  <c r="GZ192" i="19"/>
  <c r="HA192" i="19"/>
  <c r="HB192" i="19"/>
  <c r="HC192" i="19"/>
  <c r="HD192" i="19"/>
  <c r="HE192" i="19"/>
  <c r="HF192" i="19"/>
  <c r="HG192" i="19"/>
  <c r="HH192" i="19"/>
  <c r="HI192" i="19"/>
  <c r="HJ192" i="19"/>
  <c r="HK192" i="19"/>
  <c r="HL192" i="19"/>
  <c r="HM192" i="19"/>
  <c r="HN192" i="19"/>
  <c r="HO192" i="19"/>
  <c r="HP192" i="19"/>
  <c r="HQ192" i="19"/>
  <c r="HR192" i="19"/>
  <c r="HS192" i="19"/>
  <c r="HT192" i="19"/>
  <c r="HU192" i="19"/>
  <c r="HV192" i="19"/>
  <c r="HW192" i="19"/>
  <c r="HX192" i="19"/>
  <c r="HY192" i="19"/>
  <c r="HZ192" i="19"/>
  <c r="IA192" i="19"/>
  <c r="IB192" i="19"/>
  <c r="IC192" i="19"/>
  <c r="ID192" i="19"/>
  <c r="IE192" i="19"/>
  <c r="IF192" i="19"/>
  <c r="IG192" i="19"/>
  <c r="IH192" i="19"/>
  <c r="II192" i="19"/>
  <c r="IJ192" i="19"/>
  <c r="IK192" i="19"/>
  <c r="IL192" i="19"/>
  <c r="IM192" i="19"/>
  <c r="IN192" i="19"/>
  <c r="IO192" i="19"/>
  <c r="IP192" i="19"/>
  <c r="IQ192" i="19"/>
  <c r="IR192" i="19"/>
  <c r="IS192" i="19"/>
  <c r="IT192" i="19"/>
  <c r="IU192" i="19"/>
  <c r="IV192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T193" i="19"/>
  <c r="U193" i="19"/>
  <c r="V193" i="19"/>
  <c r="W193" i="19"/>
  <c r="X193" i="19"/>
  <c r="Y193" i="19"/>
  <c r="Z193" i="19"/>
  <c r="AA193" i="19"/>
  <c r="AB193" i="19"/>
  <c r="AC193" i="19"/>
  <c r="AD193" i="19"/>
  <c r="AE193" i="19"/>
  <c r="AF193" i="19"/>
  <c r="AG193" i="19"/>
  <c r="AH193" i="19"/>
  <c r="AI193" i="19"/>
  <c r="AJ193" i="19"/>
  <c r="AK193" i="19"/>
  <c r="AL193" i="19"/>
  <c r="AM193" i="19"/>
  <c r="AN193" i="19"/>
  <c r="AO193" i="19"/>
  <c r="AP193" i="19"/>
  <c r="AQ193" i="19"/>
  <c r="AR193" i="19"/>
  <c r="AS193" i="19"/>
  <c r="AT193" i="19"/>
  <c r="AU193" i="19"/>
  <c r="AV193" i="19"/>
  <c r="AW193" i="19"/>
  <c r="AX193" i="19"/>
  <c r="AY193" i="19"/>
  <c r="AZ193" i="19"/>
  <c r="BA193" i="19"/>
  <c r="BB193" i="19"/>
  <c r="BC193" i="19"/>
  <c r="BD193" i="19"/>
  <c r="BE193" i="19"/>
  <c r="BF193" i="19"/>
  <c r="BG193" i="19"/>
  <c r="BH193" i="19"/>
  <c r="BI193" i="19"/>
  <c r="BJ193" i="19"/>
  <c r="BK193" i="19"/>
  <c r="BL193" i="19"/>
  <c r="BM193" i="19"/>
  <c r="BN193" i="19"/>
  <c r="BO193" i="19"/>
  <c r="BP193" i="19"/>
  <c r="BQ193" i="19"/>
  <c r="BR193" i="19"/>
  <c r="BS193" i="19"/>
  <c r="BT193" i="19"/>
  <c r="BU193" i="19"/>
  <c r="BV193" i="19"/>
  <c r="BW193" i="19"/>
  <c r="BX193" i="19"/>
  <c r="BY193" i="19"/>
  <c r="BZ193" i="19"/>
  <c r="CA193" i="19"/>
  <c r="CB193" i="19"/>
  <c r="CC193" i="19"/>
  <c r="CD193" i="19"/>
  <c r="CE193" i="19"/>
  <c r="CF193" i="19"/>
  <c r="CG193" i="19"/>
  <c r="CH193" i="19"/>
  <c r="CI193" i="19"/>
  <c r="CJ193" i="19"/>
  <c r="CK193" i="19"/>
  <c r="CL193" i="19"/>
  <c r="CM193" i="19"/>
  <c r="CN193" i="19"/>
  <c r="CO193" i="19"/>
  <c r="CP193" i="19"/>
  <c r="CQ193" i="19"/>
  <c r="CR193" i="19"/>
  <c r="CS193" i="19"/>
  <c r="CT193" i="19"/>
  <c r="CU193" i="19"/>
  <c r="CV193" i="19"/>
  <c r="CW193" i="19"/>
  <c r="CX193" i="19"/>
  <c r="CY193" i="19"/>
  <c r="CZ193" i="19"/>
  <c r="DA193" i="19"/>
  <c r="DB193" i="19"/>
  <c r="DC193" i="19"/>
  <c r="DD193" i="19"/>
  <c r="DE193" i="19"/>
  <c r="DF193" i="19"/>
  <c r="DG193" i="19"/>
  <c r="DH193" i="19"/>
  <c r="DI193" i="19"/>
  <c r="DJ193" i="19"/>
  <c r="DK193" i="19"/>
  <c r="DL193" i="19"/>
  <c r="DM193" i="19"/>
  <c r="DN193" i="19"/>
  <c r="DO193" i="19"/>
  <c r="DP193" i="19"/>
  <c r="DQ193" i="19"/>
  <c r="DR193" i="19"/>
  <c r="DS193" i="19"/>
  <c r="DT193" i="19"/>
  <c r="DU193" i="19"/>
  <c r="DV193" i="19"/>
  <c r="DW193" i="19"/>
  <c r="DX193" i="19"/>
  <c r="DY193" i="19"/>
  <c r="DZ193" i="19"/>
  <c r="EA193" i="19"/>
  <c r="EB193" i="19"/>
  <c r="EC193" i="19"/>
  <c r="ED193" i="19"/>
  <c r="EE193" i="19"/>
  <c r="EF193" i="19"/>
  <c r="EG193" i="19"/>
  <c r="EH193" i="19"/>
  <c r="EI193" i="19"/>
  <c r="EJ193" i="19"/>
  <c r="EK193" i="19"/>
  <c r="EL193" i="19"/>
  <c r="EM193" i="19"/>
  <c r="EN193" i="19"/>
  <c r="EO193" i="19"/>
  <c r="EP193" i="19"/>
  <c r="EQ193" i="19"/>
  <c r="ER193" i="19"/>
  <c r="ES193" i="19"/>
  <c r="ET193" i="19"/>
  <c r="EU193" i="19"/>
  <c r="EV193" i="19"/>
  <c r="EW193" i="19"/>
  <c r="EX193" i="19"/>
  <c r="EY193" i="19"/>
  <c r="EZ193" i="19"/>
  <c r="FA193" i="19"/>
  <c r="FB193" i="19"/>
  <c r="FC193" i="19"/>
  <c r="FD193" i="19"/>
  <c r="FE193" i="19"/>
  <c r="FF193" i="19"/>
  <c r="FG193" i="19"/>
  <c r="FH193" i="19"/>
  <c r="FI193" i="19"/>
  <c r="FJ193" i="19"/>
  <c r="FK193" i="19"/>
  <c r="FL193" i="19"/>
  <c r="FM193" i="19"/>
  <c r="FN193" i="19"/>
  <c r="FO193" i="19"/>
  <c r="FP193" i="19"/>
  <c r="FQ193" i="19"/>
  <c r="FR193" i="19"/>
  <c r="FS193" i="19"/>
  <c r="FT193" i="19"/>
  <c r="FU193" i="19"/>
  <c r="FV193" i="19"/>
  <c r="FW193" i="19"/>
  <c r="FX193" i="19"/>
  <c r="FY193" i="19"/>
  <c r="FZ193" i="19"/>
  <c r="GA193" i="19"/>
  <c r="GB193" i="19"/>
  <c r="GC193" i="19"/>
  <c r="GD193" i="19"/>
  <c r="GE193" i="19"/>
  <c r="GF193" i="19"/>
  <c r="GG193" i="19"/>
  <c r="GH193" i="19"/>
  <c r="GI193" i="19"/>
  <c r="GJ193" i="19"/>
  <c r="GK193" i="19"/>
  <c r="GL193" i="19"/>
  <c r="GM193" i="19"/>
  <c r="GN193" i="19"/>
  <c r="GO193" i="19"/>
  <c r="GP193" i="19"/>
  <c r="GQ193" i="19"/>
  <c r="GR193" i="19"/>
  <c r="GS193" i="19"/>
  <c r="GT193" i="19"/>
  <c r="GU193" i="19"/>
  <c r="GV193" i="19"/>
  <c r="GW193" i="19"/>
  <c r="GX193" i="19"/>
  <c r="GY193" i="19"/>
  <c r="GZ193" i="19"/>
  <c r="HA193" i="19"/>
  <c r="HB193" i="19"/>
  <c r="HC193" i="19"/>
  <c r="HD193" i="19"/>
  <c r="HE193" i="19"/>
  <c r="HF193" i="19"/>
  <c r="HG193" i="19"/>
  <c r="HH193" i="19"/>
  <c r="HI193" i="19"/>
  <c r="HJ193" i="19"/>
  <c r="HK193" i="19"/>
  <c r="HL193" i="19"/>
  <c r="HM193" i="19"/>
  <c r="HN193" i="19"/>
  <c r="HO193" i="19"/>
  <c r="HP193" i="19"/>
  <c r="HQ193" i="19"/>
  <c r="HR193" i="19"/>
  <c r="HS193" i="19"/>
  <c r="HT193" i="19"/>
  <c r="HU193" i="19"/>
  <c r="HV193" i="19"/>
  <c r="HW193" i="19"/>
  <c r="HX193" i="19"/>
  <c r="HY193" i="19"/>
  <c r="HZ193" i="19"/>
  <c r="IA193" i="19"/>
  <c r="IB193" i="19"/>
  <c r="IC193" i="19"/>
  <c r="ID193" i="19"/>
  <c r="IE193" i="19"/>
  <c r="IF193" i="19"/>
  <c r="IG193" i="19"/>
  <c r="IH193" i="19"/>
  <c r="II193" i="19"/>
  <c r="IJ193" i="19"/>
  <c r="IK193" i="19"/>
  <c r="IL193" i="19"/>
  <c r="IM193" i="19"/>
  <c r="IN193" i="19"/>
  <c r="IO193" i="19"/>
  <c r="IP193" i="19"/>
  <c r="IQ193" i="19"/>
  <c r="IR193" i="19"/>
  <c r="IS193" i="19"/>
  <c r="IT193" i="19"/>
  <c r="IU193" i="19"/>
  <c r="IV193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T194" i="19"/>
  <c r="U194" i="19"/>
  <c r="V194" i="19"/>
  <c r="W194" i="19"/>
  <c r="X194" i="19"/>
  <c r="Y194" i="19"/>
  <c r="Z194" i="19"/>
  <c r="AA194" i="19"/>
  <c r="AB194" i="19"/>
  <c r="AC194" i="19"/>
  <c r="AD194" i="19"/>
  <c r="AE194" i="19"/>
  <c r="AF194" i="19"/>
  <c r="AG194" i="19"/>
  <c r="AH194" i="19"/>
  <c r="AI194" i="19"/>
  <c r="AJ194" i="19"/>
  <c r="AK194" i="19"/>
  <c r="AL194" i="19"/>
  <c r="AM194" i="19"/>
  <c r="AN194" i="19"/>
  <c r="AO194" i="19"/>
  <c r="AP194" i="19"/>
  <c r="AQ194" i="19"/>
  <c r="AR194" i="19"/>
  <c r="AS194" i="19"/>
  <c r="AT194" i="19"/>
  <c r="AU194" i="19"/>
  <c r="AV194" i="19"/>
  <c r="AW194" i="19"/>
  <c r="AX194" i="19"/>
  <c r="AY194" i="19"/>
  <c r="AZ194" i="19"/>
  <c r="BA194" i="19"/>
  <c r="BB194" i="19"/>
  <c r="BC194" i="19"/>
  <c r="BD194" i="19"/>
  <c r="BE194" i="19"/>
  <c r="BF194" i="19"/>
  <c r="BG194" i="19"/>
  <c r="BH194" i="19"/>
  <c r="BI194" i="19"/>
  <c r="BJ194" i="19"/>
  <c r="BK194" i="19"/>
  <c r="BL194" i="19"/>
  <c r="BM194" i="19"/>
  <c r="BN194" i="19"/>
  <c r="BO194" i="19"/>
  <c r="BP194" i="19"/>
  <c r="BQ194" i="19"/>
  <c r="BR194" i="19"/>
  <c r="BS194" i="19"/>
  <c r="BT194" i="19"/>
  <c r="BU194" i="19"/>
  <c r="BV194" i="19"/>
  <c r="BW194" i="19"/>
  <c r="BX194" i="19"/>
  <c r="BY194" i="19"/>
  <c r="BZ194" i="19"/>
  <c r="CA194" i="19"/>
  <c r="CB194" i="19"/>
  <c r="CC194" i="19"/>
  <c r="CD194" i="19"/>
  <c r="CE194" i="19"/>
  <c r="CF194" i="19"/>
  <c r="CG194" i="19"/>
  <c r="CH194" i="19"/>
  <c r="CI194" i="19"/>
  <c r="CJ194" i="19"/>
  <c r="CK194" i="19"/>
  <c r="CL194" i="19"/>
  <c r="CM194" i="19"/>
  <c r="CN194" i="19"/>
  <c r="CO194" i="19"/>
  <c r="CP194" i="19"/>
  <c r="CQ194" i="19"/>
  <c r="CR194" i="19"/>
  <c r="CS194" i="19"/>
  <c r="CT194" i="19"/>
  <c r="CU194" i="19"/>
  <c r="CV194" i="19"/>
  <c r="CW194" i="19"/>
  <c r="CX194" i="19"/>
  <c r="CY194" i="19"/>
  <c r="CZ194" i="19"/>
  <c r="DA194" i="19"/>
  <c r="DB194" i="19"/>
  <c r="DC194" i="19"/>
  <c r="DD194" i="19"/>
  <c r="DE194" i="19"/>
  <c r="DF194" i="19"/>
  <c r="DG194" i="19"/>
  <c r="DH194" i="19"/>
  <c r="DI194" i="19"/>
  <c r="DJ194" i="19"/>
  <c r="DK194" i="19"/>
  <c r="DL194" i="19"/>
  <c r="DM194" i="19"/>
  <c r="DN194" i="19"/>
  <c r="DO194" i="19"/>
  <c r="DP194" i="19"/>
  <c r="DQ194" i="19"/>
  <c r="DR194" i="19"/>
  <c r="DS194" i="19"/>
  <c r="DT194" i="19"/>
  <c r="DU194" i="19"/>
  <c r="DV194" i="19"/>
  <c r="DW194" i="19"/>
  <c r="DX194" i="19"/>
  <c r="DY194" i="19"/>
  <c r="DZ194" i="19"/>
  <c r="EA194" i="19"/>
  <c r="EB194" i="19"/>
  <c r="EC194" i="19"/>
  <c r="ED194" i="19"/>
  <c r="EE194" i="19"/>
  <c r="EF194" i="19"/>
  <c r="EG194" i="19"/>
  <c r="EH194" i="19"/>
  <c r="EI194" i="19"/>
  <c r="EJ194" i="19"/>
  <c r="EK194" i="19"/>
  <c r="EL194" i="19"/>
  <c r="EM194" i="19"/>
  <c r="EN194" i="19"/>
  <c r="EO194" i="19"/>
  <c r="EP194" i="19"/>
  <c r="EQ194" i="19"/>
  <c r="ER194" i="19"/>
  <c r="ES194" i="19"/>
  <c r="ET194" i="19"/>
  <c r="EU194" i="19"/>
  <c r="EV194" i="19"/>
  <c r="EW194" i="19"/>
  <c r="EX194" i="19"/>
  <c r="EY194" i="19"/>
  <c r="EZ194" i="19"/>
  <c r="FA194" i="19"/>
  <c r="FB194" i="19"/>
  <c r="FC194" i="19"/>
  <c r="FD194" i="19"/>
  <c r="FE194" i="19"/>
  <c r="FF194" i="19"/>
  <c r="FG194" i="19"/>
  <c r="FH194" i="19"/>
  <c r="FI194" i="19"/>
  <c r="FJ194" i="19"/>
  <c r="FK194" i="19"/>
  <c r="FL194" i="19"/>
  <c r="FM194" i="19"/>
  <c r="FN194" i="19"/>
  <c r="FO194" i="19"/>
  <c r="FP194" i="19"/>
  <c r="FQ194" i="19"/>
  <c r="FR194" i="19"/>
  <c r="FS194" i="19"/>
  <c r="FT194" i="19"/>
  <c r="FU194" i="19"/>
  <c r="FV194" i="19"/>
  <c r="FW194" i="19"/>
  <c r="FX194" i="19"/>
  <c r="FY194" i="19"/>
  <c r="FZ194" i="19"/>
  <c r="GA194" i="19"/>
  <c r="GB194" i="19"/>
  <c r="GC194" i="19"/>
  <c r="GD194" i="19"/>
  <c r="GE194" i="19"/>
  <c r="GF194" i="19"/>
  <c r="GG194" i="19"/>
  <c r="GH194" i="19"/>
  <c r="GI194" i="19"/>
  <c r="GJ194" i="19"/>
  <c r="GK194" i="19"/>
  <c r="GL194" i="19"/>
  <c r="GM194" i="19"/>
  <c r="GN194" i="19"/>
  <c r="GO194" i="19"/>
  <c r="GP194" i="19"/>
  <c r="GQ194" i="19"/>
  <c r="GR194" i="19"/>
  <c r="GS194" i="19"/>
  <c r="GT194" i="19"/>
  <c r="GU194" i="19"/>
  <c r="GV194" i="19"/>
  <c r="GW194" i="19"/>
  <c r="GX194" i="19"/>
  <c r="GY194" i="19"/>
  <c r="GZ194" i="19"/>
  <c r="HA194" i="19"/>
  <c r="HB194" i="19"/>
  <c r="HC194" i="19"/>
  <c r="HD194" i="19"/>
  <c r="HE194" i="19"/>
  <c r="HF194" i="19"/>
  <c r="HG194" i="19"/>
  <c r="HH194" i="19"/>
  <c r="HI194" i="19"/>
  <c r="HJ194" i="19"/>
  <c r="HK194" i="19"/>
  <c r="HL194" i="19"/>
  <c r="HM194" i="19"/>
  <c r="HN194" i="19"/>
  <c r="HO194" i="19"/>
  <c r="HP194" i="19"/>
  <c r="HQ194" i="19"/>
  <c r="HR194" i="19"/>
  <c r="HS194" i="19"/>
  <c r="HT194" i="19"/>
  <c r="HU194" i="19"/>
  <c r="HV194" i="19"/>
  <c r="HW194" i="19"/>
  <c r="HX194" i="19"/>
  <c r="HY194" i="19"/>
  <c r="HZ194" i="19"/>
  <c r="IA194" i="19"/>
  <c r="IB194" i="19"/>
  <c r="IC194" i="19"/>
  <c r="ID194" i="19"/>
  <c r="IE194" i="19"/>
  <c r="IF194" i="19"/>
  <c r="IG194" i="19"/>
  <c r="IH194" i="19"/>
  <c r="II194" i="19"/>
  <c r="IJ194" i="19"/>
  <c r="IK194" i="19"/>
  <c r="IL194" i="19"/>
  <c r="IM194" i="19"/>
  <c r="IN194" i="19"/>
  <c r="IO194" i="19"/>
  <c r="IP194" i="19"/>
  <c r="IQ194" i="19"/>
  <c r="IR194" i="19"/>
  <c r="IS194" i="19"/>
  <c r="IT194" i="19"/>
  <c r="IU194" i="19"/>
  <c r="IV194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T195" i="19"/>
  <c r="U195" i="19"/>
  <c r="V195" i="19"/>
  <c r="W195" i="19"/>
  <c r="X195" i="19"/>
  <c r="Y195" i="19"/>
  <c r="Z195" i="19"/>
  <c r="AA195" i="19"/>
  <c r="AB195" i="19"/>
  <c r="AC195" i="19"/>
  <c r="AD195" i="19"/>
  <c r="AE195" i="19"/>
  <c r="AF195" i="19"/>
  <c r="AG195" i="19"/>
  <c r="AH195" i="19"/>
  <c r="AI195" i="19"/>
  <c r="AJ195" i="19"/>
  <c r="AK195" i="19"/>
  <c r="AL195" i="19"/>
  <c r="AM195" i="19"/>
  <c r="AN195" i="19"/>
  <c r="AO195" i="19"/>
  <c r="AP195" i="19"/>
  <c r="AQ195" i="19"/>
  <c r="AR195" i="19"/>
  <c r="AS195" i="19"/>
  <c r="AT195" i="19"/>
  <c r="AU195" i="19"/>
  <c r="AV195" i="19"/>
  <c r="AW195" i="19"/>
  <c r="AX195" i="19"/>
  <c r="AY195" i="19"/>
  <c r="AZ195" i="19"/>
  <c r="BA195" i="19"/>
  <c r="BB195" i="19"/>
  <c r="BC195" i="19"/>
  <c r="BD195" i="19"/>
  <c r="BE195" i="19"/>
  <c r="BF195" i="19"/>
  <c r="BG195" i="19"/>
  <c r="BH195" i="19"/>
  <c r="BI195" i="19"/>
  <c r="BJ195" i="19"/>
  <c r="BK195" i="19"/>
  <c r="BL195" i="19"/>
  <c r="BM195" i="19"/>
  <c r="BN195" i="19"/>
  <c r="BO195" i="19"/>
  <c r="BP195" i="19"/>
  <c r="BQ195" i="19"/>
  <c r="BR195" i="19"/>
  <c r="BS195" i="19"/>
  <c r="BT195" i="19"/>
  <c r="BU195" i="19"/>
  <c r="BV195" i="19"/>
  <c r="BW195" i="19"/>
  <c r="BX195" i="19"/>
  <c r="BY195" i="19"/>
  <c r="BZ195" i="19"/>
  <c r="CA195" i="19"/>
  <c r="CB195" i="19"/>
  <c r="CC195" i="19"/>
  <c r="CD195" i="19"/>
  <c r="CE195" i="19"/>
  <c r="CF195" i="19"/>
  <c r="CG195" i="19"/>
  <c r="CH195" i="19"/>
  <c r="CI195" i="19"/>
  <c r="CJ195" i="19"/>
  <c r="CK195" i="19"/>
  <c r="CL195" i="19"/>
  <c r="CM195" i="19"/>
  <c r="CN195" i="19"/>
  <c r="CO195" i="19"/>
  <c r="CP195" i="19"/>
  <c r="CQ195" i="19"/>
  <c r="CR195" i="19"/>
  <c r="CS195" i="19"/>
  <c r="CT195" i="19"/>
  <c r="CU195" i="19"/>
  <c r="CV195" i="19"/>
  <c r="CW195" i="19"/>
  <c r="CX195" i="19"/>
  <c r="CY195" i="19"/>
  <c r="CZ195" i="19"/>
  <c r="DA195" i="19"/>
  <c r="DB195" i="19"/>
  <c r="DC195" i="19"/>
  <c r="DD195" i="19"/>
  <c r="DE195" i="19"/>
  <c r="DF195" i="19"/>
  <c r="DG195" i="19"/>
  <c r="DH195" i="19"/>
  <c r="DI195" i="19"/>
  <c r="DJ195" i="19"/>
  <c r="DK195" i="19"/>
  <c r="DL195" i="19"/>
  <c r="DM195" i="19"/>
  <c r="DN195" i="19"/>
  <c r="DO195" i="19"/>
  <c r="DP195" i="19"/>
  <c r="DQ195" i="19"/>
  <c r="DR195" i="19"/>
  <c r="DS195" i="19"/>
  <c r="DT195" i="19"/>
  <c r="DU195" i="19"/>
  <c r="DV195" i="19"/>
  <c r="DW195" i="19"/>
  <c r="DX195" i="19"/>
  <c r="DY195" i="19"/>
  <c r="DZ195" i="19"/>
  <c r="EA195" i="19"/>
  <c r="EB195" i="19"/>
  <c r="EC195" i="19"/>
  <c r="ED195" i="19"/>
  <c r="EE195" i="19"/>
  <c r="EF195" i="19"/>
  <c r="EG195" i="19"/>
  <c r="EH195" i="19"/>
  <c r="EI195" i="19"/>
  <c r="EJ195" i="19"/>
  <c r="EK195" i="19"/>
  <c r="EL195" i="19"/>
  <c r="EM195" i="19"/>
  <c r="EN195" i="19"/>
  <c r="EO195" i="19"/>
  <c r="EP195" i="19"/>
  <c r="EQ195" i="19"/>
  <c r="ER195" i="19"/>
  <c r="ES195" i="19"/>
  <c r="ET195" i="19"/>
  <c r="EU195" i="19"/>
  <c r="EV195" i="19"/>
  <c r="EW195" i="19"/>
  <c r="EX195" i="19"/>
  <c r="EY195" i="19"/>
  <c r="EZ195" i="19"/>
  <c r="FA195" i="19"/>
  <c r="FB195" i="19"/>
  <c r="FC195" i="19"/>
  <c r="FD195" i="19"/>
  <c r="FE195" i="19"/>
  <c r="FF195" i="19"/>
  <c r="FG195" i="19"/>
  <c r="FH195" i="19"/>
  <c r="FI195" i="19"/>
  <c r="FJ195" i="19"/>
  <c r="FK195" i="19"/>
  <c r="FL195" i="19"/>
  <c r="FM195" i="19"/>
  <c r="FN195" i="19"/>
  <c r="FO195" i="19"/>
  <c r="FP195" i="19"/>
  <c r="FQ195" i="19"/>
  <c r="FR195" i="19"/>
  <c r="FS195" i="19"/>
  <c r="FT195" i="19"/>
  <c r="FU195" i="19"/>
  <c r="FV195" i="19"/>
  <c r="FW195" i="19"/>
  <c r="FX195" i="19"/>
  <c r="FY195" i="19"/>
  <c r="FZ195" i="19"/>
  <c r="GA195" i="19"/>
  <c r="GB195" i="19"/>
  <c r="GC195" i="19"/>
  <c r="GD195" i="19"/>
  <c r="GE195" i="19"/>
  <c r="GF195" i="19"/>
  <c r="GG195" i="19"/>
  <c r="GH195" i="19"/>
  <c r="GI195" i="19"/>
  <c r="GJ195" i="19"/>
  <c r="GK195" i="19"/>
  <c r="GL195" i="19"/>
  <c r="GM195" i="19"/>
  <c r="GN195" i="19"/>
  <c r="GO195" i="19"/>
  <c r="GP195" i="19"/>
  <c r="GQ195" i="19"/>
  <c r="GR195" i="19"/>
  <c r="GS195" i="19"/>
  <c r="GT195" i="19"/>
  <c r="GU195" i="19"/>
  <c r="GV195" i="19"/>
  <c r="GW195" i="19"/>
  <c r="GX195" i="19"/>
  <c r="GY195" i="19"/>
  <c r="GZ195" i="19"/>
  <c r="HA195" i="19"/>
  <c r="HB195" i="19"/>
  <c r="HC195" i="19"/>
  <c r="HD195" i="19"/>
  <c r="HE195" i="19"/>
  <c r="HF195" i="19"/>
  <c r="HG195" i="19"/>
  <c r="HH195" i="19"/>
  <c r="HI195" i="19"/>
  <c r="HJ195" i="19"/>
  <c r="HK195" i="19"/>
  <c r="HL195" i="19"/>
  <c r="HM195" i="19"/>
  <c r="HN195" i="19"/>
  <c r="HO195" i="19"/>
  <c r="HP195" i="19"/>
  <c r="HQ195" i="19"/>
  <c r="HR195" i="19"/>
  <c r="HS195" i="19"/>
  <c r="HT195" i="19"/>
  <c r="HU195" i="19"/>
  <c r="HV195" i="19"/>
  <c r="HW195" i="19"/>
  <c r="HX195" i="19"/>
  <c r="HY195" i="19"/>
  <c r="HZ195" i="19"/>
  <c r="IA195" i="19"/>
  <c r="IB195" i="19"/>
  <c r="IC195" i="19"/>
  <c r="ID195" i="19"/>
  <c r="IE195" i="19"/>
  <c r="IF195" i="19"/>
  <c r="IG195" i="19"/>
  <c r="IH195" i="19"/>
  <c r="II195" i="19"/>
  <c r="IJ195" i="19"/>
  <c r="IK195" i="19"/>
  <c r="IL195" i="19"/>
  <c r="IM195" i="19"/>
  <c r="IN195" i="19"/>
  <c r="IO195" i="19"/>
  <c r="IP195" i="19"/>
  <c r="IQ195" i="19"/>
  <c r="IR195" i="19"/>
  <c r="IS195" i="19"/>
  <c r="IT195" i="19"/>
  <c r="IU195" i="19"/>
  <c r="IV195" i="19"/>
  <c r="F196" i="19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T196" i="19"/>
  <c r="U196" i="19"/>
  <c r="V196" i="19"/>
  <c r="W196" i="19"/>
  <c r="X196" i="19"/>
  <c r="Y196" i="19"/>
  <c r="Z196" i="19"/>
  <c r="AA196" i="19"/>
  <c r="AB196" i="19"/>
  <c r="AC196" i="19"/>
  <c r="AD196" i="19"/>
  <c r="AE196" i="19"/>
  <c r="AF196" i="19"/>
  <c r="AG196" i="19"/>
  <c r="AH196" i="19"/>
  <c r="AI196" i="19"/>
  <c r="AJ196" i="19"/>
  <c r="AK196" i="19"/>
  <c r="AL196" i="19"/>
  <c r="AM196" i="19"/>
  <c r="AN196" i="19"/>
  <c r="AO196" i="19"/>
  <c r="AP196" i="19"/>
  <c r="AQ196" i="19"/>
  <c r="AR196" i="19"/>
  <c r="AS196" i="19"/>
  <c r="AT196" i="19"/>
  <c r="AU196" i="19"/>
  <c r="AV196" i="19"/>
  <c r="AW196" i="19"/>
  <c r="AX196" i="19"/>
  <c r="AY196" i="19"/>
  <c r="AZ196" i="19"/>
  <c r="BA196" i="19"/>
  <c r="BB196" i="19"/>
  <c r="BC196" i="19"/>
  <c r="BD196" i="19"/>
  <c r="BE196" i="19"/>
  <c r="BF196" i="19"/>
  <c r="BG196" i="19"/>
  <c r="BH196" i="19"/>
  <c r="BI196" i="19"/>
  <c r="BJ196" i="19"/>
  <c r="BK196" i="19"/>
  <c r="BL196" i="19"/>
  <c r="BM196" i="19"/>
  <c r="BN196" i="19"/>
  <c r="BO196" i="19"/>
  <c r="BP196" i="19"/>
  <c r="BQ196" i="19"/>
  <c r="BR196" i="19"/>
  <c r="BS196" i="19"/>
  <c r="BT196" i="19"/>
  <c r="BU196" i="19"/>
  <c r="BV196" i="19"/>
  <c r="BW196" i="19"/>
  <c r="BX196" i="19"/>
  <c r="BY196" i="19"/>
  <c r="BZ196" i="19"/>
  <c r="CA196" i="19"/>
  <c r="CB196" i="19"/>
  <c r="CC196" i="19"/>
  <c r="CD196" i="19"/>
  <c r="CE196" i="19"/>
  <c r="CF196" i="19"/>
  <c r="CG196" i="19"/>
  <c r="CH196" i="19"/>
  <c r="CI196" i="19"/>
  <c r="CJ196" i="19"/>
  <c r="CK196" i="19"/>
  <c r="CL196" i="19"/>
  <c r="CM196" i="19"/>
  <c r="CN196" i="19"/>
  <c r="CO196" i="19"/>
  <c r="CP196" i="19"/>
  <c r="CQ196" i="19"/>
  <c r="CR196" i="19"/>
  <c r="CS196" i="19"/>
  <c r="CT196" i="19"/>
  <c r="CU196" i="19"/>
  <c r="CV196" i="19"/>
  <c r="CW196" i="19"/>
  <c r="CX196" i="19"/>
  <c r="CY196" i="19"/>
  <c r="CZ196" i="19"/>
  <c r="DA196" i="19"/>
  <c r="DB196" i="19"/>
  <c r="DC196" i="19"/>
  <c r="DD196" i="19"/>
  <c r="DE196" i="19"/>
  <c r="DF196" i="19"/>
  <c r="DG196" i="19"/>
  <c r="DH196" i="19"/>
  <c r="DI196" i="19"/>
  <c r="DJ196" i="19"/>
  <c r="DK196" i="19"/>
  <c r="DL196" i="19"/>
  <c r="DM196" i="19"/>
  <c r="DN196" i="19"/>
  <c r="DO196" i="19"/>
  <c r="DP196" i="19"/>
  <c r="DQ196" i="19"/>
  <c r="DR196" i="19"/>
  <c r="DS196" i="19"/>
  <c r="DT196" i="19"/>
  <c r="DU196" i="19"/>
  <c r="DV196" i="19"/>
  <c r="DW196" i="19"/>
  <c r="DX196" i="19"/>
  <c r="DY196" i="19"/>
  <c r="DZ196" i="19"/>
  <c r="EA196" i="19"/>
  <c r="EB196" i="19"/>
  <c r="EC196" i="19"/>
  <c r="ED196" i="19"/>
  <c r="EE196" i="19"/>
  <c r="EF196" i="19"/>
  <c r="EG196" i="19"/>
  <c r="EH196" i="19"/>
  <c r="EI196" i="19"/>
  <c r="EJ196" i="19"/>
  <c r="EK196" i="19"/>
  <c r="EL196" i="19"/>
  <c r="EM196" i="19"/>
  <c r="EN196" i="19"/>
  <c r="EO196" i="19"/>
  <c r="EP196" i="19"/>
  <c r="EQ196" i="19"/>
  <c r="ER196" i="19"/>
  <c r="ES196" i="19"/>
  <c r="ET196" i="19"/>
  <c r="EU196" i="19"/>
  <c r="EV196" i="19"/>
  <c r="EW196" i="19"/>
  <c r="EX196" i="19"/>
  <c r="EY196" i="19"/>
  <c r="EZ196" i="19"/>
  <c r="FA196" i="19"/>
  <c r="FB196" i="19"/>
  <c r="FC196" i="19"/>
  <c r="FD196" i="19"/>
  <c r="FE196" i="19"/>
  <c r="FF196" i="19"/>
  <c r="FG196" i="19"/>
  <c r="FH196" i="19"/>
  <c r="FI196" i="19"/>
  <c r="FJ196" i="19"/>
  <c r="FK196" i="19"/>
  <c r="FL196" i="19"/>
  <c r="FM196" i="19"/>
  <c r="FN196" i="19"/>
  <c r="FO196" i="19"/>
  <c r="FP196" i="19"/>
  <c r="FQ196" i="19"/>
  <c r="FR196" i="19"/>
  <c r="FS196" i="19"/>
  <c r="FT196" i="19"/>
  <c r="FU196" i="19"/>
  <c r="FV196" i="19"/>
  <c r="FW196" i="19"/>
  <c r="FX196" i="19"/>
  <c r="FY196" i="19"/>
  <c r="FZ196" i="19"/>
  <c r="GA196" i="19"/>
  <c r="GB196" i="19"/>
  <c r="GC196" i="19"/>
  <c r="GD196" i="19"/>
  <c r="GE196" i="19"/>
  <c r="GF196" i="19"/>
  <c r="GG196" i="19"/>
  <c r="GH196" i="19"/>
  <c r="GI196" i="19"/>
  <c r="GJ196" i="19"/>
  <c r="GK196" i="19"/>
  <c r="GL196" i="19"/>
  <c r="GM196" i="19"/>
  <c r="GN196" i="19"/>
  <c r="GO196" i="19"/>
  <c r="GP196" i="19"/>
  <c r="GQ196" i="19"/>
  <c r="GR196" i="19"/>
  <c r="GS196" i="19"/>
  <c r="GT196" i="19"/>
  <c r="GU196" i="19"/>
  <c r="GV196" i="19"/>
  <c r="GW196" i="19"/>
  <c r="GX196" i="19"/>
  <c r="GY196" i="19"/>
  <c r="GZ196" i="19"/>
  <c r="HA196" i="19"/>
  <c r="HB196" i="19"/>
  <c r="HC196" i="19"/>
  <c r="HD196" i="19"/>
  <c r="HE196" i="19"/>
  <c r="HF196" i="19"/>
  <c r="HG196" i="19"/>
  <c r="HH196" i="19"/>
  <c r="HI196" i="19"/>
  <c r="HJ196" i="19"/>
  <c r="HK196" i="19"/>
  <c r="HL196" i="19"/>
  <c r="HM196" i="19"/>
  <c r="HN196" i="19"/>
  <c r="HO196" i="19"/>
  <c r="HP196" i="19"/>
  <c r="HQ196" i="19"/>
  <c r="HR196" i="19"/>
  <c r="HS196" i="19"/>
  <c r="HT196" i="19"/>
  <c r="HU196" i="19"/>
  <c r="HV196" i="19"/>
  <c r="HW196" i="19"/>
  <c r="HX196" i="19"/>
  <c r="HY196" i="19"/>
  <c r="HZ196" i="19"/>
  <c r="IA196" i="19"/>
  <c r="IB196" i="19"/>
  <c r="IC196" i="19"/>
  <c r="ID196" i="19"/>
  <c r="IE196" i="19"/>
  <c r="IF196" i="19"/>
  <c r="IG196" i="19"/>
  <c r="IH196" i="19"/>
  <c r="II196" i="19"/>
  <c r="IJ196" i="19"/>
  <c r="IK196" i="19"/>
  <c r="IL196" i="19"/>
  <c r="IM196" i="19"/>
  <c r="IN196" i="19"/>
  <c r="IO196" i="19"/>
  <c r="IP196" i="19"/>
  <c r="IQ196" i="19"/>
  <c r="IR196" i="19"/>
  <c r="IS196" i="19"/>
  <c r="IT196" i="19"/>
  <c r="IU196" i="19"/>
  <c r="IV196" i="19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T197" i="19"/>
  <c r="U197" i="19"/>
  <c r="V197" i="19"/>
  <c r="W197" i="19"/>
  <c r="X197" i="19"/>
  <c r="Y197" i="19"/>
  <c r="Z197" i="19"/>
  <c r="AA197" i="19"/>
  <c r="AB197" i="19"/>
  <c r="AC197" i="19"/>
  <c r="AD197" i="19"/>
  <c r="AE197" i="19"/>
  <c r="AF197" i="19"/>
  <c r="AG197" i="19"/>
  <c r="AH197" i="19"/>
  <c r="AI197" i="19"/>
  <c r="AJ197" i="19"/>
  <c r="AK197" i="19"/>
  <c r="AL197" i="19"/>
  <c r="AM197" i="19"/>
  <c r="AN197" i="19"/>
  <c r="AO197" i="19"/>
  <c r="AP197" i="19"/>
  <c r="AQ197" i="19"/>
  <c r="AR197" i="19"/>
  <c r="AS197" i="19"/>
  <c r="AT197" i="19"/>
  <c r="AU197" i="19"/>
  <c r="AV197" i="19"/>
  <c r="AW197" i="19"/>
  <c r="AX197" i="19"/>
  <c r="AY197" i="19"/>
  <c r="AZ197" i="19"/>
  <c r="BA197" i="19"/>
  <c r="BB197" i="19"/>
  <c r="BC197" i="19"/>
  <c r="BD197" i="19"/>
  <c r="BE197" i="19"/>
  <c r="BF197" i="19"/>
  <c r="BG197" i="19"/>
  <c r="BH197" i="19"/>
  <c r="BI197" i="19"/>
  <c r="BJ197" i="19"/>
  <c r="BK197" i="19"/>
  <c r="BL197" i="19"/>
  <c r="BM197" i="19"/>
  <c r="BN197" i="19"/>
  <c r="BO197" i="19"/>
  <c r="BP197" i="19"/>
  <c r="BQ197" i="19"/>
  <c r="BR197" i="19"/>
  <c r="BS197" i="19"/>
  <c r="BT197" i="19"/>
  <c r="BU197" i="19"/>
  <c r="BV197" i="19"/>
  <c r="BW197" i="19"/>
  <c r="BX197" i="19"/>
  <c r="BY197" i="19"/>
  <c r="BZ197" i="19"/>
  <c r="CA197" i="19"/>
  <c r="CB197" i="19"/>
  <c r="CC197" i="19"/>
  <c r="CD197" i="19"/>
  <c r="CE197" i="19"/>
  <c r="CF197" i="19"/>
  <c r="CG197" i="19"/>
  <c r="CH197" i="19"/>
  <c r="CI197" i="19"/>
  <c r="CJ197" i="19"/>
  <c r="CK197" i="19"/>
  <c r="CL197" i="19"/>
  <c r="CM197" i="19"/>
  <c r="CN197" i="19"/>
  <c r="CO197" i="19"/>
  <c r="CP197" i="19"/>
  <c r="CQ197" i="19"/>
  <c r="CR197" i="19"/>
  <c r="CS197" i="19"/>
  <c r="CT197" i="19"/>
  <c r="CU197" i="19"/>
  <c r="CV197" i="19"/>
  <c r="CW197" i="19"/>
  <c r="CX197" i="19"/>
  <c r="CY197" i="19"/>
  <c r="CZ197" i="19"/>
  <c r="DA197" i="19"/>
  <c r="DB197" i="19"/>
  <c r="DC197" i="19"/>
  <c r="DD197" i="19"/>
  <c r="DE197" i="19"/>
  <c r="DF197" i="19"/>
  <c r="DG197" i="19"/>
  <c r="DH197" i="19"/>
  <c r="DI197" i="19"/>
  <c r="DJ197" i="19"/>
  <c r="DK197" i="19"/>
  <c r="DL197" i="19"/>
  <c r="DM197" i="19"/>
  <c r="DN197" i="19"/>
  <c r="DO197" i="19"/>
  <c r="DP197" i="19"/>
  <c r="DQ197" i="19"/>
  <c r="DR197" i="19"/>
  <c r="DS197" i="19"/>
  <c r="DT197" i="19"/>
  <c r="DU197" i="19"/>
  <c r="DV197" i="19"/>
  <c r="DW197" i="19"/>
  <c r="DX197" i="19"/>
  <c r="DY197" i="19"/>
  <c r="DZ197" i="19"/>
  <c r="EA197" i="19"/>
  <c r="EB197" i="19"/>
  <c r="EC197" i="19"/>
  <c r="ED197" i="19"/>
  <c r="EE197" i="19"/>
  <c r="EF197" i="19"/>
  <c r="EG197" i="19"/>
  <c r="EH197" i="19"/>
  <c r="EI197" i="19"/>
  <c r="EJ197" i="19"/>
  <c r="EK197" i="19"/>
  <c r="EL197" i="19"/>
  <c r="EM197" i="19"/>
  <c r="EN197" i="19"/>
  <c r="EO197" i="19"/>
  <c r="EP197" i="19"/>
  <c r="EQ197" i="19"/>
  <c r="ER197" i="19"/>
  <c r="ES197" i="19"/>
  <c r="ET197" i="19"/>
  <c r="EU197" i="19"/>
  <c r="EV197" i="19"/>
  <c r="EW197" i="19"/>
  <c r="EX197" i="19"/>
  <c r="EY197" i="19"/>
  <c r="EZ197" i="19"/>
  <c r="FA197" i="19"/>
  <c r="FB197" i="19"/>
  <c r="FC197" i="19"/>
  <c r="FD197" i="19"/>
  <c r="FE197" i="19"/>
  <c r="FF197" i="19"/>
  <c r="FG197" i="19"/>
  <c r="FH197" i="19"/>
  <c r="FI197" i="19"/>
  <c r="FJ197" i="19"/>
  <c r="FK197" i="19"/>
  <c r="FL197" i="19"/>
  <c r="FM197" i="19"/>
  <c r="FN197" i="19"/>
  <c r="FO197" i="19"/>
  <c r="FP197" i="19"/>
  <c r="FQ197" i="19"/>
  <c r="FR197" i="19"/>
  <c r="FS197" i="19"/>
  <c r="FT197" i="19"/>
  <c r="FU197" i="19"/>
  <c r="FV197" i="19"/>
  <c r="FW197" i="19"/>
  <c r="FX197" i="19"/>
  <c r="FY197" i="19"/>
  <c r="FZ197" i="19"/>
  <c r="GA197" i="19"/>
  <c r="GB197" i="19"/>
  <c r="GC197" i="19"/>
  <c r="GD197" i="19"/>
  <c r="GE197" i="19"/>
  <c r="GF197" i="19"/>
  <c r="GG197" i="19"/>
  <c r="GH197" i="19"/>
  <c r="GI197" i="19"/>
  <c r="GJ197" i="19"/>
  <c r="GK197" i="19"/>
  <c r="GL197" i="19"/>
  <c r="GM197" i="19"/>
  <c r="GN197" i="19"/>
  <c r="GO197" i="19"/>
  <c r="GP197" i="19"/>
  <c r="GQ197" i="19"/>
  <c r="GR197" i="19"/>
  <c r="GS197" i="19"/>
  <c r="GT197" i="19"/>
  <c r="GU197" i="19"/>
  <c r="GV197" i="19"/>
  <c r="GW197" i="19"/>
  <c r="GX197" i="19"/>
  <c r="GY197" i="19"/>
  <c r="GZ197" i="19"/>
  <c r="HA197" i="19"/>
  <c r="HB197" i="19"/>
  <c r="HC197" i="19"/>
  <c r="HD197" i="19"/>
  <c r="HE197" i="19"/>
  <c r="HF197" i="19"/>
  <c r="HG197" i="19"/>
  <c r="HH197" i="19"/>
  <c r="HI197" i="19"/>
  <c r="HJ197" i="19"/>
  <c r="HK197" i="19"/>
  <c r="HL197" i="19"/>
  <c r="HM197" i="19"/>
  <c r="HN197" i="19"/>
  <c r="HO197" i="19"/>
  <c r="HP197" i="19"/>
  <c r="HQ197" i="19"/>
  <c r="HR197" i="19"/>
  <c r="HS197" i="19"/>
  <c r="HT197" i="19"/>
  <c r="HU197" i="19"/>
  <c r="HV197" i="19"/>
  <c r="HW197" i="19"/>
  <c r="HX197" i="19"/>
  <c r="HY197" i="19"/>
  <c r="HZ197" i="19"/>
  <c r="IA197" i="19"/>
  <c r="IB197" i="19"/>
  <c r="IC197" i="19"/>
  <c r="ID197" i="19"/>
  <c r="IE197" i="19"/>
  <c r="IF197" i="19"/>
  <c r="IG197" i="19"/>
  <c r="IH197" i="19"/>
  <c r="II197" i="19"/>
  <c r="IJ197" i="19"/>
  <c r="IK197" i="19"/>
  <c r="IL197" i="19"/>
  <c r="IM197" i="19"/>
  <c r="IN197" i="19"/>
  <c r="IO197" i="19"/>
  <c r="IP197" i="19"/>
  <c r="IQ197" i="19"/>
  <c r="IR197" i="19"/>
  <c r="IS197" i="19"/>
  <c r="IT197" i="19"/>
  <c r="IU197" i="19"/>
  <c r="IV197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T198" i="19"/>
  <c r="U198" i="19"/>
  <c r="V198" i="19"/>
  <c r="W198" i="19"/>
  <c r="X198" i="19"/>
  <c r="Y198" i="19"/>
  <c r="Z198" i="19"/>
  <c r="AA198" i="19"/>
  <c r="AB198" i="19"/>
  <c r="AC198" i="19"/>
  <c r="AD198" i="19"/>
  <c r="AE198" i="19"/>
  <c r="AF198" i="19"/>
  <c r="AG198" i="19"/>
  <c r="AH198" i="19"/>
  <c r="AI198" i="19"/>
  <c r="AJ198" i="19"/>
  <c r="AK198" i="19"/>
  <c r="AL198" i="19"/>
  <c r="AM198" i="19"/>
  <c r="AN198" i="19"/>
  <c r="AO198" i="19"/>
  <c r="AP198" i="19"/>
  <c r="AQ198" i="19"/>
  <c r="AR198" i="19"/>
  <c r="AS198" i="19"/>
  <c r="AT198" i="19"/>
  <c r="AU198" i="19"/>
  <c r="AV198" i="19"/>
  <c r="AW198" i="19"/>
  <c r="AX198" i="19"/>
  <c r="AY198" i="19"/>
  <c r="AZ198" i="19"/>
  <c r="BA198" i="19"/>
  <c r="BB198" i="19"/>
  <c r="BC198" i="19"/>
  <c r="BD198" i="19"/>
  <c r="BE198" i="19"/>
  <c r="BF198" i="19"/>
  <c r="BG198" i="19"/>
  <c r="BH198" i="19"/>
  <c r="BI198" i="19"/>
  <c r="BJ198" i="19"/>
  <c r="BK198" i="19"/>
  <c r="BL198" i="19"/>
  <c r="BM198" i="19"/>
  <c r="BN198" i="19"/>
  <c r="BO198" i="19"/>
  <c r="BP198" i="19"/>
  <c r="BQ198" i="19"/>
  <c r="BR198" i="19"/>
  <c r="BS198" i="19"/>
  <c r="BT198" i="19"/>
  <c r="BU198" i="19"/>
  <c r="BV198" i="19"/>
  <c r="BW198" i="19"/>
  <c r="BX198" i="19"/>
  <c r="BY198" i="19"/>
  <c r="BZ198" i="19"/>
  <c r="CA198" i="19"/>
  <c r="CB198" i="19"/>
  <c r="CC198" i="19"/>
  <c r="CD198" i="19"/>
  <c r="CE198" i="19"/>
  <c r="CF198" i="19"/>
  <c r="CG198" i="19"/>
  <c r="CH198" i="19"/>
  <c r="CI198" i="19"/>
  <c r="CJ198" i="19"/>
  <c r="CK198" i="19"/>
  <c r="CL198" i="19"/>
  <c r="CM198" i="19"/>
  <c r="CN198" i="19"/>
  <c r="CO198" i="19"/>
  <c r="CP198" i="19"/>
  <c r="CQ198" i="19"/>
  <c r="CR198" i="19"/>
  <c r="CS198" i="19"/>
  <c r="CT198" i="19"/>
  <c r="CU198" i="19"/>
  <c r="CV198" i="19"/>
  <c r="CW198" i="19"/>
  <c r="CX198" i="19"/>
  <c r="CY198" i="19"/>
  <c r="CZ198" i="19"/>
  <c r="DA198" i="19"/>
  <c r="DB198" i="19"/>
  <c r="DC198" i="19"/>
  <c r="DD198" i="19"/>
  <c r="DE198" i="19"/>
  <c r="DF198" i="19"/>
  <c r="DG198" i="19"/>
  <c r="DH198" i="19"/>
  <c r="DI198" i="19"/>
  <c r="DJ198" i="19"/>
  <c r="DK198" i="19"/>
  <c r="DL198" i="19"/>
  <c r="DM198" i="19"/>
  <c r="DN198" i="19"/>
  <c r="DO198" i="19"/>
  <c r="DP198" i="19"/>
  <c r="DQ198" i="19"/>
  <c r="DR198" i="19"/>
  <c r="DS198" i="19"/>
  <c r="DT198" i="19"/>
  <c r="DU198" i="19"/>
  <c r="DV198" i="19"/>
  <c r="DW198" i="19"/>
  <c r="DX198" i="19"/>
  <c r="DY198" i="19"/>
  <c r="DZ198" i="19"/>
  <c r="EA198" i="19"/>
  <c r="EB198" i="19"/>
  <c r="EC198" i="19"/>
  <c r="ED198" i="19"/>
  <c r="EE198" i="19"/>
  <c r="EF198" i="19"/>
  <c r="EG198" i="19"/>
  <c r="EH198" i="19"/>
  <c r="EI198" i="19"/>
  <c r="EJ198" i="19"/>
  <c r="EK198" i="19"/>
  <c r="EL198" i="19"/>
  <c r="EM198" i="19"/>
  <c r="EN198" i="19"/>
  <c r="EO198" i="19"/>
  <c r="EP198" i="19"/>
  <c r="EQ198" i="19"/>
  <c r="ER198" i="19"/>
  <c r="ES198" i="19"/>
  <c r="ET198" i="19"/>
  <c r="EU198" i="19"/>
  <c r="EV198" i="19"/>
  <c r="EW198" i="19"/>
  <c r="EX198" i="19"/>
  <c r="EY198" i="19"/>
  <c r="EZ198" i="19"/>
  <c r="FA198" i="19"/>
  <c r="FB198" i="19"/>
  <c r="FC198" i="19"/>
  <c r="FD198" i="19"/>
  <c r="FE198" i="19"/>
  <c r="FF198" i="19"/>
  <c r="FG198" i="19"/>
  <c r="FH198" i="19"/>
  <c r="FI198" i="19"/>
  <c r="FJ198" i="19"/>
  <c r="FK198" i="19"/>
  <c r="FL198" i="19"/>
  <c r="FM198" i="19"/>
  <c r="FN198" i="19"/>
  <c r="FO198" i="19"/>
  <c r="FP198" i="19"/>
  <c r="FQ198" i="19"/>
  <c r="FR198" i="19"/>
  <c r="FS198" i="19"/>
  <c r="FT198" i="19"/>
  <c r="FU198" i="19"/>
  <c r="FV198" i="19"/>
  <c r="FW198" i="19"/>
  <c r="FX198" i="19"/>
  <c r="FY198" i="19"/>
  <c r="FZ198" i="19"/>
  <c r="GA198" i="19"/>
  <c r="GB198" i="19"/>
  <c r="GC198" i="19"/>
  <c r="GD198" i="19"/>
  <c r="GE198" i="19"/>
  <c r="GF198" i="19"/>
  <c r="GG198" i="19"/>
  <c r="GH198" i="19"/>
  <c r="GI198" i="19"/>
  <c r="GJ198" i="19"/>
  <c r="GK198" i="19"/>
  <c r="GL198" i="19"/>
  <c r="GM198" i="19"/>
  <c r="GN198" i="19"/>
  <c r="GO198" i="19"/>
  <c r="GP198" i="19"/>
  <c r="GQ198" i="19"/>
  <c r="GR198" i="19"/>
  <c r="GS198" i="19"/>
  <c r="GT198" i="19"/>
  <c r="GU198" i="19"/>
  <c r="GV198" i="19"/>
  <c r="GW198" i="19"/>
  <c r="GX198" i="19"/>
  <c r="GY198" i="19"/>
  <c r="GZ198" i="19"/>
  <c r="HA198" i="19"/>
  <c r="HB198" i="19"/>
  <c r="HC198" i="19"/>
  <c r="HD198" i="19"/>
  <c r="HE198" i="19"/>
  <c r="HF198" i="19"/>
  <c r="HG198" i="19"/>
  <c r="HH198" i="19"/>
  <c r="HI198" i="19"/>
  <c r="HJ198" i="19"/>
  <c r="HK198" i="19"/>
  <c r="HL198" i="19"/>
  <c r="HM198" i="19"/>
  <c r="HN198" i="19"/>
  <c r="HO198" i="19"/>
  <c r="HP198" i="19"/>
  <c r="HQ198" i="19"/>
  <c r="HR198" i="19"/>
  <c r="HS198" i="19"/>
  <c r="HT198" i="19"/>
  <c r="HU198" i="19"/>
  <c r="HV198" i="19"/>
  <c r="HW198" i="19"/>
  <c r="HX198" i="19"/>
  <c r="HY198" i="19"/>
  <c r="HZ198" i="19"/>
  <c r="IA198" i="19"/>
  <c r="IB198" i="19"/>
  <c r="IC198" i="19"/>
  <c r="ID198" i="19"/>
  <c r="IE198" i="19"/>
  <c r="IF198" i="19"/>
  <c r="IG198" i="19"/>
  <c r="IH198" i="19"/>
  <c r="II198" i="19"/>
  <c r="IJ198" i="19"/>
  <c r="IK198" i="19"/>
  <c r="IL198" i="19"/>
  <c r="IM198" i="19"/>
  <c r="IN198" i="19"/>
  <c r="IO198" i="19"/>
  <c r="IP198" i="19"/>
  <c r="IQ198" i="19"/>
  <c r="IR198" i="19"/>
  <c r="IS198" i="19"/>
  <c r="IT198" i="19"/>
  <c r="IU198" i="19"/>
  <c r="IV198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T199" i="19"/>
  <c r="U199" i="19"/>
  <c r="V199" i="19"/>
  <c r="W199" i="19"/>
  <c r="X199" i="19"/>
  <c r="Y199" i="19"/>
  <c r="Z199" i="19"/>
  <c r="AA199" i="19"/>
  <c r="AB199" i="19"/>
  <c r="AC199" i="19"/>
  <c r="AD199" i="19"/>
  <c r="AE199" i="19"/>
  <c r="AF199" i="19"/>
  <c r="AG199" i="19"/>
  <c r="AH199" i="19"/>
  <c r="AI199" i="19"/>
  <c r="AJ199" i="19"/>
  <c r="AK199" i="19"/>
  <c r="AL199" i="19"/>
  <c r="AM199" i="19"/>
  <c r="AN199" i="19"/>
  <c r="AO199" i="19"/>
  <c r="AP199" i="19"/>
  <c r="AQ199" i="19"/>
  <c r="AR199" i="19"/>
  <c r="AS199" i="19"/>
  <c r="AT199" i="19"/>
  <c r="AU199" i="19"/>
  <c r="AV199" i="19"/>
  <c r="AW199" i="19"/>
  <c r="AX199" i="19"/>
  <c r="AY199" i="19"/>
  <c r="AZ199" i="19"/>
  <c r="BA199" i="19"/>
  <c r="BB199" i="19"/>
  <c r="BC199" i="19"/>
  <c r="BD199" i="19"/>
  <c r="BE199" i="19"/>
  <c r="BF199" i="19"/>
  <c r="BG199" i="19"/>
  <c r="BH199" i="19"/>
  <c r="BI199" i="19"/>
  <c r="BJ199" i="19"/>
  <c r="BK199" i="19"/>
  <c r="BL199" i="19"/>
  <c r="BM199" i="19"/>
  <c r="BN199" i="19"/>
  <c r="BO199" i="19"/>
  <c r="BP199" i="19"/>
  <c r="BQ199" i="19"/>
  <c r="BR199" i="19"/>
  <c r="BS199" i="19"/>
  <c r="BT199" i="19"/>
  <c r="BU199" i="19"/>
  <c r="BV199" i="19"/>
  <c r="BW199" i="19"/>
  <c r="BX199" i="19"/>
  <c r="BY199" i="19"/>
  <c r="BZ199" i="19"/>
  <c r="CA199" i="19"/>
  <c r="CB199" i="19"/>
  <c r="CC199" i="19"/>
  <c r="CD199" i="19"/>
  <c r="CE199" i="19"/>
  <c r="CF199" i="19"/>
  <c r="CG199" i="19"/>
  <c r="CH199" i="19"/>
  <c r="CI199" i="19"/>
  <c r="CJ199" i="19"/>
  <c r="CK199" i="19"/>
  <c r="CL199" i="19"/>
  <c r="CM199" i="19"/>
  <c r="CN199" i="19"/>
  <c r="CO199" i="19"/>
  <c r="CP199" i="19"/>
  <c r="CQ199" i="19"/>
  <c r="CR199" i="19"/>
  <c r="CS199" i="19"/>
  <c r="CT199" i="19"/>
  <c r="CU199" i="19"/>
  <c r="CV199" i="19"/>
  <c r="CW199" i="19"/>
  <c r="CX199" i="19"/>
  <c r="CY199" i="19"/>
  <c r="CZ199" i="19"/>
  <c r="DA199" i="19"/>
  <c r="DB199" i="19"/>
  <c r="DC199" i="19"/>
  <c r="DD199" i="19"/>
  <c r="DE199" i="19"/>
  <c r="DF199" i="19"/>
  <c r="DG199" i="19"/>
  <c r="DH199" i="19"/>
  <c r="DI199" i="19"/>
  <c r="DJ199" i="19"/>
  <c r="DK199" i="19"/>
  <c r="DL199" i="19"/>
  <c r="DM199" i="19"/>
  <c r="DN199" i="19"/>
  <c r="DO199" i="19"/>
  <c r="DP199" i="19"/>
  <c r="DQ199" i="19"/>
  <c r="DR199" i="19"/>
  <c r="DS199" i="19"/>
  <c r="DT199" i="19"/>
  <c r="DU199" i="19"/>
  <c r="DV199" i="19"/>
  <c r="DW199" i="19"/>
  <c r="DX199" i="19"/>
  <c r="DY199" i="19"/>
  <c r="DZ199" i="19"/>
  <c r="EA199" i="19"/>
  <c r="EB199" i="19"/>
  <c r="EC199" i="19"/>
  <c r="ED199" i="19"/>
  <c r="EE199" i="19"/>
  <c r="EF199" i="19"/>
  <c r="EG199" i="19"/>
  <c r="EH199" i="19"/>
  <c r="EI199" i="19"/>
  <c r="EJ199" i="19"/>
  <c r="EK199" i="19"/>
  <c r="EL199" i="19"/>
  <c r="EM199" i="19"/>
  <c r="EN199" i="19"/>
  <c r="EO199" i="19"/>
  <c r="EP199" i="19"/>
  <c r="EQ199" i="19"/>
  <c r="ER199" i="19"/>
  <c r="ES199" i="19"/>
  <c r="ET199" i="19"/>
  <c r="EU199" i="19"/>
  <c r="EV199" i="19"/>
  <c r="EW199" i="19"/>
  <c r="EX199" i="19"/>
  <c r="EY199" i="19"/>
  <c r="EZ199" i="19"/>
  <c r="FA199" i="19"/>
  <c r="FB199" i="19"/>
  <c r="FC199" i="19"/>
  <c r="FD199" i="19"/>
  <c r="FE199" i="19"/>
  <c r="FF199" i="19"/>
  <c r="FG199" i="19"/>
  <c r="FH199" i="19"/>
  <c r="FI199" i="19"/>
  <c r="FJ199" i="19"/>
  <c r="FK199" i="19"/>
  <c r="FL199" i="19"/>
  <c r="FM199" i="19"/>
  <c r="FN199" i="19"/>
  <c r="FO199" i="19"/>
  <c r="FP199" i="19"/>
  <c r="FQ199" i="19"/>
  <c r="FR199" i="19"/>
  <c r="FS199" i="19"/>
  <c r="FT199" i="19"/>
  <c r="FU199" i="19"/>
  <c r="FV199" i="19"/>
  <c r="FW199" i="19"/>
  <c r="FX199" i="19"/>
  <c r="FY199" i="19"/>
  <c r="FZ199" i="19"/>
  <c r="GA199" i="19"/>
  <c r="GB199" i="19"/>
  <c r="GC199" i="19"/>
  <c r="GD199" i="19"/>
  <c r="GE199" i="19"/>
  <c r="GF199" i="19"/>
  <c r="GG199" i="19"/>
  <c r="GH199" i="19"/>
  <c r="GI199" i="19"/>
  <c r="GJ199" i="19"/>
  <c r="GK199" i="19"/>
  <c r="GL199" i="19"/>
  <c r="GM199" i="19"/>
  <c r="GN199" i="19"/>
  <c r="GO199" i="19"/>
  <c r="GP199" i="19"/>
  <c r="GQ199" i="19"/>
  <c r="GR199" i="19"/>
  <c r="GS199" i="19"/>
  <c r="GT199" i="19"/>
  <c r="GU199" i="19"/>
  <c r="GV199" i="19"/>
  <c r="GW199" i="19"/>
  <c r="GX199" i="19"/>
  <c r="GY199" i="19"/>
  <c r="GZ199" i="19"/>
  <c r="HA199" i="19"/>
  <c r="HB199" i="19"/>
  <c r="HC199" i="19"/>
  <c r="HD199" i="19"/>
  <c r="HE199" i="19"/>
  <c r="HF199" i="19"/>
  <c r="HG199" i="19"/>
  <c r="HH199" i="19"/>
  <c r="HI199" i="19"/>
  <c r="HJ199" i="19"/>
  <c r="HK199" i="19"/>
  <c r="HL199" i="19"/>
  <c r="HM199" i="19"/>
  <c r="HN199" i="19"/>
  <c r="HO199" i="19"/>
  <c r="HP199" i="19"/>
  <c r="HQ199" i="19"/>
  <c r="HR199" i="19"/>
  <c r="HS199" i="19"/>
  <c r="HT199" i="19"/>
  <c r="HU199" i="19"/>
  <c r="HV199" i="19"/>
  <c r="HW199" i="19"/>
  <c r="HX199" i="19"/>
  <c r="HY199" i="19"/>
  <c r="HZ199" i="19"/>
  <c r="IA199" i="19"/>
  <c r="IB199" i="19"/>
  <c r="IC199" i="19"/>
  <c r="ID199" i="19"/>
  <c r="IE199" i="19"/>
  <c r="IF199" i="19"/>
  <c r="IG199" i="19"/>
  <c r="IH199" i="19"/>
  <c r="II199" i="19"/>
  <c r="IJ199" i="19"/>
  <c r="IK199" i="19"/>
  <c r="IL199" i="19"/>
  <c r="IM199" i="19"/>
  <c r="IN199" i="19"/>
  <c r="IO199" i="19"/>
  <c r="IP199" i="19"/>
  <c r="IQ199" i="19"/>
  <c r="IR199" i="19"/>
  <c r="IS199" i="19"/>
  <c r="IT199" i="19"/>
  <c r="IU199" i="19"/>
  <c r="IV199" i="19"/>
  <c r="F200" i="19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T200" i="19"/>
  <c r="U200" i="19"/>
  <c r="V200" i="19"/>
  <c r="W200" i="19"/>
  <c r="X200" i="19"/>
  <c r="Y200" i="19"/>
  <c r="Z200" i="19"/>
  <c r="AA200" i="19"/>
  <c r="AB200" i="19"/>
  <c r="AC200" i="19"/>
  <c r="AD200" i="19"/>
  <c r="AE200" i="19"/>
  <c r="AF200" i="19"/>
  <c r="AG200" i="19"/>
  <c r="AH200" i="19"/>
  <c r="AI200" i="19"/>
  <c r="AJ200" i="19"/>
  <c r="AK200" i="19"/>
  <c r="AL200" i="19"/>
  <c r="AM200" i="19"/>
  <c r="AN200" i="19"/>
  <c r="AO200" i="19"/>
  <c r="AP200" i="19"/>
  <c r="AQ200" i="19"/>
  <c r="AR200" i="19"/>
  <c r="AS200" i="19"/>
  <c r="AT200" i="19"/>
  <c r="AU200" i="19"/>
  <c r="AV200" i="19"/>
  <c r="AW200" i="19"/>
  <c r="AX200" i="19"/>
  <c r="AY200" i="19"/>
  <c r="AZ200" i="19"/>
  <c r="BA200" i="19"/>
  <c r="BB200" i="19"/>
  <c r="BC200" i="19"/>
  <c r="BD200" i="19"/>
  <c r="BE200" i="19"/>
  <c r="BF200" i="19"/>
  <c r="BG200" i="19"/>
  <c r="BH200" i="19"/>
  <c r="BI200" i="19"/>
  <c r="BJ200" i="19"/>
  <c r="BK200" i="19"/>
  <c r="BL200" i="19"/>
  <c r="BM200" i="19"/>
  <c r="BN200" i="19"/>
  <c r="BO200" i="19"/>
  <c r="BP200" i="19"/>
  <c r="BQ200" i="19"/>
  <c r="BR200" i="19"/>
  <c r="BS200" i="19"/>
  <c r="BT200" i="19"/>
  <c r="BU200" i="19"/>
  <c r="BV200" i="19"/>
  <c r="BW200" i="19"/>
  <c r="BX200" i="19"/>
  <c r="BY200" i="19"/>
  <c r="BZ200" i="19"/>
  <c r="CA200" i="19"/>
  <c r="CB200" i="19"/>
  <c r="CC200" i="19"/>
  <c r="CD200" i="19"/>
  <c r="CE200" i="19"/>
  <c r="CF200" i="19"/>
  <c r="CG200" i="19"/>
  <c r="CH200" i="19"/>
  <c r="CI200" i="19"/>
  <c r="CJ200" i="19"/>
  <c r="CK200" i="19"/>
  <c r="CL200" i="19"/>
  <c r="CM200" i="19"/>
  <c r="CN200" i="19"/>
  <c r="CO200" i="19"/>
  <c r="CP200" i="19"/>
  <c r="CQ200" i="19"/>
  <c r="CR200" i="19"/>
  <c r="CS200" i="19"/>
  <c r="CT200" i="19"/>
  <c r="CU200" i="19"/>
  <c r="CV200" i="19"/>
  <c r="CW200" i="19"/>
  <c r="CX200" i="19"/>
  <c r="CY200" i="19"/>
  <c r="CZ200" i="19"/>
  <c r="DA200" i="19"/>
  <c r="DB200" i="19"/>
  <c r="DC200" i="19"/>
  <c r="DD200" i="19"/>
  <c r="DE200" i="19"/>
  <c r="DF200" i="19"/>
  <c r="DG200" i="19"/>
  <c r="DH200" i="19"/>
  <c r="DI200" i="19"/>
  <c r="DJ200" i="19"/>
  <c r="DK200" i="19"/>
  <c r="DL200" i="19"/>
  <c r="DM200" i="19"/>
  <c r="DN200" i="19"/>
  <c r="DO200" i="19"/>
  <c r="DP200" i="19"/>
  <c r="DQ200" i="19"/>
  <c r="DR200" i="19"/>
  <c r="DS200" i="19"/>
  <c r="DT200" i="19"/>
  <c r="DU200" i="19"/>
  <c r="DV200" i="19"/>
  <c r="DW200" i="19"/>
  <c r="DX200" i="19"/>
  <c r="DY200" i="19"/>
  <c r="DZ200" i="19"/>
  <c r="EA200" i="19"/>
  <c r="EB200" i="19"/>
  <c r="EC200" i="19"/>
  <c r="ED200" i="19"/>
  <c r="EE200" i="19"/>
  <c r="EF200" i="19"/>
  <c r="EG200" i="19"/>
  <c r="EH200" i="19"/>
  <c r="EI200" i="19"/>
  <c r="EJ200" i="19"/>
  <c r="EK200" i="19"/>
  <c r="EL200" i="19"/>
  <c r="EM200" i="19"/>
  <c r="EN200" i="19"/>
  <c r="EO200" i="19"/>
  <c r="EP200" i="19"/>
  <c r="EQ200" i="19"/>
  <c r="ER200" i="19"/>
  <c r="ES200" i="19"/>
  <c r="ET200" i="19"/>
  <c r="EU200" i="19"/>
  <c r="EV200" i="19"/>
  <c r="EW200" i="19"/>
  <c r="EX200" i="19"/>
  <c r="EY200" i="19"/>
  <c r="EZ200" i="19"/>
  <c r="FA200" i="19"/>
  <c r="FB200" i="19"/>
  <c r="FC200" i="19"/>
  <c r="FD200" i="19"/>
  <c r="FE200" i="19"/>
  <c r="FF200" i="19"/>
  <c r="FG200" i="19"/>
  <c r="FH200" i="19"/>
  <c r="FI200" i="19"/>
  <c r="FJ200" i="19"/>
  <c r="FK200" i="19"/>
  <c r="FL200" i="19"/>
  <c r="FM200" i="19"/>
  <c r="FN200" i="19"/>
  <c r="FO200" i="19"/>
  <c r="FP200" i="19"/>
  <c r="FQ200" i="19"/>
  <c r="FR200" i="19"/>
  <c r="FS200" i="19"/>
  <c r="FT200" i="19"/>
  <c r="FU200" i="19"/>
  <c r="FV200" i="19"/>
  <c r="FW200" i="19"/>
  <c r="FX200" i="19"/>
  <c r="FY200" i="19"/>
  <c r="FZ200" i="19"/>
  <c r="GA200" i="19"/>
  <c r="GB200" i="19"/>
  <c r="GC200" i="19"/>
  <c r="GD200" i="19"/>
  <c r="GE200" i="19"/>
  <c r="GF200" i="19"/>
  <c r="GG200" i="19"/>
  <c r="GH200" i="19"/>
  <c r="GI200" i="19"/>
  <c r="GJ200" i="19"/>
  <c r="GK200" i="19"/>
  <c r="GL200" i="19"/>
  <c r="GM200" i="19"/>
  <c r="GN200" i="19"/>
  <c r="GO200" i="19"/>
  <c r="GP200" i="19"/>
  <c r="GQ200" i="19"/>
  <c r="GR200" i="19"/>
  <c r="GS200" i="19"/>
  <c r="GT200" i="19"/>
  <c r="GU200" i="19"/>
  <c r="GV200" i="19"/>
  <c r="GW200" i="19"/>
  <c r="GX200" i="19"/>
  <c r="GY200" i="19"/>
  <c r="GZ200" i="19"/>
  <c r="HA200" i="19"/>
  <c r="HB200" i="19"/>
  <c r="HC200" i="19"/>
  <c r="HD200" i="19"/>
  <c r="HE200" i="19"/>
  <c r="HF200" i="19"/>
  <c r="HG200" i="19"/>
  <c r="HH200" i="19"/>
  <c r="HI200" i="19"/>
  <c r="HJ200" i="19"/>
  <c r="HK200" i="19"/>
  <c r="HL200" i="19"/>
  <c r="HM200" i="19"/>
  <c r="HN200" i="19"/>
  <c r="HO200" i="19"/>
  <c r="HP200" i="19"/>
  <c r="HQ200" i="19"/>
  <c r="HR200" i="19"/>
  <c r="HS200" i="19"/>
  <c r="HT200" i="19"/>
  <c r="HU200" i="19"/>
  <c r="HV200" i="19"/>
  <c r="HW200" i="19"/>
  <c r="HX200" i="19"/>
  <c r="HY200" i="19"/>
  <c r="HZ200" i="19"/>
  <c r="IA200" i="19"/>
  <c r="IB200" i="19"/>
  <c r="IC200" i="19"/>
  <c r="ID200" i="19"/>
  <c r="IE200" i="19"/>
  <c r="IF200" i="19"/>
  <c r="IG200" i="19"/>
  <c r="IH200" i="19"/>
  <c r="II200" i="19"/>
  <c r="IJ200" i="19"/>
  <c r="IK200" i="19"/>
  <c r="IL200" i="19"/>
  <c r="IM200" i="19"/>
  <c r="IN200" i="19"/>
  <c r="IO200" i="19"/>
  <c r="IP200" i="19"/>
  <c r="IQ200" i="19"/>
  <c r="IR200" i="19"/>
  <c r="IS200" i="19"/>
  <c r="IT200" i="19"/>
  <c r="IU200" i="19"/>
  <c r="IV200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AD201" i="19"/>
  <c r="AE201" i="19"/>
  <c r="AF201" i="19"/>
  <c r="AG201" i="19"/>
  <c r="AH201" i="19"/>
  <c r="AI201" i="19"/>
  <c r="AJ201" i="19"/>
  <c r="AK201" i="19"/>
  <c r="AL201" i="19"/>
  <c r="AM201" i="19"/>
  <c r="AN201" i="19"/>
  <c r="AO201" i="19"/>
  <c r="AP201" i="19"/>
  <c r="AQ201" i="19"/>
  <c r="AR201" i="19"/>
  <c r="AS201" i="19"/>
  <c r="AT201" i="19"/>
  <c r="AU201" i="19"/>
  <c r="AV201" i="19"/>
  <c r="AW201" i="19"/>
  <c r="AX201" i="19"/>
  <c r="AY201" i="19"/>
  <c r="AZ201" i="19"/>
  <c r="BA201" i="19"/>
  <c r="BB201" i="19"/>
  <c r="BC201" i="19"/>
  <c r="BD201" i="19"/>
  <c r="BE201" i="19"/>
  <c r="BF201" i="19"/>
  <c r="BG201" i="19"/>
  <c r="BH201" i="19"/>
  <c r="BI201" i="19"/>
  <c r="BJ201" i="19"/>
  <c r="BK201" i="19"/>
  <c r="BL201" i="19"/>
  <c r="BM201" i="19"/>
  <c r="BN201" i="19"/>
  <c r="BO201" i="19"/>
  <c r="BP201" i="19"/>
  <c r="BQ201" i="19"/>
  <c r="BR201" i="19"/>
  <c r="BS201" i="19"/>
  <c r="BT201" i="19"/>
  <c r="BU201" i="19"/>
  <c r="BV201" i="19"/>
  <c r="BW201" i="19"/>
  <c r="BX201" i="19"/>
  <c r="BY201" i="19"/>
  <c r="BZ201" i="19"/>
  <c r="CA201" i="19"/>
  <c r="CB201" i="19"/>
  <c r="CC201" i="19"/>
  <c r="CD201" i="19"/>
  <c r="CE201" i="19"/>
  <c r="CF201" i="19"/>
  <c r="CG201" i="19"/>
  <c r="CH201" i="19"/>
  <c r="CI201" i="19"/>
  <c r="CJ201" i="19"/>
  <c r="CK201" i="19"/>
  <c r="CL201" i="19"/>
  <c r="CM201" i="19"/>
  <c r="CN201" i="19"/>
  <c r="CO201" i="19"/>
  <c r="CP201" i="19"/>
  <c r="CQ201" i="19"/>
  <c r="CR201" i="19"/>
  <c r="CS201" i="19"/>
  <c r="CT201" i="19"/>
  <c r="CU201" i="19"/>
  <c r="CV201" i="19"/>
  <c r="CW201" i="19"/>
  <c r="CX201" i="19"/>
  <c r="CY201" i="19"/>
  <c r="CZ201" i="19"/>
  <c r="DA201" i="19"/>
  <c r="DB201" i="19"/>
  <c r="DC201" i="19"/>
  <c r="DD201" i="19"/>
  <c r="DE201" i="19"/>
  <c r="DF201" i="19"/>
  <c r="DG201" i="19"/>
  <c r="DH201" i="19"/>
  <c r="DI201" i="19"/>
  <c r="DJ201" i="19"/>
  <c r="DK201" i="19"/>
  <c r="DL201" i="19"/>
  <c r="DM201" i="19"/>
  <c r="DN201" i="19"/>
  <c r="DO201" i="19"/>
  <c r="DP201" i="19"/>
  <c r="DQ201" i="19"/>
  <c r="DR201" i="19"/>
  <c r="DS201" i="19"/>
  <c r="DT201" i="19"/>
  <c r="DU201" i="19"/>
  <c r="DV201" i="19"/>
  <c r="DW201" i="19"/>
  <c r="DX201" i="19"/>
  <c r="DY201" i="19"/>
  <c r="DZ201" i="19"/>
  <c r="EA201" i="19"/>
  <c r="EB201" i="19"/>
  <c r="EC201" i="19"/>
  <c r="ED201" i="19"/>
  <c r="EE201" i="19"/>
  <c r="EF201" i="19"/>
  <c r="EG201" i="19"/>
  <c r="EH201" i="19"/>
  <c r="EI201" i="19"/>
  <c r="EJ201" i="19"/>
  <c r="EK201" i="19"/>
  <c r="EL201" i="19"/>
  <c r="EM201" i="19"/>
  <c r="EN201" i="19"/>
  <c r="EO201" i="19"/>
  <c r="EP201" i="19"/>
  <c r="EQ201" i="19"/>
  <c r="ER201" i="19"/>
  <c r="ES201" i="19"/>
  <c r="ET201" i="19"/>
  <c r="EU201" i="19"/>
  <c r="EV201" i="19"/>
  <c r="EW201" i="19"/>
  <c r="EX201" i="19"/>
  <c r="EY201" i="19"/>
  <c r="EZ201" i="19"/>
  <c r="FA201" i="19"/>
  <c r="FB201" i="19"/>
  <c r="FC201" i="19"/>
  <c r="FD201" i="19"/>
  <c r="FE201" i="19"/>
  <c r="FF201" i="19"/>
  <c r="FG201" i="19"/>
  <c r="FH201" i="19"/>
  <c r="FI201" i="19"/>
  <c r="FJ201" i="19"/>
  <c r="FK201" i="19"/>
  <c r="FL201" i="19"/>
  <c r="FM201" i="19"/>
  <c r="FN201" i="19"/>
  <c r="FO201" i="19"/>
  <c r="FP201" i="19"/>
  <c r="FQ201" i="19"/>
  <c r="FR201" i="19"/>
  <c r="FS201" i="19"/>
  <c r="FT201" i="19"/>
  <c r="FU201" i="19"/>
  <c r="FV201" i="19"/>
  <c r="FW201" i="19"/>
  <c r="FX201" i="19"/>
  <c r="FY201" i="19"/>
  <c r="FZ201" i="19"/>
  <c r="GA201" i="19"/>
  <c r="GB201" i="19"/>
  <c r="GC201" i="19"/>
  <c r="GD201" i="19"/>
  <c r="GE201" i="19"/>
  <c r="GF201" i="19"/>
  <c r="GG201" i="19"/>
  <c r="GH201" i="19"/>
  <c r="GI201" i="19"/>
  <c r="GJ201" i="19"/>
  <c r="GK201" i="19"/>
  <c r="GL201" i="19"/>
  <c r="GM201" i="19"/>
  <c r="GN201" i="19"/>
  <c r="GO201" i="19"/>
  <c r="GP201" i="19"/>
  <c r="GQ201" i="19"/>
  <c r="GR201" i="19"/>
  <c r="GS201" i="19"/>
  <c r="GT201" i="19"/>
  <c r="GU201" i="19"/>
  <c r="GV201" i="19"/>
  <c r="GW201" i="19"/>
  <c r="GX201" i="19"/>
  <c r="GY201" i="19"/>
  <c r="GZ201" i="19"/>
  <c r="HA201" i="19"/>
  <c r="HB201" i="19"/>
  <c r="HC201" i="19"/>
  <c r="HD201" i="19"/>
  <c r="HE201" i="19"/>
  <c r="HF201" i="19"/>
  <c r="HG201" i="19"/>
  <c r="HH201" i="19"/>
  <c r="HI201" i="19"/>
  <c r="HJ201" i="19"/>
  <c r="HK201" i="19"/>
  <c r="HL201" i="19"/>
  <c r="HM201" i="19"/>
  <c r="HN201" i="19"/>
  <c r="HO201" i="19"/>
  <c r="HP201" i="19"/>
  <c r="HQ201" i="19"/>
  <c r="HR201" i="19"/>
  <c r="HS201" i="19"/>
  <c r="HT201" i="19"/>
  <c r="HU201" i="19"/>
  <c r="HV201" i="19"/>
  <c r="HW201" i="19"/>
  <c r="HX201" i="19"/>
  <c r="HY201" i="19"/>
  <c r="HZ201" i="19"/>
  <c r="IA201" i="19"/>
  <c r="IB201" i="19"/>
  <c r="IC201" i="19"/>
  <c r="ID201" i="19"/>
  <c r="IE201" i="19"/>
  <c r="IF201" i="19"/>
  <c r="IG201" i="19"/>
  <c r="IH201" i="19"/>
  <c r="II201" i="19"/>
  <c r="IJ201" i="19"/>
  <c r="IK201" i="19"/>
  <c r="IL201" i="19"/>
  <c r="IM201" i="19"/>
  <c r="IN201" i="19"/>
  <c r="IO201" i="19"/>
  <c r="IP201" i="19"/>
  <c r="IQ201" i="19"/>
  <c r="IR201" i="19"/>
  <c r="IS201" i="19"/>
  <c r="IT201" i="19"/>
  <c r="IU201" i="19"/>
  <c r="IV201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T202" i="19"/>
  <c r="U202" i="19"/>
  <c r="V202" i="19"/>
  <c r="W202" i="19"/>
  <c r="X202" i="19"/>
  <c r="Y202" i="19"/>
  <c r="Z202" i="19"/>
  <c r="AA202" i="19"/>
  <c r="AB202" i="19"/>
  <c r="AC202" i="19"/>
  <c r="AD202" i="19"/>
  <c r="AE202" i="19"/>
  <c r="AF202" i="19"/>
  <c r="AG202" i="19"/>
  <c r="AH202" i="19"/>
  <c r="AI202" i="19"/>
  <c r="AJ202" i="19"/>
  <c r="AK202" i="19"/>
  <c r="AL202" i="19"/>
  <c r="AM202" i="19"/>
  <c r="AN202" i="19"/>
  <c r="AO202" i="19"/>
  <c r="AP202" i="19"/>
  <c r="AQ202" i="19"/>
  <c r="AR202" i="19"/>
  <c r="AS202" i="19"/>
  <c r="AT202" i="19"/>
  <c r="AU202" i="19"/>
  <c r="AV202" i="19"/>
  <c r="AW202" i="19"/>
  <c r="AX202" i="19"/>
  <c r="AY202" i="19"/>
  <c r="AZ202" i="19"/>
  <c r="BA202" i="19"/>
  <c r="BB202" i="19"/>
  <c r="BC202" i="19"/>
  <c r="BD202" i="19"/>
  <c r="BE202" i="19"/>
  <c r="BF202" i="19"/>
  <c r="BG202" i="19"/>
  <c r="BH202" i="19"/>
  <c r="BI202" i="19"/>
  <c r="BJ202" i="19"/>
  <c r="BK202" i="19"/>
  <c r="BL202" i="19"/>
  <c r="BM202" i="19"/>
  <c r="BN202" i="19"/>
  <c r="BO202" i="19"/>
  <c r="BP202" i="19"/>
  <c r="BQ202" i="19"/>
  <c r="BR202" i="19"/>
  <c r="BS202" i="19"/>
  <c r="BT202" i="19"/>
  <c r="BU202" i="19"/>
  <c r="BV202" i="19"/>
  <c r="BW202" i="19"/>
  <c r="BX202" i="19"/>
  <c r="BY202" i="19"/>
  <c r="BZ202" i="19"/>
  <c r="CA202" i="19"/>
  <c r="CB202" i="19"/>
  <c r="CC202" i="19"/>
  <c r="CD202" i="19"/>
  <c r="CE202" i="19"/>
  <c r="CF202" i="19"/>
  <c r="CG202" i="19"/>
  <c r="CH202" i="19"/>
  <c r="CI202" i="19"/>
  <c r="CJ202" i="19"/>
  <c r="CK202" i="19"/>
  <c r="CL202" i="19"/>
  <c r="CM202" i="19"/>
  <c r="CN202" i="19"/>
  <c r="CO202" i="19"/>
  <c r="CP202" i="19"/>
  <c r="CQ202" i="19"/>
  <c r="CR202" i="19"/>
  <c r="CS202" i="19"/>
  <c r="CT202" i="19"/>
  <c r="CU202" i="19"/>
  <c r="CV202" i="19"/>
  <c r="CW202" i="19"/>
  <c r="CX202" i="19"/>
  <c r="CY202" i="19"/>
  <c r="CZ202" i="19"/>
  <c r="DA202" i="19"/>
  <c r="DB202" i="19"/>
  <c r="DC202" i="19"/>
  <c r="DD202" i="19"/>
  <c r="DE202" i="19"/>
  <c r="DF202" i="19"/>
  <c r="DG202" i="19"/>
  <c r="DH202" i="19"/>
  <c r="DI202" i="19"/>
  <c r="DJ202" i="19"/>
  <c r="DK202" i="19"/>
  <c r="DL202" i="19"/>
  <c r="DM202" i="19"/>
  <c r="DN202" i="19"/>
  <c r="DO202" i="19"/>
  <c r="DP202" i="19"/>
  <c r="DQ202" i="19"/>
  <c r="DR202" i="19"/>
  <c r="DS202" i="19"/>
  <c r="DT202" i="19"/>
  <c r="DU202" i="19"/>
  <c r="DV202" i="19"/>
  <c r="DW202" i="19"/>
  <c r="DX202" i="19"/>
  <c r="DY202" i="19"/>
  <c r="DZ202" i="19"/>
  <c r="EA202" i="19"/>
  <c r="EB202" i="19"/>
  <c r="EC202" i="19"/>
  <c r="ED202" i="19"/>
  <c r="EE202" i="19"/>
  <c r="EF202" i="19"/>
  <c r="EG202" i="19"/>
  <c r="EH202" i="19"/>
  <c r="EI202" i="19"/>
  <c r="EJ202" i="19"/>
  <c r="EK202" i="19"/>
  <c r="EL202" i="19"/>
  <c r="EM202" i="19"/>
  <c r="EN202" i="19"/>
  <c r="EO202" i="19"/>
  <c r="EP202" i="19"/>
  <c r="EQ202" i="19"/>
  <c r="ER202" i="19"/>
  <c r="ES202" i="19"/>
  <c r="ET202" i="19"/>
  <c r="EU202" i="19"/>
  <c r="EV202" i="19"/>
  <c r="EW202" i="19"/>
  <c r="EX202" i="19"/>
  <c r="EY202" i="19"/>
  <c r="EZ202" i="19"/>
  <c r="FA202" i="19"/>
  <c r="FB202" i="19"/>
  <c r="FC202" i="19"/>
  <c r="FD202" i="19"/>
  <c r="FE202" i="19"/>
  <c r="FF202" i="19"/>
  <c r="FG202" i="19"/>
  <c r="FH202" i="19"/>
  <c r="FI202" i="19"/>
  <c r="FJ202" i="19"/>
  <c r="FK202" i="19"/>
  <c r="FL202" i="19"/>
  <c r="FM202" i="19"/>
  <c r="FN202" i="19"/>
  <c r="FO202" i="19"/>
  <c r="FP202" i="19"/>
  <c r="FQ202" i="19"/>
  <c r="FR202" i="19"/>
  <c r="FS202" i="19"/>
  <c r="FT202" i="19"/>
  <c r="FU202" i="19"/>
  <c r="FV202" i="19"/>
  <c r="FW202" i="19"/>
  <c r="FX202" i="19"/>
  <c r="FY202" i="19"/>
  <c r="FZ202" i="19"/>
  <c r="GA202" i="19"/>
  <c r="GB202" i="19"/>
  <c r="GC202" i="19"/>
  <c r="GD202" i="19"/>
  <c r="GE202" i="19"/>
  <c r="GF202" i="19"/>
  <c r="GG202" i="19"/>
  <c r="GH202" i="19"/>
  <c r="GI202" i="19"/>
  <c r="GJ202" i="19"/>
  <c r="GK202" i="19"/>
  <c r="GL202" i="19"/>
  <c r="GM202" i="19"/>
  <c r="GN202" i="19"/>
  <c r="GO202" i="19"/>
  <c r="GP202" i="19"/>
  <c r="GQ202" i="19"/>
  <c r="GR202" i="19"/>
  <c r="GS202" i="19"/>
  <c r="GT202" i="19"/>
  <c r="GU202" i="19"/>
  <c r="GV202" i="19"/>
  <c r="GW202" i="19"/>
  <c r="GX202" i="19"/>
  <c r="GY202" i="19"/>
  <c r="GZ202" i="19"/>
  <c r="HA202" i="19"/>
  <c r="HB202" i="19"/>
  <c r="HC202" i="19"/>
  <c r="HD202" i="19"/>
  <c r="HE202" i="19"/>
  <c r="HF202" i="19"/>
  <c r="HG202" i="19"/>
  <c r="HH202" i="19"/>
  <c r="HI202" i="19"/>
  <c r="HJ202" i="19"/>
  <c r="HK202" i="19"/>
  <c r="HL202" i="19"/>
  <c r="HM202" i="19"/>
  <c r="HN202" i="19"/>
  <c r="HO202" i="19"/>
  <c r="HP202" i="19"/>
  <c r="HQ202" i="19"/>
  <c r="HR202" i="19"/>
  <c r="HS202" i="19"/>
  <c r="HT202" i="19"/>
  <c r="HU202" i="19"/>
  <c r="HV202" i="19"/>
  <c r="HW202" i="19"/>
  <c r="HX202" i="19"/>
  <c r="HY202" i="19"/>
  <c r="HZ202" i="19"/>
  <c r="IA202" i="19"/>
  <c r="IB202" i="19"/>
  <c r="IC202" i="19"/>
  <c r="ID202" i="19"/>
  <c r="IE202" i="19"/>
  <c r="IF202" i="19"/>
  <c r="IG202" i="19"/>
  <c r="IH202" i="19"/>
  <c r="II202" i="19"/>
  <c r="IJ202" i="19"/>
  <c r="IK202" i="19"/>
  <c r="IL202" i="19"/>
  <c r="IM202" i="19"/>
  <c r="IN202" i="19"/>
  <c r="IO202" i="19"/>
  <c r="IP202" i="19"/>
  <c r="IQ202" i="19"/>
  <c r="IR202" i="19"/>
  <c r="IS202" i="19"/>
  <c r="IT202" i="19"/>
  <c r="IU202" i="19"/>
  <c r="IV202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T203" i="19"/>
  <c r="U203" i="19"/>
  <c r="V203" i="19"/>
  <c r="W203" i="19"/>
  <c r="X203" i="19"/>
  <c r="Y203" i="19"/>
  <c r="Z203" i="19"/>
  <c r="AA203" i="19"/>
  <c r="AB203" i="19"/>
  <c r="AC203" i="19"/>
  <c r="AD203" i="19"/>
  <c r="AE203" i="19"/>
  <c r="AF203" i="19"/>
  <c r="AG203" i="19"/>
  <c r="AH203" i="19"/>
  <c r="AI203" i="19"/>
  <c r="AJ203" i="19"/>
  <c r="AK203" i="19"/>
  <c r="AL203" i="19"/>
  <c r="AM203" i="19"/>
  <c r="AN203" i="19"/>
  <c r="AO203" i="19"/>
  <c r="AP203" i="19"/>
  <c r="AQ203" i="19"/>
  <c r="AR203" i="19"/>
  <c r="AS203" i="19"/>
  <c r="AT203" i="19"/>
  <c r="AU203" i="19"/>
  <c r="AV203" i="19"/>
  <c r="AW203" i="19"/>
  <c r="AX203" i="19"/>
  <c r="AY203" i="19"/>
  <c r="AZ203" i="19"/>
  <c r="BA203" i="19"/>
  <c r="BB203" i="19"/>
  <c r="BC203" i="19"/>
  <c r="BD203" i="19"/>
  <c r="BE203" i="19"/>
  <c r="BF203" i="19"/>
  <c r="BG203" i="19"/>
  <c r="BH203" i="19"/>
  <c r="BI203" i="19"/>
  <c r="BJ203" i="19"/>
  <c r="BK203" i="19"/>
  <c r="BL203" i="19"/>
  <c r="BM203" i="19"/>
  <c r="BN203" i="19"/>
  <c r="BO203" i="19"/>
  <c r="BP203" i="19"/>
  <c r="BQ203" i="19"/>
  <c r="BR203" i="19"/>
  <c r="BS203" i="19"/>
  <c r="BT203" i="19"/>
  <c r="BU203" i="19"/>
  <c r="BV203" i="19"/>
  <c r="BW203" i="19"/>
  <c r="BX203" i="19"/>
  <c r="BY203" i="19"/>
  <c r="BZ203" i="19"/>
  <c r="CA203" i="19"/>
  <c r="CB203" i="19"/>
  <c r="CC203" i="19"/>
  <c r="CD203" i="19"/>
  <c r="CE203" i="19"/>
  <c r="CF203" i="19"/>
  <c r="CG203" i="19"/>
  <c r="CH203" i="19"/>
  <c r="CI203" i="19"/>
  <c r="CJ203" i="19"/>
  <c r="CK203" i="19"/>
  <c r="CL203" i="19"/>
  <c r="CM203" i="19"/>
  <c r="CN203" i="19"/>
  <c r="CO203" i="19"/>
  <c r="CP203" i="19"/>
  <c r="CQ203" i="19"/>
  <c r="CR203" i="19"/>
  <c r="CS203" i="19"/>
  <c r="CT203" i="19"/>
  <c r="CU203" i="19"/>
  <c r="CV203" i="19"/>
  <c r="CW203" i="19"/>
  <c r="CX203" i="19"/>
  <c r="CY203" i="19"/>
  <c r="CZ203" i="19"/>
  <c r="DA203" i="19"/>
  <c r="DB203" i="19"/>
  <c r="DC203" i="19"/>
  <c r="DD203" i="19"/>
  <c r="DE203" i="19"/>
  <c r="DF203" i="19"/>
  <c r="DG203" i="19"/>
  <c r="DH203" i="19"/>
  <c r="DI203" i="19"/>
  <c r="DJ203" i="19"/>
  <c r="DK203" i="19"/>
  <c r="DL203" i="19"/>
  <c r="DM203" i="19"/>
  <c r="DN203" i="19"/>
  <c r="DO203" i="19"/>
  <c r="DP203" i="19"/>
  <c r="DQ203" i="19"/>
  <c r="DR203" i="19"/>
  <c r="DS203" i="19"/>
  <c r="DT203" i="19"/>
  <c r="DU203" i="19"/>
  <c r="DV203" i="19"/>
  <c r="DW203" i="19"/>
  <c r="DX203" i="19"/>
  <c r="DY203" i="19"/>
  <c r="DZ203" i="19"/>
  <c r="EA203" i="19"/>
  <c r="EB203" i="19"/>
  <c r="EC203" i="19"/>
  <c r="ED203" i="19"/>
  <c r="EE203" i="19"/>
  <c r="EF203" i="19"/>
  <c r="EG203" i="19"/>
  <c r="EH203" i="19"/>
  <c r="EI203" i="19"/>
  <c r="EJ203" i="19"/>
  <c r="EK203" i="19"/>
  <c r="EL203" i="19"/>
  <c r="EM203" i="19"/>
  <c r="EN203" i="19"/>
  <c r="EO203" i="19"/>
  <c r="EP203" i="19"/>
  <c r="EQ203" i="19"/>
  <c r="ER203" i="19"/>
  <c r="ES203" i="19"/>
  <c r="ET203" i="19"/>
  <c r="EU203" i="19"/>
  <c r="EV203" i="19"/>
  <c r="EW203" i="19"/>
  <c r="EX203" i="19"/>
  <c r="EY203" i="19"/>
  <c r="EZ203" i="19"/>
  <c r="FA203" i="19"/>
  <c r="FB203" i="19"/>
  <c r="FC203" i="19"/>
  <c r="FD203" i="19"/>
  <c r="FE203" i="19"/>
  <c r="FF203" i="19"/>
  <c r="FG203" i="19"/>
  <c r="FH203" i="19"/>
  <c r="FI203" i="19"/>
  <c r="FJ203" i="19"/>
  <c r="FK203" i="19"/>
  <c r="FL203" i="19"/>
  <c r="FM203" i="19"/>
  <c r="FN203" i="19"/>
  <c r="FO203" i="19"/>
  <c r="FP203" i="19"/>
  <c r="FQ203" i="19"/>
  <c r="FR203" i="19"/>
  <c r="FS203" i="19"/>
  <c r="FT203" i="19"/>
  <c r="FU203" i="19"/>
  <c r="FV203" i="19"/>
  <c r="FW203" i="19"/>
  <c r="FX203" i="19"/>
  <c r="FY203" i="19"/>
  <c r="FZ203" i="19"/>
  <c r="GA203" i="19"/>
  <c r="GB203" i="19"/>
  <c r="GC203" i="19"/>
  <c r="GD203" i="19"/>
  <c r="GE203" i="19"/>
  <c r="GF203" i="19"/>
  <c r="GG203" i="19"/>
  <c r="GH203" i="19"/>
  <c r="GI203" i="19"/>
  <c r="GJ203" i="19"/>
  <c r="GK203" i="19"/>
  <c r="GL203" i="19"/>
  <c r="GM203" i="19"/>
  <c r="GN203" i="19"/>
  <c r="GO203" i="19"/>
  <c r="GP203" i="19"/>
  <c r="GQ203" i="19"/>
  <c r="GR203" i="19"/>
  <c r="GS203" i="19"/>
  <c r="GT203" i="19"/>
  <c r="GU203" i="19"/>
  <c r="GV203" i="19"/>
  <c r="GW203" i="19"/>
  <c r="GX203" i="19"/>
  <c r="GY203" i="19"/>
  <c r="GZ203" i="19"/>
  <c r="HA203" i="19"/>
  <c r="HB203" i="19"/>
  <c r="HC203" i="19"/>
  <c r="HD203" i="19"/>
  <c r="HE203" i="19"/>
  <c r="HF203" i="19"/>
  <c r="HG203" i="19"/>
  <c r="HH203" i="19"/>
  <c r="HI203" i="19"/>
  <c r="HJ203" i="19"/>
  <c r="HK203" i="19"/>
  <c r="HL203" i="19"/>
  <c r="HM203" i="19"/>
  <c r="HN203" i="19"/>
  <c r="HO203" i="19"/>
  <c r="HP203" i="19"/>
  <c r="HQ203" i="19"/>
  <c r="HR203" i="19"/>
  <c r="HS203" i="19"/>
  <c r="HT203" i="19"/>
  <c r="HU203" i="19"/>
  <c r="HV203" i="19"/>
  <c r="HW203" i="19"/>
  <c r="HX203" i="19"/>
  <c r="HY203" i="19"/>
  <c r="HZ203" i="19"/>
  <c r="IA203" i="19"/>
  <c r="IB203" i="19"/>
  <c r="IC203" i="19"/>
  <c r="ID203" i="19"/>
  <c r="IE203" i="19"/>
  <c r="IF203" i="19"/>
  <c r="IG203" i="19"/>
  <c r="IH203" i="19"/>
  <c r="II203" i="19"/>
  <c r="IJ203" i="19"/>
  <c r="IK203" i="19"/>
  <c r="IL203" i="19"/>
  <c r="IM203" i="19"/>
  <c r="IN203" i="19"/>
  <c r="IO203" i="19"/>
  <c r="IP203" i="19"/>
  <c r="IQ203" i="19"/>
  <c r="IR203" i="19"/>
  <c r="IS203" i="19"/>
  <c r="IT203" i="19"/>
  <c r="IU203" i="19"/>
  <c r="IV203" i="19"/>
  <c r="F204" i="19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T204" i="19"/>
  <c r="U204" i="19"/>
  <c r="V204" i="19"/>
  <c r="W204" i="19"/>
  <c r="X204" i="19"/>
  <c r="Y204" i="19"/>
  <c r="Z204" i="19"/>
  <c r="AA204" i="19"/>
  <c r="AB204" i="19"/>
  <c r="AC204" i="19"/>
  <c r="AD204" i="19"/>
  <c r="AE204" i="19"/>
  <c r="AF204" i="19"/>
  <c r="AG204" i="19"/>
  <c r="AH204" i="19"/>
  <c r="AI204" i="19"/>
  <c r="AJ204" i="19"/>
  <c r="AK204" i="19"/>
  <c r="AL204" i="19"/>
  <c r="AM204" i="19"/>
  <c r="AN204" i="19"/>
  <c r="AO204" i="19"/>
  <c r="AP204" i="19"/>
  <c r="AQ204" i="19"/>
  <c r="AR204" i="19"/>
  <c r="AS204" i="19"/>
  <c r="AT204" i="19"/>
  <c r="AU204" i="19"/>
  <c r="AV204" i="19"/>
  <c r="AW204" i="19"/>
  <c r="AX204" i="19"/>
  <c r="AY204" i="19"/>
  <c r="AZ204" i="19"/>
  <c r="BA204" i="19"/>
  <c r="BB204" i="19"/>
  <c r="BC204" i="19"/>
  <c r="BD204" i="19"/>
  <c r="BE204" i="19"/>
  <c r="BF204" i="19"/>
  <c r="BG204" i="19"/>
  <c r="BH204" i="19"/>
  <c r="BI204" i="19"/>
  <c r="BJ204" i="19"/>
  <c r="BK204" i="19"/>
  <c r="BL204" i="19"/>
  <c r="BM204" i="19"/>
  <c r="BN204" i="19"/>
  <c r="BO204" i="19"/>
  <c r="BP204" i="19"/>
  <c r="BQ204" i="19"/>
  <c r="BR204" i="19"/>
  <c r="BS204" i="19"/>
  <c r="BT204" i="19"/>
  <c r="BU204" i="19"/>
  <c r="BV204" i="19"/>
  <c r="BW204" i="19"/>
  <c r="BX204" i="19"/>
  <c r="BY204" i="19"/>
  <c r="BZ204" i="19"/>
  <c r="CA204" i="19"/>
  <c r="CB204" i="19"/>
  <c r="CC204" i="19"/>
  <c r="CD204" i="19"/>
  <c r="CE204" i="19"/>
  <c r="CF204" i="19"/>
  <c r="CG204" i="19"/>
  <c r="CH204" i="19"/>
  <c r="CI204" i="19"/>
  <c r="CJ204" i="19"/>
  <c r="CK204" i="19"/>
  <c r="CL204" i="19"/>
  <c r="CM204" i="19"/>
  <c r="CN204" i="19"/>
  <c r="CO204" i="19"/>
  <c r="CP204" i="19"/>
  <c r="CQ204" i="19"/>
  <c r="CR204" i="19"/>
  <c r="CS204" i="19"/>
  <c r="CT204" i="19"/>
  <c r="CU204" i="19"/>
  <c r="CV204" i="19"/>
  <c r="CW204" i="19"/>
  <c r="CX204" i="19"/>
  <c r="CY204" i="19"/>
  <c r="CZ204" i="19"/>
  <c r="DA204" i="19"/>
  <c r="DB204" i="19"/>
  <c r="DC204" i="19"/>
  <c r="DD204" i="19"/>
  <c r="DE204" i="19"/>
  <c r="DF204" i="19"/>
  <c r="DG204" i="19"/>
  <c r="DH204" i="19"/>
  <c r="DI204" i="19"/>
  <c r="DJ204" i="19"/>
  <c r="DK204" i="19"/>
  <c r="DL204" i="19"/>
  <c r="DM204" i="19"/>
  <c r="DN204" i="19"/>
  <c r="DO204" i="19"/>
  <c r="DP204" i="19"/>
  <c r="DQ204" i="19"/>
  <c r="DR204" i="19"/>
  <c r="DS204" i="19"/>
  <c r="DT204" i="19"/>
  <c r="DU204" i="19"/>
  <c r="DV204" i="19"/>
  <c r="DW204" i="19"/>
  <c r="DX204" i="19"/>
  <c r="DY204" i="19"/>
  <c r="DZ204" i="19"/>
  <c r="EA204" i="19"/>
  <c r="EB204" i="19"/>
  <c r="EC204" i="19"/>
  <c r="ED204" i="19"/>
  <c r="EE204" i="19"/>
  <c r="EF204" i="19"/>
  <c r="EG204" i="19"/>
  <c r="EH204" i="19"/>
  <c r="EI204" i="19"/>
  <c r="EJ204" i="19"/>
  <c r="EK204" i="19"/>
  <c r="EL204" i="19"/>
  <c r="EM204" i="19"/>
  <c r="EN204" i="19"/>
  <c r="EO204" i="19"/>
  <c r="EP204" i="19"/>
  <c r="EQ204" i="19"/>
  <c r="ER204" i="19"/>
  <c r="ES204" i="19"/>
  <c r="ET204" i="19"/>
  <c r="EU204" i="19"/>
  <c r="EV204" i="19"/>
  <c r="EW204" i="19"/>
  <c r="EX204" i="19"/>
  <c r="EY204" i="19"/>
  <c r="EZ204" i="19"/>
  <c r="FA204" i="19"/>
  <c r="FB204" i="19"/>
  <c r="FC204" i="19"/>
  <c r="FD204" i="19"/>
  <c r="FE204" i="19"/>
  <c r="FF204" i="19"/>
  <c r="FG204" i="19"/>
  <c r="FH204" i="19"/>
  <c r="FI204" i="19"/>
  <c r="FJ204" i="19"/>
  <c r="FK204" i="19"/>
  <c r="FL204" i="19"/>
  <c r="FM204" i="19"/>
  <c r="FN204" i="19"/>
  <c r="FO204" i="19"/>
  <c r="FP204" i="19"/>
  <c r="FQ204" i="19"/>
  <c r="FR204" i="19"/>
  <c r="FS204" i="19"/>
  <c r="FT204" i="19"/>
  <c r="FU204" i="19"/>
  <c r="FV204" i="19"/>
  <c r="FW204" i="19"/>
  <c r="FX204" i="19"/>
  <c r="FY204" i="19"/>
  <c r="FZ204" i="19"/>
  <c r="GA204" i="19"/>
  <c r="GB204" i="19"/>
  <c r="GC204" i="19"/>
  <c r="GD204" i="19"/>
  <c r="GE204" i="19"/>
  <c r="GF204" i="19"/>
  <c r="GG204" i="19"/>
  <c r="GH204" i="19"/>
  <c r="GI204" i="19"/>
  <c r="GJ204" i="19"/>
  <c r="GK204" i="19"/>
  <c r="GL204" i="19"/>
  <c r="GM204" i="19"/>
  <c r="GN204" i="19"/>
  <c r="GO204" i="19"/>
  <c r="GP204" i="19"/>
  <c r="GQ204" i="19"/>
  <c r="GR204" i="19"/>
  <c r="GS204" i="19"/>
  <c r="GT204" i="19"/>
  <c r="GU204" i="19"/>
  <c r="GV204" i="19"/>
  <c r="GW204" i="19"/>
  <c r="GX204" i="19"/>
  <c r="GY204" i="19"/>
  <c r="GZ204" i="19"/>
  <c r="HA204" i="19"/>
  <c r="HB204" i="19"/>
  <c r="HC204" i="19"/>
  <c r="HD204" i="19"/>
  <c r="HE204" i="19"/>
  <c r="HF204" i="19"/>
  <c r="HG204" i="19"/>
  <c r="HH204" i="19"/>
  <c r="HI204" i="19"/>
  <c r="HJ204" i="19"/>
  <c r="HK204" i="19"/>
  <c r="HL204" i="19"/>
  <c r="HM204" i="19"/>
  <c r="HN204" i="19"/>
  <c r="HO204" i="19"/>
  <c r="HP204" i="19"/>
  <c r="HQ204" i="19"/>
  <c r="HR204" i="19"/>
  <c r="HS204" i="19"/>
  <c r="HT204" i="19"/>
  <c r="HU204" i="19"/>
  <c r="HV204" i="19"/>
  <c r="HW204" i="19"/>
  <c r="HX204" i="19"/>
  <c r="HY204" i="19"/>
  <c r="HZ204" i="19"/>
  <c r="IA204" i="19"/>
  <c r="IB204" i="19"/>
  <c r="IC204" i="19"/>
  <c r="ID204" i="19"/>
  <c r="IE204" i="19"/>
  <c r="IF204" i="19"/>
  <c r="IG204" i="19"/>
  <c r="IH204" i="19"/>
  <c r="II204" i="19"/>
  <c r="IJ204" i="19"/>
  <c r="IK204" i="19"/>
  <c r="IL204" i="19"/>
  <c r="IM204" i="19"/>
  <c r="IN204" i="19"/>
  <c r="IO204" i="19"/>
  <c r="IP204" i="19"/>
  <c r="IQ204" i="19"/>
  <c r="IR204" i="19"/>
  <c r="IS204" i="19"/>
  <c r="IT204" i="19"/>
  <c r="IU204" i="19"/>
  <c r="IV204" i="19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T205" i="19"/>
  <c r="U205" i="19"/>
  <c r="V205" i="19"/>
  <c r="W205" i="19"/>
  <c r="X205" i="19"/>
  <c r="Y205" i="19"/>
  <c r="Z205" i="19"/>
  <c r="AA205" i="19"/>
  <c r="AB205" i="19"/>
  <c r="AC205" i="19"/>
  <c r="AD205" i="19"/>
  <c r="AE205" i="19"/>
  <c r="AF205" i="19"/>
  <c r="AG205" i="19"/>
  <c r="AH205" i="19"/>
  <c r="AI205" i="19"/>
  <c r="AJ205" i="19"/>
  <c r="AK205" i="19"/>
  <c r="AL205" i="19"/>
  <c r="AM205" i="19"/>
  <c r="AN205" i="19"/>
  <c r="AO205" i="19"/>
  <c r="AP205" i="19"/>
  <c r="AQ205" i="19"/>
  <c r="AR205" i="19"/>
  <c r="AS205" i="19"/>
  <c r="AT205" i="19"/>
  <c r="AU205" i="19"/>
  <c r="AV205" i="19"/>
  <c r="AW205" i="19"/>
  <c r="AX205" i="19"/>
  <c r="AY205" i="19"/>
  <c r="AZ205" i="19"/>
  <c r="BA205" i="19"/>
  <c r="BB205" i="19"/>
  <c r="BC205" i="19"/>
  <c r="BD205" i="19"/>
  <c r="BE205" i="19"/>
  <c r="BF205" i="19"/>
  <c r="BG205" i="19"/>
  <c r="BH205" i="19"/>
  <c r="BI205" i="19"/>
  <c r="BJ205" i="19"/>
  <c r="BK205" i="19"/>
  <c r="BL205" i="19"/>
  <c r="BM205" i="19"/>
  <c r="BN205" i="19"/>
  <c r="BO205" i="19"/>
  <c r="BP205" i="19"/>
  <c r="BQ205" i="19"/>
  <c r="BR205" i="19"/>
  <c r="BS205" i="19"/>
  <c r="BT205" i="19"/>
  <c r="BU205" i="19"/>
  <c r="BV205" i="19"/>
  <c r="BW205" i="19"/>
  <c r="BX205" i="19"/>
  <c r="BY205" i="19"/>
  <c r="BZ205" i="19"/>
  <c r="CA205" i="19"/>
  <c r="CB205" i="19"/>
  <c r="CC205" i="19"/>
  <c r="CD205" i="19"/>
  <c r="CE205" i="19"/>
  <c r="CF205" i="19"/>
  <c r="CG205" i="19"/>
  <c r="CH205" i="19"/>
  <c r="CI205" i="19"/>
  <c r="CJ205" i="19"/>
  <c r="CK205" i="19"/>
  <c r="CL205" i="19"/>
  <c r="CM205" i="19"/>
  <c r="CN205" i="19"/>
  <c r="CO205" i="19"/>
  <c r="CP205" i="19"/>
  <c r="CQ205" i="19"/>
  <c r="CR205" i="19"/>
  <c r="CS205" i="19"/>
  <c r="CT205" i="19"/>
  <c r="CU205" i="19"/>
  <c r="CV205" i="19"/>
  <c r="CW205" i="19"/>
  <c r="CX205" i="19"/>
  <c r="CY205" i="19"/>
  <c r="CZ205" i="19"/>
  <c r="DA205" i="19"/>
  <c r="DB205" i="19"/>
  <c r="DC205" i="19"/>
  <c r="DD205" i="19"/>
  <c r="DE205" i="19"/>
  <c r="DF205" i="19"/>
  <c r="DG205" i="19"/>
  <c r="DH205" i="19"/>
  <c r="DI205" i="19"/>
  <c r="DJ205" i="19"/>
  <c r="DK205" i="19"/>
  <c r="DL205" i="19"/>
  <c r="DM205" i="19"/>
  <c r="DN205" i="19"/>
  <c r="DO205" i="19"/>
  <c r="DP205" i="19"/>
  <c r="DQ205" i="19"/>
  <c r="DR205" i="19"/>
  <c r="DS205" i="19"/>
  <c r="DT205" i="19"/>
  <c r="DU205" i="19"/>
  <c r="DV205" i="19"/>
  <c r="DW205" i="19"/>
  <c r="DX205" i="19"/>
  <c r="DY205" i="19"/>
  <c r="DZ205" i="19"/>
  <c r="EA205" i="19"/>
  <c r="EB205" i="19"/>
  <c r="EC205" i="19"/>
  <c r="ED205" i="19"/>
  <c r="EE205" i="19"/>
  <c r="EF205" i="19"/>
  <c r="EG205" i="19"/>
  <c r="EH205" i="19"/>
  <c r="EI205" i="19"/>
  <c r="EJ205" i="19"/>
  <c r="EK205" i="19"/>
  <c r="EL205" i="19"/>
  <c r="EM205" i="19"/>
  <c r="EN205" i="19"/>
  <c r="EO205" i="19"/>
  <c r="EP205" i="19"/>
  <c r="EQ205" i="19"/>
  <c r="ER205" i="19"/>
  <c r="ES205" i="19"/>
  <c r="ET205" i="19"/>
  <c r="EU205" i="19"/>
  <c r="EV205" i="19"/>
  <c r="EW205" i="19"/>
  <c r="EX205" i="19"/>
  <c r="EY205" i="19"/>
  <c r="EZ205" i="19"/>
  <c r="FA205" i="19"/>
  <c r="FB205" i="19"/>
  <c r="FC205" i="19"/>
  <c r="FD205" i="19"/>
  <c r="FE205" i="19"/>
  <c r="FF205" i="19"/>
  <c r="FG205" i="19"/>
  <c r="FH205" i="19"/>
  <c r="FI205" i="19"/>
  <c r="FJ205" i="19"/>
  <c r="FK205" i="19"/>
  <c r="FL205" i="19"/>
  <c r="FM205" i="19"/>
  <c r="FN205" i="19"/>
  <c r="FO205" i="19"/>
  <c r="FP205" i="19"/>
  <c r="FQ205" i="19"/>
  <c r="FR205" i="19"/>
  <c r="FS205" i="19"/>
  <c r="FT205" i="19"/>
  <c r="FU205" i="19"/>
  <c r="FV205" i="19"/>
  <c r="FW205" i="19"/>
  <c r="FX205" i="19"/>
  <c r="FY205" i="19"/>
  <c r="FZ205" i="19"/>
  <c r="GA205" i="19"/>
  <c r="GB205" i="19"/>
  <c r="GC205" i="19"/>
  <c r="GD205" i="19"/>
  <c r="GE205" i="19"/>
  <c r="GF205" i="19"/>
  <c r="GG205" i="19"/>
  <c r="GH205" i="19"/>
  <c r="GI205" i="19"/>
  <c r="GJ205" i="19"/>
  <c r="GK205" i="19"/>
  <c r="GL205" i="19"/>
  <c r="GM205" i="19"/>
  <c r="GN205" i="19"/>
  <c r="GO205" i="19"/>
  <c r="GP205" i="19"/>
  <c r="GQ205" i="19"/>
  <c r="GR205" i="19"/>
  <c r="GS205" i="19"/>
  <c r="GT205" i="19"/>
  <c r="GU205" i="19"/>
  <c r="GV205" i="19"/>
  <c r="GW205" i="19"/>
  <c r="GX205" i="19"/>
  <c r="GY205" i="19"/>
  <c r="GZ205" i="19"/>
  <c r="HA205" i="19"/>
  <c r="HB205" i="19"/>
  <c r="HC205" i="19"/>
  <c r="HD205" i="19"/>
  <c r="HE205" i="19"/>
  <c r="HF205" i="19"/>
  <c r="HG205" i="19"/>
  <c r="HH205" i="19"/>
  <c r="HI205" i="19"/>
  <c r="HJ205" i="19"/>
  <c r="HK205" i="19"/>
  <c r="HL205" i="19"/>
  <c r="HM205" i="19"/>
  <c r="HN205" i="19"/>
  <c r="HO205" i="19"/>
  <c r="HP205" i="19"/>
  <c r="HQ205" i="19"/>
  <c r="HR205" i="19"/>
  <c r="HS205" i="19"/>
  <c r="HT205" i="19"/>
  <c r="HU205" i="19"/>
  <c r="HV205" i="19"/>
  <c r="HW205" i="19"/>
  <c r="HX205" i="19"/>
  <c r="HY205" i="19"/>
  <c r="HZ205" i="19"/>
  <c r="IA205" i="19"/>
  <c r="IB205" i="19"/>
  <c r="IC205" i="19"/>
  <c r="ID205" i="19"/>
  <c r="IE205" i="19"/>
  <c r="IF205" i="19"/>
  <c r="IG205" i="19"/>
  <c r="IH205" i="19"/>
  <c r="II205" i="19"/>
  <c r="IJ205" i="19"/>
  <c r="IK205" i="19"/>
  <c r="IL205" i="19"/>
  <c r="IM205" i="19"/>
  <c r="IN205" i="19"/>
  <c r="IO205" i="19"/>
  <c r="IP205" i="19"/>
  <c r="IQ205" i="19"/>
  <c r="IR205" i="19"/>
  <c r="IS205" i="19"/>
  <c r="IT205" i="19"/>
  <c r="IU205" i="19"/>
  <c r="IV205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T206" i="19"/>
  <c r="U206" i="19"/>
  <c r="V206" i="19"/>
  <c r="W206" i="19"/>
  <c r="X206" i="19"/>
  <c r="Y206" i="19"/>
  <c r="Z206" i="19"/>
  <c r="AA206" i="19"/>
  <c r="AB206" i="19"/>
  <c r="AC206" i="19"/>
  <c r="AD206" i="19"/>
  <c r="AE206" i="19"/>
  <c r="AF206" i="19"/>
  <c r="AG206" i="19"/>
  <c r="AH206" i="19"/>
  <c r="AI206" i="19"/>
  <c r="AJ206" i="19"/>
  <c r="AK206" i="19"/>
  <c r="AL206" i="19"/>
  <c r="AM206" i="19"/>
  <c r="AN206" i="19"/>
  <c r="AO206" i="19"/>
  <c r="AP206" i="19"/>
  <c r="AQ206" i="19"/>
  <c r="AR206" i="19"/>
  <c r="AS206" i="19"/>
  <c r="AT206" i="19"/>
  <c r="AU206" i="19"/>
  <c r="AV206" i="19"/>
  <c r="AW206" i="19"/>
  <c r="AX206" i="19"/>
  <c r="AY206" i="19"/>
  <c r="AZ206" i="19"/>
  <c r="BA206" i="19"/>
  <c r="BB206" i="19"/>
  <c r="BC206" i="19"/>
  <c r="BD206" i="19"/>
  <c r="BE206" i="19"/>
  <c r="BF206" i="19"/>
  <c r="BG206" i="19"/>
  <c r="BH206" i="19"/>
  <c r="BI206" i="19"/>
  <c r="BJ206" i="19"/>
  <c r="BK206" i="19"/>
  <c r="BL206" i="19"/>
  <c r="BM206" i="19"/>
  <c r="BN206" i="19"/>
  <c r="BO206" i="19"/>
  <c r="BP206" i="19"/>
  <c r="BQ206" i="19"/>
  <c r="BR206" i="19"/>
  <c r="BS206" i="19"/>
  <c r="BT206" i="19"/>
  <c r="BU206" i="19"/>
  <c r="BV206" i="19"/>
  <c r="BW206" i="19"/>
  <c r="BX206" i="19"/>
  <c r="BY206" i="19"/>
  <c r="BZ206" i="19"/>
  <c r="CA206" i="19"/>
  <c r="CB206" i="19"/>
  <c r="CC206" i="19"/>
  <c r="CD206" i="19"/>
  <c r="CE206" i="19"/>
  <c r="CF206" i="19"/>
  <c r="CG206" i="19"/>
  <c r="CH206" i="19"/>
  <c r="CI206" i="19"/>
  <c r="CJ206" i="19"/>
  <c r="CK206" i="19"/>
  <c r="CL206" i="19"/>
  <c r="CM206" i="19"/>
  <c r="CN206" i="19"/>
  <c r="CO206" i="19"/>
  <c r="CP206" i="19"/>
  <c r="CQ206" i="19"/>
  <c r="CR206" i="19"/>
  <c r="CS206" i="19"/>
  <c r="CT206" i="19"/>
  <c r="CU206" i="19"/>
  <c r="CV206" i="19"/>
  <c r="CW206" i="19"/>
  <c r="CX206" i="19"/>
  <c r="CY206" i="19"/>
  <c r="CZ206" i="19"/>
  <c r="DA206" i="19"/>
  <c r="DB206" i="19"/>
  <c r="DC206" i="19"/>
  <c r="DD206" i="19"/>
  <c r="DE206" i="19"/>
  <c r="DF206" i="19"/>
  <c r="DG206" i="19"/>
  <c r="DH206" i="19"/>
  <c r="DI206" i="19"/>
  <c r="DJ206" i="19"/>
  <c r="DK206" i="19"/>
  <c r="DL206" i="19"/>
  <c r="DM206" i="19"/>
  <c r="DN206" i="19"/>
  <c r="DO206" i="19"/>
  <c r="DP206" i="19"/>
  <c r="DQ206" i="19"/>
  <c r="DR206" i="19"/>
  <c r="DS206" i="19"/>
  <c r="DT206" i="19"/>
  <c r="DU206" i="19"/>
  <c r="DV206" i="19"/>
  <c r="DW206" i="19"/>
  <c r="DX206" i="19"/>
  <c r="DY206" i="19"/>
  <c r="DZ206" i="19"/>
  <c r="EA206" i="19"/>
  <c r="EB206" i="19"/>
  <c r="EC206" i="19"/>
  <c r="ED206" i="19"/>
  <c r="EE206" i="19"/>
  <c r="EF206" i="19"/>
  <c r="EG206" i="19"/>
  <c r="EH206" i="19"/>
  <c r="EI206" i="19"/>
  <c r="EJ206" i="19"/>
  <c r="EK206" i="19"/>
  <c r="EL206" i="19"/>
  <c r="EM206" i="19"/>
  <c r="EN206" i="19"/>
  <c r="EO206" i="19"/>
  <c r="EP206" i="19"/>
  <c r="EQ206" i="19"/>
  <c r="ER206" i="19"/>
  <c r="ES206" i="19"/>
  <c r="ET206" i="19"/>
  <c r="EU206" i="19"/>
  <c r="EV206" i="19"/>
  <c r="EW206" i="19"/>
  <c r="EX206" i="19"/>
  <c r="EY206" i="19"/>
  <c r="EZ206" i="19"/>
  <c r="FA206" i="19"/>
  <c r="FB206" i="19"/>
  <c r="FC206" i="19"/>
  <c r="FD206" i="19"/>
  <c r="FE206" i="19"/>
  <c r="FF206" i="19"/>
  <c r="FG206" i="19"/>
  <c r="FH206" i="19"/>
  <c r="FI206" i="19"/>
  <c r="FJ206" i="19"/>
  <c r="FK206" i="19"/>
  <c r="FL206" i="19"/>
  <c r="FM206" i="19"/>
  <c r="FN206" i="19"/>
  <c r="FO206" i="19"/>
  <c r="FP206" i="19"/>
  <c r="FQ206" i="19"/>
  <c r="FR206" i="19"/>
  <c r="FS206" i="19"/>
  <c r="FT206" i="19"/>
  <c r="FU206" i="19"/>
  <c r="FV206" i="19"/>
  <c r="FW206" i="19"/>
  <c r="FX206" i="19"/>
  <c r="FY206" i="19"/>
  <c r="FZ206" i="19"/>
  <c r="GA206" i="19"/>
  <c r="GB206" i="19"/>
  <c r="GC206" i="19"/>
  <c r="GD206" i="19"/>
  <c r="GE206" i="19"/>
  <c r="GF206" i="19"/>
  <c r="GG206" i="19"/>
  <c r="GH206" i="19"/>
  <c r="GI206" i="19"/>
  <c r="GJ206" i="19"/>
  <c r="GK206" i="19"/>
  <c r="GL206" i="19"/>
  <c r="GM206" i="19"/>
  <c r="GN206" i="19"/>
  <c r="GO206" i="19"/>
  <c r="GP206" i="19"/>
  <c r="GQ206" i="19"/>
  <c r="GR206" i="19"/>
  <c r="GS206" i="19"/>
  <c r="GT206" i="19"/>
  <c r="GU206" i="19"/>
  <c r="GV206" i="19"/>
  <c r="GW206" i="19"/>
  <c r="GX206" i="19"/>
  <c r="GY206" i="19"/>
  <c r="GZ206" i="19"/>
  <c r="HA206" i="19"/>
  <c r="HB206" i="19"/>
  <c r="HC206" i="19"/>
  <c r="HD206" i="19"/>
  <c r="HE206" i="19"/>
  <c r="HF206" i="19"/>
  <c r="HG206" i="19"/>
  <c r="HH206" i="19"/>
  <c r="HI206" i="19"/>
  <c r="HJ206" i="19"/>
  <c r="HK206" i="19"/>
  <c r="HL206" i="19"/>
  <c r="HM206" i="19"/>
  <c r="HN206" i="19"/>
  <c r="HO206" i="19"/>
  <c r="HP206" i="19"/>
  <c r="HQ206" i="19"/>
  <c r="HR206" i="19"/>
  <c r="HS206" i="19"/>
  <c r="HT206" i="19"/>
  <c r="HU206" i="19"/>
  <c r="HV206" i="19"/>
  <c r="HW206" i="19"/>
  <c r="HX206" i="19"/>
  <c r="HY206" i="19"/>
  <c r="HZ206" i="19"/>
  <c r="IA206" i="19"/>
  <c r="IB206" i="19"/>
  <c r="IC206" i="19"/>
  <c r="ID206" i="19"/>
  <c r="IE206" i="19"/>
  <c r="IF206" i="19"/>
  <c r="IG206" i="19"/>
  <c r="IH206" i="19"/>
  <c r="II206" i="19"/>
  <c r="IJ206" i="19"/>
  <c r="IK206" i="19"/>
  <c r="IL206" i="19"/>
  <c r="IM206" i="19"/>
  <c r="IN206" i="19"/>
  <c r="IO206" i="19"/>
  <c r="IP206" i="19"/>
  <c r="IQ206" i="19"/>
  <c r="IR206" i="19"/>
  <c r="IS206" i="19"/>
  <c r="IT206" i="19"/>
  <c r="IU206" i="19"/>
  <c r="IV206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T207" i="19"/>
  <c r="U207" i="19"/>
  <c r="V207" i="19"/>
  <c r="W207" i="19"/>
  <c r="X207" i="19"/>
  <c r="Y207" i="19"/>
  <c r="Z207" i="19"/>
  <c r="AA207" i="19"/>
  <c r="AB207" i="19"/>
  <c r="AC207" i="19"/>
  <c r="AD207" i="19"/>
  <c r="AE207" i="19"/>
  <c r="AF207" i="19"/>
  <c r="AG207" i="19"/>
  <c r="AH207" i="19"/>
  <c r="AI207" i="19"/>
  <c r="AJ207" i="19"/>
  <c r="AK207" i="19"/>
  <c r="AL207" i="19"/>
  <c r="AM207" i="19"/>
  <c r="AN207" i="19"/>
  <c r="AO207" i="19"/>
  <c r="AP207" i="19"/>
  <c r="AQ207" i="19"/>
  <c r="AR207" i="19"/>
  <c r="AS207" i="19"/>
  <c r="AT207" i="19"/>
  <c r="AU207" i="19"/>
  <c r="AV207" i="19"/>
  <c r="AW207" i="19"/>
  <c r="AX207" i="19"/>
  <c r="AY207" i="19"/>
  <c r="AZ207" i="19"/>
  <c r="BA207" i="19"/>
  <c r="BB207" i="19"/>
  <c r="BC207" i="19"/>
  <c r="BD207" i="19"/>
  <c r="BE207" i="19"/>
  <c r="BF207" i="19"/>
  <c r="BG207" i="19"/>
  <c r="BH207" i="19"/>
  <c r="BI207" i="19"/>
  <c r="BJ207" i="19"/>
  <c r="BK207" i="19"/>
  <c r="BL207" i="19"/>
  <c r="BM207" i="19"/>
  <c r="BN207" i="19"/>
  <c r="BO207" i="19"/>
  <c r="BP207" i="19"/>
  <c r="BQ207" i="19"/>
  <c r="BR207" i="19"/>
  <c r="BS207" i="19"/>
  <c r="BT207" i="19"/>
  <c r="BU207" i="19"/>
  <c r="BV207" i="19"/>
  <c r="BW207" i="19"/>
  <c r="BX207" i="19"/>
  <c r="BY207" i="19"/>
  <c r="BZ207" i="19"/>
  <c r="CA207" i="19"/>
  <c r="CB207" i="19"/>
  <c r="CC207" i="19"/>
  <c r="CD207" i="19"/>
  <c r="CE207" i="19"/>
  <c r="CF207" i="19"/>
  <c r="CG207" i="19"/>
  <c r="CH207" i="19"/>
  <c r="CI207" i="19"/>
  <c r="CJ207" i="19"/>
  <c r="CK207" i="19"/>
  <c r="CL207" i="19"/>
  <c r="CM207" i="19"/>
  <c r="CN207" i="19"/>
  <c r="CO207" i="19"/>
  <c r="CP207" i="19"/>
  <c r="CQ207" i="19"/>
  <c r="CR207" i="19"/>
  <c r="CS207" i="19"/>
  <c r="CT207" i="19"/>
  <c r="CU207" i="19"/>
  <c r="CV207" i="19"/>
  <c r="CW207" i="19"/>
  <c r="CX207" i="19"/>
  <c r="CY207" i="19"/>
  <c r="CZ207" i="19"/>
  <c r="DA207" i="19"/>
  <c r="DB207" i="19"/>
  <c r="DC207" i="19"/>
  <c r="DD207" i="19"/>
  <c r="DE207" i="19"/>
  <c r="DF207" i="19"/>
  <c r="DG207" i="19"/>
  <c r="DH207" i="19"/>
  <c r="DI207" i="19"/>
  <c r="DJ207" i="19"/>
  <c r="DK207" i="19"/>
  <c r="DL207" i="19"/>
  <c r="DM207" i="19"/>
  <c r="DN207" i="19"/>
  <c r="DO207" i="19"/>
  <c r="DP207" i="19"/>
  <c r="DQ207" i="19"/>
  <c r="DR207" i="19"/>
  <c r="DS207" i="19"/>
  <c r="DT207" i="19"/>
  <c r="DU207" i="19"/>
  <c r="DV207" i="19"/>
  <c r="DW207" i="19"/>
  <c r="DX207" i="19"/>
  <c r="DY207" i="19"/>
  <c r="DZ207" i="19"/>
  <c r="EA207" i="19"/>
  <c r="EB207" i="19"/>
  <c r="EC207" i="19"/>
  <c r="ED207" i="19"/>
  <c r="EE207" i="19"/>
  <c r="EF207" i="19"/>
  <c r="EG207" i="19"/>
  <c r="EH207" i="19"/>
  <c r="EI207" i="19"/>
  <c r="EJ207" i="19"/>
  <c r="EK207" i="19"/>
  <c r="EL207" i="19"/>
  <c r="EM207" i="19"/>
  <c r="EN207" i="19"/>
  <c r="EO207" i="19"/>
  <c r="EP207" i="19"/>
  <c r="EQ207" i="19"/>
  <c r="ER207" i="19"/>
  <c r="ES207" i="19"/>
  <c r="ET207" i="19"/>
  <c r="EU207" i="19"/>
  <c r="EV207" i="19"/>
  <c r="EW207" i="19"/>
  <c r="EX207" i="19"/>
  <c r="EY207" i="19"/>
  <c r="EZ207" i="19"/>
  <c r="FA207" i="19"/>
  <c r="FB207" i="19"/>
  <c r="FC207" i="19"/>
  <c r="FD207" i="19"/>
  <c r="FE207" i="19"/>
  <c r="FF207" i="19"/>
  <c r="FG207" i="19"/>
  <c r="FH207" i="19"/>
  <c r="FI207" i="19"/>
  <c r="FJ207" i="19"/>
  <c r="FK207" i="19"/>
  <c r="FL207" i="19"/>
  <c r="FM207" i="19"/>
  <c r="FN207" i="19"/>
  <c r="FO207" i="19"/>
  <c r="FP207" i="19"/>
  <c r="FQ207" i="19"/>
  <c r="FR207" i="19"/>
  <c r="FS207" i="19"/>
  <c r="FT207" i="19"/>
  <c r="FU207" i="19"/>
  <c r="FV207" i="19"/>
  <c r="FW207" i="19"/>
  <c r="FX207" i="19"/>
  <c r="FY207" i="19"/>
  <c r="FZ207" i="19"/>
  <c r="GA207" i="19"/>
  <c r="GB207" i="19"/>
  <c r="GC207" i="19"/>
  <c r="GD207" i="19"/>
  <c r="GE207" i="19"/>
  <c r="GF207" i="19"/>
  <c r="GG207" i="19"/>
  <c r="GH207" i="19"/>
  <c r="GI207" i="19"/>
  <c r="GJ207" i="19"/>
  <c r="GK207" i="19"/>
  <c r="GL207" i="19"/>
  <c r="GM207" i="19"/>
  <c r="GN207" i="19"/>
  <c r="GO207" i="19"/>
  <c r="GP207" i="19"/>
  <c r="GQ207" i="19"/>
  <c r="GR207" i="19"/>
  <c r="GS207" i="19"/>
  <c r="GT207" i="19"/>
  <c r="GU207" i="19"/>
  <c r="GV207" i="19"/>
  <c r="GW207" i="19"/>
  <c r="GX207" i="19"/>
  <c r="GY207" i="19"/>
  <c r="GZ207" i="19"/>
  <c r="HA207" i="19"/>
  <c r="HB207" i="19"/>
  <c r="HC207" i="19"/>
  <c r="HD207" i="19"/>
  <c r="HE207" i="19"/>
  <c r="HF207" i="19"/>
  <c r="HG207" i="19"/>
  <c r="HH207" i="19"/>
  <c r="HI207" i="19"/>
  <c r="HJ207" i="19"/>
  <c r="HK207" i="19"/>
  <c r="HL207" i="19"/>
  <c r="HM207" i="19"/>
  <c r="HN207" i="19"/>
  <c r="HO207" i="19"/>
  <c r="HP207" i="19"/>
  <c r="HQ207" i="19"/>
  <c r="HR207" i="19"/>
  <c r="HS207" i="19"/>
  <c r="HT207" i="19"/>
  <c r="HU207" i="19"/>
  <c r="HV207" i="19"/>
  <c r="HW207" i="19"/>
  <c r="HX207" i="19"/>
  <c r="HY207" i="19"/>
  <c r="HZ207" i="19"/>
  <c r="IA207" i="19"/>
  <c r="IB207" i="19"/>
  <c r="IC207" i="19"/>
  <c r="ID207" i="19"/>
  <c r="IE207" i="19"/>
  <c r="IF207" i="19"/>
  <c r="IG207" i="19"/>
  <c r="IH207" i="19"/>
  <c r="II207" i="19"/>
  <c r="IJ207" i="19"/>
  <c r="IK207" i="19"/>
  <c r="IL207" i="19"/>
  <c r="IM207" i="19"/>
  <c r="IN207" i="19"/>
  <c r="IO207" i="19"/>
  <c r="IP207" i="19"/>
  <c r="IQ207" i="19"/>
  <c r="IR207" i="19"/>
  <c r="IS207" i="19"/>
  <c r="IT207" i="19"/>
  <c r="IU207" i="19"/>
  <c r="IV207" i="19"/>
  <c r="F208" i="19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T208" i="19"/>
  <c r="U208" i="19"/>
  <c r="V208" i="19"/>
  <c r="W208" i="19"/>
  <c r="X208" i="19"/>
  <c r="Y208" i="19"/>
  <c r="Z208" i="19"/>
  <c r="AA208" i="19"/>
  <c r="AB208" i="19"/>
  <c r="AC208" i="19"/>
  <c r="AD208" i="19"/>
  <c r="AE208" i="19"/>
  <c r="AF208" i="19"/>
  <c r="AG208" i="19"/>
  <c r="AH208" i="19"/>
  <c r="AI208" i="19"/>
  <c r="AJ208" i="19"/>
  <c r="AK208" i="19"/>
  <c r="AL208" i="19"/>
  <c r="AM208" i="19"/>
  <c r="AN208" i="19"/>
  <c r="AO208" i="19"/>
  <c r="AP208" i="19"/>
  <c r="AQ208" i="19"/>
  <c r="AR208" i="19"/>
  <c r="AS208" i="19"/>
  <c r="AT208" i="19"/>
  <c r="AU208" i="19"/>
  <c r="AV208" i="19"/>
  <c r="AW208" i="19"/>
  <c r="AX208" i="19"/>
  <c r="AY208" i="19"/>
  <c r="AZ208" i="19"/>
  <c r="BA208" i="19"/>
  <c r="BB208" i="19"/>
  <c r="BC208" i="19"/>
  <c r="BD208" i="19"/>
  <c r="BE208" i="19"/>
  <c r="BF208" i="19"/>
  <c r="BG208" i="19"/>
  <c r="BH208" i="19"/>
  <c r="BI208" i="19"/>
  <c r="BJ208" i="19"/>
  <c r="BK208" i="19"/>
  <c r="BL208" i="19"/>
  <c r="BM208" i="19"/>
  <c r="BN208" i="19"/>
  <c r="BO208" i="19"/>
  <c r="BP208" i="19"/>
  <c r="BQ208" i="19"/>
  <c r="BR208" i="19"/>
  <c r="BS208" i="19"/>
  <c r="BT208" i="19"/>
  <c r="BU208" i="19"/>
  <c r="BV208" i="19"/>
  <c r="BW208" i="19"/>
  <c r="BX208" i="19"/>
  <c r="BY208" i="19"/>
  <c r="BZ208" i="19"/>
  <c r="CA208" i="19"/>
  <c r="CB208" i="19"/>
  <c r="CC208" i="19"/>
  <c r="CD208" i="19"/>
  <c r="CE208" i="19"/>
  <c r="CF208" i="19"/>
  <c r="CG208" i="19"/>
  <c r="CH208" i="19"/>
  <c r="CI208" i="19"/>
  <c r="CJ208" i="19"/>
  <c r="CK208" i="19"/>
  <c r="CL208" i="19"/>
  <c r="CM208" i="19"/>
  <c r="CN208" i="19"/>
  <c r="CO208" i="19"/>
  <c r="CP208" i="19"/>
  <c r="CQ208" i="19"/>
  <c r="CR208" i="19"/>
  <c r="CS208" i="19"/>
  <c r="CT208" i="19"/>
  <c r="CU208" i="19"/>
  <c r="CV208" i="19"/>
  <c r="CW208" i="19"/>
  <c r="CX208" i="19"/>
  <c r="CY208" i="19"/>
  <c r="CZ208" i="19"/>
  <c r="DA208" i="19"/>
  <c r="DB208" i="19"/>
  <c r="DC208" i="19"/>
  <c r="DD208" i="19"/>
  <c r="DE208" i="19"/>
  <c r="DF208" i="19"/>
  <c r="DG208" i="19"/>
  <c r="DH208" i="19"/>
  <c r="DI208" i="19"/>
  <c r="DJ208" i="19"/>
  <c r="DK208" i="19"/>
  <c r="DL208" i="19"/>
  <c r="DM208" i="19"/>
  <c r="DN208" i="19"/>
  <c r="DO208" i="19"/>
  <c r="DP208" i="19"/>
  <c r="DQ208" i="19"/>
  <c r="DR208" i="19"/>
  <c r="DS208" i="19"/>
  <c r="DT208" i="19"/>
  <c r="DU208" i="19"/>
  <c r="DV208" i="19"/>
  <c r="DW208" i="19"/>
  <c r="DX208" i="19"/>
  <c r="DY208" i="19"/>
  <c r="DZ208" i="19"/>
  <c r="EA208" i="19"/>
  <c r="EB208" i="19"/>
  <c r="EC208" i="19"/>
  <c r="ED208" i="19"/>
  <c r="EE208" i="19"/>
  <c r="EF208" i="19"/>
  <c r="EG208" i="19"/>
  <c r="EH208" i="19"/>
  <c r="EI208" i="19"/>
  <c r="EJ208" i="19"/>
  <c r="EK208" i="19"/>
  <c r="EL208" i="19"/>
  <c r="EM208" i="19"/>
  <c r="EN208" i="19"/>
  <c r="EO208" i="19"/>
  <c r="EP208" i="19"/>
  <c r="EQ208" i="19"/>
  <c r="ER208" i="19"/>
  <c r="ES208" i="19"/>
  <c r="ET208" i="19"/>
  <c r="EU208" i="19"/>
  <c r="EV208" i="19"/>
  <c r="EW208" i="19"/>
  <c r="EX208" i="19"/>
  <c r="EY208" i="19"/>
  <c r="EZ208" i="19"/>
  <c r="FA208" i="19"/>
  <c r="FB208" i="19"/>
  <c r="FC208" i="19"/>
  <c r="FD208" i="19"/>
  <c r="FE208" i="19"/>
  <c r="FF208" i="19"/>
  <c r="FG208" i="19"/>
  <c r="FH208" i="19"/>
  <c r="FI208" i="19"/>
  <c r="FJ208" i="19"/>
  <c r="FK208" i="19"/>
  <c r="FL208" i="19"/>
  <c r="FM208" i="19"/>
  <c r="FN208" i="19"/>
  <c r="FO208" i="19"/>
  <c r="FP208" i="19"/>
  <c r="FQ208" i="19"/>
  <c r="FR208" i="19"/>
  <c r="FS208" i="19"/>
  <c r="FT208" i="19"/>
  <c r="FU208" i="19"/>
  <c r="FV208" i="19"/>
  <c r="FW208" i="19"/>
  <c r="FX208" i="19"/>
  <c r="FY208" i="19"/>
  <c r="FZ208" i="19"/>
  <c r="GA208" i="19"/>
  <c r="GB208" i="19"/>
  <c r="GC208" i="19"/>
  <c r="GD208" i="19"/>
  <c r="GE208" i="19"/>
  <c r="GF208" i="19"/>
  <c r="GG208" i="19"/>
  <c r="GH208" i="19"/>
  <c r="GI208" i="19"/>
  <c r="GJ208" i="19"/>
  <c r="GK208" i="19"/>
  <c r="GL208" i="19"/>
  <c r="GM208" i="19"/>
  <c r="GN208" i="19"/>
  <c r="GO208" i="19"/>
  <c r="GP208" i="19"/>
  <c r="GQ208" i="19"/>
  <c r="GR208" i="19"/>
  <c r="GS208" i="19"/>
  <c r="GT208" i="19"/>
  <c r="GU208" i="19"/>
  <c r="GV208" i="19"/>
  <c r="GW208" i="19"/>
  <c r="GX208" i="19"/>
  <c r="GY208" i="19"/>
  <c r="GZ208" i="19"/>
  <c r="HA208" i="19"/>
  <c r="HB208" i="19"/>
  <c r="HC208" i="19"/>
  <c r="HD208" i="19"/>
  <c r="HE208" i="19"/>
  <c r="HF208" i="19"/>
  <c r="HG208" i="19"/>
  <c r="HH208" i="19"/>
  <c r="HI208" i="19"/>
  <c r="HJ208" i="19"/>
  <c r="HK208" i="19"/>
  <c r="HL208" i="19"/>
  <c r="HM208" i="19"/>
  <c r="HN208" i="19"/>
  <c r="HO208" i="19"/>
  <c r="HP208" i="19"/>
  <c r="HQ208" i="19"/>
  <c r="HR208" i="19"/>
  <c r="HS208" i="19"/>
  <c r="HT208" i="19"/>
  <c r="HU208" i="19"/>
  <c r="HV208" i="19"/>
  <c r="HW208" i="19"/>
  <c r="HX208" i="19"/>
  <c r="HY208" i="19"/>
  <c r="HZ208" i="19"/>
  <c r="IA208" i="19"/>
  <c r="IB208" i="19"/>
  <c r="IC208" i="19"/>
  <c r="ID208" i="19"/>
  <c r="IE208" i="19"/>
  <c r="IF208" i="19"/>
  <c r="IG208" i="19"/>
  <c r="IH208" i="19"/>
  <c r="II208" i="19"/>
  <c r="IJ208" i="19"/>
  <c r="IK208" i="19"/>
  <c r="IL208" i="19"/>
  <c r="IM208" i="19"/>
  <c r="IN208" i="19"/>
  <c r="IO208" i="19"/>
  <c r="IP208" i="19"/>
  <c r="IQ208" i="19"/>
  <c r="IR208" i="19"/>
  <c r="IS208" i="19"/>
  <c r="IT208" i="19"/>
  <c r="IU208" i="19"/>
  <c r="IV208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T209" i="19"/>
  <c r="U209" i="19"/>
  <c r="V209" i="19"/>
  <c r="W209" i="19"/>
  <c r="X209" i="19"/>
  <c r="Y209" i="19"/>
  <c r="Z209" i="19"/>
  <c r="AA209" i="19"/>
  <c r="AB209" i="19"/>
  <c r="AC209" i="19"/>
  <c r="AD209" i="19"/>
  <c r="AE209" i="19"/>
  <c r="AF209" i="19"/>
  <c r="AG209" i="19"/>
  <c r="AH209" i="19"/>
  <c r="AI209" i="19"/>
  <c r="AJ209" i="19"/>
  <c r="AK209" i="19"/>
  <c r="AL209" i="19"/>
  <c r="AM209" i="19"/>
  <c r="AN209" i="19"/>
  <c r="AO209" i="19"/>
  <c r="AP209" i="19"/>
  <c r="AQ209" i="19"/>
  <c r="AR209" i="19"/>
  <c r="AS209" i="19"/>
  <c r="AT209" i="19"/>
  <c r="AU209" i="19"/>
  <c r="AV209" i="19"/>
  <c r="AW209" i="19"/>
  <c r="AX209" i="19"/>
  <c r="AY209" i="19"/>
  <c r="AZ209" i="19"/>
  <c r="BA209" i="19"/>
  <c r="BB209" i="19"/>
  <c r="BC209" i="19"/>
  <c r="BD209" i="19"/>
  <c r="BE209" i="19"/>
  <c r="BF209" i="19"/>
  <c r="BG209" i="19"/>
  <c r="BH209" i="19"/>
  <c r="BI209" i="19"/>
  <c r="BJ209" i="19"/>
  <c r="BK209" i="19"/>
  <c r="BL209" i="19"/>
  <c r="BM209" i="19"/>
  <c r="BN209" i="19"/>
  <c r="BO209" i="19"/>
  <c r="BP209" i="19"/>
  <c r="BQ209" i="19"/>
  <c r="BR209" i="19"/>
  <c r="BS209" i="19"/>
  <c r="BT209" i="19"/>
  <c r="BU209" i="19"/>
  <c r="BV209" i="19"/>
  <c r="BW209" i="19"/>
  <c r="BX209" i="19"/>
  <c r="BY209" i="19"/>
  <c r="BZ209" i="19"/>
  <c r="CA209" i="19"/>
  <c r="CB209" i="19"/>
  <c r="CC209" i="19"/>
  <c r="CD209" i="19"/>
  <c r="CE209" i="19"/>
  <c r="CF209" i="19"/>
  <c r="CG209" i="19"/>
  <c r="CH209" i="19"/>
  <c r="CI209" i="19"/>
  <c r="CJ209" i="19"/>
  <c r="CK209" i="19"/>
  <c r="CL209" i="19"/>
  <c r="CM209" i="19"/>
  <c r="CN209" i="19"/>
  <c r="CO209" i="19"/>
  <c r="CP209" i="19"/>
  <c r="CQ209" i="19"/>
  <c r="CR209" i="19"/>
  <c r="CS209" i="19"/>
  <c r="CT209" i="19"/>
  <c r="CU209" i="19"/>
  <c r="CV209" i="19"/>
  <c r="CW209" i="19"/>
  <c r="CX209" i="19"/>
  <c r="CY209" i="19"/>
  <c r="CZ209" i="19"/>
  <c r="DA209" i="19"/>
  <c r="DB209" i="19"/>
  <c r="DC209" i="19"/>
  <c r="DD209" i="19"/>
  <c r="DE209" i="19"/>
  <c r="DF209" i="19"/>
  <c r="DG209" i="19"/>
  <c r="DH209" i="19"/>
  <c r="DI209" i="19"/>
  <c r="DJ209" i="19"/>
  <c r="DK209" i="19"/>
  <c r="DL209" i="19"/>
  <c r="DM209" i="19"/>
  <c r="DN209" i="19"/>
  <c r="DO209" i="19"/>
  <c r="DP209" i="19"/>
  <c r="DQ209" i="19"/>
  <c r="DR209" i="19"/>
  <c r="DS209" i="19"/>
  <c r="DT209" i="19"/>
  <c r="DU209" i="19"/>
  <c r="DV209" i="19"/>
  <c r="DW209" i="19"/>
  <c r="DX209" i="19"/>
  <c r="DY209" i="19"/>
  <c r="DZ209" i="19"/>
  <c r="EA209" i="19"/>
  <c r="EB209" i="19"/>
  <c r="EC209" i="19"/>
  <c r="ED209" i="19"/>
  <c r="EE209" i="19"/>
  <c r="EF209" i="19"/>
  <c r="EG209" i="19"/>
  <c r="EH209" i="19"/>
  <c r="EI209" i="19"/>
  <c r="EJ209" i="19"/>
  <c r="EK209" i="19"/>
  <c r="EL209" i="19"/>
  <c r="EM209" i="19"/>
  <c r="EN209" i="19"/>
  <c r="EO209" i="19"/>
  <c r="EP209" i="19"/>
  <c r="EQ209" i="19"/>
  <c r="ER209" i="19"/>
  <c r="ES209" i="19"/>
  <c r="ET209" i="19"/>
  <c r="EU209" i="19"/>
  <c r="EV209" i="19"/>
  <c r="EW209" i="19"/>
  <c r="EX209" i="19"/>
  <c r="EY209" i="19"/>
  <c r="EZ209" i="19"/>
  <c r="FA209" i="19"/>
  <c r="FB209" i="19"/>
  <c r="FC209" i="19"/>
  <c r="FD209" i="19"/>
  <c r="FE209" i="19"/>
  <c r="FF209" i="19"/>
  <c r="FG209" i="19"/>
  <c r="FH209" i="19"/>
  <c r="FI209" i="19"/>
  <c r="FJ209" i="19"/>
  <c r="FK209" i="19"/>
  <c r="FL209" i="19"/>
  <c r="FM209" i="19"/>
  <c r="FN209" i="19"/>
  <c r="FO209" i="19"/>
  <c r="FP209" i="19"/>
  <c r="FQ209" i="19"/>
  <c r="FR209" i="19"/>
  <c r="FS209" i="19"/>
  <c r="FT209" i="19"/>
  <c r="FU209" i="19"/>
  <c r="FV209" i="19"/>
  <c r="FW209" i="19"/>
  <c r="FX209" i="19"/>
  <c r="FY209" i="19"/>
  <c r="FZ209" i="19"/>
  <c r="GA209" i="19"/>
  <c r="GB209" i="19"/>
  <c r="GC209" i="19"/>
  <c r="GD209" i="19"/>
  <c r="GE209" i="19"/>
  <c r="GF209" i="19"/>
  <c r="GG209" i="19"/>
  <c r="GH209" i="19"/>
  <c r="GI209" i="19"/>
  <c r="GJ209" i="19"/>
  <c r="GK209" i="19"/>
  <c r="GL209" i="19"/>
  <c r="GM209" i="19"/>
  <c r="GN209" i="19"/>
  <c r="GO209" i="19"/>
  <c r="GP209" i="19"/>
  <c r="GQ209" i="19"/>
  <c r="GR209" i="19"/>
  <c r="GS209" i="19"/>
  <c r="GT209" i="19"/>
  <c r="GU209" i="19"/>
  <c r="GV209" i="19"/>
  <c r="GW209" i="19"/>
  <c r="GX209" i="19"/>
  <c r="GY209" i="19"/>
  <c r="GZ209" i="19"/>
  <c r="HA209" i="19"/>
  <c r="HB209" i="19"/>
  <c r="HC209" i="19"/>
  <c r="HD209" i="19"/>
  <c r="HE209" i="19"/>
  <c r="HF209" i="19"/>
  <c r="HG209" i="19"/>
  <c r="HH209" i="19"/>
  <c r="HI209" i="19"/>
  <c r="HJ209" i="19"/>
  <c r="HK209" i="19"/>
  <c r="HL209" i="19"/>
  <c r="HM209" i="19"/>
  <c r="HN209" i="19"/>
  <c r="HO209" i="19"/>
  <c r="HP209" i="19"/>
  <c r="HQ209" i="19"/>
  <c r="HR209" i="19"/>
  <c r="HS209" i="19"/>
  <c r="HT209" i="19"/>
  <c r="HU209" i="19"/>
  <c r="HV209" i="19"/>
  <c r="HW209" i="19"/>
  <c r="HX209" i="19"/>
  <c r="HY209" i="19"/>
  <c r="HZ209" i="19"/>
  <c r="IA209" i="19"/>
  <c r="IB209" i="19"/>
  <c r="IC209" i="19"/>
  <c r="ID209" i="19"/>
  <c r="IE209" i="19"/>
  <c r="IF209" i="19"/>
  <c r="IG209" i="19"/>
  <c r="IH209" i="19"/>
  <c r="II209" i="19"/>
  <c r="IJ209" i="19"/>
  <c r="IK209" i="19"/>
  <c r="IL209" i="19"/>
  <c r="IM209" i="19"/>
  <c r="IN209" i="19"/>
  <c r="IO209" i="19"/>
  <c r="IP209" i="19"/>
  <c r="IQ209" i="19"/>
  <c r="IR209" i="19"/>
  <c r="IS209" i="19"/>
  <c r="IT209" i="19"/>
  <c r="IU209" i="19"/>
  <c r="IV209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T210" i="19"/>
  <c r="U210" i="19"/>
  <c r="V210" i="19"/>
  <c r="W210" i="19"/>
  <c r="X210" i="19"/>
  <c r="Y210" i="19"/>
  <c r="Z210" i="19"/>
  <c r="AA210" i="19"/>
  <c r="AB210" i="19"/>
  <c r="AC210" i="19"/>
  <c r="AD210" i="19"/>
  <c r="AE210" i="19"/>
  <c r="AF210" i="19"/>
  <c r="AG210" i="19"/>
  <c r="AH210" i="19"/>
  <c r="AI210" i="19"/>
  <c r="AJ210" i="19"/>
  <c r="AK210" i="19"/>
  <c r="AL210" i="19"/>
  <c r="AM210" i="19"/>
  <c r="AN210" i="19"/>
  <c r="AO210" i="19"/>
  <c r="AP210" i="19"/>
  <c r="AQ210" i="19"/>
  <c r="AR210" i="19"/>
  <c r="AS210" i="19"/>
  <c r="AT210" i="19"/>
  <c r="AU210" i="19"/>
  <c r="AV210" i="19"/>
  <c r="AW210" i="19"/>
  <c r="AX210" i="19"/>
  <c r="AY210" i="19"/>
  <c r="AZ210" i="19"/>
  <c r="BA210" i="19"/>
  <c r="BB210" i="19"/>
  <c r="BC210" i="19"/>
  <c r="BD210" i="19"/>
  <c r="BE210" i="19"/>
  <c r="BF210" i="19"/>
  <c r="BG210" i="19"/>
  <c r="BH210" i="19"/>
  <c r="BI210" i="19"/>
  <c r="BJ210" i="19"/>
  <c r="BK210" i="19"/>
  <c r="BL210" i="19"/>
  <c r="BM210" i="19"/>
  <c r="BN210" i="19"/>
  <c r="BO210" i="19"/>
  <c r="BP210" i="19"/>
  <c r="BQ210" i="19"/>
  <c r="BR210" i="19"/>
  <c r="BS210" i="19"/>
  <c r="BT210" i="19"/>
  <c r="BU210" i="19"/>
  <c r="BV210" i="19"/>
  <c r="BW210" i="19"/>
  <c r="BX210" i="19"/>
  <c r="BY210" i="19"/>
  <c r="BZ210" i="19"/>
  <c r="CA210" i="19"/>
  <c r="CB210" i="19"/>
  <c r="CC210" i="19"/>
  <c r="CD210" i="19"/>
  <c r="CE210" i="19"/>
  <c r="CF210" i="19"/>
  <c r="CG210" i="19"/>
  <c r="CH210" i="19"/>
  <c r="CI210" i="19"/>
  <c r="CJ210" i="19"/>
  <c r="CK210" i="19"/>
  <c r="CL210" i="19"/>
  <c r="CM210" i="19"/>
  <c r="CN210" i="19"/>
  <c r="CO210" i="19"/>
  <c r="CP210" i="19"/>
  <c r="CQ210" i="19"/>
  <c r="CR210" i="19"/>
  <c r="CS210" i="19"/>
  <c r="CT210" i="19"/>
  <c r="CU210" i="19"/>
  <c r="CV210" i="19"/>
  <c r="CW210" i="19"/>
  <c r="CX210" i="19"/>
  <c r="CY210" i="19"/>
  <c r="CZ210" i="19"/>
  <c r="DA210" i="19"/>
  <c r="DB210" i="19"/>
  <c r="DC210" i="19"/>
  <c r="DD210" i="19"/>
  <c r="DE210" i="19"/>
  <c r="DF210" i="19"/>
  <c r="DG210" i="19"/>
  <c r="DH210" i="19"/>
  <c r="DI210" i="19"/>
  <c r="DJ210" i="19"/>
  <c r="DK210" i="19"/>
  <c r="DL210" i="19"/>
  <c r="DM210" i="19"/>
  <c r="DN210" i="19"/>
  <c r="DO210" i="19"/>
  <c r="DP210" i="19"/>
  <c r="DQ210" i="19"/>
  <c r="DR210" i="19"/>
  <c r="DS210" i="19"/>
  <c r="DT210" i="19"/>
  <c r="DU210" i="19"/>
  <c r="DV210" i="19"/>
  <c r="DW210" i="19"/>
  <c r="DX210" i="19"/>
  <c r="DY210" i="19"/>
  <c r="DZ210" i="19"/>
  <c r="EA210" i="19"/>
  <c r="EB210" i="19"/>
  <c r="EC210" i="19"/>
  <c r="ED210" i="19"/>
  <c r="EE210" i="19"/>
  <c r="EF210" i="19"/>
  <c r="EG210" i="19"/>
  <c r="EH210" i="19"/>
  <c r="EI210" i="19"/>
  <c r="EJ210" i="19"/>
  <c r="EK210" i="19"/>
  <c r="EL210" i="19"/>
  <c r="EM210" i="19"/>
  <c r="EN210" i="19"/>
  <c r="EO210" i="19"/>
  <c r="EP210" i="19"/>
  <c r="EQ210" i="19"/>
  <c r="ER210" i="19"/>
  <c r="ES210" i="19"/>
  <c r="ET210" i="19"/>
  <c r="EU210" i="19"/>
  <c r="EV210" i="19"/>
  <c r="EW210" i="19"/>
  <c r="EX210" i="19"/>
  <c r="EY210" i="19"/>
  <c r="EZ210" i="19"/>
  <c r="FA210" i="19"/>
  <c r="FB210" i="19"/>
  <c r="FC210" i="19"/>
  <c r="FD210" i="19"/>
  <c r="FE210" i="19"/>
  <c r="FF210" i="19"/>
  <c r="FG210" i="19"/>
  <c r="FH210" i="19"/>
  <c r="FI210" i="19"/>
  <c r="FJ210" i="19"/>
  <c r="FK210" i="19"/>
  <c r="FL210" i="19"/>
  <c r="FM210" i="19"/>
  <c r="FN210" i="19"/>
  <c r="FO210" i="19"/>
  <c r="FP210" i="19"/>
  <c r="FQ210" i="19"/>
  <c r="FR210" i="19"/>
  <c r="FS210" i="19"/>
  <c r="FT210" i="19"/>
  <c r="FU210" i="19"/>
  <c r="FV210" i="19"/>
  <c r="FW210" i="19"/>
  <c r="FX210" i="19"/>
  <c r="FY210" i="19"/>
  <c r="FZ210" i="19"/>
  <c r="GA210" i="19"/>
  <c r="GB210" i="19"/>
  <c r="GC210" i="19"/>
  <c r="GD210" i="19"/>
  <c r="GE210" i="19"/>
  <c r="GF210" i="19"/>
  <c r="GG210" i="19"/>
  <c r="GH210" i="19"/>
  <c r="GI210" i="19"/>
  <c r="GJ210" i="19"/>
  <c r="GK210" i="19"/>
  <c r="GL210" i="19"/>
  <c r="GM210" i="19"/>
  <c r="GN210" i="19"/>
  <c r="GO210" i="19"/>
  <c r="GP210" i="19"/>
  <c r="GQ210" i="19"/>
  <c r="GR210" i="19"/>
  <c r="GS210" i="19"/>
  <c r="GT210" i="19"/>
  <c r="GU210" i="19"/>
  <c r="GV210" i="19"/>
  <c r="GW210" i="19"/>
  <c r="GX210" i="19"/>
  <c r="GY210" i="19"/>
  <c r="GZ210" i="19"/>
  <c r="HA210" i="19"/>
  <c r="HB210" i="19"/>
  <c r="HC210" i="19"/>
  <c r="HD210" i="19"/>
  <c r="HE210" i="19"/>
  <c r="HF210" i="19"/>
  <c r="HG210" i="19"/>
  <c r="HH210" i="19"/>
  <c r="HI210" i="19"/>
  <c r="HJ210" i="19"/>
  <c r="HK210" i="19"/>
  <c r="HL210" i="19"/>
  <c r="HM210" i="19"/>
  <c r="HN210" i="19"/>
  <c r="HO210" i="19"/>
  <c r="HP210" i="19"/>
  <c r="HQ210" i="19"/>
  <c r="HR210" i="19"/>
  <c r="HS210" i="19"/>
  <c r="HT210" i="19"/>
  <c r="HU210" i="19"/>
  <c r="HV210" i="19"/>
  <c r="HW210" i="19"/>
  <c r="HX210" i="19"/>
  <c r="HY210" i="19"/>
  <c r="HZ210" i="19"/>
  <c r="IA210" i="19"/>
  <c r="IB210" i="19"/>
  <c r="IC210" i="19"/>
  <c r="ID210" i="19"/>
  <c r="IE210" i="19"/>
  <c r="IF210" i="19"/>
  <c r="IG210" i="19"/>
  <c r="IH210" i="19"/>
  <c r="II210" i="19"/>
  <c r="IJ210" i="19"/>
  <c r="IK210" i="19"/>
  <c r="IL210" i="19"/>
  <c r="IM210" i="19"/>
  <c r="IN210" i="19"/>
  <c r="IO210" i="19"/>
  <c r="IP210" i="19"/>
  <c r="IQ210" i="19"/>
  <c r="IR210" i="19"/>
  <c r="IS210" i="19"/>
  <c r="IT210" i="19"/>
  <c r="IU210" i="19"/>
  <c r="IV210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T211" i="19"/>
  <c r="U211" i="19"/>
  <c r="V211" i="19"/>
  <c r="W211" i="19"/>
  <c r="X211" i="19"/>
  <c r="Y211" i="19"/>
  <c r="Z211" i="19"/>
  <c r="AA211" i="19"/>
  <c r="AB211" i="19"/>
  <c r="AC211" i="19"/>
  <c r="AD211" i="19"/>
  <c r="AE211" i="19"/>
  <c r="AF211" i="19"/>
  <c r="AG211" i="19"/>
  <c r="AH211" i="19"/>
  <c r="AI211" i="19"/>
  <c r="AJ211" i="19"/>
  <c r="AK211" i="19"/>
  <c r="AL211" i="19"/>
  <c r="AM211" i="19"/>
  <c r="AN211" i="19"/>
  <c r="AO211" i="19"/>
  <c r="AP211" i="19"/>
  <c r="AQ211" i="19"/>
  <c r="AR211" i="19"/>
  <c r="AS211" i="19"/>
  <c r="AT211" i="19"/>
  <c r="AU211" i="19"/>
  <c r="AV211" i="19"/>
  <c r="AW211" i="19"/>
  <c r="AX211" i="19"/>
  <c r="AY211" i="19"/>
  <c r="AZ211" i="19"/>
  <c r="BA211" i="19"/>
  <c r="BB211" i="19"/>
  <c r="BC211" i="19"/>
  <c r="BD211" i="19"/>
  <c r="BE211" i="19"/>
  <c r="BF211" i="19"/>
  <c r="BG211" i="19"/>
  <c r="BH211" i="19"/>
  <c r="BI211" i="19"/>
  <c r="BJ211" i="19"/>
  <c r="BK211" i="19"/>
  <c r="BL211" i="19"/>
  <c r="BM211" i="19"/>
  <c r="BN211" i="19"/>
  <c r="BO211" i="19"/>
  <c r="BP211" i="19"/>
  <c r="BQ211" i="19"/>
  <c r="BR211" i="19"/>
  <c r="BS211" i="19"/>
  <c r="BT211" i="19"/>
  <c r="BU211" i="19"/>
  <c r="BV211" i="19"/>
  <c r="BW211" i="19"/>
  <c r="BX211" i="19"/>
  <c r="BY211" i="19"/>
  <c r="BZ211" i="19"/>
  <c r="CA211" i="19"/>
  <c r="CB211" i="19"/>
  <c r="CC211" i="19"/>
  <c r="CD211" i="19"/>
  <c r="CE211" i="19"/>
  <c r="CF211" i="19"/>
  <c r="CG211" i="19"/>
  <c r="CH211" i="19"/>
  <c r="CI211" i="19"/>
  <c r="CJ211" i="19"/>
  <c r="CK211" i="19"/>
  <c r="CL211" i="19"/>
  <c r="CM211" i="19"/>
  <c r="CN211" i="19"/>
  <c r="CO211" i="19"/>
  <c r="CP211" i="19"/>
  <c r="CQ211" i="19"/>
  <c r="CR211" i="19"/>
  <c r="CS211" i="19"/>
  <c r="CT211" i="19"/>
  <c r="CU211" i="19"/>
  <c r="CV211" i="19"/>
  <c r="CW211" i="19"/>
  <c r="CX211" i="19"/>
  <c r="CY211" i="19"/>
  <c r="CZ211" i="19"/>
  <c r="DA211" i="19"/>
  <c r="DB211" i="19"/>
  <c r="DC211" i="19"/>
  <c r="DD211" i="19"/>
  <c r="DE211" i="19"/>
  <c r="DF211" i="19"/>
  <c r="DG211" i="19"/>
  <c r="DH211" i="19"/>
  <c r="DI211" i="19"/>
  <c r="DJ211" i="19"/>
  <c r="DK211" i="19"/>
  <c r="DL211" i="19"/>
  <c r="DM211" i="19"/>
  <c r="DN211" i="19"/>
  <c r="DO211" i="19"/>
  <c r="DP211" i="19"/>
  <c r="DQ211" i="19"/>
  <c r="DR211" i="19"/>
  <c r="DS211" i="19"/>
  <c r="DT211" i="19"/>
  <c r="DU211" i="19"/>
  <c r="DV211" i="19"/>
  <c r="DW211" i="19"/>
  <c r="DX211" i="19"/>
  <c r="DY211" i="19"/>
  <c r="DZ211" i="19"/>
  <c r="EA211" i="19"/>
  <c r="EB211" i="19"/>
  <c r="EC211" i="19"/>
  <c r="ED211" i="19"/>
  <c r="EE211" i="19"/>
  <c r="EF211" i="19"/>
  <c r="EG211" i="19"/>
  <c r="EH211" i="19"/>
  <c r="EI211" i="19"/>
  <c r="EJ211" i="19"/>
  <c r="EK211" i="19"/>
  <c r="EL211" i="19"/>
  <c r="EM211" i="19"/>
  <c r="EN211" i="19"/>
  <c r="EO211" i="19"/>
  <c r="EP211" i="19"/>
  <c r="EQ211" i="19"/>
  <c r="ER211" i="19"/>
  <c r="ES211" i="19"/>
  <c r="ET211" i="19"/>
  <c r="EU211" i="19"/>
  <c r="EV211" i="19"/>
  <c r="EW211" i="19"/>
  <c r="EX211" i="19"/>
  <c r="EY211" i="19"/>
  <c r="EZ211" i="19"/>
  <c r="FA211" i="19"/>
  <c r="FB211" i="19"/>
  <c r="FC211" i="19"/>
  <c r="FD211" i="19"/>
  <c r="FE211" i="19"/>
  <c r="FF211" i="19"/>
  <c r="FG211" i="19"/>
  <c r="FH211" i="19"/>
  <c r="FI211" i="19"/>
  <c r="FJ211" i="19"/>
  <c r="FK211" i="19"/>
  <c r="FL211" i="19"/>
  <c r="FM211" i="19"/>
  <c r="FN211" i="19"/>
  <c r="FO211" i="19"/>
  <c r="FP211" i="19"/>
  <c r="FQ211" i="19"/>
  <c r="FR211" i="19"/>
  <c r="FS211" i="19"/>
  <c r="FT211" i="19"/>
  <c r="FU211" i="19"/>
  <c r="FV211" i="19"/>
  <c r="FW211" i="19"/>
  <c r="FX211" i="19"/>
  <c r="FY211" i="19"/>
  <c r="FZ211" i="19"/>
  <c r="GA211" i="19"/>
  <c r="GB211" i="19"/>
  <c r="GC211" i="19"/>
  <c r="GD211" i="19"/>
  <c r="GE211" i="19"/>
  <c r="GF211" i="19"/>
  <c r="GG211" i="19"/>
  <c r="GH211" i="19"/>
  <c r="GI211" i="19"/>
  <c r="GJ211" i="19"/>
  <c r="GK211" i="19"/>
  <c r="GL211" i="19"/>
  <c r="GM211" i="19"/>
  <c r="GN211" i="19"/>
  <c r="GO211" i="19"/>
  <c r="GP211" i="19"/>
  <c r="GQ211" i="19"/>
  <c r="GR211" i="19"/>
  <c r="GS211" i="19"/>
  <c r="GT211" i="19"/>
  <c r="GU211" i="19"/>
  <c r="GV211" i="19"/>
  <c r="GW211" i="19"/>
  <c r="GX211" i="19"/>
  <c r="GY211" i="19"/>
  <c r="GZ211" i="19"/>
  <c r="HA211" i="19"/>
  <c r="HB211" i="19"/>
  <c r="HC211" i="19"/>
  <c r="HD211" i="19"/>
  <c r="HE211" i="19"/>
  <c r="HF211" i="19"/>
  <c r="HG211" i="19"/>
  <c r="HH211" i="19"/>
  <c r="HI211" i="19"/>
  <c r="HJ211" i="19"/>
  <c r="HK211" i="19"/>
  <c r="HL211" i="19"/>
  <c r="HM211" i="19"/>
  <c r="HN211" i="19"/>
  <c r="HO211" i="19"/>
  <c r="HP211" i="19"/>
  <c r="HQ211" i="19"/>
  <c r="HR211" i="19"/>
  <c r="HS211" i="19"/>
  <c r="HT211" i="19"/>
  <c r="HU211" i="19"/>
  <c r="HV211" i="19"/>
  <c r="HW211" i="19"/>
  <c r="HX211" i="19"/>
  <c r="HY211" i="19"/>
  <c r="HZ211" i="19"/>
  <c r="IA211" i="19"/>
  <c r="IB211" i="19"/>
  <c r="IC211" i="19"/>
  <c r="ID211" i="19"/>
  <c r="IE211" i="19"/>
  <c r="IF211" i="19"/>
  <c r="IG211" i="19"/>
  <c r="IH211" i="19"/>
  <c r="II211" i="19"/>
  <c r="IJ211" i="19"/>
  <c r="IK211" i="19"/>
  <c r="IL211" i="19"/>
  <c r="IM211" i="19"/>
  <c r="IN211" i="19"/>
  <c r="IO211" i="19"/>
  <c r="IP211" i="19"/>
  <c r="IQ211" i="19"/>
  <c r="IR211" i="19"/>
  <c r="IS211" i="19"/>
  <c r="IT211" i="19"/>
  <c r="IU211" i="19"/>
  <c r="IV211" i="19"/>
  <c r="F212" i="19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T212" i="19"/>
  <c r="U212" i="19"/>
  <c r="V212" i="19"/>
  <c r="W212" i="19"/>
  <c r="X212" i="19"/>
  <c r="Y212" i="19"/>
  <c r="Z212" i="19"/>
  <c r="AA212" i="19"/>
  <c r="AB212" i="19"/>
  <c r="AC212" i="19"/>
  <c r="AD212" i="19"/>
  <c r="AE212" i="19"/>
  <c r="AF212" i="19"/>
  <c r="AG212" i="19"/>
  <c r="AH212" i="19"/>
  <c r="AI212" i="19"/>
  <c r="AJ212" i="19"/>
  <c r="AK212" i="19"/>
  <c r="AL212" i="19"/>
  <c r="AM212" i="19"/>
  <c r="AN212" i="19"/>
  <c r="AO212" i="19"/>
  <c r="AP212" i="19"/>
  <c r="AQ212" i="19"/>
  <c r="AR212" i="19"/>
  <c r="AS212" i="19"/>
  <c r="AT212" i="19"/>
  <c r="AU212" i="19"/>
  <c r="AV212" i="19"/>
  <c r="AW212" i="19"/>
  <c r="AX212" i="19"/>
  <c r="AY212" i="19"/>
  <c r="AZ212" i="19"/>
  <c r="BA212" i="19"/>
  <c r="BB212" i="19"/>
  <c r="BC212" i="19"/>
  <c r="BD212" i="19"/>
  <c r="BE212" i="19"/>
  <c r="BF212" i="19"/>
  <c r="BG212" i="19"/>
  <c r="BH212" i="19"/>
  <c r="BI212" i="19"/>
  <c r="BJ212" i="19"/>
  <c r="BK212" i="19"/>
  <c r="BL212" i="19"/>
  <c r="BM212" i="19"/>
  <c r="BN212" i="19"/>
  <c r="BO212" i="19"/>
  <c r="BP212" i="19"/>
  <c r="BQ212" i="19"/>
  <c r="BR212" i="19"/>
  <c r="BS212" i="19"/>
  <c r="BT212" i="19"/>
  <c r="BU212" i="19"/>
  <c r="BV212" i="19"/>
  <c r="BW212" i="19"/>
  <c r="BX212" i="19"/>
  <c r="BY212" i="19"/>
  <c r="BZ212" i="19"/>
  <c r="CA212" i="19"/>
  <c r="CB212" i="19"/>
  <c r="CC212" i="19"/>
  <c r="CD212" i="19"/>
  <c r="CE212" i="19"/>
  <c r="CF212" i="19"/>
  <c r="CG212" i="19"/>
  <c r="CH212" i="19"/>
  <c r="CI212" i="19"/>
  <c r="CJ212" i="19"/>
  <c r="CK212" i="19"/>
  <c r="CL212" i="19"/>
  <c r="CM212" i="19"/>
  <c r="CN212" i="19"/>
  <c r="CO212" i="19"/>
  <c r="CP212" i="19"/>
  <c r="CQ212" i="19"/>
  <c r="CR212" i="19"/>
  <c r="CS212" i="19"/>
  <c r="CT212" i="19"/>
  <c r="CU212" i="19"/>
  <c r="CV212" i="19"/>
  <c r="CW212" i="19"/>
  <c r="CX212" i="19"/>
  <c r="CY212" i="19"/>
  <c r="CZ212" i="19"/>
  <c r="DA212" i="19"/>
  <c r="DB212" i="19"/>
  <c r="DC212" i="19"/>
  <c r="DD212" i="19"/>
  <c r="DE212" i="19"/>
  <c r="DF212" i="19"/>
  <c r="DG212" i="19"/>
  <c r="DH212" i="19"/>
  <c r="DI212" i="19"/>
  <c r="DJ212" i="19"/>
  <c r="DK212" i="19"/>
  <c r="DL212" i="19"/>
  <c r="DM212" i="19"/>
  <c r="DN212" i="19"/>
  <c r="DO212" i="19"/>
  <c r="DP212" i="19"/>
  <c r="DQ212" i="19"/>
  <c r="DR212" i="19"/>
  <c r="DS212" i="19"/>
  <c r="DT212" i="19"/>
  <c r="DU212" i="19"/>
  <c r="DV212" i="19"/>
  <c r="DW212" i="19"/>
  <c r="DX212" i="19"/>
  <c r="DY212" i="19"/>
  <c r="DZ212" i="19"/>
  <c r="EA212" i="19"/>
  <c r="EB212" i="19"/>
  <c r="EC212" i="19"/>
  <c r="ED212" i="19"/>
  <c r="EE212" i="19"/>
  <c r="EF212" i="19"/>
  <c r="EG212" i="19"/>
  <c r="EH212" i="19"/>
  <c r="EI212" i="19"/>
  <c r="EJ212" i="19"/>
  <c r="EK212" i="19"/>
  <c r="EL212" i="19"/>
  <c r="EM212" i="19"/>
  <c r="EN212" i="19"/>
  <c r="EO212" i="19"/>
  <c r="EP212" i="19"/>
  <c r="EQ212" i="19"/>
  <c r="ER212" i="19"/>
  <c r="ES212" i="19"/>
  <c r="ET212" i="19"/>
  <c r="EU212" i="19"/>
  <c r="EV212" i="19"/>
  <c r="EW212" i="19"/>
  <c r="EX212" i="19"/>
  <c r="EY212" i="19"/>
  <c r="EZ212" i="19"/>
  <c r="FA212" i="19"/>
  <c r="FB212" i="19"/>
  <c r="FC212" i="19"/>
  <c r="FD212" i="19"/>
  <c r="FE212" i="19"/>
  <c r="FF212" i="19"/>
  <c r="FG212" i="19"/>
  <c r="FH212" i="19"/>
  <c r="FI212" i="19"/>
  <c r="FJ212" i="19"/>
  <c r="FK212" i="19"/>
  <c r="FL212" i="19"/>
  <c r="FM212" i="19"/>
  <c r="FN212" i="19"/>
  <c r="FO212" i="19"/>
  <c r="FP212" i="19"/>
  <c r="FQ212" i="19"/>
  <c r="FR212" i="19"/>
  <c r="FS212" i="19"/>
  <c r="FT212" i="19"/>
  <c r="FU212" i="19"/>
  <c r="FV212" i="19"/>
  <c r="FW212" i="19"/>
  <c r="FX212" i="19"/>
  <c r="FY212" i="19"/>
  <c r="FZ212" i="19"/>
  <c r="GA212" i="19"/>
  <c r="GB212" i="19"/>
  <c r="GC212" i="19"/>
  <c r="GD212" i="19"/>
  <c r="GE212" i="19"/>
  <c r="GF212" i="19"/>
  <c r="GG212" i="19"/>
  <c r="GH212" i="19"/>
  <c r="GI212" i="19"/>
  <c r="GJ212" i="19"/>
  <c r="GK212" i="19"/>
  <c r="GL212" i="19"/>
  <c r="GM212" i="19"/>
  <c r="GN212" i="19"/>
  <c r="GO212" i="19"/>
  <c r="GP212" i="19"/>
  <c r="GQ212" i="19"/>
  <c r="GR212" i="19"/>
  <c r="GS212" i="19"/>
  <c r="GT212" i="19"/>
  <c r="GU212" i="19"/>
  <c r="GV212" i="19"/>
  <c r="GW212" i="19"/>
  <c r="GX212" i="19"/>
  <c r="GY212" i="19"/>
  <c r="GZ212" i="19"/>
  <c r="HA212" i="19"/>
  <c r="HB212" i="19"/>
  <c r="HC212" i="19"/>
  <c r="HD212" i="19"/>
  <c r="HE212" i="19"/>
  <c r="HF212" i="19"/>
  <c r="HG212" i="19"/>
  <c r="HH212" i="19"/>
  <c r="HI212" i="19"/>
  <c r="HJ212" i="19"/>
  <c r="HK212" i="19"/>
  <c r="HL212" i="19"/>
  <c r="HM212" i="19"/>
  <c r="HN212" i="19"/>
  <c r="HO212" i="19"/>
  <c r="HP212" i="19"/>
  <c r="HQ212" i="19"/>
  <c r="HR212" i="19"/>
  <c r="HS212" i="19"/>
  <c r="HT212" i="19"/>
  <c r="HU212" i="19"/>
  <c r="HV212" i="19"/>
  <c r="HW212" i="19"/>
  <c r="HX212" i="19"/>
  <c r="HY212" i="19"/>
  <c r="HZ212" i="19"/>
  <c r="IA212" i="19"/>
  <c r="IB212" i="19"/>
  <c r="IC212" i="19"/>
  <c r="ID212" i="19"/>
  <c r="IE212" i="19"/>
  <c r="IF212" i="19"/>
  <c r="IG212" i="19"/>
  <c r="IH212" i="19"/>
  <c r="II212" i="19"/>
  <c r="IJ212" i="19"/>
  <c r="IK212" i="19"/>
  <c r="IL212" i="19"/>
  <c r="IM212" i="19"/>
  <c r="IN212" i="19"/>
  <c r="IO212" i="19"/>
  <c r="IP212" i="19"/>
  <c r="IQ212" i="19"/>
  <c r="IR212" i="19"/>
  <c r="IS212" i="19"/>
  <c r="IT212" i="19"/>
  <c r="IU212" i="19"/>
  <c r="IV212" i="19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T213" i="19"/>
  <c r="U213" i="19"/>
  <c r="V213" i="19"/>
  <c r="W213" i="19"/>
  <c r="X213" i="19"/>
  <c r="Y213" i="19"/>
  <c r="Z213" i="19"/>
  <c r="AA213" i="19"/>
  <c r="AB213" i="19"/>
  <c r="AC213" i="19"/>
  <c r="AD213" i="19"/>
  <c r="AE213" i="19"/>
  <c r="AF213" i="19"/>
  <c r="AG213" i="19"/>
  <c r="AH213" i="19"/>
  <c r="AI213" i="19"/>
  <c r="AJ213" i="19"/>
  <c r="AK213" i="19"/>
  <c r="AL213" i="19"/>
  <c r="AM213" i="19"/>
  <c r="AN213" i="19"/>
  <c r="AO213" i="19"/>
  <c r="AP213" i="19"/>
  <c r="AQ213" i="19"/>
  <c r="AR213" i="19"/>
  <c r="AS213" i="19"/>
  <c r="AT213" i="19"/>
  <c r="AU213" i="19"/>
  <c r="AV213" i="19"/>
  <c r="AW213" i="19"/>
  <c r="AX213" i="19"/>
  <c r="AY213" i="19"/>
  <c r="AZ213" i="19"/>
  <c r="BA213" i="19"/>
  <c r="BB213" i="19"/>
  <c r="BC213" i="19"/>
  <c r="BD213" i="19"/>
  <c r="BE213" i="19"/>
  <c r="BF213" i="19"/>
  <c r="BG213" i="19"/>
  <c r="BH213" i="19"/>
  <c r="BI213" i="19"/>
  <c r="BJ213" i="19"/>
  <c r="BK213" i="19"/>
  <c r="BL213" i="19"/>
  <c r="BM213" i="19"/>
  <c r="BN213" i="19"/>
  <c r="BO213" i="19"/>
  <c r="BP213" i="19"/>
  <c r="BQ213" i="19"/>
  <c r="BR213" i="19"/>
  <c r="BS213" i="19"/>
  <c r="BT213" i="19"/>
  <c r="BU213" i="19"/>
  <c r="BV213" i="19"/>
  <c r="BW213" i="19"/>
  <c r="BX213" i="19"/>
  <c r="BY213" i="19"/>
  <c r="BZ213" i="19"/>
  <c r="CA213" i="19"/>
  <c r="CB213" i="19"/>
  <c r="CC213" i="19"/>
  <c r="CD213" i="19"/>
  <c r="CE213" i="19"/>
  <c r="CF213" i="19"/>
  <c r="CG213" i="19"/>
  <c r="CH213" i="19"/>
  <c r="CI213" i="19"/>
  <c r="CJ213" i="19"/>
  <c r="CK213" i="19"/>
  <c r="CL213" i="19"/>
  <c r="CM213" i="19"/>
  <c r="CN213" i="19"/>
  <c r="CO213" i="19"/>
  <c r="CP213" i="19"/>
  <c r="CQ213" i="19"/>
  <c r="CR213" i="19"/>
  <c r="CS213" i="19"/>
  <c r="CT213" i="19"/>
  <c r="CU213" i="19"/>
  <c r="CV213" i="19"/>
  <c r="CW213" i="19"/>
  <c r="CX213" i="19"/>
  <c r="CY213" i="19"/>
  <c r="CZ213" i="19"/>
  <c r="DA213" i="19"/>
  <c r="DB213" i="19"/>
  <c r="DC213" i="19"/>
  <c r="DD213" i="19"/>
  <c r="DE213" i="19"/>
  <c r="DF213" i="19"/>
  <c r="DG213" i="19"/>
  <c r="DH213" i="19"/>
  <c r="DI213" i="19"/>
  <c r="DJ213" i="19"/>
  <c r="DK213" i="19"/>
  <c r="DL213" i="19"/>
  <c r="DM213" i="19"/>
  <c r="DN213" i="19"/>
  <c r="DO213" i="19"/>
  <c r="DP213" i="19"/>
  <c r="DQ213" i="19"/>
  <c r="DR213" i="19"/>
  <c r="DS213" i="19"/>
  <c r="DT213" i="19"/>
  <c r="DU213" i="19"/>
  <c r="DV213" i="19"/>
  <c r="DW213" i="19"/>
  <c r="DX213" i="19"/>
  <c r="DY213" i="19"/>
  <c r="DZ213" i="19"/>
  <c r="EA213" i="19"/>
  <c r="EB213" i="19"/>
  <c r="EC213" i="19"/>
  <c r="ED213" i="19"/>
  <c r="EE213" i="19"/>
  <c r="EF213" i="19"/>
  <c r="EG213" i="19"/>
  <c r="EH213" i="19"/>
  <c r="EI213" i="19"/>
  <c r="EJ213" i="19"/>
  <c r="EK213" i="19"/>
  <c r="EL213" i="19"/>
  <c r="EM213" i="19"/>
  <c r="EN213" i="19"/>
  <c r="EO213" i="19"/>
  <c r="EP213" i="19"/>
  <c r="EQ213" i="19"/>
  <c r="ER213" i="19"/>
  <c r="ES213" i="19"/>
  <c r="ET213" i="19"/>
  <c r="EU213" i="19"/>
  <c r="EV213" i="19"/>
  <c r="EW213" i="19"/>
  <c r="EX213" i="19"/>
  <c r="EY213" i="19"/>
  <c r="EZ213" i="19"/>
  <c r="FA213" i="19"/>
  <c r="FB213" i="19"/>
  <c r="FC213" i="19"/>
  <c r="FD213" i="19"/>
  <c r="FE213" i="19"/>
  <c r="FF213" i="19"/>
  <c r="FG213" i="19"/>
  <c r="FH213" i="19"/>
  <c r="FI213" i="19"/>
  <c r="FJ213" i="19"/>
  <c r="FK213" i="19"/>
  <c r="FL213" i="19"/>
  <c r="FM213" i="19"/>
  <c r="FN213" i="19"/>
  <c r="FO213" i="19"/>
  <c r="FP213" i="19"/>
  <c r="FQ213" i="19"/>
  <c r="FR213" i="19"/>
  <c r="FS213" i="19"/>
  <c r="FT213" i="19"/>
  <c r="FU213" i="19"/>
  <c r="FV213" i="19"/>
  <c r="FW213" i="19"/>
  <c r="FX213" i="19"/>
  <c r="FY213" i="19"/>
  <c r="FZ213" i="19"/>
  <c r="GA213" i="19"/>
  <c r="GB213" i="19"/>
  <c r="GC213" i="19"/>
  <c r="GD213" i="19"/>
  <c r="GE213" i="19"/>
  <c r="GF213" i="19"/>
  <c r="GG213" i="19"/>
  <c r="GH213" i="19"/>
  <c r="GI213" i="19"/>
  <c r="GJ213" i="19"/>
  <c r="GK213" i="19"/>
  <c r="GL213" i="19"/>
  <c r="GM213" i="19"/>
  <c r="GN213" i="19"/>
  <c r="GO213" i="19"/>
  <c r="GP213" i="19"/>
  <c r="GQ213" i="19"/>
  <c r="GR213" i="19"/>
  <c r="GS213" i="19"/>
  <c r="GT213" i="19"/>
  <c r="GU213" i="19"/>
  <c r="GV213" i="19"/>
  <c r="GW213" i="19"/>
  <c r="GX213" i="19"/>
  <c r="GY213" i="19"/>
  <c r="GZ213" i="19"/>
  <c r="HA213" i="19"/>
  <c r="HB213" i="19"/>
  <c r="HC213" i="19"/>
  <c r="HD213" i="19"/>
  <c r="HE213" i="19"/>
  <c r="HF213" i="19"/>
  <c r="HG213" i="19"/>
  <c r="HH213" i="19"/>
  <c r="HI213" i="19"/>
  <c r="HJ213" i="19"/>
  <c r="HK213" i="19"/>
  <c r="HL213" i="19"/>
  <c r="HM213" i="19"/>
  <c r="HN213" i="19"/>
  <c r="HO213" i="19"/>
  <c r="HP213" i="19"/>
  <c r="HQ213" i="19"/>
  <c r="HR213" i="19"/>
  <c r="HS213" i="19"/>
  <c r="HT213" i="19"/>
  <c r="HU213" i="19"/>
  <c r="HV213" i="19"/>
  <c r="HW213" i="19"/>
  <c r="HX213" i="19"/>
  <c r="HY213" i="19"/>
  <c r="HZ213" i="19"/>
  <c r="IA213" i="19"/>
  <c r="IB213" i="19"/>
  <c r="IC213" i="19"/>
  <c r="ID213" i="19"/>
  <c r="IE213" i="19"/>
  <c r="IF213" i="19"/>
  <c r="IG213" i="19"/>
  <c r="IH213" i="19"/>
  <c r="II213" i="19"/>
  <c r="IJ213" i="19"/>
  <c r="IK213" i="19"/>
  <c r="IL213" i="19"/>
  <c r="IM213" i="19"/>
  <c r="IN213" i="19"/>
  <c r="IO213" i="19"/>
  <c r="IP213" i="19"/>
  <c r="IQ213" i="19"/>
  <c r="IR213" i="19"/>
  <c r="IS213" i="19"/>
  <c r="IT213" i="19"/>
  <c r="IU213" i="19"/>
  <c r="IV213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T214" i="19"/>
  <c r="U214" i="19"/>
  <c r="V214" i="19"/>
  <c r="W214" i="19"/>
  <c r="X214" i="19"/>
  <c r="Y214" i="19"/>
  <c r="Z214" i="19"/>
  <c r="AA214" i="19"/>
  <c r="AB214" i="19"/>
  <c r="AC214" i="19"/>
  <c r="AD214" i="19"/>
  <c r="AE214" i="19"/>
  <c r="AF214" i="19"/>
  <c r="AG214" i="19"/>
  <c r="AH214" i="19"/>
  <c r="AI214" i="19"/>
  <c r="AJ214" i="19"/>
  <c r="AK214" i="19"/>
  <c r="AL214" i="19"/>
  <c r="AM214" i="19"/>
  <c r="AN214" i="19"/>
  <c r="AO214" i="19"/>
  <c r="AP214" i="19"/>
  <c r="AQ214" i="19"/>
  <c r="AR214" i="19"/>
  <c r="AS214" i="19"/>
  <c r="AT214" i="19"/>
  <c r="AU214" i="19"/>
  <c r="AV214" i="19"/>
  <c r="AW214" i="19"/>
  <c r="AX214" i="19"/>
  <c r="AY214" i="19"/>
  <c r="AZ214" i="19"/>
  <c r="BA214" i="19"/>
  <c r="BB214" i="19"/>
  <c r="BC214" i="19"/>
  <c r="BD214" i="19"/>
  <c r="BE214" i="19"/>
  <c r="BF214" i="19"/>
  <c r="BG214" i="19"/>
  <c r="BH214" i="19"/>
  <c r="BI214" i="19"/>
  <c r="BJ214" i="19"/>
  <c r="BK214" i="19"/>
  <c r="BL214" i="19"/>
  <c r="BM214" i="19"/>
  <c r="BN214" i="19"/>
  <c r="BO214" i="19"/>
  <c r="BP214" i="19"/>
  <c r="BQ214" i="19"/>
  <c r="BR214" i="19"/>
  <c r="BS214" i="19"/>
  <c r="BT214" i="19"/>
  <c r="BU214" i="19"/>
  <c r="BV214" i="19"/>
  <c r="BW214" i="19"/>
  <c r="BX214" i="19"/>
  <c r="BY214" i="19"/>
  <c r="BZ214" i="19"/>
  <c r="CA214" i="19"/>
  <c r="CB214" i="19"/>
  <c r="CC214" i="19"/>
  <c r="CD214" i="19"/>
  <c r="CE214" i="19"/>
  <c r="CF214" i="19"/>
  <c r="CG214" i="19"/>
  <c r="CH214" i="19"/>
  <c r="CI214" i="19"/>
  <c r="CJ214" i="19"/>
  <c r="CK214" i="19"/>
  <c r="CL214" i="19"/>
  <c r="CM214" i="19"/>
  <c r="CN214" i="19"/>
  <c r="CO214" i="19"/>
  <c r="CP214" i="19"/>
  <c r="CQ214" i="19"/>
  <c r="CR214" i="19"/>
  <c r="CS214" i="19"/>
  <c r="CT214" i="19"/>
  <c r="CU214" i="19"/>
  <c r="CV214" i="19"/>
  <c r="CW214" i="19"/>
  <c r="CX214" i="19"/>
  <c r="CY214" i="19"/>
  <c r="CZ214" i="19"/>
  <c r="DA214" i="19"/>
  <c r="DB214" i="19"/>
  <c r="DC214" i="19"/>
  <c r="DD214" i="19"/>
  <c r="DE214" i="19"/>
  <c r="DF214" i="19"/>
  <c r="DG214" i="19"/>
  <c r="DH214" i="19"/>
  <c r="DI214" i="19"/>
  <c r="DJ214" i="19"/>
  <c r="DK214" i="19"/>
  <c r="DL214" i="19"/>
  <c r="DM214" i="19"/>
  <c r="DN214" i="19"/>
  <c r="DO214" i="19"/>
  <c r="DP214" i="19"/>
  <c r="DQ214" i="19"/>
  <c r="DR214" i="19"/>
  <c r="DS214" i="19"/>
  <c r="DT214" i="19"/>
  <c r="DU214" i="19"/>
  <c r="DV214" i="19"/>
  <c r="DW214" i="19"/>
  <c r="DX214" i="19"/>
  <c r="DY214" i="19"/>
  <c r="DZ214" i="19"/>
  <c r="EA214" i="19"/>
  <c r="EB214" i="19"/>
  <c r="EC214" i="19"/>
  <c r="ED214" i="19"/>
  <c r="EE214" i="19"/>
  <c r="EF214" i="19"/>
  <c r="EG214" i="19"/>
  <c r="EH214" i="19"/>
  <c r="EI214" i="19"/>
  <c r="EJ214" i="19"/>
  <c r="EK214" i="19"/>
  <c r="EL214" i="19"/>
  <c r="EM214" i="19"/>
  <c r="EN214" i="19"/>
  <c r="EO214" i="19"/>
  <c r="EP214" i="19"/>
  <c r="EQ214" i="19"/>
  <c r="ER214" i="19"/>
  <c r="ES214" i="19"/>
  <c r="ET214" i="19"/>
  <c r="EU214" i="19"/>
  <c r="EV214" i="19"/>
  <c r="EW214" i="19"/>
  <c r="EX214" i="19"/>
  <c r="EY214" i="19"/>
  <c r="EZ214" i="19"/>
  <c r="FA214" i="19"/>
  <c r="FB214" i="19"/>
  <c r="FC214" i="19"/>
  <c r="FD214" i="19"/>
  <c r="FE214" i="19"/>
  <c r="FF214" i="19"/>
  <c r="FG214" i="19"/>
  <c r="FH214" i="19"/>
  <c r="FI214" i="19"/>
  <c r="FJ214" i="19"/>
  <c r="FK214" i="19"/>
  <c r="FL214" i="19"/>
  <c r="FM214" i="19"/>
  <c r="FN214" i="19"/>
  <c r="FO214" i="19"/>
  <c r="FP214" i="19"/>
  <c r="FQ214" i="19"/>
  <c r="FR214" i="19"/>
  <c r="FS214" i="19"/>
  <c r="FT214" i="19"/>
  <c r="FU214" i="19"/>
  <c r="FV214" i="19"/>
  <c r="FW214" i="19"/>
  <c r="FX214" i="19"/>
  <c r="FY214" i="19"/>
  <c r="FZ214" i="19"/>
  <c r="GA214" i="19"/>
  <c r="GB214" i="19"/>
  <c r="GC214" i="19"/>
  <c r="GD214" i="19"/>
  <c r="GE214" i="19"/>
  <c r="GF214" i="19"/>
  <c r="GG214" i="19"/>
  <c r="GH214" i="19"/>
  <c r="GI214" i="19"/>
  <c r="GJ214" i="19"/>
  <c r="GK214" i="19"/>
  <c r="GL214" i="19"/>
  <c r="GM214" i="19"/>
  <c r="GN214" i="19"/>
  <c r="GO214" i="19"/>
  <c r="GP214" i="19"/>
  <c r="GQ214" i="19"/>
  <c r="GR214" i="19"/>
  <c r="GS214" i="19"/>
  <c r="GT214" i="19"/>
  <c r="GU214" i="19"/>
  <c r="GV214" i="19"/>
  <c r="GW214" i="19"/>
  <c r="GX214" i="19"/>
  <c r="GY214" i="19"/>
  <c r="GZ214" i="19"/>
  <c r="HA214" i="19"/>
  <c r="HB214" i="19"/>
  <c r="HC214" i="19"/>
  <c r="HD214" i="19"/>
  <c r="HE214" i="19"/>
  <c r="HF214" i="19"/>
  <c r="HG214" i="19"/>
  <c r="HH214" i="19"/>
  <c r="HI214" i="19"/>
  <c r="HJ214" i="19"/>
  <c r="HK214" i="19"/>
  <c r="HL214" i="19"/>
  <c r="HM214" i="19"/>
  <c r="HN214" i="19"/>
  <c r="HO214" i="19"/>
  <c r="HP214" i="19"/>
  <c r="HQ214" i="19"/>
  <c r="HR214" i="19"/>
  <c r="HS214" i="19"/>
  <c r="HT214" i="19"/>
  <c r="HU214" i="19"/>
  <c r="HV214" i="19"/>
  <c r="HW214" i="19"/>
  <c r="HX214" i="19"/>
  <c r="HY214" i="19"/>
  <c r="HZ214" i="19"/>
  <c r="IA214" i="19"/>
  <c r="IB214" i="19"/>
  <c r="IC214" i="19"/>
  <c r="ID214" i="19"/>
  <c r="IE214" i="19"/>
  <c r="IF214" i="19"/>
  <c r="IG214" i="19"/>
  <c r="IH214" i="19"/>
  <c r="II214" i="19"/>
  <c r="IJ214" i="19"/>
  <c r="IK214" i="19"/>
  <c r="IL214" i="19"/>
  <c r="IM214" i="19"/>
  <c r="IN214" i="19"/>
  <c r="IO214" i="19"/>
  <c r="IP214" i="19"/>
  <c r="IQ214" i="19"/>
  <c r="IR214" i="19"/>
  <c r="IS214" i="19"/>
  <c r="IT214" i="19"/>
  <c r="IU214" i="19"/>
  <c r="IV214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T215" i="19"/>
  <c r="U215" i="19"/>
  <c r="V215" i="19"/>
  <c r="W215" i="19"/>
  <c r="X215" i="19"/>
  <c r="Y215" i="19"/>
  <c r="Z215" i="19"/>
  <c r="AA215" i="19"/>
  <c r="AB215" i="19"/>
  <c r="AC215" i="19"/>
  <c r="AD215" i="19"/>
  <c r="AE215" i="19"/>
  <c r="AF215" i="19"/>
  <c r="AG215" i="19"/>
  <c r="AH215" i="19"/>
  <c r="AI215" i="19"/>
  <c r="AJ215" i="19"/>
  <c r="AK215" i="19"/>
  <c r="AL215" i="19"/>
  <c r="AM215" i="19"/>
  <c r="AN215" i="19"/>
  <c r="AO215" i="19"/>
  <c r="AP215" i="19"/>
  <c r="AQ215" i="19"/>
  <c r="AR215" i="19"/>
  <c r="AS215" i="19"/>
  <c r="AT215" i="19"/>
  <c r="AU215" i="19"/>
  <c r="AV215" i="19"/>
  <c r="AW215" i="19"/>
  <c r="AX215" i="19"/>
  <c r="AY215" i="19"/>
  <c r="AZ215" i="19"/>
  <c r="BA215" i="19"/>
  <c r="BB215" i="19"/>
  <c r="BC215" i="19"/>
  <c r="BD215" i="19"/>
  <c r="BE215" i="19"/>
  <c r="BF215" i="19"/>
  <c r="BG215" i="19"/>
  <c r="BH215" i="19"/>
  <c r="BI215" i="19"/>
  <c r="BJ215" i="19"/>
  <c r="BK215" i="19"/>
  <c r="BL215" i="19"/>
  <c r="BM215" i="19"/>
  <c r="BN215" i="19"/>
  <c r="BO215" i="19"/>
  <c r="BP215" i="19"/>
  <c r="BQ215" i="19"/>
  <c r="BR215" i="19"/>
  <c r="BS215" i="19"/>
  <c r="BT215" i="19"/>
  <c r="BU215" i="19"/>
  <c r="BV215" i="19"/>
  <c r="BW215" i="19"/>
  <c r="BX215" i="19"/>
  <c r="BY215" i="19"/>
  <c r="BZ215" i="19"/>
  <c r="CA215" i="19"/>
  <c r="CB215" i="19"/>
  <c r="CC215" i="19"/>
  <c r="CD215" i="19"/>
  <c r="CE215" i="19"/>
  <c r="CF215" i="19"/>
  <c r="CG215" i="19"/>
  <c r="CH215" i="19"/>
  <c r="CI215" i="19"/>
  <c r="CJ215" i="19"/>
  <c r="CK215" i="19"/>
  <c r="CL215" i="19"/>
  <c r="CM215" i="19"/>
  <c r="CN215" i="19"/>
  <c r="CO215" i="19"/>
  <c r="CP215" i="19"/>
  <c r="CQ215" i="19"/>
  <c r="CR215" i="19"/>
  <c r="CS215" i="19"/>
  <c r="CT215" i="19"/>
  <c r="CU215" i="19"/>
  <c r="CV215" i="19"/>
  <c r="CW215" i="19"/>
  <c r="CX215" i="19"/>
  <c r="CY215" i="19"/>
  <c r="CZ215" i="19"/>
  <c r="DA215" i="19"/>
  <c r="DB215" i="19"/>
  <c r="DC215" i="19"/>
  <c r="DD215" i="19"/>
  <c r="DE215" i="19"/>
  <c r="DF215" i="19"/>
  <c r="DG215" i="19"/>
  <c r="DH215" i="19"/>
  <c r="DI215" i="19"/>
  <c r="DJ215" i="19"/>
  <c r="DK215" i="19"/>
  <c r="DL215" i="19"/>
  <c r="DM215" i="19"/>
  <c r="DN215" i="19"/>
  <c r="DO215" i="19"/>
  <c r="DP215" i="19"/>
  <c r="DQ215" i="19"/>
  <c r="DR215" i="19"/>
  <c r="DS215" i="19"/>
  <c r="DT215" i="19"/>
  <c r="DU215" i="19"/>
  <c r="DV215" i="19"/>
  <c r="DW215" i="19"/>
  <c r="DX215" i="19"/>
  <c r="DY215" i="19"/>
  <c r="DZ215" i="19"/>
  <c r="EA215" i="19"/>
  <c r="EB215" i="19"/>
  <c r="EC215" i="19"/>
  <c r="ED215" i="19"/>
  <c r="EE215" i="19"/>
  <c r="EF215" i="19"/>
  <c r="EG215" i="19"/>
  <c r="EH215" i="19"/>
  <c r="EI215" i="19"/>
  <c r="EJ215" i="19"/>
  <c r="EK215" i="19"/>
  <c r="EL215" i="19"/>
  <c r="EM215" i="19"/>
  <c r="EN215" i="19"/>
  <c r="EO215" i="19"/>
  <c r="EP215" i="19"/>
  <c r="EQ215" i="19"/>
  <c r="ER215" i="19"/>
  <c r="ES215" i="19"/>
  <c r="ET215" i="19"/>
  <c r="EU215" i="19"/>
  <c r="EV215" i="19"/>
  <c r="EW215" i="19"/>
  <c r="EX215" i="19"/>
  <c r="EY215" i="19"/>
  <c r="EZ215" i="19"/>
  <c r="FA215" i="19"/>
  <c r="FB215" i="19"/>
  <c r="FC215" i="19"/>
  <c r="FD215" i="19"/>
  <c r="FE215" i="19"/>
  <c r="FF215" i="19"/>
  <c r="FG215" i="19"/>
  <c r="FH215" i="19"/>
  <c r="FI215" i="19"/>
  <c r="FJ215" i="19"/>
  <c r="FK215" i="19"/>
  <c r="FL215" i="19"/>
  <c r="FM215" i="19"/>
  <c r="FN215" i="19"/>
  <c r="FO215" i="19"/>
  <c r="FP215" i="19"/>
  <c r="FQ215" i="19"/>
  <c r="FR215" i="19"/>
  <c r="FS215" i="19"/>
  <c r="FT215" i="19"/>
  <c r="FU215" i="19"/>
  <c r="FV215" i="19"/>
  <c r="FW215" i="19"/>
  <c r="FX215" i="19"/>
  <c r="FY215" i="19"/>
  <c r="FZ215" i="19"/>
  <c r="GA215" i="19"/>
  <c r="GB215" i="19"/>
  <c r="GC215" i="19"/>
  <c r="GD215" i="19"/>
  <c r="GE215" i="19"/>
  <c r="GF215" i="19"/>
  <c r="GG215" i="19"/>
  <c r="GH215" i="19"/>
  <c r="GI215" i="19"/>
  <c r="GJ215" i="19"/>
  <c r="GK215" i="19"/>
  <c r="GL215" i="19"/>
  <c r="GM215" i="19"/>
  <c r="GN215" i="19"/>
  <c r="GO215" i="19"/>
  <c r="GP215" i="19"/>
  <c r="GQ215" i="19"/>
  <c r="GR215" i="19"/>
  <c r="GS215" i="19"/>
  <c r="GT215" i="19"/>
  <c r="GU215" i="19"/>
  <c r="GV215" i="19"/>
  <c r="GW215" i="19"/>
  <c r="GX215" i="19"/>
  <c r="GY215" i="19"/>
  <c r="GZ215" i="19"/>
  <c r="HA215" i="19"/>
  <c r="HB215" i="19"/>
  <c r="HC215" i="19"/>
  <c r="HD215" i="19"/>
  <c r="HE215" i="19"/>
  <c r="HF215" i="19"/>
  <c r="HG215" i="19"/>
  <c r="HH215" i="19"/>
  <c r="HI215" i="19"/>
  <c r="HJ215" i="19"/>
  <c r="HK215" i="19"/>
  <c r="HL215" i="19"/>
  <c r="HM215" i="19"/>
  <c r="HN215" i="19"/>
  <c r="HO215" i="19"/>
  <c r="HP215" i="19"/>
  <c r="HQ215" i="19"/>
  <c r="HR215" i="19"/>
  <c r="HS215" i="19"/>
  <c r="HT215" i="19"/>
  <c r="HU215" i="19"/>
  <c r="HV215" i="19"/>
  <c r="HW215" i="19"/>
  <c r="HX215" i="19"/>
  <c r="HY215" i="19"/>
  <c r="HZ215" i="19"/>
  <c r="IA215" i="19"/>
  <c r="IB215" i="19"/>
  <c r="IC215" i="19"/>
  <c r="ID215" i="19"/>
  <c r="IE215" i="19"/>
  <c r="IF215" i="19"/>
  <c r="IG215" i="19"/>
  <c r="IH215" i="19"/>
  <c r="II215" i="19"/>
  <c r="IJ215" i="19"/>
  <c r="IK215" i="19"/>
  <c r="IL215" i="19"/>
  <c r="IM215" i="19"/>
  <c r="IN215" i="19"/>
  <c r="IO215" i="19"/>
  <c r="IP215" i="19"/>
  <c r="IQ215" i="19"/>
  <c r="IR215" i="19"/>
  <c r="IS215" i="19"/>
  <c r="IT215" i="19"/>
  <c r="IU215" i="19"/>
  <c r="IV215" i="19"/>
  <c r="F216" i="19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X216" i="19"/>
  <c r="Y216" i="19"/>
  <c r="Z216" i="19"/>
  <c r="AA216" i="19"/>
  <c r="AB216" i="19"/>
  <c r="AC216" i="19"/>
  <c r="AD216" i="19"/>
  <c r="AE216" i="19"/>
  <c r="AF216" i="19"/>
  <c r="AG216" i="19"/>
  <c r="AH216" i="19"/>
  <c r="AI216" i="19"/>
  <c r="AJ216" i="19"/>
  <c r="AK216" i="19"/>
  <c r="AL216" i="19"/>
  <c r="AM216" i="19"/>
  <c r="AN216" i="19"/>
  <c r="AO216" i="19"/>
  <c r="AP216" i="19"/>
  <c r="AQ216" i="19"/>
  <c r="AR216" i="19"/>
  <c r="AS216" i="19"/>
  <c r="AT216" i="19"/>
  <c r="AU216" i="19"/>
  <c r="AV216" i="19"/>
  <c r="AW216" i="19"/>
  <c r="AX216" i="19"/>
  <c r="AY216" i="19"/>
  <c r="AZ216" i="19"/>
  <c r="BA216" i="19"/>
  <c r="BB216" i="19"/>
  <c r="BC216" i="19"/>
  <c r="BD216" i="19"/>
  <c r="BE216" i="19"/>
  <c r="BF216" i="19"/>
  <c r="BG216" i="19"/>
  <c r="BH216" i="19"/>
  <c r="BI216" i="19"/>
  <c r="BJ216" i="19"/>
  <c r="BK216" i="19"/>
  <c r="BL216" i="19"/>
  <c r="BM216" i="19"/>
  <c r="BN216" i="19"/>
  <c r="BO216" i="19"/>
  <c r="BP216" i="19"/>
  <c r="BQ216" i="19"/>
  <c r="BR216" i="19"/>
  <c r="BS216" i="19"/>
  <c r="BT216" i="19"/>
  <c r="BU216" i="19"/>
  <c r="BV216" i="19"/>
  <c r="BW216" i="19"/>
  <c r="BX216" i="19"/>
  <c r="BY216" i="19"/>
  <c r="BZ216" i="19"/>
  <c r="CA216" i="19"/>
  <c r="CB216" i="19"/>
  <c r="CC216" i="19"/>
  <c r="CD216" i="19"/>
  <c r="CE216" i="19"/>
  <c r="CF216" i="19"/>
  <c r="CG216" i="19"/>
  <c r="CH216" i="19"/>
  <c r="CI216" i="19"/>
  <c r="CJ216" i="19"/>
  <c r="CK216" i="19"/>
  <c r="CL216" i="19"/>
  <c r="CM216" i="19"/>
  <c r="CN216" i="19"/>
  <c r="CO216" i="19"/>
  <c r="CP216" i="19"/>
  <c r="CQ216" i="19"/>
  <c r="CR216" i="19"/>
  <c r="CS216" i="19"/>
  <c r="CT216" i="19"/>
  <c r="CU216" i="19"/>
  <c r="CV216" i="19"/>
  <c r="CW216" i="19"/>
  <c r="CX216" i="19"/>
  <c r="CY216" i="19"/>
  <c r="CZ216" i="19"/>
  <c r="DA216" i="19"/>
  <c r="DB216" i="19"/>
  <c r="DC216" i="19"/>
  <c r="DD216" i="19"/>
  <c r="DE216" i="19"/>
  <c r="DF216" i="19"/>
  <c r="DG216" i="19"/>
  <c r="DH216" i="19"/>
  <c r="DI216" i="19"/>
  <c r="DJ216" i="19"/>
  <c r="DK216" i="19"/>
  <c r="DL216" i="19"/>
  <c r="DM216" i="19"/>
  <c r="DN216" i="19"/>
  <c r="DO216" i="19"/>
  <c r="DP216" i="19"/>
  <c r="DQ216" i="19"/>
  <c r="DR216" i="19"/>
  <c r="DS216" i="19"/>
  <c r="DT216" i="19"/>
  <c r="DU216" i="19"/>
  <c r="DV216" i="19"/>
  <c r="DW216" i="19"/>
  <c r="DX216" i="19"/>
  <c r="DY216" i="19"/>
  <c r="DZ216" i="19"/>
  <c r="EA216" i="19"/>
  <c r="EB216" i="19"/>
  <c r="EC216" i="19"/>
  <c r="ED216" i="19"/>
  <c r="EE216" i="19"/>
  <c r="EF216" i="19"/>
  <c r="EG216" i="19"/>
  <c r="EH216" i="19"/>
  <c r="EI216" i="19"/>
  <c r="EJ216" i="19"/>
  <c r="EK216" i="19"/>
  <c r="EL216" i="19"/>
  <c r="EM216" i="19"/>
  <c r="EN216" i="19"/>
  <c r="EO216" i="19"/>
  <c r="EP216" i="19"/>
  <c r="EQ216" i="19"/>
  <c r="ER216" i="19"/>
  <c r="ES216" i="19"/>
  <c r="ET216" i="19"/>
  <c r="EU216" i="19"/>
  <c r="EV216" i="19"/>
  <c r="EW216" i="19"/>
  <c r="EX216" i="19"/>
  <c r="EY216" i="19"/>
  <c r="EZ216" i="19"/>
  <c r="FA216" i="19"/>
  <c r="FB216" i="19"/>
  <c r="FC216" i="19"/>
  <c r="FD216" i="19"/>
  <c r="FE216" i="19"/>
  <c r="FF216" i="19"/>
  <c r="FG216" i="19"/>
  <c r="FH216" i="19"/>
  <c r="FI216" i="19"/>
  <c r="FJ216" i="19"/>
  <c r="FK216" i="19"/>
  <c r="FL216" i="19"/>
  <c r="FM216" i="19"/>
  <c r="FN216" i="19"/>
  <c r="FO216" i="19"/>
  <c r="FP216" i="19"/>
  <c r="FQ216" i="19"/>
  <c r="FR216" i="19"/>
  <c r="FS216" i="19"/>
  <c r="FT216" i="19"/>
  <c r="FU216" i="19"/>
  <c r="FV216" i="19"/>
  <c r="FW216" i="19"/>
  <c r="FX216" i="19"/>
  <c r="FY216" i="19"/>
  <c r="FZ216" i="19"/>
  <c r="GA216" i="19"/>
  <c r="GB216" i="19"/>
  <c r="GC216" i="19"/>
  <c r="GD216" i="19"/>
  <c r="GE216" i="19"/>
  <c r="GF216" i="19"/>
  <c r="GG216" i="19"/>
  <c r="GH216" i="19"/>
  <c r="GI216" i="19"/>
  <c r="GJ216" i="19"/>
  <c r="GK216" i="19"/>
  <c r="GL216" i="19"/>
  <c r="GM216" i="19"/>
  <c r="GN216" i="19"/>
  <c r="GO216" i="19"/>
  <c r="GP216" i="19"/>
  <c r="GQ216" i="19"/>
  <c r="GR216" i="19"/>
  <c r="GS216" i="19"/>
  <c r="GT216" i="19"/>
  <c r="GU216" i="19"/>
  <c r="GV216" i="19"/>
  <c r="GW216" i="19"/>
  <c r="GX216" i="19"/>
  <c r="GY216" i="19"/>
  <c r="GZ216" i="19"/>
  <c r="HA216" i="19"/>
  <c r="HB216" i="19"/>
  <c r="HC216" i="19"/>
  <c r="HD216" i="19"/>
  <c r="HE216" i="19"/>
  <c r="HF216" i="19"/>
  <c r="HG216" i="19"/>
  <c r="HH216" i="19"/>
  <c r="HI216" i="19"/>
  <c r="HJ216" i="19"/>
  <c r="HK216" i="19"/>
  <c r="HL216" i="19"/>
  <c r="HM216" i="19"/>
  <c r="HN216" i="19"/>
  <c r="HO216" i="19"/>
  <c r="HP216" i="19"/>
  <c r="HQ216" i="19"/>
  <c r="HR216" i="19"/>
  <c r="HS216" i="19"/>
  <c r="HT216" i="19"/>
  <c r="HU216" i="19"/>
  <c r="HV216" i="19"/>
  <c r="HW216" i="19"/>
  <c r="HX216" i="19"/>
  <c r="HY216" i="19"/>
  <c r="HZ216" i="19"/>
  <c r="IA216" i="19"/>
  <c r="IB216" i="19"/>
  <c r="IC216" i="19"/>
  <c r="ID216" i="19"/>
  <c r="IE216" i="19"/>
  <c r="IF216" i="19"/>
  <c r="IG216" i="19"/>
  <c r="IH216" i="19"/>
  <c r="II216" i="19"/>
  <c r="IJ216" i="19"/>
  <c r="IK216" i="19"/>
  <c r="IL216" i="19"/>
  <c r="IM216" i="19"/>
  <c r="IN216" i="19"/>
  <c r="IO216" i="19"/>
  <c r="IP216" i="19"/>
  <c r="IQ216" i="19"/>
  <c r="IR216" i="19"/>
  <c r="IS216" i="19"/>
  <c r="IT216" i="19"/>
  <c r="IU216" i="19"/>
  <c r="IV216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T217" i="19"/>
  <c r="U217" i="19"/>
  <c r="V217" i="19"/>
  <c r="W217" i="19"/>
  <c r="X217" i="19"/>
  <c r="Y217" i="19"/>
  <c r="Z217" i="19"/>
  <c r="AA217" i="19"/>
  <c r="AB217" i="19"/>
  <c r="AC217" i="19"/>
  <c r="AD217" i="19"/>
  <c r="AE217" i="19"/>
  <c r="AF217" i="19"/>
  <c r="AG217" i="19"/>
  <c r="AH217" i="19"/>
  <c r="AI217" i="19"/>
  <c r="AJ217" i="19"/>
  <c r="AK217" i="19"/>
  <c r="AL217" i="19"/>
  <c r="AM217" i="19"/>
  <c r="AN217" i="19"/>
  <c r="AO217" i="19"/>
  <c r="AP217" i="19"/>
  <c r="AQ217" i="19"/>
  <c r="AR217" i="19"/>
  <c r="AS217" i="19"/>
  <c r="AT217" i="19"/>
  <c r="AU217" i="19"/>
  <c r="AV217" i="19"/>
  <c r="AW217" i="19"/>
  <c r="AX217" i="19"/>
  <c r="AY217" i="19"/>
  <c r="AZ217" i="19"/>
  <c r="BA217" i="19"/>
  <c r="BB217" i="19"/>
  <c r="BC217" i="19"/>
  <c r="BD217" i="19"/>
  <c r="BE217" i="19"/>
  <c r="BF217" i="19"/>
  <c r="BG217" i="19"/>
  <c r="BH217" i="19"/>
  <c r="BI217" i="19"/>
  <c r="BJ217" i="19"/>
  <c r="BK217" i="19"/>
  <c r="BL217" i="19"/>
  <c r="BM217" i="19"/>
  <c r="BN217" i="19"/>
  <c r="BO217" i="19"/>
  <c r="BP217" i="19"/>
  <c r="BQ217" i="19"/>
  <c r="BR217" i="19"/>
  <c r="BS217" i="19"/>
  <c r="BT217" i="19"/>
  <c r="BU217" i="19"/>
  <c r="BV217" i="19"/>
  <c r="BW217" i="19"/>
  <c r="BX217" i="19"/>
  <c r="BY217" i="19"/>
  <c r="BZ217" i="19"/>
  <c r="CA217" i="19"/>
  <c r="CB217" i="19"/>
  <c r="CC217" i="19"/>
  <c r="CD217" i="19"/>
  <c r="CE217" i="19"/>
  <c r="CF217" i="19"/>
  <c r="CG217" i="19"/>
  <c r="CH217" i="19"/>
  <c r="CI217" i="19"/>
  <c r="CJ217" i="19"/>
  <c r="CK217" i="19"/>
  <c r="CL217" i="19"/>
  <c r="CM217" i="19"/>
  <c r="CN217" i="19"/>
  <c r="CO217" i="19"/>
  <c r="CP217" i="19"/>
  <c r="CQ217" i="19"/>
  <c r="CR217" i="19"/>
  <c r="CS217" i="19"/>
  <c r="CT217" i="19"/>
  <c r="CU217" i="19"/>
  <c r="CV217" i="19"/>
  <c r="CW217" i="19"/>
  <c r="CX217" i="19"/>
  <c r="CY217" i="19"/>
  <c r="CZ217" i="19"/>
  <c r="DA217" i="19"/>
  <c r="DB217" i="19"/>
  <c r="DC217" i="19"/>
  <c r="DD217" i="19"/>
  <c r="DE217" i="19"/>
  <c r="DF217" i="19"/>
  <c r="DG217" i="19"/>
  <c r="DH217" i="19"/>
  <c r="DI217" i="19"/>
  <c r="DJ217" i="19"/>
  <c r="DK217" i="19"/>
  <c r="DL217" i="19"/>
  <c r="DM217" i="19"/>
  <c r="DN217" i="19"/>
  <c r="DO217" i="19"/>
  <c r="DP217" i="19"/>
  <c r="DQ217" i="19"/>
  <c r="DR217" i="19"/>
  <c r="DS217" i="19"/>
  <c r="DT217" i="19"/>
  <c r="DU217" i="19"/>
  <c r="DV217" i="19"/>
  <c r="DW217" i="19"/>
  <c r="DX217" i="19"/>
  <c r="DY217" i="19"/>
  <c r="DZ217" i="19"/>
  <c r="EA217" i="19"/>
  <c r="EB217" i="19"/>
  <c r="EC217" i="19"/>
  <c r="ED217" i="19"/>
  <c r="EE217" i="19"/>
  <c r="EF217" i="19"/>
  <c r="EG217" i="19"/>
  <c r="EH217" i="19"/>
  <c r="EI217" i="19"/>
  <c r="EJ217" i="19"/>
  <c r="EK217" i="19"/>
  <c r="EL217" i="19"/>
  <c r="EM217" i="19"/>
  <c r="EN217" i="19"/>
  <c r="EO217" i="19"/>
  <c r="EP217" i="19"/>
  <c r="EQ217" i="19"/>
  <c r="ER217" i="19"/>
  <c r="ES217" i="19"/>
  <c r="ET217" i="19"/>
  <c r="EU217" i="19"/>
  <c r="EV217" i="19"/>
  <c r="EW217" i="19"/>
  <c r="EX217" i="19"/>
  <c r="EY217" i="19"/>
  <c r="EZ217" i="19"/>
  <c r="FA217" i="19"/>
  <c r="FB217" i="19"/>
  <c r="FC217" i="19"/>
  <c r="FD217" i="19"/>
  <c r="FE217" i="19"/>
  <c r="FF217" i="19"/>
  <c r="FG217" i="19"/>
  <c r="FH217" i="19"/>
  <c r="FI217" i="19"/>
  <c r="FJ217" i="19"/>
  <c r="FK217" i="19"/>
  <c r="FL217" i="19"/>
  <c r="FM217" i="19"/>
  <c r="FN217" i="19"/>
  <c r="FO217" i="19"/>
  <c r="FP217" i="19"/>
  <c r="FQ217" i="19"/>
  <c r="FR217" i="19"/>
  <c r="FS217" i="19"/>
  <c r="FT217" i="19"/>
  <c r="FU217" i="19"/>
  <c r="FV217" i="19"/>
  <c r="FW217" i="19"/>
  <c r="FX217" i="19"/>
  <c r="FY217" i="19"/>
  <c r="FZ217" i="19"/>
  <c r="GA217" i="19"/>
  <c r="GB217" i="19"/>
  <c r="GC217" i="19"/>
  <c r="GD217" i="19"/>
  <c r="GE217" i="19"/>
  <c r="GF217" i="19"/>
  <c r="GG217" i="19"/>
  <c r="GH217" i="19"/>
  <c r="GI217" i="19"/>
  <c r="GJ217" i="19"/>
  <c r="GK217" i="19"/>
  <c r="GL217" i="19"/>
  <c r="GM217" i="19"/>
  <c r="GN217" i="19"/>
  <c r="GO217" i="19"/>
  <c r="GP217" i="19"/>
  <c r="GQ217" i="19"/>
  <c r="GR217" i="19"/>
  <c r="GS217" i="19"/>
  <c r="GT217" i="19"/>
  <c r="GU217" i="19"/>
  <c r="GV217" i="19"/>
  <c r="GW217" i="19"/>
  <c r="GX217" i="19"/>
  <c r="GY217" i="19"/>
  <c r="GZ217" i="19"/>
  <c r="HA217" i="19"/>
  <c r="HB217" i="19"/>
  <c r="HC217" i="19"/>
  <c r="HD217" i="19"/>
  <c r="HE217" i="19"/>
  <c r="HF217" i="19"/>
  <c r="HG217" i="19"/>
  <c r="HH217" i="19"/>
  <c r="HI217" i="19"/>
  <c r="HJ217" i="19"/>
  <c r="HK217" i="19"/>
  <c r="HL217" i="19"/>
  <c r="HM217" i="19"/>
  <c r="HN217" i="19"/>
  <c r="HO217" i="19"/>
  <c r="HP217" i="19"/>
  <c r="HQ217" i="19"/>
  <c r="HR217" i="19"/>
  <c r="HS217" i="19"/>
  <c r="HT217" i="19"/>
  <c r="HU217" i="19"/>
  <c r="HV217" i="19"/>
  <c r="HW217" i="19"/>
  <c r="HX217" i="19"/>
  <c r="HY217" i="19"/>
  <c r="HZ217" i="19"/>
  <c r="IA217" i="19"/>
  <c r="IB217" i="19"/>
  <c r="IC217" i="19"/>
  <c r="ID217" i="19"/>
  <c r="IE217" i="19"/>
  <c r="IF217" i="19"/>
  <c r="IG217" i="19"/>
  <c r="IH217" i="19"/>
  <c r="II217" i="19"/>
  <c r="IJ217" i="19"/>
  <c r="IK217" i="19"/>
  <c r="IL217" i="19"/>
  <c r="IM217" i="19"/>
  <c r="IN217" i="19"/>
  <c r="IO217" i="19"/>
  <c r="IP217" i="19"/>
  <c r="IQ217" i="19"/>
  <c r="IR217" i="19"/>
  <c r="IS217" i="19"/>
  <c r="IT217" i="19"/>
  <c r="IU217" i="19"/>
  <c r="IV217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T218" i="19"/>
  <c r="U218" i="19"/>
  <c r="V218" i="19"/>
  <c r="W218" i="19"/>
  <c r="X218" i="19"/>
  <c r="Y218" i="19"/>
  <c r="Z218" i="19"/>
  <c r="AA218" i="19"/>
  <c r="AB218" i="19"/>
  <c r="AC218" i="19"/>
  <c r="AD218" i="19"/>
  <c r="AE218" i="19"/>
  <c r="AF218" i="19"/>
  <c r="AG218" i="19"/>
  <c r="AH218" i="19"/>
  <c r="AI218" i="19"/>
  <c r="AJ218" i="19"/>
  <c r="AK218" i="19"/>
  <c r="AL218" i="19"/>
  <c r="AM218" i="19"/>
  <c r="AN218" i="19"/>
  <c r="AO218" i="19"/>
  <c r="AP218" i="19"/>
  <c r="AQ218" i="19"/>
  <c r="AR218" i="19"/>
  <c r="AS218" i="19"/>
  <c r="AT218" i="19"/>
  <c r="AU218" i="19"/>
  <c r="AV218" i="19"/>
  <c r="AW218" i="19"/>
  <c r="AX218" i="19"/>
  <c r="AY218" i="19"/>
  <c r="AZ218" i="19"/>
  <c r="BA218" i="19"/>
  <c r="BB218" i="19"/>
  <c r="BC218" i="19"/>
  <c r="BD218" i="19"/>
  <c r="BE218" i="19"/>
  <c r="BF218" i="19"/>
  <c r="BG218" i="19"/>
  <c r="BH218" i="19"/>
  <c r="BI218" i="19"/>
  <c r="BJ218" i="19"/>
  <c r="BK218" i="19"/>
  <c r="BL218" i="19"/>
  <c r="BM218" i="19"/>
  <c r="BN218" i="19"/>
  <c r="BO218" i="19"/>
  <c r="BP218" i="19"/>
  <c r="BQ218" i="19"/>
  <c r="BR218" i="19"/>
  <c r="BS218" i="19"/>
  <c r="BT218" i="19"/>
  <c r="BU218" i="19"/>
  <c r="BV218" i="19"/>
  <c r="BW218" i="19"/>
  <c r="BX218" i="19"/>
  <c r="BY218" i="19"/>
  <c r="BZ218" i="19"/>
  <c r="CA218" i="19"/>
  <c r="CB218" i="19"/>
  <c r="CC218" i="19"/>
  <c r="CD218" i="19"/>
  <c r="CE218" i="19"/>
  <c r="CF218" i="19"/>
  <c r="CG218" i="19"/>
  <c r="CH218" i="19"/>
  <c r="CI218" i="19"/>
  <c r="CJ218" i="19"/>
  <c r="CK218" i="19"/>
  <c r="CL218" i="19"/>
  <c r="CM218" i="19"/>
  <c r="CN218" i="19"/>
  <c r="CO218" i="19"/>
  <c r="CP218" i="19"/>
  <c r="CQ218" i="19"/>
  <c r="CR218" i="19"/>
  <c r="CS218" i="19"/>
  <c r="CT218" i="19"/>
  <c r="CU218" i="19"/>
  <c r="CV218" i="19"/>
  <c r="CW218" i="19"/>
  <c r="CX218" i="19"/>
  <c r="CY218" i="19"/>
  <c r="CZ218" i="19"/>
  <c r="DA218" i="19"/>
  <c r="DB218" i="19"/>
  <c r="DC218" i="19"/>
  <c r="DD218" i="19"/>
  <c r="DE218" i="19"/>
  <c r="DF218" i="19"/>
  <c r="DG218" i="19"/>
  <c r="DH218" i="19"/>
  <c r="DI218" i="19"/>
  <c r="DJ218" i="19"/>
  <c r="DK218" i="19"/>
  <c r="DL218" i="19"/>
  <c r="DM218" i="19"/>
  <c r="DN218" i="19"/>
  <c r="DO218" i="19"/>
  <c r="DP218" i="19"/>
  <c r="DQ218" i="19"/>
  <c r="DR218" i="19"/>
  <c r="DS218" i="19"/>
  <c r="DT218" i="19"/>
  <c r="DU218" i="19"/>
  <c r="DV218" i="19"/>
  <c r="DW218" i="19"/>
  <c r="DX218" i="19"/>
  <c r="DY218" i="19"/>
  <c r="DZ218" i="19"/>
  <c r="EA218" i="19"/>
  <c r="EB218" i="19"/>
  <c r="EC218" i="19"/>
  <c r="ED218" i="19"/>
  <c r="EE218" i="19"/>
  <c r="EF218" i="19"/>
  <c r="EG218" i="19"/>
  <c r="EH218" i="19"/>
  <c r="EI218" i="19"/>
  <c r="EJ218" i="19"/>
  <c r="EK218" i="19"/>
  <c r="EL218" i="19"/>
  <c r="EM218" i="19"/>
  <c r="EN218" i="19"/>
  <c r="EO218" i="19"/>
  <c r="EP218" i="19"/>
  <c r="EQ218" i="19"/>
  <c r="ER218" i="19"/>
  <c r="ES218" i="19"/>
  <c r="ET218" i="19"/>
  <c r="EU218" i="19"/>
  <c r="EV218" i="19"/>
  <c r="EW218" i="19"/>
  <c r="EX218" i="19"/>
  <c r="EY218" i="19"/>
  <c r="EZ218" i="19"/>
  <c r="FA218" i="19"/>
  <c r="FB218" i="19"/>
  <c r="FC218" i="19"/>
  <c r="FD218" i="19"/>
  <c r="FE218" i="19"/>
  <c r="FF218" i="19"/>
  <c r="FG218" i="19"/>
  <c r="FH218" i="19"/>
  <c r="FI218" i="19"/>
  <c r="FJ218" i="19"/>
  <c r="FK218" i="19"/>
  <c r="FL218" i="19"/>
  <c r="FM218" i="19"/>
  <c r="FN218" i="19"/>
  <c r="FO218" i="19"/>
  <c r="FP218" i="19"/>
  <c r="FQ218" i="19"/>
  <c r="FR218" i="19"/>
  <c r="FS218" i="19"/>
  <c r="FT218" i="19"/>
  <c r="FU218" i="19"/>
  <c r="FV218" i="19"/>
  <c r="FW218" i="19"/>
  <c r="FX218" i="19"/>
  <c r="FY218" i="19"/>
  <c r="FZ218" i="19"/>
  <c r="GA218" i="19"/>
  <c r="GB218" i="19"/>
  <c r="GC218" i="19"/>
  <c r="GD218" i="19"/>
  <c r="GE218" i="19"/>
  <c r="GF218" i="19"/>
  <c r="GG218" i="19"/>
  <c r="GH218" i="19"/>
  <c r="GI218" i="19"/>
  <c r="GJ218" i="19"/>
  <c r="GK218" i="19"/>
  <c r="GL218" i="19"/>
  <c r="GM218" i="19"/>
  <c r="GN218" i="19"/>
  <c r="GO218" i="19"/>
  <c r="GP218" i="19"/>
  <c r="GQ218" i="19"/>
  <c r="GR218" i="19"/>
  <c r="GS218" i="19"/>
  <c r="GT218" i="19"/>
  <c r="GU218" i="19"/>
  <c r="GV218" i="19"/>
  <c r="GW218" i="19"/>
  <c r="GX218" i="19"/>
  <c r="GY218" i="19"/>
  <c r="GZ218" i="19"/>
  <c r="HA218" i="19"/>
  <c r="HB218" i="19"/>
  <c r="HC218" i="19"/>
  <c r="HD218" i="19"/>
  <c r="HE218" i="19"/>
  <c r="HF218" i="19"/>
  <c r="HG218" i="19"/>
  <c r="HH218" i="19"/>
  <c r="HI218" i="19"/>
  <c r="HJ218" i="19"/>
  <c r="HK218" i="19"/>
  <c r="HL218" i="19"/>
  <c r="HM218" i="19"/>
  <c r="HN218" i="19"/>
  <c r="HO218" i="19"/>
  <c r="HP218" i="19"/>
  <c r="HQ218" i="19"/>
  <c r="HR218" i="19"/>
  <c r="HS218" i="19"/>
  <c r="HT218" i="19"/>
  <c r="HU218" i="19"/>
  <c r="HV218" i="19"/>
  <c r="HW218" i="19"/>
  <c r="HX218" i="19"/>
  <c r="HY218" i="19"/>
  <c r="HZ218" i="19"/>
  <c r="IA218" i="19"/>
  <c r="IB218" i="19"/>
  <c r="IC218" i="19"/>
  <c r="ID218" i="19"/>
  <c r="IE218" i="19"/>
  <c r="IF218" i="19"/>
  <c r="IG218" i="19"/>
  <c r="IH218" i="19"/>
  <c r="II218" i="19"/>
  <c r="IJ218" i="19"/>
  <c r="IK218" i="19"/>
  <c r="IL218" i="19"/>
  <c r="IM218" i="19"/>
  <c r="IN218" i="19"/>
  <c r="IO218" i="19"/>
  <c r="IP218" i="19"/>
  <c r="IQ218" i="19"/>
  <c r="IR218" i="19"/>
  <c r="IS218" i="19"/>
  <c r="IT218" i="19"/>
  <c r="IU218" i="19"/>
  <c r="IV218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T219" i="19"/>
  <c r="U219" i="19"/>
  <c r="V219" i="19"/>
  <c r="W219" i="19"/>
  <c r="X219" i="19"/>
  <c r="Y219" i="19"/>
  <c r="Z219" i="19"/>
  <c r="AA219" i="19"/>
  <c r="AB219" i="19"/>
  <c r="AC219" i="19"/>
  <c r="AD219" i="19"/>
  <c r="AE219" i="19"/>
  <c r="AF219" i="19"/>
  <c r="AG219" i="19"/>
  <c r="AH219" i="19"/>
  <c r="AI219" i="19"/>
  <c r="AJ219" i="19"/>
  <c r="AK219" i="19"/>
  <c r="AL219" i="19"/>
  <c r="AM219" i="19"/>
  <c r="AN219" i="19"/>
  <c r="AO219" i="19"/>
  <c r="AP219" i="19"/>
  <c r="AQ219" i="19"/>
  <c r="AR219" i="19"/>
  <c r="AS219" i="19"/>
  <c r="AT219" i="19"/>
  <c r="AU219" i="19"/>
  <c r="AV219" i="19"/>
  <c r="AW219" i="19"/>
  <c r="AX219" i="19"/>
  <c r="AY219" i="19"/>
  <c r="AZ219" i="19"/>
  <c r="BA219" i="19"/>
  <c r="BB219" i="19"/>
  <c r="BC219" i="19"/>
  <c r="BD219" i="19"/>
  <c r="BE219" i="19"/>
  <c r="BF219" i="19"/>
  <c r="BG219" i="19"/>
  <c r="BH219" i="19"/>
  <c r="BI219" i="19"/>
  <c r="BJ219" i="19"/>
  <c r="BK219" i="19"/>
  <c r="BL219" i="19"/>
  <c r="BM219" i="19"/>
  <c r="BN219" i="19"/>
  <c r="BO219" i="19"/>
  <c r="BP219" i="19"/>
  <c r="BQ219" i="19"/>
  <c r="BR219" i="19"/>
  <c r="BS219" i="19"/>
  <c r="BT219" i="19"/>
  <c r="BU219" i="19"/>
  <c r="BV219" i="19"/>
  <c r="BW219" i="19"/>
  <c r="BX219" i="19"/>
  <c r="BY219" i="19"/>
  <c r="BZ219" i="19"/>
  <c r="CA219" i="19"/>
  <c r="CB219" i="19"/>
  <c r="CC219" i="19"/>
  <c r="CD219" i="19"/>
  <c r="CE219" i="19"/>
  <c r="CF219" i="19"/>
  <c r="CG219" i="19"/>
  <c r="CH219" i="19"/>
  <c r="CI219" i="19"/>
  <c r="CJ219" i="19"/>
  <c r="CK219" i="19"/>
  <c r="CL219" i="19"/>
  <c r="CM219" i="19"/>
  <c r="CN219" i="19"/>
  <c r="CO219" i="19"/>
  <c r="CP219" i="19"/>
  <c r="CQ219" i="19"/>
  <c r="CR219" i="19"/>
  <c r="CS219" i="19"/>
  <c r="CT219" i="19"/>
  <c r="CU219" i="19"/>
  <c r="CV219" i="19"/>
  <c r="CW219" i="19"/>
  <c r="CX219" i="19"/>
  <c r="CY219" i="19"/>
  <c r="CZ219" i="19"/>
  <c r="DA219" i="19"/>
  <c r="DB219" i="19"/>
  <c r="DC219" i="19"/>
  <c r="DD219" i="19"/>
  <c r="DE219" i="19"/>
  <c r="DF219" i="19"/>
  <c r="DG219" i="19"/>
  <c r="DH219" i="19"/>
  <c r="DI219" i="19"/>
  <c r="DJ219" i="19"/>
  <c r="DK219" i="19"/>
  <c r="DL219" i="19"/>
  <c r="DM219" i="19"/>
  <c r="DN219" i="19"/>
  <c r="DO219" i="19"/>
  <c r="DP219" i="19"/>
  <c r="DQ219" i="19"/>
  <c r="DR219" i="19"/>
  <c r="DS219" i="19"/>
  <c r="DT219" i="19"/>
  <c r="DU219" i="19"/>
  <c r="DV219" i="19"/>
  <c r="DW219" i="19"/>
  <c r="DX219" i="19"/>
  <c r="DY219" i="19"/>
  <c r="DZ219" i="19"/>
  <c r="EA219" i="19"/>
  <c r="EB219" i="19"/>
  <c r="EC219" i="19"/>
  <c r="ED219" i="19"/>
  <c r="EE219" i="19"/>
  <c r="EF219" i="19"/>
  <c r="EG219" i="19"/>
  <c r="EH219" i="19"/>
  <c r="EI219" i="19"/>
  <c r="EJ219" i="19"/>
  <c r="EK219" i="19"/>
  <c r="EL219" i="19"/>
  <c r="EM219" i="19"/>
  <c r="EN219" i="19"/>
  <c r="EO219" i="19"/>
  <c r="EP219" i="19"/>
  <c r="EQ219" i="19"/>
  <c r="ER219" i="19"/>
  <c r="ES219" i="19"/>
  <c r="ET219" i="19"/>
  <c r="EU219" i="19"/>
  <c r="EV219" i="19"/>
  <c r="EW219" i="19"/>
  <c r="EX219" i="19"/>
  <c r="EY219" i="19"/>
  <c r="EZ219" i="19"/>
  <c r="FA219" i="19"/>
  <c r="FB219" i="19"/>
  <c r="FC219" i="19"/>
  <c r="FD219" i="19"/>
  <c r="FE219" i="19"/>
  <c r="FF219" i="19"/>
  <c r="FG219" i="19"/>
  <c r="FH219" i="19"/>
  <c r="FI219" i="19"/>
  <c r="FJ219" i="19"/>
  <c r="FK219" i="19"/>
  <c r="FL219" i="19"/>
  <c r="FM219" i="19"/>
  <c r="FN219" i="19"/>
  <c r="FO219" i="19"/>
  <c r="FP219" i="19"/>
  <c r="FQ219" i="19"/>
  <c r="FR219" i="19"/>
  <c r="FS219" i="19"/>
  <c r="FT219" i="19"/>
  <c r="FU219" i="19"/>
  <c r="FV219" i="19"/>
  <c r="FW219" i="19"/>
  <c r="FX219" i="19"/>
  <c r="FY219" i="19"/>
  <c r="FZ219" i="19"/>
  <c r="GA219" i="19"/>
  <c r="GB219" i="19"/>
  <c r="GC219" i="19"/>
  <c r="GD219" i="19"/>
  <c r="GE219" i="19"/>
  <c r="GF219" i="19"/>
  <c r="GG219" i="19"/>
  <c r="GH219" i="19"/>
  <c r="GI219" i="19"/>
  <c r="GJ219" i="19"/>
  <c r="GK219" i="19"/>
  <c r="GL219" i="19"/>
  <c r="GM219" i="19"/>
  <c r="GN219" i="19"/>
  <c r="GO219" i="19"/>
  <c r="GP219" i="19"/>
  <c r="GQ219" i="19"/>
  <c r="GR219" i="19"/>
  <c r="GS219" i="19"/>
  <c r="GT219" i="19"/>
  <c r="GU219" i="19"/>
  <c r="GV219" i="19"/>
  <c r="GW219" i="19"/>
  <c r="GX219" i="19"/>
  <c r="GY219" i="19"/>
  <c r="GZ219" i="19"/>
  <c r="HA219" i="19"/>
  <c r="HB219" i="19"/>
  <c r="HC219" i="19"/>
  <c r="HD219" i="19"/>
  <c r="HE219" i="19"/>
  <c r="HF219" i="19"/>
  <c r="HG219" i="19"/>
  <c r="HH219" i="19"/>
  <c r="HI219" i="19"/>
  <c r="HJ219" i="19"/>
  <c r="HK219" i="19"/>
  <c r="HL219" i="19"/>
  <c r="HM219" i="19"/>
  <c r="HN219" i="19"/>
  <c r="HO219" i="19"/>
  <c r="HP219" i="19"/>
  <c r="HQ219" i="19"/>
  <c r="HR219" i="19"/>
  <c r="HS219" i="19"/>
  <c r="HT219" i="19"/>
  <c r="HU219" i="19"/>
  <c r="HV219" i="19"/>
  <c r="HW219" i="19"/>
  <c r="HX219" i="19"/>
  <c r="HY219" i="19"/>
  <c r="HZ219" i="19"/>
  <c r="IA219" i="19"/>
  <c r="IB219" i="19"/>
  <c r="IC219" i="19"/>
  <c r="ID219" i="19"/>
  <c r="IE219" i="19"/>
  <c r="IF219" i="19"/>
  <c r="IG219" i="19"/>
  <c r="IH219" i="19"/>
  <c r="II219" i="19"/>
  <c r="IJ219" i="19"/>
  <c r="IK219" i="19"/>
  <c r="IL219" i="19"/>
  <c r="IM219" i="19"/>
  <c r="IN219" i="19"/>
  <c r="IO219" i="19"/>
  <c r="IP219" i="19"/>
  <c r="IQ219" i="19"/>
  <c r="IR219" i="19"/>
  <c r="IS219" i="19"/>
  <c r="IT219" i="19"/>
  <c r="IU219" i="19"/>
  <c r="IV219" i="19"/>
  <c r="F220" i="19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T220" i="19"/>
  <c r="U220" i="19"/>
  <c r="V220" i="19"/>
  <c r="W220" i="19"/>
  <c r="X220" i="19"/>
  <c r="Y220" i="19"/>
  <c r="Z220" i="19"/>
  <c r="AA220" i="19"/>
  <c r="AB220" i="19"/>
  <c r="AC220" i="19"/>
  <c r="AD220" i="19"/>
  <c r="AE220" i="19"/>
  <c r="AF220" i="19"/>
  <c r="AG220" i="19"/>
  <c r="AH220" i="19"/>
  <c r="AI220" i="19"/>
  <c r="AJ220" i="19"/>
  <c r="AK220" i="19"/>
  <c r="AL220" i="19"/>
  <c r="AM220" i="19"/>
  <c r="AN220" i="19"/>
  <c r="AO220" i="19"/>
  <c r="AP220" i="19"/>
  <c r="AQ220" i="19"/>
  <c r="AR220" i="19"/>
  <c r="AS220" i="19"/>
  <c r="AT220" i="19"/>
  <c r="AU220" i="19"/>
  <c r="AV220" i="19"/>
  <c r="AW220" i="19"/>
  <c r="AX220" i="19"/>
  <c r="AY220" i="19"/>
  <c r="AZ220" i="19"/>
  <c r="BA220" i="19"/>
  <c r="BB220" i="19"/>
  <c r="BC220" i="19"/>
  <c r="BD220" i="19"/>
  <c r="BE220" i="19"/>
  <c r="BF220" i="19"/>
  <c r="BG220" i="19"/>
  <c r="BH220" i="19"/>
  <c r="BI220" i="19"/>
  <c r="BJ220" i="19"/>
  <c r="BK220" i="19"/>
  <c r="BL220" i="19"/>
  <c r="BM220" i="19"/>
  <c r="BN220" i="19"/>
  <c r="BO220" i="19"/>
  <c r="BP220" i="19"/>
  <c r="BQ220" i="19"/>
  <c r="BR220" i="19"/>
  <c r="BS220" i="19"/>
  <c r="BT220" i="19"/>
  <c r="BU220" i="19"/>
  <c r="BV220" i="19"/>
  <c r="BW220" i="19"/>
  <c r="BX220" i="19"/>
  <c r="BY220" i="19"/>
  <c r="BZ220" i="19"/>
  <c r="CA220" i="19"/>
  <c r="CB220" i="19"/>
  <c r="CC220" i="19"/>
  <c r="CD220" i="19"/>
  <c r="CE220" i="19"/>
  <c r="CF220" i="19"/>
  <c r="CG220" i="19"/>
  <c r="CH220" i="19"/>
  <c r="CI220" i="19"/>
  <c r="CJ220" i="19"/>
  <c r="CK220" i="19"/>
  <c r="CL220" i="19"/>
  <c r="CM220" i="19"/>
  <c r="CN220" i="19"/>
  <c r="CO220" i="19"/>
  <c r="CP220" i="19"/>
  <c r="CQ220" i="19"/>
  <c r="CR220" i="19"/>
  <c r="CS220" i="19"/>
  <c r="CT220" i="19"/>
  <c r="CU220" i="19"/>
  <c r="CV220" i="19"/>
  <c r="CW220" i="19"/>
  <c r="CX220" i="19"/>
  <c r="CY220" i="19"/>
  <c r="CZ220" i="19"/>
  <c r="DA220" i="19"/>
  <c r="DB220" i="19"/>
  <c r="DC220" i="19"/>
  <c r="DD220" i="19"/>
  <c r="DE220" i="19"/>
  <c r="DF220" i="19"/>
  <c r="DG220" i="19"/>
  <c r="DH220" i="19"/>
  <c r="DI220" i="19"/>
  <c r="DJ220" i="19"/>
  <c r="DK220" i="19"/>
  <c r="DL220" i="19"/>
  <c r="DM220" i="19"/>
  <c r="DN220" i="19"/>
  <c r="DO220" i="19"/>
  <c r="DP220" i="19"/>
  <c r="DQ220" i="19"/>
  <c r="DR220" i="19"/>
  <c r="DS220" i="19"/>
  <c r="DT220" i="19"/>
  <c r="DU220" i="19"/>
  <c r="DV220" i="19"/>
  <c r="DW220" i="19"/>
  <c r="DX220" i="19"/>
  <c r="DY220" i="19"/>
  <c r="DZ220" i="19"/>
  <c r="EA220" i="19"/>
  <c r="EB220" i="19"/>
  <c r="EC220" i="19"/>
  <c r="ED220" i="19"/>
  <c r="EE220" i="19"/>
  <c r="EF220" i="19"/>
  <c r="EG220" i="19"/>
  <c r="EH220" i="19"/>
  <c r="EI220" i="19"/>
  <c r="EJ220" i="19"/>
  <c r="EK220" i="19"/>
  <c r="EL220" i="19"/>
  <c r="EM220" i="19"/>
  <c r="EN220" i="19"/>
  <c r="EO220" i="19"/>
  <c r="EP220" i="19"/>
  <c r="EQ220" i="19"/>
  <c r="ER220" i="19"/>
  <c r="ES220" i="19"/>
  <c r="ET220" i="19"/>
  <c r="EU220" i="19"/>
  <c r="EV220" i="19"/>
  <c r="EW220" i="19"/>
  <c r="EX220" i="19"/>
  <c r="EY220" i="19"/>
  <c r="EZ220" i="19"/>
  <c r="FA220" i="19"/>
  <c r="FB220" i="19"/>
  <c r="FC220" i="19"/>
  <c r="FD220" i="19"/>
  <c r="FE220" i="19"/>
  <c r="FF220" i="19"/>
  <c r="FG220" i="19"/>
  <c r="FH220" i="19"/>
  <c r="FI220" i="19"/>
  <c r="FJ220" i="19"/>
  <c r="FK220" i="19"/>
  <c r="FL220" i="19"/>
  <c r="FM220" i="19"/>
  <c r="FN220" i="19"/>
  <c r="FO220" i="19"/>
  <c r="FP220" i="19"/>
  <c r="FQ220" i="19"/>
  <c r="FR220" i="19"/>
  <c r="FS220" i="19"/>
  <c r="FT220" i="19"/>
  <c r="FU220" i="19"/>
  <c r="FV220" i="19"/>
  <c r="FW220" i="19"/>
  <c r="FX220" i="19"/>
  <c r="FY220" i="19"/>
  <c r="FZ220" i="19"/>
  <c r="GA220" i="19"/>
  <c r="GB220" i="19"/>
  <c r="GC220" i="19"/>
  <c r="GD220" i="19"/>
  <c r="GE220" i="19"/>
  <c r="GF220" i="19"/>
  <c r="GG220" i="19"/>
  <c r="GH220" i="19"/>
  <c r="GI220" i="19"/>
  <c r="GJ220" i="19"/>
  <c r="GK220" i="19"/>
  <c r="GL220" i="19"/>
  <c r="GM220" i="19"/>
  <c r="GN220" i="19"/>
  <c r="GO220" i="19"/>
  <c r="GP220" i="19"/>
  <c r="GQ220" i="19"/>
  <c r="GR220" i="19"/>
  <c r="GS220" i="19"/>
  <c r="GT220" i="19"/>
  <c r="GU220" i="19"/>
  <c r="GV220" i="19"/>
  <c r="GW220" i="19"/>
  <c r="GX220" i="19"/>
  <c r="GY220" i="19"/>
  <c r="GZ220" i="19"/>
  <c r="HA220" i="19"/>
  <c r="HB220" i="19"/>
  <c r="HC220" i="19"/>
  <c r="HD220" i="19"/>
  <c r="HE220" i="19"/>
  <c r="HF220" i="19"/>
  <c r="HG220" i="19"/>
  <c r="HH220" i="19"/>
  <c r="HI220" i="19"/>
  <c r="HJ220" i="19"/>
  <c r="HK220" i="19"/>
  <c r="HL220" i="19"/>
  <c r="HM220" i="19"/>
  <c r="HN220" i="19"/>
  <c r="HO220" i="19"/>
  <c r="HP220" i="19"/>
  <c r="HQ220" i="19"/>
  <c r="HR220" i="19"/>
  <c r="HS220" i="19"/>
  <c r="HT220" i="19"/>
  <c r="HU220" i="19"/>
  <c r="HV220" i="19"/>
  <c r="HW220" i="19"/>
  <c r="HX220" i="19"/>
  <c r="HY220" i="19"/>
  <c r="HZ220" i="19"/>
  <c r="IA220" i="19"/>
  <c r="IB220" i="19"/>
  <c r="IC220" i="19"/>
  <c r="ID220" i="19"/>
  <c r="IE220" i="19"/>
  <c r="IF220" i="19"/>
  <c r="IG220" i="19"/>
  <c r="IH220" i="19"/>
  <c r="II220" i="19"/>
  <c r="IJ220" i="19"/>
  <c r="IK220" i="19"/>
  <c r="IL220" i="19"/>
  <c r="IM220" i="19"/>
  <c r="IN220" i="19"/>
  <c r="IO220" i="19"/>
  <c r="IP220" i="19"/>
  <c r="IQ220" i="19"/>
  <c r="IR220" i="19"/>
  <c r="IS220" i="19"/>
  <c r="IT220" i="19"/>
  <c r="IU220" i="19"/>
  <c r="IV220" i="19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T221" i="19"/>
  <c r="U221" i="19"/>
  <c r="V221" i="19"/>
  <c r="W221" i="19"/>
  <c r="X221" i="19"/>
  <c r="Y221" i="19"/>
  <c r="Z221" i="19"/>
  <c r="AA221" i="19"/>
  <c r="AB221" i="19"/>
  <c r="AC221" i="19"/>
  <c r="AD221" i="19"/>
  <c r="AE221" i="19"/>
  <c r="AF221" i="19"/>
  <c r="AG221" i="19"/>
  <c r="AH221" i="19"/>
  <c r="AI221" i="19"/>
  <c r="AJ221" i="19"/>
  <c r="AK221" i="19"/>
  <c r="AL221" i="19"/>
  <c r="AM221" i="19"/>
  <c r="AN221" i="19"/>
  <c r="AO221" i="19"/>
  <c r="AP221" i="19"/>
  <c r="AQ221" i="19"/>
  <c r="AR221" i="19"/>
  <c r="AS221" i="19"/>
  <c r="AT221" i="19"/>
  <c r="AU221" i="19"/>
  <c r="AV221" i="19"/>
  <c r="AW221" i="19"/>
  <c r="AX221" i="19"/>
  <c r="AY221" i="19"/>
  <c r="AZ221" i="19"/>
  <c r="BA221" i="19"/>
  <c r="BB221" i="19"/>
  <c r="BC221" i="19"/>
  <c r="BD221" i="19"/>
  <c r="BE221" i="19"/>
  <c r="BF221" i="19"/>
  <c r="BG221" i="19"/>
  <c r="BH221" i="19"/>
  <c r="BI221" i="19"/>
  <c r="BJ221" i="19"/>
  <c r="BK221" i="19"/>
  <c r="BL221" i="19"/>
  <c r="BM221" i="19"/>
  <c r="BN221" i="19"/>
  <c r="BO221" i="19"/>
  <c r="BP221" i="19"/>
  <c r="BQ221" i="19"/>
  <c r="BR221" i="19"/>
  <c r="BS221" i="19"/>
  <c r="BT221" i="19"/>
  <c r="BU221" i="19"/>
  <c r="BV221" i="19"/>
  <c r="BW221" i="19"/>
  <c r="BX221" i="19"/>
  <c r="BY221" i="19"/>
  <c r="BZ221" i="19"/>
  <c r="CA221" i="19"/>
  <c r="CB221" i="19"/>
  <c r="CC221" i="19"/>
  <c r="CD221" i="19"/>
  <c r="CE221" i="19"/>
  <c r="CF221" i="19"/>
  <c r="CG221" i="19"/>
  <c r="CH221" i="19"/>
  <c r="CI221" i="19"/>
  <c r="CJ221" i="19"/>
  <c r="CK221" i="19"/>
  <c r="CL221" i="19"/>
  <c r="CM221" i="19"/>
  <c r="CN221" i="19"/>
  <c r="CO221" i="19"/>
  <c r="CP221" i="19"/>
  <c r="CQ221" i="19"/>
  <c r="CR221" i="19"/>
  <c r="CS221" i="19"/>
  <c r="CT221" i="19"/>
  <c r="CU221" i="19"/>
  <c r="CV221" i="19"/>
  <c r="CW221" i="19"/>
  <c r="CX221" i="19"/>
  <c r="CY221" i="19"/>
  <c r="CZ221" i="19"/>
  <c r="DA221" i="19"/>
  <c r="DB221" i="19"/>
  <c r="DC221" i="19"/>
  <c r="DD221" i="19"/>
  <c r="DE221" i="19"/>
  <c r="DF221" i="19"/>
  <c r="DG221" i="19"/>
  <c r="DH221" i="19"/>
  <c r="DI221" i="19"/>
  <c r="DJ221" i="19"/>
  <c r="DK221" i="19"/>
  <c r="DL221" i="19"/>
  <c r="DM221" i="19"/>
  <c r="DN221" i="19"/>
  <c r="DO221" i="19"/>
  <c r="DP221" i="19"/>
  <c r="DQ221" i="19"/>
  <c r="DR221" i="19"/>
  <c r="DS221" i="19"/>
  <c r="DT221" i="19"/>
  <c r="DU221" i="19"/>
  <c r="DV221" i="19"/>
  <c r="DW221" i="19"/>
  <c r="DX221" i="19"/>
  <c r="DY221" i="19"/>
  <c r="DZ221" i="19"/>
  <c r="EA221" i="19"/>
  <c r="EB221" i="19"/>
  <c r="EC221" i="19"/>
  <c r="ED221" i="19"/>
  <c r="EE221" i="19"/>
  <c r="EF221" i="19"/>
  <c r="EG221" i="19"/>
  <c r="EH221" i="19"/>
  <c r="EI221" i="19"/>
  <c r="EJ221" i="19"/>
  <c r="EK221" i="19"/>
  <c r="EL221" i="19"/>
  <c r="EM221" i="19"/>
  <c r="EN221" i="19"/>
  <c r="EO221" i="19"/>
  <c r="EP221" i="19"/>
  <c r="EQ221" i="19"/>
  <c r="ER221" i="19"/>
  <c r="ES221" i="19"/>
  <c r="ET221" i="19"/>
  <c r="EU221" i="19"/>
  <c r="EV221" i="19"/>
  <c r="EW221" i="19"/>
  <c r="EX221" i="19"/>
  <c r="EY221" i="19"/>
  <c r="EZ221" i="19"/>
  <c r="FA221" i="19"/>
  <c r="FB221" i="19"/>
  <c r="FC221" i="19"/>
  <c r="FD221" i="19"/>
  <c r="FE221" i="19"/>
  <c r="FF221" i="19"/>
  <c r="FG221" i="19"/>
  <c r="FH221" i="19"/>
  <c r="FI221" i="19"/>
  <c r="FJ221" i="19"/>
  <c r="FK221" i="19"/>
  <c r="FL221" i="19"/>
  <c r="FM221" i="19"/>
  <c r="FN221" i="19"/>
  <c r="FO221" i="19"/>
  <c r="FP221" i="19"/>
  <c r="FQ221" i="19"/>
  <c r="FR221" i="19"/>
  <c r="FS221" i="19"/>
  <c r="FT221" i="19"/>
  <c r="FU221" i="19"/>
  <c r="FV221" i="19"/>
  <c r="FW221" i="19"/>
  <c r="FX221" i="19"/>
  <c r="FY221" i="19"/>
  <c r="FZ221" i="19"/>
  <c r="GA221" i="19"/>
  <c r="GB221" i="19"/>
  <c r="GC221" i="19"/>
  <c r="GD221" i="19"/>
  <c r="GE221" i="19"/>
  <c r="GF221" i="19"/>
  <c r="GG221" i="19"/>
  <c r="GH221" i="19"/>
  <c r="GI221" i="19"/>
  <c r="GJ221" i="19"/>
  <c r="GK221" i="19"/>
  <c r="GL221" i="19"/>
  <c r="GM221" i="19"/>
  <c r="GN221" i="19"/>
  <c r="GO221" i="19"/>
  <c r="GP221" i="19"/>
  <c r="GQ221" i="19"/>
  <c r="GR221" i="19"/>
  <c r="GS221" i="19"/>
  <c r="GT221" i="19"/>
  <c r="GU221" i="19"/>
  <c r="GV221" i="19"/>
  <c r="GW221" i="19"/>
  <c r="GX221" i="19"/>
  <c r="GY221" i="19"/>
  <c r="GZ221" i="19"/>
  <c r="HA221" i="19"/>
  <c r="HB221" i="19"/>
  <c r="HC221" i="19"/>
  <c r="HD221" i="19"/>
  <c r="HE221" i="19"/>
  <c r="HF221" i="19"/>
  <c r="HG221" i="19"/>
  <c r="HH221" i="19"/>
  <c r="HI221" i="19"/>
  <c r="HJ221" i="19"/>
  <c r="HK221" i="19"/>
  <c r="HL221" i="19"/>
  <c r="HM221" i="19"/>
  <c r="HN221" i="19"/>
  <c r="HO221" i="19"/>
  <c r="HP221" i="19"/>
  <c r="HQ221" i="19"/>
  <c r="HR221" i="19"/>
  <c r="HS221" i="19"/>
  <c r="HT221" i="19"/>
  <c r="HU221" i="19"/>
  <c r="HV221" i="19"/>
  <c r="HW221" i="19"/>
  <c r="HX221" i="19"/>
  <c r="HY221" i="19"/>
  <c r="HZ221" i="19"/>
  <c r="IA221" i="19"/>
  <c r="IB221" i="19"/>
  <c r="IC221" i="19"/>
  <c r="ID221" i="19"/>
  <c r="IE221" i="19"/>
  <c r="IF221" i="19"/>
  <c r="IG221" i="19"/>
  <c r="IH221" i="19"/>
  <c r="II221" i="19"/>
  <c r="IJ221" i="19"/>
  <c r="IK221" i="19"/>
  <c r="IL221" i="19"/>
  <c r="IM221" i="19"/>
  <c r="IN221" i="19"/>
  <c r="IO221" i="19"/>
  <c r="IP221" i="19"/>
  <c r="IQ221" i="19"/>
  <c r="IR221" i="19"/>
  <c r="IS221" i="19"/>
  <c r="IT221" i="19"/>
  <c r="IU221" i="19"/>
  <c r="IV221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T222" i="19"/>
  <c r="U222" i="19"/>
  <c r="V222" i="19"/>
  <c r="W222" i="19"/>
  <c r="X222" i="19"/>
  <c r="Y222" i="19"/>
  <c r="Z222" i="19"/>
  <c r="AA222" i="19"/>
  <c r="AB222" i="19"/>
  <c r="AC222" i="19"/>
  <c r="AD222" i="19"/>
  <c r="AE222" i="19"/>
  <c r="AF222" i="19"/>
  <c r="AG222" i="19"/>
  <c r="AH222" i="19"/>
  <c r="AI222" i="19"/>
  <c r="AJ222" i="19"/>
  <c r="AK222" i="19"/>
  <c r="AL222" i="19"/>
  <c r="AM222" i="19"/>
  <c r="AN222" i="19"/>
  <c r="AO222" i="19"/>
  <c r="AP222" i="19"/>
  <c r="AQ222" i="19"/>
  <c r="AR222" i="19"/>
  <c r="AS222" i="19"/>
  <c r="AT222" i="19"/>
  <c r="AU222" i="19"/>
  <c r="AV222" i="19"/>
  <c r="AW222" i="19"/>
  <c r="AX222" i="19"/>
  <c r="AY222" i="19"/>
  <c r="AZ222" i="19"/>
  <c r="BA222" i="19"/>
  <c r="BB222" i="19"/>
  <c r="BC222" i="19"/>
  <c r="BD222" i="19"/>
  <c r="BE222" i="19"/>
  <c r="BF222" i="19"/>
  <c r="BG222" i="19"/>
  <c r="BH222" i="19"/>
  <c r="BI222" i="19"/>
  <c r="BJ222" i="19"/>
  <c r="BK222" i="19"/>
  <c r="BL222" i="19"/>
  <c r="BM222" i="19"/>
  <c r="BN222" i="19"/>
  <c r="BO222" i="19"/>
  <c r="BP222" i="19"/>
  <c r="BQ222" i="19"/>
  <c r="BR222" i="19"/>
  <c r="BS222" i="19"/>
  <c r="BT222" i="19"/>
  <c r="BU222" i="19"/>
  <c r="BV222" i="19"/>
  <c r="BW222" i="19"/>
  <c r="BX222" i="19"/>
  <c r="BY222" i="19"/>
  <c r="BZ222" i="19"/>
  <c r="CA222" i="19"/>
  <c r="CB222" i="19"/>
  <c r="CC222" i="19"/>
  <c r="CD222" i="19"/>
  <c r="CE222" i="19"/>
  <c r="CF222" i="19"/>
  <c r="CG222" i="19"/>
  <c r="CH222" i="19"/>
  <c r="CI222" i="19"/>
  <c r="CJ222" i="19"/>
  <c r="CK222" i="19"/>
  <c r="CL222" i="19"/>
  <c r="CM222" i="19"/>
  <c r="CN222" i="19"/>
  <c r="CO222" i="19"/>
  <c r="CP222" i="19"/>
  <c r="CQ222" i="19"/>
  <c r="CR222" i="19"/>
  <c r="CS222" i="19"/>
  <c r="CT222" i="19"/>
  <c r="CU222" i="19"/>
  <c r="CV222" i="19"/>
  <c r="CW222" i="19"/>
  <c r="CX222" i="19"/>
  <c r="CY222" i="19"/>
  <c r="CZ222" i="19"/>
  <c r="DA222" i="19"/>
  <c r="DB222" i="19"/>
  <c r="DC222" i="19"/>
  <c r="DD222" i="19"/>
  <c r="DE222" i="19"/>
  <c r="DF222" i="19"/>
  <c r="DG222" i="19"/>
  <c r="DH222" i="19"/>
  <c r="DI222" i="19"/>
  <c r="DJ222" i="19"/>
  <c r="DK222" i="19"/>
  <c r="DL222" i="19"/>
  <c r="DM222" i="19"/>
  <c r="DN222" i="19"/>
  <c r="DO222" i="19"/>
  <c r="DP222" i="19"/>
  <c r="DQ222" i="19"/>
  <c r="DR222" i="19"/>
  <c r="DS222" i="19"/>
  <c r="DT222" i="19"/>
  <c r="DU222" i="19"/>
  <c r="DV222" i="19"/>
  <c r="DW222" i="19"/>
  <c r="DX222" i="19"/>
  <c r="DY222" i="19"/>
  <c r="DZ222" i="19"/>
  <c r="EA222" i="19"/>
  <c r="EB222" i="19"/>
  <c r="EC222" i="19"/>
  <c r="ED222" i="19"/>
  <c r="EE222" i="19"/>
  <c r="EF222" i="19"/>
  <c r="EG222" i="19"/>
  <c r="EH222" i="19"/>
  <c r="EI222" i="19"/>
  <c r="EJ222" i="19"/>
  <c r="EK222" i="19"/>
  <c r="EL222" i="19"/>
  <c r="EM222" i="19"/>
  <c r="EN222" i="19"/>
  <c r="EO222" i="19"/>
  <c r="EP222" i="19"/>
  <c r="EQ222" i="19"/>
  <c r="ER222" i="19"/>
  <c r="ES222" i="19"/>
  <c r="ET222" i="19"/>
  <c r="EU222" i="19"/>
  <c r="EV222" i="19"/>
  <c r="EW222" i="19"/>
  <c r="EX222" i="19"/>
  <c r="EY222" i="19"/>
  <c r="EZ222" i="19"/>
  <c r="FA222" i="19"/>
  <c r="FB222" i="19"/>
  <c r="FC222" i="19"/>
  <c r="FD222" i="19"/>
  <c r="FE222" i="19"/>
  <c r="FF222" i="19"/>
  <c r="FG222" i="19"/>
  <c r="FH222" i="19"/>
  <c r="FI222" i="19"/>
  <c r="FJ222" i="19"/>
  <c r="FK222" i="19"/>
  <c r="FL222" i="19"/>
  <c r="FM222" i="19"/>
  <c r="FN222" i="19"/>
  <c r="FO222" i="19"/>
  <c r="FP222" i="19"/>
  <c r="FQ222" i="19"/>
  <c r="FR222" i="19"/>
  <c r="FS222" i="19"/>
  <c r="FT222" i="19"/>
  <c r="FU222" i="19"/>
  <c r="FV222" i="19"/>
  <c r="FW222" i="19"/>
  <c r="FX222" i="19"/>
  <c r="FY222" i="19"/>
  <c r="FZ222" i="19"/>
  <c r="GA222" i="19"/>
  <c r="GB222" i="19"/>
  <c r="GC222" i="19"/>
  <c r="GD222" i="19"/>
  <c r="GE222" i="19"/>
  <c r="GF222" i="19"/>
  <c r="GG222" i="19"/>
  <c r="GH222" i="19"/>
  <c r="GI222" i="19"/>
  <c r="GJ222" i="19"/>
  <c r="GK222" i="19"/>
  <c r="GL222" i="19"/>
  <c r="GM222" i="19"/>
  <c r="GN222" i="19"/>
  <c r="GO222" i="19"/>
  <c r="GP222" i="19"/>
  <c r="GQ222" i="19"/>
  <c r="GR222" i="19"/>
  <c r="GS222" i="19"/>
  <c r="GT222" i="19"/>
  <c r="GU222" i="19"/>
  <c r="GV222" i="19"/>
  <c r="GW222" i="19"/>
  <c r="GX222" i="19"/>
  <c r="GY222" i="19"/>
  <c r="GZ222" i="19"/>
  <c r="HA222" i="19"/>
  <c r="HB222" i="19"/>
  <c r="HC222" i="19"/>
  <c r="HD222" i="19"/>
  <c r="HE222" i="19"/>
  <c r="HF222" i="19"/>
  <c r="HG222" i="19"/>
  <c r="HH222" i="19"/>
  <c r="HI222" i="19"/>
  <c r="HJ222" i="19"/>
  <c r="HK222" i="19"/>
  <c r="HL222" i="19"/>
  <c r="HM222" i="19"/>
  <c r="HN222" i="19"/>
  <c r="HO222" i="19"/>
  <c r="HP222" i="19"/>
  <c r="HQ222" i="19"/>
  <c r="HR222" i="19"/>
  <c r="HS222" i="19"/>
  <c r="HT222" i="19"/>
  <c r="HU222" i="19"/>
  <c r="HV222" i="19"/>
  <c r="HW222" i="19"/>
  <c r="HX222" i="19"/>
  <c r="HY222" i="19"/>
  <c r="HZ222" i="19"/>
  <c r="IA222" i="19"/>
  <c r="IB222" i="19"/>
  <c r="IC222" i="19"/>
  <c r="ID222" i="19"/>
  <c r="IE222" i="19"/>
  <c r="IF222" i="19"/>
  <c r="IG222" i="19"/>
  <c r="IH222" i="19"/>
  <c r="II222" i="19"/>
  <c r="IJ222" i="19"/>
  <c r="IK222" i="19"/>
  <c r="IL222" i="19"/>
  <c r="IM222" i="19"/>
  <c r="IN222" i="19"/>
  <c r="IO222" i="19"/>
  <c r="IP222" i="19"/>
  <c r="IQ222" i="19"/>
  <c r="IR222" i="19"/>
  <c r="IS222" i="19"/>
  <c r="IT222" i="19"/>
  <c r="IU222" i="19"/>
  <c r="IV222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X223" i="19"/>
  <c r="Y223" i="19"/>
  <c r="Z223" i="19"/>
  <c r="AA223" i="19"/>
  <c r="AB223" i="19"/>
  <c r="AC223" i="19"/>
  <c r="AD223" i="19"/>
  <c r="AE223" i="19"/>
  <c r="AF223" i="19"/>
  <c r="AG223" i="19"/>
  <c r="AH223" i="19"/>
  <c r="AI223" i="19"/>
  <c r="AJ223" i="19"/>
  <c r="AK223" i="19"/>
  <c r="AL223" i="19"/>
  <c r="AM223" i="19"/>
  <c r="AN223" i="19"/>
  <c r="AO223" i="19"/>
  <c r="AP223" i="19"/>
  <c r="AQ223" i="19"/>
  <c r="AR223" i="19"/>
  <c r="AS223" i="19"/>
  <c r="AT223" i="19"/>
  <c r="AU223" i="19"/>
  <c r="AV223" i="19"/>
  <c r="AW223" i="19"/>
  <c r="AX223" i="19"/>
  <c r="AY223" i="19"/>
  <c r="AZ223" i="19"/>
  <c r="BA223" i="19"/>
  <c r="BB223" i="19"/>
  <c r="BC223" i="19"/>
  <c r="BD223" i="19"/>
  <c r="BE223" i="19"/>
  <c r="BF223" i="19"/>
  <c r="BG223" i="19"/>
  <c r="BH223" i="19"/>
  <c r="BI223" i="19"/>
  <c r="BJ223" i="19"/>
  <c r="BK223" i="19"/>
  <c r="BL223" i="19"/>
  <c r="BM223" i="19"/>
  <c r="BN223" i="19"/>
  <c r="BO223" i="19"/>
  <c r="BP223" i="19"/>
  <c r="BQ223" i="19"/>
  <c r="BR223" i="19"/>
  <c r="BS223" i="19"/>
  <c r="BT223" i="19"/>
  <c r="BU223" i="19"/>
  <c r="BV223" i="19"/>
  <c r="BW223" i="19"/>
  <c r="BX223" i="19"/>
  <c r="BY223" i="19"/>
  <c r="BZ223" i="19"/>
  <c r="CA223" i="19"/>
  <c r="CB223" i="19"/>
  <c r="CC223" i="19"/>
  <c r="CD223" i="19"/>
  <c r="CE223" i="19"/>
  <c r="CF223" i="19"/>
  <c r="CG223" i="19"/>
  <c r="CH223" i="19"/>
  <c r="CI223" i="19"/>
  <c r="CJ223" i="19"/>
  <c r="CK223" i="19"/>
  <c r="CL223" i="19"/>
  <c r="CM223" i="19"/>
  <c r="CN223" i="19"/>
  <c r="CO223" i="19"/>
  <c r="CP223" i="19"/>
  <c r="CQ223" i="19"/>
  <c r="CR223" i="19"/>
  <c r="CS223" i="19"/>
  <c r="CT223" i="19"/>
  <c r="CU223" i="19"/>
  <c r="CV223" i="19"/>
  <c r="CW223" i="19"/>
  <c r="CX223" i="19"/>
  <c r="CY223" i="19"/>
  <c r="CZ223" i="19"/>
  <c r="DA223" i="19"/>
  <c r="DB223" i="19"/>
  <c r="DC223" i="19"/>
  <c r="DD223" i="19"/>
  <c r="DE223" i="19"/>
  <c r="DF223" i="19"/>
  <c r="DG223" i="19"/>
  <c r="DH223" i="19"/>
  <c r="DI223" i="19"/>
  <c r="DJ223" i="19"/>
  <c r="DK223" i="19"/>
  <c r="DL223" i="19"/>
  <c r="DM223" i="19"/>
  <c r="DN223" i="19"/>
  <c r="DO223" i="19"/>
  <c r="DP223" i="19"/>
  <c r="DQ223" i="19"/>
  <c r="DR223" i="19"/>
  <c r="DS223" i="19"/>
  <c r="DT223" i="19"/>
  <c r="DU223" i="19"/>
  <c r="DV223" i="19"/>
  <c r="DW223" i="19"/>
  <c r="DX223" i="19"/>
  <c r="DY223" i="19"/>
  <c r="DZ223" i="19"/>
  <c r="EA223" i="19"/>
  <c r="EB223" i="19"/>
  <c r="EC223" i="19"/>
  <c r="ED223" i="19"/>
  <c r="EE223" i="19"/>
  <c r="EF223" i="19"/>
  <c r="EG223" i="19"/>
  <c r="EH223" i="19"/>
  <c r="EI223" i="19"/>
  <c r="EJ223" i="19"/>
  <c r="EK223" i="19"/>
  <c r="EL223" i="19"/>
  <c r="EM223" i="19"/>
  <c r="EN223" i="19"/>
  <c r="EO223" i="19"/>
  <c r="EP223" i="19"/>
  <c r="EQ223" i="19"/>
  <c r="ER223" i="19"/>
  <c r="ES223" i="19"/>
  <c r="ET223" i="19"/>
  <c r="EU223" i="19"/>
  <c r="EV223" i="19"/>
  <c r="EW223" i="19"/>
  <c r="EX223" i="19"/>
  <c r="EY223" i="19"/>
  <c r="EZ223" i="19"/>
  <c r="FA223" i="19"/>
  <c r="FB223" i="19"/>
  <c r="FC223" i="19"/>
  <c r="FD223" i="19"/>
  <c r="FE223" i="19"/>
  <c r="FF223" i="19"/>
  <c r="FG223" i="19"/>
  <c r="FH223" i="19"/>
  <c r="FI223" i="19"/>
  <c r="FJ223" i="19"/>
  <c r="FK223" i="19"/>
  <c r="FL223" i="19"/>
  <c r="FM223" i="19"/>
  <c r="FN223" i="19"/>
  <c r="FO223" i="19"/>
  <c r="FP223" i="19"/>
  <c r="FQ223" i="19"/>
  <c r="FR223" i="19"/>
  <c r="FS223" i="19"/>
  <c r="FT223" i="19"/>
  <c r="FU223" i="19"/>
  <c r="FV223" i="19"/>
  <c r="FW223" i="19"/>
  <c r="FX223" i="19"/>
  <c r="FY223" i="19"/>
  <c r="FZ223" i="19"/>
  <c r="GA223" i="19"/>
  <c r="GB223" i="19"/>
  <c r="GC223" i="19"/>
  <c r="GD223" i="19"/>
  <c r="GE223" i="19"/>
  <c r="GF223" i="19"/>
  <c r="GG223" i="19"/>
  <c r="GH223" i="19"/>
  <c r="GI223" i="19"/>
  <c r="GJ223" i="19"/>
  <c r="GK223" i="19"/>
  <c r="GL223" i="19"/>
  <c r="GM223" i="19"/>
  <c r="GN223" i="19"/>
  <c r="GO223" i="19"/>
  <c r="GP223" i="19"/>
  <c r="GQ223" i="19"/>
  <c r="GR223" i="19"/>
  <c r="GS223" i="19"/>
  <c r="GT223" i="19"/>
  <c r="GU223" i="19"/>
  <c r="GV223" i="19"/>
  <c r="GW223" i="19"/>
  <c r="GX223" i="19"/>
  <c r="GY223" i="19"/>
  <c r="GZ223" i="19"/>
  <c r="HA223" i="19"/>
  <c r="HB223" i="19"/>
  <c r="HC223" i="19"/>
  <c r="HD223" i="19"/>
  <c r="HE223" i="19"/>
  <c r="HF223" i="19"/>
  <c r="HG223" i="19"/>
  <c r="HH223" i="19"/>
  <c r="HI223" i="19"/>
  <c r="HJ223" i="19"/>
  <c r="HK223" i="19"/>
  <c r="HL223" i="19"/>
  <c r="HM223" i="19"/>
  <c r="HN223" i="19"/>
  <c r="HO223" i="19"/>
  <c r="HP223" i="19"/>
  <c r="HQ223" i="19"/>
  <c r="HR223" i="19"/>
  <c r="HS223" i="19"/>
  <c r="HT223" i="19"/>
  <c r="HU223" i="19"/>
  <c r="HV223" i="19"/>
  <c r="HW223" i="19"/>
  <c r="HX223" i="19"/>
  <c r="HY223" i="19"/>
  <c r="HZ223" i="19"/>
  <c r="IA223" i="19"/>
  <c r="IB223" i="19"/>
  <c r="IC223" i="19"/>
  <c r="ID223" i="19"/>
  <c r="IE223" i="19"/>
  <c r="IF223" i="19"/>
  <c r="IG223" i="19"/>
  <c r="IH223" i="19"/>
  <c r="II223" i="19"/>
  <c r="IJ223" i="19"/>
  <c r="IK223" i="19"/>
  <c r="IL223" i="19"/>
  <c r="IM223" i="19"/>
  <c r="IN223" i="19"/>
  <c r="IO223" i="19"/>
  <c r="IP223" i="19"/>
  <c r="IQ223" i="19"/>
  <c r="IR223" i="19"/>
  <c r="IS223" i="19"/>
  <c r="IT223" i="19"/>
  <c r="IU223" i="19"/>
  <c r="IV223" i="19"/>
  <c r="F224" i="19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X224" i="19"/>
  <c r="Y224" i="19"/>
  <c r="Z224" i="19"/>
  <c r="AA224" i="19"/>
  <c r="AB224" i="19"/>
  <c r="AC224" i="19"/>
  <c r="AD224" i="19"/>
  <c r="AE224" i="19"/>
  <c r="AF224" i="19"/>
  <c r="AG224" i="19"/>
  <c r="AH224" i="19"/>
  <c r="AI224" i="19"/>
  <c r="AJ224" i="19"/>
  <c r="AK224" i="19"/>
  <c r="AL224" i="19"/>
  <c r="AM224" i="19"/>
  <c r="AN224" i="19"/>
  <c r="AO224" i="19"/>
  <c r="AP224" i="19"/>
  <c r="AQ224" i="19"/>
  <c r="AR224" i="19"/>
  <c r="AS224" i="19"/>
  <c r="AT224" i="19"/>
  <c r="AU224" i="19"/>
  <c r="AV224" i="19"/>
  <c r="AW224" i="19"/>
  <c r="AX224" i="19"/>
  <c r="AY224" i="19"/>
  <c r="AZ224" i="19"/>
  <c r="BA224" i="19"/>
  <c r="BB224" i="19"/>
  <c r="BC224" i="19"/>
  <c r="BD224" i="19"/>
  <c r="BE224" i="19"/>
  <c r="BF224" i="19"/>
  <c r="BG224" i="19"/>
  <c r="BH224" i="19"/>
  <c r="BI224" i="19"/>
  <c r="BJ224" i="19"/>
  <c r="BK224" i="19"/>
  <c r="BL224" i="19"/>
  <c r="BM224" i="19"/>
  <c r="BN224" i="19"/>
  <c r="BO224" i="19"/>
  <c r="BP224" i="19"/>
  <c r="BQ224" i="19"/>
  <c r="BR224" i="19"/>
  <c r="BS224" i="19"/>
  <c r="BT224" i="19"/>
  <c r="BU224" i="19"/>
  <c r="BV224" i="19"/>
  <c r="BW224" i="19"/>
  <c r="BX224" i="19"/>
  <c r="BY224" i="19"/>
  <c r="BZ224" i="19"/>
  <c r="CA224" i="19"/>
  <c r="CB224" i="19"/>
  <c r="CC224" i="19"/>
  <c r="CD224" i="19"/>
  <c r="CE224" i="19"/>
  <c r="CF224" i="19"/>
  <c r="CG224" i="19"/>
  <c r="CH224" i="19"/>
  <c r="CI224" i="19"/>
  <c r="CJ224" i="19"/>
  <c r="CK224" i="19"/>
  <c r="CL224" i="19"/>
  <c r="CM224" i="19"/>
  <c r="CN224" i="19"/>
  <c r="CO224" i="19"/>
  <c r="CP224" i="19"/>
  <c r="CQ224" i="19"/>
  <c r="CR224" i="19"/>
  <c r="CS224" i="19"/>
  <c r="CT224" i="19"/>
  <c r="CU224" i="19"/>
  <c r="CV224" i="19"/>
  <c r="CW224" i="19"/>
  <c r="CX224" i="19"/>
  <c r="CY224" i="19"/>
  <c r="CZ224" i="19"/>
  <c r="DA224" i="19"/>
  <c r="DB224" i="19"/>
  <c r="DC224" i="19"/>
  <c r="DD224" i="19"/>
  <c r="DE224" i="19"/>
  <c r="DF224" i="19"/>
  <c r="DG224" i="19"/>
  <c r="DH224" i="19"/>
  <c r="DI224" i="19"/>
  <c r="DJ224" i="19"/>
  <c r="DK224" i="19"/>
  <c r="DL224" i="19"/>
  <c r="DM224" i="19"/>
  <c r="DN224" i="19"/>
  <c r="DO224" i="19"/>
  <c r="DP224" i="19"/>
  <c r="DQ224" i="19"/>
  <c r="DR224" i="19"/>
  <c r="DS224" i="19"/>
  <c r="DT224" i="19"/>
  <c r="DU224" i="19"/>
  <c r="DV224" i="19"/>
  <c r="DW224" i="19"/>
  <c r="DX224" i="19"/>
  <c r="DY224" i="19"/>
  <c r="DZ224" i="19"/>
  <c r="EA224" i="19"/>
  <c r="EB224" i="19"/>
  <c r="EC224" i="19"/>
  <c r="ED224" i="19"/>
  <c r="EE224" i="19"/>
  <c r="EF224" i="19"/>
  <c r="EG224" i="19"/>
  <c r="EH224" i="19"/>
  <c r="EI224" i="19"/>
  <c r="EJ224" i="19"/>
  <c r="EK224" i="19"/>
  <c r="EL224" i="19"/>
  <c r="EM224" i="19"/>
  <c r="EN224" i="19"/>
  <c r="EO224" i="19"/>
  <c r="EP224" i="19"/>
  <c r="EQ224" i="19"/>
  <c r="ER224" i="19"/>
  <c r="ES224" i="19"/>
  <c r="ET224" i="19"/>
  <c r="EU224" i="19"/>
  <c r="EV224" i="19"/>
  <c r="EW224" i="19"/>
  <c r="EX224" i="19"/>
  <c r="EY224" i="19"/>
  <c r="EZ224" i="19"/>
  <c r="FA224" i="19"/>
  <c r="FB224" i="19"/>
  <c r="FC224" i="19"/>
  <c r="FD224" i="19"/>
  <c r="FE224" i="19"/>
  <c r="FF224" i="19"/>
  <c r="FG224" i="19"/>
  <c r="FH224" i="19"/>
  <c r="FI224" i="19"/>
  <c r="FJ224" i="19"/>
  <c r="FK224" i="19"/>
  <c r="FL224" i="19"/>
  <c r="FM224" i="19"/>
  <c r="FN224" i="19"/>
  <c r="FO224" i="19"/>
  <c r="FP224" i="19"/>
  <c r="FQ224" i="19"/>
  <c r="FR224" i="19"/>
  <c r="FS224" i="19"/>
  <c r="FT224" i="19"/>
  <c r="FU224" i="19"/>
  <c r="FV224" i="19"/>
  <c r="FW224" i="19"/>
  <c r="FX224" i="19"/>
  <c r="FY224" i="19"/>
  <c r="FZ224" i="19"/>
  <c r="GA224" i="19"/>
  <c r="GB224" i="19"/>
  <c r="GC224" i="19"/>
  <c r="GD224" i="19"/>
  <c r="GE224" i="19"/>
  <c r="GF224" i="19"/>
  <c r="GG224" i="19"/>
  <c r="GH224" i="19"/>
  <c r="GI224" i="19"/>
  <c r="GJ224" i="19"/>
  <c r="GK224" i="19"/>
  <c r="GL224" i="19"/>
  <c r="GM224" i="19"/>
  <c r="GN224" i="19"/>
  <c r="GO224" i="19"/>
  <c r="GP224" i="19"/>
  <c r="GQ224" i="19"/>
  <c r="GR224" i="19"/>
  <c r="GS224" i="19"/>
  <c r="GT224" i="19"/>
  <c r="GU224" i="19"/>
  <c r="GV224" i="19"/>
  <c r="GW224" i="19"/>
  <c r="GX224" i="19"/>
  <c r="GY224" i="19"/>
  <c r="GZ224" i="19"/>
  <c r="HA224" i="19"/>
  <c r="HB224" i="19"/>
  <c r="HC224" i="19"/>
  <c r="HD224" i="19"/>
  <c r="HE224" i="19"/>
  <c r="HF224" i="19"/>
  <c r="HG224" i="19"/>
  <c r="HH224" i="19"/>
  <c r="HI224" i="19"/>
  <c r="HJ224" i="19"/>
  <c r="HK224" i="19"/>
  <c r="HL224" i="19"/>
  <c r="HM224" i="19"/>
  <c r="HN224" i="19"/>
  <c r="HO224" i="19"/>
  <c r="HP224" i="19"/>
  <c r="HQ224" i="19"/>
  <c r="HR224" i="19"/>
  <c r="HS224" i="19"/>
  <c r="HT224" i="19"/>
  <c r="HU224" i="19"/>
  <c r="HV224" i="19"/>
  <c r="HW224" i="19"/>
  <c r="HX224" i="19"/>
  <c r="HY224" i="19"/>
  <c r="HZ224" i="19"/>
  <c r="IA224" i="19"/>
  <c r="IB224" i="19"/>
  <c r="IC224" i="19"/>
  <c r="ID224" i="19"/>
  <c r="IE224" i="19"/>
  <c r="IF224" i="19"/>
  <c r="IG224" i="19"/>
  <c r="IH224" i="19"/>
  <c r="II224" i="19"/>
  <c r="IJ224" i="19"/>
  <c r="IK224" i="19"/>
  <c r="IL224" i="19"/>
  <c r="IM224" i="19"/>
  <c r="IN224" i="19"/>
  <c r="IO224" i="19"/>
  <c r="IP224" i="19"/>
  <c r="IQ224" i="19"/>
  <c r="IR224" i="19"/>
  <c r="IS224" i="19"/>
  <c r="IT224" i="19"/>
  <c r="IU224" i="19"/>
  <c r="IV224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T225" i="19"/>
  <c r="U225" i="19"/>
  <c r="V225" i="19"/>
  <c r="W225" i="19"/>
  <c r="X225" i="19"/>
  <c r="Y225" i="19"/>
  <c r="Z225" i="19"/>
  <c r="AA225" i="19"/>
  <c r="AB225" i="19"/>
  <c r="AC225" i="19"/>
  <c r="AD225" i="19"/>
  <c r="AE225" i="19"/>
  <c r="AF225" i="19"/>
  <c r="AG225" i="19"/>
  <c r="AH225" i="19"/>
  <c r="AI225" i="19"/>
  <c r="AJ225" i="19"/>
  <c r="AK225" i="19"/>
  <c r="AL225" i="19"/>
  <c r="AM225" i="19"/>
  <c r="AN225" i="19"/>
  <c r="AO225" i="19"/>
  <c r="AP225" i="19"/>
  <c r="AQ225" i="19"/>
  <c r="AR225" i="19"/>
  <c r="AS225" i="19"/>
  <c r="AT225" i="19"/>
  <c r="AU225" i="19"/>
  <c r="AV225" i="19"/>
  <c r="AW225" i="19"/>
  <c r="AX225" i="19"/>
  <c r="AY225" i="19"/>
  <c r="AZ225" i="19"/>
  <c r="BA225" i="19"/>
  <c r="BB225" i="19"/>
  <c r="BC225" i="19"/>
  <c r="BD225" i="19"/>
  <c r="BE225" i="19"/>
  <c r="BF225" i="19"/>
  <c r="BG225" i="19"/>
  <c r="BH225" i="19"/>
  <c r="BI225" i="19"/>
  <c r="BJ225" i="19"/>
  <c r="BK225" i="19"/>
  <c r="BL225" i="19"/>
  <c r="BM225" i="19"/>
  <c r="BN225" i="19"/>
  <c r="BO225" i="19"/>
  <c r="BP225" i="19"/>
  <c r="BQ225" i="19"/>
  <c r="BR225" i="19"/>
  <c r="BS225" i="19"/>
  <c r="BT225" i="19"/>
  <c r="BU225" i="19"/>
  <c r="BV225" i="19"/>
  <c r="BW225" i="19"/>
  <c r="BX225" i="19"/>
  <c r="BY225" i="19"/>
  <c r="BZ225" i="19"/>
  <c r="CA225" i="19"/>
  <c r="CB225" i="19"/>
  <c r="CC225" i="19"/>
  <c r="CD225" i="19"/>
  <c r="CE225" i="19"/>
  <c r="CF225" i="19"/>
  <c r="CG225" i="19"/>
  <c r="CH225" i="19"/>
  <c r="CI225" i="19"/>
  <c r="CJ225" i="19"/>
  <c r="CK225" i="19"/>
  <c r="CL225" i="19"/>
  <c r="CM225" i="19"/>
  <c r="CN225" i="19"/>
  <c r="CO225" i="19"/>
  <c r="CP225" i="19"/>
  <c r="CQ225" i="19"/>
  <c r="CR225" i="19"/>
  <c r="CS225" i="19"/>
  <c r="CT225" i="19"/>
  <c r="CU225" i="19"/>
  <c r="CV225" i="19"/>
  <c r="CW225" i="19"/>
  <c r="CX225" i="19"/>
  <c r="CY225" i="19"/>
  <c r="CZ225" i="19"/>
  <c r="DA225" i="19"/>
  <c r="DB225" i="19"/>
  <c r="DC225" i="19"/>
  <c r="DD225" i="19"/>
  <c r="DE225" i="19"/>
  <c r="DF225" i="19"/>
  <c r="DG225" i="19"/>
  <c r="DH225" i="19"/>
  <c r="DI225" i="19"/>
  <c r="DJ225" i="19"/>
  <c r="DK225" i="19"/>
  <c r="DL225" i="19"/>
  <c r="DM225" i="19"/>
  <c r="DN225" i="19"/>
  <c r="DO225" i="19"/>
  <c r="DP225" i="19"/>
  <c r="DQ225" i="19"/>
  <c r="DR225" i="19"/>
  <c r="DS225" i="19"/>
  <c r="DT225" i="19"/>
  <c r="DU225" i="19"/>
  <c r="DV225" i="19"/>
  <c r="DW225" i="19"/>
  <c r="DX225" i="19"/>
  <c r="DY225" i="19"/>
  <c r="DZ225" i="19"/>
  <c r="EA225" i="19"/>
  <c r="EB225" i="19"/>
  <c r="EC225" i="19"/>
  <c r="ED225" i="19"/>
  <c r="EE225" i="19"/>
  <c r="EF225" i="19"/>
  <c r="EG225" i="19"/>
  <c r="EH225" i="19"/>
  <c r="EI225" i="19"/>
  <c r="EJ225" i="19"/>
  <c r="EK225" i="19"/>
  <c r="EL225" i="19"/>
  <c r="EM225" i="19"/>
  <c r="EN225" i="19"/>
  <c r="EO225" i="19"/>
  <c r="EP225" i="19"/>
  <c r="EQ225" i="19"/>
  <c r="ER225" i="19"/>
  <c r="ES225" i="19"/>
  <c r="ET225" i="19"/>
  <c r="EU225" i="19"/>
  <c r="EV225" i="19"/>
  <c r="EW225" i="19"/>
  <c r="EX225" i="19"/>
  <c r="EY225" i="19"/>
  <c r="EZ225" i="19"/>
  <c r="FA225" i="19"/>
  <c r="FB225" i="19"/>
  <c r="FC225" i="19"/>
  <c r="FD225" i="19"/>
  <c r="FE225" i="19"/>
  <c r="FF225" i="19"/>
  <c r="FG225" i="19"/>
  <c r="FH225" i="19"/>
  <c r="FI225" i="19"/>
  <c r="FJ225" i="19"/>
  <c r="FK225" i="19"/>
  <c r="FL225" i="19"/>
  <c r="FM225" i="19"/>
  <c r="FN225" i="19"/>
  <c r="FO225" i="19"/>
  <c r="FP225" i="19"/>
  <c r="FQ225" i="19"/>
  <c r="FR225" i="19"/>
  <c r="FS225" i="19"/>
  <c r="FT225" i="19"/>
  <c r="FU225" i="19"/>
  <c r="FV225" i="19"/>
  <c r="FW225" i="19"/>
  <c r="FX225" i="19"/>
  <c r="FY225" i="19"/>
  <c r="FZ225" i="19"/>
  <c r="GA225" i="19"/>
  <c r="GB225" i="19"/>
  <c r="GC225" i="19"/>
  <c r="GD225" i="19"/>
  <c r="GE225" i="19"/>
  <c r="GF225" i="19"/>
  <c r="GG225" i="19"/>
  <c r="GH225" i="19"/>
  <c r="GI225" i="19"/>
  <c r="GJ225" i="19"/>
  <c r="GK225" i="19"/>
  <c r="GL225" i="19"/>
  <c r="GM225" i="19"/>
  <c r="GN225" i="19"/>
  <c r="GO225" i="19"/>
  <c r="GP225" i="19"/>
  <c r="GQ225" i="19"/>
  <c r="GR225" i="19"/>
  <c r="GS225" i="19"/>
  <c r="GT225" i="19"/>
  <c r="GU225" i="19"/>
  <c r="GV225" i="19"/>
  <c r="GW225" i="19"/>
  <c r="GX225" i="19"/>
  <c r="GY225" i="19"/>
  <c r="GZ225" i="19"/>
  <c r="HA225" i="19"/>
  <c r="HB225" i="19"/>
  <c r="HC225" i="19"/>
  <c r="HD225" i="19"/>
  <c r="HE225" i="19"/>
  <c r="HF225" i="19"/>
  <c r="HG225" i="19"/>
  <c r="HH225" i="19"/>
  <c r="HI225" i="19"/>
  <c r="HJ225" i="19"/>
  <c r="HK225" i="19"/>
  <c r="HL225" i="19"/>
  <c r="HM225" i="19"/>
  <c r="HN225" i="19"/>
  <c r="HO225" i="19"/>
  <c r="HP225" i="19"/>
  <c r="HQ225" i="19"/>
  <c r="HR225" i="19"/>
  <c r="HS225" i="19"/>
  <c r="HT225" i="19"/>
  <c r="HU225" i="19"/>
  <c r="HV225" i="19"/>
  <c r="HW225" i="19"/>
  <c r="HX225" i="19"/>
  <c r="HY225" i="19"/>
  <c r="HZ225" i="19"/>
  <c r="IA225" i="19"/>
  <c r="IB225" i="19"/>
  <c r="IC225" i="19"/>
  <c r="ID225" i="19"/>
  <c r="IE225" i="19"/>
  <c r="IF225" i="19"/>
  <c r="IG225" i="19"/>
  <c r="IH225" i="19"/>
  <c r="II225" i="19"/>
  <c r="IJ225" i="19"/>
  <c r="IK225" i="19"/>
  <c r="IL225" i="19"/>
  <c r="IM225" i="19"/>
  <c r="IN225" i="19"/>
  <c r="IO225" i="19"/>
  <c r="IP225" i="19"/>
  <c r="IQ225" i="19"/>
  <c r="IR225" i="19"/>
  <c r="IS225" i="19"/>
  <c r="IT225" i="19"/>
  <c r="IU225" i="19"/>
  <c r="IV225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T226" i="19"/>
  <c r="U226" i="19"/>
  <c r="V226" i="19"/>
  <c r="W226" i="19"/>
  <c r="X226" i="19"/>
  <c r="Y226" i="19"/>
  <c r="Z226" i="19"/>
  <c r="AA226" i="19"/>
  <c r="AB226" i="19"/>
  <c r="AC226" i="19"/>
  <c r="AD226" i="19"/>
  <c r="AE226" i="19"/>
  <c r="AF226" i="19"/>
  <c r="AG226" i="19"/>
  <c r="AH226" i="19"/>
  <c r="AI226" i="19"/>
  <c r="AJ226" i="19"/>
  <c r="AK226" i="19"/>
  <c r="AL226" i="19"/>
  <c r="AM226" i="19"/>
  <c r="AN226" i="19"/>
  <c r="AO226" i="19"/>
  <c r="AP226" i="19"/>
  <c r="AQ226" i="19"/>
  <c r="AR226" i="19"/>
  <c r="AS226" i="19"/>
  <c r="AT226" i="19"/>
  <c r="AU226" i="19"/>
  <c r="AV226" i="19"/>
  <c r="AW226" i="19"/>
  <c r="AX226" i="19"/>
  <c r="AY226" i="19"/>
  <c r="AZ226" i="19"/>
  <c r="BA226" i="19"/>
  <c r="BB226" i="19"/>
  <c r="BC226" i="19"/>
  <c r="BD226" i="19"/>
  <c r="BE226" i="19"/>
  <c r="BF226" i="19"/>
  <c r="BG226" i="19"/>
  <c r="BH226" i="19"/>
  <c r="BI226" i="19"/>
  <c r="BJ226" i="19"/>
  <c r="BK226" i="19"/>
  <c r="BL226" i="19"/>
  <c r="BM226" i="19"/>
  <c r="BN226" i="19"/>
  <c r="BO226" i="19"/>
  <c r="BP226" i="19"/>
  <c r="BQ226" i="19"/>
  <c r="BR226" i="19"/>
  <c r="BS226" i="19"/>
  <c r="BT226" i="19"/>
  <c r="BU226" i="19"/>
  <c r="BV226" i="19"/>
  <c r="BW226" i="19"/>
  <c r="BX226" i="19"/>
  <c r="BY226" i="19"/>
  <c r="BZ226" i="19"/>
  <c r="CA226" i="19"/>
  <c r="CB226" i="19"/>
  <c r="CC226" i="19"/>
  <c r="CD226" i="19"/>
  <c r="CE226" i="19"/>
  <c r="CF226" i="19"/>
  <c r="CG226" i="19"/>
  <c r="CH226" i="19"/>
  <c r="CI226" i="19"/>
  <c r="CJ226" i="19"/>
  <c r="CK226" i="19"/>
  <c r="CL226" i="19"/>
  <c r="CM226" i="19"/>
  <c r="CN226" i="19"/>
  <c r="CO226" i="19"/>
  <c r="CP226" i="19"/>
  <c r="CQ226" i="19"/>
  <c r="CR226" i="19"/>
  <c r="CS226" i="19"/>
  <c r="CT226" i="19"/>
  <c r="CU226" i="19"/>
  <c r="CV226" i="19"/>
  <c r="CW226" i="19"/>
  <c r="CX226" i="19"/>
  <c r="CY226" i="19"/>
  <c r="CZ226" i="19"/>
  <c r="DA226" i="19"/>
  <c r="DB226" i="19"/>
  <c r="DC226" i="19"/>
  <c r="DD226" i="19"/>
  <c r="DE226" i="19"/>
  <c r="DF226" i="19"/>
  <c r="DG226" i="19"/>
  <c r="DH226" i="19"/>
  <c r="DI226" i="19"/>
  <c r="DJ226" i="19"/>
  <c r="DK226" i="19"/>
  <c r="DL226" i="19"/>
  <c r="DM226" i="19"/>
  <c r="DN226" i="19"/>
  <c r="DO226" i="19"/>
  <c r="DP226" i="19"/>
  <c r="DQ226" i="19"/>
  <c r="DR226" i="19"/>
  <c r="DS226" i="19"/>
  <c r="DT226" i="19"/>
  <c r="DU226" i="19"/>
  <c r="DV226" i="19"/>
  <c r="DW226" i="19"/>
  <c r="DX226" i="19"/>
  <c r="DY226" i="19"/>
  <c r="DZ226" i="19"/>
  <c r="EA226" i="19"/>
  <c r="EB226" i="19"/>
  <c r="EC226" i="19"/>
  <c r="ED226" i="19"/>
  <c r="EE226" i="19"/>
  <c r="EF226" i="19"/>
  <c r="EG226" i="19"/>
  <c r="EH226" i="19"/>
  <c r="EI226" i="19"/>
  <c r="EJ226" i="19"/>
  <c r="EK226" i="19"/>
  <c r="EL226" i="19"/>
  <c r="EM226" i="19"/>
  <c r="EN226" i="19"/>
  <c r="EO226" i="19"/>
  <c r="EP226" i="19"/>
  <c r="EQ226" i="19"/>
  <c r="ER226" i="19"/>
  <c r="ES226" i="19"/>
  <c r="ET226" i="19"/>
  <c r="EU226" i="19"/>
  <c r="EV226" i="19"/>
  <c r="EW226" i="19"/>
  <c r="EX226" i="19"/>
  <c r="EY226" i="19"/>
  <c r="EZ226" i="19"/>
  <c r="FA226" i="19"/>
  <c r="FB226" i="19"/>
  <c r="FC226" i="19"/>
  <c r="FD226" i="19"/>
  <c r="FE226" i="19"/>
  <c r="FF226" i="19"/>
  <c r="FG226" i="19"/>
  <c r="FH226" i="19"/>
  <c r="FI226" i="19"/>
  <c r="FJ226" i="19"/>
  <c r="FK226" i="19"/>
  <c r="FL226" i="19"/>
  <c r="FM226" i="19"/>
  <c r="FN226" i="19"/>
  <c r="FO226" i="19"/>
  <c r="FP226" i="19"/>
  <c r="FQ226" i="19"/>
  <c r="FR226" i="19"/>
  <c r="FS226" i="19"/>
  <c r="FT226" i="19"/>
  <c r="FU226" i="19"/>
  <c r="FV226" i="19"/>
  <c r="FW226" i="19"/>
  <c r="FX226" i="19"/>
  <c r="FY226" i="19"/>
  <c r="FZ226" i="19"/>
  <c r="GA226" i="19"/>
  <c r="GB226" i="19"/>
  <c r="GC226" i="19"/>
  <c r="GD226" i="19"/>
  <c r="GE226" i="19"/>
  <c r="GF226" i="19"/>
  <c r="GG226" i="19"/>
  <c r="GH226" i="19"/>
  <c r="GI226" i="19"/>
  <c r="GJ226" i="19"/>
  <c r="GK226" i="19"/>
  <c r="GL226" i="19"/>
  <c r="GM226" i="19"/>
  <c r="GN226" i="19"/>
  <c r="GO226" i="19"/>
  <c r="GP226" i="19"/>
  <c r="GQ226" i="19"/>
  <c r="GR226" i="19"/>
  <c r="GS226" i="19"/>
  <c r="GT226" i="19"/>
  <c r="GU226" i="19"/>
  <c r="GV226" i="19"/>
  <c r="GW226" i="19"/>
  <c r="GX226" i="19"/>
  <c r="GY226" i="19"/>
  <c r="GZ226" i="19"/>
  <c r="HA226" i="19"/>
  <c r="HB226" i="19"/>
  <c r="HC226" i="19"/>
  <c r="HD226" i="19"/>
  <c r="HE226" i="19"/>
  <c r="HF226" i="19"/>
  <c r="HG226" i="19"/>
  <c r="HH226" i="19"/>
  <c r="HI226" i="19"/>
  <c r="HJ226" i="19"/>
  <c r="HK226" i="19"/>
  <c r="HL226" i="19"/>
  <c r="HM226" i="19"/>
  <c r="HN226" i="19"/>
  <c r="HO226" i="19"/>
  <c r="HP226" i="19"/>
  <c r="HQ226" i="19"/>
  <c r="HR226" i="19"/>
  <c r="HS226" i="19"/>
  <c r="HT226" i="19"/>
  <c r="HU226" i="19"/>
  <c r="HV226" i="19"/>
  <c r="HW226" i="19"/>
  <c r="HX226" i="19"/>
  <c r="HY226" i="19"/>
  <c r="HZ226" i="19"/>
  <c r="IA226" i="19"/>
  <c r="IB226" i="19"/>
  <c r="IC226" i="19"/>
  <c r="ID226" i="19"/>
  <c r="IE226" i="19"/>
  <c r="IF226" i="19"/>
  <c r="IG226" i="19"/>
  <c r="IH226" i="19"/>
  <c r="II226" i="19"/>
  <c r="IJ226" i="19"/>
  <c r="IK226" i="19"/>
  <c r="IL226" i="19"/>
  <c r="IM226" i="19"/>
  <c r="IN226" i="19"/>
  <c r="IO226" i="19"/>
  <c r="IP226" i="19"/>
  <c r="IQ226" i="19"/>
  <c r="IR226" i="19"/>
  <c r="IS226" i="19"/>
  <c r="IT226" i="19"/>
  <c r="IU226" i="19"/>
  <c r="IV226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T227" i="19"/>
  <c r="U227" i="19"/>
  <c r="V227" i="19"/>
  <c r="W227" i="19"/>
  <c r="X227" i="19"/>
  <c r="Y227" i="19"/>
  <c r="Z227" i="19"/>
  <c r="AA227" i="19"/>
  <c r="AB227" i="19"/>
  <c r="AC227" i="19"/>
  <c r="AD227" i="19"/>
  <c r="AE227" i="19"/>
  <c r="AF227" i="19"/>
  <c r="AG227" i="19"/>
  <c r="AH227" i="19"/>
  <c r="AI227" i="19"/>
  <c r="AJ227" i="19"/>
  <c r="AK227" i="19"/>
  <c r="AL227" i="19"/>
  <c r="AM227" i="19"/>
  <c r="AN227" i="19"/>
  <c r="AO227" i="19"/>
  <c r="AP227" i="19"/>
  <c r="AQ227" i="19"/>
  <c r="AR227" i="19"/>
  <c r="AS227" i="19"/>
  <c r="AT227" i="19"/>
  <c r="AU227" i="19"/>
  <c r="AV227" i="19"/>
  <c r="AW227" i="19"/>
  <c r="AX227" i="19"/>
  <c r="AY227" i="19"/>
  <c r="AZ227" i="19"/>
  <c r="BA227" i="19"/>
  <c r="BB227" i="19"/>
  <c r="BC227" i="19"/>
  <c r="BD227" i="19"/>
  <c r="BE227" i="19"/>
  <c r="BF227" i="19"/>
  <c r="BG227" i="19"/>
  <c r="BH227" i="19"/>
  <c r="BI227" i="19"/>
  <c r="BJ227" i="19"/>
  <c r="BK227" i="19"/>
  <c r="BL227" i="19"/>
  <c r="BM227" i="19"/>
  <c r="BN227" i="19"/>
  <c r="BO227" i="19"/>
  <c r="BP227" i="19"/>
  <c r="BQ227" i="19"/>
  <c r="BR227" i="19"/>
  <c r="BS227" i="19"/>
  <c r="BT227" i="19"/>
  <c r="BU227" i="19"/>
  <c r="BV227" i="19"/>
  <c r="BW227" i="19"/>
  <c r="BX227" i="19"/>
  <c r="BY227" i="19"/>
  <c r="BZ227" i="19"/>
  <c r="CA227" i="19"/>
  <c r="CB227" i="19"/>
  <c r="CC227" i="19"/>
  <c r="CD227" i="19"/>
  <c r="CE227" i="19"/>
  <c r="CF227" i="19"/>
  <c r="CG227" i="19"/>
  <c r="CH227" i="19"/>
  <c r="CI227" i="19"/>
  <c r="CJ227" i="19"/>
  <c r="CK227" i="19"/>
  <c r="CL227" i="19"/>
  <c r="CM227" i="19"/>
  <c r="CN227" i="19"/>
  <c r="CO227" i="19"/>
  <c r="CP227" i="19"/>
  <c r="CQ227" i="19"/>
  <c r="CR227" i="19"/>
  <c r="CS227" i="19"/>
  <c r="CT227" i="19"/>
  <c r="CU227" i="19"/>
  <c r="CV227" i="19"/>
  <c r="CW227" i="19"/>
  <c r="CX227" i="19"/>
  <c r="CY227" i="19"/>
  <c r="CZ227" i="19"/>
  <c r="DA227" i="19"/>
  <c r="DB227" i="19"/>
  <c r="DC227" i="19"/>
  <c r="DD227" i="19"/>
  <c r="DE227" i="19"/>
  <c r="DF227" i="19"/>
  <c r="DG227" i="19"/>
  <c r="DH227" i="19"/>
  <c r="DI227" i="19"/>
  <c r="DJ227" i="19"/>
  <c r="DK227" i="19"/>
  <c r="DL227" i="19"/>
  <c r="DM227" i="19"/>
  <c r="DN227" i="19"/>
  <c r="DO227" i="19"/>
  <c r="DP227" i="19"/>
  <c r="DQ227" i="19"/>
  <c r="DR227" i="19"/>
  <c r="DS227" i="19"/>
  <c r="DT227" i="19"/>
  <c r="DU227" i="19"/>
  <c r="DV227" i="19"/>
  <c r="DW227" i="19"/>
  <c r="DX227" i="19"/>
  <c r="DY227" i="19"/>
  <c r="DZ227" i="19"/>
  <c r="EA227" i="19"/>
  <c r="EB227" i="19"/>
  <c r="EC227" i="19"/>
  <c r="ED227" i="19"/>
  <c r="EE227" i="19"/>
  <c r="EF227" i="19"/>
  <c r="EG227" i="19"/>
  <c r="EH227" i="19"/>
  <c r="EI227" i="19"/>
  <c r="EJ227" i="19"/>
  <c r="EK227" i="19"/>
  <c r="EL227" i="19"/>
  <c r="EM227" i="19"/>
  <c r="EN227" i="19"/>
  <c r="EO227" i="19"/>
  <c r="EP227" i="19"/>
  <c r="EQ227" i="19"/>
  <c r="ER227" i="19"/>
  <c r="ES227" i="19"/>
  <c r="ET227" i="19"/>
  <c r="EU227" i="19"/>
  <c r="EV227" i="19"/>
  <c r="EW227" i="19"/>
  <c r="EX227" i="19"/>
  <c r="EY227" i="19"/>
  <c r="EZ227" i="19"/>
  <c r="FA227" i="19"/>
  <c r="FB227" i="19"/>
  <c r="FC227" i="19"/>
  <c r="FD227" i="19"/>
  <c r="FE227" i="19"/>
  <c r="FF227" i="19"/>
  <c r="FG227" i="19"/>
  <c r="FH227" i="19"/>
  <c r="FI227" i="19"/>
  <c r="FJ227" i="19"/>
  <c r="FK227" i="19"/>
  <c r="FL227" i="19"/>
  <c r="FM227" i="19"/>
  <c r="FN227" i="19"/>
  <c r="FO227" i="19"/>
  <c r="FP227" i="19"/>
  <c r="FQ227" i="19"/>
  <c r="FR227" i="19"/>
  <c r="FS227" i="19"/>
  <c r="FT227" i="19"/>
  <c r="FU227" i="19"/>
  <c r="FV227" i="19"/>
  <c r="FW227" i="19"/>
  <c r="FX227" i="19"/>
  <c r="FY227" i="19"/>
  <c r="FZ227" i="19"/>
  <c r="GA227" i="19"/>
  <c r="GB227" i="19"/>
  <c r="GC227" i="19"/>
  <c r="GD227" i="19"/>
  <c r="GE227" i="19"/>
  <c r="GF227" i="19"/>
  <c r="GG227" i="19"/>
  <c r="GH227" i="19"/>
  <c r="GI227" i="19"/>
  <c r="GJ227" i="19"/>
  <c r="GK227" i="19"/>
  <c r="GL227" i="19"/>
  <c r="GM227" i="19"/>
  <c r="GN227" i="19"/>
  <c r="GO227" i="19"/>
  <c r="GP227" i="19"/>
  <c r="GQ227" i="19"/>
  <c r="GR227" i="19"/>
  <c r="GS227" i="19"/>
  <c r="GT227" i="19"/>
  <c r="GU227" i="19"/>
  <c r="GV227" i="19"/>
  <c r="GW227" i="19"/>
  <c r="GX227" i="19"/>
  <c r="GY227" i="19"/>
  <c r="GZ227" i="19"/>
  <c r="HA227" i="19"/>
  <c r="HB227" i="19"/>
  <c r="HC227" i="19"/>
  <c r="HD227" i="19"/>
  <c r="HE227" i="19"/>
  <c r="HF227" i="19"/>
  <c r="HG227" i="19"/>
  <c r="HH227" i="19"/>
  <c r="HI227" i="19"/>
  <c r="HJ227" i="19"/>
  <c r="HK227" i="19"/>
  <c r="HL227" i="19"/>
  <c r="HM227" i="19"/>
  <c r="HN227" i="19"/>
  <c r="HO227" i="19"/>
  <c r="HP227" i="19"/>
  <c r="HQ227" i="19"/>
  <c r="HR227" i="19"/>
  <c r="HS227" i="19"/>
  <c r="HT227" i="19"/>
  <c r="HU227" i="19"/>
  <c r="HV227" i="19"/>
  <c r="HW227" i="19"/>
  <c r="HX227" i="19"/>
  <c r="HY227" i="19"/>
  <c r="HZ227" i="19"/>
  <c r="IA227" i="19"/>
  <c r="IB227" i="19"/>
  <c r="IC227" i="19"/>
  <c r="ID227" i="19"/>
  <c r="IE227" i="19"/>
  <c r="IF227" i="19"/>
  <c r="IG227" i="19"/>
  <c r="IH227" i="19"/>
  <c r="II227" i="19"/>
  <c r="IJ227" i="19"/>
  <c r="IK227" i="19"/>
  <c r="IL227" i="19"/>
  <c r="IM227" i="19"/>
  <c r="IN227" i="19"/>
  <c r="IO227" i="19"/>
  <c r="IP227" i="19"/>
  <c r="IQ227" i="19"/>
  <c r="IR227" i="19"/>
  <c r="IS227" i="19"/>
  <c r="IT227" i="19"/>
  <c r="IU227" i="19"/>
  <c r="IV227" i="19"/>
  <c r="F228" i="19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T228" i="19"/>
  <c r="U228" i="19"/>
  <c r="V228" i="19"/>
  <c r="W228" i="19"/>
  <c r="X228" i="19"/>
  <c r="Y228" i="19"/>
  <c r="Z228" i="19"/>
  <c r="AA228" i="19"/>
  <c r="AB228" i="19"/>
  <c r="AC228" i="19"/>
  <c r="AD228" i="19"/>
  <c r="AE228" i="19"/>
  <c r="AF228" i="19"/>
  <c r="AG228" i="19"/>
  <c r="AH228" i="19"/>
  <c r="AI228" i="19"/>
  <c r="AJ228" i="19"/>
  <c r="AK228" i="19"/>
  <c r="AL228" i="19"/>
  <c r="AM228" i="19"/>
  <c r="AN228" i="19"/>
  <c r="AO228" i="19"/>
  <c r="AP228" i="19"/>
  <c r="AQ228" i="19"/>
  <c r="AR228" i="19"/>
  <c r="AS228" i="19"/>
  <c r="AT228" i="19"/>
  <c r="AU228" i="19"/>
  <c r="AV228" i="19"/>
  <c r="AW228" i="19"/>
  <c r="AX228" i="19"/>
  <c r="AY228" i="19"/>
  <c r="AZ228" i="19"/>
  <c r="BA228" i="19"/>
  <c r="BB228" i="19"/>
  <c r="BC228" i="19"/>
  <c r="BD228" i="19"/>
  <c r="BE228" i="19"/>
  <c r="BF228" i="19"/>
  <c r="BG228" i="19"/>
  <c r="BH228" i="19"/>
  <c r="BI228" i="19"/>
  <c r="BJ228" i="19"/>
  <c r="BK228" i="19"/>
  <c r="BL228" i="19"/>
  <c r="BM228" i="19"/>
  <c r="BN228" i="19"/>
  <c r="BO228" i="19"/>
  <c r="BP228" i="19"/>
  <c r="BQ228" i="19"/>
  <c r="BR228" i="19"/>
  <c r="BS228" i="19"/>
  <c r="BT228" i="19"/>
  <c r="BU228" i="19"/>
  <c r="BV228" i="19"/>
  <c r="BW228" i="19"/>
  <c r="BX228" i="19"/>
  <c r="BY228" i="19"/>
  <c r="BZ228" i="19"/>
  <c r="CA228" i="19"/>
  <c r="CB228" i="19"/>
  <c r="CC228" i="19"/>
  <c r="CD228" i="19"/>
  <c r="CE228" i="19"/>
  <c r="CF228" i="19"/>
  <c r="CG228" i="19"/>
  <c r="CH228" i="19"/>
  <c r="CI228" i="19"/>
  <c r="CJ228" i="19"/>
  <c r="CK228" i="19"/>
  <c r="CL228" i="19"/>
  <c r="CM228" i="19"/>
  <c r="CN228" i="19"/>
  <c r="CO228" i="19"/>
  <c r="CP228" i="19"/>
  <c r="CQ228" i="19"/>
  <c r="CR228" i="19"/>
  <c r="CS228" i="19"/>
  <c r="CT228" i="19"/>
  <c r="CU228" i="19"/>
  <c r="CV228" i="19"/>
  <c r="CW228" i="19"/>
  <c r="CX228" i="19"/>
  <c r="CY228" i="19"/>
  <c r="CZ228" i="19"/>
  <c r="DA228" i="19"/>
  <c r="DB228" i="19"/>
  <c r="DC228" i="19"/>
  <c r="DD228" i="19"/>
  <c r="DE228" i="19"/>
  <c r="DF228" i="19"/>
  <c r="DG228" i="19"/>
  <c r="DH228" i="19"/>
  <c r="DI228" i="19"/>
  <c r="DJ228" i="19"/>
  <c r="DK228" i="19"/>
  <c r="DL228" i="19"/>
  <c r="DM228" i="19"/>
  <c r="DN228" i="19"/>
  <c r="DO228" i="19"/>
  <c r="DP228" i="19"/>
  <c r="DQ228" i="19"/>
  <c r="DR228" i="19"/>
  <c r="DS228" i="19"/>
  <c r="DT228" i="19"/>
  <c r="DU228" i="19"/>
  <c r="DV228" i="19"/>
  <c r="DW228" i="19"/>
  <c r="DX228" i="19"/>
  <c r="DY228" i="19"/>
  <c r="DZ228" i="19"/>
  <c r="EA228" i="19"/>
  <c r="EB228" i="19"/>
  <c r="EC228" i="19"/>
  <c r="ED228" i="19"/>
  <c r="EE228" i="19"/>
  <c r="EF228" i="19"/>
  <c r="EG228" i="19"/>
  <c r="EH228" i="19"/>
  <c r="EI228" i="19"/>
  <c r="EJ228" i="19"/>
  <c r="EK228" i="19"/>
  <c r="EL228" i="19"/>
  <c r="EM228" i="19"/>
  <c r="EN228" i="19"/>
  <c r="EO228" i="19"/>
  <c r="EP228" i="19"/>
  <c r="EQ228" i="19"/>
  <c r="ER228" i="19"/>
  <c r="ES228" i="19"/>
  <c r="ET228" i="19"/>
  <c r="EU228" i="19"/>
  <c r="EV228" i="19"/>
  <c r="EW228" i="19"/>
  <c r="EX228" i="19"/>
  <c r="EY228" i="19"/>
  <c r="EZ228" i="19"/>
  <c r="FA228" i="19"/>
  <c r="FB228" i="19"/>
  <c r="FC228" i="19"/>
  <c r="FD228" i="19"/>
  <c r="FE228" i="19"/>
  <c r="FF228" i="19"/>
  <c r="FG228" i="19"/>
  <c r="FH228" i="19"/>
  <c r="FI228" i="19"/>
  <c r="FJ228" i="19"/>
  <c r="FK228" i="19"/>
  <c r="FL228" i="19"/>
  <c r="FM228" i="19"/>
  <c r="FN228" i="19"/>
  <c r="FO228" i="19"/>
  <c r="FP228" i="19"/>
  <c r="FQ228" i="19"/>
  <c r="FR228" i="19"/>
  <c r="FS228" i="19"/>
  <c r="FT228" i="19"/>
  <c r="FU228" i="19"/>
  <c r="FV228" i="19"/>
  <c r="FW228" i="19"/>
  <c r="FX228" i="19"/>
  <c r="FY228" i="19"/>
  <c r="FZ228" i="19"/>
  <c r="GA228" i="19"/>
  <c r="GB228" i="19"/>
  <c r="GC228" i="19"/>
  <c r="GD228" i="19"/>
  <c r="GE228" i="19"/>
  <c r="GF228" i="19"/>
  <c r="GG228" i="19"/>
  <c r="GH228" i="19"/>
  <c r="GI228" i="19"/>
  <c r="GJ228" i="19"/>
  <c r="GK228" i="19"/>
  <c r="GL228" i="19"/>
  <c r="GM228" i="19"/>
  <c r="GN228" i="19"/>
  <c r="GO228" i="19"/>
  <c r="GP228" i="19"/>
  <c r="GQ228" i="19"/>
  <c r="GR228" i="19"/>
  <c r="GS228" i="19"/>
  <c r="GT228" i="19"/>
  <c r="GU228" i="19"/>
  <c r="GV228" i="19"/>
  <c r="GW228" i="19"/>
  <c r="GX228" i="19"/>
  <c r="GY228" i="19"/>
  <c r="GZ228" i="19"/>
  <c r="HA228" i="19"/>
  <c r="HB228" i="19"/>
  <c r="HC228" i="19"/>
  <c r="HD228" i="19"/>
  <c r="HE228" i="19"/>
  <c r="HF228" i="19"/>
  <c r="HG228" i="19"/>
  <c r="HH228" i="19"/>
  <c r="HI228" i="19"/>
  <c r="HJ228" i="19"/>
  <c r="HK228" i="19"/>
  <c r="HL228" i="19"/>
  <c r="HM228" i="19"/>
  <c r="HN228" i="19"/>
  <c r="HO228" i="19"/>
  <c r="HP228" i="19"/>
  <c r="HQ228" i="19"/>
  <c r="HR228" i="19"/>
  <c r="HS228" i="19"/>
  <c r="HT228" i="19"/>
  <c r="HU228" i="19"/>
  <c r="HV228" i="19"/>
  <c r="HW228" i="19"/>
  <c r="HX228" i="19"/>
  <c r="HY228" i="19"/>
  <c r="HZ228" i="19"/>
  <c r="IA228" i="19"/>
  <c r="IB228" i="19"/>
  <c r="IC228" i="19"/>
  <c r="ID228" i="19"/>
  <c r="IE228" i="19"/>
  <c r="IF228" i="19"/>
  <c r="IG228" i="19"/>
  <c r="IH228" i="19"/>
  <c r="II228" i="19"/>
  <c r="IJ228" i="19"/>
  <c r="IK228" i="19"/>
  <c r="IL228" i="19"/>
  <c r="IM228" i="19"/>
  <c r="IN228" i="19"/>
  <c r="IO228" i="19"/>
  <c r="IP228" i="19"/>
  <c r="IQ228" i="19"/>
  <c r="IR228" i="19"/>
  <c r="IS228" i="19"/>
  <c r="IT228" i="19"/>
  <c r="IU228" i="19"/>
  <c r="IV228" i="19"/>
  <c r="F229" i="19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X229" i="19"/>
  <c r="Y229" i="19"/>
  <c r="Z229" i="19"/>
  <c r="AA229" i="19"/>
  <c r="AB229" i="19"/>
  <c r="AC229" i="19"/>
  <c r="AD229" i="19"/>
  <c r="AE229" i="19"/>
  <c r="AF229" i="19"/>
  <c r="AG229" i="19"/>
  <c r="AH229" i="19"/>
  <c r="AI229" i="19"/>
  <c r="AJ229" i="19"/>
  <c r="AK229" i="19"/>
  <c r="AL229" i="19"/>
  <c r="AM229" i="19"/>
  <c r="AN229" i="19"/>
  <c r="AO229" i="19"/>
  <c r="AP229" i="19"/>
  <c r="AQ229" i="19"/>
  <c r="AR229" i="19"/>
  <c r="AS229" i="19"/>
  <c r="AT229" i="19"/>
  <c r="AU229" i="19"/>
  <c r="AV229" i="19"/>
  <c r="AW229" i="19"/>
  <c r="AX229" i="19"/>
  <c r="AY229" i="19"/>
  <c r="AZ229" i="19"/>
  <c r="BA229" i="19"/>
  <c r="BB229" i="19"/>
  <c r="BC229" i="19"/>
  <c r="BD229" i="19"/>
  <c r="BE229" i="19"/>
  <c r="BF229" i="19"/>
  <c r="BG229" i="19"/>
  <c r="BH229" i="19"/>
  <c r="BI229" i="19"/>
  <c r="BJ229" i="19"/>
  <c r="BK229" i="19"/>
  <c r="BL229" i="19"/>
  <c r="BM229" i="19"/>
  <c r="BN229" i="19"/>
  <c r="BO229" i="19"/>
  <c r="BP229" i="19"/>
  <c r="BQ229" i="19"/>
  <c r="BR229" i="19"/>
  <c r="BS229" i="19"/>
  <c r="BT229" i="19"/>
  <c r="BU229" i="19"/>
  <c r="BV229" i="19"/>
  <c r="BW229" i="19"/>
  <c r="BX229" i="19"/>
  <c r="BY229" i="19"/>
  <c r="BZ229" i="19"/>
  <c r="CA229" i="19"/>
  <c r="CB229" i="19"/>
  <c r="CC229" i="19"/>
  <c r="CD229" i="19"/>
  <c r="CE229" i="19"/>
  <c r="CF229" i="19"/>
  <c r="CG229" i="19"/>
  <c r="CH229" i="19"/>
  <c r="CI229" i="19"/>
  <c r="CJ229" i="19"/>
  <c r="CK229" i="19"/>
  <c r="CL229" i="19"/>
  <c r="CM229" i="19"/>
  <c r="CN229" i="19"/>
  <c r="CO229" i="19"/>
  <c r="CP229" i="19"/>
  <c r="CQ229" i="19"/>
  <c r="CR229" i="19"/>
  <c r="CS229" i="19"/>
  <c r="CT229" i="19"/>
  <c r="CU229" i="19"/>
  <c r="CV229" i="19"/>
  <c r="CW229" i="19"/>
  <c r="CX229" i="19"/>
  <c r="CY229" i="19"/>
  <c r="CZ229" i="19"/>
  <c r="DA229" i="19"/>
  <c r="DB229" i="19"/>
  <c r="DC229" i="19"/>
  <c r="DD229" i="19"/>
  <c r="DE229" i="19"/>
  <c r="DF229" i="19"/>
  <c r="DG229" i="19"/>
  <c r="DH229" i="19"/>
  <c r="DI229" i="19"/>
  <c r="DJ229" i="19"/>
  <c r="DK229" i="19"/>
  <c r="DL229" i="19"/>
  <c r="DM229" i="19"/>
  <c r="DN229" i="19"/>
  <c r="DO229" i="19"/>
  <c r="DP229" i="19"/>
  <c r="DQ229" i="19"/>
  <c r="DR229" i="19"/>
  <c r="DS229" i="19"/>
  <c r="DT229" i="19"/>
  <c r="DU229" i="19"/>
  <c r="DV229" i="19"/>
  <c r="DW229" i="19"/>
  <c r="DX229" i="19"/>
  <c r="DY229" i="19"/>
  <c r="DZ229" i="19"/>
  <c r="EA229" i="19"/>
  <c r="EB229" i="19"/>
  <c r="EC229" i="19"/>
  <c r="ED229" i="19"/>
  <c r="EE229" i="19"/>
  <c r="EF229" i="19"/>
  <c r="EG229" i="19"/>
  <c r="EH229" i="19"/>
  <c r="EI229" i="19"/>
  <c r="EJ229" i="19"/>
  <c r="EK229" i="19"/>
  <c r="EL229" i="19"/>
  <c r="EM229" i="19"/>
  <c r="EN229" i="19"/>
  <c r="EO229" i="19"/>
  <c r="EP229" i="19"/>
  <c r="EQ229" i="19"/>
  <c r="ER229" i="19"/>
  <c r="ES229" i="19"/>
  <c r="ET229" i="19"/>
  <c r="EU229" i="19"/>
  <c r="EV229" i="19"/>
  <c r="EW229" i="19"/>
  <c r="EX229" i="19"/>
  <c r="EY229" i="19"/>
  <c r="EZ229" i="19"/>
  <c r="FA229" i="19"/>
  <c r="FB229" i="19"/>
  <c r="FC229" i="19"/>
  <c r="FD229" i="19"/>
  <c r="FE229" i="19"/>
  <c r="FF229" i="19"/>
  <c r="FG229" i="19"/>
  <c r="FH229" i="19"/>
  <c r="FI229" i="19"/>
  <c r="FJ229" i="19"/>
  <c r="FK229" i="19"/>
  <c r="FL229" i="19"/>
  <c r="FM229" i="19"/>
  <c r="FN229" i="19"/>
  <c r="FO229" i="19"/>
  <c r="FP229" i="19"/>
  <c r="FQ229" i="19"/>
  <c r="FR229" i="19"/>
  <c r="FS229" i="19"/>
  <c r="FT229" i="19"/>
  <c r="FU229" i="19"/>
  <c r="FV229" i="19"/>
  <c r="FW229" i="19"/>
  <c r="FX229" i="19"/>
  <c r="FY229" i="19"/>
  <c r="FZ229" i="19"/>
  <c r="GA229" i="19"/>
  <c r="GB229" i="19"/>
  <c r="GC229" i="19"/>
  <c r="GD229" i="19"/>
  <c r="GE229" i="19"/>
  <c r="GF229" i="19"/>
  <c r="GG229" i="19"/>
  <c r="GH229" i="19"/>
  <c r="GI229" i="19"/>
  <c r="GJ229" i="19"/>
  <c r="GK229" i="19"/>
  <c r="GL229" i="19"/>
  <c r="GM229" i="19"/>
  <c r="GN229" i="19"/>
  <c r="GO229" i="19"/>
  <c r="GP229" i="19"/>
  <c r="GQ229" i="19"/>
  <c r="GR229" i="19"/>
  <c r="GS229" i="19"/>
  <c r="GT229" i="19"/>
  <c r="GU229" i="19"/>
  <c r="GV229" i="19"/>
  <c r="GW229" i="19"/>
  <c r="GX229" i="19"/>
  <c r="GY229" i="19"/>
  <c r="GZ229" i="19"/>
  <c r="HA229" i="19"/>
  <c r="HB229" i="19"/>
  <c r="HC229" i="19"/>
  <c r="HD229" i="19"/>
  <c r="HE229" i="19"/>
  <c r="HF229" i="19"/>
  <c r="HG229" i="19"/>
  <c r="HH229" i="19"/>
  <c r="HI229" i="19"/>
  <c r="HJ229" i="19"/>
  <c r="HK229" i="19"/>
  <c r="HL229" i="19"/>
  <c r="HM229" i="19"/>
  <c r="HN229" i="19"/>
  <c r="HO229" i="19"/>
  <c r="HP229" i="19"/>
  <c r="HQ229" i="19"/>
  <c r="HR229" i="19"/>
  <c r="HS229" i="19"/>
  <c r="HT229" i="19"/>
  <c r="HU229" i="19"/>
  <c r="HV229" i="19"/>
  <c r="HW229" i="19"/>
  <c r="HX229" i="19"/>
  <c r="HY229" i="19"/>
  <c r="HZ229" i="19"/>
  <c r="IA229" i="19"/>
  <c r="IB229" i="19"/>
  <c r="IC229" i="19"/>
  <c r="ID229" i="19"/>
  <c r="IE229" i="19"/>
  <c r="IF229" i="19"/>
  <c r="IG229" i="19"/>
  <c r="IH229" i="19"/>
  <c r="II229" i="19"/>
  <c r="IJ229" i="19"/>
  <c r="IK229" i="19"/>
  <c r="IL229" i="19"/>
  <c r="IM229" i="19"/>
  <c r="IN229" i="19"/>
  <c r="IO229" i="19"/>
  <c r="IP229" i="19"/>
  <c r="IQ229" i="19"/>
  <c r="IR229" i="19"/>
  <c r="IS229" i="19"/>
  <c r="IT229" i="19"/>
  <c r="IU229" i="19"/>
  <c r="IV229" i="19"/>
  <c r="F230" i="19"/>
  <c r="G230" i="19"/>
  <c r="H230" i="19"/>
  <c r="I230" i="19"/>
  <c r="J230" i="19"/>
  <c r="K230" i="19"/>
  <c r="L230" i="19"/>
  <c r="M230" i="19"/>
  <c r="N230" i="19"/>
  <c r="O230" i="19"/>
  <c r="P230" i="19"/>
  <c r="Q230" i="19"/>
  <c r="R230" i="19"/>
  <c r="S230" i="19"/>
  <c r="T230" i="19"/>
  <c r="U230" i="19"/>
  <c r="V230" i="19"/>
  <c r="W230" i="19"/>
  <c r="X230" i="19"/>
  <c r="Y230" i="19"/>
  <c r="Z230" i="19"/>
  <c r="AA230" i="19"/>
  <c r="AB230" i="19"/>
  <c r="AC230" i="19"/>
  <c r="AD230" i="19"/>
  <c r="AE230" i="19"/>
  <c r="AF230" i="19"/>
  <c r="AG230" i="19"/>
  <c r="AH230" i="19"/>
  <c r="AI230" i="19"/>
  <c r="AJ230" i="19"/>
  <c r="AK230" i="19"/>
  <c r="AL230" i="19"/>
  <c r="AM230" i="19"/>
  <c r="AN230" i="19"/>
  <c r="AO230" i="19"/>
  <c r="AP230" i="19"/>
  <c r="AQ230" i="19"/>
  <c r="AR230" i="19"/>
  <c r="AS230" i="19"/>
  <c r="AT230" i="19"/>
  <c r="AU230" i="19"/>
  <c r="AV230" i="19"/>
  <c r="AW230" i="19"/>
  <c r="AX230" i="19"/>
  <c r="AY230" i="19"/>
  <c r="AZ230" i="19"/>
  <c r="BA230" i="19"/>
  <c r="BB230" i="19"/>
  <c r="BC230" i="19"/>
  <c r="BD230" i="19"/>
  <c r="BE230" i="19"/>
  <c r="BF230" i="19"/>
  <c r="BG230" i="19"/>
  <c r="BH230" i="19"/>
  <c r="BI230" i="19"/>
  <c r="BJ230" i="19"/>
  <c r="BK230" i="19"/>
  <c r="BL230" i="19"/>
  <c r="BM230" i="19"/>
  <c r="BN230" i="19"/>
  <c r="BO230" i="19"/>
  <c r="BP230" i="19"/>
  <c r="BQ230" i="19"/>
  <c r="BR230" i="19"/>
  <c r="BS230" i="19"/>
  <c r="BT230" i="19"/>
  <c r="BU230" i="19"/>
  <c r="BV230" i="19"/>
  <c r="BW230" i="19"/>
  <c r="BX230" i="19"/>
  <c r="BY230" i="19"/>
  <c r="BZ230" i="19"/>
  <c r="CA230" i="19"/>
  <c r="CB230" i="19"/>
  <c r="CC230" i="19"/>
  <c r="CD230" i="19"/>
  <c r="CE230" i="19"/>
  <c r="CF230" i="19"/>
  <c r="CG230" i="19"/>
  <c r="CH230" i="19"/>
  <c r="CI230" i="19"/>
  <c r="CJ230" i="19"/>
  <c r="CK230" i="19"/>
  <c r="CL230" i="19"/>
  <c r="CM230" i="19"/>
  <c r="CN230" i="19"/>
  <c r="CO230" i="19"/>
  <c r="CP230" i="19"/>
  <c r="CQ230" i="19"/>
  <c r="CR230" i="19"/>
  <c r="CS230" i="19"/>
  <c r="CT230" i="19"/>
  <c r="CU230" i="19"/>
  <c r="CV230" i="19"/>
  <c r="CW230" i="19"/>
  <c r="CX230" i="19"/>
  <c r="CY230" i="19"/>
  <c r="CZ230" i="19"/>
  <c r="DA230" i="19"/>
  <c r="DB230" i="19"/>
  <c r="DC230" i="19"/>
  <c r="DD230" i="19"/>
  <c r="DE230" i="19"/>
  <c r="DF230" i="19"/>
  <c r="DG230" i="19"/>
  <c r="DH230" i="19"/>
  <c r="DI230" i="19"/>
  <c r="DJ230" i="19"/>
  <c r="DK230" i="19"/>
  <c r="DL230" i="19"/>
  <c r="DM230" i="19"/>
  <c r="DN230" i="19"/>
  <c r="DO230" i="19"/>
  <c r="DP230" i="19"/>
  <c r="DQ230" i="19"/>
  <c r="DR230" i="19"/>
  <c r="DS230" i="19"/>
  <c r="DT230" i="19"/>
  <c r="DU230" i="19"/>
  <c r="DV230" i="19"/>
  <c r="DW230" i="19"/>
  <c r="DX230" i="19"/>
  <c r="DY230" i="19"/>
  <c r="DZ230" i="19"/>
  <c r="EA230" i="19"/>
  <c r="EB230" i="19"/>
  <c r="EC230" i="19"/>
  <c r="ED230" i="19"/>
  <c r="EE230" i="19"/>
  <c r="EF230" i="19"/>
  <c r="EG230" i="19"/>
  <c r="EH230" i="19"/>
  <c r="EI230" i="19"/>
  <c r="EJ230" i="19"/>
  <c r="EK230" i="19"/>
  <c r="EL230" i="19"/>
  <c r="EM230" i="19"/>
  <c r="EN230" i="19"/>
  <c r="EO230" i="19"/>
  <c r="EP230" i="19"/>
  <c r="EQ230" i="19"/>
  <c r="ER230" i="19"/>
  <c r="ES230" i="19"/>
  <c r="ET230" i="19"/>
  <c r="EU230" i="19"/>
  <c r="EV230" i="19"/>
  <c r="EW230" i="19"/>
  <c r="EX230" i="19"/>
  <c r="EY230" i="19"/>
  <c r="EZ230" i="19"/>
  <c r="FA230" i="19"/>
  <c r="FB230" i="19"/>
  <c r="FC230" i="19"/>
  <c r="FD230" i="19"/>
  <c r="FE230" i="19"/>
  <c r="FF230" i="19"/>
  <c r="FG230" i="19"/>
  <c r="FH230" i="19"/>
  <c r="FI230" i="19"/>
  <c r="FJ230" i="19"/>
  <c r="FK230" i="19"/>
  <c r="FL230" i="19"/>
  <c r="FM230" i="19"/>
  <c r="FN230" i="19"/>
  <c r="FO230" i="19"/>
  <c r="FP230" i="19"/>
  <c r="FQ230" i="19"/>
  <c r="FR230" i="19"/>
  <c r="FS230" i="19"/>
  <c r="FT230" i="19"/>
  <c r="FU230" i="19"/>
  <c r="FV230" i="19"/>
  <c r="FW230" i="19"/>
  <c r="FX230" i="19"/>
  <c r="FY230" i="19"/>
  <c r="FZ230" i="19"/>
  <c r="GA230" i="19"/>
  <c r="GB230" i="19"/>
  <c r="GC230" i="19"/>
  <c r="GD230" i="19"/>
  <c r="GE230" i="19"/>
  <c r="GF230" i="19"/>
  <c r="GG230" i="19"/>
  <c r="GH230" i="19"/>
  <c r="GI230" i="19"/>
  <c r="GJ230" i="19"/>
  <c r="GK230" i="19"/>
  <c r="GL230" i="19"/>
  <c r="GM230" i="19"/>
  <c r="GN230" i="19"/>
  <c r="GO230" i="19"/>
  <c r="GP230" i="19"/>
  <c r="GQ230" i="19"/>
  <c r="GR230" i="19"/>
  <c r="GS230" i="19"/>
  <c r="GT230" i="19"/>
  <c r="GU230" i="19"/>
  <c r="GV230" i="19"/>
  <c r="GW230" i="19"/>
  <c r="GX230" i="19"/>
  <c r="GY230" i="19"/>
  <c r="GZ230" i="19"/>
  <c r="HA230" i="19"/>
  <c r="HB230" i="19"/>
  <c r="HC230" i="19"/>
  <c r="HD230" i="19"/>
  <c r="HE230" i="19"/>
  <c r="HF230" i="19"/>
  <c r="HG230" i="19"/>
  <c r="HH230" i="19"/>
  <c r="HI230" i="19"/>
  <c r="HJ230" i="19"/>
  <c r="HK230" i="19"/>
  <c r="HL230" i="19"/>
  <c r="HM230" i="19"/>
  <c r="HN230" i="19"/>
  <c r="HO230" i="19"/>
  <c r="HP230" i="19"/>
  <c r="HQ230" i="19"/>
  <c r="HR230" i="19"/>
  <c r="HS230" i="19"/>
  <c r="HT230" i="19"/>
  <c r="HU230" i="19"/>
  <c r="HV230" i="19"/>
  <c r="HW230" i="19"/>
  <c r="HX230" i="19"/>
  <c r="HY230" i="19"/>
  <c r="HZ230" i="19"/>
  <c r="IA230" i="19"/>
  <c r="IB230" i="19"/>
  <c r="IC230" i="19"/>
  <c r="ID230" i="19"/>
  <c r="IE230" i="19"/>
  <c r="IF230" i="19"/>
  <c r="IG230" i="19"/>
  <c r="IH230" i="19"/>
  <c r="II230" i="19"/>
  <c r="IJ230" i="19"/>
  <c r="IK230" i="19"/>
  <c r="IL230" i="19"/>
  <c r="IM230" i="19"/>
  <c r="IN230" i="19"/>
  <c r="IO230" i="19"/>
  <c r="IP230" i="19"/>
  <c r="IQ230" i="19"/>
  <c r="IR230" i="19"/>
  <c r="IS230" i="19"/>
  <c r="IT230" i="19"/>
  <c r="IU230" i="19"/>
  <c r="IV230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T231" i="19"/>
  <c r="U231" i="19"/>
  <c r="V231" i="19"/>
  <c r="W231" i="19"/>
  <c r="X231" i="19"/>
  <c r="Y231" i="19"/>
  <c r="Z231" i="19"/>
  <c r="AA231" i="19"/>
  <c r="AB231" i="19"/>
  <c r="AC231" i="19"/>
  <c r="AD231" i="19"/>
  <c r="AE231" i="19"/>
  <c r="AF231" i="19"/>
  <c r="AG231" i="19"/>
  <c r="AH231" i="19"/>
  <c r="AI231" i="19"/>
  <c r="AJ231" i="19"/>
  <c r="AK231" i="19"/>
  <c r="AL231" i="19"/>
  <c r="AM231" i="19"/>
  <c r="AN231" i="19"/>
  <c r="AO231" i="19"/>
  <c r="AP231" i="19"/>
  <c r="AQ231" i="19"/>
  <c r="AR231" i="19"/>
  <c r="AS231" i="19"/>
  <c r="AT231" i="19"/>
  <c r="AU231" i="19"/>
  <c r="AV231" i="19"/>
  <c r="AW231" i="19"/>
  <c r="AX231" i="19"/>
  <c r="AY231" i="19"/>
  <c r="AZ231" i="19"/>
  <c r="BA231" i="19"/>
  <c r="BB231" i="19"/>
  <c r="BC231" i="19"/>
  <c r="BD231" i="19"/>
  <c r="BE231" i="19"/>
  <c r="BF231" i="19"/>
  <c r="BG231" i="19"/>
  <c r="BH231" i="19"/>
  <c r="BI231" i="19"/>
  <c r="BJ231" i="19"/>
  <c r="BK231" i="19"/>
  <c r="BL231" i="19"/>
  <c r="BM231" i="19"/>
  <c r="BN231" i="19"/>
  <c r="BO231" i="19"/>
  <c r="BP231" i="19"/>
  <c r="BQ231" i="19"/>
  <c r="BR231" i="19"/>
  <c r="BS231" i="19"/>
  <c r="BT231" i="19"/>
  <c r="BU231" i="19"/>
  <c r="BV231" i="19"/>
  <c r="BW231" i="19"/>
  <c r="BX231" i="19"/>
  <c r="BY231" i="19"/>
  <c r="BZ231" i="19"/>
  <c r="CA231" i="19"/>
  <c r="CB231" i="19"/>
  <c r="CC231" i="19"/>
  <c r="CD231" i="19"/>
  <c r="CE231" i="19"/>
  <c r="CF231" i="19"/>
  <c r="CG231" i="19"/>
  <c r="CH231" i="19"/>
  <c r="CI231" i="19"/>
  <c r="CJ231" i="19"/>
  <c r="CK231" i="19"/>
  <c r="CL231" i="19"/>
  <c r="CM231" i="19"/>
  <c r="CN231" i="19"/>
  <c r="CO231" i="19"/>
  <c r="CP231" i="19"/>
  <c r="CQ231" i="19"/>
  <c r="CR231" i="19"/>
  <c r="CS231" i="19"/>
  <c r="CT231" i="19"/>
  <c r="CU231" i="19"/>
  <c r="CV231" i="19"/>
  <c r="CW231" i="19"/>
  <c r="CX231" i="19"/>
  <c r="CY231" i="19"/>
  <c r="CZ231" i="19"/>
  <c r="DA231" i="19"/>
  <c r="DB231" i="19"/>
  <c r="DC231" i="19"/>
  <c r="DD231" i="19"/>
  <c r="DE231" i="19"/>
  <c r="DF231" i="19"/>
  <c r="DG231" i="19"/>
  <c r="DH231" i="19"/>
  <c r="DI231" i="19"/>
  <c r="DJ231" i="19"/>
  <c r="DK231" i="19"/>
  <c r="DL231" i="19"/>
  <c r="DM231" i="19"/>
  <c r="DN231" i="19"/>
  <c r="DO231" i="19"/>
  <c r="DP231" i="19"/>
  <c r="DQ231" i="19"/>
  <c r="DR231" i="19"/>
  <c r="DS231" i="19"/>
  <c r="DT231" i="19"/>
  <c r="DU231" i="19"/>
  <c r="DV231" i="19"/>
  <c r="DW231" i="19"/>
  <c r="DX231" i="19"/>
  <c r="DY231" i="19"/>
  <c r="DZ231" i="19"/>
  <c r="EA231" i="19"/>
  <c r="EB231" i="19"/>
  <c r="EC231" i="19"/>
  <c r="ED231" i="19"/>
  <c r="EE231" i="19"/>
  <c r="EF231" i="19"/>
  <c r="EG231" i="19"/>
  <c r="EH231" i="19"/>
  <c r="EI231" i="19"/>
  <c r="EJ231" i="19"/>
  <c r="EK231" i="19"/>
  <c r="EL231" i="19"/>
  <c r="EM231" i="19"/>
  <c r="EN231" i="19"/>
  <c r="EO231" i="19"/>
  <c r="EP231" i="19"/>
  <c r="EQ231" i="19"/>
  <c r="ER231" i="19"/>
  <c r="ES231" i="19"/>
  <c r="ET231" i="19"/>
  <c r="EU231" i="19"/>
  <c r="EV231" i="19"/>
  <c r="EW231" i="19"/>
  <c r="EX231" i="19"/>
  <c r="EY231" i="19"/>
  <c r="EZ231" i="19"/>
  <c r="FA231" i="19"/>
  <c r="FB231" i="19"/>
  <c r="FC231" i="19"/>
  <c r="FD231" i="19"/>
  <c r="FE231" i="19"/>
  <c r="FF231" i="19"/>
  <c r="FG231" i="19"/>
  <c r="FH231" i="19"/>
  <c r="FI231" i="19"/>
  <c r="FJ231" i="19"/>
  <c r="FK231" i="19"/>
  <c r="FL231" i="19"/>
  <c r="FM231" i="19"/>
  <c r="FN231" i="19"/>
  <c r="FO231" i="19"/>
  <c r="FP231" i="19"/>
  <c r="FQ231" i="19"/>
  <c r="FR231" i="19"/>
  <c r="FS231" i="19"/>
  <c r="FT231" i="19"/>
  <c r="FU231" i="19"/>
  <c r="FV231" i="19"/>
  <c r="FW231" i="19"/>
  <c r="FX231" i="19"/>
  <c r="FY231" i="19"/>
  <c r="FZ231" i="19"/>
  <c r="GA231" i="19"/>
  <c r="GB231" i="19"/>
  <c r="GC231" i="19"/>
  <c r="GD231" i="19"/>
  <c r="GE231" i="19"/>
  <c r="GF231" i="19"/>
  <c r="GG231" i="19"/>
  <c r="GH231" i="19"/>
  <c r="GI231" i="19"/>
  <c r="GJ231" i="19"/>
  <c r="GK231" i="19"/>
  <c r="GL231" i="19"/>
  <c r="GM231" i="19"/>
  <c r="GN231" i="19"/>
  <c r="GO231" i="19"/>
  <c r="GP231" i="19"/>
  <c r="GQ231" i="19"/>
  <c r="GR231" i="19"/>
  <c r="GS231" i="19"/>
  <c r="GT231" i="19"/>
  <c r="GU231" i="19"/>
  <c r="GV231" i="19"/>
  <c r="GW231" i="19"/>
  <c r="GX231" i="19"/>
  <c r="GY231" i="19"/>
  <c r="GZ231" i="19"/>
  <c r="HA231" i="19"/>
  <c r="HB231" i="19"/>
  <c r="HC231" i="19"/>
  <c r="HD231" i="19"/>
  <c r="HE231" i="19"/>
  <c r="HF231" i="19"/>
  <c r="HG231" i="19"/>
  <c r="HH231" i="19"/>
  <c r="HI231" i="19"/>
  <c r="HJ231" i="19"/>
  <c r="HK231" i="19"/>
  <c r="HL231" i="19"/>
  <c r="HM231" i="19"/>
  <c r="HN231" i="19"/>
  <c r="HO231" i="19"/>
  <c r="HP231" i="19"/>
  <c r="HQ231" i="19"/>
  <c r="HR231" i="19"/>
  <c r="HS231" i="19"/>
  <c r="HT231" i="19"/>
  <c r="HU231" i="19"/>
  <c r="HV231" i="19"/>
  <c r="HW231" i="19"/>
  <c r="HX231" i="19"/>
  <c r="HY231" i="19"/>
  <c r="HZ231" i="19"/>
  <c r="IA231" i="19"/>
  <c r="IB231" i="19"/>
  <c r="IC231" i="19"/>
  <c r="ID231" i="19"/>
  <c r="IE231" i="19"/>
  <c r="IF231" i="19"/>
  <c r="IG231" i="19"/>
  <c r="IH231" i="19"/>
  <c r="II231" i="19"/>
  <c r="IJ231" i="19"/>
  <c r="IK231" i="19"/>
  <c r="IL231" i="19"/>
  <c r="IM231" i="19"/>
  <c r="IN231" i="19"/>
  <c r="IO231" i="19"/>
  <c r="IP231" i="19"/>
  <c r="IQ231" i="19"/>
  <c r="IR231" i="19"/>
  <c r="IS231" i="19"/>
  <c r="IT231" i="19"/>
  <c r="IU231" i="19"/>
  <c r="IV231" i="19"/>
  <c r="F232" i="19"/>
  <c r="G232" i="19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T232" i="19"/>
  <c r="U232" i="19"/>
  <c r="V232" i="19"/>
  <c r="W232" i="19"/>
  <c r="X232" i="19"/>
  <c r="Y232" i="19"/>
  <c r="Z232" i="19"/>
  <c r="AA232" i="19"/>
  <c r="AB232" i="19"/>
  <c r="AC232" i="19"/>
  <c r="AD232" i="19"/>
  <c r="AE232" i="19"/>
  <c r="AF232" i="19"/>
  <c r="AG232" i="19"/>
  <c r="AH232" i="19"/>
  <c r="AI232" i="19"/>
  <c r="AJ232" i="19"/>
  <c r="AK232" i="19"/>
  <c r="AL232" i="19"/>
  <c r="AM232" i="19"/>
  <c r="AN232" i="19"/>
  <c r="AO232" i="19"/>
  <c r="AP232" i="19"/>
  <c r="AQ232" i="19"/>
  <c r="AR232" i="19"/>
  <c r="AS232" i="19"/>
  <c r="AT232" i="19"/>
  <c r="AU232" i="19"/>
  <c r="AV232" i="19"/>
  <c r="AW232" i="19"/>
  <c r="AX232" i="19"/>
  <c r="AY232" i="19"/>
  <c r="AZ232" i="19"/>
  <c r="BA232" i="19"/>
  <c r="BB232" i="19"/>
  <c r="BC232" i="19"/>
  <c r="BD232" i="19"/>
  <c r="BE232" i="19"/>
  <c r="BF232" i="19"/>
  <c r="BG232" i="19"/>
  <c r="BH232" i="19"/>
  <c r="BI232" i="19"/>
  <c r="BJ232" i="19"/>
  <c r="BK232" i="19"/>
  <c r="BL232" i="19"/>
  <c r="BM232" i="19"/>
  <c r="BN232" i="19"/>
  <c r="BO232" i="19"/>
  <c r="BP232" i="19"/>
  <c r="BQ232" i="19"/>
  <c r="BR232" i="19"/>
  <c r="BS232" i="19"/>
  <c r="BT232" i="19"/>
  <c r="BU232" i="19"/>
  <c r="BV232" i="19"/>
  <c r="BW232" i="19"/>
  <c r="BX232" i="19"/>
  <c r="BY232" i="19"/>
  <c r="BZ232" i="19"/>
  <c r="CA232" i="19"/>
  <c r="CB232" i="19"/>
  <c r="CC232" i="19"/>
  <c r="CD232" i="19"/>
  <c r="CE232" i="19"/>
  <c r="CF232" i="19"/>
  <c r="CG232" i="19"/>
  <c r="CH232" i="19"/>
  <c r="CI232" i="19"/>
  <c r="CJ232" i="19"/>
  <c r="CK232" i="19"/>
  <c r="CL232" i="19"/>
  <c r="CM232" i="19"/>
  <c r="CN232" i="19"/>
  <c r="CO232" i="19"/>
  <c r="CP232" i="19"/>
  <c r="CQ232" i="19"/>
  <c r="CR232" i="19"/>
  <c r="CS232" i="19"/>
  <c r="CT232" i="19"/>
  <c r="CU232" i="19"/>
  <c r="CV232" i="19"/>
  <c r="CW232" i="19"/>
  <c r="CX232" i="19"/>
  <c r="CY232" i="19"/>
  <c r="CZ232" i="19"/>
  <c r="DA232" i="19"/>
  <c r="DB232" i="19"/>
  <c r="DC232" i="19"/>
  <c r="DD232" i="19"/>
  <c r="DE232" i="19"/>
  <c r="DF232" i="19"/>
  <c r="DG232" i="19"/>
  <c r="DH232" i="19"/>
  <c r="DI232" i="19"/>
  <c r="DJ232" i="19"/>
  <c r="DK232" i="19"/>
  <c r="DL232" i="19"/>
  <c r="DM232" i="19"/>
  <c r="DN232" i="19"/>
  <c r="DO232" i="19"/>
  <c r="DP232" i="19"/>
  <c r="DQ232" i="19"/>
  <c r="DR232" i="19"/>
  <c r="DS232" i="19"/>
  <c r="DT232" i="19"/>
  <c r="DU232" i="19"/>
  <c r="DV232" i="19"/>
  <c r="DW232" i="19"/>
  <c r="DX232" i="19"/>
  <c r="DY232" i="19"/>
  <c r="DZ232" i="19"/>
  <c r="EA232" i="19"/>
  <c r="EB232" i="19"/>
  <c r="EC232" i="19"/>
  <c r="ED232" i="19"/>
  <c r="EE232" i="19"/>
  <c r="EF232" i="19"/>
  <c r="EG232" i="19"/>
  <c r="EH232" i="19"/>
  <c r="EI232" i="19"/>
  <c r="EJ232" i="19"/>
  <c r="EK232" i="19"/>
  <c r="EL232" i="19"/>
  <c r="EM232" i="19"/>
  <c r="EN232" i="19"/>
  <c r="EO232" i="19"/>
  <c r="EP232" i="19"/>
  <c r="EQ232" i="19"/>
  <c r="ER232" i="19"/>
  <c r="ES232" i="19"/>
  <c r="ET232" i="19"/>
  <c r="EU232" i="19"/>
  <c r="EV232" i="19"/>
  <c r="EW232" i="19"/>
  <c r="EX232" i="19"/>
  <c r="EY232" i="19"/>
  <c r="EZ232" i="19"/>
  <c r="FA232" i="19"/>
  <c r="FB232" i="19"/>
  <c r="FC232" i="19"/>
  <c r="FD232" i="19"/>
  <c r="FE232" i="19"/>
  <c r="FF232" i="19"/>
  <c r="FG232" i="19"/>
  <c r="FH232" i="19"/>
  <c r="FI232" i="19"/>
  <c r="FJ232" i="19"/>
  <c r="FK232" i="19"/>
  <c r="FL232" i="19"/>
  <c r="FM232" i="19"/>
  <c r="FN232" i="19"/>
  <c r="FO232" i="19"/>
  <c r="FP232" i="19"/>
  <c r="FQ232" i="19"/>
  <c r="FR232" i="19"/>
  <c r="FS232" i="19"/>
  <c r="FT232" i="19"/>
  <c r="FU232" i="19"/>
  <c r="FV232" i="19"/>
  <c r="FW232" i="19"/>
  <c r="FX232" i="19"/>
  <c r="FY232" i="19"/>
  <c r="FZ232" i="19"/>
  <c r="GA232" i="19"/>
  <c r="GB232" i="19"/>
  <c r="GC232" i="19"/>
  <c r="GD232" i="19"/>
  <c r="GE232" i="19"/>
  <c r="GF232" i="19"/>
  <c r="GG232" i="19"/>
  <c r="GH232" i="19"/>
  <c r="GI232" i="19"/>
  <c r="GJ232" i="19"/>
  <c r="GK232" i="19"/>
  <c r="GL232" i="19"/>
  <c r="GM232" i="19"/>
  <c r="GN232" i="19"/>
  <c r="GO232" i="19"/>
  <c r="GP232" i="19"/>
  <c r="GQ232" i="19"/>
  <c r="GR232" i="19"/>
  <c r="GS232" i="19"/>
  <c r="GT232" i="19"/>
  <c r="GU232" i="19"/>
  <c r="GV232" i="19"/>
  <c r="GW232" i="19"/>
  <c r="GX232" i="19"/>
  <c r="GY232" i="19"/>
  <c r="GZ232" i="19"/>
  <c r="HA232" i="19"/>
  <c r="HB232" i="19"/>
  <c r="HC232" i="19"/>
  <c r="HD232" i="19"/>
  <c r="HE232" i="19"/>
  <c r="HF232" i="19"/>
  <c r="HG232" i="19"/>
  <c r="HH232" i="19"/>
  <c r="HI232" i="19"/>
  <c r="HJ232" i="19"/>
  <c r="HK232" i="19"/>
  <c r="HL232" i="19"/>
  <c r="HM232" i="19"/>
  <c r="HN232" i="19"/>
  <c r="HO232" i="19"/>
  <c r="HP232" i="19"/>
  <c r="HQ232" i="19"/>
  <c r="HR232" i="19"/>
  <c r="HS232" i="19"/>
  <c r="HT232" i="19"/>
  <c r="HU232" i="19"/>
  <c r="HV232" i="19"/>
  <c r="HW232" i="19"/>
  <c r="HX232" i="19"/>
  <c r="HY232" i="19"/>
  <c r="HZ232" i="19"/>
  <c r="IA232" i="19"/>
  <c r="IB232" i="19"/>
  <c r="IC232" i="19"/>
  <c r="ID232" i="19"/>
  <c r="IE232" i="19"/>
  <c r="IF232" i="19"/>
  <c r="IG232" i="19"/>
  <c r="IH232" i="19"/>
  <c r="II232" i="19"/>
  <c r="IJ232" i="19"/>
  <c r="IK232" i="19"/>
  <c r="IL232" i="19"/>
  <c r="IM232" i="19"/>
  <c r="IN232" i="19"/>
  <c r="IO232" i="19"/>
  <c r="IP232" i="19"/>
  <c r="IQ232" i="19"/>
  <c r="IR232" i="19"/>
  <c r="IS232" i="19"/>
  <c r="IT232" i="19"/>
  <c r="IU232" i="19"/>
  <c r="IV232" i="19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T233" i="19"/>
  <c r="U233" i="19"/>
  <c r="V233" i="19"/>
  <c r="W233" i="19"/>
  <c r="X233" i="19"/>
  <c r="Y233" i="19"/>
  <c r="Z233" i="19"/>
  <c r="AA233" i="19"/>
  <c r="AB233" i="19"/>
  <c r="AC233" i="19"/>
  <c r="AD233" i="19"/>
  <c r="AE233" i="19"/>
  <c r="AF233" i="19"/>
  <c r="AG233" i="19"/>
  <c r="AH233" i="19"/>
  <c r="AI233" i="19"/>
  <c r="AJ233" i="19"/>
  <c r="AK233" i="19"/>
  <c r="AL233" i="19"/>
  <c r="AM233" i="19"/>
  <c r="AN233" i="19"/>
  <c r="AO233" i="19"/>
  <c r="AP233" i="19"/>
  <c r="AQ233" i="19"/>
  <c r="AR233" i="19"/>
  <c r="AS233" i="19"/>
  <c r="AT233" i="19"/>
  <c r="AU233" i="19"/>
  <c r="AV233" i="19"/>
  <c r="AW233" i="19"/>
  <c r="AX233" i="19"/>
  <c r="AY233" i="19"/>
  <c r="AZ233" i="19"/>
  <c r="BA233" i="19"/>
  <c r="BB233" i="19"/>
  <c r="BC233" i="19"/>
  <c r="BD233" i="19"/>
  <c r="BE233" i="19"/>
  <c r="BF233" i="19"/>
  <c r="BG233" i="19"/>
  <c r="BH233" i="19"/>
  <c r="BI233" i="19"/>
  <c r="BJ233" i="19"/>
  <c r="BK233" i="19"/>
  <c r="BL233" i="19"/>
  <c r="BM233" i="19"/>
  <c r="BN233" i="19"/>
  <c r="BO233" i="19"/>
  <c r="BP233" i="19"/>
  <c r="BQ233" i="19"/>
  <c r="BR233" i="19"/>
  <c r="BS233" i="19"/>
  <c r="BT233" i="19"/>
  <c r="BU233" i="19"/>
  <c r="BV233" i="19"/>
  <c r="BW233" i="19"/>
  <c r="BX233" i="19"/>
  <c r="BY233" i="19"/>
  <c r="BZ233" i="19"/>
  <c r="CA233" i="19"/>
  <c r="CB233" i="19"/>
  <c r="CC233" i="19"/>
  <c r="CD233" i="19"/>
  <c r="CE233" i="19"/>
  <c r="CF233" i="19"/>
  <c r="CG233" i="19"/>
  <c r="CH233" i="19"/>
  <c r="CI233" i="19"/>
  <c r="CJ233" i="19"/>
  <c r="CK233" i="19"/>
  <c r="CL233" i="19"/>
  <c r="CM233" i="19"/>
  <c r="CN233" i="19"/>
  <c r="CO233" i="19"/>
  <c r="CP233" i="19"/>
  <c r="CQ233" i="19"/>
  <c r="CR233" i="19"/>
  <c r="CS233" i="19"/>
  <c r="CT233" i="19"/>
  <c r="CU233" i="19"/>
  <c r="CV233" i="19"/>
  <c r="CW233" i="19"/>
  <c r="CX233" i="19"/>
  <c r="CY233" i="19"/>
  <c r="CZ233" i="19"/>
  <c r="DA233" i="19"/>
  <c r="DB233" i="19"/>
  <c r="DC233" i="19"/>
  <c r="DD233" i="19"/>
  <c r="DE233" i="19"/>
  <c r="DF233" i="19"/>
  <c r="DG233" i="19"/>
  <c r="DH233" i="19"/>
  <c r="DI233" i="19"/>
  <c r="DJ233" i="19"/>
  <c r="DK233" i="19"/>
  <c r="DL233" i="19"/>
  <c r="DM233" i="19"/>
  <c r="DN233" i="19"/>
  <c r="DO233" i="19"/>
  <c r="DP233" i="19"/>
  <c r="DQ233" i="19"/>
  <c r="DR233" i="19"/>
  <c r="DS233" i="19"/>
  <c r="DT233" i="19"/>
  <c r="DU233" i="19"/>
  <c r="DV233" i="19"/>
  <c r="DW233" i="19"/>
  <c r="DX233" i="19"/>
  <c r="DY233" i="19"/>
  <c r="DZ233" i="19"/>
  <c r="EA233" i="19"/>
  <c r="EB233" i="19"/>
  <c r="EC233" i="19"/>
  <c r="ED233" i="19"/>
  <c r="EE233" i="19"/>
  <c r="EF233" i="19"/>
  <c r="EG233" i="19"/>
  <c r="EH233" i="19"/>
  <c r="EI233" i="19"/>
  <c r="EJ233" i="19"/>
  <c r="EK233" i="19"/>
  <c r="EL233" i="19"/>
  <c r="EM233" i="19"/>
  <c r="EN233" i="19"/>
  <c r="EO233" i="19"/>
  <c r="EP233" i="19"/>
  <c r="EQ233" i="19"/>
  <c r="ER233" i="19"/>
  <c r="ES233" i="19"/>
  <c r="ET233" i="19"/>
  <c r="EU233" i="19"/>
  <c r="EV233" i="19"/>
  <c r="EW233" i="19"/>
  <c r="EX233" i="19"/>
  <c r="EY233" i="19"/>
  <c r="EZ233" i="19"/>
  <c r="FA233" i="19"/>
  <c r="FB233" i="19"/>
  <c r="FC233" i="19"/>
  <c r="FD233" i="19"/>
  <c r="FE233" i="19"/>
  <c r="FF233" i="19"/>
  <c r="FG233" i="19"/>
  <c r="FH233" i="19"/>
  <c r="FI233" i="19"/>
  <c r="FJ233" i="19"/>
  <c r="FK233" i="19"/>
  <c r="FL233" i="19"/>
  <c r="FM233" i="19"/>
  <c r="FN233" i="19"/>
  <c r="FO233" i="19"/>
  <c r="FP233" i="19"/>
  <c r="FQ233" i="19"/>
  <c r="FR233" i="19"/>
  <c r="FS233" i="19"/>
  <c r="FT233" i="19"/>
  <c r="FU233" i="19"/>
  <c r="FV233" i="19"/>
  <c r="FW233" i="19"/>
  <c r="FX233" i="19"/>
  <c r="FY233" i="19"/>
  <c r="FZ233" i="19"/>
  <c r="GA233" i="19"/>
  <c r="GB233" i="19"/>
  <c r="GC233" i="19"/>
  <c r="GD233" i="19"/>
  <c r="GE233" i="19"/>
  <c r="GF233" i="19"/>
  <c r="GG233" i="19"/>
  <c r="GH233" i="19"/>
  <c r="GI233" i="19"/>
  <c r="GJ233" i="19"/>
  <c r="GK233" i="19"/>
  <c r="GL233" i="19"/>
  <c r="GM233" i="19"/>
  <c r="GN233" i="19"/>
  <c r="GO233" i="19"/>
  <c r="GP233" i="19"/>
  <c r="GQ233" i="19"/>
  <c r="GR233" i="19"/>
  <c r="GS233" i="19"/>
  <c r="GT233" i="19"/>
  <c r="GU233" i="19"/>
  <c r="GV233" i="19"/>
  <c r="GW233" i="19"/>
  <c r="GX233" i="19"/>
  <c r="GY233" i="19"/>
  <c r="GZ233" i="19"/>
  <c r="HA233" i="19"/>
  <c r="HB233" i="19"/>
  <c r="HC233" i="19"/>
  <c r="HD233" i="19"/>
  <c r="HE233" i="19"/>
  <c r="HF233" i="19"/>
  <c r="HG233" i="19"/>
  <c r="HH233" i="19"/>
  <c r="HI233" i="19"/>
  <c r="HJ233" i="19"/>
  <c r="HK233" i="19"/>
  <c r="HL233" i="19"/>
  <c r="HM233" i="19"/>
  <c r="HN233" i="19"/>
  <c r="HO233" i="19"/>
  <c r="HP233" i="19"/>
  <c r="HQ233" i="19"/>
  <c r="HR233" i="19"/>
  <c r="HS233" i="19"/>
  <c r="HT233" i="19"/>
  <c r="HU233" i="19"/>
  <c r="HV233" i="19"/>
  <c r="HW233" i="19"/>
  <c r="HX233" i="19"/>
  <c r="HY233" i="19"/>
  <c r="HZ233" i="19"/>
  <c r="IA233" i="19"/>
  <c r="IB233" i="19"/>
  <c r="IC233" i="19"/>
  <c r="ID233" i="19"/>
  <c r="IE233" i="19"/>
  <c r="IF233" i="19"/>
  <c r="IG233" i="19"/>
  <c r="IH233" i="19"/>
  <c r="II233" i="19"/>
  <c r="IJ233" i="19"/>
  <c r="IK233" i="19"/>
  <c r="IL233" i="19"/>
  <c r="IM233" i="19"/>
  <c r="IN233" i="19"/>
  <c r="IO233" i="19"/>
  <c r="IP233" i="19"/>
  <c r="IQ233" i="19"/>
  <c r="IR233" i="19"/>
  <c r="IS233" i="19"/>
  <c r="IT233" i="19"/>
  <c r="IU233" i="19"/>
  <c r="IV233" i="19"/>
  <c r="F234" i="19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4" i="19"/>
  <c r="U234" i="19"/>
  <c r="V234" i="19"/>
  <c r="W234" i="19"/>
  <c r="X234" i="19"/>
  <c r="Y234" i="19"/>
  <c r="Z234" i="19"/>
  <c r="AA234" i="19"/>
  <c r="AB234" i="19"/>
  <c r="AC234" i="19"/>
  <c r="AD234" i="19"/>
  <c r="AE234" i="19"/>
  <c r="AF234" i="19"/>
  <c r="AG234" i="19"/>
  <c r="AH234" i="19"/>
  <c r="AI234" i="19"/>
  <c r="AJ234" i="19"/>
  <c r="AK234" i="19"/>
  <c r="AL234" i="19"/>
  <c r="AM234" i="19"/>
  <c r="AN234" i="19"/>
  <c r="AO234" i="19"/>
  <c r="AP234" i="19"/>
  <c r="AQ234" i="19"/>
  <c r="AR234" i="19"/>
  <c r="AS234" i="19"/>
  <c r="AT234" i="19"/>
  <c r="AU234" i="19"/>
  <c r="AV234" i="19"/>
  <c r="AW234" i="19"/>
  <c r="AX234" i="19"/>
  <c r="AY234" i="19"/>
  <c r="AZ234" i="19"/>
  <c r="BA234" i="19"/>
  <c r="BB234" i="19"/>
  <c r="BC234" i="19"/>
  <c r="BD234" i="19"/>
  <c r="BE234" i="19"/>
  <c r="BF234" i="19"/>
  <c r="BG234" i="19"/>
  <c r="BH234" i="19"/>
  <c r="BI234" i="19"/>
  <c r="BJ234" i="19"/>
  <c r="BK234" i="19"/>
  <c r="BL234" i="19"/>
  <c r="BM234" i="19"/>
  <c r="BN234" i="19"/>
  <c r="BO234" i="19"/>
  <c r="BP234" i="19"/>
  <c r="BQ234" i="19"/>
  <c r="BR234" i="19"/>
  <c r="BS234" i="19"/>
  <c r="BT234" i="19"/>
  <c r="BU234" i="19"/>
  <c r="BV234" i="19"/>
  <c r="BW234" i="19"/>
  <c r="BX234" i="19"/>
  <c r="BY234" i="19"/>
  <c r="BZ234" i="19"/>
  <c r="CA234" i="19"/>
  <c r="CB234" i="19"/>
  <c r="CC234" i="19"/>
  <c r="CD234" i="19"/>
  <c r="CE234" i="19"/>
  <c r="CF234" i="19"/>
  <c r="CG234" i="19"/>
  <c r="CH234" i="19"/>
  <c r="CI234" i="19"/>
  <c r="CJ234" i="19"/>
  <c r="CK234" i="19"/>
  <c r="CL234" i="19"/>
  <c r="CM234" i="19"/>
  <c r="CN234" i="19"/>
  <c r="CO234" i="19"/>
  <c r="CP234" i="19"/>
  <c r="CQ234" i="19"/>
  <c r="CR234" i="19"/>
  <c r="CS234" i="19"/>
  <c r="CT234" i="19"/>
  <c r="CU234" i="19"/>
  <c r="CV234" i="19"/>
  <c r="CW234" i="19"/>
  <c r="CX234" i="19"/>
  <c r="CY234" i="19"/>
  <c r="CZ234" i="19"/>
  <c r="DA234" i="19"/>
  <c r="DB234" i="19"/>
  <c r="DC234" i="19"/>
  <c r="DD234" i="19"/>
  <c r="DE234" i="19"/>
  <c r="DF234" i="19"/>
  <c r="DG234" i="19"/>
  <c r="DH234" i="19"/>
  <c r="DI234" i="19"/>
  <c r="DJ234" i="19"/>
  <c r="DK234" i="19"/>
  <c r="DL234" i="19"/>
  <c r="DM234" i="19"/>
  <c r="DN234" i="19"/>
  <c r="DO234" i="19"/>
  <c r="DP234" i="19"/>
  <c r="DQ234" i="19"/>
  <c r="DR234" i="19"/>
  <c r="DS234" i="19"/>
  <c r="DT234" i="19"/>
  <c r="DU234" i="19"/>
  <c r="DV234" i="19"/>
  <c r="DW234" i="19"/>
  <c r="DX234" i="19"/>
  <c r="DY234" i="19"/>
  <c r="DZ234" i="19"/>
  <c r="EA234" i="19"/>
  <c r="EB234" i="19"/>
  <c r="EC234" i="19"/>
  <c r="ED234" i="19"/>
  <c r="EE234" i="19"/>
  <c r="EF234" i="19"/>
  <c r="EG234" i="19"/>
  <c r="EH234" i="19"/>
  <c r="EI234" i="19"/>
  <c r="EJ234" i="19"/>
  <c r="EK234" i="19"/>
  <c r="EL234" i="19"/>
  <c r="EM234" i="19"/>
  <c r="EN234" i="19"/>
  <c r="EO234" i="19"/>
  <c r="EP234" i="19"/>
  <c r="EQ234" i="19"/>
  <c r="ER234" i="19"/>
  <c r="ES234" i="19"/>
  <c r="ET234" i="19"/>
  <c r="EU234" i="19"/>
  <c r="EV234" i="19"/>
  <c r="EW234" i="19"/>
  <c r="EX234" i="19"/>
  <c r="EY234" i="19"/>
  <c r="EZ234" i="19"/>
  <c r="FA234" i="19"/>
  <c r="FB234" i="19"/>
  <c r="FC234" i="19"/>
  <c r="FD234" i="19"/>
  <c r="FE234" i="19"/>
  <c r="FF234" i="19"/>
  <c r="FG234" i="19"/>
  <c r="FH234" i="19"/>
  <c r="FI234" i="19"/>
  <c r="FJ234" i="19"/>
  <c r="FK234" i="19"/>
  <c r="FL234" i="19"/>
  <c r="FM234" i="19"/>
  <c r="FN234" i="19"/>
  <c r="FO234" i="19"/>
  <c r="FP234" i="19"/>
  <c r="FQ234" i="19"/>
  <c r="FR234" i="19"/>
  <c r="FS234" i="19"/>
  <c r="FT234" i="19"/>
  <c r="FU234" i="19"/>
  <c r="FV234" i="19"/>
  <c r="FW234" i="19"/>
  <c r="FX234" i="19"/>
  <c r="FY234" i="19"/>
  <c r="FZ234" i="19"/>
  <c r="GA234" i="19"/>
  <c r="GB234" i="19"/>
  <c r="GC234" i="19"/>
  <c r="GD234" i="19"/>
  <c r="GE234" i="19"/>
  <c r="GF234" i="19"/>
  <c r="GG234" i="19"/>
  <c r="GH234" i="19"/>
  <c r="GI234" i="19"/>
  <c r="GJ234" i="19"/>
  <c r="GK234" i="19"/>
  <c r="GL234" i="19"/>
  <c r="GM234" i="19"/>
  <c r="GN234" i="19"/>
  <c r="GO234" i="19"/>
  <c r="GP234" i="19"/>
  <c r="GQ234" i="19"/>
  <c r="GR234" i="19"/>
  <c r="GS234" i="19"/>
  <c r="GT234" i="19"/>
  <c r="GU234" i="19"/>
  <c r="GV234" i="19"/>
  <c r="GW234" i="19"/>
  <c r="GX234" i="19"/>
  <c r="GY234" i="19"/>
  <c r="GZ234" i="19"/>
  <c r="HA234" i="19"/>
  <c r="HB234" i="19"/>
  <c r="HC234" i="19"/>
  <c r="HD234" i="19"/>
  <c r="HE234" i="19"/>
  <c r="HF234" i="19"/>
  <c r="HG234" i="19"/>
  <c r="HH234" i="19"/>
  <c r="HI234" i="19"/>
  <c r="HJ234" i="19"/>
  <c r="HK234" i="19"/>
  <c r="HL234" i="19"/>
  <c r="HM234" i="19"/>
  <c r="HN234" i="19"/>
  <c r="HO234" i="19"/>
  <c r="HP234" i="19"/>
  <c r="HQ234" i="19"/>
  <c r="HR234" i="19"/>
  <c r="HS234" i="19"/>
  <c r="HT234" i="19"/>
  <c r="HU234" i="19"/>
  <c r="HV234" i="19"/>
  <c r="HW234" i="19"/>
  <c r="HX234" i="19"/>
  <c r="HY234" i="19"/>
  <c r="HZ234" i="19"/>
  <c r="IA234" i="19"/>
  <c r="IB234" i="19"/>
  <c r="IC234" i="19"/>
  <c r="ID234" i="19"/>
  <c r="IE234" i="19"/>
  <c r="IF234" i="19"/>
  <c r="IG234" i="19"/>
  <c r="IH234" i="19"/>
  <c r="II234" i="19"/>
  <c r="IJ234" i="19"/>
  <c r="IK234" i="19"/>
  <c r="IL234" i="19"/>
  <c r="IM234" i="19"/>
  <c r="IN234" i="19"/>
  <c r="IO234" i="19"/>
  <c r="IP234" i="19"/>
  <c r="IQ234" i="19"/>
  <c r="IR234" i="19"/>
  <c r="IS234" i="19"/>
  <c r="IT234" i="19"/>
  <c r="IU234" i="19"/>
  <c r="IV234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T235" i="19"/>
  <c r="U235" i="19"/>
  <c r="V235" i="19"/>
  <c r="W235" i="19"/>
  <c r="X235" i="19"/>
  <c r="Y235" i="19"/>
  <c r="Z235" i="19"/>
  <c r="AA235" i="19"/>
  <c r="AB235" i="19"/>
  <c r="AC235" i="19"/>
  <c r="AD235" i="19"/>
  <c r="AE235" i="19"/>
  <c r="AF235" i="19"/>
  <c r="AG235" i="19"/>
  <c r="AH235" i="19"/>
  <c r="AI235" i="19"/>
  <c r="AJ235" i="19"/>
  <c r="AK235" i="19"/>
  <c r="AL235" i="19"/>
  <c r="AM235" i="19"/>
  <c r="AN235" i="19"/>
  <c r="AO235" i="19"/>
  <c r="AP235" i="19"/>
  <c r="AQ235" i="19"/>
  <c r="AR235" i="19"/>
  <c r="AS235" i="19"/>
  <c r="AT235" i="19"/>
  <c r="AU235" i="19"/>
  <c r="AV235" i="19"/>
  <c r="AW235" i="19"/>
  <c r="AX235" i="19"/>
  <c r="AY235" i="19"/>
  <c r="AZ235" i="19"/>
  <c r="BA235" i="19"/>
  <c r="BB235" i="19"/>
  <c r="BC235" i="19"/>
  <c r="BD235" i="19"/>
  <c r="BE235" i="19"/>
  <c r="BF235" i="19"/>
  <c r="BG235" i="19"/>
  <c r="BH235" i="19"/>
  <c r="BI235" i="19"/>
  <c r="BJ235" i="19"/>
  <c r="BK235" i="19"/>
  <c r="BL235" i="19"/>
  <c r="BM235" i="19"/>
  <c r="BN235" i="19"/>
  <c r="BO235" i="19"/>
  <c r="BP235" i="19"/>
  <c r="BQ235" i="19"/>
  <c r="BR235" i="19"/>
  <c r="BS235" i="19"/>
  <c r="BT235" i="19"/>
  <c r="BU235" i="19"/>
  <c r="BV235" i="19"/>
  <c r="BW235" i="19"/>
  <c r="BX235" i="19"/>
  <c r="BY235" i="19"/>
  <c r="BZ235" i="19"/>
  <c r="CA235" i="19"/>
  <c r="CB235" i="19"/>
  <c r="CC235" i="19"/>
  <c r="CD235" i="19"/>
  <c r="CE235" i="19"/>
  <c r="CF235" i="19"/>
  <c r="CG235" i="19"/>
  <c r="CH235" i="19"/>
  <c r="CI235" i="19"/>
  <c r="CJ235" i="19"/>
  <c r="CK235" i="19"/>
  <c r="CL235" i="19"/>
  <c r="CM235" i="19"/>
  <c r="CN235" i="19"/>
  <c r="CO235" i="19"/>
  <c r="CP235" i="19"/>
  <c r="CQ235" i="19"/>
  <c r="CR235" i="19"/>
  <c r="CS235" i="19"/>
  <c r="CT235" i="19"/>
  <c r="CU235" i="19"/>
  <c r="CV235" i="19"/>
  <c r="CW235" i="19"/>
  <c r="CX235" i="19"/>
  <c r="CY235" i="19"/>
  <c r="CZ235" i="19"/>
  <c r="DA235" i="19"/>
  <c r="DB235" i="19"/>
  <c r="DC235" i="19"/>
  <c r="DD235" i="19"/>
  <c r="DE235" i="19"/>
  <c r="DF235" i="19"/>
  <c r="DG235" i="19"/>
  <c r="DH235" i="19"/>
  <c r="DI235" i="19"/>
  <c r="DJ235" i="19"/>
  <c r="DK235" i="19"/>
  <c r="DL235" i="19"/>
  <c r="DM235" i="19"/>
  <c r="DN235" i="19"/>
  <c r="DO235" i="19"/>
  <c r="DP235" i="19"/>
  <c r="DQ235" i="19"/>
  <c r="DR235" i="19"/>
  <c r="DS235" i="19"/>
  <c r="DT235" i="19"/>
  <c r="DU235" i="19"/>
  <c r="DV235" i="19"/>
  <c r="DW235" i="19"/>
  <c r="DX235" i="19"/>
  <c r="DY235" i="19"/>
  <c r="DZ235" i="19"/>
  <c r="EA235" i="19"/>
  <c r="EB235" i="19"/>
  <c r="EC235" i="19"/>
  <c r="ED235" i="19"/>
  <c r="EE235" i="19"/>
  <c r="EF235" i="19"/>
  <c r="EG235" i="19"/>
  <c r="EH235" i="19"/>
  <c r="EI235" i="19"/>
  <c r="EJ235" i="19"/>
  <c r="EK235" i="19"/>
  <c r="EL235" i="19"/>
  <c r="EM235" i="19"/>
  <c r="EN235" i="19"/>
  <c r="EO235" i="19"/>
  <c r="EP235" i="19"/>
  <c r="EQ235" i="19"/>
  <c r="ER235" i="19"/>
  <c r="ES235" i="19"/>
  <c r="ET235" i="19"/>
  <c r="EU235" i="19"/>
  <c r="EV235" i="19"/>
  <c r="EW235" i="19"/>
  <c r="EX235" i="19"/>
  <c r="EY235" i="19"/>
  <c r="EZ235" i="19"/>
  <c r="FA235" i="19"/>
  <c r="FB235" i="19"/>
  <c r="FC235" i="19"/>
  <c r="FD235" i="19"/>
  <c r="FE235" i="19"/>
  <c r="FF235" i="19"/>
  <c r="FG235" i="19"/>
  <c r="FH235" i="19"/>
  <c r="FI235" i="19"/>
  <c r="FJ235" i="19"/>
  <c r="FK235" i="19"/>
  <c r="FL235" i="19"/>
  <c r="FM235" i="19"/>
  <c r="FN235" i="19"/>
  <c r="FO235" i="19"/>
  <c r="FP235" i="19"/>
  <c r="FQ235" i="19"/>
  <c r="FR235" i="19"/>
  <c r="FS235" i="19"/>
  <c r="FT235" i="19"/>
  <c r="FU235" i="19"/>
  <c r="FV235" i="19"/>
  <c r="FW235" i="19"/>
  <c r="FX235" i="19"/>
  <c r="FY235" i="19"/>
  <c r="FZ235" i="19"/>
  <c r="GA235" i="19"/>
  <c r="GB235" i="19"/>
  <c r="GC235" i="19"/>
  <c r="GD235" i="19"/>
  <c r="GE235" i="19"/>
  <c r="GF235" i="19"/>
  <c r="GG235" i="19"/>
  <c r="GH235" i="19"/>
  <c r="GI235" i="19"/>
  <c r="GJ235" i="19"/>
  <c r="GK235" i="19"/>
  <c r="GL235" i="19"/>
  <c r="GM235" i="19"/>
  <c r="GN235" i="19"/>
  <c r="GO235" i="19"/>
  <c r="GP235" i="19"/>
  <c r="GQ235" i="19"/>
  <c r="GR235" i="19"/>
  <c r="GS235" i="19"/>
  <c r="GT235" i="19"/>
  <c r="GU235" i="19"/>
  <c r="GV235" i="19"/>
  <c r="GW235" i="19"/>
  <c r="GX235" i="19"/>
  <c r="GY235" i="19"/>
  <c r="GZ235" i="19"/>
  <c r="HA235" i="19"/>
  <c r="HB235" i="19"/>
  <c r="HC235" i="19"/>
  <c r="HD235" i="19"/>
  <c r="HE235" i="19"/>
  <c r="HF235" i="19"/>
  <c r="HG235" i="19"/>
  <c r="HH235" i="19"/>
  <c r="HI235" i="19"/>
  <c r="HJ235" i="19"/>
  <c r="HK235" i="19"/>
  <c r="HL235" i="19"/>
  <c r="HM235" i="19"/>
  <c r="HN235" i="19"/>
  <c r="HO235" i="19"/>
  <c r="HP235" i="19"/>
  <c r="HQ235" i="19"/>
  <c r="HR235" i="19"/>
  <c r="HS235" i="19"/>
  <c r="HT235" i="19"/>
  <c r="HU235" i="19"/>
  <c r="HV235" i="19"/>
  <c r="HW235" i="19"/>
  <c r="HX235" i="19"/>
  <c r="HY235" i="19"/>
  <c r="HZ235" i="19"/>
  <c r="IA235" i="19"/>
  <c r="IB235" i="19"/>
  <c r="IC235" i="19"/>
  <c r="ID235" i="19"/>
  <c r="IE235" i="19"/>
  <c r="IF235" i="19"/>
  <c r="IG235" i="19"/>
  <c r="IH235" i="19"/>
  <c r="II235" i="19"/>
  <c r="IJ235" i="19"/>
  <c r="IK235" i="19"/>
  <c r="IL235" i="19"/>
  <c r="IM235" i="19"/>
  <c r="IN235" i="19"/>
  <c r="IO235" i="19"/>
  <c r="IP235" i="19"/>
  <c r="IQ235" i="19"/>
  <c r="IR235" i="19"/>
  <c r="IS235" i="19"/>
  <c r="IT235" i="19"/>
  <c r="IU235" i="19"/>
  <c r="IV235" i="19"/>
  <c r="F236" i="19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T236" i="19"/>
  <c r="U236" i="19"/>
  <c r="V236" i="19"/>
  <c r="W236" i="19"/>
  <c r="X236" i="19"/>
  <c r="Y236" i="19"/>
  <c r="Z236" i="19"/>
  <c r="AA236" i="19"/>
  <c r="AB236" i="19"/>
  <c r="AC236" i="19"/>
  <c r="AD236" i="19"/>
  <c r="AE236" i="19"/>
  <c r="AF236" i="19"/>
  <c r="AG236" i="19"/>
  <c r="AH236" i="19"/>
  <c r="AI236" i="19"/>
  <c r="AJ236" i="19"/>
  <c r="AK236" i="19"/>
  <c r="AL236" i="19"/>
  <c r="AM236" i="19"/>
  <c r="AN236" i="19"/>
  <c r="AO236" i="19"/>
  <c r="AP236" i="19"/>
  <c r="AQ236" i="19"/>
  <c r="AR236" i="19"/>
  <c r="AS236" i="19"/>
  <c r="AT236" i="19"/>
  <c r="AU236" i="19"/>
  <c r="AV236" i="19"/>
  <c r="AW236" i="19"/>
  <c r="AX236" i="19"/>
  <c r="AY236" i="19"/>
  <c r="AZ236" i="19"/>
  <c r="BA236" i="19"/>
  <c r="BB236" i="19"/>
  <c r="BC236" i="19"/>
  <c r="BD236" i="19"/>
  <c r="BE236" i="19"/>
  <c r="BF236" i="19"/>
  <c r="BG236" i="19"/>
  <c r="BH236" i="19"/>
  <c r="BI236" i="19"/>
  <c r="BJ236" i="19"/>
  <c r="BK236" i="19"/>
  <c r="BL236" i="19"/>
  <c r="BM236" i="19"/>
  <c r="BN236" i="19"/>
  <c r="BO236" i="19"/>
  <c r="BP236" i="19"/>
  <c r="BQ236" i="19"/>
  <c r="BR236" i="19"/>
  <c r="BS236" i="19"/>
  <c r="BT236" i="19"/>
  <c r="BU236" i="19"/>
  <c r="BV236" i="19"/>
  <c r="BW236" i="19"/>
  <c r="BX236" i="19"/>
  <c r="BY236" i="19"/>
  <c r="BZ236" i="19"/>
  <c r="CA236" i="19"/>
  <c r="CB236" i="19"/>
  <c r="CC236" i="19"/>
  <c r="CD236" i="19"/>
  <c r="CE236" i="19"/>
  <c r="CF236" i="19"/>
  <c r="CG236" i="19"/>
  <c r="CH236" i="19"/>
  <c r="CI236" i="19"/>
  <c r="CJ236" i="19"/>
  <c r="CK236" i="19"/>
  <c r="CL236" i="19"/>
  <c r="CM236" i="19"/>
  <c r="CN236" i="19"/>
  <c r="CO236" i="19"/>
  <c r="CP236" i="19"/>
  <c r="CQ236" i="19"/>
  <c r="CR236" i="19"/>
  <c r="CS236" i="19"/>
  <c r="CT236" i="19"/>
  <c r="CU236" i="19"/>
  <c r="CV236" i="19"/>
  <c r="CW236" i="19"/>
  <c r="CX236" i="19"/>
  <c r="CY236" i="19"/>
  <c r="CZ236" i="19"/>
  <c r="DA236" i="19"/>
  <c r="DB236" i="19"/>
  <c r="DC236" i="19"/>
  <c r="DD236" i="19"/>
  <c r="DE236" i="19"/>
  <c r="DF236" i="19"/>
  <c r="DG236" i="19"/>
  <c r="DH236" i="19"/>
  <c r="DI236" i="19"/>
  <c r="DJ236" i="19"/>
  <c r="DK236" i="19"/>
  <c r="DL236" i="19"/>
  <c r="DM236" i="19"/>
  <c r="DN236" i="19"/>
  <c r="DO236" i="19"/>
  <c r="DP236" i="19"/>
  <c r="DQ236" i="19"/>
  <c r="DR236" i="19"/>
  <c r="DS236" i="19"/>
  <c r="DT236" i="19"/>
  <c r="DU236" i="19"/>
  <c r="DV236" i="19"/>
  <c r="DW236" i="19"/>
  <c r="DX236" i="19"/>
  <c r="DY236" i="19"/>
  <c r="DZ236" i="19"/>
  <c r="EA236" i="19"/>
  <c r="EB236" i="19"/>
  <c r="EC236" i="19"/>
  <c r="ED236" i="19"/>
  <c r="EE236" i="19"/>
  <c r="EF236" i="19"/>
  <c r="EG236" i="19"/>
  <c r="EH236" i="19"/>
  <c r="EI236" i="19"/>
  <c r="EJ236" i="19"/>
  <c r="EK236" i="19"/>
  <c r="EL236" i="19"/>
  <c r="EM236" i="19"/>
  <c r="EN236" i="19"/>
  <c r="EO236" i="19"/>
  <c r="EP236" i="19"/>
  <c r="EQ236" i="19"/>
  <c r="ER236" i="19"/>
  <c r="ES236" i="19"/>
  <c r="ET236" i="19"/>
  <c r="EU236" i="19"/>
  <c r="EV236" i="19"/>
  <c r="EW236" i="19"/>
  <c r="EX236" i="19"/>
  <c r="EY236" i="19"/>
  <c r="EZ236" i="19"/>
  <c r="FA236" i="19"/>
  <c r="FB236" i="19"/>
  <c r="FC236" i="19"/>
  <c r="FD236" i="19"/>
  <c r="FE236" i="19"/>
  <c r="FF236" i="19"/>
  <c r="FG236" i="19"/>
  <c r="FH236" i="19"/>
  <c r="FI236" i="19"/>
  <c r="FJ236" i="19"/>
  <c r="FK236" i="19"/>
  <c r="FL236" i="19"/>
  <c r="FM236" i="19"/>
  <c r="FN236" i="19"/>
  <c r="FO236" i="19"/>
  <c r="FP236" i="19"/>
  <c r="FQ236" i="19"/>
  <c r="FR236" i="19"/>
  <c r="FS236" i="19"/>
  <c r="FT236" i="19"/>
  <c r="FU236" i="19"/>
  <c r="FV236" i="19"/>
  <c r="FW236" i="19"/>
  <c r="FX236" i="19"/>
  <c r="FY236" i="19"/>
  <c r="FZ236" i="19"/>
  <c r="GA236" i="19"/>
  <c r="GB236" i="19"/>
  <c r="GC236" i="19"/>
  <c r="GD236" i="19"/>
  <c r="GE236" i="19"/>
  <c r="GF236" i="19"/>
  <c r="GG236" i="19"/>
  <c r="GH236" i="19"/>
  <c r="GI236" i="19"/>
  <c r="GJ236" i="19"/>
  <c r="GK236" i="19"/>
  <c r="GL236" i="19"/>
  <c r="GM236" i="19"/>
  <c r="GN236" i="19"/>
  <c r="GO236" i="19"/>
  <c r="GP236" i="19"/>
  <c r="GQ236" i="19"/>
  <c r="GR236" i="19"/>
  <c r="GS236" i="19"/>
  <c r="GT236" i="19"/>
  <c r="GU236" i="19"/>
  <c r="GV236" i="19"/>
  <c r="GW236" i="19"/>
  <c r="GX236" i="19"/>
  <c r="GY236" i="19"/>
  <c r="GZ236" i="19"/>
  <c r="HA236" i="19"/>
  <c r="HB236" i="19"/>
  <c r="HC236" i="19"/>
  <c r="HD236" i="19"/>
  <c r="HE236" i="19"/>
  <c r="HF236" i="19"/>
  <c r="HG236" i="19"/>
  <c r="HH236" i="19"/>
  <c r="HI236" i="19"/>
  <c r="HJ236" i="19"/>
  <c r="HK236" i="19"/>
  <c r="HL236" i="19"/>
  <c r="HM236" i="19"/>
  <c r="HN236" i="19"/>
  <c r="HO236" i="19"/>
  <c r="HP236" i="19"/>
  <c r="HQ236" i="19"/>
  <c r="HR236" i="19"/>
  <c r="HS236" i="19"/>
  <c r="HT236" i="19"/>
  <c r="HU236" i="19"/>
  <c r="HV236" i="19"/>
  <c r="HW236" i="19"/>
  <c r="HX236" i="19"/>
  <c r="HY236" i="19"/>
  <c r="HZ236" i="19"/>
  <c r="IA236" i="19"/>
  <c r="IB236" i="19"/>
  <c r="IC236" i="19"/>
  <c r="ID236" i="19"/>
  <c r="IE236" i="19"/>
  <c r="IF236" i="19"/>
  <c r="IG236" i="19"/>
  <c r="IH236" i="19"/>
  <c r="II236" i="19"/>
  <c r="IJ236" i="19"/>
  <c r="IK236" i="19"/>
  <c r="IL236" i="19"/>
  <c r="IM236" i="19"/>
  <c r="IN236" i="19"/>
  <c r="IO236" i="19"/>
  <c r="IP236" i="19"/>
  <c r="IQ236" i="19"/>
  <c r="IR236" i="19"/>
  <c r="IS236" i="19"/>
  <c r="IT236" i="19"/>
  <c r="IU236" i="19"/>
  <c r="IV236" i="19"/>
  <c r="F237" i="19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T237" i="19"/>
  <c r="U237" i="19"/>
  <c r="V237" i="19"/>
  <c r="W237" i="19"/>
  <c r="X237" i="19"/>
  <c r="Y237" i="19"/>
  <c r="Z237" i="19"/>
  <c r="AA237" i="19"/>
  <c r="AB237" i="19"/>
  <c r="AC237" i="19"/>
  <c r="AD237" i="19"/>
  <c r="AE237" i="19"/>
  <c r="AF237" i="19"/>
  <c r="AG237" i="19"/>
  <c r="AH237" i="19"/>
  <c r="AI237" i="19"/>
  <c r="AJ237" i="19"/>
  <c r="AK237" i="19"/>
  <c r="AL237" i="19"/>
  <c r="AM237" i="19"/>
  <c r="AN237" i="19"/>
  <c r="AO237" i="19"/>
  <c r="AP237" i="19"/>
  <c r="AQ237" i="19"/>
  <c r="AR237" i="19"/>
  <c r="AS237" i="19"/>
  <c r="AT237" i="19"/>
  <c r="AU237" i="19"/>
  <c r="AV237" i="19"/>
  <c r="AW237" i="19"/>
  <c r="AX237" i="19"/>
  <c r="AY237" i="19"/>
  <c r="AZ237" i="19"/>
  <c r="BA237" i="19"/>
  <c r="BB237" i="19"/>
  <c r="BC237" i="19"/>
  <c r="BD237" i="19"/>
  <c r="BE237" i="19"/>
  <c r="BF237" i="19"/>
  <c r="BG237" i="19"/>
  <c r="BH237" i="19"/>
  <c r="BI237" i="19"/>
  <c r="BJ237" i="19"/>
  <c r="BK237" i="19"/>
  <c r="BL237" i="19"/>
  <c r="BM237" i="19"/>
  <c r="BN237" i="19"/>
  <c r="BO237" i="19"/>
  <c r="BP237" i="19"/>
  <c r="BQ237" i="19"/>
  <c r="BR237" i="19"/>
  <c r="BS237" i="19"/>
  <c r="BT237" i="19"/>
  <c r="BU237" i="19"/>
  <c r="BV237" i="19"/>
  <c r="BW237" i="19"/>
  <c r="BX237" i="19"/>
  <c r="BY237" i="19"/>
  <c r="BZ237" i="19"/>
  <c r="CA237" i="19"/>
  <c r="CB237" i="19"/>
  <c r="CC237" i="19"/>
  <c r="CD237" i="19"/>
  <c r="CE237" i="19"/>
  <c r="CF237" i="19"/>
  <c r="CG237" i="19"/>
  <c r="CH237" i="19"/>
  <c r="CI237" i="19"/>
  <c r="CJ237" i="19"/>
  <c r="CK237" i="19"/>
  <c r="CL237" i="19"/>
  <c r="CM237" i="19"/>
  <c r="CN237" i="19"/>
  <c r="CO237" i="19"/>
  <c r="CP237" i="19"/>
  <c r="CQ237" i="19"/>
  <c r="CR237" i="19"/>
  <c r="CS237" i="19"/>
  <c r="CT237" i="19"/>
  <c r="CU237" i="19"/>
  <c r="CV237" i="19"/>
  <c r="CW237" i="19"/>
  <c r="CX237" i="19"/>
  <c r="CY237" i="19"/>
  <c r="CZ237" i="19"/>
  <c r="DA237" i="19"/>
  <c r="DB237" i="19"/>
  <c r="DC237" i="19"/>
  <c r="DD237" i="19"/>
  <c r="DE237" i="19"/>
  <c r="DF237" i="19"/>
  <c r="DG237" i="19"/>
  <c r="DH237" i="19"/>
  <c r="DI237" i="19"/>
  <c r="DJ237" i="19"/>
  <c r="DK237" i="19"/>
  <c r="DL237" i="19"/>
  <c r="DM237" i="19"/>
  <c r="DN237" i="19"/>
  <c r="DO237" i="19"/>
  <c r="DP237" i="19"/>
  <c r="DQ237" i="19"/>
  <c r="DR237" i="19"/>
  <c r="DS237" i="19"/>
  <c r="DT237" i="19"/>
  <c r="DU237" i="19"/>
  <c r="DV237" i="19"/>
  <c r="DW237" i="19"/>
  <c r="DX237" i="19"/>
  <c r="DY237" i="19"/>
  <c r="DZ237" i="19"/>
  <c r="EA237" i="19"/>
  <c r="EB237" i="19"/>
  <c r="EC237" i="19"/>
  <c r="ED237" i="19"/>
  <c r="EE237" i="19"/>
  <c r="EF237" i="19"/>
  <c r="EG237" i="19"/>
  <c r="EH237" i="19"/>
  <c r="EI237" i="19"/>
  <c r="EJ237" i="19"/>
  <c r="EK237" i="19"/>
  <c r="EL237" i="19"/>
  <c r="EM237" i="19"/>
  <c r="EN237" i="19"/>
  <c r="EO237" i="19"/>
  <c r="EP237" i="19"/>
  <c r="EQ237" i="19"/>
  <c r="ER237" i="19"/>
  <c r="ES237" i="19"/>
  <c r="ET237" i="19"/>
  <c r="EU237" i="19"/>
  <c r="EV237" i="19"/>
  <c r="EW237" i="19"/>
  <c r="EX237" i="19"/>
  <c r="EY237" i="19"/>
  <c r="EZ237" i="19"/>
  <c r="FA237" i="19"/>
  <c r="FB237" i="19"/>
  <c r="FC237" i="19"/>
  <c r="FD237" i="19"/>
  <c r="FE237" i="19"/>
  <c r="FF237" i="19"/>
  <c r="FG237" i="19"/>
  <c r="FH237" i="19"/>
  <c r="FI237" i="19"/>
  <c r="FJ237" i="19"/>
  <c r="FK237" i="19"/>
  <c r="FL237" i="19"/>
  <c r="FM237" i="19"/>
  <c r="FN237" i="19"/>
  <c r="FO237" i="19"/>
  <c r="FP237" i="19"/>
  <c r="FQ237" i="19"/>
  <c r="FR237" i="19"/>
  <c r="FS237" i="19"/>
  <c r="FT237" i="19"/>
  <c r="FU237" i="19"/>
  <c r="FV237" i="19"/>
  <c r="FW237" i="19"/>
  <c r="FX237" i="19"/>
  <c r="FY237" i="19"/>
  <c r="FZ237" i="19"/>
  <c r="GA237" i="19"/>
  <c r="GB237" i="19"/>
  <c r="GC237" i="19"/>
  <c r="GD237" i="19"/>
  <c r="GE237" i="19"/>
  <c r="GF237" i="19"/>
  <c r="GG237" i="19"/>
  <c r="GH237" i="19"/>
  <c r="GI237" i="19"/>
  <c r="GJ237" i="19"/>
  <c r="GK237" i="19"/>
  <c r="GL237" i="19"/>
  <c r="GM237" i="19"/>
  <c r="GN237" i="19"/>
  <c r="GO237" i="19"/>
  <c r="GP237" i="19"/>
  <c r="GQ237" i="19"/>
  <c r="GR237" i="19"/>
  <c r="GS237" i="19"/>
  <c r="GT237" i="19"/>
  <c r="GU237" i="19"/>
  <c r="GV237" i="19"/>
  <c r="GW237" i="19"/>
  <c r="GX237" i="19"/>
  <c r="GY237" i="19"/>
  <c r="GZ237" i="19"/>
  <c r="HA237" i="19"/>
  <c r="HB237" i="19"/>
  <c r="HC237" i="19"/>
  <c r="HD237" i="19"/>
  <c r="HE237" i="19"/>
  <c r="HF237" i="19"/>
  <c r="HG237" i="19"/>
  <c r="HH237" i="19"/>
  <c r="HI237" i="19"/>
  <c r="HJ237" i="19"/>
  <c r="HK237" i="19"/>
  <c r="HL237" i="19"/>
  <c r="HM237" i="19"/>
  <c r="HN237" i="19"/>
  <c r="HO237" i="19"/>
  <c r="HP237" i="19"/>
  <c r="HQ237" i="19"/>
  <c r="HR237" i="19"/>
  <c r="HS237" i="19"/>
  <c r="HT237" i="19"/>
  <c r="HU237" i="19"/>
  <c r="HV237" i="19"/>
  <c r="HW237" i="19"/>
  <c r="HX237" i="19"/>
  <c r="HY237" i="19"/>
  <c r="HZ237" i="19"/>
  <c r="IA237" i="19"/>
  <c r="IB237" i="19"/>
  <c r="IC237" i="19"/>
  <c r="ID237" i="19"/>
  <c r="IE237" i="19"/>
  <c r="IF237" i="19"/>
  <c r="IG237" i="19"/>
  <c r="IH237" i="19"/>
  <c r="II237" i="19"/>
  <c r="IJ237" i="19"/>
  <c r="IK237" i="19"/>
  <c r="IL237" i="19"/>
  <c r="IM237" i="19"/>
  <c r="IN237" i="19"/>
  <c r="IO237" i="19"/>
  <c r="IP237" i="19"/>
  <c r="IQ237" i="19"/>
  <c r="IR237" i="19"/>
  <c r="IS237" i="19"/>
  <c r="IT237" i="19"/>
  <c r="IU237" i="19"/>
  <c r="IV237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T238" i="19"/>
  <c r="U238" i="19"/>
  <c r="V238" i="19"/>
  <c r="W238" i="19"/>
  <c r="X238" i="19"/>
  <c r="Y238" i="19"/>
  <c r="Z238" i="19"/>
  <c r="AA238" i="19"/>
  <c r="AB238" i="19"/>
  <c r="AC238" i="19"/>
  <c r="AD238" i="19"/>
  <c r="AE238" i="19"/>
  <c r="AF238" i="19"/>
  <c r="AG238" i="19"/>
  <c r="AH238" i="19"/>
  <c r="AI238" i="19"/>
  <c r="AJ238" i="19"/>
  <c r="AK238" i="19"/>
  <c r="AL238" i="19"/>
  <c r="AM238" i="19"/>
  <c r="AN238" i="19"/>
  <c r="AO238" i="19"/>
  <c r="AP238" i="19"/>
  <c r="AQ238" i="19"/>
  <c r="AR238" i="19"/>
  <c r="AS238" i="19"/>
  <c r="AT238" i="19"/>
  <c r="AU238" i="19"/>
  <c r="AV238" i="19"/>
  <c r="AW238" i="19"/>
  <c r="AX238" i="19"/>
  <c r="AY238" i="19"/>
  <c r="AZ238" i="19"/>
  <c r="BA238" i="19"/>
  <c r="BB238" i="19"/>
  <c r="BC238" i="19"/>
  <c r="BD238" i="19"/>
  <c r="BE238" i="19"/>
  <c r="BF238" i="19"/>
  <c r="BG238" i="19"/>
  <c r="BH238" i="19"/>
  <c r="BI238" i="19"/>
  <c r="BJ238" i="19"/>
  <c r="BK238" i="19"/>
  <c r="BL238" i="19"/>
  <c r="BM238" i="19"/>
  <c r="BN238" i="19"/>
  <c r="BO238" i="19"/>
  <c r="BP238" i="19"/>
  <c r="BQ238" i="19"/>
  <c r="BR238" i="19"/>
  <c r="BS238" i="19"/>
  <c r="BT238" i="19"/>
  <c r="BU238" i="19"/>
  <c r="BV238" i="19"/>
  <c r="BW238" i="19"/>
  <c r="BX238" i="19"/>
  <c r="BY238" i="19"/>
  <c r="BZ238" i="19"/>
  <c r="CA238" i="19"/>
  <c r="CB238" i="19"/>
  <c r="CC238" i="19"/>
  <c r="CD238" i="19"/>
  <c r="CE238" i="19"/>
  <c r="CF238" i="19"/>
  <c r="CG238" i="19"/>
  <c r="CH238" i="19"/>
  <c r="CI238" i="19"/>
  <c r="CJ238" i="19"/>
  <c r="CK238" i="19"/>
  <c r="CL238" i="19"/>
  <c r="CM238" i="19"/>
  <c r="CN238" i="19"/>
  <c r="CO238" i="19"/>
  <c r="CP238" i="19"/>
  <c r="CQ238" i="19"/>
  <c r="CR238" i="19"/>
  <c r="CS238" i="19"/>
  <c r="CT238" i="19"/>
  <c r="CU238" i="19"/>
  <c r="CV238" i="19"/>
  <c r="CW238" i="19"/>
  <c r="CX238" i="19"/>
  <c r="CY238" i="19"/>
  <c r="CZ238" i="19"/>
  <c r="DA238" i="19"/>
  <c r="DB238" i="19"/>
  <c r="DC238" i="19"/>
  <c r="DD238" i="19"/>
  <c r="DE238" i="19"/>
  <c r="DF238" i="19"/>
  <c r="DG238" i="19"/>
  <c r="DH238" i="19"/>
  <c r="DI238" i="19"/>
  <c r="DJ238" i="19"/>
  <c r="DK238" i="19"/>
  <c r="DL238" i="19"/>
  <c r="DM238" i="19"/>
  <c r="DN238" i="19"/>
  <c r="DO238" i="19"/>
  <c r="DP238" i="19"/>
  <c r="DQ238" i="19"/>
  <c r="DR238" i="19"/>
  <c r="DS238" i="19"/>
  <c r="DT238" i="19"/>
  <c r="DU238" i="19"/>
  <c r="DV238" i="19"/>
  <c r="DW238" i="19"/>
  <c r="DX238" i="19"/>
  <c r="DY238" i="19"/>
  <c r="DZ238" i="19"/>
  <c r="EA238" i="19"/>
  <c r="EB238" i="19"/>
  <c r="EC238" i="19"/>
  <c r="ED238" i="19"/>
  <c r="EE238" i="19"/>
  <c r="EF238" i="19"/>
  <c r="EG238" i="19"/>
  <c r="EH238" i="19"/>
  <c r="EI238" i="19"/>
  <c r="EJ238" i="19"/>
  <c r="EK238" i="19"/>
  <c r="EL238" i="19"/>
  <c r="EM238" i="19"/>
  <c r="EN238" i="19"/>
  <c r="EO238" i="19"/>
  <c r="EP238" i="19"/>
  <c r="EQ238" i="19"/>
  <c r="ER238" i="19"/>
  <c r="ES238" i="19"/>
  <c r="ET238" i="19"/>
  <c r="EU238" i="19"/>
  <c r="EV238" i="19"/>
  <c r="EW238" i="19"/>
  <c r="EX238" i="19"/>
  <c r="EY238" i="19"/>
  <c r="EZ238" i="19"/>
  <c r="FA238" i="19"/>
  <c r="FB238" i="19"/>
  <c r="FC238" i="19"/>
  <c r="FD238" i="19"/>
  <c r="FE238" i="19"/>
  <c r="FF238" i="19"/>
  <c r="FG238" i="19"/>
  <c r="FH238" i="19"/>
  <c r="FI238" i="19"/>
  <c r="FJ238" i="19"/>
  <c r="FK238" i="19"/>
  <c r="FL238" i="19"/>
  <c r="FM238" i="19"/>
  <c r="FN238" i="19"/>
  <c r="FO238" i="19"/>
  <c r="FP238" i="19"/>
  <c r="FQ238" i="19"/>
  <c r="FR238" i="19"/>
  <c r="FS238" i="19"/>
  <c r="FT238" i="19"/>
  <c r="FU238" i="19"/>
  <c r="FV238" i="19"/>
  <c r="FW238" i="19"/>
  <c r="FX238" i="19"/>
  <c r="FY238" i="19"/>
  <c r="FZ238" i="19"/>
  <c r="GA238" i="19"/>
  <c r="GB238" i="19"/>
  <c r="GC238" i="19"/>
  <c r="GD238" i="19"/>
  <c r="GE238" i="19"/>
  <c r="GF238" i="19"/>
  <c r="GG238" i="19"/>
  <c r="GH238" i="19"/>
  <c r="GI238" i="19"/>
  <c r="GJ238" i="19"/>
  <c r="GK238" i="19"/>
  <c r="GL238" i="19"/>
  <c r="GM238" i="19"/>
  <c r="GN238" i="19"/>
  <c r="GO238" i="19"/>
  <c r="GP238" i="19"/>
  <c r="GQ238" i="19"/>
  <c r="GR238" i="19"/>
  <c r="GS238" i="19"/>
  <c r="GT238" i="19"/>
  <c r="GU238" i="19"/>
  <c r="GV238" i="19"/>
  <c r="GW238" i="19"/>
  <c r="GX238" i="19"/>
  <c r="GY238" i="19"/>
  <c r="GZ238" i="19"/>
  <c r="HA238" i="19"/>
  <c r="HB238" i="19"/>
  <c r="HC238" i="19"/>
  <c r="HD238" i="19"/>
  <c r="HE238" i="19"/>
  <c r="HF238" i="19"/>
  <c r="HG238" i="19"/>
  <c r="HH238" i="19"/>
  <c r="HI238" i="19"/>
  <c r="HJ238" i="19"/>
  <c r="HK238" i="19"/>
  <c r="HL238" i="19"/>
  <c r="HM238" i="19"/>
  <c r="HN238" i="19"/>
  <c r="HO238" i="19"/>
  <c r="HP238" i="19"/>
  <c r="HQ238" i="19"/>
  <c r="HR238" i="19"/>
  <c r="HS238" i="19"/>
  <c r="HT238" i="19"/>
  <c r="HU238" i="19"/>
  <c r="HV238" i="19"/>
  <c r="HW238" i="19"/>
  <c r="HX238" i="19"/>
  <c r="HY238" i="19"/>
  <c r="HZ238" i="19"/>
  <c r="IA238" i="19"/>
  <c r="IB238" i="19"/>
  <c r="IC238" i="19"/>
  <c r="ID238" i="19"/>
  <c r="IE238" i="19"/>
  <c r="IF238" i="19"/>
  <c r="IG238" i="19"/>
  <c r="IH238" i="19"/>
  <c r="II238" i="19"/>
  <c r="IJ238" i="19"/>
  <c r="IK238" i="19"/>
  <c r="IL238" i="19"/>
  <c r="IM238" i="19"/>
  <c r="IN238" i="19"/>
  <c r="IO238" i="19"/>
  <c r="IP238" i="19"/>
  <c r="IQ238" i="19"/>
  <c r="IR238" i="19"/>
  <c r="IS238" i="19"/>
  <c r="IT238" i="19"/>
  <c r="IU238" i="19"/>
  <c r="IV238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T239" i="19"/>
  <c r="U239" i="19"/>
  <c r="V239" i="19"/>
  <c r="W239" i="19"/>
  <c r="X239" i="19"/>
  <c r="Y239" i="19"/>
  <c r="Z239" i="19"/>
  <c r="AA239" i="19"/>
  <c r="AB239" i="19"/>
  <c r="AC239" i="19"/>
  <c r="AD239" i="19"/>
  <c r="AE239" i="19"/>
  <c r="AF239" i="19"/>
  <c r="AG239" i="19"/>
  <c r="AH239" i="19"/>
  <c r="AI239" i="19"/>
  <c r="AJ239" i="19"/>
  <c r="AK239" i="19"/>
  <c r="AL239" i="19"/>
  <c r="AM239" i="19"/>
  <c r="AN239" i="19"/>
  <c r="AO239" i="19"/>
  <c r="AP239" i="19"/>
  <c r="AQ239" i="19"/>
  <c r="AR239" i="19"/>
  <c r="AS239" i="19"/>
  <c r="AT239" i="19"/>
  <c r="AU239" i="19"/>
  <c r="AV239" i="19"/>
  <c r="AW239" i="19"/>
  <c r="AX239" i="19"/>
  <c r="AY239" i="19"/>
  <c r="AZ239" i="19"/>
  <c r="BA239" i="19"/>
  <c r="BB239" i="19"/>
  <c r="BC239" i="19"/>
  <c r="BD239" i="19"/>
  <c r="BE239" i="19"/>
  <c r="BF239" i="19"/>
  <c r="BG239" i="19"/>
  <c r="BH239" i="19"/>
  <c r="BI239" i="19"/>
  <c r="BJ239" i="19"/>
  <c r="BK239" i="19"/>
  <c r="BL239" i="19"/>
  <c r="BM239" i="19"/>
  <c r="BN239" i="19"/>
  <c r="BO239" i="19"/>
  <c r="BP239" i="19"/>
  <c r="BQ239" i="19"/>
  <c r="BR239" i="19"/>
  <c r="BS239" i="19"/>
  <c r="BT239" i="19"/>
  <c r="BU239" i="19"/>
  <c r="BV239" i="19"/>
  <c r="BW239" i="19"/>
  <c r="BX239" i="19"/>
  <c r="BY239" i="19"/>
  <c r="BZ239" i="19"/>
  <c r="CA239" i="19"/>
  <c r="CB239" i="19"/>
  <c r="CC239" i="19"/>
  <c r="CD239" i="19"/>
  <c r="CE239" i="19"/>
  <c r="CF239" i="19"/>
  <c r="CG239" i="19"/>
  <c r="CH239" i="19"/>
  <c r="CI239" i="19"/>
  <c r="CJ239" i="19"/>
  <c r="CK239" i="19"/>
  <c r="CL239" i="19"/>
  <c r="CM239" i="19"/>
  <c r="CN239" i="19"/>
  <c r="CO239" i="19"/>
  <c r="CP239" i="19"/>
  <c r="CQ239" i="19"/>
  <c r="CR239" i="19"/>
  <c r="CS239" i="19"/>
  <c r="CT239" i="19"/>
  <c r="CU239" i="19"/>
  <c r="CV239" i="19"/>
  <c r="CW239" i="19"/>
  <c r="CX239" i="19"/>
  <c r="CY239" i="19"/>
  <c r="CZ239" i="19"/>
  <c r="DA239" i="19"/>
  <c r="DB239" i="19"/>
  <c r="DC239" i="19"/>
  <c r="DD239" i="19"/>
  <c r="DE239" i="19"/>
  <c r="DF239" i="19"/>
  <c r="DG239" i="19"/>
  <c r="DH239" i="19"/>
  <c r="DI239" i="19"/>
  <c r="DJ239" i="19"/>
  <c r="DK239" i="19"/>
  <c r="DL239" i="19"/>
  <c r="DM239" i="19"/>
  <c r="DN239" i="19"/>
  <c r="DO239" i="19"/>
  <c r="DP239" i="19"/>
  <c r="DQ239" i="19"/>
  <c r="DR239" i="19"/>
  <c r="DS239" i="19"/>
  <c r="DT239" i="19"/>
  <c r="DU239" i="19"/>
  <c r="DV239" i="19"/>
  <c r="DW239" i="19"/>
  <c r="DX239" i="19"/>
  <c r="DY239" i="19"/>
  <c r="DZ239" i="19"/>
  <c r="EA239" i="19"/>
  <c r="EB239" i="19"/>
  <c r="EC239" i="19"/>
  <c r="ED239" i="19"/>
  <c r="EE239" i="19"/>
  <c r="EF239" i="19"/>
  <c r="EG239" i="19"/>
  <c r="EH239" i="19"/>
  <c r="EI239" i="19"/>
  <c r="EJ239" i="19"/>
  <c r="EK239" i="19"/>
  <c r="EL239" i="19"/>
  <c r="EM239" i="19"/>
  <c r="EN239" i="19"/>
  <c r="EO239" i="19"/>
  <c r="EP239" i="19"/>
  <c r="EQ239" i="19"/>
  <c r="ER239" i="19"/>
  <c r="ES239" i="19"/>
  <c r="ET239" i="19"/>
  <c r="EU239" i="19"/>
  <c r="EV239" i="19"/>
  <c r="EW239" i="19"/>
  <c r="EX239" i="19"/>
  <c r="EY239" i="19"/>
  <c r="EZ239" i="19"/>
  <c r="FA239" i="19"/>
  <c r="FB239" i="19"/>
  <c r="FC239" i="19"/>
  <c r="FD239" i="19"/>
  <c r="FE239" i="19"/>
  <c r="FF239" i="19"/>
  <c r="FG239" i="19"/>
  <c r="FH239" i="19"/>
  <c r="FI239" i="19"/>
  <c r="FJ239" i="19"/>
  <c r="FK239" i="19"/>
  <c r="FL239" i="19"/>
  <c r="FM239" i="19"/>
  <c r="FN239" i="19"/>
  <c r="FO239" i="19"/>
  <c r="FP239" i="19"/>
  <c r="FQ239" i="19"/>
  <c r="FR239" i="19"/>
  <c r="FS239" i="19"/>
  <c r="FT239" i="19"/>
  <c r="FU239" i="19"/>
  <c r="FV239" i="19"/>
  <c r="FW239" i="19"/>
  <c r="FX239" i="19"/>
  <c r="FY239" i="19"/>
  <c r="FZ239" i="19"/>
  <c r="GA239" i="19"/>
  <c r="GB239" i="19"/>
  <c r="GC239" i="19"/>
  <c r="GD239" i="19"/>
  <c r="GE239" i="19"/>
  <c r="GF239" i="19"/>
  <c r="GG239" i="19"/>
  <c r="GH239" i="19"/>
  <c r="GI239" i="19"/>
  <c r="GJ239" i="19"/>
  <c r="GK239" i="19"/>
  <c r="GL239" i="19"/>
  <c r="GM239" i="19"/>
  <c r="GN239" i="19"/>
  <c r="GO239" i="19"/>
  <c r="GP239" i="19"/>
  <c r="GQ239" i="19"/>
  <c r="GR239" i="19"/>
  <c r="GS239" i="19"/>
  <c r="GT239" i="19"/>
  <c r="GU239" i="19"/>
  <c r="GV239" i="19"/>
  <c r="GW239" i="19"/>
  <c r="GX239" i="19"/>
  <c r="GY239" i="19"/>
  <c r="GZ239" i="19"/>
  <c r="HA239" i="19"/>
  <c r="HB239" i="19"/>
  <c r="HC239" i="19"/>
  <c r="HD239" i="19"/>
  <c r="HE239" i="19"/>
  <c r="HF239" i="19"/>
  <c r="HG239" i="19"/>
  <c r="HH239" i="19"/>
  <c r="HI239" i="19"/>
  <c r="HJ239" i="19"/>
  <c r="HK239" i="19"/>
  <c r="HL239" i="19"/>
  <c r="HM239" i="19"/>
  <c r="HN239" i="19"/>
  <c r="HO239" i="19"/>
  <c r="HP239" i="19"/>
  <c r="HQ239" i="19"/>
  <c r="HR239" i="19"/>
  <c r="HS239" i="19"/>
  <c r="HT239" i="19"/>
  <c r="HU239" i="19"/>
  <c r="HV239" i="19"/>
  <c r="HW239" i="19"/>
  <c r="HX239" i="19"/>
  <c r="HY239" i="19"/>
  <c r="HZ239" i="19"/>
  <c r="IA239" i="19"/>
  <c r="IB239" i="19"/>
  <c r="IC239" i="19"/>
  <c r="ID239" i="19"/>
  <c r="IE239" i="19"/>
  <c r="IF239" i="19"/>
  <c r="IG239" i="19"/>
  <c r="IH239" i="19"/>
  <c r="II239" i="19"/>
  <c r="IJ239" i="19"/>
  <c r="IK239" i="19"/>
  <c r="IL239" i="19"/>
  <c r="IM239" i="19"/>
  <c r="IN239" i="19"/>
  <c r="IO239" i="19"/>
  <c r="IP239" i="19"/>
  <c r="IQ239" i="19"/>
  <c r="IR239" i="19"/>
  <c r="IS239" i="19"/>
  <c r="IT239" i="19"/>
  <c r="IU239" i="19"/>
  <c r="IV239" i="19"/>
  <c r="F240" i="19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T240" i="19"/>
  <c r="U240" i="19"/>
  <c r="V240" i="19"/>
  <c r="W240" i="19"/>
  <c r="X240" i="19"/>
  <c r="Y240" i="19"/>
  <c r="Z240" i="19"/>
  <c r="AA240" i="19"/>
  <c r="AB240" i="19"/>
  <c r="AC240" i="19"/>
  <c r="AD240" i="19"/>
  <c r="AE240" i="19"/>
  <c r="AF240" i="19"/>
  <c r="AG240" i="19"/>
  <c r="AH240" i="19"/>
  <c r="AI240" i="19"/>
  <c r="AJ240" i="19"/>
  <c r="AK240" i="19"/>
  <c r="AL240" i="19"/>
  <c r="AM240" i="19"/>
  <c r="AN240" i="19"/>
  <c r="AO240" i="19"/>
  <c r="AP240" i="19"/>
  <c r="AQ240" i="19"/>
  <c r="AR240" i="19"/>
  <c r="AS240" i="19"/>
  <c r="AT240" i="19"/>
  <c r="AU240" i="19"/>
  <c r="AV240" i="19"/>
  <c r="AW240" i="19"/>
  <c r="AX240" i="19"/>
  <c r="AY240" i="19"/>
  <c r="AZ240" i="19"/>
  <c r="BA240" i="19"/>
  <c r="BB240" i="19"/>
  <c r="BC240" i="19"/>
  <c r="BD240" i="19"/>
  <c r="BE240" i="19"/>
  <c r="BF240" i="19"/>
  <c r="BG240" i="19"/>
  <c r="BH240" i="19"/>
  <c r="BI240" i="19"/>
  <c r="BJ240" i="19"/>
  <c r="BK240" i="19"/>
  <c r="BL240" i="19"/>
  <c r="BM240" i="19"/>
  <c r="BN240" i="19"/>
  <c r="BO240" i="19"/>
  <c r="BP240" i="19"/>
  <c r="BQ240" i="19"/>
  <c r="BR240" i="19"/>
  <c r="BS240" i="19"/>
  <c r="BT240" i="19"/>
  <c r="BU240" i="19"/>
  <c r="BV240" i="19"/>
  <c r="BW240" i="19"/>
  <c r="BX240" i="19"/>
  <c r="BY240" i="19"/>
  <c r="BZ240" i="19"/>
  <c r="CA240" i="19"/>
  <c r="CB240" i="19"/>
  <c r="CC240" i="19"/>
  <c r="CD240" i="19"/>
  <c r="CE240" i="19"/>
  <c r="CF240" i="19"/>
  <c r="CG240" i="19"/>
  <c r="CH240" i="19"/>
  <c r="CI240" i="19"/>
  <c r="CJ240" i="19"/>
  <c r="CK240" i="19"/>
  <c r="CL240" i="19"/>
  <c r="CM240" i="19"/>
  <c r="CN240" i="19"/>
  <c r="CO240" i="19"/>
  <c r="CP240" i="19"/>
  <c r="CQ240" i="19"/>
  <c r="CR240" i="19"/>
  <c r="CS240" i="19"/>
  <c r="CT240" i="19"/>
  <c r="CU240" i="19"/>
  <c r="CV240" i="19"/>
  <c r="CW240" i="19"/>
  <c r="CX240" i="19"/>
  <c r="CY240" i="19"/>
  <c r="CZ240" i="19"/>
  <c r="DA240" i="19"/>
  <c r="DB240" i="19"/>
  <c r="DC240" i="19"/>
  <c r="DD240" i="19"/>
  <c r="DE240" i="19"/>
  <c r="DF240" i="19"/>
  <c r="DG240" i="19"/>
  <c r="DH240" i="19"/>
  <c r="DI240" i="19"/>
  <c r="DJ240" i="19"/>
  <c r="DK240" i="19"/>
  <c r="DL240" i="19"/>
  <c r="DM240" i="19"/>
  <c r="DN240" i="19"/>
  <c r="DO240" i="19"/>
  <c r="DP240" i="19"/>
  <c r="DQ240" i="19"/>
  <c r="DR240" i="19"/>
  <c r="DS240" i="19"/>
  <c r="DT240" i="19"/>
  <c r="DU240" i="19"/>
  <c r="DV240" i="19"/>
  <c r="DW240" i="19"/>
  <c r="DX240" i="19"/>
  <c r="DY240" i="19"/>
  <c r="DZ240" i="19"/>
  <c r="EA240" i="19"/>
  <c r="EB240" i="19"/>
  <c r="EC240" i="19"/>
  <c r="ED240" i="19"/>
  <c r="EE240" i="19"/>
  <c r="EF240" i="19"/>
  <c r="EG240" i="19"/>
  <c r="EH240" i="19"/>
  <c r="EI240" i="19"/>
  <c r="EJ240" i="19"/>
  <c r="EK240" i="19"/>
  <c r="EL240" i="19"/>
  <c r="EM240" i="19"/>
  <c r="EN240" i="19"/>
  <c r="EO240" i="19"/>
  <c r="EP240" i="19"/>
  <c r="EQ240" i="19"/>
  <c r="ER240" i="19"/>
  <c r="ES240" i="19"/>
  <c r="ET240" i="19"/>
  <c r="EU240" i="19"/>
  <c r="EV240" i="19"/>
  <c r="EW240" i="19"/>
  <c r="EX240" i="19"/>
  <c r="EY240" i="19"/>
  <c r="EZ240" i="19"/>
  <c r="FA240" i="19"/>
  <c r="FB240" i="19"/>
  <c r="FC240" i="19"/>
  <c r="FD240" i="19"/>
  <c r="FE240" i="19"/>
  <c r="FF240" i="19"/>
  <c r="FG240" i="19"/>
  <c r="FH240" i="19"/>
  <c r="FI240" i="19"/>
  <c r="FJ240" i="19"/>
  <c r="FK240" i="19"/>
  <c r="FL240" i="19"/>
  <c r="FM240" i="19"/>
  <c r="FN240" i="19"/>
  <c r="FO240" i="19"/>
  <c r="FP240" i="19"/>
  <c r="FQ240" i="19"/>
  <c r="FR240" i="19"/>
  <c r="FS240" i="19"/>
  <c r="FT240" i="19"/>
  <c r="FU240" i="19"/>
  <c r="FV240" i="19"/>
  <c r="FW240" i="19"/>
  <c r="FX240" i="19"/>
  <c r="FY240" i="19"/>
  <c r="FZ240" i="19"/>
  <c r="GA240" i="19"/>
  <c r="GB240" i="19"/>
  <c r="GC240" i="19"/>
  <c r="GD240" i="19"/>
  <c r="GE240" i="19"/>
  <c r="GF240" i="19"/>
  <c r="GG240" i="19"/>
  <c r="GH240" i="19"/>
  <c r="GI240" i="19"/>
  <c r="GJ240" i="19"/>
  <c r="GK240" i="19"/>
  <c r="GL240" i="19"/>
  <c r="GM240" i="19"/>
  <c r="GN240" i="19"/>
  <c r="GO240" i="19"/>
  <c r="GP240" i="19"/>
  <c r="GQ240" i="19"/>
  <c r="GR240" i="19"/>
  <c r="GS240" i="19"/>
  <c r="GT240" i="19"/>
  <c r="GU240" i="19"/>
  <c r="GV240" i="19"/>
  <c r="GW240" i="19"/>
  <c r="GX240" i="19"/>
  <c r="GY240" i="19"/>
  <c r="GZ240" i="19"/>
  <c r="HA240" i="19"/>
  <c r="HB240" i="19"/>
  <c r="HC240" i="19"/>
  <c r="HD240" i="19"/>
  <c r="HE240" i="19"/>
  <c r="HF240" i="19"/>
  <c r="HG240" i="19"/>
  <c r="HH240" i="19"/>
  <c r="HI240" i="19"/>
  <c r="HJ240" i="19"/>
  <c r="HK240" i="19"/>
  <c r="HL240" i="19"/>
  <c r="HM240" i="19"/>
  <c r="HN240" i="19"/>
  <c r="HO240" i="19"/>
  <c r="HP240" i="19"/>
  <c r="HQ240" i="19"/>
  <c r="HR240" i="19"/>
  <c r="HS240" i="19"/>
  <c r="HT240" i="19"/>
  <c r="HU240" i="19"/>
  <c r="HV240" i="19"/>
  <c r="HW240" i="19"/>
  <c r="HX240" i="19"/>
  <c r="HY240" i="19"/>
  <c r="HZ240" i="19"/>
  <c r="IA240" i="19"/>
  <c r="IB240" i="19"/>
  <c r="IC240" i="19"/>
  <c r="ID240" i="19"/>
  <c r="IE240" i="19"/>
  <c r="IF240" i="19"/>
  <c r="IG240" i="19"/>
  <c r="IH240" i="19"/>
  <c r="II240" i="19"/>
  <c r="IJ240" i="19"/>
  <c r="IK240" i="19"/>
  <c r="IL240" i="19"/>
  <c r="IM240" i="19"/>
  <c r="IN240" i="19"/>
  <c r="IO240" i="19"/>
  <c r="IP240" i="19"/>
  <c r="IQ240" i="19"/>
  <c r="IR240" i="19"/>
  <c r="IS240" i="19"/>
  <c r="IT240" i="19"/>
  <c r="IU240" i="19"/>
  <c r="IV240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T241" i="19"/>
  <c r="U241" i="19"/>
  <c r="V241" i="19"/>
  <c r="W241" i="19"/>
  <c r="X241" i="19"/>
  <c r="Y241" i="19"/>
  <c r="Z241" i="19"/>
  <c r="AA241" i="19"/>
  <c r="AB241" i="19"/>
  <c r="AC241" i="19"/>
  <c r="AD241" i="19"/>
  <c r="AE241" i="19"/>
  <c r="AF241" i="19"/>
  <c r="AG241" i="19"/>
  <c r="AH241" i="19"/>
  <c r="AI241" i="19"/>
  <c r="AJ241" i="19"/>
  <c r="AK241" i="19"/>
  <c r="AL241" i="19"/>
  <c r="AM241" i="19"/>
  <c r="AN241" i="19"/>
  <c r="AO241" i="19"/>
  <c r="AP241" i="19"/>
  <c r="AQ241" i="19"/>
  <c r="AR241" i="19"/>
  <c r="AS241" i="19"/>
  <c r="AT241" i="19"/>
  <c r="AU241" i="19"/>
  <c r="AV241" i="19"/>
  <c r="AW241" i="19"/>
  <c r="AX241" i="19"/>
  <c r="AY241" i="19"/>
  <c r="AZ241" i="19"/>
  <c r="BA241" i="19"/>
  <c r="BB241" i="19"/>
  <c r="BC241" i="19"/>
  <c r="BD241" i="19"/>
  <c r="BE241" i="19"/>
  <c r="BF241" i="19"/>
  <c r="BG241" i="19"/>
  <c r="BH241" i="19"/>
  <c r="BI241" i="19"/>
  <c r="BJ241" i="19"/>
  <c r="BK241" i="19"/>
  <c r="BL241" i="19"/>
  <c r="BM241" i="19"/>
  <c r="BN241" i="19"/>
  <c r="BO241" i="19"/>
  <c r="BP241" i="19"/>
  <c r="BQ241" i="19"/>
  <c r="BR241" i="19"/>
  <c r="BS241" i="19"/>
  <c r="BT241" i="19"/>
  <c r="BU241" i="19"/>
  <c r="BV241" i="19"/>
  <c r="BW241" i="19"/>
  <c r="BX241" i="19"/>
  <c r="BY241" i="19"/>
  <c r="BZ241" i="19"/>
  <c r="CA241" i="19"/>
  <c r="CB241" i="19"/>
  <c r="CC241" i="19"/>
  <c r="CD241" i="19"/>
  <c r="CE241" i="19"/>
  <c r="CF241" i="19"/>
  <c r="CG241" i="19"/>
  <c r="CH241" i="19"/>
  <c r="CI241" i="19"/>
  <c r="CJ241" i="19"/>
  <c r="CK241" i="19"/>
  <c r="CL241" i="19"/>
  <c r="CM241" i="19"/>
  <c r="CN241" i="19"/>
  <c r="CO241" i="19"/>
  <c r="CP241" i="19"/>
  <c r="CQ241" i="19"/>
  <c r="CR241" i="19"/>
  <c r="CS241" i="19"/>
  <c r="CT241" i="19"/>
  <c r="CU241" i="19"/>
  <c r="CV241" i="19"/>
  <c r="CW241" i="19"/>
  <c r="CX241" i="19"/>
  <c r="CY241" i="19"/>
  <c r="CZ241" i="19"/>
  <c r="DA241" i="19"/>
  <c r="DB241" i="19"/>
  <c r="DC241" i="19"/>
  <c r="DD241" i="19"/>
  <c r="DE241" i="19"/>
  <c r="DF241" i="19"/>
  <c r="DG241" i="19"/>
  <c r="DH241" i="19"/>
  <c r="DI241" i="19"/>
  <c r="DJ241" i="19"/>
  <c r="DK241" i="19"/>
  <c r="DL241" i="19"/>
  <c r="DM241" i="19"/>
  <c r="DN241" i="19"/>
  <c r="DO241" i="19"/>
  <c r="DP241" i="19"/>
  <c r="DQ241" i="19"/>
  <c r="DR241" i="19"/>
  <c r="DS241" i="19"/>
  <c r="DT241" i="19"/>
  <c r="DU241" i="19"/>
  <c r="DV241" i="19"/>
  <c r="DW241" i="19"/>
  <c r="DX241" i="19"/>
  <c r="DY241" i="19"/>
  <c r="DZ241" i="19"/>
  <c r="EA241" i="19"/>
  <c r="EB241" i="19"/>
  <c r="EC241" i="19"/>
  <c r="ED241" i="19"/>
  <c r="EE241" i="19"/>
  <c r="EF241" i="19"/>
  <c r="EG241" i="19"/>
  <c r="EH241" i="19"/>
  <c r="EI241" i="19"/>
  <c r="EJ241" i="19"/>
  <c r="EK241" i="19"/>
  <c r="EL241" i="19"/>
  <c r="EM241" i="19"/>
  <c r="EN241" i="19"/>
  <c r="EO241" i="19"/>
  <c r="EP241" i="19"/>
  <c r="EQ241" i="19"/>
  <c r="ER241" i="19"/>
  <c r="ES241" i="19"/>
  <c r="ET241" i="19"/>
  <c r="EU241" i="19"/>
  <c r="EV241" i="19"/>
  <c r="EW241" i="19"/>
  <c r="EX241" i="19"/>
  <c r="EY241" i="19"/>
  <c r="EZ241" i="19"/>
  <c r="FA241" i="19"/>
  <c r="FB241" i="19"/>
  <c r="FC241" i="19"/>
  <c r="FD241" i="19"/>
  <c r="FE241" i="19"/>
  <c r="FF241" i="19"/>
  <c r="FG241" i="19"/>
  <c r="FH241" i="19"/>
  <c r="FI241" i="19"/>
  <c r="FJ241" i="19"/>
  <c r="FK241" i="19"/>
  <c r="FL241" i="19"/>
  <c r="FM241" i="19"/>
  <c r="FN241" i="19"/>
  <c r="FO241" i="19"/>
  <c r="FP241" i="19"/>
  <c r="FQ241" i="19"/>
  <c r="FR241" i="19"/>
  <c r="FS241" i="19"/>
  <c r="FT241" i="19"/>
  <c r="FU241" i="19"/>
  <c r="FV241" i="19"/>
  <c r="FW241" i="19"/>
  <c r="FX241" i="19"/>
  <c r="FY241" i="19"/>
  <c r="FZ241" i="19"/>
  <c r="GA241" i="19"/>
  <c r="GB241" i="19"/>
  <c r="GC241" i="19"/>
  <c r="GD241" i="19"/>
  <c r="GE241" i="19"/>
  <c r="GF241" i="19"/>
  <c r="GG241" i="19"/>
  <c r="GH241" i="19"/>
  <c r="GI241" i="19"/>
  <c r="GJ241" i="19"/>
  <c r="GK241" i="19"/>
  <c r="GL241" i="19"/>
  <c r="GM241" i="19"/>
  <c r="GN241" i="19"/>
  <c r="GO241" i="19"/>
  <c r="GP241" i="19"/>
  <c r="GQ241" i="19"/>
  <c r="GR241" i="19"/>
  <c r="GS241" i="19"/>
  <c r="GT241" i="19"/>
  <c r="GU241" i="19"/>
  <c r="GV241" i="19"/>
  <c r="GW241" i="19"/>
  <c r="GX241" i="19"/>
  <c r="GY241" i="19"/>
  <c r="GZ241" i="19"/>
  <c r="HA241" i="19"/>
  <c r="HB241" i="19"/>
  <c r="HC241" i="19"/>
  <c r="HD241" i="19"/>
  <c r="HE241" i="19"/>
  <c r="HF241" i="19"/>
  <c r="HG241" i="19"/>
  <c r="HH241" i="19"/>
  <c r="HI241" i="19"/>
  <c r="HJ241" i="19"/>
  <c r="HK241" i="19"/>
  <c r="HL241" i="19"/>
  <c r="HM241" i="19"/>
  <c r="HN241" i="19"/>
  <c r="HO241" i="19"/>
  <c r="HP241" i="19"/>
  <c r="HQ241" i="19"/>
  <c r="HR241" i="19"/>
  <c r="HS241" i="19"/>
  <c r="HT241" i="19"/>
  <c r="HU241" i="19"/>
  <c r="HV241" i="19"/>
  <c r="HW241" i="19"/>
  <c r="HX241" i="19"/>
  <c r="HY241" i="19"/>
  <c r="HZ241" i="19"/>
  <c r="IA241" i="19"/>
  <c r="IB241" i="19"/>
  <c r="IC241" i="19"/>
  <c r="ID241" i="19"/>
  <c r="IE241" i="19"/>
  <c r="IF241" i="19"/>
  <c r="IG241" i="19"/>
  <c r="IH241" i="19"/>
  <c r="II241" i="19"/>
  <c r="IJ241" i="19"/>
  <c r="IK241" i="19"/>
  <c r="IL241" i="19"/>
  <c r="IM241" i="19"/>
  <c r="IN241" i="19"/>
  <c r="IO241" i="19"/>
  <c r="IP241" i="19"/>
  <c r="IQ241" i="19"/>
  <c r="IR241" i="19"/>
  <c r="IS241" i="19"/>
  <c r="IT241" i="19"/>
  <c r="IU241" i="19"/>
  <c r="IV241" i="19"/>
  <c r="F242" i="19"/>
  <c r="G242" i="19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T242" i="19"/>
  <c r="U242" i="19"/>
  <c r="V242" i="19"/>
  <c r="W242" i="19"/>
  <c r="X242" i="19"/>
  <c r="Y242" i="19"/>
  <c r="Z242" i="19"/>
  <c r="AA242" i="19"/>
  <c r="AB242" i="19"/>
  <c r="AC242" i="19"/>
  <c r="AD242" i="19"/>
  <c r="AE242" i="19"/>
  <c r="AF242" i="19"/>
  <c r="AG242" i="19"/>
  <c r="AH242" i="19"/>
  <c r="AI242" i="19"/>
  <c r="AJ242" i="19"/>
  <c r="AK242" i="19"/>
  <c r="AL242" i="19"/>
  <c r="AM242" i="19"/>
  <c r="AN242" i="19"/>
  <c r="AO242" i="19"/>
  <c r="AP242" i="19"/>
  <c r="AQ242" i="19"/>
  <c r="AR242" i="19"/>
  <c r="AS242" i="19"/>
  <c r="AT242" i="19"/>
  <c r="AU242" i="19"/>
  <c r="AV242" i="19"/>
  <c r="AW242" i="19"/>
  <c r="AX242" i="19"/>
  <c r="AY242" i="19"/>
  <c r="AZ242" i="19"/>
  <c r="BA242" i="19"/>
  <c r="BB242" i="19"/>
  <c r="BC242" i="19"/>
  <c r="BD242" i="19"/>
  <c r="BE242" i="19"/>
  <c r="BF242" i="19"/>
  <c r="BG242" i="19"/>
  <c r="BH242" i="19"/>
  <c r="BI242" i="19"/>
  <c r="BJ242" i="19"/>
  <c r="BK242" i="19"/>
  <c r="BL242" i="19"/>
  <c r="BM242" i="19"/>
  <c r="BN242" i="19"/>
  <c r="BO242" i="19"/>
  <c r="BP242" i="19"/>
  <c r="BQ242" i="19"/>
  <c r="BR242" i="19"/>
  <c r="BS242" i="19"/>
  <c r="BT242" i="19"/>
  <c r="BU242" i="19"/>
  <c r="BV242" i="19"/>
  <c r="BW242" i="19"/>
  <c r="BX242" i="19"/>
  <c r="BY242" i="19"/>
  <c r="BZ242" i="19"/>
  <c r="CA242" i="19"/>
  <c r="CB242" i="19"/>
  <c r="CC242" i="19"/>
  <c r="CD242" i="19"/>
  <c r="CE242" i="19"/>
  <c r="CF242" i="19"/>
  <c r="CG242" i="19"/>
  <c r="CH242" i="19"/>
  <c r="CI242" i="19"/>
  <c r="CJ242" i="19"/>
  <c r="CK242" i="19"/>
  <c r="CL242" i="19"/>
  <c r="CM242" i="19"/>
  <c r="CN242" i="19"/>
  <c r="CO242" i="19"/>
  <c r="CP242" i="19"/>
  <c r="CQ242" i="19"/>
  <c r="CR242" i="19"/>
  <c r="CS242" i="19"/>
  <c r="CT242" i="19"/>
  <c r="CU242" i="19"/>
  <c r="CV242" i="19"/>
  <c r="CW242" i="19"/>
  <c r="CX242" i="19"/>
  <c r="CY242" i="19"/>
  <c r="CZ242" i="19"/>
  <c r="DA242" i="19"/>
  <c r="DB242" i="19"/>
  <c r="DC242" i="19"/>
  <c r="DD242" i="19"/>
  <c r="DE242" i="19"/>
  <c r="DF242" i="19"/>
  <c r="DG242" i="19"/>
  <c r="DH242" i="19"/>
  <c r="DI242" i="19"/>
  <c r="DJ242" i="19"/>
  <c r="DK242" i="19"/>
  <c r="DL242" i="19"/>
  <c r="DM242" i="19"/>
  <c r="DN242" i="19"/>
  <c r="DO242" i="19"/>
  <c r="DP242" i="19"/>
  <c r="DQ242" i="19"/>
  <c r="DR242" i="19"/>
  <c r="DS242" i="19"/>
  <c r="DT242" i="19"/>
  <c r="DU242" i="19"/>
  <c r="DV242" i="19"/>
  <c r="DW242" i="19"/>
  <c r="DX242" i="19"/>
  <c r="DY242" i="19"/>
  <c r="DZ242" i="19"/>
  <c r="EA242" i="19"/>
  <c r="EB242" i="19"/>
  <c r="EC242" i="19"/>
  <c r="ED242" i="19"/>
  <c r="EE242" i="19"/>
  <c r="EF242" i="19"/>
  <c r="EG242" i="19"/>
  <c r="EH242" i="19"/>
  <c r="EI242" i="19"/>
  <c r="EJ242" i="19"/>
  <c r="EK242" i="19"/>
  <c r="EL242" i="19"/>
  <c r="EM242" i="19"/>
  <c r="EN242" i="19"/>
  <c r="EO242" i="19"/>
  <c r="EP242" i="19"/>
  <c r="EQ242" i="19"/>
  <c r="ER242" i="19"/>
  <c r="ES242" i="19"/>
  <c r="ET242" i="19"/>
  <c r="EU242" i="19"/>
  <c r="EV242" i="19"/>
  <c r="EW242" i="19"/>
  <c r="EX242" i="19"/>
  <c r="EY242" i="19"/>
  <c r="EZ242" i="19"/>
  <c r="FA242" i="19"/>
  <c r="FB242" i="19"/>
  <c r="FC242" i="19"/>
  <c r="FD242" i="19"/>
  <c r="FE242" i="19"/>
  <c r="FF242" i="19"/>
  <c r="FG242" i="19"/>
  <c r="FH242" i="19"/>
  <c r="FI242" i="19"/>
  <c r="FJ242" i="19"/>
  <c r="FK242" i="19"/>
  <c r="FL242" i="19"/>
  <c r="FM242" i="19"/>
  <c r="FN242" i="19"/>
  <c r="FO242" i="19"/>
  <c r="FP242" i="19"/>
  <c r="FQ242" i="19"/>
  <c r="FR242" i="19"/>
  <c r="FS242" i="19"/>
  <c r="FT242" i="19"/>
  <c r="FU242" i="19"/>
  <c r="FV242" i="19"/>
  <c r="FW242" i="19"/>
  <c r="FX242" i="19"/>
  <c r="FY242" i="19"/>
  <c r="FZ242" i="19"/>
  <c r="GA242" i="19"/>
  <c r="GB242" i="19"/>
  <c r="GC242" i="19"/>
  <c r="GD242" i="19"/>
  <c r="GE242" i="19"/>
  <c r="GF242" i="19"/>
  <c r="GG242" i="19"/>
  <c r="GH242" i="19"/>
  <c r="GI242" i="19"/>
  <c r="GJ242" i="19"/>
  <c r="GK242" i="19"/>
  <c r="GL242" i="19"/>
  <c r="GM242" i="19"/>
  <c r="GN242" i="19"/>
  <c r="GO242" i="19"/>
  <c r="GP242" i="19"/>
  <c r="GQ242" i="19"/>
  <c r="GR242" i="19"/>
  <c r="GS242" i="19"/>
  <c r="GT242" i="19"/>
  <c r="GU242" i="19"/>
  <c r="GV242" i="19"/>
  <c r="GW242" i="19"/>
  <c r="GX242" i="19"/>
  <c r="GY242" i="19"/>
  <c r="GZ242" i="19"/>
  <c r="HA242" i="19"/>
  <c r="HB242" i="19"/>
  <c r="HC242" i="19"/>
  <c r="HD242" i="19"/>
  <c r="HE242" i="19"/>
  <c r="HF242" i="19"/>
  <c r="HG242" i="19"/>
  <c r="HH242" i="19"/>
  <c r="HI242" i="19"/>
  <c r="HJ242" i="19"/>
  <c r="HK242" i="19"/>
  <c r="HL242" i="19"/>
  <c r="HM242" i="19"/>
  <c r="HN242" i="19"/>
  <c r="HO242" i="19"/>
  <c r="HP242" i="19"/>
  <c r="HQ242" i="19"/>
  <c r="HR242" i="19"/>
  <c r="HS242" i="19"/>
  <c r="HT242" i="19"/>
  <c r="HU242" i="19"/>
  <c r="HV242" i="19"/>
  <c r="HW242" i="19"/>
  <c r="HX242" i="19"/>
  <c r="HY242" i="19"/>
  <c r="HZ242" i="19"/>
  <c r="IA242" i="19"/>
  <c r="IB242" i="19"/>
  <c r="IC242" i="19"/>
  <c r="ID242" i="19"/>
  <c r="IE242" i="19"/>
  <c r="IF242" i="19"/>
  <c r="IG242" i="19"/>
  <c r="IH242" i="19"/>
  <c r="II242" i="19"/>
  <c r="IJ242" i="19"/>
  <c r="IK242" i="19"/>
  <c r="IL242" i="19"/>
  <c r="IM242" i="19"/>
  <c r="IN242" i="19"/>
  <c r="IO242" i="19"/>
  <c r="IP242" i="19"/>
  <c r="IQ242" i="19"/>
  <c r="IR242" i="19"/>
  <c r="IS242" i="19"/>
  <c r="IT242" i="19"/>
  <c r="IU242" i="19"/>
  <c r="IV242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T243" i="19"/>
  <c r="U243" i="19"/>
  <c r="V243" i="19"/>
  <c r="W243" i="19"/>
  <c r="X243" i="19"/>
  <c r="Y243" i="19"/>
  <c r="Z243" i="19"/>
  <c r="AA243" i="19"/>
  <c r="AB243" i="19"/>
  <c r="AC243" i="19"/>
  <c r="AD243" i="19"/>
  <c r="AE243" i="19"/>
  <c r="AF243" i="19"/>
  <c r="AG243" i="19"/>
  <c r="AH243" i="19"/>
  <c r="AI243" i="19"/>
  <c r="AJ243" i="19"/>
  <c r="AK243" i="19"/>
  <c r="AL243" i="19"/>
  <c r="AM243" i="19"/>
  <c r="AN243" i="19"/>
  <c r="AO243" i="19"/>
  <c r="AP243" i="19"/>
  <c r="AQ243" i="19"/>
  <c r="AR243" i="19"/>
  <c r="AS243" i="19"/>
  <c r="AT243" i="19"/>
  <c r="AU243" i="19"/>
  <c r="AV243" i="19"/>
  <c r="AW243" i="19"/>
  <c r="AX243" i="19"/>
  <c r="AY243" i="19"/>
  <c r="AZ243" i="19"/>
  <c r="BA243" i="19"/>
  <c r="BB243" i="19"/>
  <c r="BC243" i="19"/>
  <c r="BD243" i="19"/>
  <c r="BE243" i="19"/>
  <c r="BF243" i="19"/>
  <c r="BG243" i="19"/>
  <c r="BH243" i="19"/>
  <c r="BI243" i="19"/>
  <c r="BJ243" i="19"/>
  <c r="BK243" i="19"/>
  <c r="BL243" i="19"/>
  <c r="BM243" i="19"/>
  <c r="BN243" i="19"/>
  <c r="BO243" i="19"/>
  <c r="BP243" i="19"/>
  <c r="BQ243" i="19"/>
  <c r="BR243" i="19"/>
  <c r="BS243" i="19"/>
  <c r="BT243" i="19"/>
  <c r="BU243" i="19"/>
  <c r="BV243" i="19"/>
  <c r="BW243" i="19"/>
  <c r="BX243" i="19"/>
  <c r="BY243" i="19"/>
  <c r="BZ243" i="19"/>
  <c r="CA243" i="19"/>
  <c r="CB243" i="19"/>
  <c r="CC243" i="19"/>
  <c r="CD243" i="19"/>
  <c r="CE243" i="19"/>
  <c r="CF243" i="19"/>
  <c r="CG243" i="19"/>
  <c r="CH243" i="19"/>
  <c r="CI243" i="19"/>
  <c r="CJ243" i="19"/>
  <c r="CK243" i="19"/>
  <c r="CL243" i="19"/>
  <c r="CM243" i="19"/>
  <c r="CN243" i="19"/>
  <c r="CO243" i="19"/>
  <c r="CP243" i="19"/>
  <c r="CQ243" i="19"/>
  <c r="CR243" i="19"/>
  <c r="CS243" i="19"/>
  <c r="CT243" i="19"/>
  <c r="CU243" i="19"/>
  <c r="CV243" i="19"/>
  <c r="CW243" i="19"/>
  <c r="CX243" i="19"/>
  <c r="CY243" i="19"/>
  <c r="CZ243" i="19"/>
  <c r="DA243" i="19"/>
  <c r="DB243" i="19"/>
  <c r="DC243" i="19"/>
  <c r="DD243" i="19"/>
  <c r="DE243" i="19"/>
  <c r="DF243" i="19"/>
  <c r="DG243" i="19"/>
  <c r="DH243" i="19"/>
  <c r="DI243" i="19"/>
  <c r="DJ243" i="19"/>
  <c r="DK243" i="19"/>
  <c r="DL243" i="19"/>
  <c r="DM243" i="19"/>
  <c r="DN243" i="19"/>
  <c r="DO243" i="19"/>
  <c r="DP243" i="19"/>
  <c r="DQ243" i="19"/>
  <c r="DR243" i="19"/>
  <c r="DS243" i="19"/>
  <c r="DT243" i="19"/>
  <c r="DU243" i="19"/>
  <c r="DV243" i="19"/>
  <c r="DW243" i="19"/>
  <c r="DX243" i="19"/>
  <c r="DY243" i="19"/>
  <c r="DZ243" i="19"/>
  <c r="EA243" i="19"/>
  <c r="EB243" i="19"/>
  <c r="EC243" i="19"/>
  <c r="ED243" i="19"/>
  <c r="EE243" i="19"/>
  <c r="EF243" i="19"/>
  <c r="EG243" i="19"/>
  <c r="EH243" i="19"/>
  <c r="EI243" i="19"/>
  <c r="EJ243" i="19"/>
  <c r="EK243" i="19"/>
  <c r="EL243" i="19"/>
  <c r="EM243" i="19"/>
  <c r="EN243" i="19"/>
  <c r="EO243" i="19"/>
  <c r="EP243" i="19"/>
  <c r="EQ243" i="19"/>
  <c r="ER243" i="19"/>
  <c r="ES243" i="19"/>
  <c r="ET243" i="19"/>
  <c r="EU243" i="19"/>
  <c r="EV243" i="19"/>
  <c r="EW243" i="19"/>
  <c r="EX243" i="19"/>
  <c r="EY243" i="19"/>
  <c r="EZ243" i="19"/>
  <c r="FA243" i="19"/>
  <c r="FB243" i="19"/>
  <c r="FC243" i="19"/>
  <c r="FD243" i="19"/>
  <c r="FE243" i="19"/>
  <c r="FF243" i="19"/>
  <c r="FG243" i="19"/>
  <c r="FH243" i="19"/>
  <c r="FI243" i="19"/>
  <c r="FJ243" i="19"/>
  <c r="FK243" i="19"/>
  <c r="FL243" i="19"/>
  <c r="FM243" i="19"/>
  <c r="FN243" i="19"/>
  <c r="FO243" i="19"/>
  <c r="FP243" i="19"/>
  <c r="FQ243" i="19"/>
  <c r="FR243" i="19"/>
  <c r="FS243" i="19"/>
  <c r="FT243" i="19"/>
  <c r="FU243" i="19"/>
  <c r="FV243" i="19"/>
  <c r="FW243" i="19"/>
  <c r="FX243" i="19"/>
  <c r="FY243" i="19"/>
  <c r="FZ243" i="19"/>
  <c r="GA243" i="19"/>
  <c r="GB243" i="19"/>
  <c r="GC243" i="19"/>
  <c r="GD243" i="19"/>
  <c r="GE243" i="19"/>
  <c r="GF243" i="19"/>
  <c r="GG243" i="19"/>
  <c r="GH243" i="19"/>
  <c r="GI243" i="19"/>
  <c r="GJ243" i="19"/>
  <c r="GK243" i="19"/>
  <c r="GL243" i="19"/>
  <c r="GM243" i="19"/>
  <c r="GN243" i="19"/>
  <c r="GO243" i="19"/>
  <c r="GP243" i="19"/>
  <c r="GQ243" i="19"/>
  <c r="GR243" i="19"/>
  <c r="GS243" i="19"/>
  <c r="GT243" i="19"/>
  <c r="GU243" i="19"/>
  <c r="GV243" i="19"/>
  <c r="GW243" i="19"/>
  <c r="GX243" i="19"/>
  <c r="GY243" i="19"/>
  <c r="GZ243" i="19"/>
  <c r="HA243" i="19"/>
  <c r="HB243" i="19"/>
  <c r="HC243" i="19"/>
  <c r="HD243" i="19"/>
  <c r="HE243" i="19"/>
  <c r="HF243" i="19"/>
  <c r="HG243" i="19"/>
  <c r="HH243" i="19"/>
  <c r="HI243" i="19"/>
  <c r="HJ243" i="19"/>
  <c r="HK243" i="19"/>
  <c r="HL243" i="19"/>
  <c r="HM243" i="19"/>
  <c r="HN243" i="19"/>
  <c r="HO243" i="19"/>
  <c r="HP243" i="19"/>
  <c r="HQ243" i="19"/>
  <c r="HR243" i="19"/>
  <c r="HS243" i="19"/>
  <c r="HT243" i="19"/>
  <c r="HU243" i="19"/>
  <c r="HV243" i="19"/>
  <c r="HW243" i="19"/>
  <c r="HX243" i="19"/>
  <c r="HY243" i="19"/>
  <c r="HZ243" i="19"/>
  <c r="IA243" i="19"/>
  <c r="IB243" i="19"/>
  <c r="IC243" i="19"/>
  <c r="ID243" i="19"/>
  <c r="IE243" i="19"/>
  <c r="IF243" i="19"/>
  <c r="IG243" i="19"/>
  <c r="IH243" i="19"/>
  <c r="II243" i="19"/>
  <c r="IJ243" i="19"/>
  <c r="IK243" i="19"/>
  <c r="IL243" i="19"/>
  <c r="IM243" i="19"/>
  <c r="IN243" i="19"/>
  <c r="IO243" i="19"/>
  <c r="IP243" i="19"/>
  <c r="IQ243" i="19"/>
  <c r="IR243" i="19"/>
  <c r="IS243" i="19"/>
  <c r="IT243" i="19"/>
  <c r="IU243" i="19"/>
  <c r="IV243" i="19"/>
  <c r="F244" i="19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T244" i="19"/>
  <c r="U244" i="19"/>
  <c r="V244" i="19"/>
  <c r="W244" i="19"/>
  <c r="X244" i="19"/>
  <c r="Y244" i="19"/>
  <c r="Z244" i="19"/>
  <c r="AA244" i="19"/>
  <c r="AB244" i="19"/>
  <c r="AC244" i="19"/>
  <c r="AD244" i="19"/>
  <c r="AE244" i="19"/>
  <c r="AF244" i="19"/>
  <c r="AG244" i="19"/>
  <c r="AH244" i="19"/>
  <c r="AI244" i="19"/>
  <c r="AJ244" i="19"/>
  <c r="AK244" i="19"/>
  <c r="AL244" i="19"/>
  <c r="AM244" i="19"/>
  <c r="AN244" i="19"/>
  <c r="AO244" i="19"/>
  <c r="AP244" i="19"/>
  <c r="AQ244" i="19"/>
  <c r="AR244" i="19"/>
  <c r="AS244" i="19"/>
  <c r="AT244" i="19"/>
  <c r="AU244" i="19"/>
  <c r="AV244" i="19"/>
  <c r="AW244" i="19"/>
  <c r="AX244" i="19"/>
  <c r="AY244" i="19"/>
  <c r="AZ244" i="19"/>
  <c r="BA244" i="19"/>
  <c r="BB244" i="19"/>
  <c r="BC244" i="19"/>
  <c r="BD244" i="19"/>
  <c r="BE244" i="19"/>
  <c r="BF244" i="19"/>
  <c r="BG244" i="19"/>
  <c r="BH244" i="19"/>
  <c r="BI244" i="19"/>
  <c r="BJ244" i="19"/>
  <c r="BK244" i="19"/>
  <c r="BL244" i="19"/>
  <c r="BM244" i="19"/>
  <c r="BN244" i="19"/>
  <c r="BO244" i="19"/>
  <c r="BP244" i="19"/>
  <c r="BQ244" i="19"/>
  <c r="BR244" i="19"/>
  <c r="BS244" i="19"/>
  <c r="BT244" i="19"/>
  <c r="BU244" i="19"/>
  <c r="BV244" i="19"/>
  <c r="BW244" i="19"/>
  <c r="BX244" i="19"/>
  <c r="BY244" i="19"/>
  <c r="BZ244" i="19"/>
  <c r="CA244" i="19"/>
  <c r="CB244" i="19"/>
  <c r="CC244" i="19"/>
  <c r="CD244" i="19"/>
  <c r="CE244" i="19"/>
  <c r="CF244" i="19"/>
  <c r="CG244" i="19"/>
  <c r="CH244" i="19"/>
  <c r="CI244" i="19"/>
  <c r="CJ244" i="19"/>
  <c r="CK244" i="19"/>
  <c r="CL244" i="19"/>
  <c r="CM244" i="19"/>
  <c r="CN244" i="19"/>
  <c r="CO244" i="19"/>
  <c r="CP244" i="19"/>
  <c r="CQ244" i="19"/>
  <c r="CR244" i="19"/>
  <c r="CS244" i="19"/>
  <c r="CT244" i="19"/>
  <c r="CU244" i="19"/>
  <c r="CV244" i="19"/>
  <c r="CW244" i="19"/>
  <c r="CX244" i="19"/>
  <c r="CY244" i="19"/>
  <c r="CZ244" i="19"/>
  <c r="DA244" i="19"/>
  <c r="DB244" i="19"/>
  <c r="DC244" i="19"/>
  <c r="DD244" i="19"/>
  <c r="DE244" i="19"/>
  <c r="DF244" i="19"/>
  <c r="DG244" i="19"/>
  <c r="DH244" i="19"/>
  <c r="DI244" i="19"/>
  <c r="DJ244" i="19"/>
  <c r="DK244" i="19"/>
  <c r="DL244" i="19"/>
  <c r="DM244" i="19"/>
  <c r="DN244" i="19"/>
  <c r="DO244" i="19"/>
  <c r="DP244" i="19"/>
  <c r="DQ244" i="19"/>
  <c r="DR244" i="19"/>
  <c r="DS244" i="19"/>
  <c r="DT244" i="19"/>
  <c r="DU244" i="19"/>
  <c r="DV244" i="19"/>
  <c r="DW244" i="19"/>
  <c r="DX244" i="19"/>
  <c r="DY244" i="19"/>
  <c r="DZ244" i="19"/>
  <c r="EA244" i="19"/>
  <c r="EB244" i="19"/>
  <c r="EC244" i="19"/>
  <c r="ED244" i="19"/>
  <c r="EE244" i="19"/>
  <c r="EF244" i="19"/>
  <c r="EG244" i="19"/>
  <c r="EH244" i="19"/>
  <c r="EI244" i="19"/>
  <c r="EJ244" i="19"/>
  <c r="EK244" i="19"/>
  <c r="EL244" i="19"/>
  <c r="EM244" i="19"/>
  <c r="EN244" i="19"/>
  <c r="EO244" i="19"/>
  <c r="EP244" i="19"/>
  <c r="EQ244" i="19"/>
  <c r="ER244" i="19"/>
  <c r="ES244" i="19"/>
  <c r="ET244" i="19"/>
  <c r="EU244" i="19"/>
  <c r="EV244" i="19"/>
  <c r="EW244" i="19"/>
  <c r="EX244" i="19"/>
  <c r="EY244" i="19"/>
  <c r="EZ244" i="19"/>
  <c r="FA244" i="19"/>
  <c r="FB244" i="19"/>
  <c r="FC244" i="19"/>
  <c r="FD244" i="19"/>
  <c r="FE244" i="19"/>
  <c r="FF244" i="19"/>
  <c r="FG244" i="19"/>
  <c r="FH244" i="19"/>
  <c r="FI244" i="19"/>
  <c r="FJ244" i="19"/>
  <c r="FK244" i="19"/>
  <c r="FL244" i="19"/>
  <c r="FM244" i="19"/>
  <c r="FN244" i="19"/>
  <c r="FO244" i="19"/>
  <c r="FP244" i="19"/>
  <c r="FQ244" i="19"/>
  <c r="FR244" i="19"/>
  <c r="FS244" i="19"/>
  <c r="FT244" i="19"/>
  <c r="FU244" i="19"/>
  <c r="FV244" i="19"/>
  <c r="FW244" i="19"/>
  <c r="FX244" i="19"/>
  <c r="FY244" i="19"/>
  <c r="FZ244" i="19"/>
  <c r="GA244" i="19"/>
  <c r="GB244" i="19"/>
  <c r="GC244" i="19"/>
  <c r="GD244" i="19"/>
  <c r="GE244" i="19"/>
  <c r="GF244" i="19"/>
  <c r="GG244" i="19"/>
  <c r="GH244" i="19"/>
  <c r="GI244" i="19"/>
  <c r="GJ244" i="19"/>
  <c r="GK244" i="19"/>
  <c r="GL244" i="19"/>
  <c r="GM244" i="19"/>
  <c r="GN244" i="19"/>
  <c r="GO244" i="19"/>
  <c r="GP244" i="19"/>
  <c r="GQ244" i="19"/>
  <c r="GR244" i="19"/>
  <c r="GS244" i="19"/>
  <c r="GT244" i="19"/>
  <c r="GU244" i="19"/>
  <c r="GV244" i="19"/>
  <c r="GW244" i="19"/>
  <c r="GX244" i="19"/>
  <c r="GY244" i="19"/>
  <c r="GZ244" i="19"/>
  <c r="HA244" i="19"/>
  <c r="HB244" i="19"/>
  <c r="HC244" i="19"/>
  <c r="HD244" i="19"/>
  <c r="HE244" i="19"/>
  <c r="HF244" i="19"/>
  <c r="HG244" i="19"/>
  <c r="HH244" i="19"/>
  <c r="HI244" i="19"/>
  <c r="HJ244" i="19"/>
  <c r="HK244" i="19"/>
  <c r="HL244" i="19"/>
  <c r="HM244" i="19"/>
  <c r="HN244" i="19"/>
  <c r="HO244" i="19"/>
  <c r="HP244" i="19"/>
  <c r="HQ244" i="19"/>
  <c r="HR244" i="19"/>
  <c r="HS244" i="19"/>
  <c r="HT244" i="19"/>
  <c r="HU244" i="19"/>
  <c r="HV244" i="19"/>
  <c r="HW244" i="19"/>
  <c r="HX244" i="19"/>
  <c r="HY244" i="19"/>
  <c r="HZ244" i="19"/>
  <c r="IA244" i="19"/>
  <c r="IB244" i="19"/>
  <c r="IC244" i="19"/>
  <c r="ID244" i="19"/>
  <c r="IE244" i="19"/>
  <c r="IF244" i="19"/>
  <c r="IG244" i="19"/>
  <c r="IH244" i="19"/>
  <c r="II244" i="19"/>
  <c r="IJ244" i="19"/>
  <c r="IK244" i="19"/>
  <c r="IL244" i="19"/>
  <c r="IM244" i="19"/>
  <c r="IN244" i="19"/>
  <c r="IO244" i="19"/>
  <c r="IP244" i="19"/>
  <c r="IQ244" i="19"/>
  <c r="IR244" i="19"/>
  <c r="IS244" i="19"/>
  <c r="IT244" i="19"/>
  <c r="IU244" i="19"/>
  <c r="IV244" i="19"/>
  <c r="F245" i="19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T245" i="19"/>
  <c r="U245" i="19"/>
  <c r="V245" i="19"/>
  <c r="W245" i="19"/>
  <c r="X245" i="19"/>
  <c r="Y245" i="19"/>
  <c r="Z245" i="19"/>
  <c r="AA245" i="19"/>
  <c r="AB245" i="19"/>
  <c r="AC245" i="19"/>
  <c r="AD245" i="19"/>
  <c r="AE245" i="19"/>
  <c r="AF245" i="19"/>
  <c r="AG245" i="19"/>
  <c r="AH245" i="19"/>
  <c r="AI245" i="19"/>
  <c r="AJ245" i="19"/>
  <c r="AK245" i="19"/>
  <c r="AL245" i="19"/>
  <c r="AM245" i="19"/>
  <c r="AN245" i="19"/>
  <c r="AO245" i="19"/>
  <c r="AP245" i="19"/>
  <c r="AQ245" i="19"/>
  <c r="AR245" i="19"/>
  <c r="AS245" i="19"/>
  <c r="AT245" i="19"/>
  <c r="AU245" i="19"/>
  <c r="AV245" i="19"/>
  <c r="AW245" i="19"/>
  <c r="AX245" i="19"/>
  <c r="AY245" i="19"/>
  <c r="AZ245" i="19"/>
  <c r="BA245" i="19"/>
  <c r="BB245" i="19"/>
  <c r="BC245" i="19"/>
  <c r="BD245" i="19"/>
  <c r="BE245" i="19"/>
  <c r="BF245" i="19"/>
  <c r="BG245" i="19"/>
  <c r="BH245" i="19"/>
  <c r="BI245" i="19"/>
  <c r="BJ245" i="19"/>
  <c r="BK245" i="19"/>
  <c r="BL245" i="19"/>
  <c r="BM245" i="19"/>
  <c r="BN245" i="19"/>
  <c r="BO245" i="19"/>
  <c r="BP245" i="19"/>
  <c r="BQ245" i="19"/>
  <c r="BR245" i="19"/>
  <c r="BS245" i="19"/>
  <c r="BT245" i="19"/>
  <c r="BU245" i="19"/>
  <c r="BV245" i="19"/>
  <c r="BW245" i="19"/>
  <c r="BX245" i="19"/>
  <c r="BY245" i="19"/>
  <c r="BZ245" i="19"/>
  <c r="CA245" i="19"/>
  <c r="CB245" i="19"/>
  <c r="CC245" i="19"/>
  <c r="CD245" i="19"/>
  <c r="CE245" i="19"/>
  <c r="CF245" i="19"/>
  <c r="CG245" i="19"/>
  <c r="CH245" i="19"/>
  <c r="CI245" i="19"/>
  <c r="CJ245" i="19"/>
  <c r="CK245" i="19"/>
  <c r="CL245" i="19"/>
  <c r="CM245" i="19"/>
  <c r="CN245" i="19"/>
  <c r="CO245" i="19"/>
  <c r="CP245" i="19"/>
  <c r="CQ245" i="19"/>
  <c r="CR245" i="19"/>
  <c r="CS245" i="19"/>
  <c r="CT245" i="19"/>
  <c r="CU245" i="19"/>
  <c r="CV245" i="19"/>
  <c r="CW245" i="19"/>
  <c r="CX245" i="19"/>
  <c r="CY245" i="19"/>
  <c r="CZ245" i="19"/>
  <c r="DA245" i="19"/>
  <c r="DB245" i="19"/>
  <c r="DC245" i="19"/>
  <c r="DD245" i="19"/>
  <c r="DE245" i="19"/>
  <c r="DF245" i="19"/>
  <c r="DG245" i="19"/>
  <c r="DH245" i="19"/>
  <c r="DI245" i="19"/>
  <c r="DJ245" i="19"/>
  <c r="DK245" i="19"/>
  <c r="DL245" i="19"/>
  <c r="DM245" i="19"/>
  <c r="DN245" i="19"/>
  <c r="DO245" i="19"/>
  <c r="DP245" i="19"/>
  <c r="DQ245" i="19"/>
  <c r="DR245" i="19"/>
  <c r="DS245" i="19"/>
  <c r="DT245" i="19"/>
  <c r="DU245" i="19"/>
  <c r="DV245" i="19"/>
  <c r="DW245" i="19"/>
  <c r="DX245" i="19"/>
  <c r="DY245" i="19"/>
  <c r="DZ245" i="19"/>
  <c r="EA245" i="19"/>
  <c r="EB245" i="19"/>
  <c r="EC245" i="19"/>
  <c r="ED245" i="19"/>
  <c r="EE245" i="19"/>
  <c r="EF245" i="19"/>
  <c r="EG245" i="19"/>
  <c r="EH245" i="19"/>
  <c r="EI245" i="19"/>
  <c r="EJ245" i="19"/>
  <c r="EK245" i="19"/>
  <c r="EL245" i="19"/>
  <c r="EM245" i="19"/>
  <c r="EN245" i="19"/>
  <c r="EO245" i="19"/>
  <c r="EP245" i="19"/>
  <c r="EQ245" i="19"/>
  <c r="ER245" i="19"/>
  <c r="ES245" i="19"/>
  <c r="ET245" i="19"/>
  <c r="EU245" i="19"/>
  <c r="EV245" i="19"/>
  <c r="EW245" i="19"/>
  <c r="EX245" i="19"/>
  <c r="EY245" i="19"/>
  <c r="EZ245" i="19"/>
  <c r="FA245" i="19"/>
  <c r="FB245" i="19"/>
  <c r="FC245" i="19"/>
  <c r="FD245" i="19"/>
  <c r="FE245" i="19"/>
  <c r="FF245" i="19"/>
  <c r="FG245" i="19"/>
  <c r="FH245" i="19"/>
  <c r="FI245" i="19"/>
  <c r="FJ245" i="19"/>
  <c r="FK245" i="19"/>
  <c r="FL245" i="19"/>
  <c r="FM245" i="19"/>
  <c r="FN245" i="19"/>
  <c r="FO245" i="19"/>
  <c r="FP245" i="19"/>
  <c r="FQ245" i="19"/>
  <c r="FR245" i="19"/>
  <c r="FS245" i="19"/>
  <c r="FT245" i="19"/>
  <c r="FU245" i="19"/>
  <c r="FV245" i="19"/>
  <c r="FW245" i="19"/>
  <c r="FX245" i="19"/>
  <c r="FY245" i="19"/>
  <c r="FZ245" i="19"/>
  <c r="GA245" i="19"/>
  <c r="GB245" i="19"/>
  <c r="GC245" i="19"/>
  <c r="GD245" i="19"/>
  <c r="GE245" i="19"/>
  <c r="GF245" i="19"/>
  <c r="GG245" i="19"/>
  <c r="GH245" i="19"/>
  <c r="GI245" i="19"/>
  <c r="GJ245" i="19"/>
  <c r="GK245" i="19"/>
  <c r="GL245" i="19"/>
  <c r="GM245" i="19"/>
  <c r="GN245" i="19"/>
  <c r="GO245" i="19"/>
  <c r="GP245" i="19"/>
  <c r="GQ245" i="19"/>
  <c r="GR245" i="19"/>
  <c r="GS245" i="19"/>
  <c r="GT245" i="19"/>
  <c r="GU245" i="19"/>
  <c r="GV245" i="19"/>
  <c r="GW245" i="19"/>
  <c r="GX245" i="19"/>
  <c r="GY245" i="19"/>
  <c r="GZ245" i="19"/>
  <c r="HA245" i="19"/>
  <c r="HB245" i="19"/>
  <c r="HC245" i="19"/>
  <c r="HD245" i="19"/>
  <c r="HE245" i="19"/>
  <c r="HF245" i="19"/>
  <c r="HG245" i="19"/>
  <c r="HH245" i="19"/>
  <c r="HI245" i="19"/>
  <c r="HJ245" i="19"/>
  <c r="HK245" i="19"/>
  <c r="HL245" i="19"/>
  <c r="HM245" i="19"/>
  <c r="HN245" i="19"/>
  <c r="HO245" i="19"/>
  <c r="HP245" i="19"/>
  <c r="HQ245" i="19"/>
  <c r="HR245" i="19"/>
  <c r="HS245" i="19"/>
  <c r="HT245" i="19"/>
  <c r="HU245" i="19"/>
  <c r="HV245" i="19"/>
  <c r="HW245" i="19"/>
  <c r="HX245" i="19"/>
  <c r="HY245" i="19"/>
  <c r="HZ245" i="19"/>
  <c r="IA245" i="19"/>
  <c r="IB245" i="19"/>
  <c r="IC245" i="19"/>
  <c r="ID245" i="19"/>
  <c r="IE245" i="19"/>
  <c r="IF245" i="19"/>
  <c r="IG245" i="19"/>
  <c r="IH245" i="19"/>
  <c r="II245" i="19"/>
  <c r="IJ245" i="19"/>
  <c r="IK245" i="19"/>
  <c r="IL245" i="19"/>
  <c r="IM245" i="19"/>
  <c r="IN245" i="19"/>
  <c r="IO245" i="19"/>
  <c r="IP245" i="19"/>
  <c r="IQ245" i="19"/>
  <c r="IR245" i="19"/>
  <c r="IS245" i="19"/>
  <c r="IT245" i="19"/>
  <c r="IU245" i="19"/>
  <c r="IV245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X246" i="19"/>
  <c r="Y246" i="19"/>
  <c r="Z246" i="19"/>
  <c r="AA246" i="19"/>
  <c r="AB246" i="19"/>
  <c r="AC246" i="19"/>
  <c r="AD246" i="19"/>
  <c r="AE246" i="19"/>
  <c r="AF246" i="19"/>
  <c r="AG246" i="19"/>
  <c r="AH246" i="19"/>
  <c r="AI246" i="19"/>
  <c r="AJ246" i="19"/>
  <c r="AK246" i="19"/>
  <c r="AL246" i="19"/>
  <c r="AM246" i="19"/>
  <c r="AN246" i="19"/>
  <c r="AO246" i="19"/>
  <c r="AP246" i="19"/>
  <c r="AQ246" i="19"/>
  <c r="AR246" i="19"/>
  <c r="AS246" i="19"/>
  <c r="AT246" i="19"/>
  <c r="AU246" i="19"/>
  <c r="AV246" i="19"/>
  <c r="AW246" i="19"/>
  <c r="AX246" i="19"/>
  <c r="AY246" i="19"/>
  <c r="AZ246" i="19"/>
  <c r="BA246" i="19"/>
  <c r="BB246" i="19"/>
  <c r="BC246" i="19"/>
  <c r="BD246" i="19"/>
  <c r="BE246" i="19"/>
  <c r="BF246" i="19"/>
  <c r="BG246" i="19"/>
  <c r="BH246" i="19"/>
  <c r="BI246" i="19"/>
  <c r="BJ246" i="19"/>
  <c r="BK246" i="19"/>
  <c r="BL246" i="19"/>
  <c r="BM246" i="19"/>
  <c r="BN246" i="19"/>
  <c r="BO246" i="19"/>
  <c r="BP246" i="19"/>
  <c r="BQ246" i="19"/>
  <c r="BR246" i="19"/>
  <c r="BS246" i="19"/>
  <c r="BT246" i="19"/>
  <c r="BU246" i="19"/>
  <c r="BV246" i="19"/>
  <c r="BW246" i="19"/>
  <c r="BX246" i="19"/>
  <c r="BY246" i="19"/>
  <c r="BZ246" i="19"/>
  <c r="CA246" i="19"/>
  <c r="CB246" i="19"/>
  <c r="CC246" i="19"/>
  <c r="CD246" i="19"/>
  <c r="CE246" i="19"/>
  <c r="CF246" i="19"/>
  <c r="CG246" i="19"/>
  <c r="CH246" i="19"/>
  <c r="CI246" i="19"/>
  <c r="CJ246" i="19"/>
  <c r="CK246" i="19"/>
  <c r="CL246" i="19"/>
  <c r="CM246" i="19"/>
  <c r="CN246" i="19"/>
  <c r="CO246" i="19"/>
  <c r="CP246" i="19"/>
  <c r="CQ246" i="19"/>
  <c r="CR246" i="19"/>
  <c r="CS246" i="19"/>
  <c r="CT246" i="19"/>
  <c r="CU246" i="19"/>
  <c r="CV246" i="19"/>
  <c r="CW246" i="19"/>
  <c r="CX246" i="19"/>
  <c r="CY246" i="19"/>
  <c r="CZ246" i="19"/>
  <c r="DA246" i="19"/>
  <c r="DB246" i="19"/>
  <c r="DC246" i="19"/>
  <c r="DD246" i="19"/>
  <c r="DE246" i="19"/>
  <c r="DF246" i="19"/>
  <c r="DG246" i="19"/>
  <c r="DH246" i="19"/>
  <c r="DI246" i="19"/>
  <c r="DJ246" i="19"/>
  <c r="DK246" i="19"/>
  <c r="DL246" i="19"/>
  <c r="DM246" i="19"/>
  <c r="DN246" i="19"/>
  <c r="DO246" i="19"/>
  <c r="DP246" i="19"/>
  <c r="DQ246" i="19"/>
  <c r="DR246" i="19"/>
  <c r="DS246" i="19"/>
  <c r="DT246" i="19"/>
  <c r="DU246" i="19"/>
  <c r="DV246" i="19"/>
  <c r="DW246" i="19"/>
  <c r="DX246" i="19"/>
  <c r="DY246" i="19"/>
  <c r="DZ246" i="19"/>
  <c r="EA246" i="19"/>
  <c r="EB246" i="19"/>
  <c r="EC246" i="19"/>
  <c r="ED246" i="19"/>
  <c r="EE246" i="19"/>
  <c r="EF246" i="19"/>
  <c r="EG246" i="19"/>
  <c r="EH246" i="19"/>
  <c r="EI246" i="19"/>
  <c r="EJ246" i="19"/>
  <c r="EK246" i="19"/>
  <c r="EL246" i="19"/>
  <c r="EM246" i="19"/>
  <c r="EN246" i="19"/>
  <c r="EO246" i="19"/>
  <c r="EP246" i="19"/>
  <c r="EQ246" i="19"/>
  <c r="ER246" i="19"/>
  <c r="ES246" i="19"/>
  <c r="ET246" i="19"/>
  <c r="EU246" i="19"/>
  <c r="EV246" i="19"/>
  <c r="EW246" i="19"/>
  <c r="EX246" i="19"/>
  <c r="EY246" i="19"/>
  <c r="EZ246" i="19"/>
  <c r="FA246" i="19"/>
  <c r="FB246" i="19"/>
  <c r="FC246" i="19"/>
  <c r="FD246" i="19"/>
  <c r="FE246" i="19"/>
  <c r="FF246" i="19"/>
  <c r="FG246" i="19"/>
  <c r="FH246" i="19"/>
  <c r="FI246" i="19"/>
  <c r="FJ246" i="19"/>
  <c r="FK246" i="19"/>
  <c r="FL246" i="19"/>
  <c r="FM246" i="19"/>
  <c r="FN246" i="19"/>
  <c r="FO246" i="19"/>
  <c r="FP246" i="19"/>
  <c r="FQ246" i="19"/>
  <c r="FR246" i="19"/>
  <c r="FS246" i="19"/>
  <c r="FT246" i="19"/>
  <c r="FU246" i="19"/>
  <c r="FV246" i="19"/>
  <c r="FW246" i="19"/>
  <c r="FX246" i="19"/>
  <c r="FY246" i="19"/>
  <c r="FZ246" i="19"/>
  <c r="GA246" i="19"/>
  <c r="GB246" i="19"/>
  <c r="GC246" i="19"/>
  <c r="GD246" i="19"/>
  <c r="GE246" i="19"/>
  <c r="GF246" i="19"/>
  <c r="GG246" i="19"/>
  <c r="GH246" i="19"/>
  <c r="GI246" i="19"/>
  <c r="GJ246" i="19"/>
  <c r="GK246" i="19"/>
  <c r="GL246" i="19"/>
  <c r="GM246" i="19"/>
  <c r="GN246" i="19"/>
  <c r="GO246" i="19"/>
  <c r="GP246" i="19"/>
  <c r="GQ246" i="19"/>
  <c r="GR246" i="19"/>
  <c r="GS246" i="19"/>
  <c r="GT246" i="19"/>
  <c r="GU246" i="19"/>
  <c r="GV246" i="19"/>
  <c r="GW246" i="19"/>
  <c r="GX246" i="19"/>
  <c r="GY246" i="19"/>
  <c r="GZ246" i="19"/>
  <c r="HA246" i="19"/>
  <c r="HB246" i="19"/>
  <c r="HC246" i="19"/>
  <c r="HD246" i="19"/>
  <c r="HE246" i="19"/>
  <c r="HF246" i="19"/>
  <c r="HG246" i="19"/>
  <c r="HH246" i="19"/>
  <c r="HI246" i="19"/>
  <c r="HJ246" i="19"/>
  <c r="HK246" i="19"/>
  <c r="HL246" i="19"/>
  <c r="HM246" i="19"/>
  <c r="HN246" i="19"/>
  <c r="HO246" i="19"/>
  <c r="HP246" i="19"/>
  <c r="HQ246" i="19"/>
  <c r="HR246" i="19"/>
  <c r="HS246" i="19"/>
  <c r="HT246" i="19"/>
  <c r="HU246" i="19"/>
  <c r="HV246" i="19"/>
  <c r="HW246" i="19"/>
  <c r="HX246" i="19"/>
  <c r="HY246" i="19"/>
  <c r="HZ246" i="19"/>
  <c r="IA246" i="19"/>
  <c r="IB246" i="19"/>
  <c r="IC246" i="19"/>
  <c r="ID246" i="19"/>
  <c r="IE246" i="19"/>
  <c r="IF246" i="19"/>
  <c r="IG246" i="19"/>
  <c r="IH246" i="19"/>
  <c r="II246" i="19"/>
  <c r="IJ246" i="19"/>
  <c r="IK246" i="19"/>
  <c r="IL246" i="19"/>
  <c r="IM246" i="19"/>
  <c r="IN246" i="19"/>
  <c r="IO246" i="19"/>
  <c r="IP246" i="19"/>
  <c r="IQ246" i="19"/>
  <c r="IR246" i="19"/>
  <c r="IS246" i="19"/>
  <c r="IT246" i="19"/>
  <c r="IU246" i="19"/>
  <c r="IV246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T247" i="19"/>
  <c r="U247" i="19"/>
  <c r="V247" i="19"/>
  <c r="W247" i="19"/>
  <c r="X247" i="19"/>
  <c r="Y247" i="19"/>
  <c r="Z247" i="19"/>
  <c r="AA247" i="19"/>
  <c r="AB247" i="19"/>
  <c r="AC247" i="19"/>
  <c r="AD247" i="19"/>
  <c r="AE247" i="19"/>
  <c r="AF247" i="19"/>
  <c r="AG247" i="19"/>
  <c r="AH247" i="19"/>
  <c r="AI247" i="19"/>
  <c r="AJ247" i="19"/>
  <c r="AK247" i="19"/>
  <c r="AL247" i="19"/>
  <c r="AM247" i="19"/>
  <c r="AN247" i="19"/>
  <c r="AO247" i="19"/>
  <c r="AP247" i="19"/>
  <c r="AQ247" i="19"/>
  <c r="AR247" i="19"/>
  <c r="AS247" i="19"/>
  <c r="AT247" i="19"/>
  <c r="AU247" i="19"/>
  <c r="AV247" i="19"/>
  <c r="AW247" i="19"/>
  <c r="AX247" i="19"/>
  <c r="AY247" i="19"/>
  <c r="AZ247" i="19"/>
  <c r="BA247" i="19"/>
  <c r="BB247" i="19"/>
  <c r="BC247" i="19"/>
  <c r="BD247" i="19"/>
  <c r="BE247" i="19"/>
  <c r="BF247" i="19"/>
  <c r="BG247" i="19"/>
  <c r="BH247" i="19"/>
  <c r="BI247" i="19"/>
  <c r="BJ247" i="19"/>
  <c r="BK247" i="19"/>
  <c r="BL247" i="19"/>
  <c r="BM247" i="19"/>
  <c r="BN247" i="19"/>
  <c r="BO247" i="19"/>
  <c r="BP247" i="19"/>
  <c r="BQ247" i="19"/>
  <c r="BR247" i="19"/>
  <c r="BS247" i="19"/>
  <c r="BT247" i="19"/>
  <c r="BU247" i="19"/>
  <c r="BV247" i="19"/>
  <c r="BW247" i="19"/>
  <c r="BX247" i="19"/>
  <c r="BY247" i="19"/>
  <c r="BZ247" i="19"/>
  <c r="CA247" i="19"/>
  <c r="CB247" i="19"/>
  <c r="CC247" i="19"/>
  <c r="CD247" i="19"/>
  <c r="CE247" i="19"/>
  <c r="CF247" i="19"/>
  <c r="CG247" i="19"/>
  <c r="CH247" i="19"/>
  <c r="CI247" i="19"/>
  <c r="CJ247" i="19"/>
  <c r="CK247" i="19"/>
  <c r="CL247" i="19"/>
  <c r="CM247" i="19"/>
  <c r="CN247" i="19"/>
  <c r="CO247" i="19"/>
  <c r="CP247" i="19"/>
  <c r="CQ247" i="19"/>
  <c r="CR247" i="19"/>
  <c r="CS247" i="19"/>
  <c r="CT247" i="19"/>
  <c r="CU247" i="19"/>
  <c r="CV247" i="19"/>
  <c r="CW247" i="19"/>
  <c r="CX247" i="19"/>
  <c r="CY247" i="19"/>
  <c r="CZ247" i="19"/>
  <c r="DA247" i="19"/>
  <c r="DB247" i="19"/>
  <c r="DC247" i="19"/>
  <c r="DD247" i="19"/>
  <c r="DE247" i="19"/>
  <c r="DF247" i="19"/>
  <c r="DG247" i="19"/>
  <c r="DH247" i="19"/>
  <c r="DI247" i="19"/>
  <c r="DJ247" i="19"/>
  <c r="DK247" i="19"/>
  <c r="DL247" i="19"/>
  <c r="DM247" i="19"/>
  <c r="DN247" i="19"/>
  <c r="DO247" i="19"/>
  <c r="DP247" i="19"/>
  <c r="DQ247" i="19"/>
  <c r="DR247" i="19"/>
  <c r="DS247" i="19"/>
  <c r="DT247" i="19"/>
  <c r="DU247" i="19"/>
  <c r="DV247" i="19"/>
  <c r="DW247" i="19"/>
  <c r="DX247" i="19"/>
  <c r="DY247" i="19"/>
  <c r="DZ247" i="19"/>
  <c r="EA247" i="19"/>
  <c r="EB247" i="19"/>
  <c r="EC247" i="19"/>
  <c r="ED247" i="19"/>
  <c r="EE247" i="19"/>
  <c r="EF247" i="19"/>
  <c r="EG247" i="19"/>
  <c r="EH247" i="19"/>
  <c r="EI247" i="19"/>
  <c r="EJ247" i="19"/>
  <c r="EK247" i="19"/>
  <c r="EL247" i="19"/>
  <c r="EM247" i="19"/>
  <c r="EN247" i="19"/>
  <c r="EO247" i="19"/>
  <c r="EP247" i="19"/>
  <c r="EQ247" i="19"/>
  <c r="ER247" i="19"/>
  <c r="ES247" i="19"/>
  <c r="ET247" i="19"/>
  <c r="EU247" i="19"/>
  <c r="EV247" i="19"/>
  <c r="EW247" i="19"/>
  <c r="EX247" i="19"/>
  <c r="EY247" i="19"/>
  <c r="EZ247" i="19"/>
  <c r="FA247" i="19"/>
  <c r="FB247" i="19"/>
  <c r="FC247" i="19"/>
  <c r="FD247" i="19"/>
  <c r="FE247" i="19"/>
  <c r="FF247" i="19"/>
  <c r="FG247" i="19"/>
  <c r="FH247" i="19"/>
  <c r="FI247" i="19"/>
  <c r="FJ247" i="19"/>
  <c r="FK247" i="19"/>
  <c r="FL247" i="19"/>
  <c r="FM247" i="19"/>
  <c r="FN247" i="19"/>
  <c r="FO247" i="19"/>
  <c r="FP247" i="19"/>
  <c r="FQ247" i="19"/>
  <c r="FR247" i="19"/>
  <c r="FS247" i="19"/>
  <c r="FT247" i="19"/>
  <c r="FU247" i="19"/>
  <c r="FV247" i="19"/>
  <c r="FW247" i="19"/>
  <c r="FX247" i="19"/>
  <c r="FY247" i="19"/>
  <c r="FZ247" i="19"/>
  <c r="GA247" i="19"/>
  <c r="GB247" i="19"/>
  <c r="GC247" i="19"/>
  <c r="GD247" i="19"/>
  <c r="GE247" i="19"/>
  <c r="GF247" i="19"/>
  <c r="GG247" i="19"/>
  <c r="GH247" i="19"/>
  <c r="GI247" i="19"/>
  <c r="GJ247" i="19"/>
  <c r="GK247" i="19"/>
  <c r="GL247" i="19"/>
  <c r="GM247" i="19"/>
  <c r="GN247" i="19"/>
  <c r="GO247" i="19"/>
  <c r="GP247" i="19"/>
  <c r="GQ247" i="19"/>
  <c r="GR247" i="19"/>
  <c r="GS247" i="19"/>
  <c r="GT247" i="19"/>
  <c r="GU247" i="19"/>
  <c r="GV247" i="19"/>
  <c r="GW247" i="19"/>
  <c r="GX247" i="19"/>
  <c r="GY247" i="19"/>
  <c r="GZ247" i="19"/>
  <c r="HA247" i="19"/>
  <c r="HB247" i="19"/>
  <c r="HC247" i="19"/>
  <c r="HD247" i="19"/>
  <c r="HE247" i="19"/>
  <c r="HF247" i="19"/>
  <c r="HG247" i="19"/>
  <c r="HH247" i="19"/>
  <c r="HI247" i="19"/>
  <c r="HJ247" i="19"/>
  <c r="HK247" i="19"/>
  <c r="HL247" i="19"/>
  <c r="HM247" i="19"/>
  <c r="HN247" i="19"/>
  <c r="HO247" i="19"/>
  <c r="HP247" i="19"/>
  <c r="HQ247" i="19"/>
  <c r="HR247" i="19"/>
  <c r="HS247" i="19"/>
  <c r="HT247" i="19"/>
  <c r="HU247" i="19"/>
  <c r="HV247" i="19"/>
  <c r="HW247" i="19"/>
  <c r="HX247" i="19"/>
  <c r="HY247" i="19"/>
  <c r="HZ247" i="19"/>
  <c r="IA247" i="19"/>
  <c r="IB247" i="19"/>
  <c r="IC247" i="19"/>
  <c r="ID247" i="19"/>
  <c r="IE247" i="19"/>
  <c r="IF247" i="19"/>
  <c r="IG247" i="19"/>
  <c r="IH247" i="19"/>
  <c r="II247" i="19"/>
  <c r="IJ247" i="19"/>
  <c r="IK247" i="19"/>
  <c r="IL247" i="19"/>
  <c r="IM247" i="19"/>
  <c r="IN247" i="19"/>
  <c r="IO247" i="19"/>
  <c r="IP247" i="19"/>
  <c r="IQ247" i="19"/>
  <c r="IR247" i="19"/>
  <c r="IS247" i="19"/>
  <c r="IT247" i="19"/>
  <c r="IU247" i="19"/>
  <c r="IV247" i="19"/>
  <c r="F248" i="19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T248" i="19"/>
  <c r="U248" i="19"/>
  <c r="V248" i="19"/>
  <c r="W248" i="19"/>
  <c r="X248" i="19"/>
  <c r="Y248" i="19"/>
  <c r="Z248" i="19"/>
  <c r="AA248" i="19"/>
  <c r="AB248" i="19"/>
  <c r="AC248" i="19"/>
  <c r="AD248" i="19"/>
  <c r="AE248" i="19"/>
  <c r="AF248" i="19"/>
  <c r="AG248" i="19"/>
  <c r="AH248" i="19"/>
  <c r="AI248" i="19"/>
  <c r="AJ248" i="19"/>
  <c r="AK248" i="19"/>
  <c r="AL248" i="19"/>
  <c r="AM248" i="19"/>
  <c r="AN248" i="19"/>
  <c r="AO248" i="19"/>
  <c r="AP248" i="19"/>
  <c r="AQ248" i="19"/>
  <c r="AR248" i="19"/>
  <c r="AS248" i="19"/>
  <c r="AT248" i="19"/>
  <c r="AU248" i="19"/>
  <c r="AV248" i="19"/>
  <c r="AW248" i="19"/>
  <c r="AX248" i="19"/>
  <c r="AY248" i="19"/>
  <c r="AZ248" i="19"/>
  <c r="BA248" i="19"/>
  <c r="BB248" i="19"/>
  <c r="BC248" i="19"/>
  <c r="BD248" i="19"/>
  <c r="BE248" i="19"/>
  <c r="BF248" i="19"/>
  <c r="BG248" i="19"/>
  <c r="BH248" i="19"/>
  <c r="BI248" i="19"/>
  <c r="BJ248" i="19"/>
  <c r="BK248" i="19"/>
  <c r="BL248" i="19"/>
  <c r="BM248" i="19"/>
  <c r="BN248" i="19"/>
  <c r="BO248" i="19"/>
  <c r="BP248" i="19"/>
  <c r="BQ248" i="19"/>
  <c r="BR248" i="19"/>
  <c r="BS248" i="19"/>
  <c r="BT248" i="19"/>
  <c r="BU248" i="19"/>
  <c r="BV248" i="19"/>
  <c r="BW248" i="19"/>
  <c r="BX248" i="19"/>
  <c r="BY248" i="19"/>
  <c r="BZ248" i="19"/>
  <c r="CA248" i="19"/>
  <c r="CB248" i="19"/>
  <c r="CC248" i="19"/>
  <c r="CD248" i="19"/>
  <c r="CE248" i="19"/>
  <c r="CF248" i="19"/>
  <c r="CG248" i="19"/>
  <c r="CH248" i="19"/>
  <c r="CI248" i="19"/>
  <c r="CJ248" i="19"/>
  <c r="CK248" i="19"/>
  <c r="CL248" i="19"/>
  <c r="CM248" i="19"/>
  <c r="CN248" i="19"/>
  <c r="CO248" i="19"/>
  <c r="CP248" i="19"/>
  <c r="CQ248" i="19"/>
  <c r="CR248" i="19"/>
  <c r="CS248" i="19"/>
  <c r="CT248" i="19"/>
  <c r="CU248" i="19"/>
  <c r="CV248" i="19"/>
  <c r="CW248" i="19"/>
  <c r="CX248" i="19"/>
  <c r="CY248" i="19"/>
  <c r="CZ248" i="19"/>
  <c r="DA248" i="19"/>
  <c r="DB248" i="19"/>
  <c r="DC248" i="19"/>
  <c r="DD248" i="19"/>
  <c r="DE248" i="19"/>
  <c r="DF248" i="19"/>
  <c r="DG248" i="19"/>
  <c r="DH248" i="19"/>
  <c r="DI248" i="19"/>
  <c r="DJ248" i="19"/>
  <c r="DK248" i="19"/>
  <c r="DL248" i="19"/>
  <c r="DM248" i="19"/>
  <c r="DN248" i="19"/>
  <c r="DO248" i="19"/>
  <c r="DP248" i="19"/>
  <c r="DQ248" i="19"/>
  <c r="DR248" i="19"/>
  <c r="DS248" i="19"/>
  <c r="DT248" i="19"/>
  <c r="DU248" i="19"/>
  <c r="DV248" i="19"/>
  <c r="DW248" i="19"/>
  <c r="DX248" i="19"/>
  <c r="DY248" i="19"/>
  <c r="DZ248" i="19"/>
  <c r="EA248" i="19"/>
  <c r="EB248" i="19"/>
  <c r="EC248" i="19"/>
  <c r="ED248" i="19"/>
  <c r="EE248" i="19"/>
  <c r="EF248" i="19"/>
  <c r="EG248" i="19"/>
  <c r="EH248" i="19"/>
  <c r="EI248" i="19"/>
  <c r="EJ248" i="19"/>
  <c r="EK248" i="19"/>
  <c r="EL248" i="19"/>
  <c r="EM248" i="19"/>
  <c r="EN248" i="19"/>
  <c r="EO248" i="19"/>
  <c r="EP248" i="19"/>
  <c r="EQ248" i="19"/>
  <c r="ER248" i="19"/>
  <c r="ES248" i="19"/>
  <c r="ET248" i="19"/>
  <c r="EU248" i="19"/>
  <c r="EV248" i="19"/>
  <c r="EW248" i="19"/>
  <c r="EX248" i="19"/>
  <c r="EY248" i="19"/>
  <c r="EZ248" i="19"/>
  <c r="FA248" i="19"/>
  <c r="FB248" i="19"/>
  <c r="FC248" i="19"/>
  <c r="FD248" i="19"/>
  <c r="FE248" i="19"/>
  <c r="FF248" i="19"/>
  <c r="FG248" i="19"/>
  <c r="FH248" i="19"/>
  <c r="FI248" i="19"/>
  <c r="FJ248" i="19"/>
  <c r="FK248" i="19"/>
  <c r="FL248" i="19"/>
  <c r="FM248" i="19"/>
  <c r="FN248" i="19"/>
  <c r="FO248" i="19"/>
  <c r="FP248" i="19"/>
  <c r="FQ248" i="19"/>
  <c r="FR248" i="19"/>
  <c r="FS248" i="19"/>
  <c r="FT248" i="19"/>
  <c r="FU248" i="19"/>
  <c r="FV248" i="19"/>
  <c r="FW248" i="19"/>
  <c r="FX248" i="19"/>
  <c r="FY248" i="19"/>
  <c r="FZ248" i="19"/>
  <c r="GA248" i="19"/>
  <c r="GB248" i="19"/>
  <c r="GC248" i="19"/>
  <c r="GD248" i="19"/>
  <c r="GE248" i="19"/>
  <c r="GF248" i="19"/>
  <c r="GG248" i="19"/>
  <c r="GH248" i="19"/>
  <c r="GI248" i="19"/>
  <c r="GJ248" i="19"/>
  <c r="GK248" i="19"/>
  <c r="GL248" i="19"/>
  <c r="GM248" i="19"/>
  <c r="GN248" i="19"/>
  <c r="GO248" i="19"/>
  <c r="GP248" i="19"/>
  <c r="GQ248" i="19"/>
  <c r="GR248" i="19"/>
  <c r="GS248" i="19"/>
  <c r="GT248" i="19"/>
  <c r="GU248" i="19"/>
  <c r="GV248" i="19"/>
  <c r="GW248" i="19"/>
  <c r="GX248" i="19"/>
  <c r="GY248" i="19"/>
  <c r="GZ248" i="19"/>
  <c r="HA248" i="19"/>
  <c r="HB248" i="19"/>
  <c r="HC248" i="19"/>
  <c r="HD248" i="19"/>
  <c r="HE248" i="19"/>
  <c r="HF248" i="19"/>
  <c r="HG248" i="19"/>
  <c r="HH248" i="19"/>
  <c r="HI248" i="19"/>
  <c r="HJ248" i="19"/>
  <c r="HK248" i="19"/>
  <c r="HL248" i="19"/>
  <c r="HM248" i="19"/>
  <c r="HN248" i="19"/>
  <c r="HO248" i="19"/>
  <c r="HP248" i="19"/>
  <c r="HQ248" i="19"/>
  <c r="HR248" i="19"/>
  <c r="HS248" i="19"/>
  <c r="HT248" i="19"/>
  <c r="HU248" i="19"/>
  <c r="HV248" i="19"/>
  <c r="HW248" i="19"/>
  <c r="HX248" i="19"/>
  <c r="HY248" i="19"/>
  <c r="HZ248" i="19"/>
  <c r="IA248" i="19"/>
  <c r="IB248" i="19"/>
  <c r="IC248" i="19"/>
  <c r="ID248" i="19"/>
  <c r="IE248" i="19"/>
  <c r="IF248" i="19"/>
  <c r="IG248" i="19"/>
  <c r="IH248" i="19"/>
  <c r="II248" i="19"/>
  <c r="IJ248" i="19"/>
  <c r="IK248" i="19"/>
  <c r="IL248" i="19"/>
  <c r="IM248" i="19"/>
  <c r="IN248" i="19"/>
  <c r="IO248" i="19"/>
  <c r="IP248" i="19"/>
  <c r="IQ248" i="19"/>
  <c r="IR248" i="19"/>
  <c r="IS248" i="19"/>
  <c r="IT248" i="19"/>
  <c r="IU248" i="19"/>
  <c r="IV248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T249" i="19"/>
  <c r="U249" i="19"/>
  <c r="V249" i="19"/>
  <c r="W249" i="19"/>
  <c r="X249" i="19"/>
  <c r="Y249" i="19"/>
  <c r="Z249" i="19"/>
  <c r="AA249" i="19"/>
  <c r="AB249" i="19"/>
  <c r="AC249" i="19"/>
  <c r="AD249" i="19"/>
  <c r="AE249" i="19"/>
  <c r="AF249" i="19"/>
  <c r="AG249" i="19"/>
  <c r="AH249" i="19"/>
  <c r="AI249" i="19"/>
  <c r="AJ249" i="19"/>
  <c r="AK249" i="19"/>
  <c r="AL249" i="19"/>
  <c r="AM249" i="19"/>
  <c r="AN249" i="19"/>
  <c r="AO249" i="19"/>
  <c r="AP249" i="19"/>
  <c r="AQ249" i="19"/>
  <c r="AR249" i="19"/>
  <c r="AS249" i="19"/>
  <c r="AT249" i="19"/>
  <c r="AU249" i="19"/>
  <c r="AV249" i="19"/>
  <c r="AW249" i="19"/>
  <c r="AX249" i="19"/>
  <c r="AY249" i="19"/>
  <c r="AZ249" i="19"/>
  <c r="BA249" i="19"/>
  <c r="BB249" i="19"/>
  <c r="BC249" i="19"/>
  <c r="BD249" i="19"/>
  <c r="BE249" i="19"/>
  <c r="BF249" i="19"/>
  <c r="BG249" i="19"/>
  <c r="BH249" i="19"/>
  <c r="BI249" i="19"/>
  <c r="BJ249" i="19"/>
  <c r="BK249" i="19"/>
  <c r="BL249" i="19"/>
  <c r="BM249" i="19"/>
  <c r="BN249" i="19"/>
  <c r="BO249" i="19"/>
  <c r="BP249" i="19"/>
  <c r="BQ249" i="19"/>
  <c r="BR249" i="19"/>
  <c r="BS249" i="19"/>
  <c r="BT249" i="19"/>
  <c r="BU249" i="19"/>
  <c r="BV249" i="19"/>
  <c r="BW249" i="19"/>
  <c r="BX249" i="19"/>
  <c r="BY249" i="19"/>
  <c r="BZ249" i="19"/>
  <c r="CA249" i="19"/>
  <c r="CB249" i="19"/>
  <c r="CC249" i="19"/>
  <c r="CD249" i="19"/>
  <c r="CE249" i="19"/>
  <c r="CF249" i="19"/>
  <c r="CG249" i="19"/>
  <c r="CH249" i="19"/>
  <c r="CI249" i="19"/>
  <c r="CJ249" i="19"/>
  <c r="CK249" i="19"/>
  <c r="CL249" i="19"/>
  <c r="CM249" i="19"/>
  <c r="CN249" i="19"/>
  <c r="CO249" i="19"/>
  <c r="CP249" i="19"/>
  <c r="CQ249" i="19"/>
  <c r="CR249" i="19"/>
  <c r="CS249" i="19"/>
  <c r="CT249" i="19"/>
  <c r="CU249" i="19"/>
  <c r="CV249" i="19"/>
  <c r="CW249" i="19"/>
  <c r="CX249" i="19"/>
  <c r="CY249" i="19"/>
  <c r="CZ249" i="19"/>
  <c r="DA249" i="19"/>
  <c r="DB249" i="19"/>
  <c r="DC249" i="19"/>
  <c r="DD249" i="19"/>
  <c r="DE249" i="19"/>
  <c r="DF249" i="19"/>
  <c r="DG249" i="19"/>
  <c r="DH249" i="19"/>
  <c r="DI249" i="19"/>
  <c r="DJ249" i="19"/>
  <c r="DK249" i="19"/>
  <c r="DL249" i="19"/>
  <c r="DM249" i="19"/>
  <c r="DN249" i="19"/>
  <c r="DO249" i="19"/>
  <c r="DP249" i="19"/>
  <c r="DQ249" i="19"/>
  <c r="DR249" i="19"/>
  <c r="DS249" i="19"/>
  <c r="DT249" i="19"/>
  <c r="DU249" i="19"/>
  <c r="DV249" i="19"/>
  <c r="DW249" i="19"/>
  <c r="DX249" i="19"/>
  <c r="DY249" i="19"/>
  <c r="DZ249" i="19"/>
  <c r="EA249" i="19"/>
  <c r="EB249" i="19"/>
  <c r="EC249" i="19"/>
  <c r="ED249" i="19"/>
  <c r="EE249" i="19"/>
  <c r="EF249" i="19"/>
  <c r="EG249" i="19"/>
  <c r="EH249" i="19"/>
  <c r="EI249" i="19"/>
  <c r="EJ249" i="19"/>
  <c r="EK249" i="19"/>
  <c r="EL249" i="19"/>
  <c r="EM249" i="19"/>
  <c r="EN249" i="19"/>
  <c r="EO249" i="19"/>
  <c r="EP249" i="19"/>
  <c r="EQ249" i="19"/>
  <c r="ER249" i="19"/>
  <c r="ES249" i="19"/>
  <c r="ET249" i="19"/>
  <c r="EU249" i="19"/>
  <c r="EV249" i="19"/>
  <c r="EW249" i="19"/>
  <c r="EX249" i="19"/>
  <c r="EY249" i="19"/>
  <c r="EZ249" i="19"/>
  <c r="FA249" i="19"/>
  <c r="FB249" i="19"/>
  <c r="FC249" i="19"/>
  <c r="FD249" i="19"/>
  <c r="FE249" i="19"/>
  <c r="FF249" i="19"/>
  <c r="FG249" i="19"/>
  <c r="FH249" i="19"/>
  <c r="FI249" i="19"/>
  <c r="FJ249" i="19"/>
  <c r="FK249" i="19"/>
  <c r="FL249" i="19"/>
  <c r="FM249" i="19"/>
  <c r="FN249" i="19"/>
  <c r="FO249" i="19"/>
  <c r="FP249" i="19"/>
  <c r="FQ249" i="19"/>
  <c r="FR249" i="19"/>
  <c r="FS249" i="19"/>
  <c r="FT249" i="19"/>
  <c r="FU249" i="19"/>
  <c r="FV249" i="19"/>
  <c r="FW249" i="19"/>
  <c r="FX249" i="19"/>
  <c r="FY249" i="19"/>
  <c r="FZ249" i="19"/>
  <c r="GA249" i="19"/>
  <c r="GB249" i="19"/>
  <c r="GC249" i="19"/>
  <c r="GD249" i="19"/>
  <c r="GE249" i="19"/>
  <c r="GF249" i="19"/>
  <c r="GG249" i="19"/>
  <c r="GH249" i="19"/>
  <c r="GI249" i="19"/>
  <c r="GJ249" i="19"/>
  <c r="GK249" i="19"/>
  <c r="GL249" i="19"/>
  <c r="GM249" i="19"/>
  <c r="GN249" i="19"/>
  <c r="GO249" i="19"/>
  <c r="GP249" i="19"/>
  <c r="GQ249" i="19"/>
  <c r="GR249" i="19"/>
  <c r="GS249" i="19"/>
  <c r="GT249" i="19"/>
  <c r="GU249" i="19"/>
  <c r="GV249" i="19"/>
  <c r="GW249" i="19"/>
  <c r="GX249" i="19"/>
  <c r="GY249" i="19"/>
  <c r="GZ249" i="19"/>
  <c r="HA249" i="19"/>
  <c r="HB249" i="19"/>
  <c r="HC249" i="19"/>
  <c r="HD249" i="19"/>
  <c r="HE249" i="19"/>
  <c r="HF249" i="19"/>
  <c r="HG249" i="19"/>
  <c r="HH249" i="19"/>
  <c r="HI249" i="19"/>
  <c r="HJ249" i="19"/>
  <c r="HK249" i="19"/>
  <c r="HL249" i="19"/>
  <c r="HM249" i="19"/>
  <c r="HN249" i="19"/>
  <c r="HO249" i="19"/>
  <c r="HP249" i="19"/>
  <c r="HQ249" i="19"/>
  <c r="HR249" i="19"/>
  <c r="HS249" i="19"/>
  <c r="HT249" i="19"/>
  <c r="HU249" i="19"/>
  <c r="HV249" i="19"/>
  <c r="HW249" i="19"/>
  <c r="HX249" i="19"/>
  <c r="HY249" i="19"/>
  <c r="HZ249" i="19"/>
  <c r="IA249" i="19"/>
  <c r="IB249" i="19"/>
  <c r="IC249" i="19"/>
  <c r="ID249" i="19"/>
  <c r="IE249" i="19"/>
  <c r="IF249" i="19"/>
  <c r="IG249" i="19"/>
  <c r="IH249" i="19"/>
  <c r="II249" i="19"/>
  <c r="IJ249" i="19"/>
  <c r="IK249" i="19"/>
  <c r="IL249" i="19"/>
  <c r="IM249" i="19"/>
  <c r="IN249" i="19"/>
  <c r="IO249" i="19"/>
  <c r="IP249" i="19"/>
  <c r="IQ249" i="19"/>
  <c r="IR249" i="19"/>
  <c r="IS249" i="19"/>
  <c r="IT249" i="19"/>
  <c r="IU249" i="19"/>
  <c r="IV249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T250" i="19"/>
  <c r="U250" i="19"/>
  <c r="V250" i="19"/>
  <c r="W250" i="19"/>
  <c r="X250" i="19"/>
  <c r="Y250" i="19"/>
  <c r="Z250" i="19"/>
  <c r="AA250" i="19"/>
  <c r="AB250" i="19"/>
  <c r="AC250" i="19"/>
  <c r="AD250" i="19"/>
  <c r="AE250" i="19"/>
  <c r="AF250" i="19"/>
  <c r="AG250" i="19"/>
  <c r="AH250" i="19"/>
  <c r="AI250" i="19"/>
  <c r="AJ250" i="19"/>
  <c r="AK250" i="19"/>
  <c r="AL250" i="19"/>
  <c r="AM250" i="19"/>
  <c r="AN250" i="19"/>
  <c r="AO250" i="19"/>
  <c r="AP250" i="19"/>
  <c r="AQ250" i="19"/>
  <c r="AR250" i="19"/>
  <c r="AS250" i="19"/>
  <c r="AT250" i="19"/>
  <c r="AU250" i="19"/>
  <c r="AV250" i="19"/>
  <c r="AW250" i="19"/>
  <c r="AX250" i="19"/>
  <c r="AY250" i="19"/>
  <c r="AZ250" i="19"/>
  <c r="BA250" i="19"/>
  <c r="BB250" i="19"/>
  <c r="BC250" i="19"/>
  <c r="BD250" i="19"/>
  <c r="BE250" i="19"/>
  <c r="BF250" i="19"/>
  <c r="BG250" i="19"/>
  <c r="BH250" i="19"/>
  <c r="BI250" i="19"/>
  <c r="BJ250" i="19"/>
  <c r="BK250" i="19"/>
  <c r="BL250" i="19"/>
  <c r="BM250" i="19"/>
  <c r="BN250" i="19"/>
  <c r="BO250" i="19"/>
  <c r="BP250" i="19"/>
  <c r="BQ250" i="19"/>
  <c r="BR250" i="19"/>
  <c r="BS250" i="19"/>
  <c r="BT250" i="19"/>
  <c r="BU250" i="19"/>
  <c r="BV250" i="19"/>
  <c r="BW250" i="19"/>
  <c r="BX250" i="19"/>
  <c r="BY250" i="19"/>
  <c r="BZ250" i="19"/>
  <c r="CA250" i="19"/>
  <c r="CB250" i="19"/>
  <c r="CC250" i="19"/>
  <c r="CD250" i="19"/>
  <c r="CE250" i="19"/>
  <c r="CF250" i="19"/>
  <c r="CG250" i="19"/>
  <c r="CH250" i="19"/>
  <c r="CI250" i="19"/>
  <c r="CJ250" i="19"/>
  <c r="CK250" i="19"/>
  <c r="CL250" i="19"/>
  <c r="CM250" i="19"/>
  <c r="CN250" i="19"/>
  <c r="CO250" i="19"/>
  <c r="CP250" i="19"/>
  <c r="CQ250" i="19"/>
  <c r="CR250" i="19"/>
  <c r="CS250" i="19"/>
  <c r="CT250" i="19"/>
  <c r="CU250" i="19"/>
  <c r="CV250" i="19"/>
  <c r="CW250" i="19"/>
  <c r="CX250" i="19"/>
  <c r="CY250" i="19"/>
  <c r="CZ250" i="19"/>
  <c r="DA250" i="19"/>
  <c r="DB250" i="19"/>
  <c r="DC250" i="19"/>
  <c r="DD250" i="19"/>
  <c r="DE250" i="19"/>
  <c r="DF250" i="19"/>
  <c r="DG250" i="19"/>
  <c r="DH250" i="19"/>
  <c r="DI250" i="19"/>
  <c r="DJ250" i="19"/>
  <c r="DK250" i="19"/>
  <c r="DL250" i="19"/>
  <c r="DM250" i="19"/>
  <c r="DN250" i="19"/>
  <c r="DO250" i="19"/>
  <c r="DP250" i="19"/>
  <c r="DQ250" i="19"/>
  <c r="DR250" i="19"/>
  <c r="DS250" i="19"/>
  <c r="DT250" i="19"/>
  <c r="DU250" i="19"/>
  <c r="DV250" i="19"/>
  <c r="DW250" i="19"/>
  <c r="DX250" i="19"/>
  <c r="DY250" i="19"/>
  <c r="DZ250" i="19"/>
  <c r="EA250" i="19"/>
  <c r="EB250" i="19"/>
  <c r="EC250" i="19"/>
  <c r="ED250" i="19"/>
  <c r="EE250" i="19"/>
  <c r="EF250" i="19"/>
  <c r="EG250" i="19"/>
  <c r="EH250" i="19"/>
  <c r="EI250" i="19"/>
  <c r="EJ250" i="19"/>
  <c r="EK250" i="19"/>
  <c r="EL250" i="19"/>
  <c r="EM250" i="19"/>
  <c r="EN250" i="19"/>
  <c r="EO250" i="19"/>
  <c r="EP250" i="19"/>
  <c r="EQ250" i="19"/>
  <c r="ER250" i="19"/>
  <c r="ES250" i="19"/>
  <c r="ET250" i="19"/>
  <c r="EU250" i="19"/>
  <c r="EV250" i="19"/>
  <c r="EW250" i="19"/>
  <c r="EX250" i="19"/>
  <c r="EY250" i="19"/>
  <c r="EZ250" i="19"/>
  <c r="FA250" i="19"/>
  <c r="FB250" i="19"/>
  <c r="FC250" i="19"/>
  <c r="FD250" i="19"/>
  <c r="FE250" i="19"/>
  <c r="FF250" i="19"/>
  <c r="FG250" i="19"/>
  <c r="FH250" i="19"/>
  <c r="FI250" i="19"/>
  <c r="FJ250" i="19"/>
  <c r="FK250" i="19"/>
  <c r="FL250" i="19"/>
  <c r="FM250" i="19"/>
  <c r="FN250" i="19"/>
  <c r="FO250" i="19"/>
  <c r="FP250" i="19"/>
  <c r="FQ250" i="19"/>
  <c r="FR250" i="19"/>
  <c r="FS250" i="19"/>
  <c r="FT250" i="19"/>
  <c r="FU250" i="19"/>
  <c r="FV250" i="19"/>
  <c r="FW250" i="19"/>
  <c r="FX250" i="19"/>
  <c r="FY250" i="19"/>
  <c r="FZ250" i="19"/>
  <c r="GA250" i="19"/>
  <c r="GB250" i="19"/>
  <c r="GC250" i="19"/>
  <c r="GD250" i="19"/>
  <c r="GE250" i="19"/>
  <c r="GF250" i="19"/>
  <c r="GG250" i="19"/>
  <c r="GH250" i="19"/>
  <c r="GI250" i="19"/>
  <c r="GJ250" i="19"/>
  <c r="GK250" i="19"/>
  <c r="GL250" i="19"/>
  <c r="GM250" i="19"/>
  <c r="GN250" i="19"/>
  <c r="GO250" i="19"/>
  <c r="GP250" i="19"/>
  <c r="GQ250" i="19"/>
  <c r="GR250" i="19"/>
  <c r="GS250" i="19"/>
  <c r="GT250" i="19"/>
  <c r="GU250" i="19"/>
  <c r="GV250" i="19"/>
  <c r="GW250" i="19"/>
  <c r="GX250" i="19"/>
  <c r="GY250" i="19"/>
  <c r="GZ250" i="19"/>
  <c r="HA250" i="19"/>
  <c r="HB250" i="19"/>
  <c r="HC250" i="19"/>
  <c r="HD250" i="19"/>
  <c r="HE250" i="19"/>
  <c r="HF250" i="19"/>
  <c r="HG250" i="19"/>
  <c r="HH250" i="19"/>
  <c r="HI250" i="19"/>
  <c r="HJ250" i="19"/>
  <c r="HK250" i="19"/>
  <c r="HL250" i="19"/>
  <c r="HM250" i="19"/>
  <c r="HN250" i="19"/>
  <c r="HO250" i="19"/>
  <c r="HP250" i="19"/>
  <c r="HQ250" i="19"/>
  <c r="HR250" i="19"/>
  <c r="HS250" i="19"/>
  <c r="HT250" i="19"/>
  <c r="HU250" i="19"/>
  <c r="HV250" i="19"/>
  <c r="HW250" i="19"/>
  <c r="HX250" i="19"/>
  <c r="HY250" i="19"/>
  <c r="HZ250" i="19"/>
  <c r="IA250" i="19"/>
  <c r="IB250" i="19"/>
  <c r="IC250" i="19"/>
  <c r="ID250" i="19"/>
  <c r="IE250" i="19"/>
  <c r="IF250" i="19"/>
  <c r="IG250" i="19"/>
  <c r="IH250" i="19"/>
  <c r="II250" i="19"/>
  <c r="IJ250" i="19"/>
  <c r="IK250" i="19"/>
  <c r="IL250" i="19"/>
  <c r="IM250" i="19"/>
  <c r="IN250" i="19"/>
  <c r="IO250" i="19"/>
  <c r="IP250" i="19"/>
  <c r="IQ250" i="19"/>
  <c r="IR250" i="19"/>
  <c r="IS250" i="19"/>
  <c r="IT250" i="19"/>
  <c r="IU250" i="19"/>
  <c r="IV250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T251" i="19"/>
  <c r="U251" i="19"/>
  <c r="V251" i="19"/>
  <c r="W251" i="19"/>
  <c r="X251" i="19"/>
  <c r="Y251" i="19"/>
  <c r="Z251" i="19"/>
  <c r="AA251" i="19"/>
  <c r="AB251" i="19"/>
  <c r="AC251" i="19"/>
  <c r="AD251" i="19"/>
  <c r="AE251" i="19"/>
  <c r="AF251" i="19"/>
  <c r="AG251" i="19"/>
  <c r="AH251" i="19"/>
  <c r="AI251" i="19"/>
  <c r="AJ251" i="19"/>
  <c r="AK251" i="19"/>
  <c r="AL251" i="19"/>
  <c r="AM251" i="19"/>
  <c r="AN251" i="19"/>
  <c r="AO251" i="19"/>
  <c r="AP251" i="19"/>
  <c r="AQ251" i="19"/>
  <c r="AR251" i="19"/>
  <c r="AS251" i="19"/>
  <c r="AT251" i="19"/>
  <c r="AU251" i="19"/>
  <c r="AV251" i="19"/>
  <c r="AW251" i="19"/>
  <c r="AX251" i="19"/>
  <c r="AY251" i="19"/>
  <c r="AZ251" i="19"/>
  <c r="BA251" i="19"/>
  <c r="BB251" i="19"/>
  <c r="BC251" i="19"/>
  <c r="BD251" i="19"/>
  <c r="BE251" i="19"/>
  <c r="BF251" i="19"/>
  <c r="BG251" i="19"/>
  <c r="BH251" i="19"/>
  <c r="BI251" i="19"/>
  <c r="BJ251" i="19"/>
  <c r="BK251" i="19"/>
  <c r="BL251" i="19"/>
  <c r="BM251" i="19"/>
  <c r="BN251" i="19"/>
  <c r="BO251" i="19"/>
  <c r="BP251" i="19"/>
  <c r="BQ251" i="19"/>
  <c r="BR251" i="19"/>
  <c r="BS251" i="19"/>
  <c r="BT251" i="19"/>
  <c r="BU251" i="19"/>
  <c r="BV251" i="19"/>
  <c r="BW251" i="19"/>
  <c r="BX251" i="19"/>
  <c r="BY251" i="19"/>
  <c r="BZ251" i="19"/>
  <c r="CA251" i="19"/>
  <c r="CB251" i="19"/>
  <c r="CC251" i="19"/>
  <c r="CD251" i="19"/>
  <c r="CE251" i="19"/>
  <c r="CF251" i="19"/>
  <c r="CG251" i="19"/>
  <c r="CH251" i="19"/>
  <c r="CI251" i="19"/>
  <c r="CJ251" i="19"/>
  <c r="CK251" i="19"/>
  <c r="CL251" i="19"/>
  <c r="CM251" i="19"/>
  <c r="CN251" i="19"/>
  <c r="CO251" i="19"/>
  <c r="CP251" i="19"/>
  <c r="CQ251" i="19"/>
  <c r="CR251" i="19"/>
  <c r="CS251" i="19"/>
  <c r="CT251" i="19"/>
  <c r="CU251" i="19"/>
  <c r="CV251" i="19"/>
  <c r="CW251" i="19"/>
  <c r="CX251" i="19"/>
  <c r="CY251" i="19"/>
  <c r="CZ251" i="19"/>
  <c r="DA251" i="19"/>
  <c r="DB251" i="19"/>
  <c r="DC251" i="19"/>
  <c r="DD251" i="19"/>
  <c r="DE251" i="19"/>
  <c r="DF251" i="19"/>
  <c r="DG251" i="19"/>
  <c r="DH251" i="19"/>
  <c r="DI251" i="19"/>
  <c r="DJ251" i="19"/>
  <c r="DK251" i="19"/>
  <c r="DL251" i="19"/>
  <c r="DM251" i="19"/>
  <c r="DN251" i="19"/>
  <c r="DO251" i="19"/>
  <c r="DP251" i="19"/>
  <c r="DQ251" i="19"/>
  <c r="DR251" i="19"/>
  <c r="DS251" i="19"/>
  <c r="DT251" i="19"/>
  <c r="DU251" i="19"/>
  <c r="DV251" i="19"/>
  <c r="DW251" i="19"/>
  <c r="DX251" i="19"/>
  <c r="DY251" i="19"/>
  <c r="DZ251" i="19"/>
  <c r="EA251" i="19"/>
  <c r="EB251" i="19"/>
  <c r="EC251" i="19"/>
  <c r="ED251" i="19"/>
  <c r="EE251" i="19"/>
  <c r="EF251" i="19"/>
  <c r="EG251" i="19"/>
  <c r="EH251" i="19"/>
  <c r="EI251" i="19"/>
  <c r="EJ251" i="19"/>
  <c r="EK251" i="19"/>
  <c r="EL251" i="19"/>
  <c r="EM251" i="19"/>
  <c r="EN251" i="19"/>
  <c r="EO251" i="19"/>
  <c r="EP251" i="19"/>
  <c r="EQ251" i="19"/>
  <c r="ER251" i="19"/>
  <c r="ES251" i="19"/>
  <c r="ET251" i="19"/>
  <c r="EU251" i="19"/>
  <c r="EV251" i="19"/>
  <c r="EW251" i="19"/>
  <c r="EX251" i="19"/>
  <c r="EY251" i="19"/>
  <c r="EZ251" i="19"/>
  <c r="FA251" i="19"/>
  <c r="FB251" i="19"/>
  <c r="FC251" i="19"/>
  <c r="FD251" i="19"/>
  <c r="FE251" i="19"/>
  <c r="FF251" i="19"/>
  <c r="FG251" i="19"/>
  <c r="FH251" i="19"/>
  <c r="FI251" i="19"/>
  <c r="FJ251" i="19"/>
  <c r="FK251" i="19"/>
  <c r="FL251" i="19"/>
  <c r="FM251" i="19"/>
  <c r="FN251" i="19"/>
  <c r="FO251" i="19"/>
  <c r="FP251" i="19"/>
  <c r="FQ251" i="19"/>
  <c r="FR251" i="19"/>
  <c r="FS251" i="19"/>
  <c r="FT251" i="19"/>
  <c r="FU251" i="19"/>
  <c r="FV251" i="19"/>
  <c r="FW251" i="19"/>
  <c r="FX251" i="19"/>
  <c r="FY251" i="19"/>
  <c r="FZ251" i="19"/>
  <c r="GA251" i="19"/>
  <c r="GB251" i="19"/>
  <c r="GC251" i="19"/>
  <c r="GD251" i="19"/>
  <c r="GE251" i="19"/>
  <c r="GF251" i="19"/>
  <c r="GG251" i="19"/>
  <c r="GH251" i="19"/>
  <c r="GI251" i="19"/>
  <c r="GJ251" i="19"/>
  <c r="GK251" i="19"/>
  <c r="GL251" i="19"/>
  <c r="GM251" i="19"/>
  <c r="GN251" i="19"/>
  <c r="GO251" i="19"/>
  <c r="GP251" i="19"/>
  <c r="GQ251" i="19"/>
  <c r="GR251" i="19"/>
  <c r="GS251" i="19"/>
  <c r="GT251" i="19"/>
  <c r="GU251" i="19"/>
  <c r="GV251" i="19"/>
  <c r="GW251" i="19"/>
  <c r="GX251" i="19"/>
  <c r="GY251" i="19"/>
  <c r="GZ251" i="19"/>
  <c r="HA251" i="19"/>
  <c r="HB251" i="19"/>
  <c r="HC251" i="19"/>
  <c r="HD251" i="19"/>
  <c r="HE251" i="19"/>
  <c r="HF251" i="19"/>
  <c r="HG251" i="19"/>
  <c r="HH251" i="19"/>
  <c r="HI251" i="19"/>
  <c r="HJ251" i="19"/>
  <c r="HK251" i="19"/>
  <c r="HL251" i="19"/>
  <c r="HM251" i="19"/>
  <c r="HN251" i="19"/>
  <c r="HO251" i="19"/>
  <c r="HP251" i="19"/>
  <c r="HQ251" i="19"/>
  <c r="HR251" i="19"/>
  <c r="HS251" i="19"/>
  <c r="HT251" i="19"/>
  <c r="HU251" i="19"/>
  <c r="HV251" i="19"/>
  <c r="HW251" i="19"/>
  <c r="HX251" i="19"/>
  <c r="HY251" i="19"/>
  <c r="HZ251" i="19"/>
  <c r="IA251" i="19"/>
  <c r="IB251" i="19"/>
  <c r="IC251" i="19"/>
  <c r="ID251" i="19"/>
  <c r="IE251" i="19"/>
  <c r="IF251" i="19"/>
  <c r="IG251" i="19"/>
  <c r="IH251" i="19"/>
  <c r="II251" i="19"/>
  <c r="IJ251" i="19"/>
  <c r="IK251" i="19"/>
  <c r="IL251" i="19"/>
  <c r="IM251" i="19"/>
  <c r="IN251" i="19"/>
  <c r="IO251" i="19"/>
  <c r="IP251" i="19"/>
  <c r="IQ251" i="19"/>
  <c r="IR251" i="19"/>
  <c r="IS251" i="19"/>
  <c r="IT251" i="19"/>
  <c r="IU251" i="19"/>
  <c r="IV251" i="19"/>
  <c r="F252" i="19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T252" i="19"/>
  <c r="U252" i="19"/>
  <c r="V252" i="19"/>
  <c r="W252" i="19"/>
  <c r="X252" i="19"/>
  <c r="Y252" i="19"/>
  <c r="Z252" i="19"/>
  <c r="AA252" i="19"/>
  <c r="AB252" i="19"/>
  <c r="AC252" i="19"/>
  <c r="AD252" i="19"/>
  <c r="AE252" i="19"/>
  <c r="AF252" i="19"/>
  <c r="AG252" i="19"/>
  <c r="AH252" i="19"/>
  <c r="AI252" i="19"/>
  <c r="AJ252" i="19"/>
  <c r="AK252" i="19"/>
  <c r="AL252" i="19"/>
  <c r="AM252" i="19"/>
  <c r="AN252" i="19"/>
  <c r="AO252" i="19"/>
  <c r="AP252" i="19"/>
  <c r="AQ252" i="19"/>
  <c r="AR252" i="19"/>
  <c r="AS252" i="19"/>
  <c r="AT252" i="19"/>
  <c r="AU252" i="19"/>
  <c r="AV252" i="19"/>
  <c r="AW252" i="19"/>
  <c r="AX252" i="19"/>
  <c r="AY252" i="19"/>
  <c r="AZ252" i="19"/>
  <c r="BA252" i="19"/>
  <c r="BB252" i="19"/>
  <c r="BC252" i="19"/>
  <c r="BD252" i="19"/>
  <c r="BE252" i="19"/>
  <c r="BF252" i="19"/>
  <c r="BG252" i="19"/>
  <c r="BH252" i="19"/>
  <c r="BI252" i="19"/>
  <c r="BJ252" i="19"/>
  <c r="BK252" i="19"/>
  <c r="BL252" i="19"/>
  <c r="BM252" i="19"/>
  <c r="BN252" i="19"/>
  <c r="BO252" i="19"/>
  <c r="BP252" i="19"/>
  <c r="BQ252" i="19"/>
  <c r="BR252" i="19"/>
  <c r="BS252" i="19"/>
  <c r="BT252" i="19"/>
  <c r="BU252" i="19"/>
  <c r="BV252" i="19"/>
  <c r="BW252" i="19"/>
  <c r="BX252" i="19"/>
  <c r="BY252" i="19"/>
  <c r="BZ252" i="19"/>
  <c r="CA252" i="19"/>
  <c r="CB252" i="19"/>
  <c r="CC252" i="19"/>
  <c r="CD252" i="19"/>
  <c r="CE252" i="19"/>
  <c r="CF252" i="19"/>
  <c r="CG252" i="19"/>
  <c r="CH252" i="19"/>
  <c r="CI252" i="19"/>
  <c r="CJ252" i="19"/>
  <c r="CK252" i="19"/>
  <c r="CL252" i="19"/>
  <c r="CM252" i="19"/>
  <c r="CN252" i="19"/>
  <c r="CO252" i="19"/>
  <c r="CP252" i="19"/>
  <c r="CQ252" i="19"/>
  <c r="CR252" i="19"/>
  <c r="CS252" i="19"/>
  <c r="CT252" i="19"/>
  <c r="CU252" i="19"/>
  <c r="CV252" i="19"/>
  <c r="CW252" i="19"/>
  <c r="CX252" i="19"/>
  <c r="CY252" i="19"/>
  <c r="CZ252" i="19"/>
  <c r="DA252" i="19"/>
  <c r="DB252" i="19"/>
  <c r="DC252" i="19"/>
  <c r="DD252" i="19"/>
  <c r="DE252" i="19"/>
  <c r="DF252" i="19"/>
  <c r="DG252" i="19"/>
  <c r="DH252" i="19"/>
  <c r="DI252" i="19"/>
  <c r="DJ252" i="19"/>
  <c r="DK252" i="19"/>
  <c r="DL252" i="19"/>
  <c r="DM252" i="19"/>
  <c r="DN252" i="19"/>
  <c r="DO252" i="19"/>
  <c r="DP252" i="19"/>
  <c r="DQ252" i="19"/>
  <c r="DR252" i="19"/>
  <c r="DS252" i="19"/>
  <c r="DT252" i="19"/>
  <c r="DU252" i="19"/>
  <c r="DV252" i="19"/>
  <c r="DW252" i="19"/>
  <c r="DX252" i="19"/>
  <c r="DY252" i="19"/>
  <c r="DZ252" i="19"/>
  <c r="EA252" i="19"/>
  <c r="EB252" i="19"/>
  <c r="EC252" i="19"/>
  <c r="ED252" i="19"/>
  <c r="EE252" i="19"/>
  <c r="EF252" i="19"/>
  <c r="EG252" i="19"/>
  <c r="EH252" i="19"/>
  <c r="EI252" i="19"/>
  <c r="EJ252" i="19"/>
  <c r="EK252" i="19"/>
  <c r="EL252" i="19"/>
  <c r="EM252" i="19"/>
  <c r="EN252" i="19"/>
  <c r="EO252" i="19"/>
  <c r="EP252" i="19"/>
  <c r="EQ252" i="19"/>
  <c r="ER252" i="19"/>
  <c r="ES252" i="19"/>
  <c r="ET252" i="19"/>
  <c r="EU252" i="19"/>
  <c r="EV252" i="19"/>
  <c r="EW252" i="19"/>
  <c r="EX252" i="19"/>
  <c r="EY252" i="19"/>
  <c r="EZ252" i="19"/>
  <c r="FA252" i="19"/>
  <c r="FB252" i="19"/>
  <c r="FC252" i="19"/>
  <c r="FD252" i="19"/>
  <c r="FE252" i="19"/>
  <c r="FF252" i="19"/>
  <c r="FG252" i="19"/>
  <c r="FH252" i="19"/>
  <c r="FI252" i="19"/>
  <c r="FJ252" i="19"/>
  <c r="FK252" i="19"/>
  <c r="FL252" i="19"/>
  <c r="FM252" i="19"/>
  <c r="FN252" i="19"/>
  <c r="FO252" i="19"/>
  <c r="FP252" i="19"/>
  <c r="FQ252" i="19"/>
  <c r="FR252" i="19"/>
  <c r="FS252" i="19"/>
  <c r="FT252" i="19"/>
  <c r="FU252" i="19"/>
  <c r="FV252" i="19"/>
  <c r="FW252" i="19"/>
  <c r="FX252" i="19"/>
  <c r="FY252" i="19"/>
  <c r="FZ252" i="19"/>
  <c r="GA252" i="19"/>
  <c r="GB252" i="19"/>
  <c r="GC252" i="19"/>
  <c r="GD252" i="19"/>
  <c r="GE252" i="19"/>
  <c r="GF252" i="19"/>
  <c r="GG252" i="19"/>
  <c r="GH252" i="19"/>
  <c r="GI252" i="19"/>
  <c r="GJ252" i="19"/>
  <c r="GK252" i="19"/>
  <c r="GL252" i="19"/>
  <c r="GM252" i="19"/>
  <c r="GN252" i="19"/>
  <c r="GO252" i="19"/>
  <c r="GP252" i="19"/>
  <c r="GQ252" i="19"/>
  <c r="GR252" i="19"/>
  <c r="GS252" i="19"/>
  <c r="GT252" i="19"/>
  <c r="GU252" i="19"/>
  <c r="GV252" i="19"/>
  <c r="GW252" i="19"/>
  <c r="GX252" i="19"/>
  <c r="GY252" i="19"/>
  <c r="GZ252" i="19"/>
  <c r="HA252" i="19"/>
  <c r="HB252" i="19"/>
  <c r="HC252" i="19"/>
  <c r="HD252" i="19"/>
  <c r="HE252" i="19"/>
  <c r="HF252" i="19"/>
  <c r="HG252" i="19"/>
  <c r="HH252" i="19"/>
  <c r="HI252" i="19"/>
  <c r="HJ252" i="19"/>
  <c r="HK252" i="19"/>
  <c r="HL252" i="19"/>
  <c r="HM252" i="19"/>
  <c r="HN252" i="19"/>
  <c r="HO252" i="19"/>
  <c r="HP252" i="19"/>
  <c r="HQ252" i="19"/>
  <c r="HR252" i="19"/>
  <c r="HS252" i="19"/>
  <c r="HT252" i="19"/>
  <c r="HU252" i="19"/>
  <c r="HV252" i="19"/>
  <c r="HW252" i="19"/>
  <c r="HX252" i="19"/>
  <c r="HY252" i="19"/>
  <c r="HZ252" i="19"/>
  <c r="IA252" i="19"/>
  <c r="IB252" i="19"/>
  <c r="IC252" i="19"/>
  <c r="ID252" i="19"/>
  <c r="IE252" i="19"/>
  <c r="IF252" i="19"/>
  <c r="IG252" i="19"/>
  <c r="IH252" i="19"/>
  <c r="II252" i="19"/>
  <c r="IJ252" i="19"/>
  <c r="IK252" i="19"/>
  <c r="IL252" i="19"/>
  <c r="IM252" i="19"/>
  <c r="IN252" i="19"/>
  <c r="IO252" i="19"/>
  <c r="IP252" i="19"/>
  <c r="IQ252" i="19"/>
  <c r="IR252" i="19"/>
  <c r="IS252" i="19"/>
  <c r="IT252" i="19"/>
  <c r="IU252" i="19"/>
  <c r="IV252" i="19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T253" i="19"/>
  <c r="U253" i="19"/>
  <c r="V253" i="19"/>
  <c r="W253" i="19"/>
  <c r="X253" i="19"/>
  <c r="Y253" i="19"/>
  <c r="Z253" i="19"/>
  <c r="AA253" i="19"/>
  <c r="AB253" i="19"/>
  <c r="AC253" i="19"/>
  <c r="AD253" i="19"/>
  <c r="AE253" i="19"/>
  <c r="AF253" i="19"/>
  <c r="AG253" i="19"/>
  <c r="AH253" i="19"/>
  <c r="AI253" i="19"/>
  <c r="AJ253" i="19"/>
  <c r="AK253" i="19"/>
  <c r="AL253" i="19"/>
  <c r="AM253" i="19"/>
  <c r="AN253" i="19"/>
  <c r="AO253" i="19"/>
  <c r="AP253" i="19"/>
  <c r="AQ253" i="19"/>
  <c r="AR253" i="19"/>
  <c r="AS253" i="19"/>
  <c r="AT253" i="19"/>
  <c r="AU253" i="19"/>
  <c r="AV253" i="19"/>
  <c r="AW253" i="19"/>
  <c r="AX253" i="19"/>
  <c r="AY253" i="19"/>
  <c r="AZ253" i="19"/>
  <c r="BA253" i="19"/>
  <c r="BB253" i="19"/>
  <c r="BC253" i="19"/>
  <c r="BD253" i="19"/>
  <c r="BE253" i="19"/>
  <c r="BF253" i="19"/>
  <c r="BG253" i="19"/>
  <c r="BH253" i="19"/>
  <c r="BI253" i="19"/>
  <c r="BJ253" i="19"/>
  <c r="BK253" i="19"/>
  <c r="BL253" i="19"/>
  <c r="BM253" i="19"/>
  <c r="BN253" i="19"/>
  <c r="BO253" i="19"/>
  <c r="BP253" i="19"/>
  <c r="BQ253" i="19"/>
  <c r="BR253" i="19"/>
  <c r="BS253" i="19"/>
  <c r="BT253" i="19"/>
  <c r="BU253" i="19"/>
  <c r="BV253" i="19"/>
  <c r="BW253" i="19"/>
  <c r="BX253" i="19"/>
  <c r="BY253" i="19"/>
  <c r="BZ253" i="19"/>
  <c r="CA253" i="19"/>
  <c r="CB253" i="19"/>
  <c r="CC253" i="19"/>
  <c r="CD253" i="19"/>
  <c r="CE253" i="19"/>
  <c r="CF253" i="19"/>
  <c r="CG253" i="19"/>
  <c r="CH253" i="19"/>
  <c r="CI253" i="19"/>
  <c r="CJ253" i="19"/>
  <c r="CK253" i="19"/>
  <c r="CL253" i="19"/>
  <c r="CM253" i="19"/>
  <c r="CN253" i="19"/>
  <c r="CO253" i="19"/>
  <c r="CP253" i="19"/>
  <c r="CQ253" i="19"/>
  <c r="CR253" i="19"/>
  <c r="CS253" i="19"/>
  <c r="CT253" i="19"/>
  <c r="CU253" i="19"/>
  <c r="CV253" i="19"/>
  <c r="CW253" i="19"/>
  <c r="CX253" i="19"/>
  <c r="CY253" i="19"/>
  <c r="CZ253" i="19"/>
  <c r="DA253" i="19"/>
  <c r="DB253" i="19"/>
  <c r="DC253" i="19"/>
  <c r="DD253" i="19"/>
  <c r="DE253" i="19"/>
  <c r="DF253" i="19"/>
  <c r="DG253" i="19"/>
  <c r="DH253" i="19"/>
  <c r="DI253" i="19"/>
  <c r="DJ253" i="19"/>
  <c r="DK253" i="19"/>
  <c r="DL253" i="19"/>
  <c r="DM253" i="19"/>
  <c r="DN253" i="19"/>
  <c r="DO253" i="19"/>
  <c r="DP253" i="19"/>
  <c r="DQ253" i="19"/>
  <c r="DR253" i="19"/>
  <c r="DS253" i="19"/>
  <c r="DT253" i="19"/>
  <c r="DU253" i="19"/>
  <c r="DV253" i="19"/>
  <c r="DW253" i="19"/>
  <c r="DX253" i="19"/>
  <c r="DY253" i="19"/>
  <c r="DZ253" i="19"/>
  <c r="EA253" i="19"/>
  <c r="EB253" i="19"/>
  <c r="EC253" i="19"/>
  <c r="ED253" i="19"/>
  <c r="EE253" i="19"/>
  <c r="EF253" i="19"/>
  <c r="EG253" i="19"/>
  <c r="EH253" i="19"/>
  <c r="EI253" i="19"/>
  <c r="EJ253" i="19"/>
  <c r="EK253" i="19"/>
  <c r="EL253" i="19"/>
  <c r="EM253" i="19"/>
  <c r="EN253" i="19"/>
  <c r="EO253" i="19"/>
  <c r="EP253" i="19"/>
  <c r="EQ253" i="19"/>
  <c r="ER253" i="19"/>
  <c r="ES253" i="19"/>
  <c r="ET253" i="19"/>
  <c r="EU253" i="19"/>
  <c r="EV253" i="19"/>
  <c r="EW253" i="19"/>
  <c r="EX253" i="19"/>
  <c r="EY253" i="19"/>
  <c r="EZ253" i="19"/>
  <c r="FA253" i="19"/>
  <c r="FB253" i="19"/>
  <c r="FC253" i="19"/>
  <c r="FD253" i="19"/>
  <c r="FE253" i="19"/>
  <c r="FF253" i="19"/>
  <c r="FG253" i="19"/>
  <c r="FH253" i="19"/>
  <c r="FI253" i="19"/>
  <c r="FJ253" i="19"/>
  <c r="FK253" i="19"/>
  <c r="FL253" i="19"/>
  <c r="FM253" i="19"/>
  <c r="FN253" i="19"/>
  <c r="FO253" i="19"/>
  <c r="FP253" i="19"/>
  <c r="FQ253" i="19"/>
  <c r="FR253" i="19"/>
  <c r="FS253" i="19"/>
  <c r="FT253" i="19"/>
  <c r="FU253" i="19"/>
  <c r="FV253" i="19"/>
  <c r="FW253" i="19"/>
  <c r="FX253" i="19"/>
  <c r="FY253" i="19"/>
  <c r="FZ253" i="19"/>
  <c r="GA253" i="19"/>
  <c r="GB253" i="19"/>
  <c r="GC253" i="19"/>
  <c r="GD253" i="19"/>
  <c r="GE253" i="19"/>
  <c r="GF253" i="19"/>
  <c r="GG253" i="19"/>
  <c r="GH253" i="19"/>
  <c r="GI253" i="19"/>
  <c r="GJ253" i="19"/>
  <c r="GK253" i="19"/>
  <c r="GL253" i="19"/>
  <c r="GM253" i="19"/>
  <c r="GN253" i="19"/>
  <c r="GO253" i="19"/>
  <c r="GP253" i="19"/>
  <c r="GQ253" i="19"/>
  <c r="GR253" i="19"/>
  <c r="GS253" i="19"/>
  <c r="GT253" i="19"/>
  <c r="GU253" i="19"/>
  <c r="GV253" i="19"/>
  <c r="GW253" i="19"/>
  <c r="GX253" i="19"/>
  <c r="GY253" i="19"/>
  <c r="GZ253" i="19"/>
  <c r="HA253" i="19"/>
  <c r="HB253" i="19"/>
  <c r="HC253" i="19"/>
  <c r="HD253" i="19"/>
  <c r="HE253" i="19"/>
  <c r="HF253" i="19"/>
  <c r="HG253" i="19"/>
  <c r="HH253" i="19"/>
  <c r="HI253" i="19"/>
  <c r="HJ253" i="19"/>
  <c r="HK253" i="19"/>
  <c r="HL253" i="19"/>
  <c r="HM253" i="19"/>
  <c r="HN253" i="19"/>
  <c r="HO253" i="19"/>
  <c r="HP253" i="19"/>
  <c r="HQ253" i="19"/>
  <c r="HR253" i="19"/>
  <c r="HS253" i="19"/>
  <c r="HT253" i="19"/>
  <c r="HU253" i="19"/>
  <c r="HV253" i="19"/>
  <c r="HW253" i="19"/>
  <c r="HX253" i="19"/>
  <c r="HY253" i="19"/>
  <c r="HZ253" i="19"/>
  <c r="IA253" i="19"/>
  <c r="IB253" i="19"/>
  <c r="IC253" i="19"/>
  <c r="ID253" i="19"/>
  <c r="IE253" i="19"/>
  <c r="IF253" i="19"/>
  <c r="IG253" i="19"/>
  <c r="IH253" i="19"/>
  <c r="II253" i="19"/>
  <c r="IJ253" i="19"/>
  <c r="IK253" i="19"/>
  <c r="IL253" i="19"/>
  <c r="IM253" i="19"/>
  <c r="IN253" i="19"/>
  <c r="IO253" i="19"/>
  <c r="IP253" i="19"/>
  <c r="IQ253" i="19"/>
  <c r="IR253" i="19"/>
  <c r="IS253" i="19"/>
  <c r="IT253" i="19"/>
  <c r="IU253" i="19"/>
  <c r="IV253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T254" i="19"/>
  <c r="U254" i="19"/>
  <c r="V254" i="19"/>
  <c r="W254" i="19"/>
  <c r="X254" i="19"/>
  <c r="Y254" i="19"/>
  <c r="Z254" i="19"/>
  <c r="AA254" i="19"/>
  <c r="AB254" i="19"/>
  <c r="AC254" i="19"/>
  <c r="AD254" i="19"/>
  <c r="AE254" i="19"/>
  <c r="AF254" i="19"/>
  <c r="AG254" i="19"/>
  <c r="AH254" i="19"/>
  <c r="AI254" i="19"/>
  <c r="AJ254" i="19"/>
  <c r="AK254" i="19"/>
  <c r="AL254" i="19"/>
  <c r="AM254" i="19"/>
  <c r="AN254" i="19"/>
  <c r="AO254" i="19"/>
  <c r="AP254" i="19"/>
  <c r="AQ254" i="19"/>
  <c r="AR254" i="19"/>
  <c r="AS254" i="19"/>
  <c r="AT254" i="19"/>
  <c r="AU254" i="19"/>
  <c r="AV254" i="19"/>
  <c r="AW254" i="19"/>
  <c r="AX254" i="19"/>
  <c r="AY254" i="19"/>
  <c r="AZ254" i="19"/>
  <c r="BA254" i="19"/>
  <c r="BB254" i="19"/>
  <c r="BC254" i="19"/>
  <c r="BD254" i="19"/>
  <c r="BE254" i="19"/>
  <c r="BF254" i="19"/>
  <c r="BG254" i="19"/>
  <c r="BH254" i="19"/>
  <c r="BI254" i="19"/>
  <c r="BJ254" i="19"/>
  <c r="BK254" i="19"/>
  <c r="BL254" i="19"/>
  <c r="BM254" i="19"/>
  <c r="BN254" i="19"/>
  <c r="BO254" i="19"/>
  <c r="BP254" i="19"/>
  <c r="BQ254" i="19"/>
  <c r="BR254" i="19"/>
  <c r="BS254" i="19"/>
  <c r="BT254" i="19"/>
  <c r="BU254" i="19"/>
  <c r="BV254" i="19"/>
  <c r="BW254" i="19"/>
  <c r="BX254" i="19"/>
  <c r="BY254" i="19"/>
  <c r="BZ254" i="19"/>
  <c r="CA254" i="19"/>
  <c r="CB254" i="19"/>
  <c r="CC254" i="19"/>
  <c r="CD254" i="19"/>
  <c r="CE254" i="19"/>
  <c r="CF254" i="19"/>
  <c r="CG254" i="19"/>
  <c r="CH254" i="19"/>
  <c r="CI254" i="19"/>
  <c r="CJ254" i="19"/>
  <c r="CK254" i="19"/>
  <c r="CL254" i="19"/>
  <c r="CM254" i="19"/>
  <c r="CN254" i="19"/>
  <c r="CO254" i="19"/>
  <c r="CP254" i="19"/>
  <c r="CQ254" i="19"/>
  <c r="CR254" i="19"/>
  <c r="CS254" i="19"/>
  <c r="CT254" i="19"/>
  <c r="CU254" i="19"/>
  <c r="CV254" i="19"/>
  <c r="CW254" i="19"/>
  <c r="CX254" i="19"/>
  <c r="CY254" i="19"/>
  <c r="CZ254" i="19"/>
  <c r="DA254" i="19"/>
  <c r="DB254" i="19"/>
  <c r="DC254" i="19"/>
  <c r="DD254" i="19"/>
  <c r="DE254" i="19"/>
  <c r="DF254" i="19"/>
  <c r="DG254" i="19"/>
  <c r="DH254" i="19"/>
  <c r="DI254" i="19"/>
  <c r="DJ254" i="19"/>
  <c r="DK254" i="19"/>
  <c r="DL254" i="19"/>
  <c r="DM254" i="19"/>
  <c r="DN254" i="19"/>
  <c r="DO254" i="19"/>
  <c r="DP254" i="19"/>
  <c r="DQ254" i="19"/>
  <c r="DR254" i="19"/>
  <c r="DS254" i="19"/>
  <c r="DT254" i="19"/>
  <c r="DU254" i="19"/>
  <c r="DV254" i="19"/>
  <c r="DW254" i="19"/>
  <c r="DX254" i="19"/>
  <c r="DY254" i="19"/>
  <c r="DZ254" i="19"/>
  <c r="EA254" i="19"/>
  <c r="EB254" i="19"/>
  <c r="EC254" i="19"/>
  <c r="ED254" i="19"/>
  <c r="EE254" i="19"/>
  <c r="EF254" i="19"/>
  <c r="EG254" i="19"/>
  <c r="EH254" i="19"/>
  <c r="EI254" i="19"/>
  <c r="EJ254" i="19"/>
  <c r="EK254" i="19"/>
  <c r="EL254" i="19"/>
  <c r="EM254" i="19"/>
  <c r="EN254" i="19"/>
  <c r="EO254" i="19"/>
  <c r="EP254" i="19"/>
  <c r="EQ254" i="19"/>
  <c r="ER254" i="19"/>
  <c r="ES254" i="19"/>
  <c r="ET254" i="19"/>
  <c r="EU254" i="19"/>
  <c r="EV254" i="19"/>
  <c r="EW254" i="19"/>
  <c r="EX254" i="19"/>
  <c r="EY254" i="19"/>
  <c r="EZ254" i="19"/>
  <c r="FA254" i="19"/>
  <c r="FB254" i="19"/>
  <c r="FC254" i="19"/>
  <c r="FD254" i="19"/>
  <c r="FE254" i="19"/>
  <c r="FF254" i="19"/>
  <c r="FG254" i="19"/>
  <c r="FH254" i="19"/>
  <c r="FI254" i="19"/>
  <c r="FJ254" i="19"/>
  <c r="FK254" i="19"/>
  <c r="FL254" i="19"/>
  <c r="FM254" i="19"/>
  <c r="FN254" i="19"/>
  <c r="FO254" i="19"/>
  <c r="FP254" i="19"/>
  <c r="FQ254" i="19"/>
  <c r="FR254" i="19"/>
  <c r="FS254" i="19"/>
  <c r="FT254" i="19"/>
  <c r="FU254" i="19"/>
  <c r="FV254" i="19"/>
  <c r="FW254" i="19"/>
  <c r="FX254" i="19"/>
  <c r="FY254" i="19"/>
  <c r="FZ254" i="19"/>
  <c r="GA254" i="19"/>
  <c r="GB254" i="19"/>
  <c r="GC254" i="19"/>
  <c r="GD254" i="19"/>
  <c r="GE254" i="19"/>
  <c r="GF254" i="19"/>
  <c r="GG254" i="19"/>
  <c r="GH254" i="19"/>
  <c r="GI254" i="19"/>
  <c r="GJ254" i="19"/>
  <c r="GK254" i="19"/>
  <c r="GL254" i="19"/>
  <c r="GM254" i="19"/>
  <c r="GN254" i="19"/>
  <c r="GO254" i="19"/>
  <c r="GP254" i="19"/>
  <c r="GQ254" i="19"/>
  <c r="GR254" i="19"/>
  <c r="GS254" i="19"/>
  <c r="GT254" i="19"/>
  <c r="GU254" i="19"/>
  <c r="GV254" i="19"/>
  <c r="GW254" i="19"/>
  <c r="GX254" i="19"/>
  <c r="GY254" i="19"/>
  <c r="GZ254" i="19"/>
  <c r="HA254" i="19"/>
  <c r="HB254" i="19"/>
  <c r="HC254" i="19"/>
  <c r="HD254" i="19"/>
  <c r="HE254" i="19"/>
  <c r="HF254" i="19"/>
  <c r="HG254" i="19"/>
  <c r="HH254" i="19"/>
  <c r="HI254" i="19"/>
  <c r="HJ254" i="19"/>
  <c r="HK254" i="19"/>
  <c r="HL254" i="19"/>
  <c r="HM254" i="19"/>
  <c r="HN254" i="19"/>
  <c r="HO254" i="19"/>
  <c r="HP254" i="19"/>
  <c r="HQ254" i="19"/>
  <c r="HR254" i="19"/>
  <c r="HS254" i="19"/>
  <c r="HT254" i="19"/>
  <c r="HU254" i="19"/>
  <c r="HV254" i="19"/>
  <c r="HW254" i="19"/>
  <c r="HX254" i="19"/>
  <c r="HY254" i="19"/>
  <c r="HZ254" i="19"/>
  <c r="IA254" i="19"/>
  <c r="IB254" i="19"/>
  <c r="IC254" i="19"/>
  <c r="ID254" i="19"/>
  <c r="IE254" i="19"/>
  <c r="IF254" i="19"/>
  <c r="IG254" i="19"/>
  <c r="IH254" i="19"/>
  <c r="II254" i="19"/>
  <c r="IJ254" i="19"/>
  <c r="IK254" i="19"/>
  <c r="IL254" i="19"/>
  <c r="IM254" i="19"/>
  <c r="IN254" i="19"/>
  <c r="IO254" i="19"/>
  <c r="IP254" i="19"/>
  <c r="IQ254" i="19"/>
  <c r="IR254" i="19"/>
  <c r="IS254" i="19"/>
  <c r="IT254" i="19"/>
  <c r="IU254" i="19"/>
  <c r="IV254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T255" i="19"/>
  <c r="U255" i="19"/>
  <c r="V255" i="19"/>
  <c r="W255" i="19"/>
  <c r="X255" i="19"/>
  <c r="Y255" i="19"/>
  <c r="Z255" i="19"/>
  <c r="AA255" i="19"/>
  <c r="AB255" i="19"/>
  <c r="AC255" i="19"/>
  <c r="AD255" i="19"/>
  <c r="AE255" i="19"/>
  <c r="AF255" i="19"/>
  <c r="AG255" i="19"/>
  <c r="AH255" i="19"/>
  <c r="AI255" i="19"/>
  <c r="AJ255" i="19"/>
  <c r="AK255" i="19"/>
  <c r="AL255" i="19"/>
  <c r="AM255" i="19"/>
  <c r="AN255" i="19"/>
  <c r="AO255" i="19"/>
  <c r="AP255" i="19"/>
  <c r="AQ255" i="19"/>
  <c r="AR255" i="19"/>
  <c r="AS255" i="19"/>
  <c r="AT255" i="19"/>
  <c r="AU255" i="19"/>
  <c r="AV255" i="19"/>
  <c r="AW255" i="19"/>
  <c r="AX255" i="19"/>
  <c r="AY255" i="19"/>
  <c r="AZ255" i="19"/>
  <c r="BA255" i="19"/>
  <c r="BB255" i="19"/>
  <c r="BC255" i="19"/>
  <c r="BD255" i="19"/>
  <c r="BE255" i="19"/>
  <c r="BF255" i="19"/>
  <c r="BG255" i="19"/>
  <c r="BH255" i="19"/>
  <c r="BI255" i="19"/>
  <c r="BJ255" i="19"/>
  <c r="BK255" i="19"/>
  <c r="BL255" i="19"/>
  <c r="BM255" i="19"/>
  <c r="BN255" i="19"/>
  <c r="BO255" i="19"/>
  <c r="BP255" i="19"/>
  <c r="BQ255" i="19"/>
  <c r="BR255" i="19"/>
  <c r="BS255" i="19"/>
  <c r="BT255" i="19"/>
  <c r="BU255" i="19"/>
  <c r="BV255" i="19"/>
  <c r="BW255" i="19"/>
  <c r="BX255" i="19"/>
  <c r="BY255" i="19"/>
  <c r="BZ255" i="19"/>
  <c r="CA255" i="19"/>
  <c r="CB255" i="19"/>
  <c r="CC255" i="19"/>
  <c r="CD255" i="19"/>
  <c r="CE255" i="19"/>
  <c r="CF255" i="19"/>
  <c r="CG255" i="19"/>
  <c r="CH255" i="19"/>
  <c r="CI255" i="19"/>
  <c r="CJ255" i="19"/>
  <c r="CK255" i="19"/>
  <c r="CL255" i="19"/>
  <c r="CM255" i="19"/>
  <c r="CN255" i="19"/>
  <c r="CO255" i="19"/>
  <c r="CP255" i="19"/>
  <c r="CQ255" i="19"/>
  <c r="CR255" i="19"/>
  <c r="CS255" i="19"/>
  <c r="CT255" i="19"/>
  <c r="CU255" i="19"/>
  <c r="CV255" i="19"/>
  <c r="CW255" i="19"/>
  <c r="CX255" i="19"/>
  <c r="CY255" i="19"/>
  <c r="CZ255" i="19"/>
  <c r="DA255" i="19"/>
  <c r="DB255" i="19"/>
  <c r="DC255" i="19"/>
  <c r="DD255" i="19"/>
  <c r="DE255" i="19"/>
  <c r="DF255" i="19"/>
  <c r="DG255" i="19"/>
  <c r="DH255" i="19"/>
  <c r="DI255" i="19"/>
  <c r="DJ255" i="19"/>
  <c r="DK255" i="19"/>
  <c r="DL255" i="19"/>
  <c r="DM255" i="19"/>
  <c r="DN255" i="19"/>
  <c r="DO255" i="19"/>
  <c r="DP255" i="19"/>
  <c r="DQ255" i="19"/>
  <c r="DR255" i="19"/>
  <c r="DS255" i="19"/>
  <c r="DT255" i="19"/>
  <c r="DU255" i="19"/>
  <c r="DV255" i="19"/>
  <c r="DW255" i="19"/>
  <c r="DX255" i="19"/>
  <c r="DY255" i="19"/>
  <c r="DZ255" i="19"/>
  <c r="EA255" i="19"/>
  <c r="EB255" i="19"/>
  <c r="EC255" i="19"/>
  <c r="ED255" i="19"/>
  <c r="EE255" i="19"/>
  <c r="EF255" i="19"/>
  <c r="EG255" i="19"/>
  <c r="EH255" i="19"/>
  <c r="EI255" i="19"/>
  <c r="EJ255" i="19"/>
  <c r="EK255" i="19"/>
  <c r="EL255" i="19"/>
  <c r="EM255" i="19"/>
  <c r="EN255" i="19"/>
  <c r="EO255" i="19"/>
  <c r="EP255" i="19"/>
  <c r="EQ255" i="19"/>
  <c r="ER255" i="19"/>
  <c r="ES255" i="19"/>
  <c r="ET255" i="19"/>
  <c r="EU255" i="19"/>
  <c r="EV255" i="19"/>
  <c r="EW255" i="19"/>
  <c r="EX255" i="19"/>
  <c r="EY255" i="19"/>
  <c r="EZ255" i="19"/>
  <c r="FA255" i="19"/>
  <c r="FB255" i="19"/>
  <c r="FC255" i="19"/>
  <c r="FD255" i="19"/>
  <c r="FE255" i="19"/>
  <c r="FF255" i="19"/>
  <c r="FG255" i="19"/>
  <c r="FH255" i="19"/>
  <c r="FI255" i="19"/>
  <c r="FJ255" i="19"/>
  <c r="FK255" i="19"/>
  <c r="FL255" i="19"/>
  <c r="FM255" i="19"/>
  <c r="FN255" i="19"/>
  <c r="FO255" i="19"/>
  <c r="FP255" i="19"/>
  <c r="FQ255" i="19"/>
  <c r="FR255" i="19"/>
  <c r="FS255" i="19"/>
  <c r="FT255" i="19"/>
  <c r="FU255" i="19"/>
  <c r="FV255" i="19"/>
  <c r="FW255" i="19"/>
  <c r="FX255" i="19"/>
  <c r="FY255" i="19"/>
  <c r="FZ255" i="19"/>
  <c r="GA255" i="19"/>
  <c r="GB255" i="19"/>
  <c r="GC255" i="19"/>
  <c r="GD255" i="19"/>
  <c r="GE255" i="19"/>
  <c r="GF255" i="19"/>
  <c r="GG255" i="19"/>
  <c r="GH255" i="19"/>
  <c r="GI255" i="19"/>
  <c r="GJ255" i="19"/>
  <c r="GK255" i="19"/>
  <c r="GL255" i="19"/>
  <c r="GM255" i="19"/>
  <c r="GN255" i="19"/>
  <c r="GO255" i="19"/>
  <c r="GP255" i="19"/>
  <c r="GQ255" i="19"/>
  <c r="GR255" i="19"/>
  <c r="GS255" i="19"/>
  <c r="GT255" i="19"/>
  <c r="GU255" i="19"/>
  <c r="GV255" i="19"/>
  <c r="GW255" i="19"/>
  <c r="GX255" i="19"/>
  <c r="GY255" i="19"/>
  <c r="GZ255" i="19"/>
  <c r="HA255" i="19"/>
  <c r="HB255" i="19"/>
  <c r="HC255" i="19"/>
  <c r="HD255" i="19"/>
  <c r="HE255" i="19"/>
  <c r="HF255" i="19"/>
  <c r="HG255" i="19"/>
  <c r="HH255" i="19"/>
  <c r="HI255" i="19"/>
  <c r="HJ255" i="19"/>
  <c r="HK255" i="19"/>
  <c r="HL255" i="19"/>
  <c r="HM255" i="19"/>
  <c r="HN255" i="19"/>
  <c r="HO255" i="19"/>
  <c r="HP255" i="19"/>
  <c r="HQ255" i="19"/>
  <c r="HR255" i="19"/>
  <c r="HS255" i="19"/>
  <c r="HT255" i="19"/>
  <c r="HU255" i="19"/>
  <c r="HV255" i="19"/>
  <c r="HW255" i="19"/>
  <c r="HX255" i="19"/>
  <c r="HY255" i="19"/>
  <c r="HZ255" i="19"/>
  <c r="IA255" i="19"/>
  <c r="IB255" i="19"/>
  <c r="IC255" i="19"/>
  <c r="ID255" i="19"/>
  <c r="IE255" i="19"/>
  <c r="IF255" i="19"/>
  <c r="IG255" i="19"/>
  <c r="IH255" i="19"/>
  <c r="II255" i="19"/>
  <c r="IJ255" i="19"/>
  <c r="IK255" i="19"/>
  <c r="IL255" i="19"/>
  <c r="IM255" i="19"/>
  <c r="IN255" i="19"/>
  <c r="IO255" i="19"/>
  <c r="IP255" i="19"/>
  <c r="IQ255" i="19"/>
  <c r="IR255" i="19"/>
  <c r="IS255" i="19"/>
  <c r="IT255" i="19"/>
  <c r="IU255" i="19"/>
  <c r="IV255" i="19"/>
  <c r="F256" i="19"/>
  <c r="G256" i="19"/>
  <c r="H256" i="19"/>
  <c r="I256" i="19"/>
  <c r="J256" i="19"/>
  <c r="K256" i="19"/>
  <c r="L256" i="19"/>
  <c r="M256" i="19"/>
  <c r="N256" i="19"/>
  <c r="O256" i="19"/>
  <c r="P256" i="19"/>
  <c r="Q256" i="19"/>
  <c r="R256" i="19"/>
  <c r="S256" i="19"/>
  <c r="T256" i="19"/>
  <c r="U256" i="19"/>
  <c r="V256" i="19"/>
  <c r="W256" i="19"/>
  <c r="X256" i="19"/>
  <c r="Y256" i="19"/>
  <c r="Z256" i="19"/>
  <c r="AA256" i="19"/>
  <c r="AB256" i="19"/>
  <c r="AC256" i="19"/>
  <c r="AD256" i="19"/>
  <c r="AE256" i="19"/>
  <c r="AF256" i="19"/>
  <c r="AG256" i="19"/>
  <c r="AH256" i="19"/>
  <c r="AI256" i="19"/>
  <c r="AJ256" i="19"/>
  <c r="AK256" i="19"/>
  <c r="AL256" i="19"/>
  <c r="AM256" i="19"/>
  <c r="AN256" i="19"/>
  <c r="AO256" i="19"/>
  <c r="AP256" i="19"/>
  <c r="AQ256" i="19"/>
  <c r="AR256" i="19"/>
  <c r="AS256" i="19"/>
  <c r="AT256" i="19"/>
  <c r="AU256" i="19"/>
  <c r="AV256" i="19"/>
  <c r="AW256" i="19"/>
  <c r="AX256" i="19"/>
  <c r="AY256" i="19"/>
  <c r="AZ256" i="19"/>
  <c r="BA256" i="19"/>
  <c r="BB256" i="19"/>
  <c r="BC256" i="19"/>
  <c r="BD256" i="19"/>
  <c r="BE256" i="19"/>
  <c r="BF256" i="19"/>
  <c r="BG256" i="19"/>
  <c r="BH256" i="19"/>
  <c r="BI256" i="19"/>
  <c r="BJ256" i="19"/>
  <c r="BK256" i="19"/>
  <c r="BL256" i="19"/>
  <c r="BM256" i="19"/>
  <c r="BN256" i="19"/>
  <c r="BO256" i="19"/>
  <c r="BP256" i="19"/>
  <c r="BQ256" i="19"/>
  <c r="BR256" i="19"/>
  <c r="BS256" i="19"/>
  <c r="BT256" i="19"/>
  <c r="BU256" i="19"/>
  <c r="BV256" i="19"/>
  <c r="BW256" i="19"/>
  <c r="BX256" i="19"/>
  <c r="BY256" i="19"/>
  <c r="BZ256" i="19"/>
  <c r="CA256" i="19"/>
  <c r="CB256" i="19"/>
  <c r="CC256" i="19"/>
  <c r="CD256" i="19"/>
  <c r="CE256" i="19"/>
  <c r="CF256" i="19"/>
  <c r="CG256" i="19"/>
  <c r="CH256" i="19"/>
  <c r="CI256" i="19"/>
  <c r="CJ256" i="19"/>
  <c r="CK256" i="19"/>
  <c r="CL256" i="19"/>
  <c r="CM256" i="19"/>
  <c r="CN256" i="19"/>
  <c r="CO256" i="19"/>
  <c r="CP256" i="19"/>
  <c r="CQ256" i="19"/>
  <c r="CR256" i="19"/>
  <c r="CS256" i="19"/>
  <c r="CT256" i="19"/>
  <c r="CU256" i="19"/>
  <c r="CV256" i="19"/>
  <c r="CW256" i="19"/>
  <c r="CX256" i="19"/>
  <c r="CY256" i="19"/>
  <c r="CZ256" i="19"/>
  <c r="DA256" i="19"/>
  <c r="DB256" i="19"/>
  <c r="DC256" i="19"/>
  <c r="DD256" i="19"/>
  <c r="DE256" i="19"/>
  <c r="DF256" i="19"/>
  <c r="DG256" i="19"/>
  <c r="DH256" i="19"/>
  <c r="DI256" i="19"/>
  <c r="DJ256" i="19"/>
  <c r="DK256" i="19"/>
  <c r="DL256" i="19"/>
  <c r="DM256" i="19"/>
  <c r="DN256" i="19"/>
  <c r="DO256" i="19"/>
  <c r="DP256" i="19"/>
  <c r="DQ256" i="19"/>
  <c r="DR256" i="19"/>
  <c r="DS256" i="19"/>
  <c r="DT256" i="19"/>
  <c r="DU256" i="19"/>
  <c r="DV256" i="19"/>
  <c r="DW256" i="19"/>
  <c r="DX256" i="19"/>
  <c r="DY256" i="19"/>
  <c r="DZ256" i="19"/>
  <c r="EA256" i="19"/>
  <c r="EB256" i="19"/>
  <c r="EC256" i="19"/>
  <c r="ED256" i="19"/>
  <c r="EE256" i="19"/>
  <c r="EF256" i="19"/>
  <c r="EG256" i="19"/>
  <c r="EH256" i="19"/>
  <c r="EI256" i="19"/>
  <c r="EJ256" i="19"/>
  <c r="EK256" i="19"/>
  <c r="EL256" i="19"/>
  <c r="EM256" i="19"/>
  <c r="EN256" i="19"/>
  <c r="EO256" i="19"/>
  <c r="EP256" i="19"/>
  <c r="EQ256" i="19"/>
  <c r="ER256" i="19"/>
  <c r="ES256" i="19"/>
  <c r="ET256" i="19"/>
  <c r="EU256" i="19"/>
  <c r="EV256" i="19"/>
  <c r="EW256" i="19"/>
  <c r="EX256" i="19"/>
  <c r="EY256" i="19"/>
  <c r="EZ256" i="19"/>
  <c r="FA256" i="19"/>
  <c r="FB256" i="19"/>
  <c r="FC256" i="19"/>
  <c r="FD256" i="19"/>
  <c r="FE256" i="19"/>
  <c r="FF256" i="19"/>
  <c r="FG256" i="19"/>
  <c r="FH256" i="19"/>
  <c r="FI256" i="19"/>
  <c r="FJ256" i="19"/>
  <c r="FK256" i="19"/>
  <c r="FL256" i="19"/>
  <c r="FM256" i="19"/>
  <c r="FN256" i="19"/>
  <c r="FO256" i="19"/>
  <c r="FP256" i="19"/>
  <c r="FQ256" i="19"/>
  <c r="FR256" i="19"/>
  <c r="FS256" i="19"/>
  <c r="FT256" i="19"/>
  <c r="FU256" i="19"/>
  <c r="FV256" i="19"/>
  <c r="FW256" i="19"/>
  <c r="FX256" i="19"/>
  <c r="FY256" i="19"/>
  <c r="FZ256" i="19"/>
  <c r="GA256" i="19"/>
  <c r="GB256" i="19"/>
  <c r="GC256" i="19"/>
  <c r="GD256" i="19"/>
  <c r="GE256" i="19"/>
  <c r="GF256" i="19"/>
  <c r="GG256" i="19"/>
  <c r="GH256" i="19"/>
  <c r="GI256" i="19"/>
  <c r="GJ256" i="19"/>
  <c r="GK256" i="19"/>
  <c r="GL256" i="19"/>
  <c r="GM256" i="19"/>
  <c r="GN256" i="19"/>
  <c r="GO256" i="19"/>
  <c r="GP256" i="19"/>
  <c r="GQ256" i="19"/>
  <c r="GR256" i="19"/>
  <c r="GS256" i="19"/>
  <c r="GT256" i="19"/>
  <c r="GU256" i="19"/>
  <c r="GV256" i="19"/>
  <c r="GW256" i="19"/>
  <c r="GX256" i="19"/>
  <c r="GY256" i="19"/>
  <c r="GZ256" i="19"/>
  <c r="HA256" i="19"/>
  <c r="HB256" i="19"/>
  <c r="HC256" i="19"/>
  <c r="HD256" i="19"/>
  <c r="HE256" i="19"/>
  <c r="HF256" i="19"/>
  <c r="HG256" i="19"/>
  <c r="HH256" i="19"/>
  <c r="HI256" i="19"/>
  <c r="HJ256" i="19"/>
  <c r="HK256" i="19"/>
  <c r="HL256" i="19"/>
  <c r="HM256" i="19"/>
  <c r="HN256" i="19"/>
  <c r="HO256" i="19"/>
  <c r="HP256" i="19"/>
  <c r="HQ256" i="19"/>
  <c r="HR256" i="19"/>
  <c r="HS256" i="19"/>
  <c r="HT256" i="19"/>
  <c r="HU256" i="19"/>
  <c r="HV256" i="19"/>
  <c r="HW256" i="19"/>
  <c r="HX256" i="19"/>
  <c r="HY256" i="19"/>
  <c r="HZ256" i="19"/>
  <c r="IA256" i="19"/>
  <c r="IB256" i="19"/>
  <c r="IC256" i="19"/>
  <c r="ID256" i="19"/>
  <c r="IE256" i="19"/>
  <c r="IF256" i="19"/>
  <c r="IG256" i="19"/>
  <c r="IH256" i="19"/>
  <c r="II256" i="19"/>
  <c r="IJ256" i="19"/>
  <c r="IK256" i="19"/>
  <c r="IL256" i="19"/>
  <c r="IM256" i="19"/>
  <c r="IN256" i="19"/>
  <c r="IO256" i="19"/>
  <c r="IP256" i="19"/>
  <c r="IQ256" i="19"/>
  <c r="IR256" i="19"/>
  <c r="IS256" i="19"/>
  <c r="IT256" i="19"/>
  <c r="IU256" i="19"/>
  <c r="IV256" i="19"/>
  <c r="F257" i="19"/>
  <c r="G257" i="19"/>
  <c r="H257" i="19"/>
  <c r="I257" i="19"/>
  <c r="J257" i="19"/>
  <c r="K257" i="19"/>
  <c r="L257" i="19"/>
  <c r="M257" i="19"/>
  <c r="N257" i="19"/>
  <c r="O257" i="19"/>
  <c r="P257" i="19"/>
  <c r="Q257" i="19"/>
  <c r="R257" i="19"/>
  <c r="S257" i="19"/>
  <c r="T257" i="19"/>
  <c r="U257" i="19"/>
  <c r="V257" i="19"/>
  <c r="W257" i="19"/>
  <c r="X257" i="19"/>
  <c r="Y257" i="19"/>
  <c r="Z257" i="19"/>
  <c r="AA257" i="19"/>
  <c r="AB257" i="19"/>
  <c r="AC257" i="19"/>
  <c r="AD257" i="19"/>
  <c r="AE257" i="19"/>
  <c r="AF257" i="19"/>
  <c r="AG257" i="19"/>
  <c r="AH257" i="19"/>
  <c r="AI257" i="19"/>
  <c r="AJ257" i="19"/>
  <c r="AK257" i="19"/>
  <c r="AL257" i="19"/>
  <c r="AM257" i="19"/>
  <c r="AN257" i="19"/>
  <c r="AO257" i="19"/>
  <c r="AP257" i="19"/>
  <c r="AQ257" i="19"/>
  <c r="AR257" i="19"/>
  <c r="AS257" i="19"/>
  <c r="AT257" i="19"/>
  <c r="AU257" i="19"/>
  <c r="AV257" i="19"/>
  <c r="AW257" i="19"/>
  <c r="AX257" i="19"/>
  <c r="AY257" i="19"/>
  <c r="AZ257" i="19"/>
  <c r="BA257" i="19"/>
  <c r="BB257" i="19"/>
  <c r="BC257" i="19"/>
  <c r="BD257" i="19"/>
  <c r="BE257" i="19"/>
  <c r="BF257" i="19"/>
  <c r="BG257" i="19"/>
  <c r="BH257" i="19"/>
  <c r="BI257" i="19"/>
  <c r="BJ257" i="19"/>
  <c r="BK257" i="19"/>
  <c r="BL257" i="19"/>
  <c r="BM257" i="19"/>
  <c r="BN257" i="19"/>
  <c r="BO257" i="19"/>
  <c r="BP257" i="19"/>
  <c r="BQ257" i="19"/>
  <c r="BR257" i="19"/>
  <c r="BS257" i="19"/>
  <c r="BT257" i="19"/>
  <c r="BU257" i="19"/>
  <c r="BV257" i="19"/>
  <c r="BW257" i="19"/>
  <c r="BX257" i="19"/>
  <c r="BY257" i="19"/>
  <c r="BZ257" i="19"/>
  <c r="CA257" i="19"/>
  <c r="CB257" i="19"/>
  <c r="CC257" i="19"/>
  <c r="CD257" i="19"/>
  <c r="CE257" i="19"/>
  <c r="CF257" i="19"/>
  <c r="CG257" i="19"/>
  <c r="CH257" i="19"/>
  <c r="CI257" i="19"/>
  <c r="CJ257" i="19"/>
  <c r="CK257" i="19"/>
  <c r="CL257" i="19"/>
  <c r="CM257" i="19"/>
  <c r="CN257" i="19"/>
  <c r="CO257" i="19"/>
  <c r="CP257" i="19"/>
  <c r="CQ257" i="19"/>
  <c r="CR257" i="19"/>
  <c r="CS257" i="19"/>
  <c r="CT257" i="19"/>
  <c r="CU257" i="19"/>
  <c r="CV257" i="19"/>
  <c r="CW257" i="19"/>
  <c r="CX257" i="19"/>
  <c r="CY257" i="19"/>
  <c r="CZ257" i="19"/>
  <c r="DA257" i="19"/>
  <c r="DB257" i="19"/>
  <c r="DC257" i="19"/>
  <c r="DD257" i="19"/>
  <c r="DE257" i="19"/>
  <c r="DF257" i="19"/>
  <c r="DG257" i="19"/>
  <c r="DH257" i="19"/>
  <c r="DI257" i="19"/>
  <c r="DJ257" i="19"/>
  <c r="DK257" i="19"/>
  <c r="DL257" i="19"/>
  <c r="DM257" i="19"/>
  <c r="DN257" i="19"/>
  <c r="DO257" i="19"/>
  <c r="DP257" i="19"/>
  <c r="DQ257" i="19"/>
  <c r="DR257" i="19"/>
  <c r="DS257" i="19"/>
  <c r="DT257" i="19"/>
  <c r="DU257" i="19"/>
  <c r="DV257" i="19"/>
  <c r="DW257" i="19"/>
  <c r="DX257" i="19"/>
  <c r="DY257" i="19"/>
  <c r="DZ257" i="19"/>
  <c r="EA257" i="19"/>
  <c r="EB257" i="19"/>
  <c r="EC257" i="19"/>
  <c r="ED257" i="19"/>
  <c r="EE257" i="19"/>
  <c r="EF257" i="19"/>
  <c r="EG257" i="19"/>
  <c r="EH257" i="19"/>
  <c r="EI257" i="19"/>
  <c r="EJ257" i="19"/>
  <c r="EK257" i="19"/>
  <c r="EL257" i="19"/>
  <c r="EM257" i="19"/>
  <c r="EN257" i="19"/>
  <c r="EO257" i="19"/>
  <c r="EP257" i="19"/>
  <c r="EQ257" i="19"/>
  <c r="ER257" i="19"/>
  <c r="ES257" i="19"/>
  <c r="ET257" i="19"/>
  <c r="EU257" i="19"/>
  <c r="EV257" i="19"/>
  <c r="EW257" i="19"/>
  <c r="EX257" i="19"/>
  <c r="EY257" i="19"/>
  <c r="EZ257" i="19"/>
  <c r="FA257" i="19"/>
  <c r="FB257" i="19"/>
  <c r="FC257" i="19"/>
  <c r="FD257" i="19"/>
  <c r="FE257" i="19"/>
  <c r="FF257" i="19"/>
  <c r="FG257" i="19"/>
  <c r="FH257" i="19"/>
  <c r="FI257" i="19"/>
  <c r="FJ257" i="19"/>
  <c r="FK257" i="19"/>
  <c r="FL257" i="19"/>
  <c r="FM257" i="19"/>
  <c r="FN257" i="19"/>
  <c r="FO257" i="19"/>
  <c r="FP257" i="19"/>
  <c r="FQ257" i="19"/>
  <c r="FR257" i="19"/>
  <c r="FS257" i="19"/>
  <c r="FT257" i="19"/>
  <c r="FU257" i="19"/>
  <c r="FV257" i="19"/>
  <c r="FW257" i="19"/>
  <c r="FX257" i="19"/>
  <c r="FY257" i="19"/>
  <c r="FZ257" i="19"/>
  <c r="GA257" i="19"/>
  <c r="GB257" i="19"/>
  <c r="GC257" i="19"/>
  <c r="GD257" i="19"/>
  <c r="GE257" i="19"/>
  <c r="GF257" i="19"/>
  <c r="GG257" i="19"/>
  <c r="GH257" i="19"/>
  <c r="GI257" i="19"/>
  <c r="GJ257" i="19"/>
  <c r="GK257" i="19"/>
  <c r="GL257" i="19"/>
  <c r="GM257" i="19"/>
  <c r="GN257" i="19"/>
  <c r="GO257" i="19"/>
  <c r="GP257" i="19"/>
  <c r="GQ257" i="19"/>
  <c r="GR257" i="19"/>
  <c r="GS257" i="19"/>
  <c r="GT257" i="19"/>
  <c r="GU257" i="19"/>
  <c r="GV257" i="19"/>
  <c r="GW257" i="19"/>
  <c r="GX257" i="19"/>
  <c r="GY257" i="19"/>
  <c r="GZ257" i="19"/>
  <c r="HA257" i="19"/>
  <c r="HB257" i="19"/>
  <c r="HC257" i="19"/>
  <c r="HD257" i="19"/>
  <c r="HE257" i="19"/>
  <c r="HF257" i="19"/>
  <c r="HG257" i="19"/>
  <c r="HH257" i="19"/>
  <c r="HI257" i="19"/>
  <c r="HJ257" i="19"/>
  <c r="HK257" i="19"/>
  <c r="HL257" i="19"/>
  <c r="HM257" i="19"/>
  <c r="HN257" i="19"/>
  <c r="HO257" i="19"/>
  <c r="HP257" i="19"/>
  <c r="HQ257" i="19"/>
  <c r="HR257" i="19"/>
  <c r="HS257" i="19"/>
  <c r="HT257" i="19"/>
  <c r="HU257" i="19"/>
  <c r="HV257" i="19"/>
  <c r="HW257" i="19"/>
  <c r="HX257" i="19"/>
  <c r="HY257" i="19"/>
  <c r="HZ257" i="19"/>
  <c r="IA257" i="19"/>
  <c r="IB257" i="19"/>
  <c r="IC257" i="19"/>
  <c r="ID257" i="19"/>
  <c r="IE257" i="19"/>
  <c r="IF257" i="19"/>
  <c r="IG257" i="19"/>
  <c r="IH257" i="19"/>
  <c r="II257" i="19"/>
  <c r="IJ257" i="19"/>
  <c r="IK257" i="19"/>
  <c r="IL257" i="19"/>
  <c r="IM257" i="19"/>
  <c r="IN257" i="19"/>
  <c r="IO257" i="19"/>
  <c r="IP257" i="19"/>
  <c r="IQ257" i="19"/>
  <c r="IR257" i="19"/>
  <c r="IS257" i="19"/>
  <c r="IT257" i="19"/>
  <c r="IU257" i="19"/>
  <c r="IV257" i="19"/>
  <c r="F258" i="19"/>
  <c r="G258" i="19"/>
  <c r="H258" i="19"/>
  <c r="I258" i="19"/>
  <c r="J258" i="19"/>
  <c r="K258" i="19"/>
  <c r="L258" i="19"/>
  <c r="M258" i="19"/>
  <c r="N258" i="19"/>
  <c r="O258" i="19"/>
  <c r="P258" i="19"/>
  <c r="Q258" i="19"/>
  <c r="R258" i="19"/>
  <c r="S258" i="19"/>
  <c r="T258" i="19"/>
  <c r="U258" i="19"/>
  <c r="V258" i="19"/>
  <c r="W258" i="19"/>
  <c r="X258" i="19"/>
  <c r="Y258" i="19"/>
  <c r="Z258" i="19"/>
  <c r="AA258" i="19"/>
  <c r="AB258" i="19"/>
  <c r="AC258" i="19"/>
  <c r="AD258" i="19"/>
  <c r="AE258" i="19"/>
  <c r="AF258" i="19"/>
  <c r="AG258" i="19"/>
  <c r="AH258" i="19"/>
  <c r="AI258" i="19"/>
  <c r="AJ258" i="19"/>
  <c r="AK258" i="19"/>
  <c r="AL258" i="19"/>
  <c r="AM258" i="19"/>
  <c r="AN258" i="19"/>
  <c r="AO258" i="19"/>
  <c r="AP258" i="19"/>
  <c r="AQ258" i="19"/>
  <c r="AR258" i="19"/>
  <c r="AS258" i="19"/>
  <c r="AT258" i="19"/>
  <c r="AU258" i="19"/>
  <c r="AV258" i="19"/>
  <c r="AW258" i="19"/>
  <c r="AX258" i="19"/>
  <c r="AY258" i="19"/>
  <c r="AZ258" i="19"/>
  <c r="BA258" i="19"/>
  <c r="BB258" i="19"/>
  <c r="BC258" i="19"/>
  <c r="BD258" i="19"/>
  <c r="BE258" i="19"/>
  <c r="BF258" i="19"/>
  <c r="BG258" i="19"/>
  <c r="BH258" i="19"/>
  <c r="BI258" i="19"/>
  <c r="BJ258" i="19"/>
  <c r="BK258" i="19"/>
  <c r="BL258" i="19"/>
  <c r="BM258" i="19"/>
  <c r="BN258" i="19"/>
  <c r="BO258" i="19"/>
  <c r="BP258" i="19"/>
  <c r="BQ258" i="19"/>
  <c r="BR258" i="19"/>
  <c r="BS258" i="19"/>
  <c r="BT258" i="19"/>
  <c r="BU258" i="19"/>
  <c r="BV258" i="19"/>
  <c r="BW258" i="19"/>
  <c r="BX258" i="19"/>
  <c r="BY258" i="19"/>
  <c r="BZ258" i="19"/>
  <c r="CA258" i="19"/>
  <c r="CB258" i="19"/>
  <c r="CC258" i="19"/>
  <c r="CD258" i="19"/>
  <c r="CE258" i="19"/>
  <c r="CF258" i="19"/>
  <c r="CG258" i="19"/>
  <c r="CH258" i="19"/>
  <c r="CI258" i="19"/>
  <c r="CJ258" i="19"/>
  <c r="CK258" i="19"/>
  <c r="CL258" i="19"/>
  <c r="CM258" i="19"/>
  <c r="CN258" i="19"/>
  <c r="CO258" i="19"/>
  <c r="CP258" i="19"/>
  <c r="CQ258" i="19"/>
  <c r="CR258" i="19"/>
  <c r="CS258" i="19"/>
  <c r="CT258" i="19"/>
  <c r="CU258" i="19"/>
  <c r="CV258" i="19"/>
  <c r="CW258" i="19"/>
  <c r="CX258" i="19"/>
  <c r="CY258" i="19"/>
  <c r="CZ258" i="19"/>
  <c r="DA258" i="19"/>
  <c r="DB258" i="19"/>
  <c r="DC258" i="19"/>
  <c r="DD258" i="19"/>
  <c r="DE258" i="19"/>
  <c r="DF258" i="19"/>
  <c r="DG258" i="19"/>
  <c r="DH258" i="19"/>
  <c r="DI258" i="19"/>
  <c r="DJ258" i="19"/>
  <c r="DK258" i="19"/>
  <c r="DL258" i="19"/>
  <c r="DM258" i="19"/>
  <c r="DN258" i="19"/>
  <c r="DO258" i="19"/>
  <c r="DP258" i="19"/>
  <c r="DQ258" i="19"/>
  <c r="DR258" i="19"/>
  <c r="DS258" i="19"/>
  <c r="DT258" i="19"/>
  <c r="DU258" i="19"/>
  <c r="DV258" i="19"/>
  <c r="DW258" i="19"/>
  <c r="DX258" i="19"/>
  <c r="DY258" i="19"/>
  <c r="DZ258" i="19"/>
  <c r="EA258" i="19"/>
  <c r="EB258" i="19"/>
  <c r="EC258" i="19"/>
  <c r="ED258" i="19"/>
  <c r="EE258" i="19"/>
  <c r="EF258" i="19"/>
  <c r="EG258" i="19"/>
  <c r="EH258" i="19"/>
  <c r="EI258" i="19"/>
  <c r="EJ258" i="19"/>
  <c r="EK258" i="19"/>
  <c r="EL258" i="19"/>
  <c r="EM258" i="19"/>
  <c r="EN258" i="19"/>
  <c r="EO258" i="19"/>
  <c r="EP258" i="19"/>
  <c r="EQ258" i="19"/>
  <c r="ER258" i="19"/>
  <c r="ES258" i="19"/>
  <c r="ET258" i="19"/>
  <c r="EU258" i="19"/>
  <c r="EV258" i="19"/>
  <c r="EW258" i="19"/>
  <c r="EX258" i="19"/>
  <c r="EY258" i="19"/>
  <c r="EZ258" i="19"/>
  <c r="FA258" i="19"/>
  <c r="FB258" i="19"/>
  <c r="FC258" i="19"/>
  <c r="FD258" i="19"/>
  <c r="FE258" i="19"/>
  <c r="FF258" i="19"/>
  <c r="FG258" i="19"/>
  <c r="FH258" i="19"/>
  <c r="FI258" i="19"/>
  <c r="FJ258" i="19"/>
  <c r="FK258" i="19"/>
  <c r="FL258" i="19"/>
  <c r="FM258" i="19"/>
  <c r="FN258" i="19"/>
  <c r="FO258" i="19"/>
  <c r="FP258" i="19"/>
  <c r="FQ258" i="19"/>
  <c r="FR258" i="19"/>
  <c r="FS258" i="19"/>
  <c r="FT258" i="19"/>
  <c r="FU258" i="19"/>
  <c r="FV258" i="19"/>
  <c r="FW258" i="19"/>
  <c r="FX258" i="19"/>
  <c r="FY258" i="19"/>
  <c r="FZ258" i="19"/>
  <c r="GA258" i="19"/>
  <c r="GB258" i="19"/>
  <c r="GC258" i="19"/>
  <c r="GD258" i="19"/>
  <c r="GE258" i="19"/>
  <c r="GF258" i="19"/>
  <c r="GG258" i="19"/>
  <c r="GH258" i="19"/>
  <c r="GI258" i="19"/>
  <c r="GJ258" i="19"/>
  <c r="GK258" i="19"/>
  <c r="GL258" i="19"/>
  <c r="GM258" i="19"/>
  <c r="GN258" i="19"/>
  <c r="GO258" i="19"/>
  <c r="GP258" i="19"/>
  <c r="GQ258" i="19"/>
  <c r="GR258" i="19"/>
  <c r="GS258" i="19"/>
  <c r="GT258" i="19"/>
  <c r="GU258" i="19"/>
  <c r="GV258" i="19"/>
  <c r="GW258" i="19"/>
  <c r="GX258" i="19"/>
  <c r="GY258" i="19"/>
  <c r="GZ258" i="19"/>
  <c r="HA258" i="19"/>
  <c r="HB258" i="19"/>
  <c r="HC258" i="19"/>
  <c r="HD258" i="19"/>
  <c r="HE258" i="19"/>
  <c r="HF258" i="19"/>
  <c r="HG258" i="19"/>
  <c r="HH258" i="19"/>
  <c r="HI258" i="19"/>
  <c r="HJ258" i="19"/>
  <c r="HK258" i="19"/>
  <c r="HL258" i="19"/>
  <c r="HM258" i="19"/>
  <c r="HN258" i="19"/>
  <c r="HO258" i="19"/>
  <c r="HP258" i="19"/>
  <c r="HQ258" i="19"/>
  <c r="HR258" i="19"/>
  <c r="HS258" i="19"/>
  <c r="HT258" i="19"/>
  <c r="HU258" i="19"/>
  <c r="HV258" i="19"/>
  <c r="HW258" i="19"/>
  <c r="HX258" i="19"/>
  <c r="HY258" i="19"/>
  <c r="HZ258" i="19"/>
  <c r="IA258" i="19"/>
  <c r="IB258" i="19"/>
  <c r="IC258" i="19"/>
  <c r="ID258" i="19"/>
  <c r="IE258" i="19"/>
  <c r="IF258" i="19"/>
  <c r="IG258" i="19"/>
  <c r="IH258" i="19"/>
  <c r="II258" i="19"/>
  <c r="IJ258" i="19"/>
  <c r="IK258" i="19"/>
  <c r="IL258" i="19"/>
  <c r="IM258" i="19"/>
  <c r="IN258" i="19"/>
  <c r="IO258" i="19"/>
  <c r="IP258" i="19"/>
  <c r="IQ258" i="19"/>
  <c r="IR258" i="19"/>
  <c r="IS258" i="19"/>
  <c r="IT258" i="19"/>
  <c r="IU258" i="19"/>
  <c r="IV258" i="19"/>
  <c r="F259" i="19"/>
  <c r="G259" i="19"/>
  <c r="H259" i="19"/>
  <c r="I259" i="19"/>
  <c r="J259" i="19"/>
  <c r="K259" i="19"/>
  <c r="L259" i="19"/>
  <c r="M259" i="19"/>
  <c r="N259" i="19"/>
  <c r="O259" i="19"/>
  <c r="P259" i="19"/>
  <c r="Q259" i="19"/>
  <c r="R259" i="19"/>
  <c r="S259" i="19"/>
  <c r="T259" i="19"/>
  <c r="U259" i="19"/>
  <c r="V259" i="19"/>
  <c r="W259" i="19"/>
  <c r="X259" i="19"/>
  <c r="Y259" i="19"/>
  <c r="Z259" i="19"/>
  <c r="AA259" i="19"/>
  <c r="AB259" i="19"/>
  <c r="AC259" i="19"/>
  <c r="AD259" i="19"/>
  <c r="AE259" i="19"/>
  <c r="AF259" i="19"/>
  <c r="AG259" i="19"/>
  <c r="AH259" i="19"/>
  <c r="AI259" i="19"/>
  <c r="AJ259" i="19"/>
  <c r="AK259" i="19"/>
  <c r="AL259" i="19"/>
  <c r="AM259" i="19"/>
  <c r="AN259" i="19"/>
  <c r="AO259" i="19"/>
  <c r="AP259" i="19"/>
  <c r="AQ259" i="19"/>
  <c r="AR259" i="19"/>
  <c r="AS259" i="19"/>
  <c r="AT259" i="19"/>
  <c r="AU259" i="19"/>
  <c r="AV259" i="19"/>
  <c r="AW259" i="19"/>
  <c r="AX259" i="19"/>
  <c r="AY259" i="19"/>
  <c r="AZ259" i="19"/>
  <c r="BA259" i="19"/>
  <c r="BB259" i="19"/>
  <c r="BC259" i="19"/>
  <c r="BD259" i="19"/>
  <c r="BE259" i="19"/>
  <c r="BF259" i="19"/>
  <c r="BG259" i="19"/>
  <c r="BH259" i="19"/>
  <c r="BI259" i="19"/>
  <c r="BJ259" i="19"/>
  <c r="BK259" i="19"/>
  <c r="BL259" i="19"/>
  <c r="BM259" i="19"/>
  <c r="BN259" i="19"/>
  <c r="BO259" i="19"/>
  <c r="BP259" i="19"/>
  <c r="BQ259" i="19"/>
  <c r="BR259" i="19"/>
  <c r="BS259" i="19"/>
  <c r="BT259" i="19"/>
  <c r="BU259" i="19"/>
  <c r="BV259" i="19"/>
  <c r="BW259" i="19"/>
  <c r="BX259" i="19"/>
  <c r="BY259" i="19"/>
  <c r="BZ259" i="19"/>
  <c r="CA259" i="19"/>
  <c r="CB259" i="19"/>
  <c r="CC259" i="19"/>
  <c r="CD259" i="19"/>
  <c r="CE259" i="19"/>
  <c r="CF259" i="19"/>
  <c r="CG259" i="19"/>
  <c r="CH259" i="19"/>
  <c r="CI259" i="19"/>
  <c r="CJ259" i="19"/>
  <c r="CK259" i="19"/>
  <c r="CL259" i="19"/>
  <c r="CM259" i="19"/>
  <c r="CN259" i="19"/>
  <c r="CO259" i="19"/>
  <c r="CP259" i="19"/>
  <c r="CQ259" i="19"/>
  <c r="CR259" i="19"/>
  <c r="CS259" i="19"/>
  <c r="CT259" i="19"/>
  <c r="CU259" i="19"/>
  <c r="CV259" i="19"/>
  <c r="CW259" i="19"/>
  <c r="CX259" i="19"/>
  <c r="CY259" i="19"/>
  <c r="CZ259" i="19"/>
  <c r="DA259" i="19"/>
  <c r="DB259" i="19"/>
  <c r="DC259" i="19"/>
  <c r="DD259" i="19"/>
  <c r="DE259" i="19"/>
  <c r="DF259" i="19"/>
  <c r="DG259" i="19"/>
  <c r="DH259" i="19"/>
  <c r="DI259" i="19"/>
  <c r="DJ259" i="19"/>
  <c r="DK259" i="19"/>
  <c r="DL259" i="19"/>
  <c r="DM259" i="19"/>
  <c r="DN259" i="19"/>
  <c r="DO259" i="19"/>
  <c r="DP259" i="19"/>
  <c r="DQ259" i="19"/>
  <c r="DR259" i="19"/>
  <c r="DS259" i="19"/>
  <c r="DT259" i="19"/>
  <c r="DU259" i="19"/>
  <c r="DV259" i="19"/>
  <c r="DW259" i="19"/>
  <c r="DX259" i="19"/>
  <c r="DY259" i="19"/>
  <c r="DZ259" i="19"/>
  <c r="EA259" i="19"/>
  <c r="EB259" i="19"/>
  <c r="EC259" i="19"/>
  <c r="ED259" i="19"/>
  <c r="EE259" i="19"/>
  <c r="EF259" i="19"/>
  <c r="EG259" i="19"/>
  <c r="EH259" i="19"/>
  <c r="EI259" i="19"/>
  <c r="EJ259" i="19"/>
  <c r="EK259" i="19"/>
  <c r="EL259" i="19"/>
  <c r="EM259" i="19"/>
  <c r="EN259" i="19"/>
  <c r="EO259" i="19"/>
  <c r="EP259" i="19"/>
  <c r="EQ259" i="19"/>
  <c r="ER259" i="19"/>
  <c r="ES259" i="19"/>
  <c r="ET259" i="19"/>
  <c r="EU259" i="19"/>
  <c r="EV259" i="19"/>
  <c r="EW259" i="19"/>
  <c r="EX259" i="19"/>
  <c r="EY259" i="19"/>
  <c r="EZ259" i="19"/>
  <c r="FA259" i="19"/>
  <c r="FB259" i="19"/>
  <c r="FC259" i="19"/>
  <c r="FD259" i="19"/>
  <c r="FE259" i="19"/>
  <c r="FF259" i="19"/>
  <c r="FG259" i="19"/>
  <c r="FH259" i="19"/>
  <c r="FI259" i="19"/>
  <c r="FJ259" i="19"/>
  <c r="FK259" i="19"/>
  <c r="FL259" i="19"/>
  <c r="FM259" i="19"/>
  <c r="FN259" i="19"/>
  <c r="FO259" i="19"/>
  <c r="FP259" i="19"/>
  <c r="FQ259" i="19"/>
  <c r="FR259" i="19"/>
  <c r="FS259" i="19"/>
  <c r="FT259" i="19"/>
  <c r="FU259" i="19"/>
  <c r="FV259" i="19"/>
  <c r="FW259" i="19"/>
  <c r="FX259" i="19"/>
  <c r="FY259" i="19"/>
  <c r="FZ259" i="19"/>
  <c r="GA259" i="19"/>
  <c r="GB259" i="19"/>
  <c r="GC259" i="19"/>
  <c r="GD259" i="19"/>
  <c r="GE259" i="19"/>
  <c r="GF259" i="19"/>
  <c r="GG259" i="19"/>
  <c r="GH259" i="19"/>
  <c r="GI259" i="19"/>
  <c r="GJ259" i="19"/>
  <c r="GK259" i="19"/>
  <c r="GL259" i="19"/>
  <c r="GM259" i="19"/>
  <c r="GN259" i="19"/>
  <c r="GO259" i="19"/>
  <c r="GP259" i="19"/>
  <c r="GQ259" i="19"/>
  <c r="GR259" i="19"/>
  <c r="GS259" i="19"/>
  <c r="GT259" i="19"/>
  <c r="GU259" i="19"/>
  <c r="GV259" i="19"/>
  <c r="GW259" i="19"/>
  <c r="GX259" i="19"/>
  <c r="GY259" i="19"/>
  <c r="GZ259" i="19"/>
  <c r="HA259" i="19"/>
  <c r="HB259" i="19"/>
  <c r="HC259" i="19"/>
  <c r="HD259" i="19"/>
  <c r="HE259" i="19"/>
  <c r="HF259" i="19"/>
  <c r="HG259" i="19"/>
  <c r="HH259" i="19"/>
  <c r="HI259" i="19"/>
  <c r="HJ259" i="19"/>
  <c r="HK259" i="19"/>
  <c r="HL259" i="19"/>
  <c r="HM259" i="19"/>
  <c r="HN259" i="19"/>
  <c r="HO259" i="19"/>
  <c r="HP259" i="19"/>
  <c r="HQ259" i="19"/>
  <c r="HR259" i="19"/>
  <c r="HS259" i="19"/>
  <c r="HT259" i="19"/>
  <c r="HU259" i="19"/>
  <c r="HV259" i="19"/>
  <c r="HW259" i="19"/>
  <c r="HX259" i="19"/>
  <c r="HY259" i="19"/>
  <c r="HZ259" i="19"/>
  <c r="IA259" i="19"/>
  <c r="IB259" i="19"/>
  <c r="IC259" i="19"/>
  <c r="ID259" i="19"/>
  <c r="IE259" i="19"/>
  <c r="IF259" i="19"/>
  <c r="IG259" i="19"/>
  <c r="IH259" i="19"/>
  <c r="II259" i="19"/>
  <c r="IJ259" i="19"/>
  <c r="IK259" i="19"/>
  <c r="IL259" i="19"/>
  <c r="IM259" i="19"/>
  <c r="IN259" i="19"/>
  <c r="IO259" i="19"/>
  <c r="IP259" i="19"/>
  <c r="IQ259" i="19"/>
  <c r="IR259" i="19"/>
  <c r="IS259" i="19"/>
  <c r="IT259" i="19"/>
  <c r="IU259" i="19"/>
  <c r="IV259" i="19"/>
  <c r="F260" i="19"/>
  <c r="G260" i="19"/>
  <c r="H260" i="19"/>
  <c r="I260" i="19"/>
  <c r="J260" i="19"/>
  <c r="K260" i="19"/>
  <c r="L260" i="19"/>
  <c r="M260" i="19"/>
  <c r="N260" i="19"/>
  <c r="O260" i="19"/>
  <c r="P260" i="19"/>
  <c r="Q260" i="19"/>
  <c r="R260" i="19"/>
  <c r="S260" i="19"/>
  <c r="T260" i="19"/>
  <c r="U260" i="19"/>
  <c r="V260" i="19"/>
  <c r="W260" i="19"/>
  <c r="X260" i="19"/>
  <c r="Y260" i="19"/>
  <c r="Z260" i="19"/>
  <c r="AA260" i="19"/>
  <c r="AB260" i="19"/>
  <c r="AC260" i="19"/>
  <c r="AD260" i="19"/>
  <c r="AE260" i="19"/>
  <c r="AF260" i="19"/>
  <c r="AG260" i="19"/>
  <c r="AH260" i="19"/>
  <c r="AI260" i="19"/>
  <c r="AJ260" i="19"/>
  <c r="AK260" i="19"/>
  <c r="AL260" i="19"/>
  <c r="AM260" i="19"/>
  <c r="AN260" i="19"/>
  <c r="AO260" i="19"/>
  <c r="AP260" i="19"/>
  <c r="AQ260" i="19"/>
  <c r="AR260" i="19"/>
  <c r="AS260" i="19"/>
  <c r="AT260" i="19"/>
  <c r="AU260" i="19"/>
  <c r="AV260" i="19"/>
  <c r="AW260" i="19"/>
  <c r="AX260" i="19"/>
  <c r="AY260" i="19"/>
  <c r="AZ260" i="19"/>
  <c r="BA260" i="19"/>
  <c r="BB260" i="19"/>
  <c r="BC260" i="19"/>
  <c r="BD260" i="19"/>
  <c r="BE260" i="19"/>
  <c r="BF260" i="19"/>
  <c r="BG260" i="19"/>
  <c r="BH260" i="19"/>
  <c r="BI260" i="19"/>
  <c r="BJ260" i="19"/>
  <c r="BK260" i="19"/>
  <c r="BL260" i="19"/>
  <c r="BM260" i="19"/>
  <c r="BN260" i="19"/>
  <c r="BO260" i="19"/>
  <c r="BP260" i="19"/>
  <c r="BQ260" i="19"/>
  <c r="BR260" i="19"/>
  <c r="BS260" i="19"/>
  <c r="BT260" i="19"/>
  <c r="BU260" i="19"/>
  <c r="BV260" i="19"/>
  <c r="BW260" i="19"/>
  <c r="BX260" i="19"/>
  <c r="BY260" i="19"/>
  <c r="BZ260" i="19"/>
  <c r="CA260" i="19"/>
  <c r="CB260" i="19"/>
  <c r="CC260" i="19"/>
  <c r="CD260" i="19"/>
  <c r="CE260" i="19"/>
  <c r="CF260" i="19"/>
  <c r="CG260" i="19"/>
  <c r="CH260" i="19"/>
  <c r="CI260" i="19"/>
  <c r="CJ260" i="19"/>
  <c r="CK260" i="19"/>
  <c r="CL260" i="19"/>
  <c r="CM260" i="19"/>
  <c r="CN260" i="19"/>
  <c r="CO260" i="19"/>
  <c r="CP260" i="19"/>
  <c r="CQ260" i="19"/>
  <c r="CR260" i="19"/>
  <c r="CS260" i="19"/>
  <c r="CT260" i="19"/>
  <c r="CU260" i="19"/>
  <c r="CV260" i="19"/>
  <c r="CW260" i="19"/>
  <c r="CX260" i="19"/>
  <c r="CY260" i="19"/>
  <c r="CZ260" i="19"/>
  <c r="DA260" i="19"/>
  <c r="DB260" i="19"/>
  <c r="DC260" i="19"/>
  <c r="DD260" i="19"/>
  <c r="DE260" i="19"/>
  <c r="DF260" i="19"/>
  <c r="DG260" i="19"/>
  <c r="DH260" i="19"/>
  <c r="DI260" i="19"/>
  <c r="DJ260" i="19"/>
  <c r="DK260" i="19"/>
  <c r="DL260" i="19"/>
  <c r="DM260" i="19"/>
  <c r="DN260" i="19"/>
  <c r="DO260" i="19"/>
  <c r="DP260" i="19"/>
  <c r="DQ260" i="19"/>
  <c r="DR260" i="19"/>
  <c r="DS260" i="19"/>
  <c r="DT260" i="19"/>
  <c r="DU260" i="19"/>
  <c r="DV260" i="19"/>
  <c r="DW260" i="19"/>
  <c r="DX260" i="19"/>
  <c r="DY260" i="19"/>
  <c r="DZ260" i="19"/>
  <c r="EA260" i="19"/>
  <c r="EB260" i="19"/>
  <c r="EC260" i="19"/>
  <c r="ED260" i="19"/>
  <c r="EE260" i="19"/>
  <c r="EF260" i="19"/>
  <c r="EG260" i="19"/>
  <c r="EH260" i="19"/>
  <c r="EI260" i="19"/>
  <c r="EJ260" i="19"/>
  <c r="EK260" i="19"/>
  <c r="EL260" i="19"/>
  <c r="EM260" i="19"/>
  <c r="EN260" i="19"/>
  <c r="EO260" i="19"/>
  <c r="EP260" i="19"/>
  <c r="EQ260" i="19"/>
  <c r="ER260" i="19"/>
  <c r="ES260" i="19"/>
  <c r="ET260" i="19"/>
  <c r="EU260" i="19"/>
  <c r="EV260" i="19"/>
  <c r="EW260" i="19"/>
  <c r="EX260" i="19"/>
  <c r="EY260" i="19"/>
  <c r="EZ260" i="19"/>
  <c r="FA260" i="19"/>
  <c r="FB260" i="19"/>
  <c r="FC260" i="19"/>
  <c r="FD260" i="19"/>
  <c r="FE260" i="19"/>
  <c r="FF260" i="19"/>
  <c r="FG260" i="19"/>
  <c r="FH260" i="19"/>
  <c r="FI260" i="19"/>
  <c r="FJ260" i="19"/>
  <c r="FK260" i="19"/>
  <c r="FL260" i="19"/>
  <c r="FM260" i="19"/>
  <c r="FN260" i="19"/>
  <c r="FO260" i="19"/>
  <c r="FP260" i="19"/>
  <c r="FQ260" i="19"/>
  <c r="FR260" i="19"/>
  <c r="FS260" i="19"/>
  <c r="FT260" i="19"/>
  <c r="FU260" i="19"/>
  <c r="FV260" i="19"/>
  <c r="FW260" i="19"/>
  <c r="FX260" i="19"/>
  <c r="FY260" i="19"/>
  <c r="FZ260" i="19"/>
  <c r="GA260" i="19"/>
  <c r="GB260" i="19"/>
  <c r="GC260" i="19"/>
  <c r="GD260" i="19"/>
  <c r="GE260" i="19"/>
  <c r="GF260" i="19"/>
  <c r="GG260" i="19"/>
  <c r="GH260" i="19"/>
  <c r="GI260" i="19"/>
  <c r="GJ260" i="19"/>
  <c r="GK260" i="19"/>
  <c r="GL260" i="19"/>
  <c r="GM260" i="19"/>
  <c r="GN260" i="19"/>
  <c r="GO260" i="19"/>
  <c r="GP260" i="19"/>
  <c r="GQ260" i="19"/>
  <c r="GR260" i="19"/>
  <c r="GS260" i="19"/>
  <c r="GT260" i="19"/>
  <c r="GU260" i="19"/>
  <c r="GV260" i="19"/>
  <c r="GW260" i="19"/>
  <c r="GX260" i="19"/>
  <c r="GY260" i="19"/>
  <c r="GZ260" i="19"/>
  <c r="HA260" i="19"/>
  <c r="HB260" i="19"/>
  <c r="HC260" i="19"/>
  <c r="HD260" i="19"/>
  <c r="HE260" i="19"/>
  <c r="HF260" i="19"/>
  <c r="HG260" i="19"/>
  <c r="HH260" i="19"/>
  <c r="HI260" i="19"/>
  <c r="HJ260" i="19"/>
  <c r="HK260" i="19"/>
  <c r="HL260" i="19"/>
  <c r="HM260" i="19"/>
  <c r="HN260" i="19"/>
  <c r="HO260" i="19"/>
  <c r="HP260" i="19"/>
  <c r="HQ260" i="19"/>
  <c r="HR260" i="19"/>
  <c r="HS260" i="19"/>
  <c r="HT260" i="19"/>
  <c r="HU260" i="19"/>
  <c r="HV260" i="19"/>
  <c r="HW260" i="19"/>
  <c r="HX260" i="19"/>
  <c r="HY260" i="19"/>
  <c r="HZ260" i="19"/>
  <c r="IA260" i="19"/>
  <c r="IB260" i="19"/>
  <c r="IC260" i="19"/>
  <c r="ID260" i="19"/>
  <c r="IE260" i="19"/>
  <c r="IF260" i="19"/>
  <c r="IG260" i="19"/>
  <c r="IH260" i="19"/>
  <c r="II260" i="19"/>
  <c r="IJ260" i="19"/>
  <c r="IK260" i="19"/>
  <c r="IL260" i="19"/>
  <c r="IM260" i="19"/>
  <c r="IN260" i="19"/>
  <c r="IO260" i="19"/>
  <c r="IP260" i="19"/>
  <c r="IQ260" i="19"/>
  <c r="IR260" i="19"/>
  <c r="IS260" i="19"/>
  <c r="IT260" i="19"/>
  <c r="IU260" i="19"/>
  <c r="IV260" i="19"/>
  <c r="F261" i="19"/>
  <c r="G261" i="19"/>
  <c r="H261" i="19"/>
  <c r="I261" i="19"/>
  <c r="J261" i="19"/>
  <c r="K261" i="19"/>
  <c r="L261" i="19"/>
  <c r="M261" i="19"/>
  <c r="N261" i="19"/>
  <c r="O261" i="19"/>
  <c r="P261" i="19"/>
  <c r="Q261" i="19"/>
  <c r="R261" i="19"/>
  <c r="S261" i="19"/>
  <c r="T261" i="19"/>
  <c r="U261" i="19"/>
  <c r="V261" i="19"/>
  <c r="W261" i="19"/>
  <c r="X261" i="19"/>
  <c r="Y261" i="19"/>
  <c r="Z261" i="19"/>
  <c r="AA261" i="19"/>
  <c r="AB261" i="19"/>
  <c r="AC261" i="19"/>
  <c r="AD261" i="19"/>
  <c r="AE261" i="19"/>
  <c r="AF261" i="19"/>
  <c r="AG261" i="19"/>
  <c r="AH261" i="19"/>
  <c r="AI261" i="19"/>
  <c r="AJ261" i="19"/>
  <c r="AK261" i="19"/>
  <c r="AL261" i="19"/>
  <c r="AM261" i="19"/>
  <c r="AN261" i="19"/>
  <c r="AO261" i="19"/>
  <c r="AP261" i="19"/>
  <c r="AQ261" i="19"/>
  <c r="AR261" i="19"/>
  <c r="AS261" i="19"/>
  <c r="AT261" i="19"/>
  <c r="AU261" i="19"/>
  <c r="AV261" i="19"/>
  <c r="AW261" i="19"/>
  <c r="AX261" i="19"/>
  <c r="AY261" i="19"/>
  <c r="AZ261" i="19"/>
  <c r="BA261" i="19"/>
  <c r="BB261" i="19"/>
  <c r="BC261" i="19"/>
  <c r="BD261" i="19"/>
  <c r="BE261" i="19"/>
  <c r="BF261" i="19"/>
  <c r="BG261" i="19"/>
  <c r="BH261" i="19"/>
  <c r="BI261" i="19"/>
  <c r="BJ261" i="19"/>
  <c r="BK261" i="19"/>
  <c r="BL261" i="19"/>
  <c r="BM261" i="19"/>
  <c r="BN261" i="19"/>
  <c r="BO261" i="19"/>
  <c r="BP261" i="19"/>
  <c r="BQ261" i="19"/>
  <c r="BR261" i="19"/>
  <c r="BS261" i="19"/>
  <c r="BT261" i="19"/>
  <c r="BU261" i="19"/>
  <c r="BV261" i="19"/>
  <c r="BW261" i="19"/>
  <c r="BX261" i="19"/>
  <c r="BY261" i="19"/>
  <c r="BZ261" i="19"/>
  <c r="CA261" i="19"/>
  <c r="CB261" i="19"/>
  <c r="CC261" i="19"/>
  <c r="CD261" i="19"/>
  <c r="CE261" i="19"/>
  <c r="CF261" i="19"/>
  <c r="CG261" i="19"/>
  <c r="CH261" i="19"/>
  <c r="CI261" i="19"/>
  <c r="CJ261" i="19"/>
  <c r="CK261" i="19"/>
  <c r="CL261" i="19"/>
  <c r="CM261" i="19"/>
  <c r="CN261" i="19"/>
  <c r="CO261" i="19"/>
  <c r="CP261" i="19"/>
  <c r="CQ261" i="19"/>
  <c r="CR261" i="19"/>
  <c r="CS261" i="19"/>
  <c r="CT261" i="19"/>
  <c r="CU261" i="19"/>
  <c r="CV261" i="19"/>
  <c r="CW261" i="19"/>
  <c r="CX261" i="19"/>
  <c r="CY261" i="19"/>
  <c r="CZ261" i="19"/>
  <c r="DA261" i="19"/>
  <c r="DB261" i="19"/>
  <c r="DC261" i="19"/>
  <c r="DD261" i="19"/>
  <c r="DE261" i="19"/>
  <c r="DF261" i="19"/>
  <c r="DG261" i="19"/>
  <c r="DH261" i="19"/>
  <c r="DI261" i="19"/>
  <c r="DJ261" i="19"/>
  <c r="DK261" i="19"/>
  <c r="DL261" i="19"/>
  <c r="DM261" i="19"/>
  <c r="DN261" i="19"/>
  <c r="DO261" i="19"/>
  <c r="DP261" i="19"/>
  <c r="DQ261" i="19"/>
  <c r="DR261" i="19"/>
  <c r="DS261" i="19"/>
  <c r="DT261" i="19"/>
  <c r="DU261" i="19"/>
  <c r="DV261" i="19"/>
  <c r="DW261" i="19"/>
  <c r="DX261" i="19"/>
  <c r="DY261" i="19"/>
  <c r="DZ261" i="19"/>
  <c r="EA261" i="19"/>
  <c r="EB261" i="19"/>
  <c r="EC261" i="19"/>
  <c r="ED261" i="19"/>
  <c r="EE261" i="19"/>
  <c r="EF261" i="19"/>
  <c r="EG261" i="19"/>
  <c r="EH261" i="19"/>
  <c r="EI261" i="19"/>
  <c r="EJ261" i="19"/>
  <c r="EK261" i="19"/>
  <c r="EL261" i="19"/>
  <c r="EM261" i="19"/>
  <c r="EN261" i="19"/>
  <c r="EO261" i="19"/>
  <c r="EP261" i="19"/>
  <c r="EQ261" i="19"/>
  <c r="ER261" i="19"/>
  <c r="ES261" i="19"/>
  <c r="ET261" i="19"/>
  <c r="EU261" i="19"/>
  <c r="EV261" i="19"/>
  <c r="EW261" i="19"/>
  <c r="EX261" i="19"/>
  <c r="EY261" i="19"/>
  <c r="EZ261" i="19"/>
  <c r="FA261" i="19"/>
  <c r="FB261" i="19"/>
  <c r="FC261" i="19"/>
  <c r="FD261" i="19"/>
  <c r="FE261" i="19"/>
  <c r="FF261" i="19"/>
  <c r="FG261" i="19"/>
  <c r="FH261" i="19"/>
  <c r="FI261" i="19"/>
  <c r="FJ261" i="19"/>
  <c r="FK261" i="19"/>
  <c r="FL261" i="19"/>
  <c r="FM261" i="19"/>
  <c r="FN261" i="19"/>
  <c r="FO261" i="19"/>
  <c r="FP261" i="19"/>
  <c r="FQ261" i="19"/>
  <c r="FR261" i="19"/>
  <c r="FS261" i="19"/>
  <c r="FT261" i="19"/>
  <c r="FU261" i="19"/>
  <c r="FV261" i="19"/>
  <c r="FW261" i="19"/>
  <c r="FX261" i="19"/>
  <c r="FY261" i="19"/>
  <c r="FZ261" i="19"/>
  <c r="GA261" i="19"/>
  <c r="GB261" i="19"/>
  <c r="GC261" i="19"/>
  <c r="GD261" i="19"/>
  <c r="GE261" i="19"/>
  <c r="GF261" i="19"/>
  <c r="GG261" i="19"/>
  <c r="GH261" i="19"/>
  <c r="GI261" i="19"/>
  <c r="GJ261" i="19"/>
  <c r="GK261" i="19"/>
  <c r="GL261" i="19"/>
  <c r="GM261" i="19"/>
  <c r="GN261" i="19"/>
  <c r="GO261" i="19"/>
  <c r="GP261" i="19"/>
  <c r="GQ261" i="19"/>
  <c r="GR261" i="19"/>
  <c r="GS261" i="19"/>
  <c r="GT261" i="19"/>
  <c r="GU261" i="19"/>
  <c r="GV261" i="19"/>
  <c r="GW261" i="19"/>
  <c r="GX261" i="19"/>
  <c r="GY261" i="19"/>
  <c r="GZ261" i="19"/>
  <c r="HA261" i="19"/>
  <c r="HB261" i="19"/>
  <c r="HC261" i="19"/>
  <c r="HD261" i="19"/>
  <c r="HE261" i="19"/>
  <c r="HF261" i="19"/>
  <c r="HG261" i="19"/>
  <c r="HH261" i="19"/>
  <c r="HI261" i="19"/>
  <c r="HJ261" i="19"/>
  <c r="HK261" i="19"/>
  <c r="HL261" i="19"/>
  <c r="HM261" i="19"/>
  <c r="HN261" i="19"/>
  <c r="HO261" i="19"/>
  <c r="HP261" i="19"/>
  <c r="HQ261" i="19"/>
  <c r="HR261" i="19"/>
  <c r="HS261" i="19"/>
  <c r="HT261" i="19"/>
  <c r="HU261" i="19"/>
  <c r="HV261" i="19"/>
  <c r="HW261" i="19"/>
  <c r="HX261" i="19"/>
  <c r="HY261" i="19"/>
  <c r="HZ261" i="19"/>
  <c r="IA261" i="19"/>
  <c r="IB261" i="19"/>
  <c r="IC261" i="19"/>
  <c r="ID261" i="19"/>
  <c r="IE261" i="19"/>
  <c r="IF261" i="19"/>
  <c r="IG261" i="19"/>
  <c r="IH261" i="19"/>
  <c r="II261" i="19"/>
  <c r="IJ261" i="19"/>
  <c r="IK261" i="19"/>
  <c r="IL261" i="19"/>
  <c r="IM261" i="19"/>
  <c r="IN261" i="19"/>
  <c r="IO261" i="19"/>
  <c r="IP261" i="19"/>
  <c r="IQ261" i="19"/>
  <c r="IR261" i="19"/>
  <c r="IS261" i="19"/>
  <c r="IT261" i="19"/>
  <c r="IU261" i="19"/>
  <c r="IV261" i="19"/>
  <c r="F262" i="19"/>
  <c r="G262" i="19"/>
  <c r="H262" i="19"/>
  <c r="I262" i="19"/>
  <c r="J262" i="19"/>
  <c r="K262" i="19"/>
  <c r="L262" i="19"/>
  <c r="M262" i="19"/>
  <c r="N262" i="19"/>
  <c r="O262" i="19"/>
  <c r="P262" i="19"/>
  <c r="Q262" i="19"/>
  <c r="R262" i="19"/>
  <c r="S262" i="19"/>
  <c r="T262" i="19"/>
  <c r="U262" i="19"/>
  <c r="V262" i="19"/>
  <c r="W262" i="19"/>
  <c r="X262" i="19"/>
  <c r="Y262" i="19"/>
  <c r="Z262" i="19"/>
  <c r="AA262" i="19"/>
  <c r="AB262" i="19"/>
  <c r="AC262" i="19"/>
  <c r="AD262" i="19"/>
  <c r="AE262" i="19"/>
  <c r="AF262" i="19"/>
  <c r="AG262" i="19"/>
  <c r="AH262" i="19"/>
  <c r="AI262" i="19"/>
  <c r="AJ262" i="19"/>
  <c r="AK262" i="19"/>
  <c r="AL262" i="19"/>
  <c r="AM262" i="19"/>
  <c r="AN262" i="19"/>
  <c r="AO262" i="19"/>
  <c r="AP262" i="19"/>
  <c r="AQ262" i="19"/>
  <c r="AR262" i="19"/>
  <c r="AS262" i="19"/>
  <c r="AT262" i="19"/>
  <c r="AU262" i="19"/>
  <c r="AV262" i="19"/>
  <c r="AW262" i="19"/>
  <c r="AX262" i="19"/>
  <c r="AY262" i="19"/>
  <c r="AZ262" i="19"/>
  <c r="BA262" i="19"/>
  <c r="BB262" i="19"/>
  <c r="BC262" i="19"/>
  <c r="BD262" i="19"/>
  <c r="BE262" i="19"/>
  <c r="BF262" i="19"/>
  <c r="BG262" i="19"/>
  <c r="BH262" i="19"/>
  <c r="BI262" i="19"/>
  <c r="BJ262" i="19"/>
  <c r="BK262" i="19"/>
  <c r="BL262" i="19"/>
  <c r="BM262" i="19"/>
  <c r="BN262" i="19"/>
  <c r="BO262" i="19"/>
  <c r="BP262" i="19"/>
  <c r="BQ262" i="19"/>
  <c r="BR262" i="19"/>
  <c r="BS262" i="19"/>
  <c r="BT262" i="19"/>
  <c r="BU262" i="19"/>
  <c r="BV262" i="19"/>
  <c r="BW262" i="19"/>
  <c r="BX262" i="19"/>
  <c r="BY262" i="19"/>
  <c r="BZ262" i="19"/>
  <c r="CA262" i="19"/>
  <c r="CB262" i="19"/>
  <c r="CC262" i="19"/>
  <c r="CD262" i="19"/>
  <c r="CE262" i="19"/>
  <c r="CF262" i="19"/>
  <c r="CG262" i="19"/>
  <c r="CH262" i="19"/>
  <c r="CI262" i="19"/>
  <c r="CJ262" i="19"/>
  <c r="CK262" i="19"/>
  <c r="CL262" i="19"/>
  <c r="CM262" i="19"/>
  <c r="CN262" i="19"/>
  <c r="CO262" i="19"/>
  <c r="CP262" i="19"/>
  <c r="CQ262" i="19"/>
  <c r="CR262" i="19"/>
  <c r="CS262" i="19"/>
  <c r="CT262" i="19"/>
  <c r="CU262" i="19"/>
  <c r="CV262" i="19"/>
  <c r="CW262" i="19"/>
  <c r="CX262" i="19"/>
  <c r="CY262" i="19"/>
  <c r="CZ262" i="19"/>
  <c r="DA262" i="19"/>
  <c r="DB262" i="19"/>
  <c r="DC262" i="19"/>
  <c r="DD262" i="19"/>
  <c r="DE262" i="19"/>
  <c r="DF262" i="19"/>
  <c r="DG262" i="19"/>
  <c r="DH262" i="19"/>
  <c r="DI262" i="19"/>
  <c r="DJ262" i="19"/>
  <c r="DK262" i="19"/>
  <c r="DL262" i="19"/>
  <c r="DM262" i="19"/>
  <c r="DN262" i="19"/>
  <c r="DO262" i="19"/>
  <c r="DP262" i="19"/>
  <c r="DQ262" i="19"/>
  <c r="DR262" i="19"/>
  <c r="DS262" i="19"/>
  <c r="DT262" i="19"/>
  <c r="DU262" i="19"/>
  <c r="DV262" i="19"/>
  <c r="DW262" i="19"/>
  <c r="DX262" i="19"/>
  <c r="DY262" i="19"/>
  <c r="DZ262" i="19"/>
  <c r="EA262" i="19"/>
  <c r="EB262" i="19"/>
  <c r="EC262" i="19"/>
  <c r="ED262" i="19"/>
  <c r="EE262" i="19"/>
  <c r="EF262" i="19"/>
  <c r="EG262" i="19"/>
  <c r="EH262" i="19"/>
  <c r="EI262" i="19"/>
  <c r="EJ262" i="19"/>
  <c r="EK262" i="19"/>
  <c r="EL262" i="19"/>
  <c r="EM262" i="19"/>
  <c r="EN262" i="19"/>
  <c r="EO262" i="19"/>
  <c r="EP262" i="19"/>
  <c r="EQ262" i="19"/>
  <c r="ER262" i="19"/>
  <c r="ES262" i="19"/>
  <c r="ET262" i="19"/>
  <c r="EU262" i="19"/>
  <c r="EV262" i="19"/>
  <c r="EW262" i="19"/>
  <c r="EX262" i="19"/>
  <c r="EY262" i="19"/>
  <c r="EZ262" i="19"/>
  <c r="FA262" i="19"/>
  <c r="FB262" i="19"/>
  <c r="FC262" i="19"/>
  <c r="FD262" i="19"/>
  <c r="FE262" i="19"/>
  <c r="FF262" i="19"/>
  <c r="FG262" i="19"/>
  <c r="FH262" i="19"/>
  <c r="FI262" i="19"/>
  <c r="FJ262" i="19"/>
  <c r="FK262" i="19"/>
  <c r="FL262" i="19"/>
  <c r="FM262" i="19"/>
  <c r="FN262" i="19"/>
  <c r="FO262" i="19"/>
  <c r="FP262" i="19"/>
  <c r="FQ262" i="19"/>
  <c r="FR262" i="19"/>
  <c r="FS262" i="19"/>
  <c r="FT262" i="19"/>
  <c r="FU262" i="19"/>
  <c r="FV262" i="19"/>
  <c r="FW262" i="19"/>
  <c r="FX262" i="19"/>
  <c r="FY262" i="19"/>
  <c r="FZ262" i="19"/>
  <c r="GA262" i="19"/>
  <c r="GB262" i="19"/>
  <c r="GC262" i="19"/>
  <c r="GD262" i="19"/>
  <c r="GE262" i="19"/>
  <c r="GF262" i="19"/>
  <c r="GG262" i="19"/>
  <c r="GH262" i="19"/>
  <c r="GI262" i="19"/>
  <c r="GJ262" i="19"/>
  <c r="GK262" i="19"/>
  <c r="GL262" i="19"/>
  <c r="GM262" i="19"/>
  <c r="GN262" i="19"/>
  <c r="GO262" i="19"/>
  <c r="GP262" i="19"/>
  <c r="GQ262" i="19"/>
  <c r="GR262" i="19"/>
  <c r="GS262" i="19"/>
  <c r="GT262" i="19"/>
  <c r="GU262" i="19"/>
  <c r="GV262" i="19"/>
  <c r="GW262" i="19"/>
  <c r="GX262" i="19"/>
  <c r="GY262" i="19"/>
  <c r="GZ262" i="19"/>
  <c r="HA262" i="19"/>
  <c r="HB262" i="19"/>
  <c r="HC262" i="19"/>
  <c r="HD262" i="19"/>
  <c r="HE262" i="19"/>
  <c r="HF262" i="19"/>
  <c r="HG262" i="19"/>
  <c r="HH262" i="19"/>
  <c r="HI262" i="19"/>
  <c r="HJ262" i="19"/>
  <c r="HK262" i="19"/>
  <c r="HL262" i="19"/>
  <c r="HM262" i="19"/>
  <c r="HN262" i="19"/>
  <c r="HO262" i="19"/>
  <c r="HP262" i="19"/>
  <c r="HQ262" i="19"/>
  <c r="HR262" i="19"/>
  <c r="HS262" i="19"/>
  <c r="HT262" i="19"/>
  <c r="HU262" i="19"/>
  <c r="HV262" i="19"/>
  <c r="HW262" i="19"/>
  <c r="HX262" i="19"/>
  <c r="HY262" i="19"/>
  <c r="HZ262" i="19"/>
  <c r="IA262" i="19"/>
  <c r="IB262" i="19"/>
  <c r="IC262" i="19"/>
  <c r="ID262" i="19"/>
  <c r="IE262" i="19"/>
  <c r="IF262" i="19"/>
  <c r="IG262" i="19"/>
  <c r="IH262" i="19"/>
  <c r="II262" i="19"/>
  <c r="IJ262" i="19"/>
  <c r="IK262" i="19"/>
  <c r="IL262" i="19"/>
  <c r="IM262" i="19"/>
  <c r="IN262" i="19"/>
  <c r="IO262" i="19"/>
  <c r="IP262" i="19"/>
  <c r="IQ262" i="19"/>
  <c r="IR262" i="19"/>
  <c r="IS262" i="19"/>
  <c r="IT262" i="19"/>
  <c r="IU262" i="19"/>
  <c r="IV262" i="19"/>
  <c r="F263" i="19"/>
  <c r="G263" i="19"/>
  <c r="H263" i="19"/>
  <c r="I263" i="19"/>
  <c r="J263" i="19"/>
  <c r="K263" i="19"/>
  <c r="L263" i="19"/>
  <c r="M263" i="19"/>
  <c r="N263" i="19"/>
  <c r="O263" i="19"/>
  <c r="P263" i="19"/>
  <c r="Q263" i="19"/>
  <c r="R263" i="19"/>
  <c r="S263" i="19"/>
  <c r="T263" i="19"/>
  <c r="U263" i="19"/>
  <c r="V263" i="19"/>
  <c r="W263" i="19"/>
  <c r="X263" i="19"/>
  <c r="Y263" i="19"/>
  <c r="Z263" i="19"/>
  <c r="AA263" i="19"/>
  <c r="AB263" i="19"/>
  <c r="AC263" i="19"/>
  <c r="AD263" i="19"/>
  <c r="AE263" i="19"/>
  <c r="AF263" i="19"/>
  <c r="AG263" i="19"/>
  <c r="AH263" i="19"/>
  <c r="AI263" i="19"/>
  <c r="AJ263" i="19"/>
  <c r="AK263" i="19"/>
  <c r="AL263" i="19"/>
  <c r="AM263" i="19"/>
  <c r="AN263" i="19"/>
  <c r="AO263" i="19"/>
  <c r="AP263" i="19"/>
  <c r="AQ263" i="19"/>
  <c r="AR263" i="19"/>
  <c r="AS263" i="19"/>
  <c r="AT263" i="19"/>
  <c r="AU263" i="19"/>
  <c r="AV263" i="19"/>
  <c r="AW263" i="19"/>
  <c r="AX263" i="19"/>
  <c r="AY263" i="19"/>
  <c r="AZ263" i="19"/>
  <c r="BA263" i="19"/>
  <c r="BB263" i="19"/>
  <c r="BC263" i="19"/>
  <c r="BD263" i="19"/>
  <c r="BE263" i="19"/>
  <c r="BF263" i="19"/>
  <c r="BG263" i="19"/>
  <c r="BH263" i="19"/>
  <c r="BI263" i="19"/>
  <c r="BJ263" i="19"/>
  <c r="BK263" i="19"/>
  <c r="BL263" i="19"/>
  <c r="BM263" i="19"/>
  <c r="BN263" i="19"/>
  <c r="BO263" i="19"/>
  <c r="BP263" i="19"/>
  <c r="BQ263" i="19"/>
  <c r="BR263" i="19"/>
  <c r="BS263" i="19"/>
  <c r="BT263" i="19"/>
  <c r="BU263" i="19"/>
  <c r="BV263" i="19"/>
  <c r="BW263" i="19"/>
  <c r="BX263" i="19"/>
  <c r="BY263" i="19"/>
  <c r="BZ263" i="19"/>
  <c r="CA263" i="19"/>
  <c r="CB263" i="19"/>
  <c r="CC263" i="19"/>
  <c r="CD263" i="19"/>
  <c r="CE263" i="19"/>
  <c r="CF263" i="19"/>
  <c r="CG263" i="19"/>
  <c r="CH263" i="19"/>
  <c r="CI263" i="19"/>
  <c r="CJ263" i="19"/>
  <c r="CK263" i="19"/>
  <c r="CL263" i="19"/>
  <c r="CM263" i="19"/>
  <c r="CN263" i="19"/>
  <c r="CO263" i="19"/>
  <c r="CP263" i="19"/>
  <c r="CQ263" i="19"/>
  <c r="CR263" i="19"/>
  <c r="CS263" i="19"/>
  <c r="CT263" i="19"/>
  <c r="CU263" i="19"/>
  <c r="CV263" i="19"/>
  <c r="CW263" i="19"/>
  <c r="CX263" i="19"/>
  <c r="CY263" i="19"/>
  <c r="CZ263" i="19"/>
  <c r="DA263" i="19"/>
  <c r="DB263" i="19"/>
  <c r="DC263" i="19"/>
  <c r="DD263" i="19"/>
  <c r="DE263" i="19"/>
  <c r="DF263" i="19"/>
  <c r="DG263" i="19"/>
  <c r="DH263" i="19"/>
  <c r="DI263" i="19"/>
  <c r="DJ263" i="19"/>
  <c r="DK263" i="19"/>
  <c r="DL263" i="19"/>
  <c r="DM263" i="19"/>
  <c r="DN263" i="19"/>
  <c r="DO263" i="19"/>
  <c r="DP263" i="19"/>
  <c r="DQ263" i="19"/>
  <c r="DR263" i="19"/>
  <c r="DS263" i="19"/>
  <c r="DT263" i="19"/>
  <c r="DU263" i="19"/>
  <c r="DV263" i="19"/>
  <c r="DW263" i="19"/>
  <c r="DX263" i="19"/>
  <c r="DY263" i="19"/>
  <c r="DZ263" i="19"/>
  <c r="EA263" i="19"/>
  <c r="EB263" i="19"/>
  <c r="EC263" i="19"/>
  <c r="ED263" i="19"/>
  <c r="EE263" i="19"/>
  <c r="EF263" i="19"/>
  <c r="EG263" i="19"/>
  <c r="EH263" i="19"/>
  <c r="EI263" i="19"/>
  <c r="EJ263" i="19"/>
  <c r="EK263" i="19"/>
  <c r="EL263" i="19"/>
  <c r="EM263" i="19"/>
  <c r="EN263" i="19"/>
  <c r="EO263" i="19"/>
  <c r="EP263" i="19"/>
  <c r="EQ263" i="19"/>
  <c r="ER263" i="19"/>
  <c r="ES263" i="19"/>
  <c r="ET263" i="19"/>
  <c r="EU263" i="19"/>
  <c r="EV263" i="19"/>
  <c r="EW263" i="19"/>
  <c r="EX263" i="19"/>
  <c r="EY263" i="19"/>
  <c r="EZ263" i="19"/>
  <c r="FA263" i="19"/>
  <c r="FB263" i="19"/>
  <c r="FC263" i="19"/>
  <c r="FD263" i="19"/>
  <c r="FE263" i="19"/>
  <c r="FF263" i="19"/>
  <c r="FG263" i="19"/>
  <c r="FH263" i="19"/>
  <c r="FI263" i="19"/>
  <c r="FJ263" i="19"/>
  <c r="FK263" i="19"/>
  <c r="FL263" i="19"/>
  <c r="FM263" i="19"/>
  <c r="FN263" i="19"/>
  <c r="FO263" i="19"/>
  <c r="FP263" i="19"/>
  <c r="FQ263" i="19"/>
  <c r="FR263" i="19"/>
  <c r="FS263" i="19"/>
  <c r="FT263" i="19"/>
  <c r="FU263" i="19"/>
  <c r="FV263" i="19"/>
  <c r="FW263" i="19"/>
  <c r="FX263" i="19"/>
  <c r="FY263" i="19"/>
  <c r="FZ263" i="19"/>
  <c r="GA263" i="19"/>
  <c r="GB263" i="19"/>
  <c r="GC263" i="19"/>
  <c r="GD263" i="19"/>
  <c r="GE263" i="19"/>
  <c r="GF263" i="19"/>
  <c r="GG263" i="19"/>
  <c r="GH263" i="19"/>
  <c r="GI263" i="19"/>
  <c r="GJ263" i="19"/>
  <c r="GK263" i="19"/>
  <c r="GL263" i="19"/>
  <c r="GM263" i="19"/>
  <c r="GN263" i="19"/>
  <c r="GO263" i="19"/>
  <c r="GP263" i="19"/>
  <c r="GQ263" i="19"/>
  <c r="GR263" i="19"/>
  <c r="GS263" i="19"/>
  <c r="GT263" i="19"/>
  <c r="GU263" i="19"/>
  <c r="GV263" i="19"/>
  <c r="GW263" i="19"/>
  <c r="GX263" i="19"/>
  <c r="GY263" i="19"/>
  <c r="GZ263" i="19"/>
  <c r="HA263" i="19"/>
  <c r="HB263" i="19"/>
  <c r="HC263" i="19"/>
  <c r="HD263" i="19"/>
  <c r="HE263" i="19"/>
  <c r="HF263" i="19"/>
  <c r="HG263" i="19"/>
  <c r="HH263" i="19"/>
  <c r="HI263" i="19"/>
  <c r="HJ263" i="19"/>
  <c r="HK263" i="19"/>
  <c r="HL263" i="19"/>
  <c r="HM263" i="19"/>
  <c r="HN263" i="19"/>
  <c r="HO263" i="19"/>
  <c r="HP263" i="19"/>
  <c r="HQ263" i="19"/>
  <c r="HR263" i="19"/>
  <c r="HS263" i="19"/>
  <c r="HT263" i="19"/>
  <c r="HU263" i="19"/>
  <c r="HV263" i="19"/>
  <c r="HW263" i="19"/>
  <c r="HX263" i="19"/>
  <c r="HY263" i="19"/>
  <c r="HZ263" i="19"/>
  <c r="IA263" i="19"/>
  <c r="IB263" i="19"/>
  <c r="IC263" i="19"/>
  <c r="ID263" i="19"/>
  <c r="IE263" i="19"/>
  <c r="IF263" i="19"/>
  <c r="IG263" i="19"/>
  <c r="IH263" i="19"/>
  <c r="II263" i="19"/>
  <c r="IJ263" i="19"/>
  <c r="IK263" i="19"/>
  <c r="IL263" i="19"/>
  <c r="IM263" i="19"/>
  <c r="IN263" i="19"/>
  <c r="IO263" i="19"/>
  <c r="IP263" i="19"/>
  <c r="IQ263" i="19"/>
  <c r="IR263" i="19"/>
  <c r="IS263" i="19"/>
  <c r="IT263" i="19"/>
  <c r="IU263" i="19"/>
  <c r="IV263" i="19"/>
  <c r="F264" i="19"/>
  <c r="G264" i="19"/>
  <c r="H264" i="19"/>
  <c r="I264" i="19"/>
  <c r="J264" i="19"/>
  <c r="K264" i="19"/>
  <c r="L264" i="19"/>
  <c r="M264" i="19"/>
  <c r="N264" i="19"/>
  <c r="O264" i="19"/>
  <c r="P264" i="19"/>
  <c r="Q264" i="19"/>
  <c r="R264" i="19"/>
  <c r="S264" i="19"/>
  <c r="T264" i="19"/>
  <c r="U264" i="19"/>
  <c r="V264" i="19"/>
  <c r="W264" i="19"/>
  <c r="X264" i="19"/>
  <c r="Y264" i="19"/>
  <c r="Z264" i="19"/>
  <c r="AA264" i="19"/>
  <c r="AB264" i="19"/>
  <c r="AC264" i="19"/>
  <c r="AD264" i="19"/>
  <c r="AE264" i="19"/>
  <c r="AF264" i="19"/>
  <c r="AG264" i="19"/>
  <c r="AH264" i="19"/>
  <c r="AI264" i="19"/>
  <c r="AJ264" i="19"/>
  <c r="AK264" i="19"/>
  <c r="AL264" i="19"/>
  <c r="AM264" i="19"/>
  <c r="AN264" i="19"/>
  <c r="AO264" i="19"/>
  <c r="AP264" i="19"/>
  <c r="AQ264" i="19"/>
  <c r="AR264" i="19"/>
  <c r="AS264" i="19"/>
  <c r="AT264" i="19"/>
  <c r="AU264" i="19"/>
  <c r="AV264" i="19"/>
  <c r="AW264" i="19"/>
  <c r="AX264" i="19"/>
  <c r="AY264" i="19"/>
  <c r="AZ264" i="19"/>
  <c r="BA264" i="19"/>
  <c r="BB264" i="19"/>
  <c r="BC264" i="19"/>
  <c r="BD264" i="19"/>
  <c r="BE264" i="19"/>
  <c r="BF264" i="19"/>
  <c r="BG264" i="19"/>
  <c r="BH264" i="19"/>
  <c r="BI264" i="19"/>
  <c r="BJ264" i="19"/>
  <c r="BK264" i="19"/>
  <c r="BL264" i="19"/>
  <c r="BM264" i="19"/>
  <c r="BN264" i="19"/>
  <c r="BO264" i="19"/>
  <c r="BP264" i="19"/>
  <c r="BQ264" i="19"/>
  <c r="BR264" i="19"/>
  <c r="BS264" i="19"/>
  <c r="BT264" i="19"/>
  <c r="BU264" i="19"/>
  <c r="BV264" i="19"/>
  <c r="BW264" i="19"/>
  <c r="BX264" i="19"/>
  <c r="BY264" i="19"/>
  <c r="BZ264" i="19"/>
  <c r="CA264" i="19"/>
  <c r="CB264" i="19"/>
  <c r="CC264" i="19"/>
  <c r="CD264" i="19"/>
  <c r="CE264" i="19"/>
  <c r="CF264" i="19"/>
  <c r="CG264" i="19"/>
  <c r="CH264" i="19"/>
  <c r="CI264" i="19"/>
  <c r="CJ264" i="19"/>
  <c r="CK264" i="19"/>
  <c r="CL264" i="19"/>
  <c r="CM264" i="19"/>
  <c r="CN264" i="19"/>
  <c r="CO264" i="19"/>
  <c r="CP264" i="19"/>
  <c r="CQ264" i="19"/>
  <c r="CR264" i="19"/>
  <c r="CS264" i="19"/>
  <c r="CT264" i="19"/>
  <c r="CU264" i="19"/>
  <c r="CV264" i="19"/>
  <c r="CW264" i="19"/>
  <c r="CX264" i="19"/>
  <c r="CY264" i="19"/>
  <c r="CZ264" i="19"/>
  <c r="DA264" i="19"/>
  <c r="DB264" i="19"/>
  <c r="DC264" i="19"/>
  <c r="DD264" i="19"/>
  <c r="DE264" i="19"/>
  <c r="DF264" i="19"/>
  <c r="DG264" i="19"/>
  <c r="DH264" i="19"/>
  <c r="DI264" i="19"/>
  <c r="DJ264" i="19"/>
  <c r="DK264" i="19"/>
  <c r="DL264" i="19"/>
  <c r="DM264" i="19"/>
  <c r="DN264" i="19"/>
  <c r="DO264" i="19"/>
  <c r="DP264" i="19"/>
  <c r="DQ264" i="19"/>
  <c r="DR264" i="19"/>
  <c r="DS264" i="19"/>
  <c r="DT264" i="19"/>
  <c r="DU264" i="19"/>
  <c r="DV264" i="19"/>
  <c r="DW264" i="19"/>
  <c r="DX264" i="19"/>
  <c r="DY264" i="19"/>
  <c r="DZ264" i="19"/>
  <c r="EA264" i="19"/>
  <c r="EB264" i="19"/>
  <c r="EC264" i="19"/>
  <c r="ED264" i="19"/>
  <c r="EE264" i="19"/>
  <c r="EF264" i="19"/>
  <c r="EG264" i="19"/>
  <c r="EH264" i="19"/>
  <c r="EI264" i="19"/>
  <c r="EJ264" i="19"/>
  <c r="EK264" i="19"/>
  <c r="EL264" i="19"/>
  <c r="EM264" i="19"/>
  <c r="EN264" i="19"/>
  <c r="EO264" i="19"/>
  <c r="EP264" i="19"/>
  <c r="EQ264" i="19"/>
  <c r="ER264" i="19"/>
  <c r="ES264" i="19"/>
  <c r="ET264" i="19"/>
  <c r="EU264" i="19"/>
  <c r="EV264" i="19"/>
  <c r="EW264" i="19"/>
  <c r="EX264" i="19"/>
  <c r="EY264" i="19"/>
  <c r="EZ264" i="19"/>
  <c r="FA264" i="19"/>
  <c r="FB264" i="19"/>
  <c r="FC264" i="19"/>
  <c r="FD264" i="19"/>
  <c r="FE264" i="19"/>
  <c r="FF264" i="19"/>
  <c r="FG264" i="19"/>
  <c r="FH264" i="19"/>
  <c r="FI264" i="19"/>
  <c r="FJ264" i="19"/>
  <c r="FK264" i="19"/>
  <c r="FL264" i="19"/>
  <c r="FM264" i="19"/>
  <c r="FN264" i="19"/>
  <c r="FO264" i="19"/>
  <c r="FP264" i="19"/>
  <c r="FQ264" i="19"/>
  <c r="FR264" i="19"/>
  <c r="FS264" i="19"/>
  <c r="FT264" i="19"/>
  <c r="FU264" i="19"/>
  <c r="FV264" i="19"/>
  <c r="FW264" i="19"/>
  <c r="FX264" i="19"/>
  <c r="FY264" i="19"/>
  <c r="FZ264" i="19"/>
  <c r="GA264" i="19"/>
  <c r="GB264" i="19"/>
  <c r="GC264" i="19"/>
  <c r="GD264" i="19"/>
  <c r="GE264" i="19"/>
  <c r="GF264" i="19"/>
  <c r="GG264" i="19"/>
  <c r="GH264" i="19"/>
  <c r="GI264" i="19"/>
  <c r="GJ264" i="19"/>
  <c r="GK264" i="19"/>
  <c r="GL264" i="19"/>
  <c r="GM264" i="19"/>
  <c r="GN264" i="19"/>
  <c r="GO264" i="19"/>
  <c r="GP264" i="19"/>
  <c r="GQ264" i="19"/>
  <c r="GR264" i="19"/>
  <c r="GS264" i="19"/>
  <c r="GT264" i="19"/>
  <c r="GU264" i="19"/>
  <c r="GV264" i="19"/>
  <c r="GW264" i="19"/>
  <c r="GX264" i="19"/>
  <c r="GY264" i="19"/>
  <c r="GZ264" i="19"/>
  <c r="HA264" i="19"/>
  <c r="HB264" i="19"/>
  <c r="HC264" i="19"/>
  <c r="HD264" i="19"/>
  <c r="HE264" i="19"/>
  <c r="HF264" i="19"/>
  <c r="HG264" i="19"/>
  <c r="HH264" i="19"/>
  <c r="HI264" i="19"/>
  <c r="HJ264" i="19"/>
  <c r="HK264" i="19"/>
  <c r="HL264" i="19"/>
  <c r="HM264" i="19"/>
  <c r="HN264" i="19"/>
  <c r="HO264" i="19"/>
  <c r="HP264" i="19"/>
  <c r="HQ264" i="19"/>
  <c r="HR264" i="19"/>
  <c r="HS264" i="19"/>
  <c r="HT264" i="19"/>
  <c r="HU264" i="19"/>
  <c r="HV264" i="19"/>
  <c r="HW264" i="19"/>
  <c r="HX264" i="19"/>
  <c r="HY264" i="19"/>
  <c r="HZ264" i="19"/>
  <c r="IA264" i="19"/>
  <c r="IB264" i="19"/>
  <c r="IC264" i="19"/>
  <c r="ID264" i="19"/>
  <c r="IE264" i="19"/>
  <c r="IF264" i="19"/>
  <c r="IG264" i="19"/>
  <c r="IH264" i="19"/>
  <c r="II264" i="19"/>
  <c r="IJ264" i="19"/>
  <c r="IK264" i="19"/>
  <c r="IL264" i="19"/>
  <c r="IM264" i="19"/>
  <c r="IN264" i="19"/>
  <c r="IO264" i="19"/>
  <c r="IP264" i="19"/>
  <c r="IQ264" i="19"/>
  <c r="IR264" i="19"/>
  <c r="IS264" i="19"/>
  <c r="IT264" i="19"/>
  <c r="IU264" i="19"/>
  <c r="IV264" i="19"/>
  <c r="F265" i="19"/>
  <c r="G265" i="19"/>
  <c r="H265" i="19"/>
  <c r="I265" i="19"/>
  <c r="J265" i="19"/>
  <c r="K265" i="19"/>
  <c r="L265" i="19"/>
  <c r="M265" i="19"/>
  <c r="N265" i="19"/>
  <c r="O265" i="19"/>
  <c r="P265" i="19"/>
  <c r="Q265" i="19"/>
  <c r="R265" i="19"/>
  <c r="S265" i="19"/>
  <c r="T265" i="19"/>
  <c r="U265" i="19"/>
  <c r="V265" i="19"/>
  <c r="W265" i="19"/>
  <c r="X265" i="19"/>
  <c r="Y265" i="19"/>
  <c r="Z265" i="19"/>
  <c r="AA265" i="19"/>
  <c r="AB265" i="19"/>
  <c r="AC265" i="19"/>
  <c r="AD265" i="19"/>
  <c r="AE265" i="19"/>
  <c r="AF265" i="19"/>
  <c r="AG265" i="19"/>
  <c r="AH265" i="19"/>
  <c r="AI265" i="19"/>
  <c r="AJ265" i="19"/>
  <c r="AK265" i="19"/>
  <c r="AL265" i="19"/>
  <c r="AM265" i="19"/>
  <c r="AN265" i="19"/>
  <c r="AO265" i="19"/>
  <c r="AP265" i="19"/>
  <c r="AQ265" i="19"/>
  <c r="AR265" i="19"/>
  <c r="AS265" i="19"/>
  <c r="AT265" i="19"/>
  <c r="AU265" i="19"/>
  <c r="AV265" i="19"/>
  <c r="AW265" i="19"/>
  <c r="AX265" i="19"/>
  <c r="AY265" i="19"/>
  <c r="AZ265" i="19"/>
  <c r="BA265" i="19"/>
  <c r="BB265" i="19"/>
  <c r="BC265" i="19"/>
  <c r="BD265" i="19"/>
  <c r="BE265" i="19"/>
  <c r="BF265" i="19"/>
  <c r="BG265" i="19"/>
  <c r="BH265" i="19"/>
  <c r="BI265" i="19"/>
  <c r="BJ265" i="19"/>
  <c r="BK265" i="19"/>
  <c r="BL265" i="19"/>
  <c r="BM265" i="19"/>
  <c r="BN265" i="19"/>
  <c r="BO265" i="19"/>
  <c r="BP265" i="19"/>
  <c r="BQ265" i="19"/>
  <c r="BR265" i="19"/>
  <c r="BS265" i="19"/>
  <c r="BT265" i="19"/>
  <c r="BU265" i="19"/>
  <c r="BV265" i="19"/>
  <c r="BW265" i="19"/>
  <c r="BX265" i="19"/>
  <c r="BY265" i="19"/>
  <c r="BZ265" i="19"/>
  <c r="CA265" i="19"/>
  <c r="CB265" i="19"/>
  <c r="CC265" i="19"/>
  <c r="CD265" i="19"/>
  <c r="CE265" i="19"/>
  <c r="CF265" i="19"/>
  <c r="CG265" i="19"/>
  <c r="CH265" i="19"/>
  <c r="CI265" i="19"/>
  <c r="CJ265" i="19"/>
  <c r="CK265" i="19"/>
  <c r="CL265" i="19"/>
  <c r="CM265" i="19"/>
  <c r="CN265" i="19"/>
  <c r="CO265" i="19"/>
  <c r="CP265" i="19"/>
  <c r="CQ265" i="19"/>
  <c r="CR265" i="19"/>
  <c r="CS265" i="19"/>
  <c r="CT265" i="19"/>
  <c r="CU265" i="19"/>
  <c r="CV265" i="19"/>
  <c r="CW265" i="19"/>
  <c r="CX265" i="19"/>
  <c r="CY265" i="19"/>
  <c r="CZ265" i="19"/>
  <c r="DA265" i="19"/>
  <c r="DB265" i="19"/>
  <c r="DC265" i="19"/>
  <c r="DD265" i="19"/>
  <c r="DE265" i="19"/>
  <c r="DF265" i="19"/>
  <c r="DG265" i="19"/>
  <c r="DH265" i="19"/>
  <c r="DI265" i="19"/>
  <c r="DJ265" i="19"/>
  <c r="DK265" i="19"/>
  <c r="DL265" i="19"/>
  <c r="DM265" i="19"/>
  <c r="DN265" i="19"/>
  <c r="DO265" i="19"/>
  <c r="DP265" i="19"/>
  <c r="DQ265" i="19"/>
  <c r="DR265" i="19"/>
  <c r="DS265" i="19"/>
  <c r="DT265" i="19"/>
  <c r="DU265" i="19"/>
  <c r="DV265" i="19"/>
  <c r="DW265" i="19"/>
  <c r="DX265" i="19"/>
  <c r="DY265" i="19"/>
  <c r="DZ265" i="19"/>
  <c r="EA265" i="19"/>
  <c r="EB265" i="19"/>
  <c r="EC265" i="19"/>
  <c r="ED265" i="19"/>
  <c r="EE265" i="19"/>
  <c r="EF265" i="19"/>
  <c r="EG265" i="19"/>
  <c r="EH265" i="19"/>
  <c r="EI265" i="19"/>
  <c r="EJ265" i="19"/>
  <c r="EK265" i="19"/>
  <c r="EL265" i="19"/>
  <c r="EM265" i="19"/>
  <c r="EN265" i="19"/>
  <c r="EO265" i="19"/>
  <c r="EP265" i="19"/>
  <c r="EQ265" i="19"/>
  <c r="ER265" i="19"/>
  <c r="ES265" i="19"/>
  <c r="ET265" i="19"/>
  <c r="EU265" i="19"/>
  <c r="EV265" i="19"/>
  <c r="EW265" i="19"/>
  <c r="EX265" i="19"/>
  <c r="EY265" i="19"/>
  <c r="EZ265" i="19"/>
  <c r="FA265" i="19"/>
  <c r="FB265" i="19"/>
  <c r="FC265" i="19"/>
  <c r="FD265" i="19"/>
  <c r="FE265" i="19"/>
  <c r="FF265" i="19"/>
  <c r="FG265" i="19"/>
  <c r="FH265" i="19"/>
  <c r="FI265" i="19"/>
  <c r="FJ265" i="19"/>
  <c r="FK265" i="19"/>
  <c r="FL265" i="19"/>
  <c r="FM265" i="19"/>
  <c r="FN265" i="19"/>
  <c r="FO265" i="19"/>
  <c r="FP265" i="19"/>
  <c r="FQ265" i="19"/>
  <c r="FR265" i="19"/>
  <c r="FS265" i="19"/>
  <c r="FT265" i="19"/>
  <c r="FU265" i="19"/>
  <c r="FV265" i="19"/>
  <c r="FW265" i="19"/>
  <c r="FX265" i="19"/>
  <c r="FY265" i="19"/>
  <c r="FZ265" i="19"/>
  <c r="GA265" i="19"/>
  <c r="GB265" i="19"/>
  <c r="GC265" i="19"/>
  <c r="GD265" i="19"/>
  <c r="GE265" i="19"/>
  <c r="GF265" i="19"/>
  <c r="GG265" i="19"/>
  <c r="GH265" i="19"/>
  <c r="GI265" i="19"/>
  <c r="GJ265" i="19"/>
  <c r="GK265" i="19"/>
  <c r="GL265" i="19"/>
  <c r="GM265" i="19"/>
  <c r="GN265" i="19"/>
  <c r="GO265" i="19"/>
  <c r="GP265" i="19"/>
  <c r="GQ265" i="19"/>
  <c r="GR265" i="19"/>
  <c r="GS265" i="19"/>
  <c r="GT265" i="19"/>
  <c r="GU265" i="19"/>
  <c r="GV265" i="19"/>
  <c r="GW265" i="19"/>
  <c r="GX265" i="19"/>
  <c r="GY265" i="19"/>
  <c r="GZ265" i="19"/>
  <c r="HA265" i="19"/>
  <c r="HB265" i="19"/>
  <c r="HC265" i="19"/>
  <c r="HD265" i="19"/>
  <c r="HE265" i="19"/>
  <c r="HF265" i="19"/>
  <c r="HG265" i="19"/>
  <c r="HH265" i="19"/>
  <c r="HI265" i="19"/>
  <c r="HJ265" i="19"/>
  <c r="HK265" i="19"/>
  <c r="HL265" i="19"/>
  <c r="HM265" i="19"/>
  <c r="HN265" i="19"/>
  <c r="HO265" i="19"/>
  <c r="HP265" i="19"/>
  <c r="HQ265" i="19"/>
  <c r="HR265" i="19"/>
  <c r="HS265" i="19"/>
  <c r="HT265" i="19"/>
  <c r="HU265" i="19"/>
  <c r="HV265" i="19"/>
  <c r="HW265" i="19"/>
  <c r="HX265" i="19"/>
  <c r="HY265" i="19"/>
  <c r="HZ265" i="19"/>
  <c r="IA265" i="19"/>
  <c r="IB265" i="19"/>
  <c r="IC265" i="19"/>
  <c r="ID265" i="19"/>
  <c r="IE265" i="19"/>
  <c r="IF265" i="19"/>
  <c r="IG265" i="19"/>
  <c r="IH265" i="19"/>
  <c r="II265" i="19"/>
  <c r="IJ265" i="19"/>
  <c r="IK265" i="19"/>
  <c r="IL265" i="19"/>
  <c r="IM265" i="19"/>
  <c r="IN265" i="19"/>
  <c r="IO265" i="19"/>
  <c r="IP265" i="19"/>
  <c r="IQ265" i="19"/>
  <c r="IR265" i="19"/>
  <c r="IS265" i="19"/>
  <c r="IT265" i="19"/>
  <c r="IU265" i="19"/>
  <c r="IV265" i="19"/>
  <c r="F266" i="19"/>
  <c r="G266" i="19"/>
  <c r="H266" i="19"/>
  <c r="I266" i="19"/>
  <c r="J266" i="19"/>
  <c r="K266" i="19"/>
  <c r="L266" i="19"/>
  <c r="M266" i="19"/>
  <c r="N266" i="19"/>
  <c r="O266" i="19"/>
  <c r="P266" i="19"/>
  <c r="Q266" i="19"/>
  <c r="R266" i="19"/>
  <c r="S266" i="19"/>
  <c r="T266" i="19"/>
  <c r="U266" i="19"/>
  <c r="V266" i="19"/>
  <c r="W266" i="19"/>
  <c r="X266" i="19"/>
  <c r="Y266" i="19"/>
  <c r="Z266" i="19"/>
  <c r="AA266" i="19"/>
  <c r="AB266" i="19"/>
  <c r="AC266" i="19"/>
  <c r="AD266" i="19"/>
  <c r="AE266" i="19"/>
  <c r="AF266" i="19"/>
  <c r="AG266" i="19"/>
  <c r="AH266" i="19"/>
  <c r="AI266" i="19"/>
  <c r="AJ266" i="19"/>
  <c r="AK266" i="19"/>
  <c r="AL266" i="19"/>
  <c r="AM266" i="19"/>
  <c r="AN266" i="19"/>
  <c r="AO266" i="19"/>
  <c r="AP266" i="19"/>
  <c r="AQ266" i="19"/>
  <c r="AR266" i="19"/>
  <c r="AS266" i="19"/>
  <c r="AT266" i="19"/>
  <c r="AU266" i="19"/>
  <c r="AV266" i="19"/>
  <c r="AW266" i="19"/>
  <c r="AX266" i="19"/>
  <c r="AY266" i="19"/>
  <c r="AZ266" i="19"/>
  <c r="BA266" i="19"/>
  <c r="BB266" i="19"/>
  <c r="BC266" i="19"/>
  <c r="BD266" i="19"/>
  <c r="BE266" i="19"/>
  <c r="BF266" i="19"/>
  <c r="BG266" i="19"/>
  <c r="BH266" i="19"/>
  <c r="BI266" i="19"/>
  <c r="BJ266" i="19"/>
  <c r="BK266" i="19"/>
  <c r="BL266" i="19"/>
  <c r="BM266" i="19"/>
  <c r="BN266" i="19"/>
  <c r="BO266" i="19"/>
  <c r="BP266" i="19"/>
  <c r="BQ266" i="19"/>
  <c r="BR266" i="19"/>
  <c r="BS266" i="19"/>
  <c r="BT266" i="19"/>
  <c r="BU266" i="19"/>
  <c r="BV266" i="19"/>
  <c r="BW266" i="19"/>
  <c r="BX266" i="19"/>
  <c r="BY266" i="19"/>
  <c r="BZ266" i="19"/>
  <c r="CA266" i="19"/>
  <c r="CB266" i="19"/>
  <c r="CC266" i="19"/>
  <c r="CD266" i="19"/>
  <c r="CE266" i="19"/>
  <c r="CF266" i="19"/>
  <c r="CG266" i="19"/>
  <c r="CH266" i="19"/>
  <c r="CI266" i="19"/>
  <c r="CJ266" i="19"/>
  <c r="CK266" i="19"/>
  <c r="CL266" i="19"/>
  <c r="CM266" i="19"/>
  <c r="CN266" i="19"/>
  <c r="CO266" i="19"/>
  <c r="CP266" i="19"/>
  <c r="CQ266" i="19"/>
  <c r="CR266" i="19"/>
  <c r="CS266" i="19"/>
  <c r="CT266" i="19"/>
  <c r="CU266" i="19"/>
  <c r="CV266" i="19"/>
  <c r="CW266" i="19"/>
  <c r="CX266" i="19"/>
  <c r="CY266" i="19"/>
  <c r="CZ266" i="19"/>
  <c r="DA266" i="19"/>
  <c r="DB266" i="19"/>
  <c r="DC266" i="19"/>
  <c r="DD266" i="19"/>
  <c r="DE266" i="19"/>
  <c r="DF266" i="19"/>
  <c r="DG266" i="19"/>
  <c r="DH266" i="19"/>
  <c r="DI266" i="19"/>
  <c r="DJ266" i="19"/>
  <c r="DK266" i="19"/>
  <c r="DL266" i="19"/>
  <c r="DM266" i="19"/>
  <c r="DN266" i="19"/>
  <c r="DO266" i="19"/>
  <c r="DP266" i="19"/>
  <c r="DQ266" i="19"/>
  <c r="DR266" i="19"/>
  <c r="DS266" i="19"/>
  <c r="DT266" i="19"/>
  <c r="DU266" i="19"/>
  <c r="DV266" i="19"/>
  <c r="DW266" i="19"/>
  <c r="DX266" i="19"/>
  <c r="DY266" i="19"/>
  <c r="DZ266" i="19"/>
  <c r="EA266" i="19"/>
  <c r="EB266" i="19"/>
  <c r="EC266" i="19"/>
  <c r="ED266" i="19"/>
  <c r="EE266" i="19"/>
  <c r="EF266" i="19"/>
  <c r="EG266" i="19"/>
  <c r="EH266" i="19"/>
  <c r="EI266" i="19"/>
  <c r="EJ266" i="19"/>
  <c r="EK266" i="19"/>
  <c r="EL266" i="19"/>
  <c r="EM266" i="19"/>
  <c r="EN266" i="19"/>
  <c r="EO266" i="19"/>
  <c r="EP266" i="19"/>
  <c r="EQ266" i="19"/>
  <c r="ER266" i="19"/>
  <c r="ES266" i="19"/>
  <c r="ET266" i="19"/>
  <c r="EU266" i="19"/>
  <c r="EV266" i="19"/>
  <c r="EW266" i="19"/>
  <c r="EX266" i="19"/>
  <c r="EY266" i="19"/>
  <c r="EZ266" i="19"/>
  <c r="FA266" i="19"/>
  <c r="FB266" i="19"/>
  <c r="FC266" i="19"/>
  <c r="FD266" i="19"/>
  <c r="FE266" i="19"/>
  <c r="FF266" i="19"/>
  <c r="FG266" i="19"/>
  <c r="FH266" i="19"/>
  <c r="FI266" i="19"/>
  <c r="FJ266" i="19"/>
  <c r="FK266" i="19"/>
  <c r="FL266" i="19"/>
  <c r="FM266" i="19"/>
  <c r="FN266" i="19"/>
  <c r="FO266" i="19"/>
  <c r="FP266" i="19"/>
  <c r="FQ266" i="19"/>
  <c r="FR266" i="19"/>
  <c r="FS266" i="19"/>
  <c r="FT266" i="19"/>
  <c r="FU266" i="19"/>
  <c r="FV266" i="19"/>
  <c r="FW266" i="19"/>
  <c r="FX266" i="19"/>
  <c r="FY266" i="19"/>
  <c r="FZ266" i="19"/>
  <c r="GA266" i="19"/>
  <c r="GB266" i="19"/>
  <c r="GC266" i="19"/>
  <c r="GD266" i="19"/>
  <c r="GE266" i="19"/>
  <c r="GF266" i="19"/>
  <c r="GG266" i="19"/>
  <c r="GH266" i="19"/>
  <c r="GI266" i="19"/>
  <c r="GJ266" i="19"/>
  <c r="GK266" i="19"/>
  <c r="GL266" i="19"/>
  <c r="GM266" i="19"/>
  <c r="GN266" i="19"/>
  <c r="GO266" i="19"/>
  <c r="GP266" i="19"/>
  <c r="GQ266" i="19"/>
  <c r="GR266" i="19"/>
  <c r="GS266" i="19"/>
  <c r="GT266" i="19"/>
  <c r="GU266" i="19"/>
  <c r="GV266" i="19"/>
  <c r="GW266" i="19"/>
  <c r="GX266" i="19"/>
  <c r="GY266" i="19"/>
  <c r="GZ266" i="19"/>
  <c r="HA266" i="19"/>
  <c r="HB266" i="19"/>
  <c r="HC266" i="19"/>
  <c r="HD266" i="19"/>
  <c r="HE266" i="19"/>
  <c r="HF266" i="19"/>
  <c r="HG266" i="19"/>
  <c r="HH266" i="19"/>
  <c r="HI266" i="19"/>
  <c r="HJ266" i="19"/>
  <c r="HK266" i="19"/>
  <c r="HL266" i="19"/>
  <c r="HM266" i="19"/>
  <c r="HN266" i="19"/>
  <c r="HO266" i="19"/>
  <c r="HP266" i="19"/>
  <c r="HQ266" i="19"/>
  <c r="HR266" i="19"/>
  <c r="HS266" i="19"/>
  <c r="HT266" i="19"/>
  <c r="HU266" i="19"/>
  <c r="HV266" i="19"/>
  <c r="HW266" i="19"/>
  <c r="HX266" i="19"/>
  <c r="HY266" i="19"/>
  <c r="HZ266" i="19"/>
  <c r="IA266" i="19"/>
  <c r="IB266" i="19"/>
  <c r="IC266" i="19"/>
  <c r="ID266" i="19"/>
  <c r="IE266" i="19"/>
  <c r="IF266" i="19"/>
  <c r="IG266" i="19"/>
  <c r="IH266" i="19"/>
  <c r="II266" i="19"/>
  <c r="IJ266" i="19"/>
  <c r="IK266" i="19"/>
  <c r="IL266" i="19"/>
  <c r="IM266" i="19"/>
  <c r="IN266" i="19"/>
  <c r="IO266" i="19"/>
  <c r="IP266" i="19"/>
  <c r="IQ266" i="19"/>
  <c r="IR266" i="19"/>
  <c r="IS266" i="19"/>
  <c r="IT266" i="19"/>
  <c r="IU266" i="19"/>
  <c r="IV266" i="19"/>
  <c r="F267" i="19"/>
  <c r="G267" i="19"/>
  <c r="H267" i="19"/>
  <c r="I267" i="19"/>
  <c r="J267" i="19"/>
  <c r="K267" i="19"/>
  <c r="L267" i="19"/>
  <c r="M267" i="19"/>
  <c r="N267" i="19"/>
  <c r="O267" i="19"/>
  <c r="P267" i="19"/>
  <c r="Q267" i="19"/>
  <c r="R267" i="19"/>
  <c r="S267" i="19"/>
  <c r="T267" i="19"/>
  <c r="U267" i="19"/>
  <c r="V267" i="19"/>
  <c r="W267" i="19"/>
  <c r="X267" i="19"/>
  <c r="Y267" i="19"/>
  <c r="Z267" i="19"/>
  <c r="AA267" i="19"/>
  <c r="AB267" i="19"/>
  <c r="AC267" i="19"/>
  <c r="AD267" i="19"/>
  <c r="AE267" i="19"/>
  <c r="AF267" i="19"/>
  <c r="AG267" i="19"/>
  <c r="AH267" i="19"/>
  <c r="AI267" i="19"/>
  <c r="AJ267" i="19"/>
  <c r="AK267" i="19"/>
  <c r="AL267" i="19"/>
  <c r="AM267" i="19"/>
  <c r="AN267" i="19"/>
  <c r="AO267" i="19"/>
  <c r="AP267" i="19"/>
  <c r="AQ267" i="19"/>
  <c r="AR267" i="19"/>
  <c r="AS267" i="19"/>
  <c r="AT267" i="19"/>
  <c r="AU267" i="19"/>
  <c r="AV267" i="19"/>
  <c r="AW267" i="19"/>
  <c r="AX267" i="19"/>
  <c r="AY267" i="19"/>
  <c r="AZ267" i="19"/>
  <c r="BA267" i="19"/>
  <c r="BB267" i="19"/>
  <c r="BC267" i="19"/>
  <c r="BD267" i="19"/>
  <c r="BE267" i="19"/>
  <c r="BF267" i="19"/>
  <c r="BG267" i="19"/>
  <c r="BH267" i="19"/>
  <c r="BI267" i="19"/>
  <c r="BJ267" i="19"/>
  <c r="BK267" i="19"/>
  <c r="BL267" i="19"/>
  <c r="BM267" i="19"/>
  <c r="BN267" i="19"/>
  <c r="BO267" i="19"/>
  <c r="BP267" i="19"/>
  <c r="BQ267" i="19"/>
  <c r="BR267" i="19"/>
  <c r="BS267" i="19"/>
  <c r="BT267" i="19"/>
  <c r="BU267" i="19"/>
  <c r="BV267" i="19"/>
  <c r="BW267" i="19"/>
  <c r="BX267" i="19"/>
  <c r="BY267" i="19"/>
  <c r="BZ267" i="19"/>
  <c r="CA267" i="19"/>
  <c r="CB267" i="19"/>
  <c r="CC267" i="19"/>
  <c r="CD267" i="19"/>
  <c r="CE267" i="19"/>
  <c r="CF267" i="19"/>
  <c r="CG267" i="19"/>
  <c r="CH267" i="19"/>
  <c r="CI267" i="19"/>
  <c r="CJ267" i="19"/>
  <c r="CK267" i="19"/>
  <c r="CL267" i="19"/>
  <c r="CM267" i="19"/>
  <c r="CN267" i="19"/>
  <c r="CO267" i="19"/>
  <c r="CP267" i="19"/>
  <c r="CQ267" i="19"/>
  <c r="CR267" i="19"/>
  <c r="CS267" i="19"/>
  <c r="CT267" i="19"/>
  <c r="CU267" i="19"/>
  <c r="CV267" i="19"/>
  <c r="CW267" i="19"/>
  <c r="CX267" i="19"/>
  <c r="CY267" i="19"/>
  <c r="CZ267" i="19"/>
  <c r="DA267" i="19"/>
  <c r="DB267" i="19"/>
  <c r="DC267" i="19"/>
  <c r="DD267" i="19"/>
  <c r="DE267" i="19"/>
  <c r="DF267" i="19"/>
  <c r="DG267" i="19"/>
  <c r="DH267" i="19"/>
  <c r="DI267" i="19"/>
  <c r="DJ267" i="19"/>
  <c r="DK267" i="19"/>
  <c r="DL267" i="19"/>
  <c r="DM267" i="19"/>
  <c r="DN267" i="19"/>
  <c r="DO267" i="19"/>
  <c r="DP267" i="19"/>
  <c r="DQ267" i="19"/>
  <c r="DR267" i="19"/>
  <c r="DS267" i="19"/>
  <c r="DT267" i="19"/>
  <c r="DU267" i="19"/>
  <c r="DV267" i="19"/>
  <c r="DW267" i="19"/>
  <c r="DX267" i="19"/>
  <c r="DY267" i="19"/>
  <c r="DZ267" i="19"/>
  <c r="EA267" i="19"/>
  <c r="EB267" i="19"/>
  <c r="EC267" i="19"/>
  <c r="ED267" i="19"/>
  <c r="EE267" i="19"/>
  <c r="EF267" i="19"/>
  <c r="EG267" i="19"/>
  <c r="EH267" i="19"/>
  <c r="EI267" i="19"/>
  <c r="EJ267" i="19"/>
  <c r="EK267" i="19"/>
  <c r="EL267" i="19"/>
  <c r="EM267" i="19"/>
  <c r="EN267" i="19"/>
  <c r="EO267" i="19"/>
  <c r="EP267" i="19"/>
  <c r="EQ267" i="19"/>
  <c r="ER267" i="19"/>
  <c r="ES267" i="19"/>
  <c r="ET267" i="19"/>
  <c r="EU267" i="19"/>
  <c r="EV267" i="19"/>
  <c r="EW267" i="19"/>
  <c r="EX267" i="19"/>
  <c r="EY267" i="19"/>
  <c r="EZ267" i="19"/>
  <c r="FA267" i="19"/>
  <c r="FB267" i="19"/>
  <c r="FC267" i="19"/>
  <c r="FD267" i="19"/>
  <c r="FE267" i="19"/>
  <c r="FF267" i="19"/>
  <c r="FG267" i="19"/>
  <c r="FH267" i="19"/>
  <c r="FI267" i="19"/>
  <c r="FJ267" i="19"/>
  <c r="FK267" i="19"/>
  <c r="FL267" i="19"/>
  <c r="FM267" i="19"/>
  <c r="FN267" i="19"/>
  <c r="FO267" i="19"/>
  <c r="FP267" i="19"/>
  <c r="FQ267" i="19"/>
  <c r="FR267" i="19"/>
  <c r="FS267" i="19"/>
  <c r="FT267" i="19"/>
  <c r="FU267" i="19"/>
  <c r="FV267" i="19"/>
  <c r="FW267" i="19"/>
  <c r="FX267" i="19"/>
  <c r="FY267" i="19"/>
  <c r="FZ267" i="19"/>
  <c r="GA267" i="19"/>
  <c r="GB267" i="19"/>
  <c r="GC267" i="19"/>
  <c r="GD267" i="19"/>
  <c r="GE267" i="19"/>
  <c r="GF267" i="19"/>
  <c r="GG267" i="19"/>
  <c r="GH267" i="19"/>
  <c r="GI267" i="19"/>
  <c r="GJ267" i="19"/>
  <c r="GK267" i="19"/>
  <c r="GL267" i="19"/>
  <c r="GM267" i="19"/>
  <c r="GN267" i="19"/>
  <c r="GO267" i="19"/>
  <c r="GP267" i="19"/>
  <c r="GQ267" i="19"/>
  <c r="GR267" i="19"/>
  <c r="GS267" i="19"/>
  <c r="GT267" i="19"/>
  <c r="GU267" i="19"/>
  <c r="GV267" i="19"/>
  <c r="GW267" i="19"/>
  <c r="GX267" i="19"/>
  <c r="GY267" i="19"/>
  <c r="GZ267" i="19"/>
  <c r="HA267" i="19"/>
  <c r="HB267" i="19"/>
  <c r="HC267" i="19"/>
  <c r="HD267" i="19"/>
  <c r="HE267" i="19"/>
  <c r="HF267" i="19"/>
  <c r="HG267" i="19"/>
  <c r="HH267" i="19"/>
  <c r="HI267" i="19"/>
  <c r="HJ267" i="19"/>
  <c r="HK267" i="19"/>
  <c r="HL267" i="19"/>
  <c r="HM267" i="19"/>
  <c r="HN267" i="19"/>
  <c r="HO267" i="19"/>
  <c r="HP267" i="19"/>
  <c r="HQ267" i="19"/>
  <c r="HR267" i="19"/>
  <c r="HS267" i="19"/>
  <c r="HT267" i="19"/>
  <c r="HU267" i="19"/>
  <c r="HV267" i="19"/>
  <c r="HW267" i="19"/>
  <c r="HX267" i="19"/>
  <c r="HY267" i="19"/>
  <c r="HZ267" i="19"/>
  <c r="IA267" i="19"/>
  <c r="IB267" i="19"/>
  <c r="IC267" i="19"/>
  <c r="ID267" i="19"/>
  <c r="IE267" i="19"/>
  <c r="IF267" i="19"/>
  <c r="IG267" i="19"/>
  <c r="IH267" i="19"/>
  <c r="II267" i="19"/>
  <c r="IJ267" i="19"/>
  <c r="IK267" i="19"/>
  <c r="IL267" i="19"/>
  <c r="IM267" i="19"/>
  <c r="IN267" i="19"/>
  <c r="IO267" i="19"/>
  <c r="IP267" i="19"/>
  <c r="IQ267" i="19"/>
  <c r="IR267" i="19"/>
  <c r="IS267" i="19"/>
  <c r="IT267" i="19"/>
  <c r="IU267" i="19"/>
  <c r="IV267" i="19"/>
  <c r="F268" i="19"/>
  <c r="G268" i="19"/>
  <c r="H268" i="19"/>
  <c r="I268" i="19"/>
  <c r="J268" i="19"/>
  <c r="K268" i="19"/>
  <c r="L268" i="19"/>
  <c r="M268" i="19"/>
  <c r="N268" i="19"/>
  <c r="O268" i="19"/>
  <c r="P268" i="19"/>
  <c r="Q268" i="19"/>
  <c r="R268" i="19"/>
  <c r="S268" i="19"/>
  <c r="T268" i="19"/>
  <c r="U268" i="19"/>
  <c r="V268" i="19"/>
  <c r="W268" i="19"/>
  <c r="X268" i="19"/>
  <c r="Y268" i="19"/>
  <c r="Z268" i="19"/>
  <c r="AA268" i="19"/>
  <c r="AB268" i="19"/>
  <c r="AC268" i="19"/>
  <c r="AD268" i="19"/>
  <c r="AE268" i="19"/>
  <c r="AF268" i="19"/>
  <c r="AG268" i="19"/>
  <c r="AH268" i="19"/>
  <c r="AI268" i="19"/>
  <c r="AJ268" i="19"/>
  <c r="AK268" i="19"/>
  <c r="AL268" i="19"/>
  <c r="AM268" i="19"/>
  <c r="AN268" i="19"/>
  <c r="AO268" i="19"/>
  <c r="AP268" i="19"/>
  <c r="AQ268" i="19"/>
  <c r="AR268" i="19"/>
  <c r="AS268" i="19"/>
  <c r="AT268" i="19"/>
  <c r="AU268" i="19"/>
  <c r="AV268" i="19"/>
  <c r="AW268" i="19"/>
  <c r="AX268" i="19"/>
  <c r="AY268" i="19"/>
  <c r="AZ268" i="19"/>
  <c r="BA268" i="19"/>
  <c r="BB268" i="19"/>
  <c r="BC268" i="19"/>
  <c r="BD268" i="19"/>
  <c r="BE268" i="19"/>
  <c r="BF268" i="19"/>
  <c r="BG268" i="19"/>
  <c r="BH268" i="19"/>
  <c r="BI268" i="19"/>
  <c r="BJ268" i="19"/>
  <c r="BK268" i="19"/>
  <c r="BL268" i="19"/>
  <c r="BM268" i="19"/>
  <c r="BN268" i="19"/>
  <c r="BO268" i="19"/>
  <c r="BP268" i="19"/>
  <c r="BQ268" i="19"/>
  <c r="BR268" i="19"/>
  <c r="BS268" i="19"/>
  <c r="BT268" i="19"/>
  <c r="BU268" i="19"/>
  <c r="BV268" i="19"/>
  <c r="BW268" i="19"/>
  <c r="BX268" i="19"/>
  <c r="BY268" i="19"/>
  <c r="BZ268" i="19"/>
  <c r="CA268" i="19"/>
  <c r="CB268" i="19"/>
  <c r="CC268" i="19"/>
  <c r="CD268" i="19"/>
  <c r="CE268" i="19"/>
  <c r="CF268" i="19"/>
  <c r="CG268" i="19"/>
  <c r="CH268" i="19"/>
  <c r="CI268" i="19"/>
  <c r="CJ268" i="19"/>
  <c r="CK268" i="19"/>
  <c r="CL268" i="19"/>
  <c r="CM268" i="19"/>
  <c r="CN268" i="19"/>
  <c r="CO268" i="19"/>
  <c r="CP268" i="19"/>
  <c r="CQ268" i="19"/>
  <c r="CR268" i="19"/>
  <c r="CS268" i="19"/>
  <c r="CT268" i="19"/>
  <c r="CU268" i="19"/>
  <c r="CV268" i="19"/>
  <c r="CW268" i="19"/>
  <c r="CX268" i="19"/>
  <c r="CY268" i="19"/>
  <c r="CZ268" i="19"/>
  <c r="DA268" i="19"/>
  <c r="DB268" i="19"/>
  <c r="DC268" i="19"/>
  <c r="DD268" i="19"/>
  <c r="DE268" i="19"/>
  <c r="DF268" i="19"/>
  <c r="DG268" i="19"/>
  <c r="DH268" i="19"/>
  <c r="DI268" i="19"/>
  <c r="DJ268" i="19"/>
  <c r="DK268" i="19"/>
  <c r="DL268" i="19"/>
  <c r="DM268" i="19"/>
  <c r="DN268" i="19"/>
  <c r="DO268" i="19"/>
  <c r="DP268" i="19"/>
  <c r="DQ268" i="19"/>
  <c r="DR268" i="19"/>
  <c r="DS268" i="19"/>
  <c r="DT268" i="19"/>
  <c r="DU268" i="19"/>
  <c r="DV268" i="19"/>
  <c r="DW268" i="19"/>
  <c r="DX268" i="19"/>
  <c r="DY268" i="19"/>
  <c r="DZ268" i="19"/>
  <c r="EA268" i="19"/>
  <c r="EB268" i="19"/>
  <c r="EC268" i="19"/>
  <c r="ED268" i="19"/>
  <c r="EE268" i="19"/>
  <c r="EF268" i="19"/>
  <c r="EG268" i="19"/>
  <c r="EH268" i="19"/>
  <c r="EI268" i="19"/>
  <c r="EJ268" i="19"/>
  <c r="EK268" i="19"/>
  <c r="EL268" i="19"/>
  <c r="EM268" i="19"/>
  <c r="EN268" i="19"/>
  <c r="EO268" i="19"/>
  <c r="EP268" i="19"/>
  <c r="EQ268" i="19"/>
  <c r="ER268" i="19"/>
  <c r="ES268" i="19"/>
  <c r="ET268" i="19"/>
  <c r="EU268" i="19"/>
  <c r="EV268" i="19"/>
  <c r="EW268" i="19"/>
  <c r="EX268" i="19"/>
  <c r="EY268" i="19"/>
  <c r="EZ268" i="19"/>
  <c r="FA268" i="19"/>
  <c r="FB268" i="19"/>
  <c r="FC268" i="19"/>
  <c r="FD268" i="19"/>
  <c r="FE268" i="19"/>
  <c r="FF268" i="19"/>
  <c r="FG268" i="19"/>
  <c r="FH268" i="19"/>
  <c r="FI268" i="19"/>
  <c r="FJ268" i="19"/>
  <c r="FK268" i="19"/>
  <c r="FL268" i="19"/>
  <c r="FM268" i="19"/>
  <c r="FN268" i="19"/>
  <c r="FO268" i="19"/>
  <c r="FP268" i="19"/>
  <c r="FQ268" i="19"/>
  <c r="FR268" i="19"/>
  <c r="FS268" i="19"/>
  <c r="FT268" i="19"/>
  <c r="FU268" i="19"/>
  <c r="FV268" i="19"/>
  <c r="FW268" i="19"/>
  <c r="FX268" i="19"/>
  <c r="FY268" i="19"/>
  <c r="FZ268" i="19"/>
  <c r="GA268" i="19"/>
  <c r="GB268" i="19"/>
  <c r="GC268" i="19"/>
  <c r="GD268" i="19"/>
  <c r="GE268" i="19"/>
  <c r="GF268" i="19"/>
  <c r="GG268" i="19"/>
  <c r="GH268" i="19"/>
  <c r="GI268" i="19"/>
  <c r="GJ268" i="19"/>
  <c r="GK268" i="19"/>
  <c r="GL268" i="19"/>
  <c r="GM268" i="19"/>
  <c r="GN268" i="19"/>
  <c r="GO268" i="19"/>
  <c r="GP268" i="19"/>
  <c r="GQ268" i="19"/>
  <c r="GR268" i="19"/>
  <c r="GS268" i="19"/>
  <c r="GT268" i="19"/>
  <c r="GU268" i="19"/>
  <c r="GV268" i="19"/>
  <c r="GW268" i="19"/>
  <c r="GX268" i="19"/>
  <c r="GY268" i="19"/>
  <c r="GZ268" i="19"/>
  <c r="HA268" i="19"/>
  <c r="HB268" i="19"/>
  <c r="HC268" i="19"/>
  <c r="HD268" i="19"/>
  <c r="HE268" i="19"/>
  <c r="HF268" i="19"/>
  <c r="HG268" i="19"/>
  <c r="HH268" i="19"/>
  <c r="HI268" i="19"/>
  <c r="HJ268" i="19"/>
  <c r="HK268" i="19"/>
  <c r="HL268" i="19"/>
  <c r="HM268" i="19"/>
  <c r="HN268" i="19"/>
  <c r="HO268" i="19"/>
  <c r="HP268" i="19"/>
  <c r="HQ268" i="19"/>
  <c r="HR268" i="19"/>
  <c r="HS268" i="19"/>
  <c r="HT268" i="19"/>
  <c r="HU268" i="19"/>
  <c r="HV268" i="19"/>
  <c r="HW268" i="19"/>
  <c r="HX268" i="19"/>
  <c r="HY268" i="19"/>
  <c r="HZ268" i="19"/>
  <c r="IA268" i="19"/>
  <c r="IB268" i="19"/>
  <c r="IC268" i="19"/>
  <c r="ID268" i="19"/>
  <c r="IE268" i="19"/>
  <c r="IF268" i="19"/>
  <c r="IG268" i="19"/>
  <c r="IH268" i="19"/>
  <c r="II268" i="19"/>
  <c r="IJ268" i="19"/>
  <c r="IK268" i="19"/>
  <c r="IL268" i="19"/>
  <c r="IM268" i="19"/>
  <c r="IN268" i="19"/>
  <c r="IO268" i="19"/>
  <c r="IP268" i="19"/>
  <c r="IQ268" i="19"/>
  <c r="IR268" i="19"/>
  <c r="IS268" i="19"/>
  <c r="IT268" i="19"/>
  <c r="IU268" i="19"/>
  <c r="IV268" i="19"/>
  <c r="F269" i="19"/>
  <c r="G269" i="19"/>
  <c r="H269" i="19"/>
  <c r="I269" i="19"/>
  <c r="J269" i="19"/>
  <c r="K269" i="19"/>
  <c r="L269" i="19"/>
  <c r="M269" i="19"/>
  <c r="N269" i="19"/>
  <c r="O269" i="19"/>
  <c r="P269" i="19"/>
  <c r="Q269" i="19"/>
  <c r="R269" i="19"/>
  <c r="S269" i="19"/>
  <c r="T269" i="19"/>
  <c r="U269" i="19"/>
  <c r="V269" i="19"/>
  <c r="W269" i="19"/>
  <c r="X269" i="19"/>
  <c r="Y269" i="19"/>
  <c r="Z269" i="19"/>
  <c r="AA269" i="19"/>
  <c r="AB269" i="19"/>
  <c r="AC269" i="19"/>
  <c r="AD269" i="19"/>
  <c r="AE269" i="19"/>
  <c r="AF269" i="19"/>
  <c r="AG269" i="19"/>
  <c r="AH269" i="19"/>
  <c r="AI269" i="19"/>
  <c r="AJ269" i="19"/>
  <c r="AK269" i="19"/>
  <c r="AL269" i="19"/>
  <c r="AM269" i="19"/>
  <c r="AN269" i="19"/>
  <c r="AO269" i="19"/>
  <c r="AP269" i="19"/>
  <c r="AQ269" i="19"/>
  <c r="AR269" i="19"/>
  <c r="AS269" i="19"/>
  <c r="AT269" i="19"/>
  <c r="AU269" i="19"/>
  <c r="AV269" i="19"/>
  <c r="AW269" i="19"/>
  <c r="AX269" i="19"/>
  <c r="AY269" i="19"/>
  <c r="AZ269" i="19"/>
  <c r="BA269" i="19"/>
  <c r="BB269" i="19"/>
  <c r="BC269" i="19"/>
  <c r="BD269" i="19"/>
  <c r="BE269" i="19"/>
  <c r="BF269" i="19"/>
  <c r="BG269" i="19"/>
  <c r="BH269" i="19"/>
  <c r="BI269" i="19"/>
  <c r="BJ269" i="19"/>
  <c r="BK269" i="19"/>
  <c r="BL269" i="19"/>
  <c r="BM269" i="19"/>
  <c r="BN269" i="19"/>
  <c r="BO269" i="19"/>
  <c r="BP269" i="19"/>
  <c r="BQ269" i="19"/>
  <c r="BR269" i="19"/>
  <c r="BS269" i="19"/>
  <c r="BT269" i="19"/>
  <c r="BU269" i="19"/>
  <c r="BV269" i="19"/>
  <c r="BW269" i="19"/>
  <c r="BX269" i="19"/>
  <c r="BY269" i="19"/>
  <c r="BZ269" i="19"/>
  <c r="CA269" i="19"/>
  <c r="CB269" i="19"/>
  <c r="CC269" i="19"/>
  <c r="CD269" i="19"/>
  <c r="CE269" i="19"/>
  <c r="CF269" i="19"/>
  <c r="CG269" i="19"/>
  <c r="CH269" i="19"/>
  <c r="CI269" i="19"/>
  <c r="CJ269" i="19"/>
  <c r="CK269" i="19"/>
  <c r="CL269" i="19"/>
  <c r="CM269" i="19"/>
  <c r="CN269" i="19"/>
  <c r="CO269" i="19"/>
  <c r="CP269" i="19"/>
  <c r="CQ269" i="19"/>
  <c r="CR269" i="19"/>
  <c r="CS269" i="19"/>
  <c r="CT269" i="19"/>
  <c r="CU269" i="19"/>
  <c r="CV269" i="19"/>
  <c r="CW269" i="19"/>
  <c r="CX269" i="19"/>
  <c r="CY269" i="19"/>
  <c r="CZ269" i="19"/>
  <c r="DA269" i="19"/>
  <c r="DB269" i="19"/>
  <c r="DC269" i="19"/>
  <c r="DD269" i="19"/>
  <c r="DE269" i="19"/>
  <c r="DF269" i="19"/>
  <c r="DG269" i="19"/>
  <c r="DH269" i="19"/>
  <c r="DI269" i="19"/>
  <c r="DJ269" i="19"/>
  <c r="DK269" i="19"/>
  <c r="DL269" i="19"/>
  <c r="DM269" i="19"/>
  <c r="DN269" i="19"/>
  <c r="DO269" i="19"/>
  <c r="DP269" i="19"/>
  <c r="DQ269" i="19"/>
  <c r="DR269" i="19"/>
  <c r="DS269" i="19"/>
  <c r="DT269" i="19"/>
  <c r="DU269" i="19"/>
  <c r="DV269" i="19"/>
  <c r="DW269" i="19"/>
  <c r="DX269" i="19"/>
  <c r="DY269" i="19"/>
  <c r="DZ269" i="19"/>
  <c r="EA269" i="19"/>
  <c r="EB269" i="19"/>
  <c r="EC269" i="19"/>
  <c r="ED269" i="19"/>
  <c r="EE269" i="19"/>
  <c r="EF269" i="19"/>
  <c r="EG269" i="19"/>
  <c r="EH269" i="19"/>
  <c r="EI269" i="19"/>
  <c r="EJ269" i="19"/>
  <c r="EK269" i="19"/>
  <c r="EL269" i="19"/>
  <c r="EM269" i="19"/>
  <c r="EN269" i="19"/>
  <c r="EO269" i="19"/>
  <c r="EP269" i="19"/>
  <c r="EQ269" i="19"/>
  <c r="ER269" i="19"/>
  <c r="ES269" i="19"/>
  <c r="ET269" i="19"/>
  <c r="EU269" i="19"/>
  <c r="EV269" i="19"/>
  <c r="EW269" i="19"/>
  <c r="EX269" i="19"/>
  <c r="EY269" i="19"/>
  <c r="EZ269" i="19"/>
  <c r="FA269" i="19"/>
  <c r="FB269" i="19"/>
  <c r="FC269" i="19"/>
  <c r="FD269" i="19"/>
  <c r="FE269" i="19"/>
  <c r="FF269" i="19"/>
  <c r="FG269" i="19"/>
  <c r="FH269" i="19"/>
  <c r="FI269" i="19"/>
  <c r="FJ269" i="19"/>
  <c r="FK269" i="19"/>
  <c r="FL269" i="19"/>
  <c r="FM269" i="19"/>
  <c r="FN269" i="19"/>
  <c r="FO269" i="19"/>
  <c r="FP269" i="19"/>
  <c r="FQ269" i="19"/>
  <c r="FR269" i="19"/>
  <c r="FS269" i="19"/>
  <c r="FT269" i="19"/>
  <c r="FU269" i="19"/>
  <c r="FV269" i="19"/>
  <c r="FW269" i="19"/>
  <c r="FX269" i="19"/>
  <c r="FY269" i="19"/>
  <c r="FZ269" i="19"/>
  <c r="GA269" i="19"/>
  <c r="GB269" i="19"/>
  <c r="GC269" i="19"/>
  <c r="GD269" i="19"/>
  <c r="GE269" i="19"/>
  <c r="GF269" i="19"/>
  <c r="GG269" i="19"/>
  <c r="GH269" i="19"/>
  <c r="GI269" i="19"/>
  <c r="GJ269" i="19"/>
  <c r="GK269" i="19"/>
  <c r="GL269" i="19"/>
  <c r="GM269" i="19"/>
  <c r="GN269" i="19"/>
  <c r="GO269" i="19"/>
  <c r="GP269" i="19"/>
  <c r="GQ269" i="19"/>
  <c r="GR269" i="19"/>
  <c r="GS269" i="19"/>
  <c r="GT269" i="19"/>
  <c r="GU269" i="19"/>
  <c r="GV269" i="19"/>
  <c r="GW269" i="19"/>
  <c r="GX269" i="19"/>
  <c r="GY269" i="19"/>
  <c r="GZ269" i="19"/>
  <c r="HA269" i="19"/>
  <c r="HB269" i="19"/>
  <c r="HC269" i="19"/>
  <c r="HD269" i="19"/>
  <c r="HE269" i="19"/>
  <c r="HF269" i="19"/>
  <c r="HG269" i="19"/>
  <c r="HH269" i="19"/>
  <c r="HI269" i="19"/>
  <c r="HJ269" i="19"/>
  <c r="HK269" i="19"/>
  <c r="HL269" i="19"/>
  <c r="HM269" i="19"/>
  <c r="HN269" i="19"/>
  <c r="HO269" i="19"/>
  <c r="HP269" i="19"/>
  <c r="HQ269" i="19"/>
  <c r="HR269" i="19"/>
  <c r="HS269" i="19"/>
  <c r="HT269" i="19"/>
  <c r="HU269" i="19"/>
  <c r="HV269" i="19"/>
  <c r="HW269" i="19"/>
  <c r="HX269" i="19"/>
  <c r="HY269" i="19"/>
  <c r="HZ269" i="19"/>
  <c r="IA269" i="19"/>
  <c r="IB269" i="19"/>
  <c r="IC269" i="19"/>
  <c r="ID269" i="19"/>
  <c r="IE269" i="19"/>
  <c r="IF269" i="19"/>
  <c r="IG269" i="19"/>
  <c r="IH269" i="19"/>
  <c r="II269" i="19"/>
  <c r="IJ269" i="19"/>
  <c r="IK269" i="19"/>
  <c r="IL269" i="19"/>
  <c r="IM269" i="19"/>
  <c r="IN269" i="19"/>
  <c r="IO269" i="19"/>
  <c r="IP269" i="19"/>
  <c r="IQ269" i="19"/>
  <c r="IR269" i="19"/>
  <c r="IS269" i="19"/>
  <c r="IT269" i="19"/>
  <c r="IU269" i="19"/>
  <c r="IV269" i="19"/>
  <c r="F270" i="19"/>
  <c r="G270" i="19"/>
  <c r="H270" i="19"/>
  <c r="I270" i="19"/>
  <c r="J270" i="19"/>
  <c r="K270" i="19"/>
  <c r="L270" i="19"/>
  <c r="M270" i="19"/>
  <c r="N270" i="19"/>
  <c r="O270" i="19"/>
  <c r="P270" i="19"/>
  <c r="Q270" i="19"/>
  <c r="R270" i="19"/>
  <c r="S270" i="19"/>
  <c r="T270" i="19"/>
  <c r="U270" i="19"/>
  <c r="V270" i="19"/>
  <c r="W270" i="19"/>
  <c r="X270" i="19"/>
  <c r="Y270" i="19"/>
  <c r="Z270" i="19"/>
  <c r="AA270" i="19"/>
  <c r="AB270" i="19"/>
  <c r="AC270" i="19"/>
  <c r="AD270" i="19"/>
  <c r="AE270" i="19"/>
  <c r="AF270" i="19"/>
  <c r="AG270" i="19"/>
  <c r="AH270" i="19"/>
  <c r="AI270" i="19"/>
  <c r="AJ270" i="19"/>
  <c r="AK270" i="19"/>
  <c r="AL270" i="19"/>
  <c r="AM270" i="19"/>
  <c r="AN270" i="19"/>
  <c r="AO270" i="19"/>
  <c r="AP270" i="19"/>
  <c r="AQ270" i="19"/>
  <c r="AR270" i="19"/>
  <c r="AS270" i="19"/>
  <c r="AT270" i="19"/>
  <c r="AU270" i="19"/>
  <c r="AV270" i="19"/>
  <c r="AW270" i="19"/>
  <c r="AX270" i="19"/>
  <c r="AY270" i="19"/>
  <c r="AZ270" i="19"/>
  <c r="BA270" i="19"/>
  <c r="BB270" i="19"/>
  <c r="BC270" i="19"/>
  <c r="BD270" i="19"/>
  <c r="BE270" i="19"/>
  <c r="BF270" i="19"/>
  <c r="BG270" i="19"/>
  <c r="BH270" i="19"/>
  <c r="BI270" i="19"/>
  <c r="BJ270" i="19"/>
  <c r="BK270" i="19"/>
  <c r="BL270" i="19"/>
  <c r="BM270" i="19"/>
  <c r="BN270" i="19"/>
  <c r="BO270" i="19"/>
  <c r="BP270" i="19"/>
  <c r="BQ270" i="19"/>
  <c r="BR270" i="19"/>
  <c r="BS270" i="19"/>
  <c r="BT270" i="19"/>
  <c r="BU270" i="19"/>
  <c r="BV270" i="19"/>
  <c r="BW270" i="19"/>
  <c r="BX270" i="19"/>
  <c r="BY270" i="19"/>
  <c r="BZ270" i="19"/>
  <c r="CA270" i="19"/>
  <c r="CB270" i="19"/>
  <c r="CC270" i="19"/>
  <c r="CD270" i="19"/>
  <c r="CE270" i="19"/>
  <c r="CF270" i="19"/>
  <c r="CG270" i="19"/>
  <c r="CH270" i="19"/>
  <c r="CI270" i="19"/>
  <c r="CJ270" i="19"/>
  <c r="CK270" i="19"/>
  <c r="CL270" i="19"/>
  <c r="CM270" i="19"/>
  <c r="CN270" i="19"/>
  <c r="CO270" i="19"/>
  <c r="CP270" i="19"/>
  <c r="CQ270" i="19"/>
  <c r="CR270" i="19"/>
  <c r="CS270" i="19"/>
  <c r="CT270" i="19"/>
  <c r="CU270" i="19"/>
  <c r="CV270" i="19"/>
  <c r="CW270" i="19"/>
  <c r="CX270" i="19"/>
  <c r="CY270" i="19"/>
  <c r="CZ270" i="19"/>
  <c r="DA270" i="19"/>
  <c r="DB270" i="19"/>
  <c r="DC270" i="19"/>
  <c r="DD270" i="19"/>
  <c r="DE270" i="19"/>
  <c r="DF270" i="19"/>
  <c r="DG270" i="19"/>
  <c r="DH270" i="19"/>
  <c r="DI270" i="19"/>
  <c r="DJ270" i="19"/>
  <c r="DK270" i="19"/>
  <c r="DL270" i="19"/>
  <c r="DM270" i="19"/>
  <c r="DN270" i="19"/>
  <c r="DO270" i="19"/>
  <c r="DP270" i="19"/>
  <c r="DQ270" i="19"/>
  <c r="DR270" i="19"/>
  <c r="DS270" i="19"/>
  <c r="DT270" i="19"/>
  <c r="DU270" i="19"/>
  <c r="DV270" i="19"/>
  <c r="DW270" i="19"/>
  <c r="DX270" i="19"/>
  <c r="DY270" i="19"/>
  <c r="DZ270" i="19"/>
  <c r="EA270" i="19"/>
  <c r="EB270" i="19"/>
  <c r="EC270" i="19"/>
  <c r="ED270" i="19"/>
  <c r="EE270" i="19"/>
  <c r="EF270" i="19"/>
  <c r="EG270" i="19"/>
  <c r="EH270" i="19"/>
  <c r="EI270" i="19"/>
  <c r="EJ270" i="19"/>
  <c r="EK270" i="19"/>
  <c r="EL270" i="19"/>
  <c r="EM270" i="19"/>
  <c r="EN270" i="19"/>
  <c r="EO270" i="19"/>
  <c r="EP270" i="19"/>
  <c r="EQ270" i="19"/>
  <c r="ER270" i="19"/>
  <c r="ES270" i="19"/>
  <c r="ET270" i="19"/>
  <c r="EU270" i="19"/>
  <c r="EV270" i="19"/>
  <c r="EW270" i="19"/>
  <c r="EX270" i="19"/>
  <c r="EY270" i="19"/>
  <c r="EZ270" i="19"/>
  <c r="FA270" i="19"/>
  <c r="FB270" i="19"/>
  <c r="FC270" i="19"/>
  <c r="FD270" i="19"/>
  <c r="FE270" i="19"/>
  <c r="FF270" i="19"/>
  <c r="FG270" i="19"/>
  <c r="FH270" i="19"/>
  <c r="FI270" i="19"/>
  <c r="FJ270" i="19"/>
  <c r="FK270" i="19"/>
  <c r="FL270" i="19"/>
  <c r="FM270" i="19"/>
  <c r="FN270" i="19"/>
  <c r="FO270" i="19"/>
  <c r="FP270" i="19"/>
  <c r="FQ270" i="19"/>
  <c r="FR270" i="19"/>
  <c r="FS270" i="19"/>
  <c r="FT270" i="19"/>
  <c r="FU270" i="19"/>
  <c r="FV270" i="19"/>
  <c r="FW270" i="19"/>
  <c r="FX270" i="19"/>
  <c r="FY270" i="19"/>
  <c r="FZ270" i="19"/>
  <c r="GA270" i="19"/>
  <c r="GB270" i="19"/>
  <c r="GC270" i="19"/>
  <c r="GD270" i="19"/>
  <c r="GE270" i="19"/>
  <c r="GF270" i="19"/>
  <c r="GG270" i="19"/>
  <c r="GH270" i="19"/>
  <c r="GI270" i="19"/>
  <c r="GJ270" i="19"/>
  <c r="GK270" i="19"/>
  <c r="GL270" i="19"/>
  <c r="GM270" i="19"/>
  <c r="GN270" i="19"/>
  <c r="GO270" i="19"/>
  <c r="GP270" i="19"/>
  <c r="GQ270" i="19"/>
  <c r="GR270" i="19"/>
  <c r="GS270" i="19"/>
  <c r="GT270" i="19"/>
  <c r="GU270" i="19"/>
  <c r="GV270" i="19"/>
  <c r="GW270" i="19"/>
  <c r="GX270" i="19"/>
  <c r="GY270" i="19"/>
  <c r="GZ270" i="19"/>
  <c r="HA270" i="19"/>
  <c r="HB270" i="19"/>
  <c r="HC270" i="19"/>
  <c r="HD270" i="19"/>
  <c r="HE270" i="19"/>
  <c r="HF270" i="19"/>
  <c r="HG270" i="19"/>
  <c r="HH270" i="19"/>
  <c r="HI270" i="19"/>
  <c r="HJ270" i="19"/>
  <c r="HK270" i="19"/>
  <c r="HL270" i="19"/>
  <c r="HM270" i="19"/>
  <c r="HN270" i="19"/>
  <c r="HO270" i="19"/>
  <c r="HP270" i="19"/>
  <c r="HQ270" i="19"/>
  <c r="HR270" i="19"/>
  <c r="HS270" i="19"/>
  <c r="HT270" i="19"/>
  <c r="HU270" i="19"/>
  <c r="HV270" i="19"/>
  <c r="HW270" i="19"/>
  <c r="HX270" i="19"/>
  <c r="HY270" i="19"/>
  <c r="HZ270" i="19"/>
  <c r="IA270" i="19"/>
  <c r="IB270" i="19"/>
  <c r="IC270" i="19"/>
  <c r="ID270" i="19"/>
  <c r="IE270" i="19"/>
  <c r="IF270" i="19"/>
  <c r="IG270" i="19"/>
  <c r="IH270" i="19"/>
  <c r="II270" i="19"/>
  <c r="IJ270" i="19"/>
  <c r="IK270" i="19"/>
  <c r="IL270" i="19"/>
  <c r="IM270" i="19"/>
  <c r="IN270" i="19"/>
  <c r="IO270" i="19"/>
  <c r="IP270" i="19"/>
  <c r="IQ270" i="19"/>
  <c r="IR270" i="19"/>
  <c r="IS270" i="19"/>
  <c r="IT270" i="19"/>
  <c r="IU270" i="19"/>
  <c r="IV270" i="19"/>
  <c r="F271" i="19"/>
  <c r="G271" i="19"/>
  <c r="H271" i="19"/>
  <c r="I271" i="19"/>
  <c r="J271" i="19"/>
  <c r="K271" i="19"/>
  <c r="L271" i="19"/>
  <c r="M271" i="19"/>
  <c r="N271" i="19"/>
  <c r="O271" i="19"/>
  <c r="P271" i="19"/>
  <c r="Q271" i="19"/>
  <c r="R271" i="19"/>
  <c r="S271" i="19"/>
  <c r="T271" i="19"/>
  <c r="U271" i="19"/>
  <c r="V271" i="19"/>
  <c r="W271" i="19"/>
  <c r="X271" i="19"/>
  <c r="Y271" i="19"/>
  <c r="Z271" i="19"/>
  <c r="AA271" i="19"/>
  <c r="AB271" i="19"/>
  <c r="AC271" i="19"/>
  <c r="AD271" i="19"/>
  <c r="AE271" i="19"/>
  <c r="AF271" i="19"/>
  <c r="AG271" i="19"/>
  <c r="AH271" i="19"/>
  <c r="AI271" i="19"/>
  <c r="AJ271" i="19"/>
  <c r="AK271" i="19"/>
  <c r="AL271" i="19"/>
  <c r="AM271" i="19"/>
  <c r="AN271" i="19"/>
  <c r="AO271" i="19"/>
  <c r="AP271" i="19"/>
  <c r="AQ271" i="19"/>
  <c r="AR271" i="19"/>
  <c r="AS271" i="19"/>
  <c r="AT271" i="19"/>
  <c r="AU271" i="19"/>
  <c r="AV271" i="19"/>
  <c r="AW271" i="19"/>
  <c r="AX271" i="19"/>
  <c r="AY271" i="19"/>
  <c r="AZ271" i="19"/>
  <c r="BA271" i="19"/>
  <c r="BB271" i="19"/>
  <c r="BC271" i="19"/>
  <c r="BD271" i="19"/>
  <c r="BE271" i="19"/>
  <c r="BF271" i="19"/>
  <c r="BG271" i="19"/>
  <c r="BH271" i="19"/>
  <c r="BI271" i="19"/>
  <c r="BJ271" i="19"/>
  <c r="BK271" i="19"/>
  <c r="BL271" i="19"/>
  <c r="BM271" i="19"/>
  <c r="BN271" i="19"/>
  <c r="BO271" i="19"/>
  <c r="BP271" i="19"/>
  <c r="BQ271" i="19"/>
  <c r="BR271" i="19"/>
  <c r="BS271" i="19"/>
  <c r="BT271" i="19"/>
  <c r="BU271" i="19"/>
  <c r="BV271" i="19"/>
  <c r="BW271" i="19"/>
  <c r="BX271" i="19"/>
  <c r="BY271" i="19"/>
  <c r="BZ271" i="19"/>
  <c r="CA271" i="19"/>
  <c r="CB271" i="19"/>
  <c r="CC271" i="19"/>
  <c r="CD271" i="19"/>
  <c r="CE271" i="19"/>
  <c r="CF271" i="19"/>
  <c r="CG271" i="19"/>
  <c r="CH271" i="19"/>
  <c r="CI271" i="19"/>
  <c r="CJ271" i="19"/>
  <c r="CK271" i="19"/>
  <c r="CL271" i="19"/>
  <c r="CM271" i="19"/>
  <c r="CN271" i="19"/>
  <c r="CO271" i="19"/>
  <c r="CP271" i="19"/>
  <c r="CQ271" i="19"/>
  <c r="CR271" i="19"/>
  <c r="CS271" i="19"/>
  <c r="CT271" i="19"/>
  <c r="CU271" i="19"/>
  <c r="CV271" i="19"/>
  <c r="CW271" i="19"/>
  <c r="CX271" i="19"/>
  <c r="CY271" i="19"/>
  <c r="CZ271" i="19"/>
  <c r="DA271" i="19"/>
  <c r="DB271" i="19"/>
  <c r="DC271" i="19"/>
  <c r="DD271" i="19"/>
  <c r="DE271" i="19"/>
  <c r="DF271" i="19"/>
  <c r="DG271" i="19"/>
  <c r="DH271" i="19"/>
  <c r="DI271" i="19"/>
  <c r="DJ271" i="19"/>
  <c r="DK271" i="19"/>
  <c r="DL271" i="19"/>
  <c r="DM271" i="19"/>
  <c r="DN271" i="19"/>
  <c r="DO271" i="19"/>
  <c r="DP271" i="19"/>
  <c r="DQ271" i="19"/>
  <c r="DR271" i="19"/>
  <c r="DS271" i="19"/>
  <c r="DT271" i="19"/>
  <c r="DU271" i="19"/>
  <c r="DV271" i="19"/>
  <c r="DW271" i="19"/>
  <c r="DX271" i="19"/>
  <c r="DY271" i="19"/>
  <c r="DZ271" i="19"/>
  <c r="EA271" i="19"/>
  <c r="EB271" i="19"/>
  <c r="EC271" i="19"/>
  <c r="ED271" i="19"/>
  <c r="EE271" i="19"/>
  <c r="EF271" i="19"/>
  <c r="EG271" i="19"/>
  <c r="EH271" i="19"/>
  <c r="EI271" i="19"/>
  <c r="EJ271" i="19"/>
  <c r="EK271" i="19"/>
  <c r="EL271" i="19"/>
  <c r="EM271" i="19"/>
  <c r="EN271" i="19"/>
  <c r="EO271" i="19"/>
  <c r="EP271" i="19"/>
  <c r="EQ271" i="19"/>
  <c r="ER271" i="19"/>
  <c r="ES271" i="19"/>
  <c r="ET271" i="19"/>
  <c r="EU271" i="19"/>
  <c r="EV271" i="19"/>
  <c r="EW271" i="19"/>
  <c r="EX271" i="19"/>
  <c r="EY271" i="19"/>
  <c r="EZ271" i="19"/>
  <c r="FA271" i="19"/>
  <c r="FB271" i="19"/>
  <c r="FC271" i="19"/>
  <c r="FD271" i="19"/>
  <c r="FE271" i="19"/>
  <c r="FF271" i="19"/>
  <c r="FG271" i="19"/>
  <c r="FH271" i="19"/>
  <c r="FI271" i="19"/>
  <c r="FJ271" i="19"/>
  <c r="FK271" i="19"/>
  <c r="FL271" i="19"/>
  <c r="FM271" i="19"/>
  <c r="FN271" i="19"/>
  <c r="FO271" i="19"/>
  <c r="FP271" i="19"/>
  <c r="FQ271" i="19"/>
  <c r="FR271" i="19"/>
  <c r="FS271" i="19"/>
  <c r="FT271" i="19"/>
  <c r="FU271" i="19"/>
  <c r="FV271" i="19"/>
  <c r="FW271" i="19"/>
  <c r="FX271" i="19"/>
  <c r="FY271" i="19"/>
  <c r="FZ271" i="19"/>
  <c r="GA271" i="19"/>
  <c r="GB271" i="19"/>
  <c r="GC271" i="19"/>
  <c r="GD271" i="19"/>
  <c r="GE271" i="19"/>
  <c r="GF271" i="19"/>
  <c r="GG271" i="19"/>
  <c r="GH271" i="19"/>
  <c r="GI271" i="19"/>
  <c r="GJ271" i="19"/>
  <c r="GK271" i="19"/>
  <c r="GL271" i="19"/>
  <c r="GM271" i="19"/>
  <c r="GN271" i="19"/>
  <c r="GO271" i="19"/>
  <c r="GP271" i="19"/>
  <c r="GQ271" i="19"/>
  <c r="GR271" i="19"/>
  <c r="GS271" i="19"/>
  <c r="GT271" i="19"/>
  <c r="GU271" i="19"/>
  <c r="GV271" i="19"/>
  <c r="GW271" i="19"/>
  <c r="GX271" i="19"/>
  <c r="GY271" i="19"/>
  <c r="GZ271" i="19"/>
  <c r="HA271" i="19"/>
  <c r="HB271" i="19"/>
  <c r="HC271" i="19"/>
  <c r="HD271" i="19"/>
  <c r="HE271" i="19"/>
  <c r="HF271" i="19"/>
  <c r="HG271" i="19"/>
  <c r="HH271" i="19"/>
  <c r="HI271" i="19"/>
  <c r="HJ271" i="19"/>
  <c r="HK271" i="19"/>
  <c r="HL271" i="19"/>
  <c r="HM271" i="19"/>
  <c r="HN271" i="19"/>
  <c r="HO271" i="19"/>
  <c r="HP271" i="19"/>
  <c r="HQ271" i="19"/>
  <c r="HR271" i="19"/>
  <c r="HS271" i="19"/>
  <c r="HT271" i="19"/>
  <c r="HU271" i="19"/>
  <c r="HV271" i="19"/>
  <c r="HW271" i="19"/>
  <c r="HX271" i="19"/>
  <c r="HY271" i="19"/>
  <c r="HZ271" i="19"/>
  <c r="IA271" i="19"/>
  <c r="IB271" i="19"/>
  <c r="IC271" i="19"/>
  <c r="ID271" i="19"/>
  <c r="IE271" i="19"/>
  <c r="IF271" i="19"/>
  <c r="IG271" i="19"/>
  <c r="IH271" i="19"/>
  <c r="II271" i="19"/>
  <c r="IJ271" i="19"/>
  <c r="IK271" i="19"/>
  <c r="IL271" i="19"/>
  <c r="IM271" i="19"/>
  <c r="IN271" i="19"/>
  <c r="IO271" i="19"/>
  <c r="IP271" i="19"/>
  <c r="IQ271" i="19"/>
  <c r="IR271" i="19"/>
  <c r="IS271" i="19"/>
  <c r="IT271" i="19"/>
  <c r="IU271" i="19"/>
  <c r="IV271" i="19"/>
  <c r="F272" i="19"/>
  <c r="G272" i="19"/>
  <c r="H272" i="19"/>
  <c r="I272" i="19"/>
  <c r="J272" i="19"/>
  <c r="K272" i="19"/>
  <c r="L272" i="19"/>
  <c r="M272" i="19"/>
  <c r="N272" i="19"/>
  <c r="O272" i="19"/>
  <c r="P272" i="19"/>
  <c r="Q272" i="19"/>
  <c r="R272" i="19"/>
  <c r="S272" i="19"/>
  <c r="T272" i="19"/>
  <c r="U272" i="19"/>
  <c r="V272" i="19"/>
  <c r="W272" i="19"/>
  <c r="X272" i="19"/>
  <c r="Y272" i="19"/>
  <c r="Z272" i="19"/>
  <c r="AA272" i="19"/>
  <c r="AB272" i="19"/>
  <c r="AC272" i="19"/>
  <c r="AD272" i="19"/>
  <c r="AE272" i="19"/>
  <c r="AF272" i="19"/>
  <c r="AG272" i="19"/>
  <c r="AH272" i="19"/>
  <c r="AI272" i="19"/>
  <c r="AJ272" i="19"/>
  <c r="AK272" i="19"/>
  <c r="AL272" i="19"/>
  <c r="AM272" i="19"/>
  <c r="AN272" i="19"/>
  <c r="AO272" i="19"/>
  <c r="AP272" i="19"/>
  <c r="AQ272" i="19"/>
  <c r="AR272" i="19"/>
  <c r="AS272" i="19"/>
  <c r="AT272" i="19"/>
  <c r="AU272" i="19"/>
  <c r="AV272" i="19"/>
  <c r="AW272" i="19"/>
  <c r="AX272" i="19"/>
  <c r="AY272" i="19"/>
  <c r="AZ272" i="19"/>
  <c r="BA272" i="19"/>
  <c r="BB272" i="19"/>
  <c r="BC272" i="19"/>
  <c r="BD272" i="19"/>
  <c r="BE272" i="19"/>
  <c r="BF272" i="19"/>
  <c r="BG272" i="19"/>
  <c r="BH272" i="19"/>
  <c r="BI272" i="19"/>
  <c r="BJ272" i="19"/>
  <c r="BK272" i="19"/>
  <c r="BL272" i="19"/>
  <c r="BM272" i="19"/>
  <c r="BN272" i="19"/>
  <c r="BO272" i="19"/>
  <c r="BP272" i="19"/>
  <c r="BQ272" i="19"/>
  <c r="BR272" i="19"/>
  <c r="BS272" i="19"/>
  <c r="BT272" i="19"/>
  <c r="BU272" i="19"/>
  <c r="BV272" i="19"/>
  <c r="BW272" i="19"/>
  <c r="BX272" i="19"/>
  <c r="BY272" i="19"/>
  <c r="BZ272" i="19"/>
  <c r="CA272" i="19"/>
  <c r="CB272" i="19"/>
  <c r="CC272" i="19"/>
  <c r="CD272" i="19"/>
  <c r="CE272" i="19"/>
  <c r="CF272" i="19"/>
  <c r="CG272" i="19"/>
  <c r="CH272" i="19"/>
  <c r="CI272" i="19"/>
  <c r="CJ272" i="19"/>
  <c r="CK272" i="19"/>
  <c r="CL272" i="19"/>
  <c r="CM272" i="19"/>
  <c r="CN272" i="19"/>
  <c r="CO272" i="19"/>
  <c r="CP272" i="19"/>
  <c r="CQ272" i="19"/>
  <c r="CR272" i="19"/>
  <c r="CS272" i="19"/>
  <c r="CT272" i="19"/>
  <c r="CU272" i="19"/>
  <c r="CV272" i="19"/>
  <c r="CW272" i="19"/>
  <c r="CX272" i="19"/>
  <c r="CY272" i="19"/>
  <c r="CZ272" i="19"/>
  <c r="DA272" i="19"/>
  <c r="DB272" i="19"/>
  <c r="DC272" i="19"/>
  <c r="DD272" i="19"/>
  <c r="DE272" i="19"/>
  <c r="DF272" i="19"/>
  <c r="DG272" i="19"/>
  <c r="DH272" i="19"/>
  <c r="DI272" i="19"/>
  <c r="DJ272" i="19"/>
  <c r="DK272" i="19"/>
  <c r="DL272" i="19"/>
  <c r="DM272" i="19"/>
  <c r="DN272" i="19"/>
  <c r="DO272" i="19"/>
  <c r="DP272" i="19"/>
  <c r="DQ272" i="19"/>
  <c r="DR272" i="19"/>
  <c r="DS272" i="19"/>
  <c r="DT272" i="19"/>
  <c r="DU272" i="19"/>
  <c r="DV272" i="19"/>
  <c r="DW272" i="19"/>
  <c r="DX272" i="19"/>
  <c r="DY272" i="19"/>
  <c r="DZ272" i="19"/>
  <c r="EA272" i="19"/>
  <c r="EB272" i="19"/>
  <c r="EC272" i="19"/>
  <c r="ED272" i="19"/>
  <c r="EE272" i="19"/>
  <c r="EF272" i="19"/>
  <c r="EG272" i="19"/>
  <c r="EH272" i="19"/>
  <c r="EI272" i="19"/>
  <c r="EJ272" i="19"/>
  <c r="EK272" i="19"/>
  <c r="EL272" i="19"/>
  <c r="EM272" i="19"/>
  <c r="EN272" i="19"/>
  <c r="EO272" i="19"/>
  <c r="EP272" i="19"/>
  <c r="EQ272" i="19"/>
  <c r="ER272" i="19"/>
  <c r="ES272" i="19"/>
  <c r="ET272" i="19"/>
  <c r="EU272" i="19"/>
  <c r="EV272" i="19"/>
  <c r="EW272" i="19"/>
  <c r="EX272" i="19"/>
  <c r="EY272" i="19"/>
  <c r="EZ272" i="19"/>
  <c r="FA272" i="19"/>
  <c r="FB272" i="19"/>
  <c r="FC272" i="19"/>
  <c r="FD272" i="19"/>
  <c r="FE272" i="19"/>
  <c r="FF272" i="19"/>
  <c r="FG272" i="19"/>
  <c r="FH272" i="19"/>
  <c r="FI272" i="19"/>
  <c r="FJ272" i="19"/>
  <c r="FK272" i="19"/>
  <c r="FL272" i="19"/>
  <c r="FM272" i="19"/>
  <c r="FN272" i="19"/>
  <c r="FO272" i="19"/>
  <c r="FP272" i="19"/>
  <c r="FQ272" i="19"/>
  <c r="FR272" i="19"/>
  <c r="FS272" i="19"/>
  <c r="FT272" i="19"/>
  <c r="FU272" i="19"/>
  <c r="FV272" i="19"/>
  <c r="FW272" i="19"/>
  <c r="FX272" i="19"/>
  <c r="FY272" i="19"/>
  <c r="FZ272" i="19"/>
  <c r="GA272" i="19"/>
  <c r="GB272" i="19"/>
  <c r="GC272" i="19"/>
  <c r="GD272" i="19"/>
  <c r="GE272" i="19"/>
  <c r="GF272" i="19"/>
  <c r="GG272" i="19"/>
  <c r="GH272" i="19"/>
  <c r="GI272" i="19"/>
  <c r="GJ272" i="19"/>
  <c r="GK272" i="19"/>
  <c r="GL272" i="19"/>
  <c r="GM272" i="19"/>
  <c r="GN272" i="19"/>
  <c r="GO272" i="19"/>
  <c r="GP272" i="19"/>
  <c r="GQ272" i="19"/>
  <c r="GR272" i="19"/>
  <c r="GS272" i="19"/>
  <c r="GT272" i="19"/>
  <c r="GU272" i="19"/>
  <c r="GV272" i="19"/>
  <c r="GW272" i="19"/>
  <c r="GX272" i="19"/>
  <c r="GY272" i="19"/>
  <c r="GZ272" i="19"/>
  <c r="HA272" i="19"/>
  <c r="HB272" i="19"/>
  <c r="HC272" i="19"/>
  <c r="HD272" i="19"/>
  <c r="HE272" i="19"/>
  <c r="HF272" i="19"/>
  <c r="HG272" i="19"/>
  <c r="HH272" i="19"/>
  <c r="HI272" i="19"/>
  <c r="HJ272" i="19"/>
  <c r="HK272" i="19"/>
  <c r="HL272" i="19"/>
  <c r="HM272" i="19"/>
  <c r="HN272" i="19"/>
  <c r="HO272" i="19"/>
  <c r="HP272" i="19"/>
  <c r="HQ272" i="19"/>
  <c r="HR272" i="19"/>
  <c r="HS272" i="19"/>
  <c r="HT272" i="19"/>
  <c r="HU272" i="19"/>
  <c r="HV272" i="19"/>
  <c r="HW272" i="19"/>
  <c r="HX272" i="19"/>
  <c r="HY272" i="19"/>
  <c r="HZ272" i="19"/>
  <c r="IA272" i="19"/>
  <c r="IB272" i="19"/>
  <c r="IC272" i="19"/>
  <c r="ID272" i="19"/>
  <c r="IE272" i="19"/>
  <c r="IF272" i="19"/>
  <c r="IG272" i="19"/>
  <c r="IH272" i="19"/>
  <c r="II272" i="19"/>
  <c r="IJ272" i="19"/>
  <c r="IK272" i="19"/>
  <c r="IL272" i="19"/>
  <c r="IM272" i="19"/>
  <c r="IN272" i="19"/>
  <c r="IO272" i="19"/>
  <c r="IP272" i="19"/>
  <c r="IQ272" i="19"/>
  <c r="IR272" i="19"/>
  <c r="IS272" i="19"/>
  <c r="IT272" i="19"/>
  <c r="IU272" i="19"/>
  <c r="IV272" i="19"/>
  <c r="F273" i="19"/>
  <c r="G273" i="19"/>
  <c r="H273" i="19"/>
  <c r="I273" i="19"/>
  <c r="J273" i="19"/>
  <c r="K273" i="19"/>
  <c r="L273" i="19"/>
  <c r="M273" i="19"/>
  <c r="N273" i="19"/>
  <c r="O273" i="19"/>
  <c r="P273" i="19"/>
  <c r="Q273" i="19"/>
  <c r="R273" i="19"/>
  <c r="S273" i="19"/>
  <c r="T273" i="19"/>
  <c r="U273" i="19"/>
  <c r="V273" i="19"/>
  <c r="W273" i="19"/>
  <c r="X273" i="19"/>
  <c r="Y273" i="19"/>
  <c r="Z273" i="19"/>
  <c r="AA273" i="19"/>
  <c r="AB273" i="19"/>
  <c r="AC273" i="19"/>
  <c r="AD273" i="19"/>
  <c r="AE273" i="19"/>
  <c r="AF273" i="19"/>
  <c r="AG273" i="19"/>
  <c r="AH273" i="19"/>
  <c r="AI273" i="19"/>
  <c r="AJ273" i="19"/>
  <c r="AK273" i="19"/>
  <c r="AL273" i="19"/>
  <c r="AM273" i="19"/>
  <c r="AN273" i="19"/>
  <c r="AO273" i="19"/>
  <c r="AP273" i="19"/>
  <c r="AQ273" i="19"/>
  <c r="AR273" i="19"/>
  <c r="AS273" i="19"/>
  <c r="AT273" i="19"/>
  <c r="AU273" i="19"/>
  <c r="AV273" i="19"/>
  <c r="AW273" i="19"/>
  <c r="AX273" i="19"/>
  <c r="AY273" i="19"/>
  <c r="AZ273" i="19"/>
  <c r="BA273" i="19"/>
  <c r="BB273" i="19"/>
  <c r="BC273" i="19"/>
  <c r="BD273" i="19"/>
  <c r="BE273" i="19"/>
  <c r="BF273" i="19"/>
  <c r="BG273" i="19"/>
  <c r="BH273" i="19"/>
  <c r="BI273" i="19"/>
  <c r="BJ273" i="19"/>
  <c r="BK273" i="19"/>
  <c r="BL273" i="19"/>
  <c r="BM273" i="19"/>
  <c r="BN273" i="19"/>
  <c r="BO273" i="19"/>
  <c r="BP273" i="19"/>
  <c r="BQ273" i="19"/>
  <c r="BR273" i="19"/>
  <c r="BS273" i="19"/>
  <c r="BT273" i="19"/>
  <c r="BU273" i="19"/>
  <c r="BV273" i="19"/>
  <c r="BW273" i="19"/>
  <c r="BX273" i="19"/>
  <c r="BY273" i="19"/>
  <c r="BZ273" i="19"/>
  <c r="CA273" i="19"/>
  <c r="CB273" i="19"/>
  <c r="CC273" i="19"/>
  <c r="CD273" i="19"/>
  <c r="CE273" i="19"/>
  <c r="CF273" i="19"/>
  <c r="CG273" i="19"/>
  <c r="CH273" i="19"/>
  <c r="CI273" i="19"/>
  <c r="CJ273" i="19"/>
  <c r="CK273" i="19"/>
  <c r="CL273" i="19"/>
  <c r="CM273" i="19"/>
  <c r="CN273" i="19"/>
  <c r="CO273" i="19"/>
  <c r="CP273" i="19"/>
  <c r="CQ273" i="19"/>
  <c r="CR273" i="19"/>
  <c r="CS273" i="19"/>
  <c r="CT273" i="19"/>
  <c r="CU273" i="19"/>
  <c r="CV273" i="19"/>
  <c r="CW273" i="19"/>
  <c r="CX273" i="19"/>
  <c r="CY273" i="19"/>
  <c r="CZ273" i="19"/>
  <c r="DA273" i="19"/>
  <c r="DB273" i="19"/>
  <c r="DC273" i="19"/>
  <c r="DD273" i="19"/>
  <c r="DE273" i="19"/>
  <c r="DF273" i="19"/>
  <c r="DG273" i="19"/>
  <c r="DH273" i="19"/>
  <c r="DI273" i="19"/>
  <c r="DJ273" i="19"/>
  <c r="DK273" i="19"/>
  <c r="DL273" i="19"/>
  <c r="DM273" i="19"/>
  <c r="DN273" i="19"/>
  <c r="DO273" i="19"/>
  <c r="DP273" i="19"/>
  <c r="DQ273" i="19"/>
  <c r="DR273" i="19"/>
  <c r="DS273" i="19"/>
  <c r="DT273" i="19"/>
  <c r="DU273" i="19"/>
  <c r="DV273" i="19"/>
  <c r="DW273" i="19"/>
  <c r="DX273" i="19"/>
  <c r="DY273" i="19"/>
  <c r="DZ273" i="19"/>
  <c r="EA273" i="19"/>
  <c r="EB273" i="19"/>
  <c r="EC273" i="19"/>
  <c r="ED273" i="19"/>
  <c r="EE273" i="19"/>
  <c r="EF273" i="19"/>
  <c r="EG273" i="19"/>
  <c r="EH273" i="19"/>
  <c r="EI273" i="19"/>
  <c r="EJ273" i="19"/>
  <c r="EK273" i="19"/>
  <c r="EL273" i="19"/>
  <c r="EM273" i="19"/>
  <c r="EN273" i="19"/>
  <c r="EO273" i="19"/>
  <c r="EP273" i="19"/>
  <c r="EQ273" i="19"/>
  <c r="ER273" i="19"/>
  <c r="ES273" i="19"/>
  <c r="ET273" i="19"/>
  <c r="EU273" i="19"/>
  <c r="EV273" i="19"/>
  <c r="EW273" i="19"/>
  <c r="EX273" i="19"/>
  <c r="EY273" i="19"/>
  <c r="EZ273" i="19"/>
  <c r="FA273" i="19"/>
  <c r="FB273" i="19"/>
  <c r="FC273" i="19"/>
  <c r="FD273" i="19"/>
  <c r="FE273" i="19"/>
  <c r="FF273" i="19"/>
  <c r="FG273" i="19"/>
  <c r="FH273" i="19"/>
  <c r="FI273" i="19"/>
  <c r="FJ273" i="19"/>
  <c r="FK273" i="19"/>
  <c r="FL273" i="19"/>
  <c r="FM273" i="19"/>
  <c r="FN273" i="19"/>
  <c r="FO273" i="19"/>
  <c r="FP273" i="19"/>
  <c r="FQ273" i="19"/>
  <c r="FR273" i="19"/>
  <c r="FS273" i="19"/>
  <c r="FT273" i="19"/>
  <c r="FU273" i="19"/>
  <c r="FV273" i="19"/>
  <c r="FW273" i="19"/>
  <c r="FX273" i="19"/>
  <c r="FY273" i="19"/>
  <c r="FZ273" i="19"/>
  <c r="GA273" i="19"/>
  <c r="GB273" i="19"/>
  <c r="GC273" i="19"/>
  <c r="GD273" i="19"/>
  <c r="GE273" i="19"/>
  <c r="GF273" i="19"/>
  <c r="GG273" i="19"/>
  <c r="GH273" i="19"/>
  <c r="GI273" i="19"/>
  <c r="GJ273" i="19"/>
  <c r="GK273" i="19"/>
  <c r="GL273" i="19"/>
  <c r="GM273" i="19"/>
  <c r="GN273" i="19"/>
  <c r="GO273" i="19"/>
  <c r="GP273" i="19"/>
  <c r="GQ273" i="19"/>
  <c r="GR273" i="19"/>
  <c r="GS273" i="19"/>
  <c r="GT273" i="19"/>
  <c r="GU273" i="19"/>
  <c r="GV273" i="19"/>
  <c r="GW273" i="19"/>
  <c r="GX273" i="19"/>
  <c r="GY273" i="19"/>
  <c r="GZ273" i="19"/>
  <c r="HA273" i="19"/>
  <c r="HB273" i="19"/>
  <c r="HC273" i="19"/>
  <c r="HD273" i="19"/>
  <c r="HE273" i="19"/>
  <c r="HF273" i="19"/>
  <c r="HG273" i="19"/>
  <c r="HH273" i="19"/>
  <c r="HI273" i="19"/>
  <c r="HJ273" i="19"/>
  <c r="HK273" i="19"/>
  <c r="HL273" i="19"/>
  <c r="HM273" i="19"/>
  <c r="HN273" i="19"/>
  <c r="HO273" i="19"/>
  <c r="HP273" i="19"/>
  <c r="HQ273" i="19"/>
  <c r="HR273" i="19"/>
  <c r="HS273" i="19"/>
  <c r="HT273" i="19"/>
  <c r="HU273" i="19"/>
  <c r="HV273" i="19"/>
  <c r="HW273" i="19"/>
  <c r="HX273" i="19"/>
  <c r="HY273" i="19"/>
  <c r="HZ273" i="19"/>
  <c r="IA273" i="19"/>
  <c r="IB273" i="19"/>
  <c r="IC273" i="19"/>
  <c r="ID273" i="19"/>
  <c r="IE273" i="19"/>
  <c r="IF273" i="19"/>
  <c r="IG273" i="19"/>
  <c r="IH273" i="19"/>
  <c r="II273" i="19"/>
  <c r="IJ273" i="19"/>
  <c r="IK273" i="19"/>
  <c r="IL273" i="19"/>
  <c r="IM273" i="19"/>
  <c r="IN273" i="19"/>
  <c r="IO273" i="19"/>
  <c r="IP273" i="19"/>
  <c r="IQ273" i="19"/>
  <c r="IR273" i="19"/>
  <c r="IS273" i="19"/>
  <c r="IT273" i="19"/>
  <c r="IU273" i="19"/>
  <c r="IV273" i="19"/>
  <c r="F274" i="19"/>
  <c r="G274" i="19"/>
  <c r="H274" i="19"/>
  <c r="I274" i="19"/>
  <c r="J274" i="19"/>
  <c r="K274" i="19"/>
  <c r="L274" i="19"/>
  <c r="M274" i="19"/>
  <c r="N274" i="19"/>
  <c r="O274" i="19"/>
  <c r="P274" i="19"/>
  <c r="Q274" i="19"/>
  <c r="R274" i="19"/>
  <c r="S274" i="19"/>
  <c r="T274" i="19"/>
  <c r="U274" i="19"/>
  <c r="V274" i="19"/>
  <c r="W274" i="19"/>
  <c r="X274" i="19"/>
  <c r="Y274" i="19"/>
  <c r="Z274" i="19"/>
  <c r="AA274" i="19"/>
  <c r="AB274" i="19"/>
  <c r="AC274" i="19"/>
  <c r="AD274" i="19"/>
  <c r="AE274" i="19"/>
  <c r="AF274" i="19"/>
  <c r="AG274" i="19"/>
  <c r="AH274" i="19"/>
  <c r="AI274" i="19"/>
  <c r="AJ274" i="19"/>
  <c r="AK274" i="19"/>
  <c r="AL274" i="19"/>
  <c r="AM274" i="19"/>
  <c r="AN274" i="19"/>
  <c r="AO274" i="19"/>
  <c r="AP274" i="19"/>
  <c r="AQ274" i="19"/>
  <c r="AR274" i="19"/>
  <c r="AS274" i="19"/>
  <c r="AT274" i="19"/>
  <c r="AU274" i="19"/>
  <c r="AV274" i="19"/>
  <c r="AW274" i="19"/>
  <c r="AX274" i="19"/>
  <c r="AY274" i="19"/>
  <c r="AZ274" i="19"/>
  <c r="BA274" i="19"/>
  <c r="BB274" i="19"/>
  <c r="BC274" i="19"/>
  <c r="BD274" i="19"/>
  <c r="BE274" i="19"/>
  <c r="BF274" i="19"/>
  <c r="BG274" i="19"/>
  <c r="BH274" i="19"/>
  <c r="BI274" i="19"/>
  <c r="BJ274" i="19"/>
  <c r="BK274" i="19"/>
  <c r="BL274" i="19"/>
  <c r="BM274" i="19"/>
  <c r="BN274" i="19"/>
  <c r="BO274" i="19"/>
  <c r="BP274" i="19"/>
  <c r="BQ274" i="19"/>
  <c r="BR274" i="19"/>
  <c r="BS274" i="19"/>
  <c r="BT274" i="19"/>
  <c r="BU274" i="19"/>
  <c r="BV274" i="19"/>
  <c r="BW274" i="19"/>
  <c r="BX274" i="19"/>
  <c r="BY274" i="19"/>
  <c r="BZ274" i="19"/>
  <c r="CA274" i="19"/>
  <c r="CB274" i="19"/>
  <c r="CC274" i="19"/>
  <c r="CD274" i="19"/>
  <c r="CE274" i="19"/>
  <c r="CF274" i="19"/>
  <c r="CG274" i="19"/>
  <c r="CH274" i="19"/>
  <c r="CI274" i="19"/>
  <c r="CJ274" i="19"/>
  <c r="CK274" i="19"/>
  <c r="CL274" i="19"/>
  <c r="CM274" i="19"/>
  <c r="CN274" i="19"/>
  <c r="CO274" i="19"/>
  <c r="CP274" i="19"/>
  <c r="CQ274" i="19"/>
  <c r="CR274" i="19"/>
  <c r="CS274" i="19"/>
  <c r="CT274" i="19"/>
  <c r="CU274" i="19"/>
  <c r="CV274" i="19"/>
  <c r="CW274" i="19"/>
  <c r="CX274" i="19"/>
  <c r="CY274" i="19"/>
  <c r="CZ274" i="19"/>
  <c r="DA274" i="19"/>
  <c r="DB274" i="19"/>
  <c r="DC274" i="19"/>
  <c r="DD274" i="19"/>
  <c r="DE274" i="19"/>
  <c r="DF274" i="19"/>
  <c r="DG274" i="19"/>
  <c r="DH274" i="19"/>
  <c r="DI274" i="19"/>
  <c r="DJ274" i="19"/>
  <c r="DK274" i="19"/>
  <c r="DL274" i="19"/>
  <c r="DM274" i="19"/>
  <c r="DN274" i="19"/>
  <c r="DO274" i="19"/>
  <c r="DP274" i="19"/>
  <c r="DQ274" i="19"/>
  <c r="DR274" i="19"/>
  <c r="DS274" i="19"/>
  <c r="DT274" i="19"/>
  <c r="DU274" i="19"/>
  <c r="DV274" i="19"/>
  <c r="DW274" i="19"/>
  <c r="DX274" i="19"/>
  <c r="DY274" i="19"/>
  <c r="DZ274" i="19"/>
  <c r="EA274" i="19"/>
  <c r="EB274" i="19"/>
  <c r="EC274" i="19"/>
  <c r="ED274" i="19"/>
  <c r="EE274" i="19"/>
  <c r="EF274" i="19"/>
  <c r="EG274" i="19"/>
  <c r="EH274" i="19"/>
  <c r="EI274" i="19"/>
  <c r="EJ274" i="19"/>
  <c r="EK274" i="19"/>
  <c r="EL274" i="19"/>
  <c r="EM274" i="19"/>
  <c r="EN274" i="19"/>
  <c r="EO274" i="19"/>
  <c r="EP274" i="19"/>
  <c r="EQ274" i="19"/>
  <c r="ER274" i="19"/>
  <c r="ES274" i="19"/>
  <c r="ET274" i="19"/>
  <c r="EU274" i="19"/>
  <c r="EV274" i="19"/>
  <c r="EW274" i="19"/>
  <c r="EX274" i="19"/>
  <c r="EY274" i="19"/>
  <c r="EZ274" i="19"/>
  <c r="FA274" i="19"/>
  <c r="FB274" i="19"/>
  <c r="FC274" i="19"/>
  <c r="FD274" i="19"/>
  <c r="FE274" i="19"/>
  <c r="FF274" i="19"/>
  <c r="FG274" i="19"/>
  <c r="FH274" i="19"/>
  <c r="FI274" i="19"/>
  <c r="FJ274" i="19"/>
  <c r="FK274" i="19"/>
  <c r="FL274" i="19"/>
  <c r="FM274" i="19"/>
  <c r="FN274" i="19"/>
  <c r="FO274" i="19"/>
  <c r="FP274" i="19"/>
  <c r="FQ274" i="19"/>
  <c r="FR274" i="19"/>
  <c r="FS274" i="19"/>
  <c r="FT274" i="19"/>
  <c r="FU274" i="19"/>
  <c r="FV274" i="19"/>
  <c r="FW274" i="19"/>
  <c r="FX274" i="19"/>
  <c r="FY274" i="19"/>
  <c r="FZ274" i="19"/>
  <c r="GA274" i="19"/>
  <c r="GB274" i="19"/>
  <c r="GC274" i="19"/>
  <c r="GD274" i="19"/>
  <c r="GE274" i="19"/>
  <c r="GF274" i="19"/>
  <c r="GG274" i="19"/>
  <c r="GH274" i="19"/>
  <c r="GI274" i="19"/>
  <c r="GJ274" i="19"/>
  <c r="GK274" i="19"/>
  <c r="GL274" i="19"/>
  <c r="GM274" i="19"/>
  <c r="GN274" i="19"/>
  <c r="GO274" i="19"/>
  <c r="GP274" i="19"/>
  <c r="GQ274" i="19"/>
  <c r="GR274" i="19"/>
  <c r="GS274" i="19"/>
  <c r="GT274" i="19"/>
  <c r="GU274" i="19"/>
  <c r="GV274" i="19"/>
  <c r="GW274" i="19"/>
  <c r="GX274" i="19"/>
  <c r="GY274" i="19"/>
  <c r="GZ274" i="19"/>
  <c r="HA274" i="19"/>
  <c r="HB274" i="19"/>
  <c r="HC274" i="19"/>
  <c r="HD274" i="19"/>
  <c r="HE274" i="19"/>
  <c r="HF274" i="19"/>
  <c r="HG274" i="19"/>
  <c r="HH274" i="19"/>
  <c r="HI274" i="19"/>
  <c r="HJ274" i="19"/>
  <c r="HK274" i="19"/>
  <c r="HL274" i="19"/>
  <c r="HM274" i="19"/>
  <c r="HN274" i="19"/>
  <c r="HO274" i="19"/>
  <c r="HP274" i="19"/>
  <c r="HQ274" i="19"/>
  <c r="HR274" i="19"/>
  <c r="HS274" i="19"/>
  <c r="HT274" i="19"/>
  <c r="HU274" i="19"/>
  <c r="HV274" i="19"/>
  <c r="HW274" i="19"/>
  <c r="HX274" i="19"/>
  <c r="HY274" i="19"/>
  <c r="HZ274" i="19"/>
  <c r="IA274" i="19"/>
  <c r="IB274" i="19"/>
  <c r="IC274" i="19"/>
  <c r="ID274" i="19"/>
  <c r="IE274" i="19"/>
  <c r="IF274" i="19"/>
  <c r="IG274" i="19"/>
  <c r="IH274" i="19"/>
  <c r="II274" i="19"/>
  <c r="IJ274" i="19"/>
  <c r="IK274" i="19"/>
  <c r="IL274" i="19"/>
  <c r="IM274" i="19"/>
  <c r="IN274" i="19"/>
  <c r="IO274" i="19"/>
  <c r="IP274" i="19"/>
  <c r="IQ274" i="19"/>
  <c r="IR274" i="19"/>
  <c r="IS274" i="19"/>
  <c r="IT274" i="19"/>
  <c r="IU274" i="19"/>
  <c r="IV274" i="19"/>
  <c r="F275" i="19"/>
  <c r="G275" i="19"/>
  <c r="H275" i="19"/>
  <c r="I275" i="19"/>
  <c r="J275" i="19"/>
  <c r="K275" i="19"/>
  <c r="L275" i="19"/>
  <c r="M275" i="19"/>
  <c r="N275" i="19"/>
  <c r="O275" i="19"/>
  <c r="P275" i="19"/>
  <c r="Q275" i="19"/>
  <c r="R275" i="19"/>
  <c r="S275" i="19"/>
  <c r="T275" i="19"/>
  <c r="U275" i="19"/>
  <c r="V275" i="19"/>
  <c r="W275" i="19"/>
  <c r="X275" i="19"/>
  <c r="Y275" i="19"/>
  <c r="Z275" i="19"/>
  <c r="AA275" i="19"/>
  <c r="AB275" i="19"/>
  <c r="AC275" i="19"/>
  <c r="AD275" i="19"/>
  <c r="AE275" i="19"/>
  <c r="AF275" i="19"/>
  <c r="AG275" i="19"/>
  <c r="AH275" i="19"/>
  <c r="AI275" i="19"/>
  <c r="AJ275" i="19"/>
  <c r="AK275" i="19"/>
  <c r="AL275" i="19"/>
  <c r="AM275" i="19"/>
  <c r="AN275" i="19"/>
  <c r="AO275" i="19"/>
  <c r="AP275" i="19"/>
  <c r="AQ275" i="19"/>
  <c r="AR275" i="19"/>
  <c r="AS275" i="19"/>
  <c r="AT275" i="19"/>
  <c r="AU275" i="19"/>
  <c r="AV275" i="19"/>
  <c r="AW275" i="19"/>
  <c r="AX275" i="19"/>
  <c r="AY275" i="19"/>
  <c r="AZ275" i="19"/>
  <c r="BA275" i="19"/>
  <c r="BB275" i="19"/>
  <c r="BC275" i="19"/>
  <c r="BD275" i="19"/>
  <c r="BE275" i="19"/>
  <c r="BF275" i="19"/>
  <c r="BG275" i="19"/>
  <c r="BH275" i="19"/>
  <c r="BI275" i="19"/>
  <c r="BJ275" i="19"/>
  <c r="BK275" i="19"/>
  <c r="BL275" i="19"/>
  <c r="BM275" i="19"/>
  <c r="BN275" i="19"/>
  <c r="BO275" i="19"/>
  <c r="BP275" i="19"/>
  <c r="BQ275" i="19"/>
  <c r="BR275" i="19"/>
  <c r="BS275" i="19"/>
  <c r="BT275" i="19"/>
  <c r="BU275" i="19"/>
  <c r="BV275" i="19"/>
  <c r="BW275" i="19"/>
  <c r="BX275" i="19"/>
  <c r="BY275" i="19"/>
  <c r="BZ275" i="19"/>
  <c r="CA275" i="19"/>
  <c r="CB275" i="19"/>
  <c r="CC275" i="19"/>
  <c r="CD275" i="19"/>
  <c r="CE275" i="19"/>
  <c r="CF275" i="19"/>
  <c r="CG275" i="19"/>
  <c r="CH275" i="19"/>
  <c r="CI275" i="19"/>
  <c r="CJ275" i="19"/>
  <c r="CK275" i="19"/>
  <c r="CL275" i="19"/>
  <c r="CM275" i="19"/>
  <c r="CN275" i="19"/>
  <c r="CO275" i="19"/>
  <c r="CP275" i="19"/>
  <c r="CQ275" i="19"/>
  <c r="CR275" i="19"/>
  <c r="CS275" i="19"/>
  <c r="CT275" i="19"/>
  <c r="CU275" i="19"/>
  <c r="CV275" i="19"/>
  <c r="CW275" i="19"/>
  <c r="CX275" i="19"/>
  <c r="CY275" i="19"/>
  <c r="CZ275" i="19"/>
  <c r="DA275" i="19"/>
  <c r="DB275" i="19"/>
  <c r="DC275" i="19"/>
  <c r="DD275" i="19"/>
  <c r="DE275" i="19"/>
  <c r="DF275" i="19"/>
  <c r="DG275" i="19"/>
  <c r="DH275" i="19"/>
  <c r="DI275" i="19"/>
  <c r="DJ275" i="19"/>
  <c r="DK275" i="19"/>
  <c r="DL275" i="19"/>
  <c r="DM275" i="19"/>
  <c r="DN275" i="19"/>
  <c r="DO275" i="19"/>
  <c r="DP275" i="19"/>
  <c r="DQ275" i="19"/>
  <c r="DR275" i="19"/>
  <c r="DS275" i="19"/>
  <c r="DT275" i="19"/>
  <c r="DU275" i="19"/>
  <c r="DV275" i="19"/>
  <c r="DW275" i="19"/>
  <c r="DX275" i="19"/>
  <c r="DY275" i="19"/>
  <c r="DZ275" i="19"/>
  <c r="EA275" i="19"/>
  <c r="EB275" i="19"/>
  <c r="EC275" i="19"/>
  <c r="ED275" i="19"/>
  <c r="EE275" i="19"/>
  <c r="EF275" i="19"/>
  <c r="EG275" i="19"/>
  <c r="EH275" i="19"/>
  <c r="EI275" i="19"/>
  <c r="EJ275" i="19"/>
  <c r="EK275" i="19"/>
  <c r="EL275" i="19"/>
  <c r="EM275" i="19"/>
  <c r="EN275" i="19"/>
  <c r="EO275" i="19"/>
  <c r="EP275" i="19"/>
  <c r="EQ275" i="19"/>
  <c r="ER275" i="19"/>
  <c r="ES275" i="19"/>
  <c r="ET275" i="19"/>
  <c r="EU275" i="19"/>
  <c r="EV275" i="19"/>
  <c r="EW275" i="19"/>
  <c r="EX275" i="19"/>
  <c r="EY275" i="19"/>
  <c r="EZ275" i="19"/>
  <c r="FA275" i="19"/>
  <c r="FB275" i="19"/>
  <c r="FC275" i="19"/>
  <c r="FD275" i="19"/>
  <c r="FE275" i="19"/>
  <c r="FF275" i="19"/>
  <c r="FG275" i="19"/>
  <c r="FH275" i="19"/>
  <c r="FI275" i="19"/>
  <c r="FJ275" i="19"/>
  <c r="FK275" i="19"/>
  <c r="FL275" i="19"/>
  <c r="FM275" i="19"/>
  <c r="FN275" i="19"/>
  <c r="FO275" i="19"/>
  <c r="FP275" i="19"/>
  <c r="FQ275" i="19"/>
  <c r="FR275" i="19"/>
  <c r="FS275" i="19"/>
  <c r="FT275" i="19"/>
  <c r="FU275" i="19"/>
  <c r="FV275" i="19"/>
  <c r="FW275" i="19"/>
  <c r="FX275" i="19"/>
  <c r="FY275" i="19"/>
  <c r="FZ275" i="19"/>
  <c r="GA275" i="19"/>
  <c r="GB275" i="19"/>
  <c r="GC275" i="19"/>
  <c r="GD275" i="19"/>
  <c r="GE275" i="19"/>
  <c r="GF275" i="19"/>
  <c r="GG275" i="19"/>
  <c r="GH275" i="19"/>
  <c r="GI275" i="19"/>
  <c r="GJ275" i="19"/>
  <c r="GK275" i="19"/>
  <c r="GL275" i="19"/>
  <c r="GM275" i="19"/>
  <c r="GN275" i="19"/>
  <c r="GO275" i="19"/>
  <c r="GP275" i="19"/>
  <c r="GQ275" i="19"/>
  <c r="GR275" i="19"/>
  <c r="GS275" i="19"/>
  <c r="GT275" i="19"/>
  <c r="GU275" i="19"/>
  <c r="GV275" i="19"/>
  <c r="GW275" i="19"/>
  <c r="GX275" i="19"/>
  <c r="GY275" i="19"/>
  <c r="GZ275" i="19"/>
  <c r="HA275" i="19"/>
  <c r="HB275" i="19"/>
  <c r="HC275" i="19"/>
  <c r="HD275" i="19"/>
  <c r="HE275" i="19"/>
  <c r="HF275" i="19"/>
  <c r="HG275" i="19"/>
  <c r="HH275" i="19"/>
  <c r="HI275" i="19"/>
  <c r="HJ275" i="19"/>
  <c r="HK275" i="19"/>
  <c r="HL275" i="19"/>
  <c r="HM275" i="19"/>
  <c r="HN275" i="19"/>
  <c r="HO275" i="19"/>
  <c r="HP275" i="19"/>
  <c r="HQ275" i="19"/>
  <c r="HR275" i="19"/>
  <c r="HS275" i="19"/>
  <c r="HT275" i="19"/>
  <c r="HU275" i="19"/>
  <c r="HV275" i="19"/>
  <c r="HW275" i="19"/>
  <c r="HX275" i="19"/>
  <c r="HY275" i="19"/>
  <c r="HZ275" i="19"/>
  <c r="IA275" i="19"/>
  <c r="IB275" i="19"/>
  <c r="IC275" i="19"/>
  <c r="ID275" i="19"/>
  <c r="IE275" i="19"/>
  <c r="IF275" i="19"/>
  <c r="IG275" i="19"/>
  <c r="IH275" i="19"/>
  <c r="II275" i="19"/>
  <c r="IJ275" i="19"/>
  <c r="IK275" i="19"/>
  <c r="IL275" i="19"/>
  <c r="IM275" i="19"/>
  <c r="IN275" i="19"/>
  <c r="IO275" i="19"/>
  <c r="IP275" i="19"/>
  <c r="IQ275" i="19"/>
  <c r="IR275" i="19"/>
  <c r="IS275" i="19"/>
  <c r="IT275" i="19"/>
  <c r="IU275" i="19"/>
  <c r="IV275" i="19"/>
  <c r="F276" i="19"/>
  <c r="G276" i="19"/>
  <c r="H276" i="19"/>
  <c r="I276" i="19"/>
  <c r="J276" i="19"/>
  <c r="K276" i="19"/>
  <c r="L276" i="19"/>
  <c r="M276" i="19"/>
  <c r="N276" i="19"/>
  <c r="O276" i="19"/>
  <c r="P276" i="19"/>
  <c r="Q276" i="19"/>
  <c r="R276" i="19"/>
  <c r="S276" i="19"/>
  <c r="T276" i="19"/>
  <c r="U276" i="19"/>
  <c r="V276" i="19"/>
  <c r="W276" i="19"/>
  <c r="X276" i="19"/>
  <c r="Y276" i="19"/>
  <c r="Z276" i="19"/>
  <c r="AA276" i="19"/>
  <c r="AB276" i="19"/>
  <c r="AC276" i="19"/>
  <c r="AD276" i="19"/>
  <c r="AE276" i="19"/>
  <c r="AF276" i="19"/>
  <c r="AG276" i="19"/>
  <c r="AH276" i="19"/>
  <c r="AI276" i="19"/>
  <c r="AJ276" i="19"/>
  <c r="AK276" i="19"/>
  <c r="AL276" i="19"/>
  <c r="AM276" i="19"/>
  <c r="AN276" i="19"/>
  <c r="AO276" i="19"/>
  <c r="AP276" i="19"/>
  <c r="AQ276" i="19"/>
  <c r="AR276" i="19"/>
  <c r="AS276" i="19"/>
  <c r="AT276" i="19"/>
  <c r="AU276" i="19"/>
  <c r="AV276" i="19"/>
  <c r="AW276" i="19"/>
  <c r="AX276" i="19"/>
  <c r="AY276" i="19"/>
  <c r="AZ276" i="19"/>
  <c r="BA276" i="19"/>
  <c r="BB276" i="19"/>
  <c r="BC276" i="19"/>
  <c r="BD276" i="19"/>
  <c r="BE276" i="19"/>
  <c r="BF276" i="19"/>
  <c r="BG276" i="19"/>
  <c r="BH276" i="19"/>
  <c r="BI276" i="19"/>
  <c r="BJ276" i="19"/>
  <c r="BK276" i="19"/>
  <c r="BL276" i="19"/>
  <c r="BM276" i="19"/>
  <c r="BN276" i="19"/>
  <c r="BO276" i="19"/>
  <c r="BP276" i="19"/>
  <c r="BQ276" i="19"/>
  <c r="BR276" i="19"/>
  <c r="BS276" i="19"/>
  <c r="BT276" i="19"/>
  <c r="BU276" i="19"/>
  <c r="BV276" i="19"/>
  <c r="BW276" i="19"/>
  <c r="BX276" i="19"/>
  <c r="BY276" i="19"/>
  <c r="BZ276" i="19"/>
  <c r="CA276" i="19"/>
  <c r="CB276" i="19"/>
  <c r="CC276" i="19"/>
  <c r="CD276" i="19"/>
  <c r="CE276" i="19"/>
  <c r="CF276" i="19"/>
  <c r="CG276" i="19"/>
  <c r="CH276" i="19"/>
  <c r="CI276" i="19"/>
  <c r="CJ276" i="19"/>
  <c r="CK276" i="19"/>
  <c r="CL276" i="19"/>
  <c r="CM276" i="19"/>
  <c r="CN276" i="19"/>
  <c r="CO276" i="19"/>
  <c r="CP276" i="19"/>
  <c r="CQ276" i="19"/>
  <c r="CR276" i="19"/>
  <c r="CS276" i="19"/>
  <c r="CT276" i="19"/>
  <c r="CU276" i="19"/>
  <c r="CV276" i="19"/>
  <c r="CW276" i="19"/>
  <c r="CX276" i="19"/>
  <c r="CY276" i="19"/>
  <c r="CZ276" i="19"/>
  <c r="DA276" i="19"/>
  <c r="DB276" i="19"/>
  <c r="DC276" i="19"/>
  <c r="DD276" i="19"/>
  <c r="DE276" i="19"/>
  <c r="DF276" i="19"/>
  <c r="DG276" i="19"/>
  <c r="DH276" i="19"/>
  <c r="DI276" i="19"/>
  <c r="DJ276" i="19"/>
  <c r="DK276" i="19"/>
  <c r="DL276" i="19"/>
  <c r="DM276" i="19"/>
  <c r="DN276" i="19"/>
  <c r="DO276" i="19"/>
  <c r="DP276" i="19"/>
  <c r="DQ276" i="19"/>
  <c r="DR276" i="19"/>
  <c r="DS276" i="19"/>
  <c r="DT276" i="19"/>
  <c r="DU276" i="19"/>
  <c r="DV276" i="19"/>
  <c r="DW276" i="19"/>
  <c r="DX276" i="19"/>
  <c r="DY276" i="19"/>
  <c r="DZ276" i="19"/>
  <c r="EA276" i="19"/>
  <c r="EB276" i="19"/>
  <c r="EC276" i="19"/>
  <c r="ED276" i="19"/>
  <c r="EE276" i="19"/>
  <c r="EF276" i="19"/>
  <c r="EG276" i="19"/>
  <c r="EH276" i="19"/>
  <c r="EI276" i="19"/>
  <c r="EJ276" i="19"/>
  <c r="EK276" i="19"/>
  <c r="EL276" i="19"/>
  <c r="EM276" i="19"/>
  <c r="EN276" i="19"/>
  <c r="EO276" i="19"/>
  <c r="EP276" i="19"/>
  <c r="EQ276" i="19"/>
  <c r="ER276" i="19"/>
  <c r="ES276" i="19"/>
  <c r="ET276" i="19"/>
  <c r="EU276" i="19"/>
  <c r="EV276" i="19"/>
  <c r="EW276" i="19"/>
  <c r="EX276" i="19"/>
  <c r="EY276" i="19"/>
  <c r="EZ276" i="19"/>
  <c r="FA276" i="19"/>
  <c r="FB276" i="19"/>
  <c r="FC276" i="19"/>
  <c r="FD276" i="19"/>
  <c r="FE276" i="19"/>
  <c r="FF276" i="19"/>
  <c r="FG276" i="19"/>
  <c r="FH276" i="19"/>
  <c r="FI276" i="19"/>
  <c r="FJ276" i="19"/>
  <c r="FK276" i="19"/>
  <c r="FL276" i="19"/>
  <c r="FM276" i="19"/>
  <c r="FN276" i="19"/>
  <c r="FO276" i="19"/>
  <c r="FP276" i="19"/>
  <c r="FQ276" i="19"/>
  <c r="FR276" i="19"/>
  <c r="FS276" i="19"/>
  <c r="FT276" i="19"/>
  <c r="FU276" i="19"/>
  <c r="FV276" i="19"/>
  <c r="FW276" i="19"/>
  <c r="FX276" i="19"/>
  <c r="FY276" i="19"/>
  <c r="FZ276" i="19"/>
  <c r="GA276" i="19"/>
  <c r="GB276" i="19"/>
  <c r="GC276" i="19"/>
  <c r="GD276" i="19"/>
  <c r="GE276" i="19"/>
  <c r="GF276" i="19"/>
  <c r="GG276" i="19"/>
  <c r="GH276" i="19"/>
  <c r="GI276" i="19"/>
  <c r="GJ276" i="19"/>
  <c r="GK276" i="19"/>
  <c r="GL276" i="19"/>
  <c r="GM276" i="19"/>
  <c r="GN276" i="19"/>
  <c r="GO276" i="19"/>
  <c r="GP276" i="19"/>
  <c r="GQ276" i="19"/>
  <c r="GR276" i="19"/>
  <c r="GS276" i="19"/>
  <c r="GT276" i="19"/>
  <c r="GU276" i="19"/>
  <c r="GV276" i="19"/>
  <c r="GW276" i="19"/>
  <c r="GX276" i="19"/>
  <c r="GY276" i="19"/>
  <c r="GZ276" i="19"/>
  <c r="HA276" i="19"/>
  <c r="HB276" i="19"/>
  <c r="HC276" i="19"/>
  <c r="HD276" i="19"/>
  <c r="HE276" i="19"/>
  <c r="HF276" i="19"/>
  <c r="HG276" i="19"/>
  <c r="HH276" i="19"/>
  <c r="HI276" i="19"/>
  <c r="HJ276" i="19"/>
  <c r="HK276" i="19"/>
  <c r="HL276" i="19"/>
  <c r="HM276" i="19"/>
  <c r="HN276" i="19"/>
  <c r="HO276" i="19"/>
  <c r="HP276" i="19"/>
  <c r="HQ276" i="19"/>
  <c r="HR276" i="19"/>
  <c r="HS276" i="19"/>
  <c r="HT276" i="19"/>
  <c r="HU276" i="19"/>
  <c r="HV276" i="19"/>
  <c r="HW276" i="19"/>
  <c r="HX276" i="19"/>
  <c r="HY276" i="19"/>
  <c r="HZ276" i="19"/>
  <c r="IA276" i="19"/>
  <c r="IB276" i="19"/>
  <c r="IC276" i="19"/>
  <c r="ID276" i="19"/>
  <c r="IE276" i="19"/>
  <c r="IF276" i="19"/>
  <c r="IG276" i="19"/>
  <c r="IH276" i="19"/>
  <c r="II276" i="19"/>
  <c r="IJ276" i="19"/>
  <c r="IK276" i="19"/>
  <c r="IL276" i="19"/>
  <c r="IM276" i="19"/>
  <c r="IN276" i="19"/>
  <c r="IO276" i="19"/>
  <c r="IP276" i="19"/>
  <c r="IQ276" i="19"/>
  <c r="IR276" i="19"/>
  <c r="IS276" i="19"/>
  <c r="IT276" i="19"/>
  <c r="IU276" i="19"/>
  <c r="IV276" i="19"/>
  <c r="F277" i="19"/>
  <c r="G277" i="19"/>
  <c r="H277" i="19"/>
  <c r="I277" i="19"/>
  <c r="J277" i="19"/>
  <c r="K277" i="19"/>
  <c r="L277" i="19"/>
  <c r="M277" i="19"/>
  <c r="N277" i="19"/>
  <c r="O277" i="19"/>
  <c r="P277" i="19"/>
  <c r="Q277" i="19"/>
  <c r="R277" i="19"/>
  <c r="S277" i="19"/>
  <c r="T277" i="19"/>
  <c r="U277" i="19"/>
  <c r="V277" i="19"/>
  <c r="W277" i="19"/>
  <c r="X277" i="19"/>
  <c r="Y277" i="19"/>
  <c r="Z277" i="19"/>
  <c r="AA277" i="19"/>
  <c r="AB277" i="19"/>
  <c r="AC277" i="19"/>
  <c r="AD277" i="19"/>
  <c r="AE277" i="19"/>
  <c r="AF277" i="19"/>
  <c r="AG277" i="19"/>
  <c r="AH277" i="19"/>
  <c r="AI277" i="19"/>
  <c r="AJ277" i="19"/>
  <c r="AK277" i="19"/>
  <c r="AL277" i="19"/>
  <c r="AM277" i="19"/>
  <c r="AN277" i="19"/>
  <c r="AO277" i="19"/>
  <c r="AP277" i="19"/>
  <c r="AQ277" i="19"/>
  <c r="AR277" i="19"/>
  <c r="AS277" i="19"/>
  <c r="AT277" i="19"/>
  <c r="AU277" i="19"/>
  <c r="AV277" i="19"/>
  <c r="AW277" i="19"/>
  <c r="AX277" i="19"/>
  <c r="AY277" i="19"/>
  <c r="AZ277" i="19"/>
  <c r="BA277" i="19"/>
  <c r="BB277" i="19"/>
  <c r="BC277" i="19"/>
  <c r="BD277" i="19"/>
  <c r="BE277" i="19"/>
  <c r="BF277" i="19"/>
  <c r="BG277" i="19"/>
  <c r="BH277" i="19"/>
  <c r="BI277" i="19"/>
  <c r="BJ277" i="19"/>
  <c r="BK277" i="19"/>
  <c r="BL277" i="19"/>
  <c r="BM277" i="19"/>
  <c r="BN277" i="19"/>
  <c r="BO277" i="19"/>
  <c r="BP277" i="19"/>
  <c r="BQ277" i="19"/>
  <c r="BR277" i="19"/>
  <c r="BS277" i="19"/>
  <c r="BT277" i="19"/>
  <c r="BU277" i="19"/>
  <c r="BV277" i="19"/>
  <c r="BW277" i="19"/>
  <c r="BX277" i="19"/>
  <c r="BY277" i="19"/>
  <c r="BZ277" i="19"/>
  <c r="CA277" i="19"/>
  <c r="CB277" i="19"/>
  <c r="CC277" i="19"/>
  <c r="CD277" i="19"/>
  <c r="CE277" i="19"/>
  <c r="CF277" i="19"/>
  <c r="CG277" i="19"/>
  <c r="CH277" i="19"/>
  <c r="CI277" i="19"/>
  <c r="CJ277" i="19"/>
  <c r="CK277" i="19"/>
  <c r="CL277" i="19"/>
  <c r="CM277" i="19"/>
  <c r="CN277" i="19"/>
  <c r="CO277" i="19"/>
  <c r="CP277" i="19"/>
  <c r="CQ277" i="19"/>
  <c r="CR277" i="19"/>
  <c r="CS277" i="19"/>
  <c r="CT277" i="19"/>
  <c r="CU277" i="19"/>
  <c r="CV277" i="19"/>
  <c r="CW277" i="19"/>
  <c r="CX277" i="19"/>
  <c r="CY277" i="19"/>
  <c r="CZ277" i="19"/>
  <c r="DA277" i="19"/>
  <c r="DB277" i="19"/>
  <c r="DC277" i="19"/>
  <c r="DD277" i="19"/>
  <c r="DE277" i="19"/>
  <c r="DF277" i="19"/>
  <c r="DG277" i="19"/>
  <c r="DH277" i="19"/>
  <c r="DI277" i="19"/>
  <c r="DJ277" i="19"/>
  <c r="DK277" i="19"/>
  <c r="DL277" i="19"/>
  <c r="DM277" i="19"/>
  <c r="DN277" i="19"/>
  <c r="DO277" i="19"/>
  <c r="DP277" i="19"/>
  <c r="DQ277" i="19"/>
  <c r="DR277" i="19"/>
  <c r="DS277" i="19"/>
  <c r="DT277" i="19"/>
  <c r="DU277" i="19"/>
  <c r="DV277" i="19"/>
  <c r="DW277" i="19"/>
  <c r="DX277" i="19"/>
  <c r="DY277" i="19"/>
  <c r="DZ277" i="19"/>
  <c r="EA277" i="19"/>
  <c r="EB277" i="19"/>
  <c r="EC277" i="19"/>
  <c r="ED277" i="19"/>
  <c r="EE277" i="19"/>
  <c r="EF277" i="19"/>
  <c r="EG277" i="19"/>
  <c r="EH277" i="19"/>
  <c r="EI277" i="19"/>
  <c r="EJ277" i="19"/>
  <c r="EK277" i="19"/>
  <c r="EL277" i="19"/>
  <c r="EM277" i="19"/>
  <c r="EN277" i="19"/>
  <c r="EO277" i="19"/>
  <c r="EP277" i="19"/>
  <c r="EQ277" i="19"/>
  <c r="ER277" i="19"/>
  <c r="ES277" i="19"/>
  <c r="ET277" i="19"/>
  <c r="EU277" i="19"/>
  <c r="EV277" i="19"/>
  <c r="EW277" i="19"/>
  <c r="EX277" i="19"/>
  <c r="EY277" i="19"/>
  <c r="EZ277" i="19"/>
  <c r="FA277" i="19"/>
  <c r="FB277" i="19"/>
  <c r="FC277" i="19"/>
  <c r="FD277" i="19"/>
  <c r="FE277" i="19"/>
  <c r="FF277" i="19"/>
  <c r="FG277" i="19"/>
  <c r="FH277" i="19"/>
  <c r="FI277" i="19"/>
  <c r="FJ277" i="19"/>
  <c r="FK277" i="19"/>
  <c r="FL277" i="19"/>
  <c r="FM277" i="19"/>
  <c r="FN277" i="19"/>
  <c r="FO277" i="19"/>
  <c r="FP277" i="19"/>
  <c r="FQ277" i="19"/>
  <c r="FR277" i="19"/>
  <c r="FS277" i="19"/>
  <c r="FT277" i="19"/>
  <c r="FU277" i="19"/>
  <c r="FV277" i="19"/>
  <c r="FW277" i="19"/>
  <c r="FX277" i="19"/>
  <c r="FY277" i="19"/>
  <c r="FZ277" i="19"/>
  <c r="GA277" i="19"/>
  <c r="GB277" i="19"/>
  <c r="GC277" i="19"/>
  <c r="GD277" i="19"/>
  <c r="GE277" i="19"/>
  <c r="GF277" i="19"/>
  <c r="GG277" i="19"/>
  <c r="GH277" i="19"/>
  <c r="GI277" i="19"/>
  <c r="GJ277" i="19"/>
  <c r="GK277" i="19"/>
  <c r="GL277" i="19"/>
  <c r="GM277" i="19"/>
  <c r="GN277" i="19"/>
  <c r="GO277" i="19"/>
  <c r="GP277" i="19"/>
  <c r="GQ277" i="19"/>
  <c r="GR277" i="19"/>
  <c r="GS277" i="19"/>
  <c r="GT277" i="19"/>
  <c r="GU277" i="19"/>
  <c r="GV277" i="19"/>
  <c r="GW277" i="19"/>
  <c r="GX277" i="19"/>
  <c r="GY277" i="19"/>
  <c r="GZ277" i="19"/>
  <c r="HA277" i="19"/>
  <c r="HB277" i="19"/>
  <c r="HC277" i="19"/>
  <c r="HD277" i="19"/>
  <c r="HE277" i="19"/>
  <c r="HF277" i="19"/>
  <c r="HG277" i="19"/>
  <c r="HH277" i="19"/>
  <c r="HI277" i="19"/>
  <c r="HJ277" i="19"/>
  <c r="HK277" i="19"/>
  <c r="HL277" i="19"/>
  <c r="HM277" i="19"/>
  <c r="HN277" i="19"/>
  <c r="HO277" i="19"/>
  <c r="HP277" i="19"/>
  <c r="HQ277" i="19"/>
  <c r="HR277" i="19"/>
  <c r="HS277" i="19"/>
  <c r="HT277" i="19"/>
  <c r="HU277" i="19"/>
  <c r="HV277" i="19"/>
  <c r="HW277" i="19"/>
  <c r="HX277" i="19"/>
  <c r="HY277" i="19"/>
  <c r="HZ277" i="19"/>
  <c r="IA277" i="19"/>
  <c r="IB277" i="19"/>
  <c r="IC277" i="19"/>
  <c r="ID277" i="19"/>
  <c r="IE277" i="19"/>
  <c r="IF277" i="19"/>
  <c r="IG277" i="19"/>
  <c r="IH277" i="19"/>
  <c r="II277" i="19"/>
  <c r="IJ277" i="19"/>
  <c r="IK277" i="19"/>
  <c r="IL277" i="19"/>
  <c r="IM277" i="19"/>
  <c r="IN277" i="19"/>
  <c r="IO277" i="19"/>
  <c r="IP277" i="19"/>
  <c r="IQ277" i="19"/>
  <c r="IR277" i="19"/>
  <c r="IS277" i="19"/>
  <c r="IT277" i="19"/>
  <c r="IU277" i="19"/>
  <c r="IV277" i="19"/>
  <c r="F278" i="19"/>
  <c r="G278" i="19"/>
  <c r="H278" i="19"/>
  <c r="I278" i="19"/>
  <c r="J278" i="19"/>
  <c r="K278" i="19"/>
  <c r="L278" i="19"/>
  <c r="M278" i="19"/>
  <c r="N278" i="19"/>
  <c r="O278" i="19"/>
  <c r="P278" i="19"/>
  <c r="Q278" i="19"/>
  <c r="R278" i="19"/>
  <c r="S278" i="19"/>
  <c r="T278" i="19"/>
  <c r="U278" i="19"/>
  <c r="V278" i="19"/>
  <c r="W278" i="19"/>
  <c r="X278" i="19"/>
  <c r="Y278" i="19"/>
  <c r="Z278" i="19"/>
  <c r="AA278" i="19"/>
  <c r="AB278" i="19"/>
  <c r="AC278" i="19"/>
  <c r="AD278" i="19"/>
  <c r="AE278" i="19"/>
  <c r="AF278" i="19"/>
  <c r="AG278" i="19"/>
  <c r="AH278" i="19"/>
  <c r="AI278" i="19"/>
  <c r="AJ278" i="19"/>
  <c r="AK278" i="19"/>
  <c r="AL278" i="19"/>
  <c r="AM278" i="19"/>
  <c r="AN278" i="19"/>
  <c r="AO278" i="19"/>
  <c r="AP278" i="19"/>
  <c r="AQ278" i="19"/>
  <c r="AR278" i="19"/>
  <c r="AS278" i="19"/>
  <c r="AT278" i="19"/>
  <c r="AU278" i="19"/>
  <c r="AV278" i="19"/>
  <c r="AW278" i="19"/>
  <c r="AX278" i="19"/>
  <c r="AY278" i="19"/>
  <c r="AZ278" i="19"/>
  <c r="BA278" i="19"/>
  <c r="BB278" i="19"/>
  <c r="BC278" i="19"/>
  <c r="BD278" i="19"/>
  <c r="BE278" i="19"/>
  <c r="BF278" i="19"/>
  <c r="BG278" i="19"/>
  <c r="BH278" i="19"/>
  <c r="BI278" i="19"/>
  <c r="BJ278" i="19"/>
  <c r="BK278" i="19"/>
  <c r="BL278" i="19"/>
  <c r="BM278" i="19"/>
  <c r="BN278" i="19"/>
  <c r="BO278" i="19"/>
  <c r="BP278" i="19"/>
  <c r="BQ278" i="19"/>
  <c r="BR278" i="19"/>
  <c r="BS278" i="19"/>
  <c r="BT278" i="19"/>
  <c r="BU278" i="19"/>
  <c r="BV278" i="19"/>
  <c r="BW278" i="19"/>
  <c r="BX278" i="19"/>
  <c r="BY278" i="19"/>
  <c r="BZ278" i="19"/>
  <c r="CA278" i="19"/>
  <c r="CB278" i="19"/>
  <c r="CC278" i="19"/>
  <c r="CD278" i="19"/>
  <c r="CE278" i="19"/>
  <c r="CF278" i="19"/>
  <c r="CG278" i="19"/>
  <c r="CH278" i="19"/>
  <c r="CI278" i="19"/>
  <c r="CJ278" i="19"/>
  <c r="CK278" i="19"/>
  <c r="CL278" i="19"/>
  <c r="CM278" i="19"/>
  <c r="CN278" i="19"/>
  <c r="CO278" i="19"/>
  <c r="CP278" i="19"/>
  <c r="CQ278" i="19"/>
  <c r="CR278" i="19"/>
  <c r="CS278" i="19"/>
  <c r="CT278" i="19"/>
  <c r="CU278" i="19"/>
  <c r="CV278" i="19"/>
  <c r="CW278" i="19"/>
  <c r="CX278" i="19"/>
  <c r="CY278" i="19"/>
  <c r="CZ278" i="19"/>
  <c r="DA278" i="19"/>
  <c r="DB278" i="19"/>
  <c r="DC278" i="19"/>
  <c r="DD278" i="19"/>
  <c r="DE278" i="19"/>
  <c r="DF278" i="19"/>
  <c r="DG278" i="19"/>
  <c r="DH278" i="19"/>
  <c r="DI278" i="19"/>
  <c r="DJ278" i="19"/>
  <c r="DK278" i="19"/>
  <c r="DL278" i="19"/>
  <c r="DM278" i="19"/>
  <c r="DN278" i="19"/>
  <c r="DO278" i="19"/>
  <c r="DP278" i="19"/>
  <c r="DQ278" i="19"/>
  <c r="DR278" i="19"/>
  <c r="DS278" i="19"/>
  <c r="DT278" i="19"/>
  <c r="DU278" i="19"/>
  <c r="DV278" i="19"/>
  <c r="DW278" i="19"/>
  <c r="DX278" i="19"/>
  <c r="DY278" i="19"/>
  <c r="DZ278" i="19"/>
  <c r="EA278" i="19"/>
  <c r="EB278" i="19"/>
  <c r="EC278" i="19"/>
  <c r="ED278" i="19"/>
  <c r="EE278" i="19"/>
  <c r="EF278" i="19"/>
  <c r="EG278" i="19"/>
  <c r="EH278" i="19"/>
  <c r="EI278" i="19"/>
  <c r="EJ278" i="19"/>
  <c r="EK278" i="19"/>
  <c r="EL278" i="19"/>
  <c r="EM278" i="19"/>
  <c r="EN278" i="19"/>
  <c r="EO278" i="19"/>
  <c r="EP278" i="19"/>
  <c r="EQ278" i="19"/>
  <c r="ER278" i="19"/>
  <c r="ES278" i="19"/>
  <c r="ET278" i="19"/>
  <c r="EU278" i="19"/>
  <c r="EV278" i="19"/>
  <c r="EW278" i="19"/>
  <c r="EX278" i="19"/>
  <c r="EY278" i="19"/>
  <c r="EZ278" i="19"/>
  <c r="FA278" i="19"/>
  <c r="FB278" i="19"/>
  <c r="FC278" i="19"/>
  <c r="FD278" i="19"/>
  <c r="FE278" i="19"/>
  <c r="FF278" i="19"/>
  <c r="FG278" i="19"/>
  <c r="FH278" i="19"/>
  <c r="FI278" i="19"/>
  <c r="FJ278" i="19"/>
  <c r="FK278" i="19"/>
  <c r="FL278" i="19"/>
  <c r="FM278" i="19"/>
  <c r="FN278" i="19"/>
  <c r="FO278" i="19"/>
  <c r="FP278" i="19"/>
  <c r="FQ278" i="19"/>
  <c r="FR278" i="19"/>
  <c r="FS278" i="19"/>
  <c r="FT278" i="19"/>
  <c r="FU278" i="19"/>
  <c r="FV278" i="19"/>
  <c r="FW278" i="19"/>
  <c r="FX278" i="19"/>
  <c r="FY278" i="19"/>
  <c r="FZ278" i="19"/>
  <c r="GA278" i="19"/>
  <c r="GB278" i="19"/>
  <c r="GC278" i="19"/>
  <c r="GD278" i="19"/>
  <c r="GE278" i="19"/>
  <c r="GF278" i="19"/>
  <c r="GG278" i="19"/>
  <c r="GH278" i="19"/>
  <c r="GI278" i="19"/>
  <c r="GJ278" i="19"/>
  <c r="GK278" i="19"/>
  <c r="GL278" i="19"/>
  <c r="GM278" i="19"/>
  <c r="GN278" i="19"/>
  <c r="GO278" i="19"/>
  <c r="GP278" i="19"/>
  <c r="GQ278" i="19"/>
  <c r="GR278" i="19"/>
  <c r="GS278" i="19"/>
  <c r="GT278" i="19"/>
  <c r="GU278" i="19"/>
  <c r="GV278" i="19"/>
  <c r="GW278" i="19"/>
  <c r="GX278" i="19"/>
  <c r="GY278" i="19"/>
  <c r="GZ278" i="19"/>
  <c r="HA278" i="19"/>
  <c r="HB278" i="19"/>
  <c r="HC278" i="19"/>
  <c r="HD278" i="19"/>
  <c r="HE278" i="19"/>
  <c r="HF278" i="19"/>
  <c r="HG278" i="19"/>
  <c r="HH278" i="19"/>
  <c r="HI278" i="19"/>
  <c r="HJ278" i="19"/>
  <c r="HK278" i="19"/>
  <c r="HL278" i="19"/>
  <c r="HM278" i="19"/>
  <c r="HN278" i="19"/>
  <c r="HO278" i="19"/>
  <c r="HP278" i="19"/>
  <c r="HQ278" i="19"/>
  <c r="HR278" i="19"/>
  <c r="HS278" i="19"/>
  <c r="HT278" i="19"/>
  <c r="HU278" i="19"/>
  <c r="HV278" i="19"/>
  <c r="HW278" i="19"/>
  <c r="HX278" i="19"/>
  <c r="HY278" i="19"/>
  <c r="HZ278" i="19"/>
  <c r="IA278" i="19"/>
  <c r="IB278" i="19"/>
  <c r="IC278" i="19"/>
  <c r="ID278" i="19"/>
  <c r="IE278" i="19"/>
  <c r="IF278" i="19"/>
  <c r="IG278" i="19"/>
  <c r="IH278" i="19"/>
  <c r="II278" i="19"/>
  <c r="IJ278" i="19"/>
  <c r="IK278" i="19"/>
  <c r="IL278" i="19"/>
  <c r="IM278" i="19"/>
  <c r="IN278" i="19"/>
  <c r="IO278" i="19"/>
  <c r="IP278" i="19"/>
  <c r="IQ278" i="19"/>
  <c r="IR278" i="19"/>
  <c r="IS278" i="19"/>
  <c r="IT278" i="19"/>
  <c r="IU278" i="19"/>
  <c r="IV278" i="19"/>
  <c r="F279" i="19"/>
  <c r="G279" i="19"/>
  <c r="H279" i="19"/>
  <c r="I279" i="19"/>
  <c r="J279" i="19"/>
  <c r="K279" i="19"/>
  <c r="L279" i="19"/>
  <c r="M279" i="19"/>
  <c r="N279" i="19"/>
  <c r="O279" i="19"/>
  <c r="P279" i="19"/>
  <c r="Q279" i="19"/>
  <c r="R279" i="19"/>
  <c r="S279" i="19"/>
  <c r="T279" i="19"/>
  <c r="U279" i="19"/>
  <c r="V279" i="19"/>
  <c r="W279" i="19"/>
  <c r="X279" i="19"/>
  <c r="Y279" i="19"/>
  <c r="Z279" i="19"/>
  <c r="AA279" i="19"/>
  <c r="AB279" i="19"/>
  <c r="AC279" i="19"/>
  <c r="AD279" i="19"/>
  <c r="AE279" i="19"/>
  <c r="AF279" i="19"/>
  <c r="AG279" i="19"/>
  <c r="AH279" i="19"/>
  <c r="AI279" i="19"/>
  <c r="AJ279" i="19"/>
  <c r="AK279" i="19"/>
  <c r="AL279" i="19"/>
  <c r="AM279" i="19"/>
  <c r="AN279" i="19"/>
  <c r="AO279" i="19"/>
  <c r="AP279" i="19"/>
  <c r="AQ279" i="19"/>
  <c r="AR279" i="19"/>
  <c r="AS279" i="19"/>
  <c r="AT279" i="19"/>
  <c r="AU279" i="19"/>
  <c r="AV279" i="19"/>
  <c r="AW279" i="19"/>
  <c r="AX279" i="19"/>
  <c r="AY279" i="19"/>
  <c r="AZ279" i="19"/>
  <c r="BA279" i="19"/>
  <c r="BB279" i="19"/>
  <c r="BC279" i="19"/>
  <c r="BD279" i="19"/>
  <c r="BE279" i="19"/>
  <c r="BF279" i="19"/>
  <c r="BG279" i="19"/>
  <c r="BH279" i="19"/>
  <c r="BI279" i="19"/>
  <c r="BJ279" i="19"/>
  <c r="BK279" i="19"/>
  <c r="BL279" i="19"/>
  <c r="BM279" i="19"/>
  <c r="BN279" i="19"/>
  <c r="BO279" i="19"/>
  <c r="BP279" i="19"/>
  <c r="BQ279" i="19"/>
  <c r="BR279" i="19"/>
  <c r="BS279" i="19"/>
  <c r="BT279" i="19"/>
  <c r="BU279" i="19"/>
  <c r="BV279" i="19"/>
  <c r="BW279" i="19"/>
  <c r="BX279" i="19"/>
  <c r="BY279" i="19"/>
  <c r="BZ279" i="19"/>
  <c r="CA279" i="19"/>
  <c r="CB279" i="19"/>
  <c r="CC279" i="19"/>
  <c r="CD279" i="19"/>
  <c r="CE279" i="19"/>
  <c r="CF279" i="19"/>
  <c r="CG279" i="19"/>
  <c r="CH279" i="19"/>
  <c r="CI279" i="19"/>
  <c r="CJ279" i="19"/>
  <c r="CK279" i="19"/>
  <c r="CL279" i="19"/>
  <c r="CM279" i="19"/>
  <c r="CN279" i="19"/>
  <c r="CO279" i="19"/>
  <c r="CP279" i="19"/>
  <c r="CQ279" i="19"/>
  <c r="CR279" i="19"/>
  <c r="CS279" i="19"/>
  <c r="CT279" i="19"/>
  <c r="CU279" i="19"/>
  <c r="CV279" i="19"/>
  <c r="CW279" i="19"/>
  <c r="CX279" i="19"/>
  <c r="CY279" i="19"/>
  <c r="CZ279" i="19"/>
  <c r="DA279" i="19"/>
  <c r="DB279" i="19"/>
  <c r="DC279" i="19"/>
  <c r="DD279" i="19"/>
  <c r="DE279" i="19"/>
  <c r="DF279" i="19"/>
  <c r="DG279" i="19"/>
  <c r="DH279" i="19"/>
  <c r="DI279" i="19"/>
  <c r="DJ279" i="19"/>
  <c r="DK279" i="19"/>
  <c r="DL279" i="19"/>
  <c r="DM279" i="19"/>
  <c r="DN279" i="19"/>
  <c r="DO279" i="19"/>
  <c r="DP279" i="19"/>
  <c r="DQ279" i="19"/>
  <c r="DR279" i="19"/>
  <c r="DS279" i="19"/>
  <c r="DT279" i="19"/>
  <c r="DU279" i="19"/>
  <c r="DV279" i="19"/>
  <c r="DW279" i="19"/>
  <c r="DX279" i="19"/>
  <c r="DY279" i="19"/>
  <c r="DZ279" i="19"/>
  <c r="EA279" i="19"/>
  <c r="EB279" i="19"/>
  <c r="EC279" i="19"/>
  <c r="ED279" i="19"/>
  <c r="EE279" i="19"/>
  <c r="EF279" i="19"/>
  <c r="EG279" i="19"/>
  <c r="EH279" i="19"/>
  <c r="EI279" i="19"/>
  <c r="EJ279" i="19"/>
  <c r="EK279" i="19"/>
  <c r="EL279" i="19"/>
  <c r="EM279" i="19"/>
  <c r="EN279" i="19"/>
  <c r="EO279" i="19"/>
  <c r="EP279" i="19"/>
  <c r="EQ279" i="19"/>
  <c r="ER279" i="19"/>
  <c r="ES279" i="19"/>
  <c r="ET279" i="19"/>
  <c r="EU279" i="19"/>
  <c r="EV279" i="19"/>
  <c r="EW279" i="19"/>
  <c r="EX279" i="19"/>
  <c r="EY279" i="19"/>
  <c r="EZ279" i="19"/>
  <c r="FA279" i="19"/>
  <c r="FB279" i="19"/>
  <c r="FC279" i="19"/>
  <c r="FD279" i="19"/>
  <c r="FE279" i="19"/>
  <c r="FF279" i="19"/>
  <c r="FG279" i="19"/>
  <c r="FH279" i="19"/>
  <c r="FI279" i="19"/>
  <c r="FJ279" i="19"/>
  <c r="FK279" i="19"/>
  <c r="FL279" i="19"/>
  <c r="FM279" i="19"/>
  <c r="FN279" i="19"/>
  <c r="FO279" i="19"/>
  <c r="FP279" i="19"/>
  <c r="FQ279" i="19"/>
  <c r="FR279" i="19"/>
  <c r="FS279" i="19"/>
  <c r="FT279" i="19"/>
  <c r="FU279" i="19"/>
  <c r="FV279" i="19"/>
  <c r="FW279" i="19"/>
  <c r="FX279" i="19"/>
  <c r="FY279" i="19"/>
  <c r="FZ279" i="19"/>
  <c r="GA279" i="19"/>
  <c r="GB279" i="19"/>
  <c r="GC279" i="19"/>
  <c r="GD279" i="19"/>
  <c r="GE279" i="19"/>
  <c r="GF279" i="19"/>
  <c r="GG279" i="19"/>
  <c r="GH279" i="19"/>
  <c r="GI279" i="19"/>
  <c r="GJ279" i="19"/>
  <c r="GK279" i="19"/>
  <c r="GL279" i="19"/>
  <c r="GM279" i="19"/>
  <c r="GN279" i="19"/>
  <c r="GO279" i="19"/>
  <c r="GP279" i="19"/>
  <c r="GQ279" i="19"/>
  <c r="GR279" i="19"/>
  <c r="GS279" i="19"/>
  <c r="GT279" i="19"/>
  <c r="GU279" i="19"/>
  <c r="GV279" i="19"/>
  <c r="GW279" i="19"/>
  <c r="GX279" i="19"/>
  <c r="GY279" i="19"/>
  <c r="GZ279" i="19"/>
  <c r="HA279" i="19"/>
  <c r="HB279" i="19"/>
  <c r="HC279" i="19"/>
  <c r="HD279" i="19"/>
  <c r="HE279" i="19"/>
  <c r="HF279" i="19"/>
  <c r="HG279" i="19"/>
  <c r="HH279" i="19"/>
  <c r="HI279" i="19"/>
  <c r="HJ279" i="19"/>
  <c r="HK279" i="19"/>
  <c r="HL279" i="19"/>
  <c r="HM279" i="19"/>
  <c r="HN279" i="19"/>
  <c r="HO279" i="19"/>
  <c r="HP279" i="19"/>
  <c r="HQ279" i="19"/>
  <c r="HR279" i="19"/>
  <c r="HS279" i="19"/>
  <c r="HT279" i="19"/>
  <c r="HU279" i="19"/>
  <c r="HV279" i="19"/>
  <c r="HW279" i="19"/>
  <c r="HX279" i="19"/>
  <c r="HY279" i="19"/>
  <c r="HZ279" i="19"/>
  <c r="IA279" i="19"/>
  <c r="IB279" i="19"/>
  <c r="IC279" i="19"/>
  <c r="ID279" i="19"/>
  <c r="IE279" i="19"/>
  <c r="IF279" i="19"/>
  <c r="IG279" i="19"/>
  <c r="IH279" i="19"/>
  <c r="II279" i="19"/>
  <c r="IJ279" i="19"/>
  <c r="IK279" i="19"/>
  <c r="IL279" i="19"/>
  <c r="IM279" i="19"/>
  <c r="IN279" i="19"/>
  <c r="IO279" i="19"/>
  <c r="IP279" i="19"/>
  <c r="IQ279" i="19"/>
  <c r="IR279" i="19"/>
  <c r="IS279" i="19"/>
  <c r="IT279" i="19"/>
  <c r="IU279" i="19"/>
  <c r="IV279" i="19"/>
  <c r="F280" i="19"/>
  <c r="G280" i="19"/>
  <c r="H280" i="19"/>
  <c r="I280" i="19"/>
  <c r="J280" i="19"/>
  <c r="K280" i="19"/>
  <c r="L280" i="19"/>
  <c r="M280" i="19"/>
  <c r="N280" i="19"/>
  <c r="O280" i="19"/>
  <c r="P280" i="19"/>
  <c r="Q280" i="19"/>
  <c r="R280" i="19"/>
  <c r="S280" i="19"/>
  <c r="T280" i="19"/>
  <c r="U280" i="19"/>
  <c r="V280" i="19"/>
  <c r="W280" i="19"/>
  <c r="X280" i="19"/>
  <c r="Y280" i="19"/>
  <c r="Z280" i="19"/>
  <c r="AA280" i="19"/>
  <c r="AB280" i="19"/>
  <c r="AC280" i="19"/>
  <c r="AD280" i="19"/>
  <c r="AE280" i="19"/>
  <c r="AF280" i="19"/>
  <c r="AG280" i="19"/>
  <c r="AH280" i="19"/>
  <c r="AI280" i="19"/>
  <c r="AJ280" i="19"/>
  <c r="AK280" i="19"/>
  <c r="AL280" i="19"/>
  <c r="AM280" i="19"/>
  <c r="AN280" i="19"/>
  <c r="AO280" i="19"/>
  <c r="AP280" i="19"/>
  <c r="AQ280" i="19"/>
  <c r="AR280" i="19"/>
  <c r="AS280" i="19"/>
  <c r="AT280" i="19"/>
  <c r="AU280" i="19"/>
  <c r="AV280" i="19"/>
  <c r="AW280" i="19"/>
  <c r="AX280" i="19"/>
  <c r="AY280" i="19"/>
  <c r="AZ280" i="19"/>
  <c r="BA280" i="19"/>
  <c r="BB280" i="19"/>
  <c r="BC280" i="19"/>
  <c r="BD280" i="19"/>
  <c r="BE280" i="19"/>
  <c r="BF280" i="19"/>
  <c r="BG280" i="19"/>
  <c r="BH280" i="19"/>
  <c r="BI280" i="19"/>
  <c r="BJ280" i="19"/>
  <c r="BK280" i="19"/>
  <c r="BL280" i="19"/>
  <c r="BM280" i="19"/>
  <c r="BN280" i="19"/>
  <c r="BO280" i="19"/>
  <c r="BP280" i="19"/>
  <c r="BQ280" i="19"/>
  <c r="BR280" i="19"/>
  <c r="BS280" i="19"/>
  <c r="BT280" i="19"/>
  <c r="BU280" i="19"/>
  <c r="BV280" i="19"/>
  <c r="BW280" i="19"/>
  <c r="BX280" i="19"/>
  <c r="BY280" i="19"/>
  <c r="BZ280" i="19"/>
  <c r="CA280" i="19"/>
  <c r="CB280" i="19"/>
  <c r="CC280" i="19"/>
  <c r="CD280" i="19"/>
  <c r="CE280" i="19"/>
  <c r="CF280" i="19"/>
  <c r="CG280" i="19"/>
  <c r="CH280" i="19"/>
  <c r="CI280" i="19"/>
  <c r="CJ280" i="19"/>
  <c r="CK280" i="19"/>
  <c r="CL280" i="19"/>
  <c r="CM280" i="19"/>
  <c r="CN280" i="19"/>
  <c r="CO280" i="19"/>
  <c r="CP280" i="19"/>
  <c r="CQ280" i="19"/>
  <c r="CR280" i="19"/>
  <c r="CS280" i="19"/>
  <c r="CT280" i="19"/>
  <c r="CU280" i="19"/>
  <c r="CV280" i="19"/>
  <c r="CW280" i="19"/>
  <c r="CX280" i="19"/>
  <c r="CY280" i="19"/>
  <c r="CZ280" i="19"/>
  <c r="DA280" i="19"/>
  <c r="DB280" i="19"/>
  <c r="DC280" i="19"/>
  <c r="DD280" i="19"/>
  <c r="DE280" i="19"/>
  <c r="DF280" i="19"/>
  <c r="DG280" i="19"/>
  <c r="DH280" i="19"/>
  <c r="DI280" i="19"/>
  <c r="DJ280" i="19"/>
  <c r="DK280" i="19"/>
  <c r="DL280" i="19"/>
  <c r="DM280" i="19"/>
  <c r="DN280" i="19"/>
  <c r="DO280" i="19"/>
  <c r="DP280" i="19"/>
  <c r="DQ280" i="19"/>
  <c r="DR280" i="19"/>
  <c r="DS280" i="19"/>
  <c r="DT280" i="19"/>
  <c r="DU280" i="19"/>
  <c r="DV280" i="19"/>
  <c r="DW280" i="19"/>
  <c r="DX280" i="19"/>
  <c r="DY280" i="19"/>
  <c r="DZ280" i="19"/>
  <c r="EA280" i="19"/>
  <c r="EB280" i="19"/>
  <c r="EC280" i="19"/>
  <c r="ED280" i="19"/>
  <c r="EE280" i="19"/>
  <c r="EF280" i="19"/>
  <c r="EG280" i="19"/>
  <c r="EH280" i="19"/>
  <c r="EI280" i="19"/>
  <c r="EJ280" i="19"/>
  <c r="EK280" i="19"/>
  <c r="EL280" i="19"/>
  <c r="EM280" i="19"/>
  <c r="EN280" i="19"/>
  <c r="EO280" i="19"/>
  <c r="EP280" i="19"/>
  <c r="EQ280" i="19"/>
  <c r="ER280" i="19"/>
  <c r="ES280" i="19"/>
  <c r="ET280" i="19"/>
  <c r="EU280" i="19"/>
  <c r="EV280" i="19"/>
  <c r="EW280" i="19"/>
  <c r="EX280" i="19"/>
  <c r="EY280" i="19"/>
  <c r="EZ280" i="19"/>
  <c r="FA280" i="19"/>
  <c r="FB280" i="19"/>
  <c r="FC280" i="19"/>
  <c r="FD280" i="19"/>
  <c r="FE280" i="19"/>
  <c r="FF280" i="19"/>
  <c r="FG280" i="19"/>
  <c r="FH280" i="19"/>
  <c r="FI280" i="19"/>
  <c r="FJ280" i="19"/>
  <c r="FK280" i="19"/>
  <c r="FL280" i="19"/>
  <c r="FM280" i="19"/>
  <c r="FN280" i="19"/>
  <c r="FO280" i="19"/>
  <c r="FP280" i="19"/>
  <c r="FQ280" i="19"/>
  <c r="FR280" i="19"/>
  <c r="FS280" i="19"/>
  <c r="FT280" i="19"/>
  <c r="FU280" i="19"/>
  <c r="FV280" i="19"/>
  <c r="FW280" i="19"/>
  <c r="FX280" i="19"/>
  <c r="FY280" i="19"/>
  <c r="FZ280" i="19"/>
  <c r="GA280" i="19"/>
  <c r="GB280" i="19"/>
  <c r="GC280" i="19"/>
  <c r="GD280" i="19"/>
  <c r="GE280" i="19"/>
  <c r="GF280" i="19"/>
  <c r="GG280" i="19"/>
  <c r="GH280" i="19"/>
  <c r="GI280" i="19"/>
  <c r="GJ280" i="19"/>
  <c r="GK280" i="19"/>
  <c r="GL280" i="19"/>
  <c r="GM280" i="19"/>
  <c r="GN280" i="19"/>
  <c r="GO280" i="19"/>
  <c r="GP280" i="19"/>
  <c r="GQ280" i="19"/>
  <c r="GR280" i="19"/>
  <c r="GS280" i="19"/>
  <c r="GT280" i="19"/>
  <c r="GU280" i="19"/>
  <c r="GV280" i="19"/>
  <c r="GW280" i="19"/>
  <c r="GX280" i="19"/>
  <c r="GY280" i="19"/>
  <c r="GZ280" i="19"/>
  <c r="HA280" i="19"/>
  <c r="HB280" i="19"/>
  <c r="HC280" i="19"/>
  <c r="HD280" i="19"/>
  <c r="HE280" i="19"/>
  <c r="HF280" i="19"/>
  <c r="HG280" i="19"/>
  <c r="HH280" i="19"/>
  <c r="HI280" i="19"/>
  <c r="HJ280" i="19"/>
  <c r="HK280" i="19"/>
  <c r="HL280" i="19"/>
  <c r="HM280" i="19"/>
  <c r="HN280" i="19"/>
  <c r="HO280" i="19"/>
  <c r="HP280" i="19"/>
  <c r="HQ280" i="19"/>
  <c r="HR280" i="19"/>
  <c r="HS280" i="19"/>
  <c r="HT280" i="19"/>
  <c r="HU280" i="19"/>
  <c r="HV280" i="19"/>
  <c r="HW280" i="19"/>
  <c r="HX280" i="19"/>
  <c r="HY280" i="19"/>
  <c r="HZ280" i="19"/>
  <c r="IA280" i="19"/>
  <c r="IB280" i="19"/>
  <c r="IC280" i="19"/>
  <c r="ID280" i="19"/>
  <c r="IE280" i="19"/>
  <c r="IF280" i="19"/>
  <c r="IG280" i="19"/>
  <c r="IH280" i="19"/>
  <c r="II280" i="19"/>
  <c r="IJ280" i="19"/>
  <c r="IK280" i="19"/>
  <c r="IL280" i="19"/>
  <c r="IM280" i="19"/>
  <c r="IN280" i="19"/>
  <c r="IO280" i="19"/>
  <c r="IP280" i="19"/>
  <c r="IQ280" i="19"/>
  <c r="IR280" i="19"/>
  <c r="IS280" i="19"/>
  <c r="IT280" i="19"/>
  <c r="IU280" i="19"/>
  <c r="IV280" i="19"/>
  <c r="F281" i="19"/>
  <c r="G281" i="19"/>
  <c r="H281" i="19"/>
  <c r="I281" i="19"/>
  <c r="J281" i="19"/>
  <c r="K281" i="19"/>
  <c r="L281" i="19"/>
  <c r="M281" i="19"/>
  <c r="N281" i="19"/>
  <c r="O281" i="19"/>
  <c r="P281" i="19"/>
  <c r="Q281" i="19"/>
  <c r="R281" i="19"/>
  <c r="S281" i="19"/>
  <c r="T281" i="19"/>
  <c r="U281" i="19"/>
  <c r="V281" i="19"/>
  <c r="W281" i="19"/>
  <c r="X281" i="19"/>
  <c r="Y281" i="19"/>
  <c r="Z281" i="19"/>
  <c r="AA281" i="19"/>
  <c r="AB281" i="19"/>
  <c r="AC281" i="19"/>
  <c r="AD281" i="19"/>
  <c r="AE281" i="19"/>
  <c r="AF281" i="19"/>
  <c r="AG281" i="19"/>
  <c r="AH281" i="19"/>
  <c r="AI281" i="19"/>
  <c r="AJ281" i="19"/>
  <c r="AK281" i="19"/>
  <c r="AL281" i="19"/>
  <c r="AM281" i="19"/>
  <c r="AN281" i="19"/>
  <c r="AO281" i="19"/>
  <c r="AP281" i="19"/>
  <c r="AQ281" i="19"/>
  <c r="AR281" i="19"/>
  <c r="AS281" i="19"/>
  <c r="AT281" i="19"/>
  <c r="AU281" i="19"/>
  <c r="AV281" i="19"/>
  <c r="AW281" i="19"/>
  <c r="AX281" i="19"/>
  <c r="AY281" i="19"/>
  <c r="AZ281" i="19"/>
  <c r="BA281" i="19"/>
  <c r="BB281" i="19"/>
  <c r="BC281" i="19"/>
  <c r="BD281" i="19"/>
  <c r="BE281" i="19"/>
  <c r="BF281" i="19"/>
  <c r="BG281" i="19"/>
  <c r="BH281" i="19"/>
  <c r="BI281" i="19"/>
  <c r="BJ281" i="19"/>
  <c r="BK281" i="19"/>
  <c r="BL281" i="19"/>
  <c r="BM281" i="19"/>
  <c r="BN281" i="19"/>
  <c r="BO281" i="19"/>
  <c r="BP281" i="19"/>
  <c r="BQ281" i="19"/>
  <c r="BR281" i="19"/>
  <c r="BS281" i="19"/>
  <c r="BT281" i="19"/>
  <c r="BU281" i="19"/>
  <c r="BV281" i="19"/>
  <c r="BW281" i="19"/>
  <c r="BX281" i="19"/>
  <c r="BY281" i="19"/>
  <c r="BZ281" i="19"/>
  <c r="CA281" i="19"/>
  <c r="CB281" i="19"/>
  <c r="CC281" i="19"/>
  <c r="CD281" i="19"/>
  <c r="CE281" i="19"/>
  <c r="CF281" i="19"/>
  <c r="CG281" i="19"/>
  <c r="CH281" i="19"/>
  <c r="CI281" i="19"/>
  <c r="CJ281" i="19"/>
  <c r="CK281" i="19"/>
  <c r="CL281" i="19"/>
  <c r="CM281" i="19"/>
  <c r="CN281" i="19"/>
  <c r="CO281" i="19"/>
  <c r="CP281" i="19"/>
  <c r="CQ281" i="19"/>
  <c r="CR281" i="19"/>
  <c r="CS281" i="19"/>
  <c r="CT281" i="19"/>
  <c r="CU281" i="19"/>
  <c r="CV281" i="19"/>
  <c r="CW281" i="19"/>
  <c r="CX281" i="19"/>
  <c r="CY281" i="19"/>
  <c r="CZ281" i="19"/>
  <c r="DA281" i="19"/>
  <c r="DB281" i="19"/>
  <c r="DC281" i="19"/>
  <c r="DD281" i="19"/>
  <c r="DE281" i="19"/>
  <c r="DF281" i="19"/>
  <c r="DG281" i="19"/>
  <c r="DH281" i="19"/>
  <c r="DI281" i="19"/>
  <c r="DJ281" i="19"/>
  <c r="DK281" i="19"/>
  <c r="DL281" i="19"/>
  <c r="DM281" i="19"/>
  <c r="DN281" i="19"/>
  <c r="DO281" i="19"/>
  <c r="DP281" i="19"/>
  <c r="DQ281" i="19"/>
  <c r="DR281" i="19"/>
  <c r="DS281" i="19"/>
  <c r="DT281" i="19"/>
  <c r="DU281" i="19"/>
  <c r="DV281" i="19"/>
  <c r="DW281" i="19"/>
  <c r="DX281" i="19"/>
  <c r="DY281" i="19"/>
  <c r="DZ281" i="19"/>
  <c r="EA281" i="19"/>
  <c r="EB281" i="19"/>
  <c r="EC281" i="19"/>
  <c r="ED281" i="19"/>
  <c r="EE281" i="19"/>
  <c r="EF281" i="19"/>
  <c r="EG281" i="19"/>
  <c r="EH281" i="19"/>
  <c r="EI281" i="19"/>
  <c r="EJ281" i="19"/>
  <c r="EK281" i="19"/>
  <c r="EL281" i="19"/>
  <c r="EM281" i="19"/>
  <c r="EN281" i="19"/>
  <c r="EO281" i="19"/>
  <c r="EP281" i="19"/>
  <c r="EQ281" i="19"/>
  <c r="ER281" i="19"/>
  <c r="ES281" i="19"/>
  <c r="ET281" i="19"/>
  <c r="EU281" i="19"/>
  <c r="EV281" i="19"/>
  <c r="EW281" i="19"/>
  <c r="EX281" i="19"/>
  <c r="EY281" i="19"/>
  <c r="EZ281" i="19"/>
  <c r="FA281" i="19"/>
  <c r="FB281" i="19"/>
  <c r="FC281" i="19"/>
  <c r="FD281" i="19"/>
  <c r="FE281" i="19"/>
  <c r="FF281" i="19"/>
  <c r="FG281" i="19"/>
  <c r="FH281" i="19"/>
  <c r="FI281" i="19"/>
  <c r="FJ281" i="19"/>
  <c r="FK281" i="19"/>
  <c r="FL281" i="19"/>
  <c r="FM281" i="19"/>
  <c r="FN281" i="19"/>
  <c r="FO281" i="19"/>
  <c r="FP281" i="19"/>
  <c r="FQ281" i="19"/>
  <c r="FR281" i="19"/>
  <c r="FS281" i="19"/>
  <c r="FT281" i="19"/>
  <c r="FU281" i="19"/>
  <c r="FV281" i="19"/>
  <c r="FW281" i="19"/>
  <c r="FX281" i="19"/>
  <c r="FY281" i="19"/>
  <c r="FZ281" i="19"/>
  <c r="GA281" i="19"/>
  <c r="GB281" i="19"/>
  <c r="GC281" i="19"/>
  <c r="GD281" i="19"/>
  <c r="GE281" i="19"/>
  <c r="GF281" i="19"/>
  <c r="GG281" i="19"/>
  <c r="GH281" i="19"/>
  <c r="GI281" i="19"/>
  <c r="GJ281" i="19"/>
  <c r="GK281" i="19"/>
  <c r="GL281" i="19"/>
  <c r="GM281" i="19"/>
  <c r="GN281" i="19"/>
  <c r="GO281" i="19"/>
  <c r="GP281" i="19"/>
  <c r="GQ281" i="19"/>
  <c r="GR281" i="19"/>
  <c r="GS281" i="19"/>
  <c r="GT281" i="19"/>
  <c r="GU281" i="19"/>
  <c r="GV281" i="19"/>
  <c r="GW281" i="19"/>
  <c r="GX281" i="19"/>
  <c r="GY281" i="19"/>
  <c r="GZ281" i="19"/>
  <c r="HA281" i="19"/>
  <c r="HB281" i="19"/>
  <c r="HC281" i="19"/>
  <c r="HD281" i="19"/>
  <c r="HE281" i="19"/>
  <c r="HF281" i="19"/>
  <c r="HG281" i="19"/>
  <c r="HH281" i="19"/>
  <c r="HI281" i="19"/>
  <c r="HJ281" i="19"/>
  <c r="HK281" i="19"/>
  <c r="HL281" i="19"/>
  <c r="HM281" i="19"/>
  <c r="HN281" i="19"/>
  <c r="HO281" i="19"/>
  <c r="HP281" i="19"/>
  <c r="HQ281" i="19"/>
  <c r="HR281" i="19"/>
  <c r="HS281" i="19"/>
  <c r="HT281" i="19"/>
  <c r="HU281" i="19"/>
  <c r="HV281" i="19"/>
  <c r="HW281" i="19"/>
  <c r="HX281" i="19"/>
  <c r="HY281" i="19"/>
  <c r="HZ281" i="19"/>
  <c r="IA281" i="19"/>
  <c r="IB281" i="19"/>
  <c r="IC281" i="19"/>
  <c r="ID281" i="19"/>
  <c r="IE281" i="19"/>
  <c r="IF281" i="19"/>
  <c r="IG281" i="19"/>
  <c r="IH281" i="19"/>
  <c r="II281" i="19"/>
  <c r="IJ281" i="19"/>
  <c r="IK281" i="19"/>
  <c r="IL281" i="19"/>
  <c r="IM281" i="19"/>
  <c r="IN281" i="19"/>
  <c r="IO281" i="19"/>
  <c r="IP281" i="19"/>
  <c r="IQ281" i="19"/>
  <c r="IR281" i="19"/>
  <c r="IS281" i="19"/>
  <c r="IT281" i="19"/>
  <c r="IU281" i="19"/>
  <c r="IV281" i="19"/>
  <c r="F282" i="19"/>
  <c r="G282" i="19"/>
  <c r="H282" i="19"/>
  <c r="I282" i="19"/>
  <c r="J282" i="19"/>
  <c r="K282" i="19"/>
  <c r="L282" i="19"/>
  <c r="M282" i="19"/>
  <c r="N282" i="19"/>
  <c r="O282" i="19"/>
  <c r="P282" i="19"/>
  <c r="Q282" i="19"/>
  <c r="R282" i="19"/>
  <c r="S282" i="19"/>
  <c r="T282" i="19"/>
  <c r="U282" i="19"/>
  <c r="V282" i="19"/>
  <c r="W282" i="19"/>
  <c r="X282" i="19"/>
  <c r="Y282" i="19"/>
  <c r="Z282" i="19"/>
  <c r="AA282" i="19"/>
  <c r="AB282" i="19"/>
  <c r="AC282" i="19"/>
  <c r="AD282" i="19"/>
  <c r="AE282" i="19"/>
  <c r="AF282" i="19"/>
  <c r="AG282" i="19"/>
  <c r="AH282" i="19"/>
  <c r="AI282" i="19"/>
  <c r="AJ282" i="19"/>
  <c r="AK282" i="19"/>
  <c r="AL282" i="19"/>
  <c r="AM282" i="19"/>
  <c r="AN282" i="19"/>
  <c r="AO282" i="19"/>
  <c r="AP282" i="19"/>
  <c r="AQ282" i="19"/>
  <c r="AR282" i="19"/>
  <c r="AS282" i="19"/>
  <c r="AT282" i="19"/>
  <c r="AU282" i="19"/>
  <c r="AV282" i="19"/>
  <c r="AW282" i="19"/>
  <c r="AX282" i="19"/>
  <c r="AY282" i="19"/>
  <c r="AZ282" i="19"/>
  <c r="BA282" i="19"/>
  <c r="BB282" i="19"/>
  <c r="BC282" i="19"/>
  <c r="BD282" i="19"/>
  <c r="BE282" i="19"/>
  <c r="BF282" i="19"/>
  <c r="BG282" i="19"/>
  <c r="BH282" i="19"/>
  <c r="BI282" i="19"/>
  <c r="BJ282" i="19"/>
  <c r="BK282" i="19"/>
  <c r="BL282" i="19"/>
  <c r="BM282" i="19"/>
  <c r="BN282" i="19"/>
  <c r="BO282" i="19"/>
  <c r="BP282" i="19"/>
  <c r="BQ282" i="19"/>
  <c r="BR282" i="19"/>
  <c r="BS282" i="19"/>
  <c r="BT282" i="19"/>
  <c r="BU282" i="19"/>
  <c r="BV282" i="19"/>
  <c r="BW282" i="19"/>
  <c r="BX282" i="19"/>
  <c r="BY282" i="19"/>
  <c r="BZ282" i="19"/>
  <c r="CA282" i="19"/>
  <c r="CB282" i="19"/>
  <c r="CC282" i="19"/>
  <c r="CD282" i="19"/>
  <c r="CE282" i="19"/>
  <c r="CF282" i="19"/>
  <c r="CG282" i="19"/>
  <c r="CH282" i="19"/>
  <c r="CI282" i="19"/>
  <c r="CJ282" i="19"/>
  <c r="CK282" i="19"/>
  <c r="CL282" i="19"/>
  <c r="CM282" i="19"/>
  <c r="CN282" i="19"/>
  <c r="CO282" i="19"/>
  <c r="CP282" i="19"/>
  <c r="CQ282" i="19"/>
  <c r="CR282" i="19"/>
  <c r="CS282" i="19"/>
  <c r="CT282" i="19"/>
  <c r="CU282" i="19"/>
  <c r="CV282" i="19"/>
  <c r="CW282" i="19"/>
  <c r="CX282" i="19"/>
  <c r="CY282" i="19"/>
  <c r="CZ282" i="19"/>
  <c r="DA282" i="19"/>
  <c r="DB282" i="19"/>
  <c r="DC282" i="19"/>
  <c r="DD282" i="19"/>
  <c r="DE282" i="19"/>
  <c r="DF282" i="19"/>
  <c r="DG282" i="19"/>
  <c r="DH282" i="19"/>
  <c r="DI282" i="19"/>
  <c r="DJ282" i="19"/>
  <c r="DK282" i="19"/>
  <c r="DL282" i="19"/>
  <c r="DM282" i="19"/>
  <c r="DN282" i="19"/>
  <c r="DO282" i="19"/>
  <c r="DP282" i="19"/>
  <c r="DQ282" i="19"/>
  <c r="DR282" i="19"/>
  <c r="DS282" i="19"/>
  <c r="DT282" i="19"/>
  <c r="DU282" i="19"/>
  <c r="DV282" i="19"/>
  <c r="DW282" i="19"/>
  <c r="DX282" i="19"/>
  <c r="DY282" i="19"/>
  <c r="DZ282" i="19"/>
  <c r="EA282" i="19"/>
  <c r="EB282" i="19"/>
  <c r="EC282" i="19"/>
  <c r="ED282" i="19"/>
  <c r="EE282" i="19"/>
  <c r="EF282" i="19"/>
  <c r="EG282" i="19"/>
  <c r="EH282" i="19"/>
  <c r="EI282" i="19"/>
  <c r="EJ282" i="19"/>
  <c r="EK282" i="19"/>
  <c r="EL282" i="19"/>
  <c r="EM282" i="19"/>
  <c r="EN282" i="19"/>
  <c r="EO282" i="19"/>
  <c r="EP282" i="19"/>
  <c r="EQ282" i="19"/>
  <c r="ER282" i="19"/>
  <c r="ES282" i="19"/>
  <c r="ET282" i="19"/>
  <c r="EU282" i="19"/>
  <c r="EV282" i="19"/>
  <c r="EW282" i="19"/>
  <c r="EX282" i="19"/>
  <c r="EY282" i="19"/>
  <c r="EZ282" i="19"/>
  <c r="FA282" i="19"/>
  <c r="FB282" i="19"/>
  <c r="FC282" i="19"/>
  <c r="FD282" i="19"/>
  <c r="FE282" i="19"/>
  <c r="FF282" i="19"/>
  <c r="FG282" i="19"/>
  <c r="FH282" i="19"/>
  <c r="FI282" i="19"/>
  <c r="FJ282" i="19"/>
  <c r="FK282" i="19"/>
  <c r="FL282" i="19"/>
  <c r="FM282" i="19"/>
  <c r="FN282" i="19"/>
  <c r="FO282" i="19"/>
  <c r="FP282" i="19"/>
  <c r="FQ282" i="19"/>
  <c r="FR282" i="19"/>
  <c r="FS282" i="19"/>
  <c r="FT282" i="19"/>
  <c r="FU282" i="19"/>
  <c r="FV282" i="19"/>
  <c r="FW282" i="19"/>
  <c r="FX282" i="19"/>
  <c r="FY282" i="19"/>
  <c r="FZ282" i="19"/>
  <c r="GA282" i="19"/>
  <c r="GB282" i="19"/>
  <c r="GC282" i="19"/>
  <c r="GD282" i="19"/>
  <c r="GE282" i="19"/>
  <c r="GF282" i="19"/>
  <c r="GG282" i="19"/>
  <c r="GH282" i="19"/>
  <c r="GI282" i="19"/>
  <c r="GJ282" i="19"/>
  <c r="GK282" i="19"/>
  <c r="GL282" i="19"/>
  <c r="GM282" i="19"/>
  <c r="GN282" i="19"/>
  <c r="GO282" i="19"/>
  <c r="GP282" i="19"/>
  <c r="GQ282" i="19"/>
  <c r="GR282" i="19"/>
  <c r="GS282" i="19"/>
  <c r="GT282" i="19"/>
  <c r="GU282" i="19"/>
  <c r="GV282" i="19"/>
  <c r="GW282" i="19"/>
  <c r="GX282" i="19"/>
  <c r="GY282" i="19"/>
  <c r="GZ282" i="19"/>
  <c r="HA282" i="19"/>
  <c r="HB282" i="19"/>
  <c r="HC282" i="19"/>
  <c r="HD282" i="19"/>
  <c r="HE282" i="19"/>
  <c r="HF282" i="19"/>
  <c r="HG282" i="19"/>
  <c r="HH282" i="19"/>
  <c r="HI282" i="19"/>
  <c r="HJ282" i="19"/>
  <c r="HK282" i="19"/>
  <c r="HL282" i="19"/>
  <c r="HM282" i="19"/>
  <c r="HN282" i="19"/>
  <c r="HO282" i="19"/>
  <c r="HP282" i="19"/>
  <c r="HQ282" i="19"/>
  <c r="HR282" i="19"/>
  <c r="HS282" i="19"/>
  <c r="HT282" i="19"/>
  <c r="HU282" i="19"/>
  <c r="HV282" i="19"/>
  <c r="HW282" i="19"/>
  <c r="HX282" i="19"/>
  <c r="HY282" i="19"/>
  <c r="HZ282" i="19"/>
  <c r="IA282" i="19"/>
  <c r="IB282" i="19"/>
  <c r="IC282" i="19"/>
  <c r="ID282" i="19"/>
  <c r="IE282" i="19"/>
  <c r="IF282" i="19"/>
  <c r="IG282" i="19"/>
  <c r="IH282" i="19"/>
  <c r="II282" i="19"/>
  <c r="IJ282" i="19"/>
  <c r="IK282" i="19"/>
  <c r="IL282" i="19"/>
  <c r="IM282" i="19"/>
  <c r="IN282" i="19"/>
  <c r="IO282" i="19"/>
  <c r="IP282" i="19"/>
  <c r="IQ282" i="19"/>
  <c r="IR282" i="19"/>
  <c r="IS282" i="19"/>
  <c r="IT282" i="19"/>
  <c r="IU282" i="19"/>
  <c r="IV282" i="19"/>
  <c r="F283" i="19"/>
  <c r="G283" i="19"/>
  <c r="H283" i="19"/>
  <c r="I283" i="19"/>
  <c r="J283" i="19"/>
  <c r="K283" i="19"/>
  <c r="L283" i="19"/>
  <c r="M283" i="19"/>
  <c r="N283" i="19"/>
  <c r="O283" i="19"/>
  <c r="P283" i="19"/>
  <c r="Q283" i="19"/>
  <c r="R283" i="19"/>
  <c r="S283" i="19"/>
  <c r="T283" i="19"/>
  <c r="U283" i="19"/>
  <c r="V283" i="19"/>
  <c r="W283" i="19"/>
  <c r="X283" i="19"/>
  <c r="Y283" i="19"/>
  <c r="Z283" i="19"/>
  <c r="AA283" i="19"/>
  <c r="AB283" i="19"/>
  <c r="AC283" i="19"/>
  <c r="AD283" i="19"/>
  <c r="AE283" i="19"/>
  <c r="AF283" i="19"/>
  <c r="AG283" i="19"/>
  <c r="AH283" i="19"/>
  <c r="AI283" i="19"/>
  <c r="AJ283" i="19"/>
  <c r="AK283" i="19"/>
  <c r="AL283" i="19"/>
  <c r="AM283" i="19"/>
  <c r="AN283" i="19"/>
  <c r="AO283" i="19"/>
  <c r="AP283" i="19"/>
  <c r="AQ283" i="19"/>
  <c r="AR283" i="19"/>
  <c r="AS283" i="19"/>
  <c r="AT283" i="19"/>
  <c r="AU283" i="19"/>
  <c r="AV283" i="19"/>
  <c r="AW283" i="19"/>
  <c r="AX283" i="19"/>
  <c r="AY283" i="19"/>
  <c r="AZ283" i="19"/>
  <c r="BA283" i="19"/>
  <c r="BB283" i="19"/>
  <c r="BC283" i="19"/>
  <c r="BD283" i="19"/>
  <c r="BE283" i="19"/>
  <c r="BF283" i="19"/>
  <c r="BG283" i="19"/>
  <c r="BH283" i="19"/>
  <c r="BI283" i="19"/>
  <c r="BJ283" i="19"/>
  <c r="BK283" i="19"/>
  <c r="BL283" i="19"/>
  <c r="BM283" i="19"/>
  <c r="BN283" i="19"/>
  <c r="BO283" i="19"/>
  <c r="BP283" i="19"/>
  <c r="BQ283" i="19"/>
  <c r="BR283" i="19"/>
  <c r="BS283" i="19"/>
  <c r="BT283" i="19"/>
  <c r="BU283" i="19"/>
  <c r="BV283" i="19"/>
  <c r="BW283" i="19"/>
  <c r="BX283" i="19"/>
  <c r="BY283" i="19"/>
  <c r="BZ283" i="19"/>
  <c r="CA283" i="19"/>
  <c r="CB283" i="19"/>
  <c r="CC283" i="19"/>
  <c r="CD283" i="19"/>
  <c r="CE283" i="19"/>
  <c r="CF283" i="19"/>
  <c r="CG283" i="19"/>
  <c r="CH283" i="19"/>
  <c r="CI283" i="19"/>
  <c r="CJ283" i="19"/>
  <c r="CK283" i="19"/>
  <c r="CL283" i="19"/>
  <c r="CM283" i="19"/>
  <c r="CN283" i="19"/>
  <c r="CO283" i="19"/>
  <c r="CP283" i="19"/>
  <c r="CQ283" i="19"/>
  <c r="CR283" i="19"/>
  <c r="CS283" i="19"/>
  <c r="CT283" i="19"/>
  <c r="CU283" i="19"/>
  <c r="CV283" i="19"/>
  <c r="CW283" i="19"/>
  <c r="CX283" i="19"/>
  <c r="CY283" i="19"/>
  <c r="CZ283" i="19"/>
  <c r="DA283" i="19"/>
  <c r="DB283" i="19"/>
  <c r="DC283" i="19"/>
  <c r="DD283" i="19"/>
  <c r="DE283" i="19"/>
  <c r="DF283" i="19"/>
  <c r="DG283" i="19"/>
  <c r="DH283" i="19"/>
  <c r="DI283" i="19"/>
  <c r="DJ283" i="19"/>
  <c r="DK283" i="19"/>
  <c r="DL283" i="19"/>
  <c r="DM283" i="19"/>
  <c r="DN283" i="19"/>
  <c r="DO283" i="19"/>
  <c r="DP283" i="19"/>
  <c r="DQ283" i="19"/>
  <c r="DR283" i="19"/>
  <c r="DS283" i="19"/>
  <c r="DT283" i="19"/>
  <c r="DU283" i="19"/>
  <c r="DV283" i="19"/>
  <c r="DW283" i="19"/>
  <c r="DX283" i="19"/>
  <c r="DY283" i="19"/>
  <c r="DZ283" i="19"/>
  <c r="EA283" i="19"/>
  <c r="EB283" i="19"/>
  <c r="EC283" i="19"/>
  <c r="ED283" i="19"/>
  <c r="EE283" i="19"/>
  <c r="EF283" i="19"/>
  <c r="EG283" i="19"/>
  <c r="EH283" i="19"/>
  <c r="EI283" i="19"/>
  <c r="EJ283" i="19"/>
  <c r="EK283" i="19"/>
  <c r="EL283" i="19"/>
  <c r="EM283" i="19"/>
  <c r="EN283" i="19"/>
  <c r="EO283" i="19"/>
  <c r="EP283" i="19"/>
  <c r="EQ283" i="19"/>
  <c r="ER283" i="19"/>
  <c r="ES283" i="19"/>
  <c r="ET283" i="19"/>
  <c r="EU283" i="19"/>
  <c r="EV283" i="19"/>
  <c r="EW283" i="19"/>
  <c r="EX283" i="19"/>
  <c r="EY283" i="19"/>
  <c r="EZ283" i="19"/>
  <c r="FA283" i="19"/>
  <c r="FB283" i="19"/>
  <c r="FC283" i="19"/>
  <c r="FD283" i="19"/>
  <c r="FE283" i="19"/>
  <c r="FF283" i="19"/>
  <c r="FG283" i="19"/>
  <c r="FH283" i="19"/>
  <c r="FI283" i="19"/>
  <c r="FJ283" i="19"/>
  <c r="FK283" i="19"/>
  <c r="FL283" i="19"/>
  <c r="FM283" i="19"/>
  <c r="FN283" i="19"/>
  <c r="FO283" i="19"/>
  <c r="FP283" i="19"/>
  <c r="FQ283" i="19"/>
  <c r="FR283" i="19"/>
  <c r="FS283" i="19"/>
  <c r="FT283" i="19"/>
  <c r="FU283" i="19"/>
  <c r="FV283" i="19"/>
  <c r="FW283" i="19"/>
  <c r="FX283" i="19"/>
  <c r="FY283" i="19"/>
  <c r="FZ283" i="19"/>
  <c r="GA283" i="19"/>
  <c r="GB283" i="19"/>
  <c r="GC283" i="19"/>
  <c r="GD283" i="19"/>
  <c r="GE283" i="19"/>
  <c r="GF283" i="19"/>
  <c r="GG283" i="19"/>
  <c r="GH283" i="19"/>
  <c r="GI283" i="19"/>
  <c r="GJ283" i="19"/>
  <c r="GK283" i="19"/>
  <c r="GL283" i="19"/>
  <c r="GM283" i="19"/>
  <c r="GN283" i="19"/>
  <c r="GO283" i="19"/>
  <c r="GP283" i="19"/>
  <c r="GQ283" i="19"/>
  <c r="GR283" i="19"/>
  <c r="GS283" i="19"/>
  <c r="GT283" i="19"/>
  <c r="GU283" i="19"/>
  <c r="GV283" i="19"/>
  <c r="GW283" i="19"/>
  <c r="GX283" i="19"/>
  <c r="GY283" i="19"/>
  <c r="GZ283" i="19"/>
  <c r="HA283" i="19"/>
  <c r="HB283" i="19"/>
  <c r="HC283" i="19"/>
  <c r="HD283" i="19"/>
  <c r="HE283" i="19"/>
  <c r="HF283" i="19"/>
  <c r="HG283" i="19"/>
  <c r="HH283" i="19"/>
  <c r="HI283" i="19"/>
  <c r="HJ283" i="19"/>
  <c r="HK283" i="19"/>
  <c r="HL283" i="19"/>
  <c r="HM283" i="19"/>
  <c r="HN283" i="19"/>
  <c r="HO283" i="19"/>
  <c r="HP283" i="19"/>
  <c r="HQ283" i="19"/>
  <c r="HR283" i="19"/>
  <c r="HS283" i="19"/>
  <c r="HT283" i="19"/>
  <c r="HU283" i="19"/>
  <c r="HV283" i="19"/>
  <c r="HW283" i="19"/>
  <c r="HX283" i="19"/>
  <c r="HY283" i="19"/>
  <c r="HZ283" i="19"/>
  <c r="IA283" i="19"/>
  <c r="IB283" i="19"/>
  <c r="IC283" i="19"/>
  <c r="ID283" i="19"/>
  <c r="IE283" i="19"/>
  <c r="IF283" i="19"/>
  <c r="IG283" i="19"/>
  <c r="IH283" i="19"/>
  <c r="II283" i="19"/>
  <c r="IJ283" i="19"/>
  <c r="IK283" i="19"/>
  <c r="IL283" i="19"/>
  <c r="IM283" i="19"/>
  <c r="IN283" i="19"/>
  <c r="IO283" i="19"/>
  <c r="IP283" i="19"/>
  <c r="IQ283" i="19"/>
  <c r="IR283" i="19"/>
  <c r="IS283" i="19"/>
  <c r="IT283" i="19"/>
  <c r="IU283" i="19"/>
  <c r="IV283" i="19"/>
  <c r="F284" i="19"/>
  <c r="G284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T284" i="19"/>
  <c r="U284" i="19"/>
  <c r="V284" i="19"/>
  <c r="W284" i="19"/>
  <c r="X284" i="19"/>
  <c r="Y284" i="19"/>
  <c r="Z284" i="19"/>
  <c r="AA284" i="19"/>
  <c r="AB284" i="19"/>
  <c r="AC284" i="19"/>
  <c r="AD284" i="19"/>
  <c r="AE284" i="19"/>
  <c r="AF284" i="19"/>
  <c r="AG284" i="19"/>
  <c r="AH284" i="19"/>
  <c r="AI284" i="19"/>
  <c r="AJ284" i="19"/>
  <c r="AK284" i="19"/>
  <c r="AL284" i="19"/>
  <c r="AM284" i="19"/>
  <c r="AN284" i="19"/>
  <c r="AO284" i="19"/>
  <c r="AP284" i="19"/>
  <c r="AQ284" i="19"/>
  <c r="AR284" i="19"/>
  <c r="AS284" i="19"/>
  <c r="AT284" i="19"/>
  <c r="AU284" i="19"/>
  <c r="AV284" i="19"/>
  <c r="AW284" i="19"/>
  <c r="AX284" i="19"/>
  <c r="AY284" i="19"/>
  <c r="AZ284" i="19"/>
  <c r="BA284" i="19"/>
  <c r="BB284" i="19"/>
  <c r="BC284" i="19"/>
  <c r="BD284" i="19"/>
  <c r="BE284" i="19"/>
  <c r="BF284" i="19"/>
  <c r="BG284" i="19"/>
  <c r="BH284" i="19"/>
  <c r="BI284" i="19"/>
  <c r="BJ284" i="19"/>
  <c r="BK284" i="19"/>
  <c r="BL284" i="19"/>
  <c r="BM284" i="19"/>
  <c r="BN284" i="19"/>
  <c r="BO284" i="19"/>
  <c r="BP284" i="19"/>
  <c r="BQ284" i="19"/>
  <c r="BR284" i="19"/>
  <c r="BS284" i="19"/>
  <c r="BT284" i="19"/>
  <c r="BU284" i="19"/>
  <c r="BV284" i="19"/>
  <c r="BW284" i="19"/>
  <c r="BX284" i="19"/>
  <c r="BY284" i="19"/>
  <c r="BZ284" i="19"/>
  <c r="CA284" i="19"/>
  <c r="CB284" i="19"/>
  <c r="CC284" i="19"/>
  <c r="CD284" i="19"/>
  <c r="CE284" i="19"/>
  <c r="CF284" i="19"/>
  <c r="CG284" i="19"/>
  <c r="CH284" i="19"/>
  <c r="CI284" i="19"/>
  <c r="CJ284" i="19"/>
  <c r="CK284" i="19"/>
  <c r="CL284" i="19"/>
  <c r="CM284" i="19"/>
  <c r="CN284" i="19"/>
  <c r="CO284" i="19"/>
  <c r="CP284" i="19"/>
  <c r="CQ284" i="19"/>
  <c r="CR284" i="19"/>
  <c r="CS284" i="19"/>
  <c r="CT284" i="19"/>
  <c r="CU284" i="19"/>
  <c r="CV284" i="19"/>
  <c r="CW284" i="19"/>
  <c r="CX284" i="19"/>
  <c r="CY284" i="19"/>
  <c r="CZ284" i="19"/>
  <c r="DA284" i="19"/>
  <c r="DB284" i="19"/>
  <c r="DC284" i="19"/>
  <c r="DD284" i="19"/>
  <c r="DE284" i="19"/>
  <c r="DF284" i="19"/>
  <c r="DG284" i="19"/>
  <c r="DH284" i="19"/>
  <c r="DI284" i="19"/>
  <c r="DJ284" i="19"/>
  <c r="DK284" i="19"/>
  <c r="DL284" i="19"/>
  <c r="DM284" i="19"/>
  <c r="DN284" i="19"/>
  <c r="DO284" i="19"/>
  <c r="DP284" i="19"/>
  <c r="DQ284" i="19"/>
  <c r="DR284" i="19"/>
  <c r="DS284" i="19"/>
  <c r="DT284" i="19"/>
  <c r="DU284" i="19"/>
  <c r="DV284" i="19"/>
  <c r="DW284" i="19"/>
  <c r="DX284" i="19"/>
  <c r="DY284" i="19"/>
  <c r="DZ284" i="19"/>
  <c r="EA284" i="19"/>
  <c r="EB284" i="19"/>
  <c r="EC284" i="19"/>
  <c r="ED284" i="19"/>
  <c r="EE284" i="19"/>
  <c r="EF284" i="19"/>
  <c r="EG284" i="19"/>
  <c r="EH284" i="19"/>
  <c r="EI284" i="19"/>
  <c r="EJ284" i="19"/>
  <c r="EK284" i="19"/>
  <c r="EL284" i="19"/>
  <c r="EM284" i="19"/>
  <c r="EN284" i="19"/>
  <c r="EO284" i="19"/>
  <c r="EP284" i="19"/>
  <c r="EQ284" i="19"/>
  <c r="ER284" i="19"/>
  <c r="ES284" i="19"/>
  <c r="ET284" i="19"/>
  <c r="EU284" i="19"/>
  <c r="EV284" i="19"/>
  <c r="EW284" i="19"/>
  <c r="EX284" i="19"/>
  <c r="EY284" i="19"/>
  <c r="EZ284" i="19"/>
  <c r="FA284" i="19"/>
  <c r="FB284" i="19"/>
  <c r="FC284" i="19"/>
  <c r="FD284" i="19"/>
  <c r="FE284" i="19"/>
  <c r="FF284" i="19"/>
  <c r="FG284" i="19"/>
  <c r="FH284" i="19"/>
  <c r="FI284" i="19"/>
  <c r="FJ284" i="19"/>
  <c r="FK284" i="19"/>
  <c r="FL284" i="19"/>
  <c r="FM284" i="19"/>
  <c r="FN284" i="19"/>
  <c r="FO284" i="19"/>
  <c r="FP284" i="19"/>
  <c r="FQ284" i="19"/>
  <c r="FR284" i="19"/>
  <c r="FS284" i="19"/>
  <c r="FT284" i="19"/>
  <c r="FU284" i="19"/>
  <c r="FV284" i="19"/>
  <c r="FW284" i="19"/>
  <c r="FX284" i="19"/>
  <c r="FY284" i="19"/>
  <c r="FZ284" i="19"/>
  <c r="GA284" i="19"/>
  <c r="GB284" i="19"/>
  <c r="GC284" i="19"/>
  <c r="GD284" i="19"/>
  <c r="GE284" i="19"/>
  <c r="GF284" i="19"/>
  <c r="GG284" i="19"/>
  <c r="GH284" i="19"/>
  <c r="GI284" i="19"/>
  <c r="GJ284" i="19"/>
  <c r="GK284" i="19"/>
  <c r="GL284" i="19"/>
  <c r="GM284" i="19"/>
  <c r="GN284" i="19"/>
  <c r="GO284" i="19"/>
  <c r="GP284" i="19"/>
  <c r="GQ284" i="19"/>
  <c r="GR284" i="19"/>
  <c r="GS284" i="19"/>
  <c r="GT284" i="19"/>
  <c r="GU284" i="19"/>
  <c r="GV284" i="19"/>
  <c r="GW284" i="19"/>
  <c r="GX284" i="19"/>
  <c r="GY284" i="19"/>
  <c r="GZ284" i="19"/>
  <c r="HA284" i="19"/>
  <c r="HB284" i="19"/>
  <c r="HC284" i="19"/>
  <c r="HD284" i="19"/>
  <c r="HE284" i="19"/>
  <c r="HF284" i="19"/>
  <c r="HG284" i="19"/>
  <c r="HH284" i="19"/>
  <c r="HI284" i="19"/>
  <c r="HJ284" i="19"/>
  <c r="HK284" i="19"/>
  <c r="HL284" i="19"/>
  <c r="HM284" i="19"/>
  <c r="HN284" i="19"/>
  <c r="HO284" i="19"/>
  <c r="HP284" i="19"/>
  <c r="HQ284" i="19"/>
  <c r="HR284" i="19"/>
  <c r="HS284" i="19"/>
  <c r="HT284" i="19"/>
  <c r="HU284" i="19"/>
  <c r="HV284" i="19"/>
  <c r="HW284" i="19"/>
  <c r="HX284" i="19"/>
  <c r="HY284" i="19"/>
  <c r="HZ284" i="19"/>
  <c r="IA284" i="19"/>
  <c r="IB284" i="19"/>
  <c r="IC284" i="19"/>
  <c r="ID284" i="19"/>
  <c r="IE284" i="19"/>
  <c r="IF284" i="19"/>
  <c r="IG284" i="19"/>
  <c r="IH284" i="19"/>
  <c r="II284" i="19"/>
  <c r="IJ284" i="19"/>
  <c r="IK284" i="19"/>
  <c r="IL284" i="19"/>
  <c r="IM284" i="19"/>
  <c r="IN284" i="19"/>
  <c r="IO284" i="19"/>
  <c r="IP284" i="19"/>
  <c r="IQ284" i="19"/>
  <c r="IR284" i="19"/>
  <c r="IS284" i="19"/>
  <c r="IT284" i="19"/>
  <c r="IU284" i="19"/>
  <c r="IV284" i="19"/>
  <c r="F285" i="19"/>
  <c r="G285" i="19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T285" i="19"/>
  <c r="U285" i="19"/>
  <c r="V285" i="19"/>
  <c r="W285" i="19"/>
  <c r="X285" i="19"/>
  <c r="Y285" i="19"/>
  <c r="Z285" i="19"/>
  <c r="AA285" i="19"/>
  <c r="AB285" i="19"/>
  <c r="AC285" i="19"/>
  <c r="AD285" i="19"/>
  <c r="AE285" i="19"/>
  <c r="AF285" i="19"/>
  <c r="AG285" i="19"/>
  <c r="AH285" i="19"/>
  <c r="AI285" i="19"/>
  <c r="AJ285" i="19"/>
  <c r="AK285" i="19"/>
  <c r="AL285" i="19"/>
  <c r="AM285" i="19"/>
  <c r="AN285" i="19"/>
  <c r="AO285" i="19"/>
  <c r="AP285" i="19"/>
  <c r="AQ285" i="19"/>
  <c r="AR285" i="19"/>
  <c r="AS285" i="19"/>
  <c r="AT285" i="19"/>
  <c r="AU285" i="19"/>
  <c r="AV285" i="19"/>
  <c r="AW285" i="19"/>
  <c r="AX285" i="19"/>
  <c r="AY285" i="19"/>
  <c r="AZ285" i="19"/>
  <c r="BA285" i="19"/>
  <c r="BB285" i="19"/>
  <c r="BC285" i="19"/>
  <c r="BD285" i="19"/>
  <c r="BE285" i="19"/>
  <c r="BF285" i="19"/>
  <c r="BG285" i="19"/>
  <c r="BH285" i="19"/>
  <c r="BI285" i="19"/>
  <c r="BJ285" i="19"/>
  <c r="BK285" i="19"/>
  <c r="BL285" i="19"/>
  <c r="BM285" i="19"/>
  <c r="BN285" i="19"/>
  <c r="BO285" i="19"/>
  <c r="BP285" i="19"/>
  <c r="BQ285" i="19"/>
  <c r="BR285" i="19"/>
  <c r="BS285" i="19"/>
  <c r="BT285" i="19"/>
  <c r="BU285" i="19"/>
  <c r="BV285" i="19"/>
  <c r="BW285" i="19"/>
  <c r="BX285" i="19"/>
  <c r="BY285" i="19"/>
  <c r="BZ285" i="19"/>
  <c r="CA285" i="19"/>
  <c r="CB285" i="19"/>
  <c r="CC285" i="19"/>
  <c r="CD285" i="19"/>
  <c r="CE285" i="19"/>
  <c r="CF285" i="19"/>
  <c r="CG285" i="19"/>
  <c r="CH285" i="19"/>
  <c r="CI285" i="19"/>
  <c r="CJ285" i="19"/>
  <c r="CK285" i="19"/>
  <c r="CL285" i="19"/>
  <c r="CM285" i="19"/>
  <c r="CN285" i="19"/>
  <c r="CO285" i="19"/>
  <c r="CP285" i="19"/>
  <c r="CQ285" i="19"/>
  <c r="CR285" i="19"/>
  <c r="CS285" i="19"/>
  <c r="CT285" i="19"/>
  <c r="CU285" i="19"/>
  <c r="CV285" i="19"/>
  <c r="CW285" i="19"/>
  <c r="CX285" i="19"/>
  <c r="CY285" i="19"/>
  <c r="CZ285" i="19"/>
  <c r="DA285" i="19"/>
  <c r="DB285" i="19"/>
  <c r="DC285" i="19"/>
  <c r="DD285" i="19"/>
  <c r="DE285" i="19"/>
  <c r="DF285" i="19"/>
  <c r="DG285" i="19"/>
  <c r="DH285" i="19"/>
  <c r="DI285" i="19"/>
  <c r="DJ285" i="19"/>
  <c r="DK285" i="19"/>
  <c r="DL285" i="19"/>
  <c r="DM285" i="19"/>
  <c r="DN285" i="19"/>
  <c r="DO285" i="19"/>
  <c r="DP285" i="19"/>
  <c r="DQ285" i="19"/>
  <c r="DR285" i="19"/>
  <c r="DS285" i="19"/>
  <c r="DT285" i="19"/>
  <c r="DU285" i="19"/>
  <c r="DV285" i="19"/>
  <c r="DW285" i="19"/>
  <c r="DX285" i="19"/>
  <c r="DY285" i="19"/>
  <c r="DZ285" i="19"/>
  <c r="EA285" i="19"/>
  <c r="EB285" i="19"/>
  <c r="EC285" i="19"/>
  <c r="ED285" i="19"/>
  <c r="EE285" i="19"/>
  <c r="EF285" i="19"/>
  <c r="EG285" i="19"/>
  <c r="EH285" i="19"/>
  <c r="EI285" i="19"/>
  <c r="EJ285" i="19"/>
  <c r="EK285" i="19"/>
  <c r="EL285" i="19"/>
  <c r="EM285" i="19"/>
  <c r="EN285" i="19"/>
  <c r="EO285" i="19"/>
  <c r="EP285" i="19"/>
  <c r="EQ285" i="19"/>
  <c r="ER285" i="19"/>
  <c r="ES285" i="19"/>
  <c r="ET285" i="19"/>
  <c r="EU285" i="19"/>
  <c r="EV285" i="19"/>
  <c r="EW285" i="19"/>
  <c r="EX285" i="19"/>
  <c r="EY285" i="19"/>
  <c r="EZ285" i="19"/>
  <c r="FA285" i="19"/>
  <c r="FB285" i="19"/>
  <c r="FC285" i="19"/>
  <c r="FD285" i="19"/>
  <c r="FE285" i="19"/>
  <c r="FF285" i="19"/>
  <c r="FG285" i="19"/>
  <c r="FH285" i="19"/>
  <c r="FI285" i="19"/>
  <c r="FJ285" i="19"/>
  <c r="FK285" i="19"/>
  <c r="FL285" i="19"/>
  <c r="FM285" i="19"/>
  <c r="FN285" i="19"/>
  <c r="FO285" i="19"/>
  <c r="FP285" i="19"/>
  <c r="FQ285" i="19"/>
  <c r="FR285" i="19"/>
  <c r="FS285" i="19"/>
  <c r="FT285" i="19"/>
  <c r="FU285" i="19"/>
  <c r="FV285" i="19"/>
  <c r="FW285" i="19"/>
  <c r="FX285" i="19"/>
  <c r="FY285" i="19"/>
  <c r="FZ285" i="19"/>
  <c r="GA285" i="19"/>
  <c r="GB285" i="19"/>
  <c r="GC285" i="19"/>
  <c r="GD285" i="19"/>
  <c r="GE285" i="19"/>
  <c r="GF285" i="19"/>
  <c r="GG285" i="19"/>
  <c r="GH285" i="19"/>
  <c r="GI285" i="19"/>
  <c r="GJ285" i="19"/>
  <c r="GK285" i="19"/>
  <c r="GL285" i="19"/>
  <c r="GM285" i="19"/>
  <c r="GN285" i="19"/>
  <c r="GO285" i="19"/>
  <c r="GP285" i="19"/>
  <c r="GQ285" i="19"/>
  <c r="GR285" i="19"/>
  <c r="GS285" i="19"/>
  <c r="GT285" i="19"/>
  <c r="GU285" i="19"/>
  <c r="GV285" i="19"/>
  <c r="GW285" i="19"/>
  <c r="GX285" i="19"/>
  <c r="GY285" i="19"/>
  <c r="GZ285" i="19"/>
  <c r="HA285" i="19"/>
  <c r="HB285" i="19"/>
  <c r="HC285" i="19"/>
  <c r="HD285" i="19"/>
  <c r="HE285" i="19"/>
  <c r="HF285" i="19"/>
  <c r="HG285" i="19"/>
  <c r="HH285" i="19"/>
  <c r="HI285" i="19"/>
  <c r="HJ285" i="19"/>
  <c r="HK285" i="19"/>
  <c r="HL285" i="19"/>
  <c r="HM285" i="19"/>
  <c r="HN285" i="19"/>
  <c r="HO285" i="19"/>
  <c r="HP285" i="19"/>
  <c r="HQ285" i="19"/>
  <c r="HR285" i="19"/>
  <c r="HS285" i="19"/>
  <c r="HT285" i="19"/>
  <c r="HU285" i="19"/>
  <c r="HV285" i="19"/>
  <c r="HW285" i="19"/>
  <c r="HX285" i="19"/>
  <c r="HY285" i="19"/>
  <c r="HZ285" i="19"/>
  <c r="IA285" i="19"/>
  <c r="IB285" i="19"/>
  <c r="IC285" i="19"/>
  <c r="ID285" i="19"/>
  <c r="IE285" i="19"/>
  <c r="IF285" i="19"/>
  <c r="IG285" i="19"/>
  <c r="IH285" i="19"/>
  <c r="II285" i="19"/>
  <c r="IJ285" i="19"/>
  <c r="IK285" i="19"/>
  <c r="IL285" i="19"/>
  <c r="IM285" i="19"/>
  <c r="IN285" i="19"/>
  <c r="IO285" i="19"/>
  <c r="IP285" i="19"/>
  <c r="IQ285" i="19"/>
  <c r="IR285" i="19"/>
  <c r="IS285" i="19"/>
  <c r="IT285" i="19"/>
  <c r="IU285" i="19"/>
  <c r="IV285" i="19"/>
  <c r="F286" i="19"/>
  <c r="G286" i="19"/>
  <c r="H286" i="19"/>
  <c r="I286" i="19"/>
  <c r="J286" i="19"/>
  <c r="K286" i="19"/>
  <c r="L286" i="19"/>
  <c r="M286" i="19"/>
  <c r="N286" i="19"/>
  <c r="O286" i="19"/>
  <c r="P286" i="19"/>
  <c r="Q286" i="19"/>
  <c r="R286" i="19"/>
  <c r="S286" i="19"/>
  <c r="T286" i="19"/>
  <c r="U286" i="19"/>
  <c r="V286" i="19"/>
  <c r="W286" i="19"/>
  <c r="X286" i="19"/>
  <c r="Y286" i="19"/>
  <c r="Z286" i="19"/>
  <c r="AA286" i="19"/>
  <c r="AB286" i="19"/>
  <c r="AC286" i="19"/>
  <c r="AD286" i="19"/>
  <c r="AE286" i="19"/>
  <c r="AF286" i="19"/>
  <c r="AG286" i="19"/>
  <c r="AH286" i="19"/>
  <c r="AI286" i="19"/>
  <c r="AJ286" i="19"/>
  <c r="AK286" i="19"/>
  <c r="AL286" i="19"/>
  <c r="AM286" i="19"/>
  <c r="AN286" i="19"/>
  <c r="AO286" i="19"/>
  <c r="AP286" i="19"/>
  <c r="AQ286" i="19"/>
  <c r="AR286" i="19"/>
  <c r="AS286" i="19"/>
  <c r="AT286" i="19"/>
  <c r="AU286" i="19"/>
  <c r="AV286" i="19"/>
  <c r="AW286" i="19"/>
  <c r="AX286" i="19"/>
  <c r="AY286" i="19"/>
  <c r="AZ286" i="19"/>
  <c r="BA286" i="19"/>
  <c r="BB286" i="19"/>
  <c r="BC286" i="19"/>
  <c r="BD286" i="19"/>
  <c r="BE286" i="19"/>
  <c r="BF286" i="19"/>
  <c r="BG286" i="19"/>
  <c r="BH286" i="19"/>
  <c r="BI286" i="19"/>
  <c r="BJ286" i="19"/>
  <c r="BK286" i="19"/>
  <c r="BL286" i="19"/>
  <c r="BM286" i="19"/>
  <c r="BN286" i="19"/>
  <c r="BO286" i="19"/>
  <c r="BP286" i="19"/>
  <c r="BQ286" i="19"/>
  <c r="BR286" i="19"/>
  <c r="BS286" i="19"/>
  <c r="BT286" i="19"/>
  <c r="BU286" i="19"/>
  <c r="BV286" i="19"/>
  <c r="BW286" i="19"/>
  <c r="BX286" i="19"/>
  <c r="BY286" i="19"/>
  <c r="BZ286" i="19"/>
  <c r="CA286" i="19"/>
  <c r="CB286" i="19"/>
  <c r="CC286" i="19"/>
  <c r="CD286" i="19"/>
  <c r="CE286" i="19"/>
  <c r="CF286" i="19"/>
  <c r="CG286" i="19"/>
  <c r="CH286" i="19"/>
  <c r="CI286" i="19"/>
  <c r="CJ286" i="19"/>
  <c r="CK286" i="19"/>
  <c r="CL286" i="19"/>
  <c r="CM286" i="19"/>
  <c r="CN286" i="19"/>
  <c r="CO286" i="19"/>
  <c r="CP286" i="19"/>
  <c r="CQ286" i="19"/>
  <c r="CR286" i="19"/>
  <c r="CS286" i="19"/>
  <c r="CT286" i="19"/>
  <c r="CU286" i="19"/>
  <c r="CV286" i="19"/>
  <c r="CW286" i="19"/>
  <c r="CX286" i="19"/>
  <c r="CY286" i="19"/>
  <c r="CZ286" i="19"/>
  <c r="DA286" i="19"/>
  <c r="DB286" i="19"/>
  <c r="DC286" i="19"/>
  <c r="DD286" i="19"/>
  <c r="DE286" i="19"/>
  <c r="DF286" i="19"/>
  <c r="DG286" i="19"/>
  <c r="DH286" i="19"/>
  <c r="DI286" i="19"/>
  <c r="DJ286" i="19"/>
  <c r="DK286" i="19"/>
  <c r="DL286" i="19"/>
  <c r="DM286" i="19"/>
  <c r="DN286" i="19"/>
  <c r="DO286" i="19"/>
  <c r="DP286" i="19"/>
  <c r="DQ286" i="19"/>
  <c r="DR286" i="19"/>
  <c r="DS286" i="19"/>
  <c r="DT286" i="19"/>
  <c r="DU286" i="19"/>
  <c r="DV286" i="19"/>
  <c r="DW286" i="19"/>
  <c r="DX286" i="19"/>
  <c r="DY286" i="19"/>
  <c r="DZ286" i="19"/>
  <c r="EA286" i="19"/>
  <c r="EB286" i="19"/>
  <c r="EC286" i="19"/>
  <c r="ED286" i="19"/>
  <c r="EE286" i="19"/>
  <c r="EF286" i="19"/>
  <c r="EG286" i="19"/>
  <c r="EH286" i="19"/>
  <c r="EI286" i="19"/>
  <c r="EJ286" i="19"/>
  <c r="EK286" i="19"/>
  <c r="EL286" i="19"/>
  <c r="EM286" i="19"/>
  <c r="EN286" i="19"/>
  <c r="EO286" i="19"/>
  <c r="EP286" i="19"/>
  <c r="EQ286" i="19"/>
  <c r="ER286" i="19"/>
  <c r="ES286" i="19"/>
  <c r="ET286" i="19"/>
  <c r="EU286" i="19"/>
  <c r="EV286" i="19"/>
  <c r="EW286" i="19"/>
  <c r="EX286" i="19"/>
  <c r="EY286" i="19"/>
  <c r="EZ286" i="19"/>
  <c r="FA286" i="19"/>
  <c r="FB286" i="19"/>
  <c r="FC286" i="19"/>
  <c r="FD286" i="19"/>
  <c r="FE286" i="19"/>
  <c r="FF286" i="19"/>
  <c r="FG286" i="19"/>
  <c r="FH286" i="19"/>
  <c r="FI286" i="19"/>
  <c r="FJ286" i="19"/>
  <c r="FK286" i="19"/>
  <c r="FL286" i="19"/>
  <c r="FM286" i="19"/>
  <c r="FN286" i="19"/>
  <c r="FO286" i="19"/>
  <c r="FP286" i="19"/>
  <c r="FQ286" i="19"/>
  <c r="FR286" i="19"/>
  <c r="FS286" i="19"/>
  <c r="FT286" i="19"/>
  <c r="FU286" i="19"/>
  <c r="FV286" i="19"/>
  <c r="FW286" i="19"/>
  <c r="FX286" i="19"/>
  <c r="FY286" i="19"/>
  <c r="FZ286" i="19"/>
  <c r="GA286" i="19"/>
  <c r="GB286" i="19"/>
  <c r="GC286" i="19"/>
  <c r="GD286" i="19"/>
  <c r="GE286" i="19"/>
  <c r="GF286" i="19"/>
  <c r="GG286" i="19"/>
  <c r="GH286" i="19"/>
  <c r="GI286" i="19"/>
  <c r="GJ286" i="19"/>
  <c r="GK286" i="19"/>
  <c r="GL286" i="19"/>
  <c r="GM286" i="19"/>
  <c r="GN286" i="19"/>
  <c r="GO286" i="19"/>
  <c r="GP286" i="19"/>
  <c r="GQ286" i="19"/>
  <c r="GR286" i="19"/>
  <c r="GS286" i="19"/>
  <c r="GT286" i="19"/>
  <c r="GU286" i="19"/>
  <c r="GV286" i="19"/>
  <c r="GW286" i="19"/>
  <c r="GX286" i="19"/>
  <c r="GY286" i="19"/>
  <c r="GZ286" i="19"/>
  <c r="HA286" i="19"/>
  <c r="HB286" i="19"/>
  <c r="HC286" i="19"/>
  <c r="HD286" i="19"/>
  <c r="HE286" i="19"/>
  <c r="HF286" i="19"/>
  <c r="HG286" i="19"/>
  <c r="HH286" i="19"/>
  <c r="HI286" i="19"/>
  <c r="HJ286" i="19"/>
  <c r="HK286" i="19"/>
  <c r="HL286" i="19"/>
  <c r="HM286" i="19"/>
  <c r="HN286" i="19"/>
  <c r="HO286" i="19"/>
  <c r="HP286" i="19"/>
  <c r="HQ286" i="19"/>
  <c r="HR286" i="19"/>
  <c r="HS286" i="19"/>
  <c r="HT286" i="19"/>
  <c r="HU286" i="19"/>
  <c r="HV286" i="19"/>
  <c r="HW286" i="19"/>
  <c r="HX286" i="19"/>
  <c r="HY286" i="19"/>
  <c r="HZ286" i="19"/>
  <c r="IA286" i="19"/>
  <c r="IB286" i="19"/>
  <c r="IC286" i="19"/>
  <c r="ID286" i="19"/>
  <c r="IE286" i="19"/>
  <c r="IF286" i="19"/>
  <c r="IG286" i="19"/>
  <c r="IH286" i="19"/>
  <c r="II286" i="19"/>
  <c r="IJ286" i="19"/>
  <c r="IK286" i="19"/>
  <c r="IL286" i="19"/>
  <c r="IM286" i="19"/>
  <c r="IN286" i="19"/>
  <c r="IO286" i="19"/>
  <c r="IP286" i="19"/>
  <c r="IQ286" i="19"/>
  <c r="IR286" i="19"/>
  <c r="IS286" i="19"/>
  <c r="IT286" i="19"/>
  <c r="IU286" i="19"/>
  <c r="IV286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T287" i="19"/>
  <c r="U287" i="19"/>
  <c r="V287" i="19"/>
  <c r="W287" i="19"/>
  <c r="X287" i="19"/>
  <c r="Y287" i="19"/>
  <c r="Z287" i="19"/>
  <c r="AA287" i="19"/>
  <c r="AB287" i="19"/>
  <c r="AC287" i="19"/>
  <c r="AD287" i="19"/>
  <c r="AE287" i="19"/>
  <c r="AF287" i="19"/>
  <c r="AG287" i="19"/>
  <c r="AH287" i="19"/>
  <c r="AI287" i="19"/>
  <c r="AJ287" i="19"/>
  <c r="AK287" i="19"/>
  <c r="AL287" i="19"/>
  <c r="AM287" i="19"/>
  <c r="AN287" i="19"/>
  <c r="AO287" i="19"/>
  <c r="AP287" i="19"/>
  <c r="AQ287" i="19"/>
  <c r="AR287" i="19"/>
  <c r="AS287" i="19"/>
  <c r="AT287" i="19"/>
  <c r="AU287" i="19"/>
  <c r="AV287" i="19"/>
  <c r="AW287" i="19"/>
  <c r="AX287" i="19"/>
  <c r="AY287" i="19"/>
  <c r="AZ287" i="19"/>
  <c r="BA287" i="19"/>
  <c r="BB287" i="19"/>
  <c r="BC287" i="19"/>
  <c r="BD287" i="19"/>
  <c r="BE287" i="19"/>
  <c r="BF287" i="19"/>
  <c r="BG287" i="19"/>
  <c r="BH287" i="19"/>
  <c r="BI287" i="19"/>
  <c r="BJ287" i="19"/>
  <c r="BK287" i="19"/>
  <c r="BL287" i="19"/>
  <c r="BM287" i="19"/>
  <c r="BN287" i="19"/>
  <c r="BO287" i="19"/>
  <c r="BP287" i="19"/>
  <c r="BQ287" i="19"/>
  <c r="BR287" i="19"/>
  <c r="BS287" i="19"/>
  <c r="BT287" i="19"/>
  <c r="BU287" i="19"/>
  <c r="BV287" i="19"/>
  <c r="BW287" i="19"/>
  <c r="BX287" i="19"/>
  <c r="BY287" i="19"/>
  <c r="BZ287" i="19"/>
  <c r="CA287" i="19"/>
  <c r="CB287" i="19"/>
  <c r="CC287" i="19"/>
  <c r="CD287" i="19"/>
  <c r="CE287" i="19"/>
  <c r="CF287" i="19"/>
  <c r="CG287" i="19"/>
  <c r="CH287" i="19"/>
  <c r="CI287" i="19"/>
  <c r="CJ287" i="19"/>
  <c r="CK287" i="19"/>
  <c r="CL287" i="19"/>
  <c r="CM287" i="19"/>
  <c r="CN287" i="19"/>
  <c r="CO287" i="19"/>
  <c r="CP287" i="19"/>
  <c r="CQ287" i="19"/>
  <c r="CR287" i="19"/>
  <c r="CS287" i="19"/>
  <c r="CT287" i="19"/>
  <c r="CU287" i="19"/>
  <c r="CV287" i="19"/>
  <c r="CW287" i="19"/>
  <c r="CX287" i="19"/>
  <c r="CY287" i="19"/>
  <c r="CZ287" i="19"/>
  <c r="DA287" i="19"/>
  <c r="DB287" i="19"/>
  <c r="DC287" i="19"/>
  <c r="DD287" i="19"/>
  <c r="DE287" i="19"/>
  <c r="DF287" i="19"/>
  <c r="DG287" i="19"/>
  <c r="DH287" i="19"/>
  <c r="DI287" i="19"/>
  <c r="DJ287" i="19"/>
  <c r="DK287" i="19"/>
  <c r="DL287" i="19"/>
  <c r="DM287" i="19"/>
  <c r="DN287" i="19"/>
  <c r="DO287" i="19"/>
  <c r="DP287" i="19"/>
  <c r="DQ287" i="19"/>
  <c r="DR287" i="19"/>
  <c r="DS287" i="19"/>
  <c r="DT287" i="19"/>
  <c r="DU287" i="19"/>
  <c r="DV287" i="19"/>
  <c r="DW287" i="19"/>
  <c r="DX287" i="19"/>
  <c r="DY287" i="19"/>
  <c r="DZ287" i="19"/>
  <c r="EA287" i="19"/>
  <c r="EB287" i="19"/>
  <c r="EC287" i="19"/>
  <c r="ED287" i="19"/>
  <c r="EE287" i="19"/>
  <c r="EF287" i="19"/>
  <c r="EG287" i="19"/>
  <c r="EH287" i="19"/>
  <c r="EI287" i="19"/>
  <c r="EJ287" i="19"/>
  <c r="EK287" i="19"/>
  <c r="EL287" i="19"/>
  <c r="EM287" i="19"/>
  <c r="EN287" i="19"/>
  <c r="EO287" i="19"/>
  <c r="EP287" i="19"/>
  <c r="EQ287" i="19"/>
  <c r="ER287" i="19"/>
  <c r="ES287" i="19"/>
  <c r="ET287" i="19"/>
  <c r="EU287" i="19"/>
  <c r="EV287" i="19"/>
  <c r="EW287" i="19"/>
  <c r="EX287" i="19"/>
  <c r="EY287" i="19"/>
  <c r="EZ287" i="19"/>
  <c r="FA287" i="19"/>
  <c r="FB287" i="19"/>
  <c r="FC287" i="19"/>
  <c r="FD287" i="19"/>
  <c r="FE287" i="19"/>
  <c r="FF287" i="19"/>
  <c r="FG287" i="19"/>
  <c r="FH287" i="19"/>
  <c r="FI287" i="19"/>
  <c r="FJ287" i="19"/>
  <c r="FK287" i="19"/>
  <c r="FL287" i="19"/>
  <c r="FM287" i="19"/>
  <c r="FN287" i="19"/>
  <c r="FO287" i="19"/>
  <c r="FP287" i="19"/>
  <c r="FQ287" i="19"/>
  <c r="FR287" i="19"/>
  <c r="FS287" i="19"/>
  <c r="FT287" i="19"/>
  <c r="FU287" i="19"/>
  <c r="FV287" i="19"/>
  <c r="FW287" i="19"/>
  <c r="FX287" i="19"/>
  <c r="FY287" i="19"/>
  <c r="FZ287" i="19"/>
  <c r="GA287" i="19"/>
  <c r="GB287" i="19"/>
  <c r="GC287" i="19"/>
  <c r="GD287" i="19"/>
  <c r="GE287" i="19"/>
  <c r="GF287" i="19"/>
  <c r="GG287" i="19"/>
  <c r="GH287" i="19"/>
  <c r="GI287" i="19"/>
  <c r="GJ287" i="19"/>
  <c r="GK287" i="19"/>
  <c r="GL287" i="19"/>
  <c r="GM287" i="19"/>
  <c r="GN287" i="19"/>
  <c r="GO287" i="19"/>
  <c r="GP287" i="19"/>
  <c r="GQ287" i="19"/>
  <c r="GR287" i="19"/>
  <c r="GS287" i="19"/>
  <c r="GT287" i="19"/>
  <c r="GU287" i="19"/>
  <c r="GV287" i="19"/>
  <c r="GW287" i="19"/>
  <c r="GX287" i="19"/>
  <c r="GY287" i="19"/>
  <c r="GZ287" i="19"/>
  <c r="HA287" i="19"/>
  <c r="HB287" i="19"/>
  <c r="HC287" i="19"/>
  <c r="HD287" i="19"/>
  <c r="HE287" i="19"/>
  <c r="HF287" i="19"/>
  <c r="HG287" i="19"/>
  <c r="HH287" i="19"/>
  <c r="HI287" i="19"/>
  <c r="HJ287" i="19"/>
  <c r="HK287" i="19"/>
  <c r="HL287" i="19"/>
  <c r="HM287" i="19"/>
  <c r="HN287" i="19"/>
  <c r="HO287" i="19"/>
  <c r="HP287" i="19"/>
  <c r="HQ287" i="19"/>
  <c r="HR287" i="19"/>
  <c r="HS287" i="19"/>
  <c r="HT287" i="19"/>
  <c r="HU287" i="19"/>
  <c r="HV287" i="19"/>
  <c r="HW287" i="19"/>
  <c r="HX287" i="19"/>
  <c r="HY287" i="19"/>
  <c r="HZ287" i="19"/>
  <c r="IA287" i="19"/>
  <c r="IB287" i="19"/>
  <c r="IC287" i="19"/>
  <c r="ID287" i="19"/>
  <c r="IE287" i="19"/>
  <c r="IF287" i="19"/>
  <c r="IG287" i="19"/>
  <c r="IH287" i="19"/>
  <c r="II287" i="19"/>
  <c r="IJ287" i="19"/>
  <c r="IK287" i="19"/>
  <c r="IL287" i="19"/>
  <c r="IM287" i="19"/>
  <c r="IN287" i="19"/>
  <c r="IO287" i="19"/>
  <c r="IP287" i="19"/>
  <c r="IQ287" i="19"/>
  <c r="IR287" i="19"/>
  <c r="IS287" i="19"/>
  <c r="IT287" i="19"/>
  <c r="IU287" i="19"/>
  <c r="IV287" i="19"/>
  <c r="F288" i="19"/>
  <c r="G288" i="19"/>
  <c r="H288" i="19"/>
  <c r="I288" i="19"/>
  <c r="J288" i="19"/>
  <c r="K288" i="19"/>
  <c r="L288" i="19"/>
  <c r="M288" i="19"/>
  <c r="N288" i="19"/>
  <c r="O288" i="19"/>
  <c r="P288" i="19"/>
  <c r="Q288" i="19"/>
  <c r="R288" i="19"/>
  <c r="S288" i="19"/>
  <c r="T288" i="19"/>
  <c r="U288" i="19"/>
  <c r="V288" i="19"/>
  <c r="W288" i="19"/>
  <c r="X288" i="19"/>
  <c r="Y288" i="19"/>
  <c r="Z288" i="19"/>
  <c r="AA288" i="19"/>
  <c r="AB288" i="19"/>
  <c r="AC288" i="19"/>
  <c r="AD288" i="19"/>
  <c r="AE288" i="19"/>
  <c r="AF288" i="19"/>
  <c r="AG288" i="19"/>
  <c r="AH288" i="19"/>
  <c r="AI288" i="19"/>
  <c r="AJ288" i="19"/>
  <c r="AK288" i="19"/>
  <c r="AL288" i="19"/>
  <c r="AM288" i="19"/>
  <c r="AN288" i="19"/>
  <c r="AO288" i="19"/>
  <c r="AP288" i="19"/>
  <c r="AQ288" i="19"/>
  <c r="AR288" i="19"/>
  <c r="AS288" i="19"/>
  <c r="AT288" i="19"/>
  <c r="AU288" i="19"/>
  <c r="AV288" i="19"/>
  <c r="AW288" i="19"/>
  <c r="AX288" i="19"/>
  <c r="AY288" i="19"/>
  <c r="AZ288" i="19"/>
  <c r="BA288" i="19"/>
  <c r="BB288" i="19"/>
  <c r="BC288" i="19"/>
  <c r="BD288" i="19"/>
  <c r="BE288" i="19"/>
  <c r="BF288" i="19"/>
  <c r="BG288" i="19"/>
  <c r="BH288" i="19"/>
  <c r="BI288" i="19"/>
  <c r="BJ288" i="19"/>
  <c r="BK288" i="19"/>
  <c r="BL288" i="19"/>
  <c r="BM288" i="19"/>
  <c r="BN288" i="19"/>
  <c r="BO288" i="19"/>
  <c r="BP288" i="19"/>
  <c r="BQ288" i="19"/>
  <c r="BR288" i="19"/>
  <c r="BS288" i="19"/>
  <c r="BT288" i="19"/>
  <c r="BU288" i="19"/>
  <c r="BV288" i="19"/>
  <c r="BW288" i="19"/>
  <c r="BX288" i="19"/>
  <c r="BY288" i="19"/>
  <c r="BZ288" i="19"/>
  <c r="CA288" i="19"/>
  <c r="CB288" i="19"/>
  <c r="CC288" i="19"/>
  <c r="CD288" i="19"/>
  <c r="CE288" i="19"/>
  <c r="CF288" i="19"/>
  <c r="CG288" i="19"/>
  <c r="CH288" i="19"/>
  <c r="CI288" i="19"/>
  <c r="CJ288" i="19"/>
  <c r="CK288" i="19"/>
  <c r="CL288" i="19"/>
  <c r="CM288" i="19"/>
  <c r="CN288" i="19"/>
  <c r="CO288" i="19"/>
  <c r="CP288" i="19"/>
  <c r="CQ288" i="19"/>
  <c r="CR288" i="19"/>
  <c r="CS288" i="19"/>
  <c r="CT288" i="19"/>
  <c r="CU288" i="19"/>
  <c r="CV288" i="19"/>
  <c r="CW288" i="19"/>
  <c r="CX288" i="19"/>
  <c r="CY288" i="19"/>
  <c r="CZ288" i="19"/>
  <c r="DA288" i="19"/>
  <c r="DB288" i="19"/>
  <c r="DC288" i="19"/>
  <c r="DD288" i="19"/>
  <c r="DE288" i="19"/>
  <c r="DF288" i="19"/>
  <c r="DG288" i="19"/>
  <c r="DH288" i="19"/>
  <c r="DI288" i="19"/>
  <c r="DJ288" i="19"/>
  <c r="DK288" i="19"/>
  <c r="DL288" i="19"/>
  <c r="DM288" i="19"/>
  <c r="DN288" i="19"/>
  <c r="DO288" i="19"/>
  <c r="DP288" i="19"/>
  <c r="DQ288" i="19"/>
  <c r="DR288" i="19"/>
  <c r="DS288" i="19"/>
  <c r="DT288" i="19"/>
  <c r="DU288" i="19"/>
  <c r="DV288" i="19"/>
  <c r="DW288" i="19"/>
  <c r="DX288" i="19"/>
  <c r="DY288" i="19"/>
  <c r="DZ288" i="19"/>
  <c r="EA288" i="19"/>
  <c r="EB288" i="19"/>
  <c r="EC288" i="19"/>
  <c r="ED288" i="19"/>
  <c r="EE288" i="19"/>
  <c r="EF288" i="19"/>
  <c r="EG288" i="19"/>
  <c r="EH288" i="19"/>
  <c r="EI288" i="19"/>
  <c r="EJ288" i="19"/>
  <c r="EK288" i="19"/>
  <c r="EL288" i="19"/>
  <c r="EM288" i="19"/>
  <c r="EN288" i="19"/>
  <c r="EO288" i="19"/>
  <c r="EP288" i="19"/>
  <c r="EQ288" i="19"/>
  <c r="ER288" i="19"/>
  <c r="ES288" i="19"/>
  <c r="ET288" i="19"/>
  <c r="EU288" i="19"/>
  <c r="EV288" i="19"/>
  <c r="EW288" i="19"/>
  <c r="EX288" i="19"/>
  <c r="EY288" i="19"/>
  <c r="EZ288" i="19"/>
  <c r="FA288" i="19"/>
  <c r="FB288" i="19"/>
  <c r="FC288" i="19"/>
  <c r="FD288" i="19"/>
  <c r="FE288" i="19"/>
  <c r="FF288" i="19"/>
  <c r="FG288" i="19"/>
  <c r="FH288" i="19"/>
  <c r="FI288" i="19"/>
  <c r="FJ288" i="19"/>
  <c r="FK288" i="19"/>
  <c r="FL288" i="19"/>
  <c r="FM288" i="19"/>
  <c r="FN288" i="19"/>
  <c r="FO288" i="19"/>
  <c r="FP288" i="19"/>
  <c r="FQ288" i="19"/>
  <c r="FR288" i="19"/>
  <c r="FS288" i="19"/>
  <c r="FT288" i="19"/>
  <c r="FU288" i="19"/>
  <c r="FV288" i="19"/>
  <c r="FW288" i="19"/>
  <c r="FX288" i="19"/>
  <c r="FY288" i="19"/>
  <c r="FZ288" i="19"/>
  <c r="GA288" i="19"/>
  <c r="GB288" i="19"/>
  <c r="GC288" i="19"/>
  <c r="GD288" i="19"/>
  <c r="GE288" i="19"/>
  <c r="GF288" i="19"/>
  <c r="GG288" i="19"/>
  <c r="GH288" i="19"/>
  <c r="GI288" i="19"/>
  <c r="GJ288" i="19"/>
  <c r="GK288" i="19"/>
  <c r="GL288" i="19"/>
  <c r="GM288" i="19"/>
  <c r="GN288" i="19"/>
  <c r="GO288" i="19"/>
  <c r="GP288" i="19"/>
  <c r="GQ288" i="19"/>
  <c r="GR288" i="19"/>
  <c r="GS288" i="19"/>
  <c r="GT288" i="19"/>
  <c r="GU288" i="19"/>
  <c r="GV288" i="19"/>
  <c r="GW288" i="19"/>
  <c r="GX288" i="19"/>
  <c r="GY288" i="19"/>
  <c r="GZ288" i="19"/>
  <c r="HA288" i="19"/>
  <c r="HB288" i="19"/>
  <c r="HC288" i="19"/>
  <c r="HD288" i="19"/>
  <c r="HE288" i="19"/>
  <c r="HF288" i="19"/>
  <c r="HG288" i="19"/>
  <c r="HH288" i="19"/>
  <c r="HI288" i="19"/>
  <c r="HJ288" i="19"/>
  <c r="HK288" i="19"/>
  <c r="HL288" i="19"/>
  <c r="HM288" i="19"/>
  <c r="HN288" i="19"/>
  <c r="HO288" i="19"/>
  <c r="HP288" i="19"/>
  <c r="HQ288" i="19"/>
  <c r="HR288" i="19"/>
  <c r="HS288" i="19"/>
  <c r="HT288" i="19"/>
  <c r="HU288" i="19"/>
  <c r="HV288" i="19"/>
  <c r="HW288" i="19"/>
  <c r="HX288" i="19"/>
  <c r="HY288" i="19"/>
  <c r="HZ288" i="19"/>
  <c r="IA288" i="19"/>
  <c r="IB288" i="19"/>
  <c r="IC288" i="19"/>
  <c r="ID288" i="19"/>
  <c r="IE288" i="19"/>
  <c r="IF288" i="19"/>
  <c r="IG288" i="19"/>
  <c r="IH288" i="19"/>
  <c r="II288" i="19"/>
  <c r="IJ288" i="19"/>
  <c r="IK288" i="19"/>
  <c r="IL288" i="19"/>
  <c r="IM288" i="19"/>
  <c r="IN288" i="19"/>
  <c r="IO288" i="19"/>
  <c r="IP288" i="19"/>
  <c r="IQ288" i="19"/>
  <c r="IR288" i="19"/>
  <c r="IS288" i="19"/>
  <c r="IT288" i="19"/>
  <c r="IU288" i="19"/>
  <c r="IV288" i="19"/>
  <c r="F289" i="19"/>
  <c r="G289" i="19"/>
  <c r="H289" i="19"/>
  <c r="I289" i="19"/>
  <c r="J289" i="19"/>
  <c r="K289" i="19"/>
  <c r="L289" i="19"/>
  <c r="M289" i="19"/>
  <c r="N289" i="19"/>
  <c r="O289" i="19"/>
  <c r="P289" i="19"/>
  <c r="Q289" i="19"/>
  <c r="R289" i="19"/>
  <c r="S289" i="19"/>
  <c r="T289" i="19"/>
  <c r="U289" i="19"/>
  <c r="V289" i="19"/>
  <c r="W289" i="19"/>
  <c r="X289" i="19"/>
  <c r="Y289" i="19"/>
  <c r="Z289" i="19"/>
  <c r="AA289" i="19"/>
  <c r="AB289" i="19"/>
  <c r="AC289" i="19"/>
  <c r="AD289" i="19"/>
  <c r="AE289" i="19"/>
  <c r="AF289" i="19"/>
  <c r="AG289" i="19"/>
  <c r="AH289" i="19"/>
  <c r="AI289" i="19"/>
  <c r="AJ289" i="19"/>
  <c r="AK289" i="19"/>
  <c r="AL289" i="19"/>
  <c r="AM289" i="19"/>
  <c r="AN289" i="19"/>
  <c r="AO289" i="19"/>
  <c r="AP289" i="19"/>
  <c r="AQ289" i="19"/>
  <c r="AR289" i="19"/>
  <c r="AS289" i="19"/>
  <c r="AT289" i="19"/>
  <c r="AU289" i="19"/>
  <c r="AV289" i="19"/>
  <c r="AW289" i="19"/>
  <c r="AX289" i="19"/>
  <c r="AY289" i="19"/>
  <c r="AZ289" i="19"/>
  <c r="BA289" i="19"/>
  <c r="BB289" i="19"/>
  <c r="BC289" i="19"/>
  <c r="BD289" i="19"/>
  <c r="BE289" i="19"/>
  <c r="BF289" i="19"/>
  <c r="BG289" i="19"/>
  <c r="BH289" i="19"/>
  <c r="BI289" i="19"/>
  <c r="BJ289" i="19"/>
  <c r="BK289" i="19"/>
  <c r="BL289" i="19"/>
  <c r="BM289" i="19"/>
  <c r="BN289" i="19"/>
  <c r="BO289" i="19"/>
  <c r="BP289" i="19"/>
  <c r="BQ289" i="19"/>
  <c r="BR289" i="19"/>
  <c r="BS289" i="19"/>
  <c r="BT289" i="19"/>
  <c r="BU289" i="19"/>
  <c r="BV289" i="19"/>
  <c r="BW289" i="19"/>
  <c r="BX289" i="19"/>
  <c r="BY289" i="19"/>
  <c r="BZ289" i="19"/>
  <c r="CA289" i="19"/>
  <c r="CB289" i="19"/>
  <c r="CC289" i="19"/>
  <c r="CD289" i="19"/>
  <c r="CE289" i="19"/>
  <c r="CF289" i="19"/>
  <c r="CG289" i="19"/>
  <c r="CH289" i="19"/>
  <c r="CI289" i="19"/>
  <c r="CJ289" i="19"/>
  <c r="CK289" i="19"/>
  <c r="CL289" i="19"/>
  <c r="CM289" i="19"/>
  <c r="CN289" i="19"/>
  <c r="CO289" i="19"/>
  <c r="CP289" i="19"/>
  <c r="CQ289" i="19"/>
  <c r="CR289" i="19"/>
  <c r="CS289" i="19"/>
  <c r="CT289" i="19"/>
  <c r="CU289" i="19"/>
  <c r="CV289" i="19"/>
  <c r="CW289" i="19"/>
  <c r="CX289" i="19"/>
  <c r="CY289" i="19"/>
  <c r="CZ289" i="19"/>
  <c r="DA289" i="19"/>
  <c r="DB289" i="19"/>
  <c r="DC289" i="19"/>
  <c r="DD289" i="19"/>
  <c r="DE289" i="19"/>
  <c r="DF289" i="19"/>
  <c r="DG289" i="19"/>
  <c r="DH289" i="19"/>
  <c r="DI289" i="19"/>
  <c r="DJ289" i="19"/>
  <c r="DK289" i="19"/>
  <c r="DL289" i="19"/>
  <c r="DM289" i="19"/>
  <c r="DN289" i="19"/>
  <c r="DO289" i="19"/>
  <c r="DP289" i="19"/>
  <c r="DQ289" i="19"/>
  <c r="DR289" i="19"/>
  <c r="DS289" i="19"/>
  <c r="DT289" i="19"/>
  <c r="DU289" i="19"/>
  <c r="DV289" i="19"/>
  <c r="DW289" i="19"/>
  <c r="DX289" i="19"/>
  <c r="DY289" i="19"/>
  <c r="DZ289" i="19"/>
  <c r="EA289" i="19"/>
  <c r="EB289" i="19"/>
  <c r="EC289" i="19"/>
  <c r="ED289" i="19"/>
  <c r="EE289" i="19"/>
  <c r="EF289" i="19"/>
  <c r="EG289" i="19"/>
  <c r="EH289" i="19"/>
  <c r="EI289" i="19"/>
  <c r="EJ289" i="19"/>
  <c r="EK289" i="19"/>
  <c r="EL289" i="19"/>
  <c r="EM289" i="19"/>
  <c r="EN289" i="19"/>
  <c r="EO289" i="19"/>
  <c r="EP289" i="19"/>
  <c r="EQ289" i="19"/>
  <c r="ER289" i="19"/>
  <c r="ES289" i="19"/>
  <c r="ET289" i="19"/>
  <c r="EU289" i="19"/>
  <c r="EV289" i="19"/>
  <c r="EW289" i="19"/>
  <c r="EX289" i="19"/>
  <c r="EY289" i="19"/>
  <c r="EZ289" i="19"/>
  <c r="FA289" i="19"/>
  <c r="FB289" i="19"/>
  <c r="FC289" i="19"/>
  <c r="FD289" i="19"/>
  <c r="FE289" i="19"/>
  <c r="FF289" i="19"/>
  <c r="FG289" i="19"/>
  <c r="FH289" i="19"/>
  <c r="FI289" i="19"/>
  <c r="FJ289" i="19"/>
  <c r="FK289" i="19"/>
  <c r="FL289" i="19"/>
  <c r="FM289" i="19"/>
  <c r="FN289" i="19"/>
  <c r="FO289" i="19"/>
  <c r="FP289" i="19"/>
  <c r="FQ289" i="19"/>
  <c r="FR289" i="19"/>
  <c r="FS289" i="19"/>
  <c r="FT289" i="19"/>
  <c r="FU289" i="19"/>
  <c r="FV289" i="19"/>
  <c r="FW289" i="19"/>
  <c r="FX289" i="19"/>
  <c r="FY289" i="19"/>
  <c r="FZ289" i="19"/>
  <c r="GA289" i="19"/>
  <c r="GB289" i="19"/>
  <c r="GC289" i="19"/>
  <c r="GD289" i="19"/>
  <c r="GE289" i="19"/>
  <c r="GF289" i="19"/>
  <c r="GG289" i="19"/>
  <c r="GH289" i="19"/>
  <c r="GI289" i="19"/>
  <c r="GJ289" i="19"/>
  <c r="GK289" i="19"/>
  <c r="GL289" i="19"/>
  <c r="GM289" i="19"/>
  <c r="GN289" i="19"/>
  <c r="GO289" i="19"/>
  <c r="GP289" i="19"/>
  <c r="GQ289" i="19"/>
  <c r="GR289" i="19"/>
  <c r="GS289" i="19"/>
  <c r="GT289" i="19"/>
  <c r="GU289" i="19"/>
  <c r="GV289" i="19"/>
  <c r="GW289" i="19"/>
  <c r="GX289" i="19"/>
  <c r="GY289" i="19"/>
  <c r="GZ289" i="19"/>
  <c r="HA289" i="19"/>
  <c r="HB289" i="19"/>
  <c r="HC289" i="19"/>
  <c r="HD289" i="19"/>
  <c r="HE289" i="19"/>
  <c r="HF289" i="19"/>
  <c r="HG289" i="19"/>
  <c r="HH289" i="19"/>
  <c r="HI289" i="19"/>
  <c r="HJ289" i="19"/>
  <c r="HK289" i="19"/>
  <c r="HL289" i="19"/>
  <c r="HM289" i="19"/>
  <c r="HN289" i="19"/>
  <c r="HO289" i="19"/>
  <c r="HP289" i="19"/>
  <c r="HQ289" i="19"/>
  <c r="HR289" i="19"/>
  <c r="HS289" i="19"/>
  <c r="HT289" i="19"/>
  <c r="HU289" i="19"/>
  <c r="HV289" i="19"/>
  <c r="HW289" i="19"/>
  <c r="HX289" i="19"/>
  <c r="HY289" i="19"/>
  <c r="HZ289" i="19"/>
  <c r="IA289" i="19"/>
  <c r="IB289" i="19"/>
  <c r="IC289" i="19"/>
  <c r="ID289" i="19"/>
  <c r="IE289" i="19"/>
  <c r="IF289" i="19"/>
  <c r="IG289" i="19"/>
  <c r="IH289" i="19"/>
  <c r="II289" i="19"/>
  <c r="IJ289" i="19"/>
  <c r="IK289" i="19"/>
  <c r="IL289" i="19"/>
  <c r="IM289" i="19"/>
  <c r="IN289" i="19"/>
  <c r="IO289" i="19"/>
  <c r="IP289" i="19"/>
  <c r="IQ289" i="19"/>
  <c r="IR289" i="19"/>
  <c r="IS289" i="19"/>
  <c r="IT289" i="19"/>
  <c r="IU289" i="19"/>
  <c r="IV289" i="19"/>
  <c r="F290" i="19"/>
  <c r="G290" i="19"/>
  <c r="H290" i="19"/>
  <c r="I290" i="19"/>
  <c r="J290" i="19"/>
  <c r="K290" i="19"/>
  <c r="L290" i="19"/>
  <c r="M290" i="19"/>
  <c r="N290" i="19"/>
  <c r="O290" i="19"/>
  <c r="P290" i="19"/>
  <c r="Q290" i="19"/>
  <c r="R290" i="19"/>
  <c r="S290" i="19"/>
  <c r="T290" i="19"/>
  <c r="U290" i="19"/>
  <c r="V290" i="19"/>
  <c r="W290" i="19"/>
  <c r="X290" i="19"/>
  <c r="Y290" i="19"/>
  <c r="Z290" i="19"/>
  <c r="AA290" i="19"/>
  <c r="AB290" i="19"/>
  <c r="AC290" i="19"/>
  <c r="AD290" i="19"/>
  <c r="AE290" i="19"/>
  <c r="AF290" i="19"/>
  <c r="AG290" i="19"/>
  <c r="AH290" i="19"/>
  <c r="AI290" i="19"/>
  <c r="AJ290" i="19"/>
  <c r="AK290" i="19"/>
  <c r="AL290" i="19"/>
  <c r="AM290" i="19"/>
  <c r="AN290" i="19"/>
  <c r="AO290" i="19"/>
  <c r="AP290" i="19"/>
  <c r="AQ290" i="19"/>
  <c r="AR290" i="19"/>
  <c r="AS290" i="19"/>
  <c r="AT290" i="19"/>
  <c r="AU290" i="19"/>
  <c r="AV290" i="19"/>
  <c r="AW290" i="19"/>
  <c r="AX290" i="19"/>
  <c r="AY290" i="19"/>
  <c r="AZ290" i="19"/>
  <c r="BA290" i="19"/>
  <c r="BB290" i="19"/>
  <c r="BC290" i="19"/>
  <c r="BD290" i="19"/>
  <c r="BE290" i="19"/>
  <c r="BF290" i="19"/>
  <c r="BG290" i="19"/>
  <c r="BH290" i="19"/>
  <c r="BI290" i="19"/>
  <c r="BJ290" i="19"/>
  <c r="BK290" i="19"/>
  <c r="BL290" i="19"/>
  <c r="BM290" i="19"/>
  <c r="BN290" i="19"/>
  <c r="BO290" i="19"/>
  <c r="BP290" i="19"/>
  <c r="BQ290" i="19"/>
  <c r="BR290" i="19"/>
  <c r="BS290" i="19"/>
  <c r="BT290" i="19"/>
  <c r="BU290" i="19"/>
  <c r="BV290" i="19"/>
  <c r="BW290" i="19"/>
  <c r="BX290" i="19"/>
  <c r="BY290" i="19"/>
  <c r="BZ290" i="19"/>
  <c r="CA290" i="19"/>
  <c r="CB290" i="19"/>
  <c r="CC290" i="19"/>
  <c r="CD290" i="19"/>
  <c r="CE290" i="19"/>
  <c r="CF290" i="19"/>
  <c r="CG290" i="19"/>
  <c r="CH290" i="19"/>
  <c r="CI290" i="19"/>
  <c r="CJ290" i="19"/>
  <c r="CK290" i="19"/>
  <c r="CL290" i="19"/>
  <c r="CM290" i="19"/>
  <c r="CN290" i="19"/>
  <c r="CO290" i="19"/>
  <c r="CP290" i="19"/>
  <c r="CQ290" i="19"/>
  <c r="CR290" i="19"/>
  <c r="CS290" i="19"/>
  <c r="CT290" i="19"/>
  <c r="CU290" i="19"/>
  <c r="CV290" i="19"/>
  <c r="CW290" i="19"/>
  <c r="CX290" i="19"/>
  <c r="CY290" i="19"/>
  <c r="CZ290" i="19"/>
  <c r="DA290" i="19"/>
  <c r="DB290" i="19"/>
  <c r="DC290" i="19"/>
  <c r="DD290" i="19"/>
  <c r="DE290" i="19"/>
  <c r="DF290" i="19"/>
  <c r="DG290" i="19"/>
  <c r="DH290" i="19"/>
  <c r="DI290" i="19"/>
  <c r="DJ290" i="19"/>
  <c r="DK290" i="19"/>
  <c r="DL290" i="19"/>
  <c r="DM290" i="19"/>
  <c r="DN290" i="19"/>
  <c r="DO290" i="19"/>
  <c r="DP290" i="19"/>
  <c r="DQ290" i="19"/>
  <c r="DR290" i="19"/>
  <c r="DS290" i="19"/>
  <c r="DT290" i="19"/>
  <c r="DU290" i="19"/>
  <c r="DV290" i="19"/>
  <c r="DW290" i="19"/>
  <c r="DX290" i="19"/>
  <c r="DY290" i="19"/>
  <c r="DZ290" i="19"/>
  <c r="EA290" i="19"/>
  <c r="EB290" i="19"/>
  <c r="EC290" i="19"/>
  <c r="ED290" i="19"/>
  <c r="EE290" i="19"/>
  <c r="EF290" i="19"/>
  <c r="EG290" i="19"/>
  <c r="EH290" i="19"/>
  <c r="EI290" i="19"/>
  <c r="EJ290" i="19"/>
  <c r="EK290" i="19"/>
  <c r="EL290" i="19"/>
  <c r="EM290" i="19"/>
  <c r="EN290" i="19"/>
  <c r="EO290" i="19"/>
  <c r="EP290" i="19"/>
  <c r="EQ290" i="19"/>
  <c r="ER290" i="19"/>
  <c r="ES290" i="19"/>
  <c r="ET290" i="19"/>
  <c r="EU290" i="19"/>
  <c r="EV290" i="19"/>
  <c r="EW290" i="19"/>
  <c r="EX290" i="19"/>
  <c r="EY290" i="19"/>
  <c r="EZ290" i="19"/>
  <c r="FA290" i="19"/>
  <c r="FB290" i="19"/>
  <c r="FC290" i="19"/>
  <c r="FD290" i="19"/>
  <c r="FE290" i="19"/>
  <c r="FF290" i="19"/>
  <c r="FG290" i="19"/>
  <c r="FH290" i="19"/>
  <c r="FI290" i="19"/>
  <c r="FJ290" i="19"/>
  <c r="FK290" i="19"/>
  <c r="FL290" i="19"/>
  <c r="FM290" i="19"/>
  <c r="FN290" i="19"/>
  <c r="FO290" i="19"/>
  <c r="FP290" i="19"/>
  <c r="FQ290" i="19"/>
  <c r="FR290" i="19"/>
  <c r="FS290" i="19"/>
  <c r="FT290" i="19"/>
  <c r="FU290" i="19"/>
  <c r="FV290" i="19"/>
  <c r="FW290" i="19"/>
  <c r="FX290" i="19"/>
  <c r="FY290" i="19"/>
  <c r="FZ290" i="19"/>
  <c r="GA290" i="19"/>
  <c r="GB290" i="19"/>
  <c r="GC290" i="19"/>
  <c r="GD290" i="19"/>
  <c r="GE290" i="19"/>
  <c r="GF290" i="19"/>
  <c r="GG290" i="19"/>
  <c r="GH290" i="19"/>
  <c r="GI290" i="19"/>
  <c r="GJ290" i="19"/>
  <c r="GK290" i="19"/>
  <c r="GL290" i="19"/>
  <c r="GM290" i="19"/>
  <c r="GN290" i="19"/>
  <c r="GO290" i="19"/>
  <c r="GP290" i="19"/>
  <c r="GQ290" i="19"/>
  <c r="GR290" i="19"/>
  <c r="GS290" i="19"/>
  <c r="GT290" i="19"/>
  <c r="GU290" i="19"/>
  <c r="GV290" i="19"/>
  <c r="GW290" i="19"/>
  <c r="GX290" i="19"/>
  <c r="GY290" i="19"/>
  <c r="GZ290" i="19"/>
  <c r="HA290" i="19"/>
  <c r="HB290" i="19"/>
  <c r="HC290" i="19"/>
  <c r="HD290" i="19"/>
  <c r="HE290" i="19"/>
  <c r="HF290" i="19"/>
  <c r="HG290" i="19"/>
  <c r="HH290" i="19"/>
  <c r="HI290" i="19"/>
  <c r="HJ290" i="19"/>
  <c r="HK290" i="19"/>
  <c r="HL290" i="19"/>
  <c r="HM290" i="19"/>
  <c r="HN290" i="19"/>
  <c r="HO290" i="19"/>
  <c r="HP290" i="19"/>
  <c r="HQ290" i="19"/>
  <c r="HR290" i="19"/>
  <c r="HS290" i="19"/>
  <c r="HT290" i="19"/>
  <c r="HU290" i="19"/>
  <c r="HV290" i="19"/>
  <c r="HW290" i="19"/>
  <c r="HX290" i="19"/>
  <c r="HY290" i="19"/>
  <c r="HZ290" i="19"/>
  <c r="IA290" i="19"/>
  <c r="IB290" i="19"/>
  <c r="IC290" i="19"/>
  <c r="ID290" i="19"/>
  <c r="IE290" i="19"/>
  <c r="IF290" i="19"/>
  <c r="IG290" i="19"/>
  <c r="IH290" i="19"/>
  <c r="II290" i="19"/>
  <c r="IJ290" i="19"/>
  <c r="IK290" i="19"/>
  <c r="IL290" i="19"/>
  <c r="IM290" i="19"/>
  <c r="IN290" i="19"/>
  <c r="IO290" i="19"/>
  <c r="IP290" i="19"/>
  <c r="IQ290" i="19"/>
  <c r="IR290" i="19"/>
  <c r="IS290" i="19"/>
  <c r="IT290" i="19"/>
  <c r="IU290" i="19"/>
  <c r="IV290" i="19"/>
  <c r="F291" i="19"/>
  <c r="G291" i="19"/>
  <c r="H291" i="19"/>
  <c r="I291" i="19"/>
  <c r="J291" i="19"/>
  <c r="K291" i="19"/>
  <c r="L291" i="19"/>
  <c r="M291" i="19"/>
  <c r="N291" i="19"/>
  <c r="O291" i="19"/>
  <c r="P291" i="19"/>
  <c r="Q291" i="19"/>
  <c r="R291" i="19"/>
  <c r="S291" i="19"/>
  <c r="T291" i="19"/>
  <c r="U291" i="19"/>
  <c r="V291" i="19"/>
  <c r="W291" i="19"/>
  <c r="X291" i="19"/>
  <c r="Y291" i="19"/>
  <c r="Z291" i="19"/>
  <c r="AA291" i="19"/>
  <c r="AB291" i="19"/>
  <c r="AC291" i="19"/>
  <c r="AD291" i="19"/>
  <c r="AE291" i="19"/>
  <c r="AF291" i="19"/>
  <c r="AG291" i="19"/>
  <c r="AH291" i="19"/>
  <c r="AI291" i="19"/>
  <c r="AJ291" i="19"/>
  <c r="AK291" i="19"/>
  <c r="AL291" i="19"/>
  <c r="AM291" i="19"/>
  <c r="AN291" i="19"/>
  <c r="AO291" i="19"/>
  <c r="AP291" i="19"/>
  <c r="AQ291" i="19"/>
  <c r="AR291" i="19"/>
  <c r="AS291" i="19"/>
  <c r="AT291" i="19"/>
  <c r="AU291" i="19"/>
  <c r="AV291" i="19"/>
  <c r="AW291" i="19"/>
  <c r="AX291" i="19"/>
  <c r="AY291" i="19"/>
  <c r="AZ291" i="19"/>
  <c r="BA291" i="19"/>
  <c r="BB291" i="19"/>
  <c r="BC291" i="19"/>
  <c r="BD291" i="19"/>
  <c r="BE291" i="19"/>
  <c r="BF291" i="19"/>
  <c r="BG291" i="19"/>
  <c r="BH291" i="19"/>
  <c r="BI291" i="19"/>
  <c r="BJ291" i="19"/>
  <c r="BK291" i="19"/>
  <c r="BL291" i="19"/>
  <c r="BM291" i="19"/>
  <c r="BN291" i="19"/>
  <c r="BO291" i="19"/>
  <c r="BP291" i="19"/>
  <c r="BQ291" i="19"/>
  <c r="BR291" i="19"/>
  <c r="BS291" i="19"/>
  <c r="BT291" i="19"/>
  <c r="BU291" i="19"/>
  <c r="BV291" i="19"/>
  <c r="BW291" i="19"/>
  <c r="BX291" i="19"/>
  <c r="BY291" i="19"/>
  <c r="BZ291" i="19"/>
  <c r="CA291" i="19"/>
  <c r="CB291" i="19"/>
  <c r="CC291" i="19"/>
  <c r="CD291" i="19"/>
  <c r="CE291" i="19"/>
  <c r="CF291" i="19"/>
  <c r="CG291" i="19"/>
  <c r="CH291" i="19"/>
  <c r="CI291" i="19"/>
  <c r="CJ291" i="19"/>
  <c r="CK291" i="19"/>
  <c r="CL291" i="19"/>
  <c r="CM291" i="19"/>
  <c r="CN291" i="19"/>
  <c r="CO291" i="19"/>
  <c r="CP291" i="19"/>
  <c r="CQ291" i="19"/>
  <c r="CR291" i="19"/>
  <c r="CS291" i="19"/>
  <c r="CT291" i="19"/>
  <c r="CU291" i="19"/>
  <c r="CV291" i="19"/>
  <c r="CW291" i="19"/>
  <c r="CX291" i="19"/>
  <c r="CY291" i="19"/>
  <c r="CZ291" i="19"/>
  <c r="DA291" i="19"/>
  <c r="DB291" i="19"/>
  <c r="DC291" i="19"/>
  <c r="DD291" i="19"/>
  <c r="DE291" i="19"/>
  <c r="DF291" i="19"/>
  <c r="DG291" i="19"/>
  <c r="DH291" i="19"/>
  <c r="DI291" i="19"/>
  <c r="DJ291" i="19"/>
  <c r="DK291" i="19"/>
  <c r="DL291" i="19"/>
  <c r="DM291" i="19"/>
  <c r="DN291" i="19"/>
  <c r="DO291" i="19"/>
  <c r="DP291" i="19"/>
  <c r="DQ291" i="19"/>
  <c r="DR291" i="19"/>
  <c r="DS291" i="19"/>
  <c r="DT291" i="19"/>
  <c r="DU291" i="19"/>
  <c r="DV291" i="19"/>
  <c r="DW291" i="19"/>
  <c r="DX291" i="19"/>
  <c r="DY291" i="19"/>
  <c r="DZ291" i="19"/>
  <c r="EA291" i="19"/>
  <c r="EB291" i="19"/>
  <c r="EC291" i="19"/>
  <c r="ED291" i="19"/>
  <c r="EE291" i="19"/>
  <c r="EF291" i="19"/>
  <c r="EG291" i="19"/>
  <c r="EH291" i="19"/>
  <c r="EI291" i="19"/>
  <c r="EJ291" i="19"/>
  <c r="EK291" i="19"/>
  <c r="EL291" i="19"/>
  <c r="EM291" i="19"/>
  <c r="EN291" i="19"/>
  <c r="EO291" i="19"/>
  <c r="EP291" i="19"/>
  <c r="EQ291" i="19"/>
  <c r="ER291" i="19"/>
  <c r="ES291" i="19"/>
  <c r="ET291" i="19"/>
  <c r="EU291" i="19"/>
  <c r="EV291" i="19"/>
  <c r="EW291" i="19"/>
  <c r="EX291" i="19"/>
  <c r="EY291" i="19"/>
  <c r="EZ291" i="19"/>
  <c r="FA291" i="19"/>
  <c r="FB291" i="19"/>
  <c r="FC291" i="19"/>
  <c r="FD291" i="19"/>
  <c r="FE291" i="19"/>
  <c r="FF291" i="19"/>
  <c r="FG291" i="19"/>
  <c r="FH291" i="19"/>
  <c r="FI291" i="19"/>
  <c r="FJ291" i="19"/>
  <c r="FK291" i="19"/>
  <c r="FL291" i="19"/>
  <c r="FM291" i="19"/>
  <c r="FN291" i="19"/>
  <c r="FO291" i="19"/>
  <c r="FP291" i="19"/>
  <c r="FQ291" i="19"/>
  <c r="FR291" i="19"/>
  <c r="FS291" i="19"/>
  <c r="FT291" i="19"/>
  <c r="FU291" i="19"/>
  <c r="FV291" i="19"/>
  <c r="FW291" i="19"/>
  <c r="FX291" i="19"/>
  <c r="FY291" i="19"/>
  <c r="FZ291" i="19"/>
  <c r="GA291" i="19"/>
  <c r="GB291" i="19"/>
  <c r="GC291" i="19"/>
  <c r="GD291" i="19"/>
  <c r="GE291" i="19"/>
  <c r="GF291" i="19"/>
  <c r="GG291" i="19"/>
  <c r="GH291" i="19"/>
  <c r="GI291" i="19"/>
  <c r="GJ291" i="19"/>
  <c r="GK291" i="19"/>
  <c r="GL291" i="19"/>
  <c r="GM291" i="19"/>
  <c r="GN291" i="19"/>
  <c r="GO291" i="19"/>
  <c r="GP291" i="19"/>
  <c r="GQ291" i="19"/>
  <c r="GR291" i="19"/>
  <c r="GS291" i="19"/>
  <c r="GT291" i="19"/>
  <c r="GU291" i="19"/>
  <c r="GV291" i="19"/>
  <c r="GW291" i="19"/>
  <c r="GX291" i="19"/>
  <c r="GY291" i="19"/>
  <c r="GZ291" i="19"/>
  <c r="HA291" i="19"/>
  <c r="HB291" i="19"/>
  <c r="HC291" i="19"/>
  <c r="HD291" i="19"/>
  <c r="HE291" i="19"/>
  <c r="HF291" i="19"/>
  <c r="HG291" i="19"/>
  <c r="HH291" i="19"/>
  <c r="HI291" i="19"/>
  <c r="HJ291" i="19"/>
  <c r="HK291" i="19"/>
  <c r="HL291" i="19"/>
  <c r="HM291" i="19"/>
  <c r="HN291" i="19"/>
  <c r="HO291" i="19"/>
  <c r="HP291" i="19"/>
  <c r="HQ291" i="19"/>
  <c r="HR291" i="19"/>
  <c r="HS291" i="19"/>
  <c r="HT291" i="19"/>
  <c r="HU291" i="19"/>
  <c r="HV291" i="19"/>
  <c r="HW291" i="19"/>
  <c r="HX291" i="19"/>
  <c r="HY291" i="19"/>
  <c r="HZ291" i="19"/>
  <c r="IA291" i="19"/>
  <c r="IB291" i="19"/>
  <c r="IC291" i="19"/>
  <c r="ID291" i="19"/>
  <c r="IE291" i="19"/>
  <c r="IF291" i="19"/>
  <c r="IG291" i="19"/>
  <c r="IH291" i="19"/>
  <c r="II291" i="19"/>
  <c r="IJ291" i="19"/>
  <c r="IK291" i="19"/>
  <c r="IL291" i="19"/>
  <c r="IM291" i="19"/>
  <c r="IN291" i="19"/>
  <c r="IO291" i="19"/>
  <c r="IP291" i="19"/>
  <c r="IQ291" i="19"/>
  <c r="IR291" i="19"/>
  <c r="IS291" i="19"/>
  <c r="IT291" i="19"/>
  <c r="IU291" i="19"/>
  <c r="IV291" i="19"/>
  <c r="F292" i="19"/>
  <c r="G292" i="19"/>
  <c r="H292" i="19"/>
  <c r="I292" i="19"/>
  <c r="J292" i="19"/>
  <c r="K292" i="19"/>
  <c r="L292" i="19"/>
  <c r="M292" i="19"/>
  <c r="N292" i="19"/>
  <c r="O292" i="19"/>
  <c r="P292" i="19"/>
  <c r="Q292" i="19"/>
  <c r="R292" i="19"/>
  <c r="S292" i="19"/>
  <c r="T292" i="19"/>
  <c r="U292" i="19"/>
  <c r="V292" i="19"/>
  <c r="W292" i="19"/>
  <c r="X292" i="19"/>
  <c r="Y292" i="19"/>
  <c r="Z292" i="19"/>
  <c r="AA292" i="19"/>
  <c r="AB292" i="19"/>
  <c r="AC292" i="19"/>
  <c r="AD292" i="19"/>
  <c r="AE292" i="19"/>
  <c r="AF292" i="19"/>
  <c r="AG292" i="19"/>
  <c r="AH292" i="19"/>
  <c r="AI292" i="19"/>
  <c r="AJ292" i="19"/>
  <c r="AK292" i="19"/>
  <c r="AL292" i="19"/>
  <c r="AM292" i="19"/>
  <c r="AN292" i="19"/>
  <c r="AO292" i="19"/>
  <c r="AP292" i="19"/>
  <c r="AQ292" i="19"/>
  <c r="AR292" i="19"/>
  <c r="AS292" i="19"/>
  <c r="AT292" i="19"/>
  <c r="AU292" i="19"/>
  <c r="AV292" i="19"/>
  <c r="AW292" i="19"/>
  <c r="AX292" i="19"/>
  <c r="AY292" i="19"/>
  <c r="AZ292" i="19"/>
  <c r="BA292" i="19"/>
  <c r="BB292" i="19"/>
  <c r="BC292" i="19"/>
  <c r="BD292" i="19"/>
  <c r="BE292" i="19"/>
  <c r="BF292" i="19"/>
  <c r="BG292" i="19"/>
  <c r="BH292" i="19"/>
  <c r="BI292" i="19"/>
  <c r="BJ292" i="19"/>
  <c r="BK292" i="19"/>
  <c r="BL292" i="19"/>
  <c r="BM292" i="19"/>
  <c r="BN292" i="19"/>
  <c r="BO292" i="19"/>
  <c r="BP292" i="19"/>
  <c r="BQ292" i="19"/>
  <c r="BR292" i="19"/>
  <c r="BS292" i="19"/>
  <c r="BT292" i="19"/>
  <c r="BU292" i="19"/>
  <c r="BV292" i="19"/>
  <c r="BW292" i="19"/>
  <c r="BX292" i="19"/>
  <c r="BY292" i="19"/>
  <c r="BZ292" i="19"/>
  <c r="CA292" i="19"/>
  <c r="CB292" i="19"/>
  <c r="CC292" i="19"/>
  <c r="CD292" i="19"/>
  <c r="CE292" i="19"/>
  <c r="CF292" i="19"/>
  <c r="CG292" i="19"/>
  <c r="CH292" i="19"/>
  <c r="CI292" i="19"/>
  <c r="CJ292" i="19"/>
  <c r="CK292" i="19"/>
  <c r="CL292" i="19"/>
  <c r="CM292" i="19"/>
  <c r="CN292" i="19"/>
  <c r="CO292" i="19"/>
  <c r="CP292" i="19"/>
  <c r="CQ292" i="19"/>
  <c r="CR292" i="19"/>
  <c r="CS292" i="19"/>
  <c r="CT292" i="19"/>
  <c r="CU292" i="19"/>
  <c r="CV292" i="19"/>
  <c r="CW292" i="19"/>
  <c r="CX292" i="19"/>
  <c r="CY292" i="19"/>
  <c r="CZ292" i="19"/>
  <c r="DA292" i="19"/>
  <c r="DB292" i="19"/>
  <c r="DC292" i="19"/>
  <c r="DD292" i="19"/>
  <c r="DE292" i="19"/>
  <c r="DF292" i="19"/>
  <c r="DG292" i="19"/>
  <c r="DH292" i="19"/>
  <c r="DI292" i="19"/>
  <c r="DJ292" i="19"/>
  <c r="DK292" i="19"/>
  <c r="DL292" i="19"/>
  <c r="DM292" i="19"/>
  <c r="DN292" i="19"/>
  <c r="DO292" i="19"/>
  <c r="DP292" i="19"/>
  <c r="DQ292" i="19"/>
  <c r="DR292" i="19"/>
  <c r="DS292" i="19"/>
  <c r="DT292" i="19"/>
  <c r="DU292" i="19"/>
  <c r="DV292" i="19"/>
  <c r="DW292" i="19"/>
  <c r="DX292" i="19"/>
  <c r="DY292" i="19"/>
  <c r="DZ292" i="19"/>
  <c r="EA292" i="19"/>
  <c r="EB292" i="19"/>
  <c r="EC292" i="19"/>
  <c r="ED292" i="19"/>
  <c r="EE292" i="19"/>
  <c r="EF292" i="19"/>
  <c r="EG292" i="19"/>
  <c r="EH292" i="19"/>
  <c r="EI292" i="19"/>
  <c r="EJ292" i="19"/>
  <c r="EK292" i="19"/>
  <c r="EL292" i="19"/>
  <c r="EM292" i="19"/>
  <c r="EN292" i="19"/>
  <c r="EO292" i="19"/>
  <c r="EP292" i="19"/>
  <c r="EQ292" i="19"/>
  <c r="ER292" i="19"/>
  <c r="ES292" i="19"/>
  <c r="ET292" i="19"/>
  <c r="EU292" i="19"/>
  <c r="EV292" i="19"/>
  <c r="EW292" i="19"/>
  <c r="EX292" i="19"/>
  <c r="EY292" i="19"/>
  <c r="EZ292" i="19"/>
  <c r="FA292" i="19"/>
  <c r="FB292" i="19"/>
  <c r="FC292" i="19"/>
  <c r="FD292" i="19"/>
  <c r="FE292" i="19"/>
  <c r="FF292" i="19"/>
  <c r="FG292" i="19"/>
  <c r="FH292" i="19"/>
  <c r="FI292" i="19"/>
  <c r="FJ292" i="19"/>
  <c r="FK292" i="19"/>
  <c r="FL292" i="19"/>
  <c r="FM292" i="19"/>
  <c r="FN292" i="19"/>
  <c r="FO292" i="19"/>
  <c r="FP292" i="19"/>
  <c r="FQ292" i="19"/>
  <c r="FR292" i="19"/>
  <c r="FS292" i="19"/>
  <c r="FT292" i="19"/>
  <c r="FU292" i="19"/>
  <c r="FV292" i="19"/>
  <c r="FW292" i="19"/>
  <c r="FX292" i="19"/>
  <c r="FY292" i="19"/>
  <c r="FZ292" i="19"/>
  <c r="GA292" i="19"/>
  <c r="GB292" i="19"/>
  <c r="GC292" i="19"/>
  <c r="GD292" i="19"/>
  <c r="GE292" i="19"/>
  <c r="GF292" i="19"/>
  <c r="GG292" i="19"/>
  <c r="GH292" i="19"/>
  <c r="GI292" i="19"/>
  <c r="GJ292" i="19"/>
  <c r="GK292" i="19"/>
  <c r="GL292" i="19"/>
  <c r="GM292" i="19"/>
  <c r="GN292" i="19"/>
  <c r="GO292" i="19"/>
  <c r="GP292" i="19"/>
  <c r="GQ292" i="19"/>
  <c r="GR292" i="19"/>
  <c r="GS292" i="19"/>
  <c r="GT292" i="19"/>
  <c r="GU292" i="19"/>
  <c r="GV292" i="19"/>
  <c r="GW292" i="19"/>
  <c r="GX292" i="19"/>
  <c r="GY292" i="19"/>
  <c r="GZ292" i="19"/>
  <c r="HA292" i="19"/>
  <c r="HB292" i="19"/>
  <c r="HC292" i="19"/>
  <c r="HD292" i="19"/>
  <c r="HE292" i="19"/>
  <c r="HF292" i="19"/>
  <c r="HG292" i="19"/>
  <c r="HH292" i="19"/>
  <c r="HI292" i="19"/>
  <c r="HJ292" i="19"/>
  <c r="HK292" i="19"/>
  <c r="HL292" i="19"/>
  <c r="HM292" i="19"/>
  <c r="HN292" i="19"/>
  <c r="HO292" i="19"/>
  <c r="HP292" i="19"/>
  <c r="HQ292" i="19"/>
  <c r="HR292" i="19"/>
  <c r="HS292" i="19"/>
  <c r="HT292" i="19"/>
  <c r="HU292" i="19"/>
  <c r="HV292" i="19"/>
  <c r="HW292" i="19"/>
  <c r="HX292" i="19"/>
  <c r="HY292" i="19"/>
  <c r="HZ292" i="19"/>
  <c r="IA292" i="19"/>
  <c r="IB292" i="19"/>
  <c r="IC292" i="19"/>
  <c r="ID292" i="19"/>
  <c r="IE292" i="19"/>
  <c r="IF292" i="19"/>
  <c r="IG292" i="19"/>
  <c r="IH292" i="19"/>
  <c r="II292" i="19"/>
  <c r="IJ292" i="19"/>
  <c r="IK292" i="19"/>
  <c r="IL292" i="19"/>
  <c r="IM292" i="19"/>
  <c r="IN292" i="19"/>
  <c r="IO292" i="19"/>
  <c r="IP292" i="19"/>
  <c r="IQ292" i="19"/>
  <c r="IR292" i="19"/>
  <c r="IS292" i="19"/>
  <c r="IT292" i="19"/>
  <c r="IU292" i="19"/>
  <c r="IV292" i="19"/>
  <c r="F293" i="19"/>
  <c r="G293" i="19"/>
  <c r="H293" i="19"/>
  <c r="I293" i="19"/>
  <c r="J293" i="19"/>
  <c r="K293" i="19"/>
  <c r="L293" i="19"/>
  <c r="M293" i="19"/>
  <c r="N293" i="19"/>
  <c r="O293" i="19"/>
  <c r="P293" i="19"/>
  <c r="Q293" i="19"/>
  <c r="R293" i="19"/>
  <c r="S293" i="19"/>
  <c r="T293" i="19"/>
  <c r="U293" i="19"/>
  <c r="V293" i="19"/>
  <c r="W293" i="19"/>
  <c r="X293" i="19"/>
  <c r="Y293" i="19"/>
  <c r="Z293" i="19"/>
  <c r="AA293" i="19"/>
  <c r="AB293" i="19"/>
  <c r="AC293" i="19"/>
  <c r="AD293" i="19"/>
  <c r="AE293" i="19"/>
  <c r="AF293" i="19"/>
  <c r="AG293" i="19"/>
  <c r="AH293" i="19"/>
  <c r="AI293" i="19"/>
  <c r="AJ293" i="19"/>
  <c r="AK293" i="19"/>
  <c r="AL293" i="19"/>
  <c r="AM293" i="19"/>
  <c r="AN293" i="19"/>
  <c r="AO293" i="19"/>
  <c r="AP293" i="19"/>
  <c r="AQ293" i="19"/>
  <c r="AR293" i="19"/>
  <c r="AS293" i="19"/>
  <c r="AT293" i="19"/>
  <c r="AU293" i="19"/>
  <c r="AV293" i="19"/>
  <c r="AW293" i="19"/>
  <c r="AX293" i="19"/>
  <c r="AY293" i="19"/>
  <c r="AZ293" i="19"/>
  <c r="BA293" i="19"/>
  <c r="BB293" i="19"/>
  <c r="BC293" i="19"/>
  <c r="BD293" i="19"/>
  <c r="BE293" i="19"/>
  <c r="BF293" i="19"/>
  <c r="BG293" i="19"/>
  <c r="BH293" i="19"/>
  <c r="BI293" i="19"/>
  <c r="BJ293" i="19"/>
  <c r="BK293" i="19"/>
  <c r="BL293" i="19"/>
  <c r="BM293" i="19"/>
  <c r="BN293" i="19"/>
  <c r="BO293" i="19"/>
  <c r="BP293" i="19"/>
  <c r="BQ293" i="19"/>
  <c r="BR293" i="19"/>
  <c r="BS293" i="19"/>
  <c r="BT293" i="19"/>
  <c r="BU293" i="19"/>
  <c r="BV293" i="19"/>
  <c r="BW293" i="19"/>
  <c r="BX293" i="19"/>
  <c r="BY293" i="19"/>
  <c r="BZ293" i="19"/>
  <c r="CA293" i="19"/>
  <c r="CB293" i="19"/>
  <c r="CC293" i="19"/>
  <c r="CD293" i="19"/>
  <c r="CE293" i="19"/>
  <c r="CF293" i="19"/>
  <c r="CG293" i="19"/>
  <c r="CH293" i="19"/>
  <c r="CI293" i="19"/>
  <c r="CJ293" i="19"/>
  <c r="CK293" i="19"/>
  <c r="CL293" i="19"/>
  <c r="CM293" i="19"/>
  <c r="CN293" i="19"/>
  <c r="CO293" i="19"/>
  <c r="CP293" i="19"/>
  <c r="CQ293" i="19"/>
  <c r="CR293" i="19"/>
  <c r="CS293" i="19"/>
  <c r="CT293" i="19"/>
  <c r="CU293" i="19"/>
  <c r="CV293" i="19"/>
  <c r="CW293" i="19"/>
  <c r="CX293" i="19"/>
  <c r="CY293" i="19"/>
  <c r="CZ293" i="19"/>
  <c r="DA293" i="19"/>
  <c r="DB293" i="19"/>
  <c r="DC293" i="19"/>
  <c r="DD293" i="19"/>
  <c r="DE293" i="19"/>
  <c r="DF293" i="19"/>
  <c r="DG293" i="19"/>
  <c r="DH293" i="19"/>
  <c r="DI293" i="19"/>
  <c r="DJ293" i="19"/>
  <c r="DK293" i="19"/>
  <c r="DL293" i="19"/>
  <c r="DM293" i="19"/>
  <c r="DN293" i="19"/>
  <c r="DO293" i="19"/>
  <c r="DP293" i="19"/>
  <c r="DQ293" i="19"/>
  <c r="DR293" i="19"/>
  <c r="DS293" i="19"/>
  <c r="DT293" i="19"/>
  <c r="DU293" i="19"/>
  <c r="DV293" i="19"/>
  <c r="DW293" i="19"/>
  <c r="DX293" i="19"/>
  <c r="DY293" i="19"/>
  <c r="DZ293" i="19"/>
  <c r="EA293" i="19"/>
  <c r="EB293" i="19"/>
  <c r="EC293" i="19"/>
  <c r="ED293" i="19"/>
  <c r="EE293" i="19"/>
  <c r="EF293" i="19"/>
  <c r="EG293" i="19"/>
  <c r="EH293" i="19"/>
  <c r="EI293" i="19"/>
  <c r="EJ293" i="19"/>
  <c r="EK293" i="19"/>
  <c r="EL293" i="19"/>
  <c r="EM293" i="19"/>
  <c r="EN293" i="19"/>
  <c r="EO293" i="19"/>
  <c r="EP293" i="19"/>
  <c r="EQ293" i="19"/>
  <c r="ER293" i="19"/>
  <c r="ES293" i="19"/>
  <c r="ET293" i="19"/>
  <c r="EU293" i="19"/>
  <c r="EV293" i="19"/>
  <c r="EW293" i="19"/>
  <c r="EX293" i="19"/>
  <c r="EY293" i="19"/>
  <c r="EZ293" i="19"/>
  <c r="FA293" i="19"/>
  <c r="FB293" i="19"/>
  <c r="FC293" i="19"/>
  <c r="FD293" i="19"/>
  <c r="FE293" i="19"/>
  <c r="FF293" i="19"/>
  <c r="FG293" i="19"/>
  <c r="FH293" i="19"/>
  <c r="FI293" i="19"/>
  <c r="FJ293" i="19"/>
  <c r="FK293" i="19"/>
  <c r="FL293" i="19"/>
  <c r="FM293" i="19"/>
  <c r="FN293" i="19"/>
  <c r="FO293" i="19"/>
  <c r="FP293" i="19"/>
  <c r="FQ293" i="19"/>
  <c r="FR293" i="19"/>
  <c r="FS293" i="19"/>
  <c r="FT293" i="19"/>
  <c r="FU293" i="19"/>
  <c r="FV293" i="19"/>
  <c r="FW293" i="19"/>
  <c r="FX293" i="19"/>
  <c r="FY293" i="19"/>
  <c r="FZ293" i="19"/>
  <c r="GA293" i="19"/>
  <c r="GB293" i="19"/>
  <c r="GC293" i="19"/>
  <c r="GD293" i="19"/>
  <c r="GE293" i="19"/>
  <c r="GF293" i="19"/>
  <c r="GG293" i="19"/>
  <c r="GH293" i="19"/>
  <c r="GI293" i="19"/>
  <c r="GJ293" i="19"/>
  <c r="GK293" i="19"/>
  <c r="GL293" i="19"/>
  <c r="GM293" i="19"/>
  <c r="GN293" i="19"/>
  <c r="GO293" i="19"/>
  <c r="GP293" i="19"/>
  <c r="GQ293" i="19"/>
  <c r="GR293" i="19"/>
  <c r="GS293" i="19"/>
  <c r="GT293" i="19"/>
  <c r="GU293" i="19"/>
  <c r="GV293" i="19"/>
  <c r="GW293" i="19"/>
  <c r="GX293" i="19"/>
  <c r="GY293" i="19"/>
  <c r="GZ293" i="19"/>
  <c r="HA293" i="19"/>
  <c r="HB293" i="19"/>
  <c r="HC293" i="19"/>
  <c r="HD293" i="19"/>
  <c r="HE293" i="19"/>
  <c r="HF293" i="19"/>
  <c r="HG293" i="19"/>
  <c r="HH293" i="19"/>
  <c r="HI293" i="19"/>
  <c r="HJ293" i="19"/>
  <c r="HK293" i="19"/>
  <c r="HL293" i="19"/>
  <c r="HM293" i="19"/>
  <c r="HN293" i="19"/>
  <c r="HO293" i="19"/>
  <c r="HP293" i="19"/>
  <c r="HQ293" i="19"/>
  <c r="HR293" i="19"/>
  <c r="HS293" i="19"/>
  <c r="HT293" i="19"/>
  <c r="HU293" i="19"/>
  <c r="HV293" i="19"/>
  <c r="HW293" i="19"/>
  <c r="HX293" i="19"/>
  <c r="HY293" i="19"/>
  <c r="HZ293" i="19"/>
  <c r="IA293" i="19"/>
  <c r="IB293" i="19"/>
  <c r="IC293" i="19"/>
  <c r="ID293" i="19"/>
  <c r="IE293" i="19"/>
  <c r="IF293" i="19"/>
  <c r="IG293" i="19"/>
  <c r="IH293" i="19"/>
  <c r="II293" i="19"/>
  <c r="IJ293" i="19"/>
  <c r="IK293" i="19"/>
  <c r="IL293" i="19"/>
  <c r="IM293" i="19"/>
  <c r="IN293" i="19"/>
  <c r="IO293" i="19"/>
  <c r="IP293" i="19"/>
  <c r="IQ293" i="19"/>
  <c r="IR293" i="19"/>
  <c r="IS293" i="19"/>
  <c r="IT293" i="19"/>
  <c r="IU293" i="19"/>
  <c r="IV293" i="19"/>
  <c r="F294" i="19"/>
  <c r="G294" i="19"/>
  <c r="H294" i="19"/>
  <c r="I294" i="19"/>
  <c r="J294" i="19"/>
  <c r="K294" i="19"/>
  <c r="L294" i="19"/>
  <c r="M294" i="19"/>
  <c r="N294" i="19"/>
  <c r="O294" i="19"/>
  <c r="P294" i="19"/>
  <c r="Q294" i="19"/>
  <c r="R294" i="19"/>
  <c r="S294" i="19"/>
  <c r="T294" i="19"/>
  <c r="U294" i="19"/>
  <c r="V294" i="19"/>
  <c r="W294" i="19"/>
  <c r="X294" i="19"/>
  <c r="Y294" i="19"/>
  <c r="Z294" i="19"/>
  <c r="AA294" i="19"/>
  <c r="AB294" i="19"/>
  <c r="AC294" i="19"/>
  <c r="AD294" i="19"/>
  <c r="AE294" i="19"/>
  <c r="AF294" i="19"/>
  <c r="AG294" i="19"/>
  <c r="AH294" i="19"/>
  <c r="AI294" i="19"/>
  <c r="AJ294" i="19"/>
  <c r="AK294" i="19"/>
  <c r="AL294" i="19"/>
  <c r="AM294" i="19"/>
  <c r="AN294" i="19"/>
  <c r="AO294" i="19"/>
  <c r="AP294" i="19"/>
  <c r="AQ294" i="19"/>
  <c r="AR294" i="19"/>
  <c r="AS294" i="19"/>
  <c r="AT294" i="19"/>
  <c r="AU294" i="19"/>
  <c r="AV294" i="19"/>
  <c r="AW294" i="19"/>
  <c r="AX294" i="19"/>
  <c r="AY294" i="19"/>
  <c r="AZ294" i="19"/>
  <c r="BA294" i="19"/>
  <c r="BB294" i="19"/>
  <c r="BC294" i="19"/>
  <c r="BD294" i="19"/>
  <c r="BE294" i="19"/>
  <c r="BF294" i="19"/>
  <c r="BG294" i="19"/>
  <c r="BH294" i="19"/>
  <c r="BI294" i="19"/>
  <c r="BJ294" i="19"/>
  <c r="BK294" i="19"/>
  <c r="BL294" i="19"/>
  <c r="BM294" i="19"/>
  <c r="BN294" i="19"/>
  <c r="BO294" i="19"/>
  <c r="BP294" i="19"/>
  <c r="BQ294" i="19"/>
  <c r="BR294" i="19"/>
  <c r="BS294" i="19"/>
  <c r="BT294" i="19"/>
  <c r="BU294" i="19"/>
  <c r="BV294" i="19"/>
  <c r="BW294" i="19"/>
  <c r="BX294" i="19"/>
  <c r="BY294" i="19"/>
  <c r="BZ294" i="19"/>
  <c r="CA294" i="19"/>
  <c r="CB294" i="19"/>
  <c r="CC294" i="19"/>
  <c r="CD294" i="19"/>
  <c r="CE294" i="19"/>
  <c r="CF294" i="19"/>
  <c r="CG294" i="19"/>
  <c r="CH294" i="19"/>
  <c r="CI294" i="19"/>
  <c r="CJ294" i="19"/>
  <c r="CK294" i="19"/>
  <c r="CL294" i="19"/>
  <c r="CM294" i="19"/>
  <c r="CN294" i="19"/>
  <c r="CO294" i="19"/>
  <c r="CP294" i="19"/>
  <c r="CQ294" i="19"/>
  <c r="CR294" i="19"/>
  <c r="CS294" i="19"/>
  <c r="CT294" i="19"/>
  <c r="CU294" i="19"/>
  <c r="CV294" i="19"/>
  <c r="CW294" i="19"/>
  <c r="CX294" i="19"/>
  <c r="CY294" i="19"/>
  <c r="CZ294" i="19"/>
  <c r="DA294" i="19"/>
  <c r="DB294" i="19"/>
  <c r="DC294" i="19"/>
  <c r="DD294" i="19"/>
  <c r="DE294" i="19"/>
  <c r="DF294" i="19"/>
  <c r="DG294" i="19"/>
  <c r="DH294" i="19"/>
  <c r="DI294" i="19"/>
  <c r="DJ294" i="19"/>
  <c r="DK294" i="19"/>
  <c r="DL294" i="19"/>
  <c r="DM294" i="19"/>
  <c r="DN294" i="19"/>
  <c r="DO294" i="19"/>
  <c r="DP294" i="19"/>
  <c r="DQ294" i="19"/>
  <c r="DR294" i="19"/>
  <c r="DS294" i="19"/>
  <c r="DT294" i="19"/>
  <c r="DU294" i="19"/>
  <c r="DV294" i="19"/>
  <c r="DW294" i="19"/>
  <c r="DX294" i="19"/>
  <c r="DY294" i="19"/>
  <c r="DZ294" i="19"/>
  <c r="EA294" i="19"/>
  <c r="EB294" i="19"/>
  <c r="EC294" i="19"/>
  <c r="ED294" i="19"/>
  <c r="EE294" i="19"/>
  <c r="EF294" i="19"/>
  <c r="EG294" i="19"/>
  <c r="EH294" i="19"/>
  <c r="EI294" i="19"/>
  <c r="EJ294" i="19"/>
  <c r="EK294" i="19"/>
  <c r="EL294" i="19"/>
  <c r="EM294" i="19"/>
  <c r="EN294" i="19"/>
  <c r="EO294" i="19"/>
  <c r="EP294" i="19"/>
  <c r="EQ294" i="19"/>
  <c r="ER294" i="19"/>
  <c r="ES294" i="19"/>
  <c r="ET294" i="19"/>
  <c r="EU294" i="19"/>
  <c r="EV294" i="19"/>
  <c r="EW294" i="19"/>
  <c r="EX294" i="19"/>
  <c r="EY294" i="19"/>
  <c r="EZ294" i="19"/>
  <c r="FA294" i="19"/>
  <c r="FB294" i="19"/>
  <c r="FC294" i="19"/>
  <c r="FD294" i="19"/>
  <c r="FE294" i="19"/>
  <c r="FF294" i="19"/>
  <c r="FG294" i="19"/>
  <c r="FH294" i="19"/>
  <c r="FI294" i="19"/>
  <c r="FJ294" i="19"/>
  <c r="FK294" i="19"/>
  <c r="FL294" i="19"/>
  <c r="FM294" i="19"/>
  <c r="FN294" i="19"/>
  <c r="FO294" i="19"/>
  <c r="FP294" i="19"/>
  <c r="FQ294" i="19"/>
  <c r="FR294" i="19"/>
  <c r="FS294" i="19"/>
  <c r="FT294" i="19"/>
  <c r="FU294" i="19"/>
  <c r="FV294" i="19"/>
  <c r="FW294" i="19"/>
  <c r="FX294" i="19"/>
  <c r="FY294" i="19"/>
  <c r="FZ294" i="19"/>
  <c r="GA294" i="19"/>
  <c r="GB294" i="19"/>
  <c r="GC294" i="19"/>
  <c r="GD294" i="19"/>
  <c r="GE294" i="19"/>
  <c r="GF294" i="19"/>
  <c r="GG294" i="19"/>
  <c r="GH294" i="19"/>
  <c r="GI294" i="19"/>
  <c r="GJ294" i="19"/>
  <c r="GK294" i="19"/>
  <c r="GL294" i="19"/>
  <c r="GM294" i="19"/>
  <c r="GN294" i="19"/>
  <c r="GO294" i="19"/>
  <c r="GP294" i="19"/>
  <c r="GQ294" i="19"/>
  <c r="GR294" i="19"/>
  <c r="GS294" i="19"/>
  <c r="GT294" i="19"/>
  <c r="GU294" i="19"/>
  <c r="GV294" i="19"/>
  <c r="GW294" i="19"/>
  <c r="GX294" i="19"/>
  <c r="GY294" i="19"/>
  <c r="GZ294" i="19"/>
  <c r="HA294" i="19"/>
  <c r="HB294" i="19"/>
  <c r="HC294" i="19"/>
  <c r="HD294" i="19"/>
  <c r="HE294" i="19"/>
  <c r="HF294" i="19"/>
  <c r="HG294" i="19"/>
  <c r="HH294" i="19"/>
  <c r="HI294" i="19"/>
  <c r="HJ294" i="19"/>
  <c r="HK294" i="19"/>
  <c r="HL294" i="19"/>
  <c r="HM294" i="19"/>
  <c r="HN294" i="19"/>
  <c r="HO294" i="19"/>
  <c r="HP294" i="19"/>
  <c r="HQ294" i="19"/>
  <c r="HR294" i="19"/>
  <c r="HS294" i="19"/>
  <c r="HT294" i="19"/>
  <c r="HU294" i="19"/>
  <c r="HV294" i="19"/>
  <c r="HW294" i="19"/>
  <c r="HX294" i="19"/>
  <c r="HY294" i="19"/>
  <c r="HZ294" i="19"/>
  <c r="IA294" i="19"/>
  <c r="IB294" i="19"/>
  <c r="IC294" i="19"/>
  <c r="ID294" i="19"/>
  <c r="IE294" i="19"/>
  <c r="IF294" i="19"/>
  <c r="IG294" i="19"/>
  <c r="IH294" i="19"/>
  <c r="II294" i="19"/>
  <c r="IJ294" i="19"/>
  <c r="IK294" i="19"/>
  <c r="IL294" i="19"/>
  <c r="IM294" i="19"/>
  <c r="IN294" i="19"/>
  <c r="IO294" i="19"/>
  <c r="IP294" i="19"/>
  <c r="IQ294" i="19"/>
  <c r="IR294" i="19"/>
  <c r="IS294" i="19"/>
  <c r="IT294" i="19"/>
  <c r="IU294" i="19"/>
  <c r="IV294" i="19"/>
  <c r="F295" i="19"/>
  <c r="G295" i="19"/>
  <c r="H295" i="19"/>
  <c r="I295" i="19"/>
  <c r="J295" i="19"/>
  <c r="K295" i="19"/>
  <c r="L295" i="19"/>
  <c r="M295" i="19"/>
  <c r="N295" i="19"/>
  <c r="O295" i="19"/>
  <c r="P295" i="19"/>
  <c r="Q295" i="19"/>
  <c r="R295" i="19"/>
  <c r="S295" i="19"/>
  <c r="T295" i="19"/>
  <c r="U295" i="19"/>
  <c r="V295" i="19"/>
  <c r="W295" i="19"/>
  <c r="X295" i="19"/>
  <c r="Y295" i="19"/>
  <c r="Z295" i="19"/>
  <c r="AA295" i="19"/>
  <c r="AB295" i="19"/>
  <c r="AC295" i="19"/>
  <c r="AD295" i="19"/>
  <c r="AE295" i="19"/>
  <c r="AF295" i="19"/>
  <c r="AG295" i="19"/>
  <c r="AH295" i="19"/>
  <c r="AI295" i="19"/>
  <c r="AJ295" i="19"/>
  <c r="AK295" i="19"/>
  <c r="AL295" i="19"/>
  <c r="AM295" i="19"/>
  <c r="AN295" i="19"/>
  <c r="AO295" i="19"/>
  <c r="AP295" i="19"/>
  <c r="AQ295" i="19"/>
  <c r="AR295" i="19"/>
  <c r="AS295" i="19"/>
  <c r="AT295" i="19"/>
  <c r="AU295" i="19"/>
  <c r="AV295" i="19"/>
  <c r="AW295" i="19"/>
  <c r="AX295" i="19"/>
  <c r="AY295" i="19"/>
  <c r="AZ295" i="19"/>
  <c r="BA295" i="19"/>
  <c r="BB295" i="19"/>
  <c r="BC295" i="19"/>
  <c r="BD295" i="19"/>
  <c r="BE295" i="19"/>
  <c r="BF295" i="19"/>
  <c r="BG295" i="19"/>
  <c r="BH295" i="19"/>
  <c r="BI295" i="19"/>
  <c r="BJ295" i="19"/>
  <c r="BK295" i="19"/>
  <c r="BL295" i="19"/>
  <c r="BM295" i="19"/>
  <c r="BN295" i="19"/>
  <c r="BO295" i="19"/>
  <c r="BP295" i="19"/>
  <c r="BQ295" i="19"/>
  <c r="BR295" i="19"/>
  <c r="BS295" i="19"/>
  <c r="BT295" i="19"/>
  <c r="BU295" i="19"/>
  <c r="BV295" i="19"/>
  <c r="BW295" i="19"/>
  <c r="BX295" i="19"/>
  <c r="BY295" i="19"/>
  <c r="BZ295" i="19"/>
  <c r="CA295" i="19"/>
  <c r="CB295" i="19"/>
  <c r="CC295" i="19"/>
  <c r="CD295" i="19"/>
  <c r="CE295" i="19"/>
  <c r="CF295" i="19"/>
  <c r="CG295" i="19"/>
  <c r="CH295" i="19"/>
  <c r="CI295" i="19"/>
  <c r="CJ295" i="19"/>
  <c r="CK295" i="19"/>
  <c r="CL295" i="19"/>
  <c r="CM295" i="19"/>
  <c r="CN295" i="19"/>
  <c r="CO295" i="19"/>
  <c r="CP295" i="19"/>
  <c r="CQ295" i="19"/>
  <c r="CR295" i="19"/>
  <c r="CS295" i="19"/>
  <c r="CT295" i="19"/>
  <c r="CU295" i="19"/>
  <c r="CV295" i="19"/>
  <c r="CW295" i="19"/>
  <c r="CX295" i="19"/>
  <c r="CY295" i="19"/>
  <c r="CZ295" i="19"/>
  <c r="DA295" i="19"/>
  <c r="DB295" i="19"/>
  <c r="DC295" i="19"/>
  <c r="DD295" i="19"/>
  <c r="DE295" i="19"/>
  <c r="DF295" i="19"/>
  <c r="DG295" i="19"/>
  <c r="DH295" i="19"/>
  <c r="DI295" i="19"/>
  <c r="DJ295" i="19"/>
  <c r="DK295" i="19"/>
  <c r="DL295" i="19"/>
  <c r="DM295" i="19"/>
  <c r="DN295" i="19"/>
  <c r="DO295" i="19"/>
  <c r="DP295" i="19"/>
  <c r="DQ295" i="19"/>
  <c r="DR295" i="19"/>
  <c r="DS295" i="19"/>
  <c r="DT295" i="19"/>
  <c r="DU295" i="19"/>
  <c r="DV295" i="19"/>
  <c r="DW295" i="19"/>
  <c r="DX295" i="19"/>
  <c r="DY295" i="19"/>
  <c r="DZ295" i="19"/>
  <c r="EA295" i="19"/>
  <c r="EB295" i="19"/>
  <c r="EC295" i="19"/>
  <c r="ED295" i="19"/>
  <c r="EE295" i="19"/>
  <c r="EF295" i="19"/>
  <c r="EG295" i="19"/>
  <c r="EH295" i="19"/>
  <c r="EI295" i="19"/>
  <c r="EJ295" i="19"/>
  <c r="EK295" i="19"/>
  <c r="EL295" i="19"/>
  <c r="EM295" i="19"/>
  <c r="EN295" i="19"/>
  <c r="EO295" i="19"/>
  <c r="EP295" i="19"/>
  <c r="EQ295" i="19"/>
  <c r="ER295" i="19"/>
  <c r="ES295" i="19"/>
  <c r="ET295" i="19"/>
  <c r="EU295" i="19"/>
  <c r="EV295" i="19"/>
  <c r="EW295" i="19"/>
  <c r="EX295" i="19"/>
  <c r="EY295" i="19"/>
  <c r="EZ295" i="19"/>
  <c r="FA295" i="19"/>
  <c r="FB295" i="19"/>
  <c r="FC295" i="19"/>
  <c r="FD295" i="19"/>
  <c r="FE295" i="19"/>
  <c r="FF295" i="19"/>
  <c r="FG295" i="19"/>
  <c r="FH295" i="19"/>
  <c r="FI295" i="19"/>
  <c r="FJ295" i="19"/>
  <c r="FK295" i="19"/>
  <c r="FL295" i="19"/>
  <c r="FM295" i="19"/>
  <c r="FN295" i="19"/>
  <c r="FO295" i="19"/>
  <c r="FP295" i="19"/>
  <c r="FQ295" i="19"/>
  <c r="FR295" i="19"/>
  <c r="FS295" i="19"/>
  <c r="FT295" i="19"/>
  <c r="FU295" i="19"/>
  <c r="FV295" i="19"/>
  <c r="FW295" i="19"/>
  <c r="FX295" i="19"/>
  <c r="FY295" i="19"/>
  <c r="FZ295" i="19"/>
  <c r="GA295" i="19"/>
  <c r="GB295" i="19"/>
  <c r="GC295" i="19"/>
  <c r="GD295" i="19"/>
  <c r="GE295" i="19"/>
  <c r="GF295" i="19"/>
  <c r="GG295" i="19"/>
  <c r="GH295" i="19"/>
  <c r="GI295" i="19"/>
  <c r="GJ295" i="19"/>
  <c r="GK295" i="19"/>
  <c r="GL295" i="19"/>
  <c r="GM295" i="19"/>
  <c r="GN295" i="19"/>
  <c r="GO295" i="19"/>
  <c r="GP295" i="19"/>
  <c r="GQ295" i="19"/>
  <c r="GR295" i="19"/>
  <c r="GS295" i="19"/>
  <c r="GT295" i="19"/>
  <c r="GU295" i="19"/>
  <c r="GV295" i="19"/>
  <c r="GW295" i="19"/>
  <c r="GX295" i="19"/>
  <c r="GY295" i="19"/>
  <c r="GZ295" i="19"/>
  <c r="HA295" i="19"/>
  <c r="HB295" i="19"/>
  <c r="HC295" i="19"/>
  <c r="HD295" i="19"/>
  <c r="HE295" i="19"/>
  <c r="HF295" i="19"/>
  <c r="HG295" i="19"/>
  <c r="HH295" i="19"/>
  <c r="HI295" i="19"/>
  <c r="HJ295" i="19"/>
  <c r="HK295" i="19"/>
  <c r="HL295" i="19"/>
  <c r="HM295" i="19"/>
  <c r="HN295" i="19"/>
  <c r="HO295" i="19"/>
  <c r="HP295" i="19"/>
  <c r="HQ295" i="19"/>
  <c r="HR295" i="19"/>
  <c r="HS295" i="19"/>
  <c r="HT295" i="19"/>
  <c r="HU295" i="19"/>
  <c r="HV295" i="19"/>
  <c r="HW295" i="19"/>
  <c r="HX295" i="19"/>
  <c r="HY295" i="19"/>
  <c r="HZ295" i="19"/>
  <c r="IA295" i="19"/>
  <c r="IB295" i="19"/>
  <c r="IC295" i="19"/>
  <c r="ID295" i="19"/>
  <c r="IE295" i="19"/>
  <c r="IF295" i="19"/>
  <c r="IG295" i="19"/>
  <c r="IH295" i="19"/>
  <c r="II295" i="19"/>
  <c r="IJ295" i="19"/>
  <c r="IK295" i="19"/>
  <c r="IL295" i="19"/>
  <c r="IM295" i="19"/>
  <c r="IN295" i="19"/>
  <c r="IO295" i="19"/>
  <c r="IP295" i="19"/>
  <c r="IQ295" i="19"/>
  <c r="IR295" i="19"/>
  <c r="IS295" i="19"/>
  <c r="IT295" i="19"/>
  <c r="IU295" i="19"/>
  <c r="IV295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R296" i="19"/>
  <c r="S296" i="19"/>
  <c r="T296" i="19"/>
  <c r="U296" i="19"/>
  <c r="V296" i="19"/>
  <c r="W296" i="19"/>
  <c r="X296" i="19"/>
  <c r="Y296" i="19"/>
  <c r="Z296" i="19"/>
  <c r="AA296" i="19"/>
  <c r="AB296" i="19"/>
  <c r="AC296" i="19"/>
  <c r="AD296" i="19"/>
  <c r="AE296" i="19"/>
  <c r="AF296" i="19"/>
  <c r="AG296" i="19"/>
  <c r="AH296" i="19"/>
  <c r="AI296" i="19"/>
  <c r="AJ296" i="19"/>
  <c r="AK296" i="19"/>
  <c r="AL296" i="19"/>
  <c r="AM296" i="19"/>
  <c r="AN296" i="19"/>
  <c r="AO296" i="19"/>
  <c r="AP296" i="19"/>
  <c r="AQ296" i="19"/>
  <c r="AR296" i="19"/>
  <c r="AS296" i="19"/>
  <c r="AT296" i="19"/>
  <c r="AU296" i="19"/>
  <c r="AV296" i="19"/>
  <c r="AW296" i="19"/>
  <c r="AX296" i="19"/>
  <c r="AY296" i="19"/>
  <c r="AZ296" i="19"/>
  <c r="BA296" i="19"/>
  <c r="BB296" i="19"/>
  <c r="BC296" i="19"/>
  <c r="BD296" i="19"/>
  <c r="BE296" i="19"/>
  <c r="BF296" i="19"/>
  <c r="BG296" i="19"/>
  <c r="BH296" i="19"/>
  <c r="BI296" i="19"/>
  <c r="BJ296" i="19"/>
  <c r="BK296" i="19"/>
  <c r="BL296" i="19"/>
  <c r="BM296" i="19"/>
  <c r="BN296" i="19"/>
  <c r="BO296" i="19"/>
  <c r="BP296" i="19"/>
  <c r="BQ296" i="19"/>
  <c r="BR296" i="19"/>
  <c r="BS296" i="19"/>
  <c r="BT296" i="19"/>
  <c r="BU296" i="19"/>
  <c r="BV296" i="19"/>
  <c r="BW296" i="19"/>
  <c r="BX296" i="19"/>
  <c r="BY296" i="19"/>
  <c r="BZ296" i="19"/>
  <c r="CA296" i="19"/>
  <c r="CB296" i="19"/>
  <c r="CC296" i="19"/>
  <c r="CD296" i="19"/>
  <c r="CE296" i="19"/>
  <c r="CF296" i="19"/>
  <c r="CG296" i="19"/>
  <c r="CH296" i="19"/>
  <c r="CI296" i="19"/>
  <c r="CJ296" i="19"/>
  <c r="CK296" i="19"/>
  <c r="CL296" i="19"/>
  <c r="CM296" i="19"/>
  <c r="CN296" i="19"/>
  <c r="CO296" i="19"/>
  <c r="CP296" i="19"/>
  <c r="CQ296" i="19"/>
  <c r="CR296" i="19"/>
  <c r="CS296" i="19"/>
  <c r="CT296" i="19"/>
  <c r="CU296" i="19"/>
  <c r="CV296" i="19"/>
  <c r="CW296" i="19"/>
  <c r="CX296" i="19"/>
  <c r="CY296" i="19"/>
  <c r="CZ296" i="19"/>
  <c r="DA296" i="19"/>
  <c r="DB296" i="19"/>
  <c r="DC296" i="19"/>
  <c r="DD296" i="19"/>
  <c r="DE296" i="19"/>
  <c r="DF296" i="19"/>
  <c r="DG296" i="19"/>
  <c r="DH296" i="19"/>
  <c r="DI296" i="19"/>
  <c r="DJ296" i="19"/>
  <c r="DK296" i="19"/>
  <c r="DL296" i="19"/>
  <c r="DM296" i="19"/>
  <c r="DN296" i="19"/>
  <c r="DO296" i="19"/>
  <c r="DP296" i="19"/>
  <c r="DQ296" i="19"/>
  <c r="DR296" i="19"/>
  <c r="DS296" i="19"/>
  <c r="DT296" i="19"/>
  <c r="DU296" i="19"/>
  <c r="DV296" i="19"/>
  <c r="DW296" i="19"/>
  <c r="DX296" i="19"/>
  <c r="DY296" i="19"/>
  <c r="DZ296" i="19"/>
  <c r="EA296" i="19"/>
  <c r="EB296" i="19"/>
  <c r="EC296" i="19"/>
  <c r="ED296" i="19"/>
  <c r="EE296" i="19"/>
  <c r="EF296" i="19"/>
  <c r="EG296" i="19"/>
  <c r="EH296" i="19"/>
  <c r="EI296" i="19"/>
  <c r="EJ296" i="19"/>
  <c r="EK296" i="19"/>
  <c r="EL296" i="19"/>
  <c r="EM296" i="19"/>
  <c r="EN296" i="19"/>
  <c r="EO296" i="19"/>
  <c r="EP296" i="19"/>
  <c r="EQ296" i="19"/>
  <c r="ER296" i="19"/>
  <c r="ES296" i="19"/>
  <c r="ET296" i="19"/>
  <c r="EU296" i="19"/>
  <c r="EV296" i="19"/>
  <c r="EW296" i="19"/>
  <c r="EX296" i="19"/>
  <c r="EY296" i="19"/>
  <c r="EZ296" i="19"/>
  <c r="FA296" i="19"/>
  <c r="FB296" i="19"/>
  <c r="FC296" i="19"/>
  <c r="FD296" i="19"/>
  <c r="FE296" i="19"/>
  <c r="FF296" i="19"/>
  <c r="FG296" i="19"/>
  <c r="FH296" i="19"/>
  <c r="FI296" i="19"/>
  <c r="FJ296" i="19"/>
  <c r="FK296" i="19"/>
  <c r="FL296" i="19"/>
  <c r="FM296" i="19"/>
  <c r="FN296" i="19"/>
  <c r="FO296" i="19"/>
  <c r="FP296" i="19"/>
  <c r="FQ296" i="19"/>
  <c r="FR296" i="19"/>
  <c r="FS296" i="19"/>
  <c r="FT296" i="19"/>
  <c r="FU296" i="19"/>
  <c r="FV296" i="19"/>
  <c r="FW296" i="19"/>
  <c r="FX296" i="19"/>
  <c r="FY296" i="19"/>
  <c r="FZ296" i="19"/>
  <c r="GA296" i="19"/>
  <c r="GB296" i="19"/>
  <c r="GC296" i="19"/>
  <c r="GD296" i="19"/>
  <c r="GE296" i="19"/>
  <c r="GF296" i="19"/>
  <c r="GG296" i="19"/>
  <c r="GH296" i="19"/>
  <c r="GI296" i="19"/>
  <c r="GJ296" i="19"/>
  <c r="GK296" i="19"/>
  <c r="GL296" i="19"/>
  <c r="GM296" i="19"/>
  <c r="GN296" i="19"/>
  <c r="GO296" i="19"/>
  <c r="GP296" i="19"/>
  <c r="GQ296" i="19"/>
  <c r="GR296" i="19"/>
  <c r="GS296" i="19"/>
  <c r="GT296" i="19"/>
  <c r="GU296" i="19"/>
  <c r="GV296" i="19"/>
  <c r="GW296" i="19"/>
  <c r="GX296" i="19"/>
  <c r="GY296" i="19"/>
  <c r="GZ296" i="19"/>
  <c r="HA296" i="19"/>
  <c r="HB296" i="19"/>
  <c r="HC296" i="19"/>
  <c r="HD296" i="19"/>
  <c r="HE296" i="19"/>
  <c r="HF296" i="19"/>
  <c r="HG296" i="19"/>
  <c r="HH296" i="19"/>
  <c r="HI296" i="19"/>
  <c r="HJ296" i="19"/>
  <c r="HK296" i="19"/>
  <c r="HL296" i="19"/>
  <c r="HM296" i="19"/>
  <c r="HN296" i="19"/>
  <c r="HO296" i="19"/>
  <c r="HP296" i="19"/>
  <c r="HQ296" i="19"/>
  <c r="HR296" i="19"/>
  <c r="HS296" i="19"/>
  <c r="HT296" i="19"/>
  <c r="HU296" i="19"/>
  <c r="HV296" i="19"/>
  <c r="HW296" i="19"/>
  <c r="HX296" i="19"/>
  <c r="HY296" i="19"/>
  <c r="HZ296" i="19"/>
  <c r="IA296" i="19"/>
  <c r="IB296" i="19"/>
  <c r="IC296" i="19"/>
  <c r="ID296" i="19"/>
  <c r="IE296" i="19"/>
  <c r="IF296" i="19"/>
  <c r="IG296" i="19"/>
  <c r="IH296" i="19"/>
  <c r="II296" i="19"/>
  <c r="IJ296" i="19"/>
  <c r="IK296" i="19"/>
  <c r="IL296" i="19"/>
  <c r="IM296" i="19"/>
  <c r="IN296" i="19"/>
  <c r="IO296" i="19"/>
  <c r="IP296" i="19"/>
  <c r="IQ296" i="19"/>
  <c r="IR296" i="19"/>
  <c r="IS296" i="19"/>
  <c r="IT296" i="19"/>
  <c r="IU296" i="19"/>
  <c r="IV296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R297" i="19"/>
  <c r="S297" i="19"/>
  <c r="T297" i="19"/>
  <c r="U297" i="19"/>
  <c r="V297" i="19"/>
  <c r="W297" i="19"/>
  <c r="X297" i="19"/>
  <c r="Y297" i="19"/>
  <c r="Z297" i="19"/>
  <c r="AA297" i="19"/>
  <c r="AB297" i="19"/>
  <c r="AC297" i="19"/>
  <c r="AD297" i="19"/>
  <c r="AE297" i="19"/>
  <c r="AF297" i="19"/>
  <c r="AG297" i="19"/>
  <c r="AH297" i="19"/>
  <c r="AI297" i="19"/>
  <c r="AJ297" i="19"/>
  <c r="AK297" i="19"/>
  <c r="AL297" i="19"/>
  <c r="AM297" i="19"/>
  <c r="AN297" i="19"/>
  <c r="AO297" i="19"/>
  <c r="AP297" i="19"/>
  <c r="AQ297" i="19"/>
  <c r="AR297" i="19"/>
  <c r="AS297" i="19"/>
  <c r="AT297" i="19"/>
  <c r="AU297" i="19"/>
  <c r="AV297" i="19"/>
  <c r="AW297" i="19"/>
  <c r="AX297" i="19"/>
  <c r="AY297" i="19"/>
  <c r="AZ297" i="19"/>
  <c r="BA297" i="19"/>
  <c r="BB297" i="19"/>
  <c r="BC297" i="19"/>
  <c r="BD297" i="19"/>
  <c r="BE297" i="19"/>
  <c r="BF297" i="19"/>
  <c r="BG297" i="19"/>
  <c r="BH297" i="19"/>
  <c r="BI297" i="19"/>
  <c r="BJ297" i="19"/>
  <c r="BK297" i="19"/>
  <c r="BL297" i="19"/>
  <c r="BM297" i="19"/>
  <c r="BN297" i="19"/>
  <c r="BO297" i="19"/>
  <c r="BP297" i="19"/>
  <c r="BQ297" i="19"/>
  <c r="BR297" i="19"/>
  <c r="BS297" i="19"/>
  <c r="BT297" i="19"/>
  <c r="BU297" i="19"/>
  <c r="BV297" i="19"/>
  <c r="BW297" i="19"/>
  <c r="BX297" i="19"/>
  <c r="BY297" i="19"/>
  <c r="BZ297" i="19"/>
  <c r="CA297" i="19"/>
  <c r="CB297" i="19"/>
  <c r="CC297" i="19"/>
  <c r="CD297" i="19"/>
  <c r="CE297" i="19"/>
  <c r="CF297" i="19"/>
  <c r="CG297" i="19"/>
  <c r="CH297" i="19"/>
  <c r="CI297" i="19"/>
  <c r="CJ297" i="19"/>
  <c r="CK297" i="19"/>
  <c r="CL297" i="19"/>
  <c r="CM297" i="19"/>
  <c r="CN297" i="19"/>
  <c r="CO297" i="19"/>
  <c r="CP297" i="19"/>
  <c r="CQ297" i="19"/>
  <c r="CR297" i="19"/>
  <c r="CS297" i="19"/>
  <c r="CT297" i="19"/>
  <c r="CU297" i="19"/>
  <c r="CV297" i="19"/>
  <c r="CW297" i="19"/>
  <c r="CX297" i="19"/>
  <c r="CY297" i="19"/>
  <c r="CZ297" i="19"/>
  <c r="DA297" i="19"/>
  <c r="DB297" i="19"/>
  <c r="DC297" i="19"/>
  <c r="DD297" i="19"/>
  <c r="DE297" i="19"/>
  <c r="DF297" i="19"/>
  <c r="DG297" i="19"/>
  <c r="DH297" i="19"/>
  <c r="DI297" i="19"/>
  <c r="DJ297" i="19"/>
  <c r="DK297" i="19"/>
  <c r="DL297" i="19"/>
  <c r="DM297" i="19"/>
  <c r="DN297" i="19"/>
  <c r="DO297" i="19"/>
  <c r="DP297" i="19"/>
  <c r="DQ297" i="19"/>
  <c r="DR297" i="19"/>
  <c r="DS297" i="19"/>
  <c r="DT297" i="19"/>
  <c r="DU297" i="19"/>
  <c r="DV297" i="19"/>
  <c r="DW297" i="19"/>
  <c r="DX297" i="19"/>
  <c r="DY297" i="19"/>
  <c r="DZ297" i="19"/>
  <c r="EA297" i="19"/>
  <c r="EB297" i="19"/>
  <c r="EC297" i="19"/>
  <c r="ED297" i="19"/>
  <c r="EE297" i="19"/>
  <c r="EF297" i="19"/>
  <c r="EG297" i="19"/>
  <c r="EH297" i="19"/>
  <c r="EI297" i="19"/>
  <c r="EJ297" i="19"/>
  <c r="EK297" i="19"/>
  <c r="EL297" i="19"/>
  <c r="EM297" i="19"/>
  <c r="EN297" i="19"/>
  <c r="EO297" i="19"/>
  <c r="EP297" i="19"/>
  <c r="EQ297" i="19"/>
  <c r="F1" i="19"/>
  <c r="G1" i="19"/>
  <c r="H1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V1" i="19"/>
  <c r="W1" i="19"/>
  <c r="X1" i="19"/>
  <c r="Y1" i="19"/>
  <c r="Z1" i="19"/>
  <c r="AA1" i="19"/>
  <c r="AB1" i="19"/>
  <c r="AC1" i="19"/>
  <c r="AD1" i="19"/>
  <c r="AE1" i="19"/>
  <c r="AF1" i="19"/>
  <c r="AG1" i="19"/>
  <c r="AH1" i="19"/>
  <c r="AI1" i="19"/>
  <c r="AJ1" i="19"/>
  <c r="AK1" i="19"/>
  <c r="AL1" i="19"/>
  <c r="AM1" i="19"/>
  <c r="AN1" i="19"/>
  <c r="AO1" i="19"/>
  <c r="AP1" i="19"/>
  <c r="AQ1" i="19"/>
  <c r="AR1" i="19"/>
  <c r="AS1" i="19"/>
  <c r="AT1" i="19"/>
  <c r="AU1" i="19"/>
  <c r="AV1" i="19"/>
  <c r="AW1" i="19"/>
  <c r="AX1" i="19"/>
  <c r="AY1" i="19"/>
  <c r="AZ1" i="19"/>
  <c r="BA1" i="19"/>
  <c r="BB1" i="19"/>
  <c r="BC1" i="19"/>
  <c r="BD1" i="19"/>
  <c r="BE1" i="19"/>
  <c r="BF1" i="19"/>
  <c r="BG1" i="19"/>
  <c r="BH1" i="19"/>
  <c r="BI1" i="19"/>
  <c r="BJ1" i="19"/>
  <c r="BK1" i="19"/>
  <c r="BL1" i="19"/>
  <c r="BM1" i="19"/>
  <c r="BN1" i="19"/>
  <c r="BO1" i="19"/>
  <c r="BP1" i="19"/>
  <c r="BQ1" i="19"/>
  <c r="BR1" i="19"/>
  <c r="BS1" i="19"/>
  <c r="BT1" i="19"/>
  <c r="BU1" i="19"/>
  <c r="BV1" i="19"/>
  <c r="BW1" i="19"/>
  <c r="BX1" i="19"/>
  <c r="BY1" i="19"/>
  <c r="BZ1" i="19"/>
  <c r="CA1" i="19"/>
  <c r="CB1" i="19"/>
  <c r="CC1" i="19"/>
  <c r="CD1" i="19"/>
  <c r="CE1" i="19"/>
  <c r="CF1" i="19"/>
  <c r="CG1" i="19"/>
  <c r="CH1" i="19"/>
  <c r="CI1" i="19"/>
  <c r="CJ1" i="19"/>
  <c r="CK1" i="19"/>
  <c r="CL1" i="19"/>
  <c r="CM1" i="19"/>
  <c r="CN1" i="19"/>
  <c r="CO1" i="19"/>
  <c r="CP1" i="19"/>
  <c r="CQ1" i="19"/>
  <c r="CR1" i="19"/>
  <c r="CS1" i="19"/>
  <c r="CT1" i="19"/>
  <c r="CU1" i="19"/>
  <c r="CV1" i="19"/>
  <c r="CW1" i="19"/>
  <c r="CX1" i="19"/>
  <c r="CY1" i="19"/>
  <c r="CZ1" i="19"/>
  <c r="DA1" i="19"/>
  <c r="DB1" i="19"/>
  <c r="DC1" i="19"/>
  <c r="DD1" i="19"/>
  <c r="DE1" i="19"/>
  <c r="DF1" i="19"/>
  <c r="DG1" i="19"/>
  <c r="DH1" i="19"/>
  <c r="DI1" i="19"/>
  <c r="DJ1" i="19"/>
  <c r="DK1" i="19"/>
  <c r="DL1" i="19"/>
  <c r="DM1" i="19"/>
  <c r="DN1" i="19"/>
  <c r="DO1" i="19"/>
  <c r="DP1" i="19"/>
  <c r="DQ1" i="19"/>
  <c r="DR1" i="19"/>
  <c r="DS1" i="19"/>
  <c r="DT1" i="19"/>
  <c r="DU1" i="19"/>
  <c r="DV1" i="19"/>
  <c r="DW1" i="19"/>
  <c r="DX1" i="19"/>
  <c r="DY1" i="19"/>
  <c r="DZ1" i="19"/>
  <c r="EA1" i="19"/>
  <c r="EB1" i="19"/>
  <c r="EC1" i="19"/>
  <c r="ED1" i="19"/>
  <c r="EE1" i="19"/>
  <c r="EF1" i="19"/>
  <c r="EG1" i="19"/>
  <c r="EH1" i="19"/>
  <c r="EI1" i="19"/>
  <c r="EJ1" i="19"/>
  <c r="EK1" i="19"/>
  <c r="EL1" i="19"/>
  <c r="EM1" i="19"/>
  <c r="EN1" i="19"/>
  <c r="EO1" i="19"/>
  <c r="EP1" i="19"/>
  <c r="EQ1" i="19"/>
  <c r="ER1" i="19"/>
  <c r="ES1" i="19"/>
  <c r="ET1" i="19"/>
  <c r="EU1" i="19"/>
  <c r="EV1" i="19"/>
  <c r="EW1" i="19"/>
  <c r="EX1" i="19"/>
  <c r="EY1" i="19"/>
  <c r="EZ1" i="19"/>
  <c r="FA1" i="19"/>
  <c r="FB1" i="19"/>
  <c r="FC1" i="19"/>
  <c r="FD1" i="19"/>
  <c r="FE1" i="19"/>
  <c r="FF1" i="19"/>
  <c r="FG1" i="19"/>
  <c r="FH1" i="19"/>
  <c r="FI1" i="19"/>
  <c r="FJ1" i="19"/>
  <c r="FK1" i="19"/>
  <c r="FL1" i="19"/>
  <c r="FM1" i="19"/>
  <c r="FN1" i="19"/>
  <c r="FO1" i="19"/>
  <c r="FP1" i="19"/>
  <c r="FQ1" i="19"/>
  <c r="FR1" i="19"/>
  <c r="FS1" i="19"/>
  <c r="FT1" i="19"/>
  <c r="FU1" i="19"/>
  <c r="FV1" i="19"/>
  <c r="FW1" i="19"/>
  <c r="FX1" i="19"/>
  <c r="FY1" i="19"/>
  <c r="FZ1" i="19"/>
  <c r="GA1" i="19"/>
  <c r="GB1" i="19"/>
  <c r="GC1" i="19"/>
  <c r="GD1" i="19"/>
  <c r="GE1" i="19"/>
  <c r="GF1" i="19"/>
  <c r="GG1" i="19"/>
  <c r="GH1" i="19"/>
  <c r="GI1" i="19"/>
  <c r="GJ1" i="19"/>
  <c r="GK1" i="19"/>
  <c r="GL1" i="19"/>
  <c r="GM1" i="19"/>
  <c r="GN1" i="19"/>
  <c r="GO1" i="19"/>
  <c r="GP1" i="19"/>
  <c r="GQ1" i="19"/>
  <c r="GR1" i="19"/>
  <c r="GS1" i="19"/>
  <c r="GT1" i="19"/>
  <c r="GU1" i="19"/>
  <c r="GV1" i="19"/>
  <c r="GW1" i="19"/>
  <c r="GX1" i="19"/>
  <c r="GY1" i="19"/>
  <c r="GZ1" i="19"/>
  <c r="HA1" i="19"/>
  <c r="HB1" i="19"/>
  <c r="HC1" i="19"/>
  <c r="HD1" i="19"/>
  <c r="HE1" i="19"/>
  <c r="HF1" i="19"/>
  <c r="HG1" i="19"/>
  <c r="HH1" i="19"/>
  <c r="HI1" i="19"/>
  <c r="HJ1" i="19"/>
  <c r="HK1" i="19"/>
  <c r="HL1" i="19"/>
  <c r="HM1" i="19"/>
  <c r="HN1" i="19"/>
  <c r="HO1" i="19"/>
  <c r="HP1" i="19"/>
  <c r="HQ1" i="19"/>
  <c r="HR1" i="19"/>
  <c r="HS1" i="19"/>
  <c r="HT1" i="19"/>
  <c r="HU1" i="19"/>
  <c r="HV1" i="19"/>
  <c r="HW1" i="19"/>
  <c r="HX1" i="19"/>
  <c r="HY1" i="19"/>
  <c r="HZ1" i="19"/>
  <c r="IA1" i="19"/>
  <c r="IB1" i="19"/>
  <c r="IC1" i="19"/>
  <c r="ID1" i="19"/>
  <c r="IE1" i="19"/>
  <c r="IF1" i="19"/>
  <c r="IG1" i="19"/>
  <c r="IH1" i="19"/>
  <c r="II1" i="19"/>
  <c r="IJ1" i="19"/>
  <c r="IK1" i="19"/>
  <c r="IL1" i="19"/>
  <c r="IM1" i="19"/>
  <c r="IN1" i="19"/>
  <c r="IO1" i="19"/>
  <c r="IP1" i="19"/>
  <c r="IQ1" i="19"/>
  <c r="IR1" i="19"/>
  <c r="IS1" i="19"/>
  <c r="IT1" i="19"/>
  <c r="IU1" i="19"/>
  <c r="IV1" i="19"/>
  <c r="K19" i="14" l="1"/>
  <c r="K10" i="14"/>
  <c r="X827" i="14"/>
  <c r="Y808" i="14"/>
  <c r="X808" i="14"/>
  <c r="P826" i="14" l="1"/>
  <c r="P819" i="14"/>
  <c r="Y760" i="14" l="1"/>
  <c r="X760" i="14"/>
  <c r="X759" i="14"/>
  <c r="Y790" i="14" l="1"/>
  <c r="Y791" i="14"/>
  <c r="X790" i="14"/>
  <c r="X791" i="14"/>
  <c r="Y740" i="14" l="1"/>
  <c r="Y741" i="14"/>
  <c r="Y742" i="14"/>
  <c r="Y743" i="14"/>
  <c r="Y744" i="14"/>
  <c r="Y745" i="14"/>
  <c r="Y746" i="14"/>
  <c r="Y747" i="14"/>
  <c r="Y748" i="14"/>
  <c r="Y749" i="14"/>
  <c r="Y750" i="14"/>
  <c r="Y751" i="14"/>
  <c r="Y752" i="14"/>
  <c r="Y753" i="14"/>
  <c r="Y754" i="14"/>
  <c r="Y755" i="14"/>
  <c r="Y756" i="14"/>
  <c r="Y757" i="14"/>
  <c r="Y758" i="14"/>
  <c r="Y759" i="14"/>
  <c r="Y761" i="14"/>
  <c r="Y762" i="14"/>
  <c r="Y763" i="14"/>
  <c r="Y764" i="14"/>
  <c r="Y765" i="14"/>
  <c r="Y766" i="14"/>
  <c r="Y767" i="14"/>
  <c r="Y768" i="14"/>
  <c r="Y769" i="14"/>
  <c r="Y770" i="14"/>
  <c r="Y771" i="14"/>
  <c r="Y772" i="14"/>
  <c r="Y773" i="14"/>
  <c r="Y774" i="14"/>
  <c r="Y775" i="14"/>
  <c r="Y776" i="14"/>
  <c r="Y777" i="14"/>
  <c r="Y778" i="14"/>
  <c r="Y779" i="14"/>
  <c r="Y780" i="14"/>
  <c r="Y781" i="14"/>
  <c r="Y782" i="14"/>
  <c r="Y783" i="14"/>
  <c r="Y784" i="14"/>
  <c r="Y785" i="14"/>
  <c r="Y786" i="14"/>
  <c r="Y787" i="14"/>
  <c r="Y788" i="14"/>
  <c r="Y789" i="14"/>
  <c r="Y792" i="14"/>
  <c r="Y793" i="14"/>
  <c r="Y794" i="14"/>
  <c r="Y795" i="14"/>
  <c r="Y796" i="14"/>
  <c r="Y797" i="14"/>
  <c r="Y798" i="14"/>
  <c r="Y799" i="14"/>
  <c r="Y800" i="14"/>
  <c r="Y801" i="14"/>
  <c r="Y802" i="14"/>
  <c r="Y803" i="14"/>
  <c r="Y804" i="14"/>
  <c r="Y805" i="14"/>
  <c r="Y806" i="14"/>
  <c r="Y807" i="14"/>
  <c r="Y809" i="14"/>
  <c r="Y810" i="14"/>
  <c r="Y811" i="14"/>
  <c r="Y812" i="14"/>
  <c r="Y813" i="14"/>
  <c r="Y814" i="14"/>
  <c r="Y815" i="14"/>
  <c r="Y816" i="14"/>
  <c r="Y817" i="14"/>
  <c r="Y818" i="14"/>
  <c r="Y819" i="14"/>
  <c r="Y820" i="14"/>
  <c r="Y821" i="14"/>
  <c r="Y822" i="14"/>
  <c r="Y823" i="14"/>
  <c r="Y824" i="14"/>
  <c r="Y825" i="14"/>
  <c r="Y826" i="14"/>
  <c r="Y827" i="14"/>
  <c r="Y828" i="14"/>
  <c r="Y829" i="14"/>
  <c r="Y830" i="14"/>
  <c r="Y831" i="14"/>
  <c r="Y832" i="14"/>
  <c r="Y833" i="14"/>
  <c r="Y834" i="14"/>
  <c r="Y835" i="14"/>
  <c r="Y836" i="14"/>
  <c r="Y837" i="14"/>
  <c r="Y838" i="14"/>
  <c r="Y839" i="14"/>
  <c r="Y840" i="14"/>
  <c r="Y841" i="14"/>
  <c r="Y842" i="14"/>
  <c r="Y843" i="14"/>
  <c r="Y844" i="14"/>
  <c r="Y845" i="14"/>
  <c r="Y846" i="14"/>
  <c r="Y847" i="14"/>
  <c r="K18" i="14" s="1"/>
  <c r="Y848" i="14"/>
  <c r="Y849" i="14"/>
  <c r="Y850" i="14"/>
  <c r="Y851" i="14"/>
  <c r="Y852" i="14"/>
  <c r="Y853" i="14"/>
  <c r="Y854" i="14"/>
  <c r="Y855" i="14"/>
  <c r="Y856" i="14"/>
  <c r="Y857" i="14"/>
  <c r="Y858" i="14"/>
  <c r="Y859" i="14"/>
  <c r="Y860" i="14"/>
  <c r="Y861" i="14"/>
  <c r="Y862" i="14"/>
  <c r="Y863" i="14"/>
  <c r="Y864" i="14"/>
  <c r="Y865" i="14"/>
  <c r="Y866" i="14"/>
  <c r="Y867" i="14"/>
  <c r="Y868" i="14"/>
  <c r="Y869" i="14"/>
  <c r="Y870" i="14"/>
  <c r="Y871" i="14"/>
  <c r="Y872" i="14"/>
  <c r="Y873" i="14"/>
  <c r="Y874" i="14"/>
  <c r="Y875" i="14"/>
  <c r="Y876" i="14"/>
  <c r="Y877" i="14"/>
  <c r="Y878" i="14"/>
  <c r="Y879" i="14"/>
  <c r="Y880" i="14"/>
  <c r="Y881" i="14"/>
  <c r="Y882" i="14"/>
  <c r="Y883" i="14"/>
  <c r="Y884" i="14"/>
  <c r="Y885" i="14"/>
  <c r="Y886" i="14"/>
  <c r="Y887" i="14"/>
  <c r="Y888" i="14"/>
  <c r="Y889" i="14"/>
  <c r="Y890" i="14"/>
  <c r="Y891" i="14"/>
  <c r="Y892" i="14"/>
  <c r="Y893" i="14"/>
  <c r="Y894" i="14"/>
  <c r="Y895" i="14"/>
  <c r="Y896" i="14"/>
  <c r="Y897" i="14"/>
  <c r="Y898" i="14"/>
  <c r="Y899" i="14"/>
  <c r="Y900" i="14"/>
  <c r="Y901" i="14"/>
  <c r="Y902" i="14"/>
  <c r="Y903" i="14"/>
  <c r="Y904" i="14"/>
  <c r="Y905" i="14"/>
  <c r="Y906" i="14"/>
  <c r="Y907" i="14"/>
  <c r="Y908" i="14"/>
  <c r="Y909" i="14"/>
  <c r="Y910" i="14"/>
  <c r="Y911" i="14"/>
  <c r="Y912" i="14"/>
  <c r="Y913" i="14"/>
  <c r="Y914" i="14"/>
  <c r="Y915" i="14"/>
  <c r="Y916" i="14"/>
  <c r="Y917" i="14"/>
  <c r="Y918" i="14"/>
  <c r="Y919" i="14"/>
  <c r="Y920" i="14"/>
  <c r="Y921" i="14"/>
  <c r="Y922" i="14"/>
  <c r="Y923" i="14"/>
  <c r="Y924" i="14"/>
  <c r="Y925" i="14"/>
  <c r="Y926" i="14"/>
  <c r="Y927" i="14"/>
  <c r="Y928" i="14"/>
  <c r="Y929" i="14"/>
  <c r="Y930" i="14"/>
  <c r="Y931" i="14"/>
  <c r="Y932" i="14"/>
  <c r="Y933" i="14"/>
  <c r="Y934" i="14"/>
  <c r="Y935" i="14"/>
  <c r="Y936" i="14"/>
  <c r="Y937" i="14"/>
  <c r="Y938" i="14"/>
  <c r="Y939" i="14"/>
  <c r="Y940" i="14"/>
  <c r="Y941" i="14"/>
  <c r="Y942" i="14"/>
  <c r="Y943" i="14"/>
  <c r="Y944" i="14"/>
  <c r="Y945" i="14"/>
  <c r="Y946" i="14"/>
  <c r="Y947" i="14"/>
  <c r="Y948" i="14"/>
  <c r="Y949" i="14"/>
  <c r="Y950" i="14"/>
  <c r="Y951" i="14"/>
  <c r="Y952" i="14"/>
  <c r="Y953" i="14"/>
  <c r="Y954" i="14"/>
  <c r="Y955" i="14"/>
  <c r="Y956" i="14"/>
  <c r="Y957" i="14"/>
  <c r="Y958" i="14"/>
  <c r="Y959" i="14"/>
  <c r="Y960" i="14"/>
  <c r="Y961" i="14"/>
  <c r="Y962" i="14"/>
  <c r="Y963" i="14"/>
  <c r="Y964" i="14"/>
  <c r="Y965" i="14"/>
  <c r="Y966" i="14"/>
  <c r="Y967" i="14"/>
  <c r="Y968" i="14"/>
  <c r="Y969" i="14"/>
  <c r="Y970" i="14"/>
  <c r="Y971" i="14"/>
  <c r="Y972" i="14"/>
  <c r="Y973" i="14"/>
  <c r="Y974" i="14"/>
  <c r="Y975" i="14"/>
  <c r="Y976" i="14"/>
  <c r="Y977" i="14"/>
  <c r="Y978" i="14"/>
  <c r="Y979" i="14"/>
  <c r="Y980" i="14"/>
  <c r="Y981" i="14"/>
  <c r="Y982" i="14"/>
  <c r="Y983" i="14"/>
  <c r="Y984" i="14"/>
  <c r="Y985" i="14"/>
  <c r="Y986" i="14"/>
  <c r="Y987" i="14"/>
  <c r="Y988" i="14"/>
  <c r="Y989" i="14"/>
  <c r="Y990" i="14"/>
  <c r="Y991" i="14"/>
  <c r="Y992" i="14"/>
  <c r="Y993" i="14"/>
  <c r="Y994" i="14"/>
  <c r="Y995" i="14"/>
  <c r="Y996" i="14"/>
  <c r="Y997" i="14"/>
  <c r="Y998" i="14"/>
  <c r="Y999" i="14"/>
  <c r="Y1000" i="14"/>
  <c r="Y1001" i="14"/>
  <c r="Y1002" i="14"/>
  <c r="Y1003" i="14"/>
  <c r="Y1004" i="14"/>
  <c r="Y1005" i="14"/>
  <c r="Y1006" i="14"/>
  <c r="Y1007" i="14"/>
  <c r="Y1008" i="14"/>
  <c r="Y1009" i="14"/>
  <c r="Y1010" i="14"/>
  <c r="Y1011" i="14"/>
  <c r="Y1012" i="14"/>
  <c r="Y1013" i="14"/>
  <c r="Y1014" i="14"/>
  <c r="Y1015" i="14"/>
  <c r="Y1016" i="14"/>
  <c r="Y1017" i="14"/>
  <c r="Y1018" i="14"/>
  <c r="Y1019" i="14"/>
  <c r="Y1020" i="14"/>
  <c r="Y1021" i="14"/>
  <c r="Y1022" i="14"/>
  <c r="Y1023" i="14"/>
  <c r="Y1024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1041" i="14"/>
  <c r="Y1042" i="14"/>
  <c r="Y1043" i="14"/>
  <c r="Y1044" i="14"/>
  <c r="Y1045" i="14"/>
  <c r="Y1046" i="14"/>
  <c r="Y1047" i="14"/>
  <c r="Y1048" i="14"/>
  <c r="Y1049" i="14"/>
  <c r="Y1050" i="14"/>
  <c r="Y1051" i="14"/>
  <c r="Y1052" i="14"/>
  <c r="Y1053" i="14"/>
  <c r="Y1054" i="14"/>
  <c r="Y1055" i="14"/>
  <c r="Y1056" i="14"/>
  <c r="Y1057" i="14"/>
  <c r="Y1058" i="14"/>
  <c r="Y1059" i="14"/>
  <c r="Y1060" i="14"/>
  <c r="Y1061" i="14"/>
  <c r="Y1062" i="14"/>
  <c r="Y1063" i="14"/>
  <c r="Y1064" i="14"/>
  <c r="Y1065" i="14"/>
  <c r="Y1066" i="14"/>
  <c r="Y1067" i="14"/>
  <c r="Y1068" i="14"/>
  <c r="Y1069" i="14"/>
  <c r="Y1070" i="14"/>
  <c r="Y1071" i="14"/>
  <c r="Y1072" i="14"/>
  <c r="Y1073" i="14"/>
  <c r="Y1074" i="14"/>
  <c r="Y1075" i="14"/>
  <c r="Y1076" i="14"/>
  <c r="Y1077" i="14"/>
  <c r="Y1078" i="14"/>
  <c r="Y1079" i="14"/>
  <c r="Y1080" i="14"/>
  <c r="Y1081" i="14"/>
  <c r="Y1082" i="14"/>
  <c r="Y1083" i="14"/>
  <c r="Y1084" i="14"/>
  <c r="Y1085" i="14"/>
  <c r="Y1086" i="14"/>
  <c r="Y1087" i="14"/>
  <c r="Y1088" i="14"/>
  <c r="Y1089" i="14"/>
  <c r="Y1090" i="14"/>
  <c r="Y1091" i="14"/>
  <c r="Y1092" i="14"/>
  <c r="Y1093" i="14"/>
  <c r="Y1094" i="14"/>
  <c r="Y1095" i="14"/>
  <c r="Y1096" i="14"/>
  <c r="Y1097" i="14"/>
  <c r="Y1098" i="14"/>
  <c r="Y1099" i="14"/>
  <c r="Y1100" i="14"/>
  <c r="Y1101" i="14"/>
  <c r="Y1102" i="14"/>
  <c r="Y1103" i="14"/>
  <c r="Y1104" i="14"/>
  <c r="Y1105" i="14"/>
  <c r="Y1106" i="14"/>
  <c r="Y1107" i="14"/>
  <c r="Y1108" i="14"/>
  <c r="Y1109" i="14"/>
  <c r="Y1110" i="14"/>
  <c r="Y1111" i="14"/>
  <c r="Y1112" i="14"/>
  <c r="Y1113" i="14"/>
  <c r="Y1114" i="14"/>
  <c r="Y1115" i="14"/>
  <c r="Y1116" i="14"/>
  <c r="Y1117" i="14"/>
  <c r="Y1118" i="14"/>
  <c r="Y1119" i="14"/>
  <c r="Y1120" i="14"/>
  <c r="Y1121" i="14"/>
  <c r="Y1122" i="14"/>
  <c r="Y1123" i="14"/>
  <c r="Y1124" i="14"/>
  <c r="Y1125" i="14"/>
  <c r="Y1126" i="14"/>
  <c r="Y1127" i="14"/>
  <c r="Y1128" i="14"/>
  <c r="Y1129" i="14"/>
  <c r="Y1130" i="14"/>
  <c r="Y1131" i="14"/>
  <c r="Y1132" i="14"/>
  <c r="Y1133" i="14"/>
  <c r="Y1134" i="14"/>
  <c r="Y1135" i="14"/>
  <c r="Y1136" i="14"/>
  <c r="Y1137" i="14"/>
  <c r="Y1138" i="14"/>
  <c r="Y1139" i="14"/>
  <c r="Y1140" i="14"/>
  <c r="Y1141" i="14"/>
  <c r="Y1142" i="14"/>
  <c r="Y1143" i="14"/>
  <c r="Y1144" i="14"/>
  <c r="Y1145" i="14"/>
  <c r="Y1146" i="14"/>
  <c r="Y1147" i="14"/>
  <c r="Y1148" i="14"/>
  <c r="Y1149" i="14"/>
  <c r="Y1150" i="14"/>
  <c r="Y1151" i="14"/>
  <c r="Y1152" i="14"/>
  <c r="Y1153" i="14"/>
  <c r="Y1154" i="14"/>
  <c r="Y1155" i="14"/>
  <c r="Y1156" i="14"/>
  <c r="Y1157" i="14"/>
  <c r="Y1158" i="14"/>
  <c r="Y1159" i="14"/>
  <c r="Y1160" i="14"/>
  <c r="Y1161" i="14"/>
  <c r="Y1162" i="14"/>
  <c r="Y1163" i="14"/>
  <c r="Y1164" i="14"/>
  <c r="Y1165" i="14"/>
  <c r="Y1166" i="14"/>
  <c r="Y1167" i="14"/>
  <c r="Y1168" i="14"/>
  <c r="Y1169" i="14"/>
  <c r="Y1170" i="14"/>
  <c r="Y1171" i="14"/>
  <c r="Y1172" i="14"/>
  <c r="Y1173" i="14"/>
  <c r="Y1174" i="14"/>
  <c r="Y1175" i="14"/>
  <c r="Y1176" i="14"/>
  <c r="Y1177" i="14"/>
  <c r="Y1178" i="14"/>
  <c r="Y1179" i="14"/>
  <c r="Y1180" i="14"/>
  <c r="Y1181" i="14"/>
  <c r="Y1182" i="14"/>
  <c r="Y1183" i="14"/>
  <c r="Y1184" i="14"/>
  <c r="Y1185" i="14"/>
  <c r="Y1186" i="14"/>
  <c r="Y1187" i="14"/>
  <c r="Y1188" i="14"/>
  <c r="Y1189" i="14"/>
  <c r="Y1190" i="14"/>
  <c r="Y1191" i="14"/>
  <c r="Y1192" i="14"/>
  <c r="Y1193" i="14"/>
  <c r="Y1194" i="14"/>
  <c r="Y1195" i="14"/>
  <c r="Y1196" i="14"/>
  <c r="Y1197" i="14"/>
  <c r="Y1198" i="14"/>
  <c r="Y1199" i="14"/>
  <c r="Y1200" i="14"/>
  <c r="Y1201" i="14"/>
  <c r="Y1202" i="14"/>
  <c r="Y1203" i="14"/>
  <c r="Y1204" i="14"/>
  <c r="Y1205" i="14"/>
  <c r="Y1206" i="14"/>
  <c r="Y1207" i="14"/>
  <c r="Y1208" i="14"/>
  <c r="Y1209" i="14"/>
  <c r="Y1210" i="14"/>
  <c r="Y1211" i="14"/>
  <c r="Y1212" i="14"/>
  <c r="Y1213" i="14"/>
  <c r="Y1214" i="14"/>
  <c r="Y1215" i="14"/>
  <c r="Y1216" i="14"/>
  <c r="Y1217" i="14"/>
  <c r="Y1218" i="14"/>
  <c r="Y1219" i="14"/>
  <c r="Y1220" i="14"/>
  <c r="Y1221" i="14"/>
  <c r="Y1222" i="14"/>
  <c r="Y1223" i="14"/>
  <c r="Y1224" i="14"/>
  <c r="Y1225" i="14"/>
  <c r="Y1226" i="14"/>
  <c r="Y1227" i="14"/>
  <c r="Y1228" i="14"/>
  <c r="Y1229" i="14"/>
  <c r="Y1230" i="14"/>
  <c r="Y1231" i="14"/>
  <c r="Y1232" i="14"/>
  <c r="Y1233" i="14"/>
  <c r="Y1234" i="14"/>
  <c r="Y1235" i="14"/>
  <c r="Y1236" i="14"/>
  <c r="Y1237" i="14"/>
  <c r="Y1238" i="14"/>
  <c r="Y1239" i="14"/>
  <c r="Y1240" i="14"/>
  <c r="Y1241" i="14"/>
  <c r="Y1242" i="14"/>
  <c r="Y1243" i="14"/>
  <c r="Y1244" i="14"/>
  <c r="Y1245" i="14"/>
  <c r="Y1246" i="14"/>
  <c r="Y1247" i="14"/>
  <c r="Y1248" i="14"/>
  <c r="Y1249" i="14"/>
  <c r="Y1250" i="14"/>
  <c r="Y1251" i="14"/>
  <c r="Y1252" i="14"/>
  <c r="Y1253" i="14"/>
  <c r="Y1254" i="14"/>
  <c r="Y1255" i="14"/>
  <c r="Y1256" i="14"/>
  <c r="Y1257" i="14"/>
  <c r="Y1258" i="14"/>
  <c r="Y1259" i="14"/>
  <c r="Y1260" i="14"/>
  <c r="Y1261" i="14"/>
  <c r="Y1262" i="14"/>
  <c r="Y1263" i="14"/>
  <c r="Y1264" i="14"/>
  <c r="Y1265" i="14"/>
  <c r="Y1266" i="14"/>
  <c r="Y1267" i="14"/>
  <c r="Y1268" i="14"/>
  <c r="Y1269" i="14"/>
  <c r="Y1270" i="14"/>
  <c r="Y1271" i="14"/>
  <c r="Y1272" i="14"/>
  <c r="Y1273" i="14"/>
  <c r="Y1274" i="14"/>
  <c r="Y1275" i="14"/>
  <c r="Y1276" i="14"/>
  <c r="Y1277" i="14"/>
  <c r="Y1278" i="14"/>
  <c r="Y1279" i="14"/>
  <c r="Y1280" i="14"/>
  <c r="Y1281" i="14"/>
  <c r="Y1282" i="14"/>
  <c r="Y1283" i="14"/>
  <c r="Y1284" i="14"/>
  <c r="Y1285" i="14"/>
  <c r="Y1286" i="14"/>
  <c r="Y1287" i="14"/>
  <c r="Y1288" i="14"/>
  <c r="Y1289" i="14"/>
  <c r="Y1290" i="14"/>
  <c r="Y1291" i="14"/>
  <c r="Y1292" i="14"/>
  <c r="Y1293" i="14"/>
  <c r="Y1294" i="14"/>
  <c r="Y1295" i="14"/>
  <c r="Y1296" i="14"/>
  <c r="Y1297" i="14"/>
  <c r="Y1298" i="14"/>
  <c r="Y1299" i="14"/>
  <c r="Y1300" i="14"/>
  <c r="Y1301" i="14"/>
  <c r="Y1302" i="14"/>
  <c r="Y1303" i="14"/>
  <c r="Y1304" i="14"/>
  <c r="Y1305" i="14"/>
  <c r="Y1306" i="14"/>
  <c r="Y1307" i="14"/>
  <c r="Y1308" i="14"/>
  <c r="Y1309" i="14"/>
  <c r="Y1310" i="14"/>
  <c r="Y1311" i="14"/>
  <c r="Y1312" i="14"/>
  <c r="Y1313" i="14"/>
  <c r="Y1314" i="14"/>
  <c r="Y1315" i="14"/>
  <c r="Y1316" i="14"/>
  <c r="Y1317" i="14"/>
  <c r="Y1318" i="14"/>
  <c r="Y1319" i="14"/>
  <c r="Y1320" i="14"/>
  <c r="Y1321" i="14"/>
  <c r="Y1322" i="14"/>
  <c r="Y1323" i="14"/>
  <c r="Y1324" i="14"/>
  <c r="Y1325" i="14"/>
  <c r="Y1326" i="14"/>
  <c r="Y1327" i="14"/>
  <c r="Y1328" i="14"/>
  <c r="Y1329" i="14"/>
  <c r="Y1330" i="14"/>
  <c r="Y1331" i="14"/>
  <c r="Y1332" i="14"/>
  <c r="Y1333" i="14"/>
  <c r="Y1334" i="14"/>
  <c r="Y1335" i="14"/>
  <c r="Y1336" i="14"/>
  <c r="Y1337" i="14"/>
  <c r="Y1338" i="14"/>
  <c r="Y1339" i="14"/>
  <c r="Y1340" i="14"/>
  <c r="Y1341" i="14"/>
  <c r="Y1342" i="14"/>
  <c r="Y1343" i="14"/>
  <c r="Y1344" i="14"/>
  <c r="Y1345" i="14"/>
  <c r="Y1346" i="14"/>
  <c r="Y1347" i="14"/>
  <c r="Y1348" i="14"/>
  <c r="Y1349" i="14"/>
  <c r="Y1350" i="14"/>
  <c r="Y1351" i="14"/>
  <c r="Y1352" i="14"/>
  <c r="Y1353" i="14"/>
  <c r="Y1354" i="14"/>
  <c r="Y1355" i="14"/>
  <c r="Y1356" i="14"/>
  <c r="Y1357" i="14"/>
  <c r="Y1358" i="14"/>
  <c r="Y1359" i="14"/>
  <c r="Y1360" i="14"/>
  <c r="Y1361" i="14"/>
  <c r="Y1362" i="14"/>
  <c r="Y1363" i="14"/>
  <c r="Y1364" i="14"/>
  <c r="Y1365" i="14"/>
  <c r="Y1366" i="14"/>
  <c r="Y1367" i="14"/>
  <c r="Y1368" i="14"/>
  <c r="Y1369" i="14"/>
  <c r="Y1370" i="14"/>
  <c r="Y1371" i="14"/>
  <c r="Y1372" i="14"/>
  <c r="Y1373" i="14"/>
  <c r="Y1374" i="14"/>
  <c r="Y1375" i="14"/>
  <c r="Y1376" i="14"/>
  <c r="Y1377" i="14"/>
  <c r="Y1378" i="14"/>
  <c r="Y1379" i="14"/>
  <c r="Y1380" i="14"/>
  <c r="Y1381" i="14"/>
  <c r="Y1382" i="14"/>
  <c r="Y1383" i="14"/>
  <c r="Y1384" i="14"/>
  <c r="Y1385" i="14"/>
  <c r="Y1386" i="14"/>
  <c r="Y1387" i="14"/>
  <c r="Y1388" i="14"/>
  <c r="Y1389" i="14"/>
  <c r="Y1390" i="14"/>
  <c r="Y1391" i="14"/>
  <c r="Y1392" i="14"/>
  <c r="Y1393" i="14"/>
  <c r="Y1394" i="14"/>
  <c r="Y1395" i="14"/>
  <c r="Y1396" i="14"/>
  <c r="Y1397" i="14"/>
  <c r="Y1398" i="14"/>
  <c r="Y1399" i="14"/>
  <c r="Y1400" i="14"/>
  <c r="Y1401" i="14"/>
  <c r="Y1402" i="14"/>
  <c r="Y1403" i="14"/>
  <c r="Y1404" i="14"/>
  <c r="Y1405" i="14"/>
  <c r="Y1406" i="14"/>
  <c r="Y1407" i="14"/>
  <c r="Y1408" i="14"/>
  <c r="Y1409" i="14"/>
  <c r="Y1410" i="14"/>
  <c r="Y1411" i="14"/>
  <c r="Y1412" i="14"/>
  <c r="Y1413" i="14"/>
  <c r="Y1414" i="14"/>
  <c r="Y1415" i="14"/>
  <c r="Y1416" i="14"/>
  <c r="Y1417" i="14"/>
  <c r="Y1418" i="14"/>
  <c r="Y1419" i="14"/>
  <c r="Y1420" i="14"/>
  <c r="Y1421" i="14"/>
  <c r="Y1422" i="14"/>
  <c r="Y1423" i="14"/>
  <c r="Y1424" i="14"/>
  <c r="Y1425" i="14"/>
  <c r="Y1426" i="14"/>
  <c r="Y1427" i="14"/>
  <c r="Y1428" i="14"/>
  <c r="Y1429" i="14"/>
  <c r="Y1430" i="14"/>
  <c r="Y1431" i="14"/>
  <c r="Y1432" i="14"/>
  <c r="Y1433" i="14"/>
  <c r="Y1434" i="14"/>
  <c r="Y1435" i="14"/>
  <c r="Y1436" i="14"/>
  <c r="Y1437" i="14"/>
  <c r="Y1438" i="14"/>
  <c r="Y1439" i="14"/>
  <c r="Y1440" i="14"/>
  <c r="Y1441" i="14"/>
  <c r="Y1442" i="14"/>
  <c r="Y1443" i="14"/>
  <c r="Y1444" i="14"/>
  <c r="Y1445" i="14"/>
  <c r="Y1446" i="14"/>
  <c r="Y1447" i="14"/>
  <c r="Y1448" i="14"/>
  <c r="Y1449" i="14"/>
  <c r="Y1450" i="14"/>
  <c r="Y1451" i="14"/>
  <c r="Y1452" i="14"/>
  <c r="Y1453" i="14"/>
  <c r="Y1454" i="14"/>
  <c r="Y1455" i="14"/>
  <c r="Y1456" i="14"/>
  <c r="Y1457" i="14"/>
  <c r="Y1458" i="14"/>
  <c r="Y1459" i="14"/>
  <c r="Y1460" i="14"/>
  <c r="Y1461" i="14"/>
  <c r="Y1462" i="14"/>
  <c r="Y1463" i="14"/>
  <c r="Y1464" i="14"/>
  <c r="Y1465" i="14"/>
  <c r="Y1466" i="14"/>
  <c r="Y1467" i="14"/>
  <c r="Y1468" i="14"/>
  <c r="Y1469" i="14"/>
  <c r="Y1470" i="14"/>
  <c r="Y1471" i="14"/>
  <c r="Y1472" i="14"/>
  <c r="Y1473" i="14"/>
  <c r="Y1474" i="14"/>
  <c r="Y1475" i="14"/>
  <c r="Y1476" i="14"/>
  <c r="Y1477" i="14"/>
  <c r="Y1478" i="14"/>
  <c r="Y1479" i="14"/>
  <c r="Y1480" i="14"/>
  <c r="Y1481" i="14"/>
  <c r="Y1482" i="14"/>
  <c r="Y1483" i="14"/>
  <c r="Y1484" i="14"/>
  <c r="Y1485" i="14"/>
  <c r="Y1486" i="14"/>
  <c r="Y1487" i="14"/>
  <c r="Y1488" i="14"/>
  <c r="Y1489" i="14"/>
  <c r="Y1490" i="14"/>
  <c r="Y1491" i="14"/>
  <c r="Y1492" i="14"/>
  <c r="Y1493" i="14"/>
  <c r="Y1494" i="14"/>
  <c r="Y1495" i="14"/>
  <c r="Y1496" i="14"/>
  <c r="Y1497" i="14"/>
  <c r="Y1498" i="14"/>
  <c r="Y1499" i="14"/>
  <c r="Y1500" i="14"/>
  <c r="Y1501" i="14"/>
  <c r="Y1502" i="14"/>
  <c r="Y1503" i="14"/>
  <c r="Y1504" i="14"/>
  <c r="Y1505" i="14"/>
  <c r="Y1506" i="14"/>
  <c r="Y1507" i="14"/>
  <c r="X740" i="14"/>
  <c r="X741" i="14"/>
  <c r="X742" i="14"/>
  <c r="X743" i="14"/>
  <c r="X744" i="14"/>
  <c r="X745" i="14"/>
  <c r="X746" i="14"/>
  <c r="X747" i="14"/>
  <c r="X748" i="14"/>
  <c r="X749" i="14"/>
  <c r="X750" i="14"/>
  <c r="X751" i="14"/>
  <c r="X752" i="14"/>
  <c r="X753" i="14"/>
  <c r="X754" i="14"/>
  <c r="X755" i="14"/>
  <c r="X756" i="14"/>
  <c r="X757" i="14"/>
  <c r="X758" i="14"/>
  <c r="X761" i="14"/>
  <c r="X762" i="14"/>
  <c r="X763" i="14"/>
  <c r="X764" i="14"/>
  <c r="X765" i="14"/>
  <c r="X766" i="14"/>
  <c r="X767" i="14"/>
  <c r="X768" i="14"/>
  <c r="X769" i="14"/>
  <c r="X770" i="14"/>
  <c r="X771" i="14"/>
  <c r="X772" i="14"/>
  <c r="X773" i="14"/>
  <c r="X774" i="14"/>
  <c r="X775" i="14"/>
  <c r="X776" i="14"/>
  <c r="X777" i="14"/>
  <c r="X778" i="14"/>
  <c r="X779" i="14"/>
  <c r="X780" i="14"/>
  <c r="X781" i="14"/>
  <c r="X782" i="14"/>
  <c r="X783" i="14"/>
  <c r="X784" i="14"/>
  <c r="X785" i="14"/>
  <c r="X786" i="14"/>
  <c r="X787" i="14"/>
  <c r="X788" i="14"/>
  <c r="X789" i="14"/>
  <c r="X792" i="14"/>
  <c r="X793" i="14"/>
  <c r="X794" i="14"/>
  <c r="X795" i="14"/>
  <c r="X796" i="14"/>
  <c r="X797" i="14"/>
  <c r="X798" i="14"/>
  <c r="X799" i="14"/>
  <c r="X800" i="14"/>
  <c r="X801" i="14"/>
  <c r="X802" i="14"/>
  <c r="X803" i="14"/>
  <c r="X804" i="14"/>
  <c r="X805" i="14"/>
  <c r="X806" i="14"/>
  <c r="X807" i="14"/>
  <c r="X809" i="14"/>
  <c r="X810" i="14"/>
  <c r="X811" i="14"/>
  <c r="X812" i="14"/>
  <c r="X813" i="14"/>
  <c r="X814" i="14"/>
  <c r="X815" i="14"/>
  <c r="X816" i="14"/>
  <c r="X817" i="14"/>
  <c r="X818" i="14"/>
  <c r="X819" i="14"/>
  <c r="X820" i="14"/>
  <c r="X821" i="14"/>
  <c r="X822" i="14"/>
  <c r="X823" i="14"/>
  <c r="X824" i="14"/>
  <c r="X825" i="14"/>
  <c r="X826" i="14"/>
  <c r="X828" i="14"/>
  <c r="X829" i="14"/>
  <c r="X830" i="14"/>
  <c r="X831" i="14"/>
  <c r="X832" i="14"/>
  <c r="X833" i="14"/>
  <c r="X834" i="14"/>
  <c r="X835" i="14"/>
  <c r="X836" i="14"/>
  <c r="X837" i="14"/>
  <c r="X838" i="14"/>
  <c r="X839" i="14"/>
  <c r="X840" i="14"/>
  <c r="X841" i="14"/>
  <c r="X842" i="14"/>
  <c r="X843" i="14"/>
  <c r="X844" i="14"/>
  <c r="X845" i="14"/>
  <c r="X846" i="14"/>
  <c r="X847" i="14"/>
  <c r="K9" i="14" s="1"/>
  <c r="X848" i="14"/>
  <c r="X849" i="14"/>
  <c r="X850" i="14"/>
  <c r="X851" i="14"/>
  <c r="X852" i="14"/>
  <c r="X853" i="14"/>
  <c r="X854" i="14"/>
  <c r="X855" i="14"/>
  <c r="X856" i="14"/>
  <c r="X857" i="14"/>
  <c r="X858" i="14"/>
  <c r="X859" i="14"/>
  <c r="X860" i="14"/>
  <c r="X861" i="14"/>
  <c r="X862" i="14"/>
  <c r="X863" i="14"/>
  <c r="X864" i="14"/>
  <c r="X865" i="14"/>
  <c r="X866" i="14"/>
  <c r="X867" i="14"/>
  <c r="X868" i="14"/>
  <c r="X869" i="14"/>
  <c r="X870" i="14"/>
  <c r="X871" i="14"/>
  <c r="X872" i="14"/>
  <c r="X873" i="14"/>
  <c r="X874" i="14"/>
  <c r="X875" i="14"/>
  <c r="X876" i="14"/>
  <c r="X877" i="14"/>
  <c r="X878" i="14"/>
  <c r="X879" i="14"/>
  <c r="X880" i="14"/>
  <c r="X881" i="14"/>
  <c r="X882" i="14"/>
  <c r="X883" i="14"/>
  <c r="X884" i="14"/>
  <c r="X885" i="14"/>
  <c r="X886" i="14"/>
  <c r="X887" i="14"/>
  <c r="X888" i="14"/>
  <c r="X889" i="14"/>
  <c r="X890" i="14"/>
  <c r="X891" i="14"/>
  <c r="X892" i="14"/>
  <c r="X893" i="14"/>
  <c r="X894" i="14"/>
  <c r="X895" i="14"/>
  <c r="X896" i="14"/>
  <c r="X897" i="14"/>
  <c r="X898" i="14"/>
  <c r="X899" i="14"/>
  <c r="X900" i="14"/>
  <c r="X901" i="14"/>
  <c r="X902" i="14"/>
  <c r="X903" i="14"/>
  <c r="X904" i="14"/>
  <c r="X905" i="14"/>
  <c r="X906" i="14"/>
  <c r="X907" i="14"/>
  <c r="X908" i="14"/>
  <c r="X909" i="14"/>
  <c r="X910" i="14"/>
  <c r="X911" i="14"/>
  <c r="X912" i="14"/>
  <c r="X913" i="14"/>
  <c r="X914" i="14"/>
  <c r="X915" i="14"/>
  <c r="X916" i="14"/>
  <c r="X917" i="14"/>
  <c r="X918" i="14"/>
  <c r="X919" i="14"/>
  <c r="X920" i="14"/>
  <c r="X921" i="14"/>
  <c r="X922" i="14"/>
  <c r="X923" i="14"/>
  <c r="X924" i="14"/>
  <c r="X925" i="14"/>
  <c r="X926" i="14"/>
  <c r="X927" i="14"/>
  <c r="X928" i="14"/>
  <c r="X929" i="14"/>
  <c r="X930" i="14"/>
  <c r="X931" i="14"/>
  <c r="X932" i="14"/>
  <c r="X933" i="14"/>
  <c r="X934" i="14"/>
  <c r="X935" i="14"/>
  <c r="X936" i="14"/>
  <c r="X937" i="14"/>
  <c r="X938" i="14"/>
  <c r="X939" i="14"/>
  <c r="X940" i="14"/>
  <c r="X941" i="14"/>
  <c r="X942" i="14"/>
  <c r="X943" i="14"/>
  <c r="X944" i="14"/>
  <c r="X945" i="14"/>
  <c r="X946" i="14"/>
  <c r="X947" i="14"/>
  <c r="X948" i="14"/>
  <c r="X949" i="14"/>
  <c r="X950" i="14"/>
  <c r="X951" i="14"/>
  <c r="X952" i="14"/>
  <c r="X953" i="14"/>
  <c r="X954" i="14"/>
  <c r="X955" i="14"/>
  <c r="X956" i="14"/>
  <c r="X957" i="14"/>
  <c r="X958" i="14"/>
  <c r="X959" i="14"/>
  <c r="X960" i="14"/>
  <c r="X961" i="14"/>
  <c r="X962" i="14"/>
  <c r="X963" i="14"/>
  <c r="X964" i="14"/>
  <c r="X965" i="14"/>
  <c r="X966" i="14"/>
  <c r="X967" i="14"/>
  <c r="X968" i="14"/>
  <c r="X969" i="14"/>
  <c r="X970" i="14"/>
  <c r="X971" i="14"/>
  <c r="X972" i="14"/>
  <c r="X973" i="14"/>
  <c r="X974" i="14"/>
  <c r="X975" i="14"/>
  <c r="X976" i="14"/>
  <c r="X977" i="14"/>
  <c r="X978" i="14"/>
  <c r="X979" i="14"/>
  <c r="X980" i="14"/>
  <c r="X981" i="14"/>
  <c r="X982" i="14"/>
  <c r="X983" i="14"/>
  <c r="X984" i="14"/>
  <c r="X985" i="14"/>
  <c r="X986" i="14"/>
  <c r="X987" i="14"/>
  <c r="X988" i="14"/>
  <c r="X989" i="14"/>
  <c r="X990" i="14"/>
  <c r="X991" i="14"/>
  <c r="X992" i="14"/>
  <c r="X993" i="14"/>
  <c r="X994" i="14"/>
  <c r="X995" i="14"/>
  <c r="X996" i="14"/>
  <c r="X997" i="14"/>
  <c r="X998" i="14"/>
  <c r="X999" i="14"/>
  <c r="X1000" i="14"/>
  <c r="X1001" i="14"/>
  <c r="X1002" i="14"/>
  <c r="X1003" i="14"/>
  <c r="X1004" i="14"/>
  <c r="X1005" i="14"/>
  <c r="X1006" i="14"/>
  <c r="X1007" i="14"/>
  <c r="X1008" i="14"/>
  <c r="X1009" i="14"/>
  <c r="X1010" i="14"/>
  <c r="X1011" i="14"/>
  <c r="X1012" i="14"/>
  <c r="X1013" i="14"/>
  <c r="X1014" i="14"/>
  <c r="X1015" i="14"/>
  <c r="X1016" i="14"/>
  <c r="X1017" i="14"/>
  <c r="X1018" i="14"/>
  <c r="X1019" i="14"/>
  <c r="X1020" i="14"/>
  <c r="X1021" i="14"/>
  <c r="X1022" i="14"/>
  <c r="X1023" i="14"/>
  <c r="X1024" i="14"/>
  <c r="X1025" i="14"/>
  <c r="X1026" i="14"/>
  <c r="X1027" i="14"/>
  <c r="X1028" i="14"/>
  <c r="X1029" i="14"/>
  <c r="X1030" i="14"/>
  <c r="X1031" i="14"/>
  <c r="X1032" i="14"/>
  <c r="X1033" i="14"/>
  <c r="X1034" i="14"/>
  <c r="X1035" i="14"/>
  <c r="X1036" i="14"/>
  <c r="X1037" i="14"/>
  <c r="X1038" i="14"/>
  <c r="X1039" i="14"/>
  <c r="X1040" i="14"/>
  <c r="X1041" i="14"/>
  <c r="X1042" i="14"/>
  <c r="X1043" i="14"/>
  <c r="X1044" i="14"/>
  <c r="X1045" i="14"/>
  <c r="X1046" i="14"/>
  <c r="X1047" i="14"/>
  <c r="X1048" i="14"/>
  <c r="X1049" i="14"/>
  <c r="X1050" i="14"/>
  <c r="X1051" i="14"/>
  <c r="X1052" i="14"/>
  <c r="X1053" i="14"/>
  <c r="X1054" i="14"/>
  <c r="X1055" i="14"/>
  <c r="X1056" i="14"/>
  <c r="X1057" i="14"/>
  <c r="X1058" i="14"/>
  <c r="X1059" i="14"/>
  <c r="X1060" i="14"/>
  <c r="X1061" i="14"/>
  <c r="X1062" i="14"/>
  <c r="X1063" i="14"/>
  <c r="X1064" i="14"/>
  <c r="X1065" i="14"/>
  <c r="X1066" i="14"/>
  <c r="X1067" i="14"/>
  <c r="X1068" i="14"/>
  <c r="X1069" i="14"/>
  <c r="X1070" i="14"/>
  <c r="X1071" i="14"/>
  <c r="X1072" i="14"/>
  <c r="X1073" i="14"/>
  <c r="X1074" i="14"/>
  <c r="X1075" i="14"/>
  <c r="X1076" i="14"/>
  <c r="X1077" i="14"/>
  <c r="X1078" i="14"/>
  <c r="X1079" i="14"/>
  <c r="X1080" i="14"/>
  <c r="X1081" i="14"/>
  <c r="X1082" i="14"/>
  <c r="X1083" i="14"/>
  <c r="X1084" i="14"/>
  <c r="X1085" i="14"/>
  <c r="X1086" i="14"/>
  <c r="X1087" i="14"/>
  <c r="X1088" i="14"/>
  <c r="X1089" i="14"/>
  <c r="X1090" i="14"/>
  <c r="X1091" i="14"/>
  <c r="X1092" i="14"/>
  <c r="X1093" i="14"/>
  <c r="X1094" i="14"/>
  <c r="X1095" i="14"/>
  <c r="X1096" i="14"/>
  <c r="X1097" i="14"/>
  <c r="X1098" i="14"/>
  <c r="X1099" i="14"/>
  <c r="X1100" i="14"/>
  <c r="X1101" i="14"/>
  <c r="X1102" i="14"/>
  <c r="X1103" i="14"/>
  <c r="X1104" i="14"/>
  <c r="X1105" i="14"/>
  <c r="X1106" i="14"/>
  <c r="X1107" i="14"/>
  <c r="X1108" i="14"/>
  <c r="X1109" i="14"/>
  <c r="X1110" i="14"/>
  <c r="X1111" i="14"/>
  <c r="X1112" i="14"/>
  <c r="X1113" i="14"/>
  <c r="X1114" i="14"/>
  <c r="X1115" i="14"/>
  <c r="X1116" i="14"/>
  <c r="X1117" i="14"/>
  <c r="X1118" i="14"/>
  <c r="X1119" i="14"/>
  <c r="X1120" i="14"/>
  <c r="X1121" i="14"/>
  <c r="X1122" i="14"/>
  <c r="X1123" i="14"/>
  <c r="X1124" i="14"/>
  <c r="X1125" i="14"/>
  <c r="X1126" i="14"/>
  <c r="X1127" i="14"/>
  <c r="X1128" i="14"/>
  <c r="X1129" i="14"/>
  <c r="X1130" i="14"/>
  <c r="X1131" i="14"/>
  <c r="X1132" i="14"/>
  <c r="X1133" i="14"/>
  <c r="X1134" i="14"/>
  <c r="X1135" i="14"/>
  <c r="X1136" i="14"/>
  <c r="X1137" i="14"/>
  <c r="X1138" i="14"/>
  <c r="X1139" i="14"/>
  <c r="X1140" i="14"/>
  <c r="X1141" i="14"/>
  <c r="X1142" i="14"/>
  <c r="X1143" i="14"/>
  <c r="X1144" i="14"/>
  <c r="X1145" i="14"/>
  <c r="X1146" i="14"/>
  <c r="X1147" i="14"/>
  <c r="X1148" i="14"/>
  <c r="X1149" i="14"/>
  <c r="X1150" i="14"/>
  <c r="X1151" i="14"/>
  <c r="X1152" i="14"/>
  <c r="X1153" i="14"/>
  <c r="X1154" i="14"/>
  <c r="X1155" i="14"/>
  <c r="X1156" i="14"/>
  <c r="X1157" i="14"/>
  <c r="X1158" i="14"/>
  <c r="X1159" i="14"/>
  <c r="X1160" i="14"/>
  <c r="X1161" i="14"/>
  <c r="X1162" i="14"/>
  <c r="X1163" i="14"/>
  <c r="X1164" i="14"/>
  <c r="X1165" i="14"/>
  <c r="X1166" i="14"/>
  <c r="X1167" i="14"/>
  <c r="X1168" i="14"/>
  <c r="X1169" i="14"/>
  <c r="X1170" i="14"/>
  <c r="X1171" i="14"/>
  <c r="X1172" i="14"/>
  <c r="X1173" i="14"/>
  <c r="X1174" i="14"/>
  <c r="X1175" i="14"/>
  <c r="X1176" i="14"/>
  <c r="X1177" i="14"/>
  <c r="X1178" i="14"/>
  <c r="X1179" i="14"/>
  <c r="X1180" i="14"/>
  <c r="X1181" i="14"/>
  <c r="X1182" i="14"/>
  <c r="X1183" i="14"/>
  <c r="X1184" i="14"/>
  <c r="X1185" i="14"/>
  <c r="X1186" i="14"/>
  <c r="X1187" i="14"/>
  <c r="X1188" i="14"/>
  <c r="X1189" i="14"/>
  <c r="X1190" i="14"/>
  <c r="X1191" i="14"/>
  <c r="X1192" i="14"/>
  <c r="X1193" i="14"/>
  <c r="X1194" i="14"/>
  <c r="X1195" i="14"/>
  <c r="X1196" i="14"/>
  <c r="X1197" i="14"/>
  <c r="X1198" i="14"/>
  <c r="X1199" i="14"/>
  <c r="X1200" i="14"/>
  <c r="X1201" i="14"/>
  <c r="X1202" i="14"/>
  <c r="X1203" i="14"/>
  <c r="X1204" i="14"/>
  <c r="X1205" i="14"/>
  <c r="X1206" i="14"/>
  <c r="X1207" i="14"/>
  <c r="X1208" i="14"/>
  <c r="X1209" i="14"/>
  <c r="X1210" i="14"/>
  <c r="X1211" i="14"/>
  <c r="X1212" i="14"/>
  <c r="X1213" i="14"/>
  <c r="X1214" i="14"/>
  <c r="X1215" i="14"/>
  <c r="X1216" i="14"/>
  <c r="X1217" i="14"/>
  <c r="X1218" i="14"/>
  <c r="X1219" i="14"/>
  <c r="X1220" i="14"/>
  <c r="X1221" i="14"/>
  <c r="X1222" i="14"/>
  <c r="X1223" i="14"/>
  <c r="X1224" i="14"/>
  <c r="X1225" i="14"/>
  <c r="X1226" i="14"/>
  <c r="X1227" i="14"/>
  <c r="X1228" i="14"/>
  <c r="X1229" i="14"/>
  <c r="X1230" i="14"/>
  <c r="X1231" i="14"/>
  <c r="X1232" i="14"/>
  <c r="X1233" i="14"/>
  <c r="X1234" i="14"/>
  <c r="X1235" i="14"/>
  <c r="X1236" i="14"/>
  <c r="X1237" i="14"/>
  <c r="X1238" i="14"/>
  <c r="X1239" i="14"/>
  <c r="X1240" i="14"/>
  <c r="X1241" i="14"/>
  <c r="X1242" i="14"/>
  <c r="X1243" i="14"/>
  <c r="X1244" i="14"/>
  <c r="X1245" i="14"/>
  <c r="X1246" i="14"/>
  <c r="X1247" i="14"/>
  <c r="X1248" i="14"/>
  <c r="X1249" i="14"/>
  <c r="X1250" i="14"/>
  <c r="X1251" i="14"/>
  <c r="X1252" i="14"/>
  <c r="X1253" i="14"/>
  <c r="X1254" i="14"/>
  <c r="X1255" i="14"/>
  <c r="X1256" i="14"/>
  <c r="X1257" i="14"/>
  <c r="X1258" i="14"/>
  <c r="X1259" i="14"/>
  <c r="X1260" i="14"/>
  <c r="X1261" i="14"/>
  <c r="X1262" i="14"/>
  <c r="X1263" i="14"/>
  <c r="X1264" i="14"/>
  <c r="X1265" i="14"/>
  <c r="X1266" i="14"/>
  <c r="X1267" i="14"/>
  <c r="X1268" i="14"/>
  <c r="X1269" i="14"/>
  <c r="X1270" i="14"/>
  <c r="X1271" i="14"/>
  <c r="X1272" i="14"/>
  <c r="X1273" i="14"/>
  <c r="X1274" i="14"/>
  <c r="X1275" i="14"/>
  <c r="X1276" i="14"/>
  <c r="X1277" i="14"/>
  <c r="X1278" i="14"/>
  <c r="X1279" i="14"/>
  <c r="X1280" i="14"/>
  <c r="X1281" i="14"/>
  <c r="X1282" i="14"/>
  <c r="X1283" i="14"/>
  <c r="X1284" i="14"/>
  <c r="X1285" i="14"/>
  <c r="X1286" i="14"/>
  <c r="X1287" i="14"/>
  <c r="X1288" i="14"/>
  <c r="X1289" i="14"/>
  <c r="X1290" i="14"/>
  <c r="X1291" i="14"/>
  <c r="X1292" i="14"/>
  <c r="X1293" i="14"/>
  <c r="X1294" i="14"/>
  <c r="X1295" i="14"/>
  <c r="X1296" i="14"/>
  <c r="X1297" i="14"/>
  <c r="X1298" i="14"/>
  <c r="X1299" i="14"/>
  <c r="X1300" i="14"/>
  <c r="X1301" i="14"/>
  <c r="X1302" i="14"/>
  <c r="X1303" i="14"/>
  <c r="X1304" i="14"/>
  <c r="X1305" i="14"/>
  <c r="X1306" i="14"/>
  <c r="X1307" i="14"/>
  <c r="X1308" i="14"/>
  <c r="X1309" i="14"/>
  <c r="X1310" i="14"/>
  <c r="X1311" i="14"/>
  <c r="X1312" i="14"/>
  <c r="X1313" i="14"/>
  <c r="X1314" i="14"/>
  <c r="X1315" i="14"/>
  <c r="X1316" i="14"/>
  <c r="X1317" i="14"/>
  <c r="X1318" i="14"/>
  <c r="X1319" i="14"/>
  <c r="X1320" i="14"/>
  <c r="X1321" i="14"/>
  <c r="X1322" i="14"/>
  <c r="X1323" i="14"/>
  <c r="X1324" i="14"/>
  <c r="X1325" i="14"/>
  <c r="X1326" i="14"/>
  <c r="X1327" i="14"/>
  <c r="X1328" i="14"/>
  <c r="X1329" i="14"/>
  <c r="X1330" i="14"/>
  <c r="X1331" i="14"/>
  <c r="X1332" i="14"/>
  <c r="X1333" i="14"/>
  <c r="X1334" i="14"/>
  <c r="X1335" i="14"/>
  <c r="X1336" i="14"/>
  <c r="X1337" i="14"/>
  <c r="X1338" i="14"/>
  <c r="X1339" i="14"/>
  <c r="X1340" i="14"/>
  <c r="X1341" i="14"/>
  <c r="X1342" i="14"/>
  <c r="X1343" i="14"/>
  <c r="X1344" i="14"/>
  <c r="X1345" i="14"/>
  <c r="X1346" i="14"/>
  <c r="X1347" i="14"/>
  <c r="X1348" i="14"/>
  <c r="X1349" i="14"/>
  <c r="X1350" i="14"/>
  <c r="X1351" i="14"/>
  <c r="X1352" i="14"/>
  <c r="X1353" i="14"/>
  <c r="X1354" i="14"/>
  <c r="X1355" i="14"/>
  <c r="X1356" i="14"/>
  <c r="X1357" i="14"/>
  <c r="X1358" i="14"/>
  <c r="X1359" i="14"/>
  <c r="X1360" i="14"/>
  <c r="X1361" i="14"/>
  <c r="X1362" i="14"/>
  <c r="X1363" i="14"/>
  <c r="X1364" i="14"/>
  <c r="X1365" i="14"/>
  <c r="X1366" i="14"/>
  <c r="X1367" i="14"/>
  <c r="X1368" i="14"/>
  <c r="X1369" i="14"/>
  <c r="X1370" i="14"/>
  <c r="X1371" i="14"/>
  <c r="X1372" i="14"/>
  <c r="X1373" i="14"/>
  <c r="X1374" i="14"/>
  <c r="X1375" i="14"/>
  <c r="X1376" i="14"/>
  <c r="X1377" i="14"/>
  <c r="X1378" i="14"/>
  <c r="X1379" i="14"/>
  <c r="X1380" i="14"/>
  <c r="X1381" i="14"/>
  <c r="X1382" i="14"/>
  <c r="X1383" i="14"/>
  <c r="X1384" i="14"/>
  <c r="X1385" i="14"/>
  <c r="X1386" i="14"/>
  <c r="X1387" i="14"/>
  <c r="X1388" i="14"/>
  <c r="X1389" i="14"/>
  <c r="X1390" i="14"/>
  <c r="X1391" i="14"/>
  <c r="X1392" i="14"/>
  <c r="X1393" i="14"/>
  <c r="X1394" i="14"/>
  <c r="X1395" i="14"/>
  <c r="X1396" i="14"/>
  <c r="X1397" i="14"/>
  <c r="X1398" i="14"/>
  <c r="X1399" i="14"/>
  <c r="X1400" i="14"/>
  <c r="X1401" i="14"/>
  <c r="X1402" i="14"/>
  <c r="X1403" i="14"/>
  <c r="X1404" i="14"/>
  <c r="X1405" i="14"/>
  <c r="X1406" i="14"/>
  <c r="X1407" i="14"/>
  <c r="X1408" i="14"/>
  <c r="X1409" i="14"/>
  <c r="X1410" i="14"/>
  <c r="X1411" i="14"/>
  <c r="X1412" i="14"/>
  <c r="X1413" i="14"/>
  <c r="X1414" i="14"/>
  <c r="X1415" i="14"/>
  <c r="X1416" i="14"/>
  <c r="X1417" i="14"/>
  <c r="X1418" i="14"/>
  <c r="X1419" i="14"/>
  <c r="X1420" i="14"/>
  <c r="X1421" i="14"/>
  <c r="X1422" i="14"/>
  <c r="X1423" i="14"/>
  <c r="X1424" i="14"/>
  <c r="X1425" i="14"/>
  <c r="X1426" i="14"/>
  <c r="X1427" i="14"/>
  <c r="X1428" i="14"/>
  <c r="X1429" i="14"/>
  <c r="X1430" i="14"/>
  <c r="X1431" i="14"/>
  <c r="X1432" i="14"/>
  <c r="X1433" i="14"/>
  <c r="X1434" i="14"/>
  <c r="X1435" i="14"/>
  <c r="X1436" i="14"/>
  <c r="X1437" i="14"/>
  <c r="X1438" i="14"/>
  <c r="X1439" i="14"/>
  <c r="X1440" i="14"/>
  <c r="X1441" i="14"/>
  <c r="X1442" i="14"/>
  <c r="X1443" i="14"/>
  <c r="X1444" i="14"/>
  <c r="X1445" i="14"/>
  <c r="X1446" i="14"/>
  <c r="X1447" i="14"/>
  <c r="X1448" i="14"/>
  <c r="X1449" i="14"/>
  <c r="X1450" i="14"/>
  <c r="X1451" i="14"/>
  <c r="X1452" i="14"/>
  <c r="X1453" i="14"/>
  <c r="X1454" i="14"/>
  <c r="X1455" i="14"/>
  <c r="X1456" i="14"/>
  <c r="X1457" i="14"/>
  <c r="X1458" i="14"/>
  <c r="X1459" i="14"/>
  <c r="X1460" i="14"/>
  <c r="X1461" i="14"/>
  <c r="X1462" i="14"/>
  <c r="X1463" i="14"/>
  <c r="X1464" i="14"/>
  <c r="X1465" i="14"/>
  <c r="X1466" i="14"/>
  <c r="X1467" i="14"/>
  <c r="X1468" i="14"/>
  <c r="X1469" i="14"/>
  <c r="X1470" i="14"/>
  <c r="X1471" i="14"/>
  <c r="X1472" i="14"/>
  <c r="X1473" i="14"/>
  <c r="X1474" i="14"/>
  <c r="X1475" i="14"/>
  <c r="X1476" i="14"/>
  <c r="X1477" i="14"/>
  <c r="X1478" i="14"/>
  <c r="X1479" i="14"/>
  <c r="X1480" i="14"/>
  <c r="X1481" i="14"/>
  <c r="X1482" i="14"/>
  <c r="X1483" i="14"/>
  <c r="X1484" i="14"/>
  <c r="X1485" i="14"/>
  <c r="X1486" i="14"/>
  <c r="X1487" i="14"/>
  <c r="X1488" i="14"/>
  <c r="X1489" i="14"/>
  <c r="X1490" i="14"/>
  <c r="X1491" i="14"/>
  <c r="X1492" i="14"/>
  <c r="X1493" i="14"/>
  <c r="X1494" i="14"/>
  <c r="X1495" i="14"/>
  <c r="X1496" i="14"/>
  <c r="X1497" i="14"/>
  <c r="X1498" i="14"/>
  <c r="X1499" i="14"/>
  <c r="X1500" i="14"/>
  <c r="X1501" i="14"/>
  <c r="X1502" i="14"/>
  <c r="X1503" i="14"/>
  <c r="X1504" i="14"/>
  <c r="X1505" i="14"/>
  <c r="X1506" i="14"/>
  <c r="X1507" i="14"/>
  <c r="K17" i="14" l="1"/>
  <c r="K8" i="14"/>
  <c r="K5" i="14"/>
  <c r="K14" i="14"/>
  <c r="K7" i="14"/>
  <c r="K6" i="14"/>
  <c r="K16" i="14"/>
  <c r="K15" i="14"/>
  <c r="X739" i="14"/>
  <c r="Y739" i="14"/>
  <c r="X738" i="14"/>
  <c r="Y738" i="14"/>
  <c r="X737" i="14"/>
  <c r="Y737" i="14"/>
  <c r="X736" i="14"/>
  <c r="Y736" i="14"/>
  <c r="X735" i="14"/>
  <c r="Y735" i="14"/>
  <c r="X734" i="14"/>
  <c r="Y734" i="14"/>
  <c r="X733" i="14"/>
  <c r="Y733" i="14"/>
  <c r="X732" i="14"/>
  <c r="Y732" i="14"/>
  <c r="X731" i="14"/>
  <c r="Y731" i="14"/>
  <c r="X730" i="14"/>
  <c r="Y730" i="14"/>
  <c r="T278" i="14" l="1"/>
  <c r="Y729" i="14" l="1"/>
  <c r="X729" i="14"/>
  <c r="Y728" i="14"/>
  <c r="X728" i="14"/>
  <c r="Y727" i="14"/>
  <c r="X727" i="14"/>
  <c r="Y726" i="14"/>
  <c r="X726" i="14"/>
  <c r="Y725" i="14"/>
  <c r="X725" i="14"/>
  <c r="Y724" i="14"/>
  <c r="X724" i="14"/>
  <c r="Y723" i="14"/>
  <c r="X723" i="14"/>
  <c r="Y722" i="14"/>
  <c r="X722" i="14"/>
  <c r="Y721" i="14"/>
  <c r="X721" i="14"/>
  <c r="Y720" i="14"/>
  <c r="X720" i="14"/>
  <c r="Y719" i="14"/>
  <c r="X719" i="14"/>
  <c r="Y718" i="14"/>
  <c r="X718" i="14"/>
  <c r="Y717" i="14"/>
  <c r="X717" i="14"/>
  <c r="Y716" i="14"/>
  <c r="X716" i="14"/>
  <c r="Y715" i="14"/>
  <c r="X715" i="14"/>
  <c r="Y714" i="14"/>
  <c r="X714" i="14"/>
  <c r="Y713" i="14"/>
  <c r="X713" i="14"/>
  <c r="Y712" i="14"/>
  <c r="X712" i="14"/>
  <c r="Y711" i="14"/>
  <c r="X711" i="14"/>
  <c r="Y710" i="14"/>
  <c r="X710" i="14"/>
  <c r="Y709" i="14"/>
  <c r="X709" i="14"/>
  <c r="Y708" i="14"/>
  <c r="X708" i="14"/>
  <c r="Y707" i="14"/>
  <c r="X707" i="14"/>
  <c r="Y706" i="14"/>
  <c r="X706" i="14"/>
  <c r="Y705" i="14"/>
  <c r="X705" i="14"/>
  <c r="Y704" i="14"/>
  <c r="X704" i="14"/>
  <c r="Y703" i="14"/>
  <c r="X703" i="14"/>
  <c r="Y702" i="14"/>
  <c r="X702" i="14"/>
  <c r="Y701" i="14"/>
  <c r="X701" i="14"/>
  <c r="Y700" i="14"/>
  <c r="X700" i="14"/>
  <c r="Y699" i="14"/>
  <c r="X699" i="14"/>
  <c r="Y698" i="14"/>
  <c r="X698" i="14"/>
  <c r="Y697" i="14"/>
  <c r="X697" i="14"/>
  <c r="Y696" i="14"/>
  <c r="X696" i="14"/>
  <c r="Y695" i="14"/>
  <c r="X695" i="14"/>
  <c r="Y694" i="14"/>
  <c r="X694" i="14"/>
  <c r="Y693" i="14"/>
  <c r="X693" i="14"/>
  <c r="Y692" i="14"/>
  <c r="X692" i="14"/>
  <c r="Y691" i="14"/>
  <c r="X691" i="14"/>
  <c r="Y690" i="14"/>
  <c r="X690" i="14"/>
  <c r="Y689" i="14"/>
  <c r="X689" i="14"/>
  <c r="Y688" i="14"/>
  <c r="X688" i="14"/>
  <c r="Y687" i="14"/>
  <c r="X687" i="14"/>
  <c r="Y686" i="14"/>
  <c r="X686" i="14"/>
  <c r="Y685" i="14"/>
  <c r="X685" i="14"/>
  <c r="Y684" i="14"/>
  <c r="X684" i="14"/>
  <c r="Y683" i="14"/>
  <c r="X683" i="14"/>
  <c r="Y682" i="14"/>
  <c r="X682" i="14"/>
  <c r="Y681" i="14"/>
  <c r="X681" i="14"/>
  <c r="Y680" i="14"/>
  <c r="X680" i="14"/>
  <c r="Y679" i="14"/>
  <c r="X679" i="14"/>
  <c r="Y678" i="14"/>
  <c r="X678" i="14"/>
  <c r="Y677" i="14"/>
  <c r="X677" i="14"/>
  <c r="Y676" i="14"/>
  <c r="X676" i="14"/>
  <c r="Y675" i="14"/>
  <c r="X675" i="14"/>
  <c r="Y674" i="14"/>
  <c r="X674" i="14"/>
  <c r="Y673" i="14"/>
  <c r="X673" i="14"/>
  <c r="Y672" i="14"/>
  <c r="X672" i="14"/>
  <c r="Y671" i="14"/>
  <c r="X671" i="14"/>
  <c r="Y670" i="14"/>
  <c r="X670" i="14"/>
  <c r="Y669" i="14"/>
  <c r="X669" i="14"/>
  <c r="Y668" i="14"/>
  <c r="X668" i="14"/>
  <c r="Y667" i="14"/>
  <c r="X667" i="14"/>
  <c r="Y666" i="14"/>
  <c r="X666" i="14"/>
  <c r="Y665" i="14"/>
  <c r="X665" i="14"/>
  <c r="Y664" i="14"/>
  <c r="X664" i="14"/>
  <c r="Y663" i="14"/>
  <c r="X663" i="14"/>
  <c r="Y662" i="14"/>
  <c r="X662" i="14"/>
  <c r="Y661" i="14"/>
  <c r="X661" i="14"/>
  <c r="Y660" i="14"/>
  <c r="X660" i="14"/>
  <c r="Y659" i="14"/>
  <c r="X659" i="14"/>
  <c r="Y658" i="14"/>
  <c r="X658" i="14"/>
  <c r="Y657" i="14"/>
  <c r="X657" i="14"/>
  <c r="Y656" i="14"/>
  <c r="X656" i="14"/>
  <c r="Y655" i="14"/>
  <c r="X655" i="14"/>
  <c r="Y654" i="14"/>
  <c r="X654" i="14"/>
  <c r="Y653" i="14"/>
  <c r="X653" i="14"/>
  <c r="Y652" i="14"/>
  <c r="X652" i="14"/>
  <c r="Y651" i="14"/>
  <c r="X651" i="14"/>
  <c r="Y650" i="14"/>
  <c r="X650" i="14"/>
  <c r="Y649" i="14"/>
  <c r="X649" i="14"/>
  <c r="Y648" i="14"/>
  <c r="X648" i="14"/>
  <c r="Y647" i="14"/>
  <c r="X647" i="14"/>
  <c r="Y646" i="14"/>
  <c r="X646" i="14"/>
  <c r="Y645" i="14"/>
  <c r="X645" i="14"/>
  <c r="Y644" i="14"/>
  <c r="X644" i="14"/>
  <c r="Y643" i="14"/>
  <c r="X643" i="14"/>
  <c r="Y642" i="14"/>
  <c r="X642" i="14"/>
  <c r="Y641" i="14"/>
  <c r="X641" i="14"/>
  <c r="Y640" i="14"/>
  <c r="X640" i="14"/>
  <c r="Y639" i="14"/>
  <c r="X639" i="14"/>
  <c r="Y638" i="14"/>
  <c r="X638" i="14"/>
  <c r="Y637" i="14"/>
  <c r="X637" i="14"/>
  <c r="Y636" i="14"/>
  <c r="X636" i="14"/>
  <c r="Y635" i="14"/>
  <c r="X635" i="14"/>
  <c r="Y634" i="14"/>
  <c r="X634" i="14"/>
  <c r="Y633" i="14"/>
  <c r="X633" i="14"/>
  <c r="Y632" i="14"/>
  <c r="X632" i="14"/>
  <c r="Y631" i="14"/>
  <c r="X631" i="14"/>
  <c r="Y630" i="14"/>
  <c r="X630" i="14"/>
  <c r="Y629" i="14"/>
  <c r="X629" i="14"/>
  <c r="Y628" i="14"/>
  <c r="X628" i="14"/>
  <c r="Y627" i="14"/>
  <c r="X627" i="14"/>
  <c r="Y626" i="14"/>
  <c r="X626" i="14"/>
  <c r="Y625" i="14"/>
  <c r="X625" i="14"/>
  <c r="Y624" i="14"/>
  <c r="X624" i="14"/>
  <c r="Y623" i="14"/>
  <c r="X623" i="14"/>
  <c r="Y622" i="14"/>
  <c r="X622" i="14"/>
  <c r="Y621" i="14"/>
  <c r="X621" i="14"/>
  <c r="Y620" i="14"/>
  <c r="X620" i="14"/>
  <c r="Y619" i="14"/>
  <c r="X619" i="14"/>
  <c r="Y618" i="14"/>
  <c r="X618" i="14"/>
  <c r="Y617" i="14"/>
  <c r="X617" i="14"/>
  <c r="Y616" i="14"/>
  <c r="X616" i="14"/>
  <c r="Y615" i="14"/>
  <c r="X615" i="14"/>
  <c r="Y614" i="14"/>
  <c r="X614" i="14"/>
  <c r="Y613" i="14"/>
  <c r="X613" i="14"/>
  <c r="Y612" i="14"/>
  <c r="X612" i="14"/>
  <c r="Y611" i="14"/>
  <c r="X611" i="14"/>
  <c r="Y610" i="14"/>
  <c r="X610" i="14"/>
  <c r="Y609" i="14"/>
  <c r="X609" i="14"/>
  <c r="Y608" i="14"/>
  <c r="X608" i="14"/>
  <c r="Y607" i="14"/>
  <c r="X607" i="14"/>
  <c r="Y606" i="14"/>
  <c r="X606" i="14"/>
  <c r="Y605" i="14"/>
  <c r="X605" i="14"/>
  <c r="Y604" i="14"/>
  <c r="X604" i="14"/>
  <c r="Y603" i="14"/>
  <c r="X603" i="14"/>
  <c r="Y602" i="14"/>
  <c r="X602" i="14"/>
  <c r="Y601" i="14"/>
  <c r="X601" i="14"/>
  <c r="Y600" i="14"/>
  <c r="X600" i="14"/>
  <c r="Y599" i="14"/>
  <c r="X599" i="14"/>
  <c r="Y598" i="14"/>
  <c r="X598" i="14"/>
  <c r="Y597" i="14"/>
  <c r="X597" i="14"/>
  <c r="Y596" i="14"/>
  <c r="X596" i="14"/>
  <c r="Y595" i="14"/>
  <c r="X595" i="14"/>
  <c r="Y594" i="14"/>
  <c r="X594" i="14"/>
  <c r="Y593" i="14"/>
  <c r="X593" i="14"/>
  <c r="Y592" i="14"/>
  <c r="X592" i="14"/>
  <c r="Y591" i="14"/>
  <c r="X591" i="14"/>
  <c r="Y590" i="14"/>
  <c r="X590" i="14"/>
  <c r="Y589" i="14"/>
  <c r="X589" i="14"/>
  <c r="Y588" i="14"/>
  <c r="X588" i="14"/>
  <c r="Y587" i="14"/>
  <c r="X587" i="14"/>
  <c r="Y586" i="14"/>
  <c r="X586" i="14"/>
  <c r="Y585" i="14"/>
  <c r="X585" i="14"/>
  <c r="Y584" i="14"/>
  <c r="X584" i="14"/>
  <c r="Y583" i="14"/>
  <c r="X583" i="14"/>
  <c r="Y582" i="14"/>
  <c r="X582" i="14"/>
  <c r="Y581" i="14"/>
  <c r="X581" i="14"/>
  <c r="Y580" i="14"/>
  <c r="X580" i="14"/>
  <c r="Y579" i="14"/>
  <c r="X579" i="14"/>
  <c r="Y578" i="14"/>
  <c r="X578" i="14"/>
  <c r="Y577" i="14"/>
  <c r="X577" i="14"/>
  <c r="Y576" i="14"/>
  <c r="X576" i="14"/>
  <c r="Y575" i="14"/>
  <c r="X575" i="14"/>
  <c r="Y574" i="14"/>
  <c r="X574" i="14"/>
  <c r="Y573" i="14"/>
  <c r="X573" i="14"/>
  <c r="Y572" i="14"/>
  <c r="X572" i="14"/>
  <c r="Y571" i="14"/>
  <c r="X571" i="14"/>
  <c r="Y570" i="14"/>
  <c r="X570" i="14"/>
  <c r="Y569" i="14"/>
  <c r="X569" i="14"/>
  <c r="Y568" i="14"/>
  <c r="X568" i="14"/>
  <c r="Y567" i="14"/>
  <c r="X567" i="14"/>
  <c r="Y566" i="14"/>
  <c r="X566" i="14"/>
  <c r="Y565" i="14"/>
  <c r="X565" i="14"/>
  <c r="Y564" i="14"/>
  <c r="X564" i="14"/>
  <c r="Y563" i="14"/>
  <c r="X563" i="14"/>
  <c r="Y562" i="14"/>
  <c r="X562" i="14"/>
  <c r="Y561" i="14"/>
  <c r="X561" i="14"/>
  <c r="Y560" i="14"/>
  <c r="X560" i="14"/>
  <c r="Y559" i="14"/>
  <c r="X559" i="14"/>
  <c r="Y558" i="14"/>
  <c r="X558" i="14"/>
  <c r="Y557" i="14"/>
  <c r="X557" i="14"/>
  <c r="Y556" i="14"/>
  <c r="X556" i="14"/>
  <c r="Y555" i="14"/>
  <c r="X555" i="14"/>
  <c r="Y554" i="14"/>
  <c r="X554" i="14"/>
  <c r="Y553" i="14"/>
  <c r="X553" i="14"/>
  <c r="Y552" i="14"/>
  <c r="X552" i="14"/>
  <c r="Y551" i="14"/>
  <c r="X551" i="14"/>
  <c r="Y550" i="14"/>
  <c r="X550" i="14"/>
  <c r="Y549" i="14"/>
  <c r="X549" i="14"/>
  <c r="Y548" i="14"/>
  <c r="X548" i="14"/>
  <c r="Y547" i="14"/>
  <c r="X547" i="14"/>
  <c r="Y546" i="14"/>
  <c r="X546" i="14"/>
  <c r="Y545" i="14"/>
  <c r="X545" i="14"/>
  <c r="Y544" i="14"/>
  <c r="X544" i="14"/>
  <c r="Y543" i="14"/>
  <c r="X543" i="14"/>
  <c r="Y542" i="14"/>
  <c r="X542" i="14"/>
  <c r="Y541" i="14"/>
  <c r="X541" i="14"/>
  <c r="Y540" i="14"/>
  <c r="X540" i="14"/>
  <c r="Y539" i="14"/>
  <c r="X539" i="14"/>
  <c r="Y538" i="14"/>
  <c r="X538" i="14"/>
  <c r="Y537" i="14"/>
  <c r="X537" i="14"/>
  <c r="Y536" i="14"/>
  <c r="X536" i="14"/>
  <c r="Y535" i="14"/>
  <c r="X535" i="14"/>
  <c r="Y534" i="14"/>
  <c r="X534" i="14"/>
  <c r="Y533" i="14"/>
  <c r="X533" i="14"/>
  <c r="Y532" i="14"/>
  <c r="X532" i="14"/>
  <c r="Y531" i="14"/>
  <c r="X531" i="14"/>
  <c r="Y530" i="14"/>
  <c r="X530" i="14"/>
  <c r="Y529" i="14"/>
  <c r="X529" i="14"/>
  <c r="Y528" i="14"/>
  <c r="X528" i="14"/>
  <c r="Y527" i="14"/>
  <c r="X527" i="14"/>
  <c r="Y526" i="14"/>
  <c r="X526" i="14"/>
  <c r="Y525" i="14"/>
  <c r="X525" i="14"/>
  <c r="Y524" i="14"/>
  <c r="X524" i="14"/>
  <c r="Y523" i="14"/>
  <c r="X523" i="14"/>
  <c r="Y522" i="14"/>
  <c r="X522" i="14"/>
  <c r="Y521" i="14"/>
  <c r="X521" i="14"/>
  <c r="Y520" i="14"/>
  <c r="X520" i="14"/>
  <c r="Y519" i="14"/>
  <c r="X519" i="14"/>
  <c r="Y518" i="14"/>
  <c r="X518" i="14"/>
  <c r="Y517" i="14"/>
  <c r="X517" i="14"/>
  <c r="Y516" i="14"/>
  <c r="X516" i="14"/>
  <c r="Y515" i="14"/>
  <c r="X515" i="14"/>
  <c r="Y514" i="14"/>
  <c r="X514" i="14"/>
  <c r="Y513" i="14"/>
  <c r="X513" i="14"/>
  <c r="Y512" i="14"/>
  <c r="X512" i="14"/>
  <c r="Y511" i="14"/>
  <c r="X511" i="14"/>
  <c r="Y510" i="14"/>
  <c r="X510" i="14"/>
  <c r="Y509" i="14"/>
  <c r="X509" i="14"/>
  <c r="Y508" i="14"/>
  <c r="X508" i="14"/>
  <c r="Y507" i="14"/>
  <c r="X507" i="14"/>
  <c r="Y506" i="14"/>
  <c r="X506" i="14"/>
  <c r="Y505" i="14"/>
  <c r="X505" i="14"/>
  <c r="Y504" i="14"/>
  <c r="X504" i="14"/>
  <c r="Y503" i="14"/>
  <c r="X503" i="14"/>
  <c r="Y502" i="14"/>
  <c r="X502" i="14"/>
  <c r="Y501" i="14"/>
  <c r="X501" i="14"/>
  <c r="Y500" i="14"/>
  <c r="X500" i="14"/>
  <c r="Y499" i="14"/>
  <c r="X499" i="14"/>
  <c r="Y498" i="14"/>
  <c r="X498" i="14"/>
  <c r="Y497" i="14"/>
  <c r="X497" i="14"/>
  <c r="Y496" i="14"/>
  <c r="X496" i="14"/>
  <c r="Y495" i="14"/>
  <c r="X495" i="14"/>
  <c r="Y494" i="14"/>
  <c r="X494" i="14"/>
  <c r="Y493" i="14"/>
  <c r="X493" i="14"/>
  <c r="Y492" i="14"/>
  <c r="X492" i="14"/>
  <c r="Y491" i="14"/>
  <c r="X491" i="14"/>
  <c r="Y490" i="14"/>
  <c r="X490" i="14"/>
  <c r="Y489" i="14"/>
  <c r="X489" i="14"/>
  <c r="Y488" i="14"/>
  <c r="X488" i="14"/>
  <c r="Y487" i="14"/>
  <c r="X487" i="14"/>
  <c r="Y486" i="14"/>
  <c r="X486" i="14"/>
  <c r="Y485" i="14"/>
  <c r="X485" i="14"/>
  <c r="Y484" i="14"/>
  <c r="X484" i="14"/>
  <c r="Y483" i="14"/>
  <c r="X483" i="14"/>
  <c r="Y482" i="14"/>
  <c r="X482" i="14"/>
  <c r="Y481" i="14"/>
  <c r="X481" i="14"/>
  <c r="Y480" i="14"/>
  <c r="X480" i="14"/>
  <c r="Y479" i="14"/>
  <c r="X479" i="14"/>
  <c r="Y478" i="14"/>
  <c r="X478" i="14"/>
  <c r="Y477" i="14"/>
  <c r="X477" i="14"/>
  <c r="Y476" i="14"/>
  <c r="X476" i="14"/>
  <c r="Y475" i="14"/>
  <c r="X475" i="14"/>
  <c r="Y474" i="14"/>
  <c r="X474" i="14"/>
  <c r="Y473" i="14"/>
  <c r="X473" i="14"/>
  <c r="Y472" i="14"/>
  <c r="X472" i="14"/>
  <c r="Y471" i="14"/>
  <c r="X471" i="14"/>
  <c r="Y470" i="14"/>
  <c r="X470" i="14"/>
  <c r="Y469" i="14"/>
  <c r="X469" i="14"/>
  <c r="Y468" i="14"/>
  <c r="X468" i="14"/>
  <c r="Y467" i="14"/>
  <c r="X467" i="14"/>
  <c r="Y466" i="14"/>
  <c r="X466" i="14"/>
  <c r="Y465" i="14"/>
  <c r="X465" i="14"/>
  <c r="Y464" i="14"/>
  <c r="X464" i="14"/>
  <c r="Y463" i="14"/>
  <c r="X463" i="14"/>
  <c r="Y462" i="14"/>
  <c r="X462" i="14"/>
  <c r="Y461" i="14"/>
  <c r="X461" i="14"/>
  <c r="Y460" i="14"/>
  <c r="X460" i="14"/>
  <c r="Y459" i="14"/>
  <c r="X459" i="14"/>
  <c r="Y458" i="14"/>
  <c r="X458" i="14"/>
  <c r="Y457" i="14"/>
  <c r="X457" i="14"/>
  <c r="Y456" i="14"/>
  <c r="X456" i="14"/>
  <c r="Y455" i="14"/>
  <c r="X455" i="14"/>
  <c r="Y454" i="14"/>
  <c r="X454" i="14"/>
  <c r="Y453" i="14"/>
  <c r="X453" i="14"/>
  <c r="Y452" i="14"/>
  <c r="X452" i="14"/>
  <c r="Y451" i="14"/>
  <c r="X451" i="14"/>
  <c r="Y450" i="14"/>
  <c r="X450" i="14"/>
  <c r="Y449" i="14"/>
  <c r="X449" i="14"/>
  <c r="Y448" i="14"/>
  <c r="X448" i="14"/>
  <c r="Y447" i="14"/>
  <c r="X447" i="14"/>
  <c r="Y446" i="14"/>
  <c r="X446" i="14"/>
  <c r="Y445" i="14"/>
  <c r="X445" i="14"/>
  <c r="Y444" i="14"/>
  <c r="X444" i="14"/>
  <c r="Y443" i="14"/>
  <c r="X443" i="14"/>
  <c r="Y442" i="14"/>
  <c r="X442" i="14"/>
  <c r="Y441" i="14"/>
  <c r="X441" i="14"/>
  <c r="Y440" i="14"/>
  <c r="X440" i="14"/>
  <c r="Y439" i="14"/>
  <c r="X439" i="14"/>
  <c r="Y438" i="14"/>
  <c r="X438" i="14"/>
  <c r="Y437" i="14"/>
  <c r="X437" i="14"/>
  <c r="Y436" i="14"/>
  <c r="X436" i="14"/>
  <c r="Y435" i="14"/>
  <c r="X435" i="14"/>
  <c r="Y434" i="14"/>
  <c r="X434" i="14"/>
  <c r="Y433" i="14"/>
  <c r="X433" i="14"/>
  <c r="Y432" i="14"/>
  <c r="X432" i="14"/>
  <c r="Y431" i="14"/>
  <c r="X431" i="14"/>
  <c r="Y430" i="14"/>
  <c r="X430" i="14"/>
  <c r="Y429" i="14"/>
  <c r="X429" i="14"/>
  <c r="Y428" i="14"/>
  <c r="X428" i="14"/>
  <c r="Y427" i="14"/>
  <c r="X427" i="14"/>
  <c r="Y426" i="14"/>
  <c r="X426" i="14"/>
  <c r="Y425" i="14"/>
  <c r="X425" i="14"/>
  <c r="Y424" i="14"/>
  <c r="X424" i="14"/>
  <c r="Y423" i="14"/>
  <c r="X423" i="14"/>
  <c r="Y422" i="14"/>
  <c r="X422" i="14"/>
  <c r="Y421" i="14"/>
  <c r="X421" i="14"/>
  <c r="Y420" i="14"/>
  <c r="X420" i="14"/>
  <c r="Y419" i="14"/>
  <c r="X419" i="14"/>
  <c r="Y418" i="14"/>
  <c r="X418" i="14"/>
  <c r="Y417" i="14"/>
  <c r="X417" i="14"/>
  <c r="Y416" i="14"/>
  <c r="X416" i="14"/>
  <c r="Y415" i="14"/>
  <c r="X415" i="14"/>
  <c r="Y414" i="14"/>
  <c r="X414" i="14"/>
  <c r="Y413" i="14"/>
  <c r="X413" i="14"/>
  <c r="Y412" i="14"/>
  <c r="X412" i="14"/>
  <c r="Y411" i="14"/>
  <c r="X411" i="14"/>
  <c r="Y410" i="14"/>
  <c r="X410" i="14"/>
  <c r="Y409" i="14"/>
  <c r="X409" i="14"/>
  <c r="Y408" i="14"/>
  <c r="X408" i="14"/>
  <c r="Y407" i="14"/>
  <c r="X407" i="14"/>
  <c r="Y406" i="14"/>
  <c r="X406" i="14"/>
  <c r="Y405" i="14"/>
  <c r="X405" i="14"/>
  <c r="Y404" i="14"/>
  <c r="X404" i="14"/>
  <c r="Y403" i="14"/>
  <c r="X403" i="14"/>
  <c r="Y402" i="14"/>
  <c r="X402" i="14"/>
  <c r="Y401" i="14"/>
  <c r="X401" i="14"/>
  <c r="Y400" i="14"/>
  <c r="X400" i="14"/>
  <c r="Y399" i="14"/>
  <c r="X399" i="14"/>
  <c r="Y398" i="14"/>
  <c r="X398" i="14"/>
  <c r="Y397" i="14"/>
  <c r="X397" i="14"/>
  <c r="Y396" i="14"/>
  <c r="X396" i="14"/>
  <c r="Y395" i="14"/>
  <c r="X395" i="14"/>
  <c r="Y394" i="14"/>
  <c r="X394" i="14"/>
  <c r="Y393" i="14"/>
  <c r="X393" i="14"/>
  <c r="Y392" i="14"/>
  <c r="X392" i="14"/>
  <c r="Y391" i="14"/>
  <c r="X391" i="14"/>
  <c r="Y390" i="14"/>
  <c r="X390" i="14"/>
  <c r="Y389" i="14"/>
  <c r="X389" i="14"/>
  <c r="Y388" i="14"/>
  <c r="X388" i="14"/>
  <c r="Y387" i="14"/>
  <c r="X387" i="14"/>
  <c r="Y386" i="14"/>
  <c r="X386" i="14"/>
  <c r="Y385" i="14"/>
  <c r="X385" i="14"/>
  <c r="Y384" i="14"/>
  <c r="X384" i="14"/>
  <c r="Y383" i="14"/>
  <c r="X383" i="14"/>
  <c r="Y382" i="14"/>
  <c r="X382" i="14"/>
  <c r="Y381" i="14"/>
  <c r="X381" i="14"/>
  <c r="Y380" i="14"/>
  <c r="X380" i="14"/>
  <c r="Y379" i="14"/>
  <c r="X379" i="14"/>
  <c r="Y378" i="14"/>
  <c r="X378" i="14"/>
  <c r="Y377" i="14"/>
  <c r="X377" i="14"/>
  <c r="Y376" i="14"/>
  <c r="X376" i="14"/>
  <c r="Y375" i="14"/>
  <c r="X375" i="14"/>
  <c r="Y374" i="14"/>
  <c r="X374" i="14"/>
  <c r="Y373" i="14"/>
  <c r="X373" i="14"/>
  <c r="Y372" i="14"/>
  <c r="X372" i="14"/>
  <c r="Y371" i="14"/>
  <c r="X371" i="14"/>
  <c r="Y370" i="14"/>
  <c r="X370" i="14"/>
  <c r="Y369" i="14"/>
  <c r="X369" i="14"/>
  <c r="Y368" i="14"/>
  <c r="X368" i="14"/>
  <c r="Y367" i="14"/>
  <c r="X367" i="14"/>
  <c r="Y366" i="14"/>
  <c r="X366" i="14"/>
  <c r="Y365" i="14"/>
  <c r="X365" i="14"/>
  <c r="Y364" i="14"/>
  <c r="X364" i="14"/>
  <c r="Y363" i="14"/>
  <c r="X363" i="14"/>
  <c r="Y362" i="14"/>
  <c r="X362" i="14"/>
  <c r="Y361" i="14"/>
  <c r="X361" i="14"/>
  <c r="Y360" i="14"/>
  <c r="X360" i="14"/>
  <c r="Y359" i="14"/>
  <c r="X359" i="14"/>
  <c r="Y358" i="14"/>
  <c r="X358" i="14"/>
  <c r="Y357" i="14"/>
  <c r="X357" i="14"/>
  <c r="Y356" i="14"/>
  <c r="X356" i="14"/>
  <c r="Y355" i="14"/>
  <c r="X355" i="14"/>
  <c r="Y354" i="14"/>
  <c r="X354" i="14"/>
  <c r="Y353" i="14"/>
  <c r="X353" i="14"/>
  <c r="Y352" i="14"/>
  <c r="X352" i="14"/>
  <c r="Y351" i="14"/>
  <c r="X351" i="14"/>
  <c r="Y350" i="14"/>
  <c r="X350" i="14"/>
  <c r="Y349" i="14"/>
  <c r="X349" i="14"/>
  <c r="Y348" i="14"/>
  <c r="X348" i="14"/>
  <c r="Y347" i="14"/>
  <c r="X347" i="14"/>
  <c r="Y346" i="14"/>
  <c r="X346" i="14"/>
  <c r="Y345" i="14"/>
  <c r="X345" i="14"/>
  <c r="Y344" i="14"/>
  <c r="X344" i="14"/>
  <c r="Y343" i="14"/>
  <c r="X343" i="14"/>
  <c r="Y342" i="14"/>
  <c r="X342" i="14"/>
  <c r="Y341" i="14"/>
  <c r="X341" i="14"/>
  <c r="Y340" i="14"/>
  <c r="X340" i="14"/>
  <c r="Y339" i="14"/>
  <c r="X339" i="14"/>
  <c r="Y338" i="14"/>
  <c r="X338" i="14"/>
  <c r="Y337" i="14"/>
  <c r="X337" i="14"/>
  <c r="Y336" i="14"/>
  <c r="X336" i="14"/>
  <c r="Y335" i="14"/>
  <c r="X335" i="14"/>
  <c r="Y334" i="14"/>
  <c r="X334" i="14"/>
  <c r="Y333" i="14"/>
  <c r="X333" i="14"/>
  <c r="Y332" i="14"/>
  <c r="X332" i="14"/>
  <c r="Y331" i="14"/>
  <c r="X331" i="14"/>
  <c r="Y330" i="14"/>
  <c r="X330" i="14"/>
  <c r="Y329" i="14"/>
  <c r="X329" i="14"/>
  <c r="Y328" i="14"/>
  <c r="X328" i="14"/>
  <c r="Y327" i="14"/>
  <c r="X327" i="14"/>
  <c r="Y326" i="14"/>
  <c r="X326" i="14"/>
  <c r="Y325" i="14"/>
  <c r="X325" i="14"/>
  <c r="Y324" i="14"/>
  <c r="X324" i="14"/>
  <c r="Y323" i="14"/>
  <c r="X323" i="14"/>
  <c r="Y322" i="14"/>
  <c r="X322" i="14"/>
  <c r="Y321" i="14"/>
  <c r="X321" i="14"/>
  <c r="Y320" i="14"/>
  <c r="X320" i="14"/>
  <c r="Y319" i="14"/>
  <c r="X319" i="14"/>
  <c r="Y318" i="14"/>
  <c r="X318" i="14"/>
  <c r="Y317" i="14"/>
  <c r="X317" i="14"/>
  <c r="Y316" i="14"/>
  <c r="X316" i="14"/>
  <c r="Y315" i="14"/>
  <c r="X315" i="14"/>
  <c r="Y314" i="14"/>
  <c r="X314" i="14"/>
  <c r="Y313" i="14"/>
  <c r="X313" i="14"/>
  <c r="Y312" i="14"/>
  <c r="X312" i="14"/>
  <c r="Y311" i="14"/>
  <c r="X311" i="14"/>
  <c r="Y310" i="14"/>
  <c r="X310" i="14"/>
  <c r="Y309" i="14"/>
  <c r="X309" i="14"/>
  <c r="Y308" i="14"/>
  <c r="X308" i="14"/>
  <c r="Y307" i="14"/>
  <c r="X307" i="14"/>
  <c r="Y306" i="14"/>
  <c r="X306" i="14"/>
  <c r="Y305" i="14"/>
  <c r="X305" i="14"/>
  <c r="Y304" i="14"/>
  <c r="X304" i="14"/>
  <c r="Y303" i="14"/>
  <c r="X303" i="14"/>
  <c r="Y302" i="14"/>
  <c r="X302" i="14"/>
  <c r="Y301" i="14"/>
  <c r="X301" i="14"/>
  <c r="Y300" i="14"/>
  <c r="X300" i="14"/>
  <c r="Y299" i="14"/>
  <c r="X299" i="14"/>
  <c r="Y298" i="14"/>
  <c r="X298" i="14"/>
  <c r="Y297" i="14"/>
  <c r="X297" i="14"/>
  <c r="Y296" i="14"/>
  <c r="X296" i="14"/>
  <c r="Y295" i="14"/>
  <c r="X295" i="14"/>
  <c r="Y294" i="14"/>
  <c r="X294" i="14"/>
  <c r="Y293" i="14"/>
  <c r="X293" i="14"/>
  <c r="Y292" i="14"/>
  <c r="X292" i="14"/>
  <c r="Y291" i="14"/>
  <c r="X291" i="14"/>
  <c r="Y290" i="14"/>
  <c r="X290" i="14"/>
  <c r="Y289" i="14"/>
  <c r="X289" i="14"/>
  <c r="Y288" i="14"/>
  <c r="X288" i="14"/>
  <c r="Y287" i="14"/>
  <c r="X287" i="14"/>
  <c r="Y286" i="14"/>
  <c r="X286" i="14"/>
  <c r="Y285" i="14"/>
  <c r="X285" i="14"/>
  <c r="Y284" i="14"/>
  <c r="X284" i="14"/>
  <c r="Y283" i="14"/>
  <c r="X283" i="14"/>
  <c r="Y282" i="14"/>
  <c r="X282" i="14"/>
  <c r="Y281" i="14"/>
  <c r="X281" i="14"/>
  <c r="Y280" i="14"/>
  <c r="X280" i="14"/>
  <c r="Y279" i="14"/>
  <c r="X279" i="14"/>
  <c r="Y278" i="14"/>
  <c r="X278" i="14"/>
  <c r="Y277" i="14"/>
  <c r="X277" i="14"/>
  <c r="Y276" i="14"/>
  <c r="X276" i="14"/>
  <c r="Y275" i="14"/>
  <c r="X275" i="14"/>
  <c r="Y274" i="14"/>
  <c r="X274" i="14"/>
  <c r="Y273" i="14"/>
  <c r="X273" i="14"/>
  <c r="Y272" i="14"/>
  <c r="X272" i="14"/>
  <c r="Y271" i="14"/>
  <c r="X271" i="14"/>
  <c r="Y270" i="14"/>
  <c r="X270" i="14"/>
  <c r="Y269" i="14"/>
  <c r="X269" i="14"/>
  <c r="Y268" i="14"/>
  <c r="X268" i="14"/>
  <c r="Y267" i="14"/>
  <c r="X267" i="14"/>
  <c r="Y266" i="14"/>
  <c r="X266" i="14"/>
  <c r="Y265" i="14"/>
  <c r="X265" i="14"/>
  <c r="Y264" i="14"/>
  <c r="X264" i="14"/>
  <c r="Y263" i="14"/>
  <c r="X263" i="14"/>
  <c r="Y262" i="14"/>
  <c r="X262" i="14"/>
  <c r="Y261" i="14"/>
  <c r="X261" i="14"/>
  <c r="Y260" i="14"/>
  <c r="X260" i="14"/>
  <c r="Y259" i="14"/>
  <c r="X259" i="14"/>
  <c r="Y258" i="14"/>
  <c r="X258" i="14"/>
  <c r="Y257" i="14"/>
  <c r="X257" i="14"/>
  <c r="Y256" i="14"/>
  <c r="X256" i="14"/>
  <c r="Y255" i="14"/>
  <c r="X255" i="14"/>
  <c r="Y254" i="14"/>
  <c r="X254" i="14"/>
  <c r="Y253" i="14"/>
  <c r="X253" i="14"/>
  <c r="Y252" i="14"/>
  <c r="X252" i="14"/>
  <c r="Y251" i="14"/>
  <c r="X251" i="14"/>
  <c r="Y250" i="14"/>
  <c r="X250" i="14"/>
  <c r="Y249" i="14"/>
  <c r="X249" i="14"/>
  <c r="Y248" i="14"/>
  <c r="X248" i="14"/>
  <c r="Y247" i="14"/>
  <c r="X247" i="14"/>
  <c r="Y246" i="14"/>
  <c r="X246" i="14"/>
  <c r="Y245" i="14"/>
  <c r="X245" i="14"/>
  <c r="Y244" i="14"/>
  <c r="X244" i="14"/>
  <c r="Y243" i="14"/>
  <c r="X243" i="14"/>
  <c r="Y242" i="14"/>
  <c r="X242" i="14"/>
  <c r="Y241" i="14"/>
  <c r="X241" i="14"/>
  <c r="Y240" i="14"/>
  <c r="X240" i="14"/>
  <c r="Y239" i="14"/>
  <c r="X239" i="14"/>
  <c r="Y238" i="14"/>
  <c r="X238" i="14"/>
  <c r="Y237" i="14"/>
  <c r="X237" i="14"/>
  <c r="Y236" i="14"/>
  <c r="X236" i="14"/>
  <c r="Y235" i="14"/>
  <c r="X235" i="14"/>
  <c r="Y234" i="14"/>
  <c r="X234" i="14"/>
  <c r="Y233" i="14"/>
  <c r="X233" i="14"/>
  <c r="Y232" i="14"/>
  <c r="X232" i="14"/>
  <c r="Y231" i="14"/>
  <c r="X231" i="14"/>
  <c r="Y230" i="14"/>
  <c r="X230" i="14"/>
  <c r="Y229" i="14"/>
  <c r="X229" i="14"/>
  <c r="Y228" i="14"/>
  <c r="X228" i="14"/>
  <c r="Y227" i="14"/>
  <c r="X227" i="14"/>
  <c r="Y226" i="14"/>
  <c r="X226" i="14"/>
  <c r="Y225" i="14"/>
  <c r="X225" i="14"/>
  <c r="Y224" i="14"/>
  <c r="X224" i="14"/>
  <c r="Y223" i="14"/>
  <c r="X223" i="14"/>
  <c r="Y222" i="14"/>
  <c r="X222" i="14"/>
  <c r="Y221" i="14"/>
  <c r="X221" i="14"/>
  <c r="Y220" i="14"/>
  <c r="X220" i="14"/>
  <c r="Y219" i="14"/>
  <c r="X219" i="14"/>
  <c r="Y218" i="14"/>
  <c r="X218" i="14"/>
  <c r="Y217" i="14"/>
  <c r="X217" i="14"/>
  <c r="Y216" i="14"/>
  <c r="X216" i="14"/>
  <c r="Y215" i="14"/>
  <c r="X215" i="14"/>
  <c r="Y214" i="14"/>
  <c r="X214" i="14"/>
  <c r="Y213" i="14"/>
  <c r="X213" i="14"/>
  <c r="Y212" i="14"/>
  <c r="X212" i="14"/>
  <c r="Y211" i="14"/>
  <c r="X211" i="14"/>
  <c r="Y210" i="14"/>
  <c r="X210" i="14"/>
  <c r="Y209" i="14"/>
  <c r="X209" i="14"/>
  <c r="Y208" i="14"/>
  <c r="X208" i="14"/>
  <c r="Y207" i="14"/>
  <c r="X207" i="14"/>
  <c r="Y206" i="14"/>
  <c r="X206" i="14"/>
  <c r="Y205" i="14"/>
  <c r="X205" i="14"/>
  <c r="Y204" i="14"/>
  <c r="X204" i="14"/>
  <c r="Y203" i="14"/>
  <c r="X203" i="14"/>
  <c r="Y202" i="14"/>
  <c r="X202" i="14"/>
  <c r="Y201" i="14"/>
  <c r="X201" i="14"/>
  <c r="Y200" i="14"/>
  <c r="X200" i="14"/>
  <c r="Y199" i="14"/>
  <c r="X199" i="14"/>
  <c r="Y198" i="14"/>
  <c r="X198" i="14"/>
  <c r="Y197" i="14"/>
  <c r="X197" i="14"/>
  <c r="Y196" i="14"/>
  <c r="X196" i="14"/>
  <c r="Y195" i="14"/>
  <c r="X195" i="14"/>
  <c r="Y194" i="14"/>
  <c r="X194" i="14"/>
  <c r="Y193" i="14"/>
  <c r="X193" i="14"/>
  <c r="Y192" i="14"/>
  <c r="X192" i="14"/>
  <c r="Y191" i="14"/>
  <c r="X191" i="14"/>
  <c r="Y190" i="14"/>
  <c r="X190" i="14"/>
  <c r="Y189" i="14"/>
  <c r="X189" i="14"/>
  <c r="Y188" i="14"/>
  <c r="X188" i="14"/>
  <c r="Y187" i="14"/>
  <c r="X187" i="14"/>
  <c r="Y186" i="14"/>
  <c r="X186" i="14"/>
  <c r="Y185" i="14"/>
  <c r="X185" i="14"/>
  <c r="Y184" i="14"/>
  <c r="X184" i="14"/>
  <c r="Y183" i="14"/>
  <c r="X183" i="14"/>
  <c r="Y182" i="14"/>
  <c r="X182" i="14"/>
  <c r="Y181" i="14"/>
  <c r="X181" i="14"/>
  <c r="Y180" i="14"/>
  <c r="X180" i="14"/>
  <c r="Y179" i="14"/>
  <c r="X179" i="14"/>
  <c r="Y178" i="14"/>
  <c r="X178" i="14"/>
  <c r="Y177" i="14"/>
  <c r="X177" i="14"/>
  <c r="Y176" i="14"/>
  <c r="X176" i="14"/>
  <c r="Y175" i="14"/>
  <c r="X175" i="14"/>
  <c r="Y174" i="14"/>
  <c r="X174" i="14"/>
  <c r="Y173" i="14"/>
  <c r="X173" i="14"/>
  <c r="Y172" i="14"/>
  <c r="X172" i="14"/>
  <c r="Y171" i="14"/>
  <c r="X171" i="14"/>
  <c r="Y170" i="14"/>
  <c r="X170" i="14"/>
  <c r="Y169" i="14"/>
  <c r="X169" i="14"/>
  <c r="Y168" i="14"/>
  <c r="X168" i="14"/>
  <c r="Y167" i="14"/>
  <c r="X167" i="14"/>
  <c r="Y166" i="14"/>
  <c r="X166" i="14"/>
  <c r="Y165" i="14"/>
  <c r="X165" i="14"/>
  <c r="Y164" i="14"/>
  <c r="X164" i="14"/>
  <c r="Y163" i="14"/>
  <c r="X163" i="14"/>
  <c r="Y162" i="14"/>
  <c r="X162" i="14"/>
  <c r="Y161" i="14"/>
  <c r="X161" i="14"/>
  <c r="Y160" i="14"/>
  <c r="X160" i="14"/>
  <c r="Y159" i="14"/>
  <c r="X159" i="14"/>
  <c r="Y158" i="14"/>
  <c r="X158" i="14"/>
  <c r="Y157" i="14"/>
  <c r="X157" i="14"/>
  <c r="Y156" i="14"/>
  <c r="X156" i="14"/>
  <c r="Y155" i="14"/>
  <c r="X155" i="14"/>
  <c r="Y154" i="14"/>
  <c r="X154" i="14"/>
  <c r="Y153" i="14"/>
  <c r="X153" i="14"/>
  <c r="Y152" i="14"/>
  <c r="X152" i="14"/>
  <c r="Y151" i="14"/>
  <c r="X151" i="14"/>
  <c r="Y150" i="14"/>
  <c r="X150" i="14"/>
  <c r="Y149" i="14"/>
  <c r="X149" i="14"/>
  <c r="Y148" i="14"/>
  <c r="X148" i="14"/>
  <c r="Y147" i="14"/>
  <c r="X147" i="14"/>
  <c r="Y146" i="14"/>
  <c r="X146" i="14"/>
  <c r="Y145" i="14"/>
  <c r="X145" i="14"/>
  <c r="Y144" i="14"/>
  <c r="X144" i="14"/>
  <c r="Y143" i="14"/>
  <c r="X143" i="14"/>
  <c r="Y142" i="14"/>
  <c r="X142" i="14"/>
  <c r="Y141" i="14"/>
  <c r="X141" i="14"/>
  <c r="Y140" i="14"/>
  <c r="X140" i="14"/>
  <c r="Y139" i="14"/>
  <c r="X139" i="14"/>
  <c r="Y138" i="14"/>
  <c r="X138" i="14"/>
  <c r="Y137" i="14"/>
  <c r="X137" i="14"/>
  <c r="Y136" i="14"/>
  <c r="X136" i="14"/>
  <c r="Y135" i="14"/>
  <c r="X135" i="14"/>
  <c r="Y134" i="14"/>
  <c r="X134" i="14"/>
  <c r="Y133" i="14"/>
  <c r="X133" i="14"/>
  <c r="Y132" i="14"/>
  <c r="X132" i="14"/>
  <c r="Y131" i="14"/>
  <c r="X131" i="14"/>
  <c r="Y130" i="14"/>
  <c r="X130" i="14"/>
  <c r="Y129" i="14"/>
  <c r="X129" i="14"/>
  <c r="Y128" i="14"/>
  <c r="X128" i="14"/>
  <c r="Y127" i="14"/>
  <c r="X127" i="14"/>
  <c r="Y126" i="14"/>
  <c r="X126" i="14"/>
  <c r="Y125" i="14"/>
  <c r="X125" i="14"/>
  <c r="Y124" i="14"/>
  <c r="X124" i="14"/>
  <c r="Y123" i="14"/>
  <c r="X123" i="14"/>
  <c r="Y122" i="14"/>
  <c r="X122" i="14"/>
  <c r="Y121" i="14"/>
  <c r="X121" i="14"/>
  <c r="Y120" i="14"/>
  <c r="X120" i="14"/>
  <c r="Y119" i="14"/>
  <c r="X119" i="14"/>
  <c r="Y118" i="14"/>
  <c r="X118" i="14"/>
  <c r="Y117" i="14"/>
  <c r="X117" i="14"/>
  <c r="Y116" i="14"/>
  <c r="X116" i="14"/>
  <c r="Y115" i="14"/>
  <c r="X115" i="14"/>
  <c r="Y114" i="14"/>
  <c r="X114" i="14"/>
  <c r="Y113" i="14"/>
  <c r="X113" i="14"/>
  <c r="Y112" i="14"/>
  <c r="X112" i="14"/>
  <c r="Y111" i="14"/>
  <c r="X111" i="14"/>
  <c r="Y110" i="14"/>
  <c r="X110" i="14"/>
  <c r="Y109" i="14"/>
  <c r="X109" i="14"/>
  <c r="Y108" i="14"/>
  <c r="X108" i="14"/>
  <c r="Y107" i="14"/>
  <c r="X107" i="14"/>
  <c r="Y106" i="14"/>
  <c r="X106" i="14"/>
  <c r="Y105" i="14"/>
  <c r="X105" i="14"/>
  <c r="Y104" i="14"/>
  <c r="X104" i="14"/>
  <c r="Y103" i="14"/>
  <c r="X103" i="14"/>
  <c r="Y102" i="14"/>
  <c r="X102" i="14"/>
  <c r="Y101" i="14"/>
  <c r="X101" i="14"/>
  <c r="Y100" i="14"/>
  <c r="X100" i="14"/>
  <c r="Y99" i="14"/>
  <c r="X99" i="14"/>
  <c r="Y98" i="14"/>
  <c r="X98" i="14"/>
  <c r="Y97" i="14"/>
  <c r="X97" i="14"/>
  <c r="Y96" i="14"/>
  <c r="X96" i="14"/>
  <c r="Y95" i="14"/>
  <c r="X95" i="14"/>
  <c r="Y94" i="14"/>
  <c r="X94" i="14"/>
  <c r="Y93" i="14"/>
  <c r="X93" i="14"/>
  <c r="Y92" i="14"/>
  <c r="X92" i="14"/>
  <c r="Y91" i="14"/>
  <c r="X91" i="14"/>
  <c r="Y90" i="14"/>
  <c r="X90" i="14"/>
  <c r="Y89" i="14"/>
  <c r="X89" i="14"/>
  <c r="Y88" i="14"/>
  <c r="X88" i="14"/>
  <c r="Y87" i="14"/>
  <c r="X87" i="14"/>
  <c r="Y86" i="14"/>
  <c r="X86" i="14"/>
  <c r="Y85" i="14"/>
  <c r="X85" i="14"/>
  <c r="Y84" i="14"/>
  <c r="X84" i="14"/>
  <c r="Y83" i="14"/>
  <c r="X83" i="14"/>
  <c r="Y82" i="14"/>
  <c r="X82" i="14"/>
  <c r="Y81" i="14"/>
  <c r="X81" i="14"/>
  <c r="Y80" i="14"/>
  <c r="X80" i="14"/>
  <c r="Y79" i="14"/>
  <c r="X79" i="14"/>
  <c r="Y78" i="14"/>
  <c r="X78" i="14"/>
  <c r="Y77" i="14"/>
  <c r="X77" i="14"/>
  <c r="Y76" i="14"/>
  <c r="X76" i="14"/>
  <c r="Y75" i="14"/>
  <c r="X75" i="14"/>
  <c r="Y74" i="14"/>
  <c r="X74" i="14"/>
  <c r="Y73" i="14"/>
  <c r="X73" i="14"/>
  <c r="Y72" i="14"/>
  <c r="X72" i="14"/>
  <c r="Y71" i="14"/>
  <c r="X71" i="14"/>
  <c r="Y70" i="14"/>
  <c r="X70" i="14"/>
  <c r="Y69" i="14"/>
  <c r="X69" i="14"/>
  <c r="Y68" i="14"/>
  <c r="X68" i="14"/>
  <c r="Y67" i="14"/>
  <c r="X67" i="14"/>
  <c r="Y66" i="14"/>
  <c r="X66" i="14"/>
  <c r="Y65" i="14"/>
  <c r="X65" i="14"/>
  <c r="Y64" i="14"/>
  <c r="X64" i="14"/>
  <c r="Y63" i="14"/>
  <c r="X63" i="14"/>
  <c r="Y62" i="14"/>
  <c r="X62" i="14"/>
  <c r="Y61" i="14"/>
  <c r="X61" i="14"/>
  <c r="Y60" i="14"/>
  <c r="X60" i="14"/>
  <c r="Y59" i="14"/>
  <c r="X59" i="14"/>
  <c r="Y58" i="14"/>
  <c r="X58" i="14"/>
  <c r="Y57" i="14"/>
  <c r="X57" i="14"/>
  <c r="Y56" i="14"/>
  <c r="X56" i="14"/>
  <c r="Y55" i="14"/>
  <c r="X55" i="14"/>
  <c r="Y54" i="14"/>
  <c r="X54" i="14"/>
  <c r="Y53" i="14"/>
  <c r="X53" i="14"/>
  <c r="Y52" i="14"/>
  <c r="X52" i="14"/>
  <c r="Y51" i="14"/>
  <c r="X51" i="14"/>
  <c r="Y50" i="14"/>
  <c r="X50" i="14"/>
  <c r="Y49" i="14"/>
  <c r="X49" i="14"/>
  <c r="Y48" i="14"/>
  <c r="X48" i="14"/>
  <c r="Y47" i="14"/>
  <c r="X47" i="14"/>
  <c r="Y46" i="14"/>
  <c r="X46" i="14"/>
  <c r="Y45" i="14"/>
  <c r="X45" i="14"/>
  <c r="Y44" i="14"/>
  <c r="X44" i="14"/>
  <c r="Y43" i="14"/>
  <c r="X43" i="14"/>
  <c r="Y42" i="14"/>
  <c r="X42" i="14"/>
  <c r="Y41" i="14"/>
  <c r="X41" i="14"/>
  <c r="Y40" i="14"/>
  <c r="X40" i="14"/>
  <c r="Y39" i="14"/>
  <c r="X39" i="14"/>
  <c r="Y38" i="14"/>
  <c r="X38" i="14"/>
  <c r="Y37" i="14"/>
  <c r="X37" i="14"/>
  <c r="Y36" i="14"/>
  <c r="X36" i="14"/>
  <c r="Y35" i="14"/>
  <c r="X35" i="14"/>
  <c r="Y34" i="14"/>
  <c r="X34" i="14"/>
  <c r="Y33" i="14"/>
  <c r="X33" i="14"/>
  <c r="Y32" i="14"/>
  <c r="X32" i="14"/>
  <c r="Y31" i="14"/>
  <c r="X31" i="14"/>
  <c r="Y30" i="14"/>
  <c r="X30" i="14"/>
  <c r="Y29" i="14"/>
  <c r="X29" i="14"/>
  <c r="E29" i="14"/>
  <c r="D29" i="14"/>
  <c r="C29" i="14"/>
  <c r="B29" i="14"/>
  <c r="Y28" i="14"/>
  <c r="X28" i="14"/>
  <c r="Y27" i="14"/>
  <c r="X27" i="14"/>
  <c r="Y26" i="14"/>
  <c r="X26" i="14"/>
  <c r="Y25" i="14"/>
  <c r="X25" i="14"/>
  <c r="Y24" i="14"/>
  <c r="X24" i="14"/>
  <c r="Y23" i="14"/>
  <c r="X23" i="14"/>
  <c r="Y22" i="14"/>
  <c r="X22" i="14"/>
  <c r="Y21" i="14"/>
  <c r="X21" i="14"/>
  <c r="Y20" i="14"/>
  <c r="X20" i="14"/>
  <c r="Y19" i="14"/>
  <c r="X19" i="14"/>
  <c r="L19" i="14"/>
  <c r="J19" i="14"/>
  <c r="Y18" i="14"/>
  <c r="X18" i="14"/>
  <c r="Y17" i="14"/>
  <c r="X17" i="14"/>
  <c r="Y16" i="14"/>
  <c r="X16" i="14"/>
  <c r="Y15" i="14"/>
  <c r="X15" i="14"/>
  <c r="Y14" i="14"/>
  <c r="X14" i="14"/>
  <c r="Y13" i="14"/>
  <c r="X13" i="14"/>
  <c r="Y12" i="14"/>
  <c r="X12" i="14"/>
  <c r="Y11" i="14"/>
  <c r="X11" i="14"/>
  <c r="Y10" i="14"/>
  <c r="X10" i="14"/>
  <c r="L10" i="14"/>
  <c r="J10" i="14"/>
  <c r="Y9" i="14"/>
  <c r="X9" i="14"/>
  <c r="Y8" i="14"/>
  <c r="X8" i="14"/>
  <c r="Y7" i="14"/>
  <c r="X7" i="14"/>
  <c r="Y6" i="14"/>
  <c r="X6" i="14"/>
  <c r="Y5" i="14"/>
  <c r="X5" i="14"/>
  <c r="Y4" i="14"/>
  <c r="X4" i="14"/>
  <c r="Y3" i="14"/>
  <c r="X3" i="14"/>
  <c r="Y2" i="14"/>
  <c r="X2" i="14"/>
  <c r="J15" i="14" l="1"/>
  <c r="J7" i="14"/>
  <c r="J5" i="14"/>
  <c r="J8" i="14"/>
  <c r="J17" i="14"/>
  <c r="J16" i="14"/>
  <c r="J6" i="14"/>
  <c r="J14" i="14"/>
  <c r="J18" i="14"/>
  <c r="J9" i="14"/>
  <c r="L5" i="14"/>
  <c r="G6" i="14"/>
  <c r="D6" i="14"/>
  <c r="L6" i="14"/>
  <c r="B5" i="14"/>
  <c r="E5" i="14"/>
  <c r="C8" i="14"/>
  <c r="F8" i="14"/>
  <c r="E8" i="14"/>
  <c r="B7" i="14"/>
  <c r="G7" i="14"/>
  <c r="D7" i="14"/>
  <c r="L7" i="14"/>
  <c r="I9" i="14"/>
  <c r="I5" i="14"/>
  <c r="I6" i="14"/>
  <c r="I7" i="14"/>
  <c r="H8" i="14"/>
  <c r="C10" i="14"/>
  <c r="H10" i="14"/>
  <c r="F10" i="14"/>
  <c r="F6" i="14"/>
  <c r="E6" i="14"/>
  <c r="C5" i="14"/>
  <c r="F5" i="14"/>
  <c r="D5" i="14"/>
  <c r="B8" i="14"/>
  <c r="G8" i="14"/>
  <c r="D8" i="14"/>
  <c r="L8" i="14"/>
  <c r="C7" i="14"/>
  <c r="F7" i="14"/>
  <c r="E7" i="14"/>
  <c r="H9" i="14"/>
  <c r="H5" i="14"/>
  <c r="H6" i="14"/>
  <c r="H7" i="14"/>
  <c r="B10" i="14"/>
  <c r="I8" i="14"/>
  <c r="E10" i="14"/>
  <c r="G10" i="14"/>
  <c r="D10" i="14"/>
  <c r="G15" i="14"/>
  <c r="F15" i="14"/>
  <c r="D15" i="14"/>
  <c r="E15" i="14"/>
  <c r="L15" i="14"/>
  <c r="B14" i="14"/>
  <c r="C14" i="14"/>
  <c r="L14" i="14"/>
  <c r="F14" i="14"/>
  <c r="D14" i="14"/>
  <c r="E14" i="14"/>
  <c r="B17" i="14"/>
  <c r="C17" i="14"/>
  <c r="G17" i="14"/>
  <c r="F17" i="14"/>
  <c r="D17" i="14"/>
  <c r="E17" i="14"/>
  <c r="L17" i="14"/>
  <c r="B16" i="14"/>
  <c r="C16" i="14"/>
  <c r="G16" i="14"/>
  <c r="F16" i="14"/>
  <c r="D16" i="14"/>
  <c r="E16" i="14"/>
  <c r="L16" i="14"/>
  <c r="H18" i="14"/>
  <c r="B47" i="14" s="1"/>
  <c r="I18" i="14"/>
  <c r="C47" i="14" s="1"/>
  <c r="H14" i="14"/>
  <c r="B43" i="14" s="1"/>
  <c r="I14" i="14"/>
  <c r="C43" i="14" s="1"/>
  <c r="H15" i="14"/>
  <c r="B44" i="14" s="1"/>
  <c r="I15" i="14"/>
  <c r="C44" i="14" s="1"/>
  <c r="H16" i="14"/>
  <c r="B45" i="14" s="1"/>
  <c r="I16" i="14"/>
  <c r="C45" i="14" s="1"/>
  <c r="B19" i="14"/>
  <c r="H17" i="14"/>
  <c r="B46" i="14" s="1"/>
  <c r="I17" i="14"/>
  <c r="C46" i="14" s="1"/>
  <c r="C19" i="14"/>
  <c r="E19" i="14"/>
  <c r="H19" i="14"/>
  <c r="B48" i="14" s="1"/>
  <c r="G19" i="14"/>
  <c r="F19" i="14"/>
  <c r="D19" i="14"/>
  <c r="I19" i="14"/>
  <c r="C48" i="14" s="1"/>
  <c r="I10" i="14"/>
  <c r="C15" i="14"/>
  <c r="K36" i="14"/>
  <c r="L38" i="14"/>
  <c r="G14" i="14"/>
  <c r="B15" i="14"/>
  <c r="C6" i="14"/>
  <c r="L18" i="14"/>
  <c r="B6" i="14"/>
  <c r="F9" i="14"/>
  <c r="B9" i="14"/>
  <c r="G5" i="14"/>
  <c r="G18" i="14"/>
  <c r="C9" i="14"/>
  <c r="J38" i="14"/>
  <c r="K37" i="14"/>
  <c r="K38" i="14"/>
  <c r="B18" i="14"/>
  <c r="K35" i="14"/>
  <c r="L9" i="14"/>
  <c r="F18" i="14"/>
  <c r="D9" i="14"/>
  <c r="E9" i="14"/>
  <c r="C18" i="14"/>
  <c r="G9" i="14"/>
  <c r="D18" i="14"/>
  <c r="E18" i="14"/>
  <c r="J35" i="14" l="1"/>
  <c r="J34" i="14"/>
  <c r="E36" i="14"/>
  <c r="E33" i="14"/>
  <c r="J33" i="14"/>
  <c r="K34" i="14"/>
  <c r="J36" i="14"/>
  <c r="J20" i="14"/>
  <c r="J37" i="14"/>
  <c r="L35" i="14"/>
  <c r="G34" i="14"/>
  <c r="D38" i="14"/>
  <c r="C33" i="14"/>
  <c r="D34" i="14"/>
  <c r="L33" i="14"/>
  <c r="D33" i="14"/>
  <c r="G35" i="14"/>
  <c r="C36" i="14"/>
  <c r="L34" i="14"/>
  <c r="L36" i="14"/>
  <c r="F34" i="14"/>
  <c r="F36" i="14"/>
  <c r="E34" i="14"/>
  <c r="C34" i="14"/>
  <c r="B35" i="14"/>
  <c r="H37" i="14"/>
  <c r="E38" i="14"/>
  <c r="K33" i="14"/>
  <c r="E35" i="14"/>
  <c r="D36" i="14"/>
  <c r="B33" i="14"/>
  <c r="F38" i="14"/>
  <c r="F33" i="14"/>
  <c r="C38" i="14"/>
  <c r="D35" i="14"/>
  <c r="G38" i="14"/>
  <c r="I37" i="14"/>
  <c r="I34" i="14"/>
  <c r="H35" i="14"/>
  <c r="H36" i="14"/>
  <c r="I35" i="14"/>
  <c r="H34" i="14"/>
  <c r="F35" i="14"/>
  <c r="G36" i="14"/>
  <c r="F20" i="14"/>
  <c r="K20" i="14"/>
  <c r="I36" i="14"/>
  <c r="C49" i="14"/>
  <c r="B49" i="14"/>
  <c r="B38" i="14"/>
  <c r="H33" i="14"/>
  <c r="C35" i="14"/>
  <c r="B36" i="14"/>
  <c r="I20" i="14"/>
  <c r="I33" i="14"/>
  <c r="H38" i="14"/>
  <c r="I38" i="14"/>
  <c r="E20" i="14"/>
  <c r="L20" i="14"/>
  <c r="H20" i="14"/>
  <c r="D20" i="14"/>
  <c r="G33" i="14"/>
  <c r="G20" i="14"/>
  <c r="L37" i="14"/>
  <c r="B37" i="14"/>
  <c r="B34" i="14"/>
  <c r="G37" i="14"/>
  <c r="F37" i="14"/>
  <c r="B20" i="14"/>
  <c r="C37" i="14"/>
  <c r="E37" i="14"/>
  <c r="D37" i="14"/>
  <c r="C20" i="14"/>
  <c r="K39" i="14" l="1"/>
  <c r="J39" i="14"/>
  <c r="L39" i="14"/>
  <c r="D39" i="14"/>
  <c r="E39" i="14"/>
  <c r="F39" i="14"/>
  <c r="I39" i="14"/>
  <c r="H39" i="14"/>
  <c r="C39" i="14"/>
  <c r="G39" i="14"/>
  <c r="B39" i="14"/>
</calcChain>
</file>

<file path=xl/comments1.xml><?xml version="1.0" encoding="utf-8"?>
<comments xmlns="http://schemas.openxmlformats.org/spreadsheetml/2006/main">
  <authors>
    <author>Shpengler, Igor</author>
  </authors>
  <commentList>
    <comment ref="F1" authorId="0" shapeId="0">
      <text>
        <r>
          <rPr>
            <b/>
            <sz val="9"/>
            <rFont val="Tahoma"/>
            <family val="2"/>
          </rPr>
          <t>Shpengler, Igor:</t>
        </r>
        <r>
          <rPr>
            <sz val="9"/>
            <rFont val="Tahoma"/>
            <family val="2"/>
          </rPr>
          <t xml:space="preserve">
You can check in LabNXT</t>
        </r>
      </text>
    </comment>
    <comment ref="G1" authorId="0" shapeId="0">
      <text>
        <r>
          <rPr>
            <b/>
            <sz val="9"/>
            <rFont val="Tahoma"/>
            <family val="2"/>
          </rPr>
          <t>Shpengler, Igor:</t>
        </r>
        <r>
          <rPr>
            <sz val="9"/>
            <rFont val="Tahoma"/>
            <family val="2"/>
          </rPr>
          <t xml:space="preserve">
Format:
Rack#/Shelf number:
R12/5, R01/1, etc.</t>
        </r>
      </text>
    </comment>
    <comment ref="X1" authorId="0" shapeId="0">
      <text>
        <r>
          <rPr>
            <b/>
            <sz val="9"/>
            <rFont val="Tahoma"/>
            <family val="2"/>
          </rPr>
          <t>Shpengler, Igor:</t>
        </r>
        <r>
          <rPr>
            <sz val="9"/>
            <rFont val="Tahoma"/>
            <family val="2"/>
          </rPr>
          <t xml:space="preserve">
The date of last data update, DD/MM/YYYY
</t>
        </r>
      </text>
    </comment>
  </commentList>
</comments>
</file>

<file path=xl/sharedStrings.xml><?xml version="1.0" encoding="utf-8"?>
<sst xmlns="http://schemas.openxmlformats.org/spreadsheetml/2006/main" count="36545" uniqueCount="7154">
  <si>
    <t>Bangalore</t>
  </si>
  <si>
    <t>Setup Name</t>
  </si>
  <si>
    <t>PCIe/USB</t>
  </si>
  <si>
    <t>Serial</t>
  </si>
  <si>
    <t>Location</t>
  </si>
  <si>
    <t>Project</t>
  </si>
  <si>
    <t>SIM System</t>
  </si>
  <si>
    <t>GNSS</t>
  </si>
  <si>
    <t>CDMA</t>
  </si>
  <si>
    <t>HW DUT</t>
  </si>
  <si>
    <t>DUT SN</t>
  </si>
  <si>
    <t>Build Type</t>
  </si>
  <si>
    <t>Time Stamp</t>
  </si>
  <si>
    <t>LabOps</t>
  </si>
  <si>
    <t>DevOps</t>
  </si>
  <si>
    <t>Comments</t>
  </si>
  <si>
    <t>BASRTL135</t>
  </si>
  <si>
    <t>PCIe</t>
  </si>
  <si>
    <t>SN2510811</t>
  </si>
  <si>
    <t>R25/7</t>
  </si>
  <si>
    <t>ICE18</t>
  </si>
  <si>
    <t>SSIM</t>
  </si>
  <si>
    <t>No</t>
  </si>
  <si>
    <t>SVB C2</t>
  </si>
  <si>
    <t>Airtel</t>
  </si>
  <si>
    <t>Pre-INT</t>
  </si>
  <si>
    <t>TDD</t>
  </si>
  <si>
    <t>Yes</t>
  </si>
  <si>
    <t>BASRTL136</t>
  </si>
  <si>
    <t>SN2388893</t>
  </si>
  <si>
    <t>R24/1</t>
  </si>
  <si>
    <t>MK4.1</t>
  </si>
  <si>
    <t>VDF</t>
  </si>
  <si>
    <t>WCDMA</t>
  </si>
  <si>
    <t>BASRTL140</t>
  </si>
  <si>
    <t>SN2510654</t>
  </si>
  <si>
    <t>R24/2</t>
  </si>
  <si>
    <t>JIO</t>
  </si>
  <si>
    <t>NA</t>
  </si>
  <si>
    <t>BASRTL141</t>
  </si>
  <si>
    <t>SN2388902</t>
  </si>
  <si>
    <t>R11/5</t>
  </si>
  <si>
    <t>BASRTL142</t>
  </si>
  <si>
    <t>SN2510574</t>
  </si>
  <si>
    <t>BASRTL143</t>
  </si>
  <si>
    <t>SN3219627</t>
  </si>
  <si>
    <t>R24/4</t>
  </si>
  <si>
    <t>BASRTL144</t>
  </si>
  <si>
    <t>SN3120191</t>
  </si>
  <si>
    <t>R24/5</t>
  </si>
  <si>
    <t>BASRTL145</t>
  </si>
  <si>
    <t>SN3219633</t>
  </si>
  <si>
    <t>R24/6</t>
  </si>
  <si>
    <t>BASRTL146</t>
  </si>
  <si>
    <t>SN3219634</t>
  </si>
  <si>
    <t>R24/7</t>
  </si>
  <si>
    <t>00440152238390 </t>
  </si>
  <si>
    <t>BASRTL148</t>
  </si>
  <si>
    <t>SN3219571</t>
  </si>
  <si>
    <t>R27/7</t>
  </si>
  <si>
    <t>MSIM</t>
  </si>
  <si>
    <t>2G</t>
  </si>
  <si>
    <t>BASRTL149</t>
  </si>
  <si>
    <t>SN3219922</t>
  </si>
  <si>
    <t>BASRTL150</t>
  </si>
  <si>
    <t>SN3219780</t>
  </si>
  <si>
    <t>R11/4</t>
  </si>
  <si>
    <t>BASRTL151</t>
  </si>
  <si>
    <t>SN3219759</t>
  </si>
  <si>
    <t>R25/2</t>
  </si>
  <si>
    <t>BASRTL152</t>
  </si>
  <si>
    <t>SN3219668</t>
  </si>
  <si>
    <t>R21/5</t>
  </si>
  <si>
    <t>BASRTL153</t>
  </si>
  <si>
    <t>3SN219929</t>
  </si>
  <si>
    <t>BASRTL154</t>
  </si>
  <si>
    <t>R10/5</t>
  </si>
  <si>
    <t>BASRTL155</t>
  </si>
  <si>
    <t>SN3219786</t>
  </si>
  <si>
    <t>R27/5</t>
  </si>
  <si>
    <t>BASRTL156</t>
  </si>
  <si>
    <t>SN3219800</t>
  </si>
  <si>
    <t>R27/6</t>
  </si>
  <si>
    <t>TMO</t>
  </si>
  <si>
    <t>BASRTL157</t>
  </si>
  <si>
    <t>SN3219903</t>
  </si>
  <si>
    <t>BASRTL158</t>
  </si>
  <si>
    <t>SN3219835</t>
  </si>
  <si>
    <t>R10/1</t>
  </si>
  <si>
    <t>BASRTL159</t>
  </si>
  <si>
    <t>SN3219843</t>
  </si>
  <si>
    <t>R11/6</t>
  </si>
  <si>
    <t>00440152237451 </t>
  </si>
  <si>
    <t>BASRTL160</t>
  </si>
  <si>
    <t>SN3219656</t>
  </si>
  <si>
    <t>R9/4</t>
  </si>
  <si>
    <t>IBIS</t>
  </si>
  <si>
    <t>A1</t>
  </si>
  <si>
    <t>BASRTL162</t>
  </si>
  <si>
    <t>SN3219930</t>
  </si>
  <si>
    <t>R7/4</t>
  </si>
  <si>
    <t>BASRTL119</t>
  </si>
  <si>
    <t>SN2794363</t>
  </si>
  <si>
    <t xml:space="preserve">R21/4 </t>
  </si>
  <si>
    <t>ICE17</t>
  </si>
  <si>
    <t>BASRTL134</t>
  </si>
  <si>
    <t>SN2510534</t>
  </si>
  <si>
    <t>R7/6</t>
  </si>
  <si>
    <t>BASRTL169</t>
  </si>
  <si>
    <t>SN2510799</t>
  </si>
  <si>
    <t>R7/2</t>
  </si>
  <si>
    <t>BASRTL171</t>
  </si>
  <si>
    <t>SN2510439</t>
  </si>
  <si>
    <t>R11/3</t>
  </si>
  <si>
    <t>BASRTL172</t>
  </si>
  <si>
    <t>SN2250569</t>
  </si>
  <si>
    <t>R27/4</t>
  </si>
  <si>
    <t>BASRTL173</t>
  </si>
  <si>
    <t>SN3219734</t>
  </si>
  <si>
    <t>R11/1</t>
  </si>
  <si>
    <t>BASRTL175</t>
  </si>
  <si>
    <t>SN3219559</t>
  </si>
  <si>
    <t>R5/6</t>
  </si>
  <si>
    <t>BASRTL174</t>
  </si>
  <si>
    <t>SN3219604</t>
  </si>
  <si>
    <t>R2/6</t>
  </si>
  <si>
    <t>BASRTL181</t>
  </si>
  <si>
    <t>SN3220275</t>
  </si>
  <si>
    <t>R1/1</t>
  </si>
  <si>
    <t>BASRTL182</t>
  </si>
  <si>
    <t>SN3220333</t>
  </si>
  <si>
    <t>R1/2</t>
  </si>
  <si>
    <t>BASRTL183</t>
  </si>
  <si>
    <t>SN3220180</t>
  </si>
  <si>
    <t>R1/3</t>
  </si>
  <si>
    <t>9513421181,'7625046470</t>
  </si>
  <si>
    <t>BASRTL184</t>
  </si>
  <si>
    <t>SN3220219</t>
  </si>
  <si>
    <t>R16/2</t>
  </si>
  <si>
    <t>BASRTL185</t>
  </si>
  <si>
    <t>SN3220268</t>
  </si>
  <si>
    <t>R1/5</t>
  </si>
  <si>
    <t>7625047663'8095011789,'</t>
  </si>
  <si>
    <t>BASRTL186</t>
  </si>
  <si>
    <t>SN3220338</t>
  </si>
  <si>
    <t>R1/6</t>
  </si>
  <si>
    <t>BASRTL187</t>
  </si>
  <si>
    <t>SN3220339</t>
  </si>
  <si>
    <t>R2/1</t>
  </si>
  <si>
    <t>BASRTL188</t>
  </si>
  <si>
    <t>SN3220345</t>
  </si>
  <si>
    <t>R2/4</t>
  </si>
  <si>
    <t>BASRTL189</t>
  </si>
  <si>
    <t>SN3220287</t>
  </si>
  <si>
    <t>R2/3</t>
  </si>
  <si>
    <t>BASRTL190</t>
  </si>
  <si>
    <t>SN3220161</t>
  </si>
  <si>
    <t>R2/2</t>
  </si>
  <si>
    <t>BASRTL191</t>
  </si>
  <si>
    <t>SN3220152</t>
  </si>
  <si>
    <t>R27/1</t>
  </si>
  <si>
    <t>BASRTL192</t>
  </si>
  <si>
    <t>SN3220284</t>
  </si>
  <si>
    <t>R27/2</t>
  </si>
  <si>
    <t>BASRTL125</t>
  </si>
  <si>
    <t>SN2794290</t>
  </si>
  <si>
    <t>BASRTL128</t>
  </si>
  <si>
    <t>SN2510607</t>
  </si>
  <si>
    <t>R25/5</t>
  </si>
  <si>
    <t>BASRTL120</t>
  </si>
  <si>
    <t>SN2794338</t>
  </si>
  <si>
    <t>R5/1</t>
  </si>
  <si>
    <t>BASRTL198</t>
  </si>
  <si>
    <t>SN3219993</t>
  </si>
  <si>
    <t>R4/1</t>
  </si>
  <si>
    <t>BASRTL199</t>
  </si>
  <si>
    <t>SN3219982</t>
  </si>
  <si>
    <t>R4/2</t>
  </si>
  <si>
    <t>BASRTL200</t>
  </si>
  <si>
    <t>SN3219863</t>
  </si>
  <si>
    <t>R4/3</t>
  </si>
  <si>
    <t>BASRTL201</t>
  </si>
  <si>
    <t>SN3219688</t>
  </si>
  <si>
    <t>R9/1</t>
  </si>
  <si>
    <t>9845086006</t>
  </si>
  <si>
    <t>BASRTL202</t>
  </si>
  <si>
    <t>SN3120211</t>
  </si>
  <si>
    <t>R9/2</t>
  </si>
  <si>
    <t>BASRTL203</t>
  </si>
  <si>
    <t>SN3219921</t>
  </si>
  <si>
    <t>R9/6</t>
  </si>
  <si>
    <t>BASRTL204</t>
  </si>
  <si>
    <t>SN3219864</t>
  </si>
  <si>
    <t>R8/6</t>
  </si>
  <si>
    <t>BASRTL205</t>
  </si>
  <si>
    <t>SN3220258</t>
  </si>
  <si>
    <t>R87/1</t>
  </si>
  <si>
    <t>BASRTL206</t>
  </si>
  <si>
    <t>SN3219821</t>
  </si>
  <si>
    <t>R10/4</t>
  </si>
  <si>
    <t>BASRTL207</t>
  </si>
  <si>
    <t>SN3220280</t>
  </si>
  <si>
    <t>R6/6</t>
  </si>
  <si>
    <t>Beijing</t>
  </si>
  <si>
    <t>CTC</t>
  </si>
  <si>
    <t>BEJSRTL102</t>
  </si>
  <si>
    <t>SRLTE</t>
  </si>
  <si>
    <t>BEJSRTL103</t>
  </si>
  <si>
    <t>R15/5</t>
  </si>
  <si>
    <t>CMCC</t>
  </si>
  <si>
    <t>BEJSRTL104</t>
  </si>
  <si>
    <t>MK5</t>
  </si>
  <si>
    <t>BEJSRTL105</t>
  </si>
  <si>
    <t>BEJSRTL106</t>
  </si>
  <si>
    <t>R10/6</t>
  </si>
  <si>
    <t>BEJSRTL107</t>
  </si>
  <si>
    <t>BEJSRTL108</t>
  </si>
  <si>
    <t>BEJSRTL110</t>
  </si>
  <si>
    <t>R1/4</t>
  </si>
  <si>
    <t>BEJSRTL111</t>
  </si>
  <si>
    <t>BEJSRTL112</t>
  </si>
  <si>
    <t>BEJSRTL115</t>
  </si>
  <si>
    <t>R6/2</t>
  </si>
  <si>
    <t>CUC</t>
  </si>
  <si>
    <t>BEJSRTL118</t>
  </si>
  <si>
    <t>BEJSRTL119</t>
  </si>
  <si>
    <t>BEJSRTL121</t>
  </si>
  <si>
    <t>BEJSRTL122</t>
  </si>
  <si>
    <t>R19/2</t>
  </si>
  <si>
    <t>BEJSRTL123</t>
  </si>
  <si>
    <t>BEJSRTL125</t>
  </si>
  <si>
    <t>R3/4</t>
  </si>
  <si>
    <t>BEJSRTL127</t>
  </si>
  <si>
    <t>R3/1</t>
  </si>
  <si>
    <t>BEJSRTL131</t>
  </si>
  <si>
    <t>BEJSRTL134</t>
  </si>
  <si>
    <t>TDS</t>
  </si>
  <si>
    <t>BEJSRTL136</t>
  </si>
  <si>
    <t>R3/3</t>
  </si>
  <si>
    <t>BEJSRTL137</t>
  </si>
  <si>
    <t>BEJSRTL138</t>
  </si>
  <si>
    <t>BEJSRTL139</t>
  </si>
  <si>
    <t>BEJSRTL140</t>
  </si>
  <si>
    <t>R4/6</t>
  </si>
  <si>
    <t>C7H751301B8HXNKKS</t>
  </si>
  <si>
    <t>BEJSRTL141</t>
  </si>
  <si>
    <t>BEJSRTL142</t>
  </si>
  <si>
    <t>R3/5</t>
  </si>
  <si>
    <t>BEJSRTL143</t>
  </si>
  <si>
    <t>BEJSRTL144</t>
  </si>
  <si>
    <t>R2/5</t>
  </si>
  <si>
    <t>BEJSRTL146</t>
  </si>
  <si>
    <t>C7H7513012RHXNKK2</t>
  </si>
  <si>
    <t>BEJSRTL147</t>
  </si>
  <si>
    <t>R3/2</t>
  </si>
  <si>
    <t>BEJSRTL148</t>
  </si>
  <si>
    <t>BEJSRTL149</t>
  </si>
  <si>
    <t>BEJSRTL151</t>
  </si>
  <si>
    <t>BEJSRTL154</t>
  </si>
  <si>
    <t>R16/6</t>
  </si>
  <si>
    <t>BEJSRTL155</t>
  </si>
  <si>
    <t>R5/3</t>
  </si>
  <si>
    <t>BEJSRTL156</t>
  </si>
  <si>
    <t>BEJSRTL157</t>
  </si>
  <si>
    <t>R19/6</t>
  </si>
  <si>
    <t>BEJSRTL158</t>
  </si>
  <si>
    <t>BEJSRTL160</t>
  </si>
  <si>
    <t>BEJSRTL161</t>
  </si>
  <si>
    <t>BEJSRTL164</t>
  </si>
  <si>
    <t>BEJSRTL165</t>
  </si>
  <si>
    <t>R5/4</t>
  </si>
  <si>
    <t>BEJSRTL168</t>
  </si>
  <si>
    <t>BEJSRTL169</t>
  </si>
  <si>
    <t>BEJSRTL170</t>
  </si>
  <si>
    <t>BEJSRTL171</t>
  </si>
  <si>
    <t>BEJSRTL172</t>
  </si>
  <si>
    <t>R12/2</t>
  </si>
  <si>
    <t>BEJSRTL174</t>
  </si>
  <si>
    <t>BEJSRTL175</t>
  </si>
  <si>
    <t>BEJSRTL176</t>
  </si>
  <si>
    <t>BEJSRTL177</t>
  </si>
  <si>
    <t>BEJSRTL178</t>
  </si>
  <si>
    <t>BEJSRTL179</t>
  </si>
  <si>
    <t>BEJSRTL180</t>
  </si>
  <si>
    <t>BEJSRTL181</t>
  </si>
  <si>
    <t>BEJSRTL182</t>
  </si>
  <si>
    <t>BEJSRTL184</t>
  </si>
  <si>
    <t>R9/3</t>
  </si>
  <si>
    <t>BEJSRTL186</t>
  </si>
  <si>
    <t>R11/2</t>
  </si>
  <si>
    <t>BEJSRTL187</t>
  </si>
  <si>
    <t>BEJSRTL188</t>
  </si>
  <si>
    <t>R19/7</t>
  </si>
  <si>
    <t>BEJSRTL189</t>
  </si>
  <si>
    <t>BEJSRTL190</t>
  </si>
  <si>
    <t>BEJSRTL191</t>
  </si>
  <si>
    <t>BEJSRTL193</t>
  </si>
  <si>
    <t>BEJSRTL194</t>
  </si>
  <si>
    <t>R12/4</t>
  </si>
  <si>
    <t>BEJSRTL195</t>
  </si>
  <si>
    <t>BEJSRTL196</t>
  </si>
  <si>
    <t>BEJSRTL197</t>
  </si>
  <si>
    <t>BEJSRTL198</t>
  </si>
  <si>
    <t>R12/1</t>
  </si>
  <si>
    <t>R13/1</t>
  </si>
  <si>
    <t>BEJSRTL203</t>
  </si>
  <si>
    <t>R13/4</t>
  </si>
  <si>
    <t>BEJSRTL204</t>
  </si>
  <si>
    <t>R13/2</t>
  </si>
  <si>
    <t>BEJSRTL205</t>
  </si>
  <si>
    <t>R13/5</t>
  </si>
  <si>
    <t>BEJSRTL207</t>
  </si>
  <si>
    <t>R14/3</t>
  </si>
  <si>
    <t>BEJSRTL208</t>
  </si>
  <si>
    <t>R14/6</t>
  </si>
  <si>
    <t>BEJSRTL209</t>
  </si>
  <si>
    <t>R14/2</t>
  </si>
  <si>
    <t>BEJSRTL211</t>
  </si>
  <si>
    <t>BEJSRTL212</t>
  </si>
  <si>
    <t>R14/1</t>
  </si>
  <si>
    <t>BEJSRTL213</t>
  </si>
  <si>
    <t>BEJSRTL214</t>
  </si>
  <si>
    <t>BEJSRTL215</t>
  </si>
  <si>
    <t>BEJSRTL216</t>
  </si>
  <si>
    <t>R14/5</t>
  </si>
  <si>
    <t>BEJSRTL217</t>
  </si>
  <si>
    <t>BEJSRTL218</t>
  </si>
  <si>
    <t>R8/4</t>
  </si>
  <si>
    <t>BEJSRTL219</t>
  </si>
  <si>
    <t>BEJSRTL220</t>
  </si>
  <si>
    <t>R8/1</t>
  </si>
  <si>
    <t>BEJSRTL221</t>
  </si>
  <si>
    <t>BEJSRTL222</t>
  </si>
  <si>
    <t>BEJSRTL224</t>
  </si>
  <si>
    <t>BEJSRTL225</t>
  </si>
  <si>
    <t>BEJSRTL226</t>
  </si>
  <si>
    <t>Hillsboro</t>
  </si>
  <si>
    <t>FDD</t>
  </si>
  <si>
    <t>HILSRTL002</t>
  </si>
  <si>
    <t>HILSRTL003</t>
  </si>
  <si>
    <t>HILSRTL004</t>
  </si>
  <si>
    <t>HILSRTL005</t>
  </si>
  <si>
    <t>HILSRTL006</t>
  </si>
  <si>
    <t>HILSRTL007</t>
  </si>
  <si>
    <t>HILSRTL009</t>
  </si>
  <si>
    <t>HILSRTL010</t>
  </si>
  <si>
    <t>HILSRTL011</t>
  </si>
  <si>
    <t>HILSRTL012</t>
  </si>
  <si>
    <t>HILSRTL013</t>
  </si>
  <si>
    <t>In progress</t>
  </si>
  <si>
    <t>HILSRTL014</t>
  </si>
  <si>
    <t>HILSRTL016</t>
  </si>
  <si>
    <t>HILSRTL017</t>
  </si>
  <si>
    <t>HILSRTL018</t>
  </si>
  <si>
    <t>HILSRTL019</t>
  </si>
  <si>
    <t>HILSRTL020</t>
  </si>
  <si>
    <t>HILSRTL021</t>
  </si>
  <si>
    <t>HILSRTL022</t>
  </si>
  <si>
    <t>HILSRTL023</t>
  </si>
  <si>
    <t>HILSRTL024</t>
  </si>
  <si>
    <t>HILSRTL025</t>
  </si>
  <si>
    <t>HILSRTL026</t>
  </si>
  <si>
    <t>ATT</t>
  </si>
  <si>
    <t>HILSRTL027</t>
  </si>
  <si>
    <t>Munich</t>
  </si>
  <si>
    <t>MUCSRTL005</t>
  </si>
  <si>
    <t>SN2794396</t>
  </si>
  <si>
    <t>MUCSRTL006</t>
  </si>
  <si>
    <t>SN2388941</t>
  </si>
  <si>
    <t>MUCSRTL007</t>
  </si>
  <si>
    <t>SN2794229</t>
  </si>
  <si>
    <t>MUCSRTL008</t>
  </si>
  <si>
    <t>SN2794344</t>
  </si>
  <si>
    <t>MUCSRTL009</t>
  </si>
  <si>
    <t>SN2794272</t>
  </si>
  <si>
    <t>MUCSRTL010</t>
  </si>
  <si>
    <t>SN2794271</t>
  </si>
  <si>
    <t>MUCSRTL011</t>
  </si>
  <si>
    <t>SN2794233</t>
  </si>
  <si>
    <t>MUCSRTL012</t>
  </si>
  <si>
    <t>SN2794392</t>
  </si>
  <si>
    <t>MUCSRTL013</t>
  </si>
  <si>
    <t>SN2794237</t>
  </si>
  <si>
    <t>MUCSRTL014</t>
  </si>
  <si>
    <t>SN2794276</t>
  </si>
  <si>
    <t>MUCSRTL023</t>
  </si>
  <si>
    <t>SN3219551</t>
  </si>
  <si>
    <t>MUCSRTL024</t>
  </si>
  <si>
    <t>SN3219616</t>
  </si>
  <si>
    <t>MUCSRTL025</t>
  </si>
  <si>
    <t>SN3120221</t>
  </si>
  <si>
    <t>MUCSRTL026</t>
  </si>
  <si>
    <t>SN3219560</t>
  </si>
  <si>
    <t>MUCSRTL027</t>
  </si>
  <si>
    <t>SN3219554</t>
  </si>
  <si>
    <t>MUCSRTL028</t>
  </si>
  <si>
    <t>SN3219563</t>
  </si>
  <si>
    <t>MUCSRTL029</t>
  </si>
  <si>
    <t>SN3219582</t>
  </si>
  <si>
    <t>MUCSRTL031</t>
  </si>
  <si>
    <t>MUCSRTL032</t>
  </si>
  <si>
    <t>MUCSRTL033</t>
  </si>
  <si>
    <t>MUCSRTL034</t>
  </si>
  <si>
    <t>MUCSRTL035</t>
  </si>
  <si>
    <t>MUCSRTL036</t>
  </si>
  <si>
    <t>MUCSRTL037</t>
  </si>
  <si>
    <t>MUCSRTL038</t>
  </si>
  <si>
    <t>MUCSRTL039</t>
  </si>
  <si>
    <t>MUCSRTL040</t>
  </si>
  <si>
    <t>MUCSRTL041</t>
  </si>
  <si>
    <t>MUCSRTL030</t>
  </si>
  <si>
    <t>MUCSRTL044</t>
  </si>
  <si>
    <t>MUCSRTL045</t>
  </si>
  <si>
    <t>MUCSRTL046</t>
  </si>
  <si>
    <t>MUCSRTL047</t>
  </si>
  <si>
    <t>MUCSRTL048</t>
  </si>
  <si>
    <t>MUCSRTL049</t>
  </si>
  <si>
    <t>MUCSRTL050</t>
  </si>
  <si>
    <t>MUCSRTL051</t>
  </si>
  <si>
    <t>MUCSRTL052</t>
  </si>
  <si>
    <t>MUCSRTL053</t>
  </si>
  <si>
    <t>SanDiego</t>
  </si>
  <si>
    <t>SDSRTL006</t>
  </si>
  <si>
    <t>SDSRTL009</t>
  </si>
  <si>
    <t>SDSRTL010</t>
  </si>
  <si>
    <t>SDSRTL011</t>
  </si>
  <si>
    <t>SDSRTL012</t>
  </si>
  <si>
    <t>SDSRTL013</t>
  </si>
  <si>
    <t>SDSRTL014</t>
  </si>
  <si>
    <t>SDSRTL016</t>
  </si>
  <si>
    <t>SDSRTL017</t>
  </si>
  <si>
    <t>SDSRTL019</t>
  </si>
  <si>
    <t>SDSRTL018</t>
  </si>
  <si>
    <t>HILSRTL028</t>
  </si>
  <si>
    <t>HILSRTL029</t>
  </si>
  <si>
    <t>HILSRTL030</t>
  </si>
  <si>
    <t>HILSRTL031</t>
  </si>
  <si>
    <t>HILSRTL032</t>
  </si>
  <si>
    <t>HILSRTL033</t>
  </si>
  <si>
    <t>HILSRTL034</t>
  </si>
  <si>
    <t>HILSRTL035</t>
  </si>
  <si>
    <t>HILSRTL036</t>
  </si>
  <si>
    <t>HILSRTL038</t>
  </si>
  <si>
    <t>HILSRTL039</t>
  </si>
  <si>
    <t>HILSRTL040</t>
  </si>
  <si>
    <t>HILSRTL041</t>
  </si>
  <si>
    <t>HILSRTL042</t>
  </si>
  <si>
    <t>HILSRTL043</t>
  </si>
  <si>
    <t>HILSRTL044</t>
  </si>
  <si>
    <t>HILSRTL045</t>
  </si>
  <si>
    <t>HILSRTL346</t>
  </si>
  <si>
    <t>MUCSRTL054</t>
  </si>
  <si>
    <t>MUCSRTL055</t>
  </si>
  <si>
    <t>MUCSRTL056</t>
  </si>
  <si>
    <t>MUCSRTL057</t>
  </si>
  <si>
    <t>MUCSRTL058</t>
  </si>
  <si>
    <t>MUCSRTL064</t>
  </si>
  <si>
    <t>MUCSRTL065</t>
  </si>
  <si>
    <t>MUCSRTL066</t>
  </si>
  <si>
    <t>MUCSRTL067</t>
  </si>
  <si>
    <t>MUCSRTL068</t>
  </si>
  <si>
    <t>MUCSRTL069</t>
  </si>
  <si>
    <t>MUCSRTL070</t>
  </si>
  <si>
    <t>MUCSRTL071</t>
  </si>
  <si>
    <t>MUCSRTL072</t>
  </si>
  <si>
    <t>MUCSRTL073</t>
  </si>
  <si>
    <t>MUCSRTL074</t>
  </si>
  <si>
    <t>MUCSRTL075</t>
  </si>
  <si>
    <t>MUCSRTL076</t>
  </si>
  <si>
    <t>MUCSRTL077</t>
  </si>
  <si>
    <t>MUCSRTL078</t>
  </si>
  <si>
    <t>MUCSRTL079</t>
  </si>
  <si>
    <t>MUCSRTL080</t>
  </si>
  <si>
    <t>MUCSRTL081</t>
  </si>
  <si>
    <t>BEJSRTL231</t>
  </si>
  <si>
    <t>BEJSRTL233</t>
  </si>
  <si>
    <t>BEJSRTL234</t>
  </si>
  <si>
    <t>BEJSRTL235</t>
  </si>
  <si>
    <t>BEJSRTL236</t>
  </si>
  <si>
    <t>BEJSRTL239</t>
  </si>
  <si>
    <t>BEJSRTL240</t>
  </si>
  <si>
    <t>HILSRTL567</t>
  </si>
  <si>
    <t>BEJSRTL241</t>
  </si>
  <si>
    <t>BEJSRTL242</t>
  </si>
  <si>
    <t>BEJSRTL244</t>
  </si>
  <si>
    <t>BEJSRTL246</t>
  </si>
  <si>
    <t>BEJSRTL247</t>
  </si>
  <si>
    <t>BEJSRTL249</t>
  </si>
  <si>
    <t>BEJSRTL255</t>
  </si>
  <si>
    <t>BEJSRTL256</t>
  </si>
  <si>
    <t>BEJSRTL259</t>
  </si>
  <si>
    <t>BEJSRTL261</t>
  </si>
  <si>
    <t>BEJSRTL264</t>
  </si>
  <si>
    <t>BASRTL222</t>
  </si>
  <si>
    <t>SN3299428</t>
  </si>
  <si>
    <t>BASRTL218</t>
  </si>
  <si>
    <t>SN3299751</t>
  </si>
  <si>
    <t>R19/1</t>
  </si>
  <si>
    <t>BASRTL219</t>
  </si>
  <si>
    <t>SN3299746</t>
  </si>
  <si>
    <t>AIRTEL</t>
  </si>
  <si>
    <t>BASRTL220</t>
  </si>
  <si>
    <t>SN3299692</t>
  </si>
  <si>
    <t>R10/2</t>
  </si>
  <si>
    <t>BASRTL221</t>
  </si>
  <si>
    <t>SN3299550</t>
  </si>
  <si>
    <t>R10/3</t>
  </si>
  <si>
    <t>BASRTL223</t>
  </si>
  <si>
    <t>SN3299722</t>
  </si>
  <si>
    <t>R25/1</t>
  </si>
  <si>
    <t>BASRTL224</t>
  </si>
  <si>
    <t>SN3299598</t>
  </si>
  <si>
    <t>7625046425,'7349781108</t>
  </si>
  <si>
    <t>BASRTL225</t>
  </si>
  <si>
    <t>SN3299638</t>
  </si>
  <si>
    <t>R4/5</t>
  </si>
  <si>
    <t>BASRTL226</t>
  </si>
  <si>
    <t>SN3299363</t>
  </si>
  <si>
    <t>BASRTL227</t>
  </si>
  <si>
    <t>SN3299619</t>
  </si>
  <si>
    <t>R24/3</t>
  </si>
  <si>
    <t>BASRTL228</t>
  </si>
  <si>
    <t>SN3299429</t>
  </si>
  <si>
    <t>BASRTL229</t>
  </si>
  <si>
    <t>SN3299618</t>
  </si>
  <si>
    <t>R19/3</t>
  </si>
  <si>
    <t>BASRTL230</t>
  </si>
  <si>
    <t>SN3299517</t>
  </si>
  <si>
    <t>R25/3</t>
  </si>
  <si>
    <t>BASRTL231</t>
  </si>
  <si>
    <t>SN3299423</t>
  </si>
  <si>
    <t>R27/3</t>
  </si>
  <si>
    <t>BASRTL232</t>
  </si>
  <si>
    <t>R23/7</t>
  </si>
  <si>
    <t>BASRTL233</t>
  </si>
  <si>
    <t>BASRTL234</t>
  </si>
  <si>
    <t>SN3299387</t>
  </si>
  <si>
    <t>BASRTL235</t>
  </si>
  <si>
    <t>SN3299490</t>
  </si>
  <si>
    <t>R19/4</t>
  </si>
  <si>
    <t>BASRTL236</t>
  </si>
  <si>
    <t>SN3299770</t>
  </si>
  <si>
    <t>R19/5</t>
  </si>
  <si>
    <t>BASRTL237</t>
  </si>
  <si>
    <t>SN3299747</t>
  </si>
  <si>
    <t>MUCSRTL098</t>
  </si>
  <si>
    <t>MUCSRTL099</t>
  </si>
  <si>
    <t>MUCSRTL100</t>
  </si>
  <si>
    <t>MUCSRTL101</t>
  </si>
  <si>
    <t>MUCSRTL102</t>
  </si>
  <si>
    <t>MUCSRTL103</t>
  </si>
  <si>
    <t>MUCSRTL104</t>
  </si>
  <si>
    <t>BASRTL248</t>
  </si>
  <si>
    <t>SN3516421</t>
  </si>
  <si>
    <t>R18/5</t>
  </si>
  <si>
    <t>BASRTL249</t>
  </si>
  <si>
    <t>SN3516372</t>
  </si>
  <si>
    <t>BASRTL250</t>
  </si>
  <si>
    <t>SN3516381</t>
  </si>
  <si>
    <t>R18/1</t>
  </si>
  <si>
    <t>BASRTL251</t>
  </si>
  <si>
    <t>SN3516375</t>
  </si>
  <si>
    <t>R21/6</t>
  </si>
  <si>
    <t>BASRTL252</t>
  </si>
  <si>
    <t>SN3316735</t>
  </si>
  <si>
    <t>R17/5</t>
  </si>
  <si>
    <t>BASRTL253</t>
  </si>
  <si>
    <t>SN3316771</t>
  </si>
  <si>
    <t>BASRTL254</t>
  </si>
  <si>
    <t>SN3316668</t>
  </si>
  <si>
    <t>R18/3</t>
  </si>
  <si>
    <t>BASRTL255</t>
  </si>
  <si>
    <t>SN3316746</t>
  </si>
  <si>
    <t>R23/5</t>
  </si>
  <si>
    <t>BASRTL256</t>
  </si>
  <si>
    <t>SN3299615</t>
  </si>
  <si>
    <t>R12/5</t>
  </si>
  <si>
    <t>BASRTL257</t>
  </si>
  <si>
    <t>SN3299416</t>
  </si>
  <si>
    <t>R18/4</t>
  </si>
  <si>
    <t>BASRTL129</t>
  </si>
  <si>
    <t>SN2510791</t>
  </si>
  <si>
    <t>R25/4</t>
  </si>
  <si>
    <t>BASRTL193</t>
  </si>
  <si>
    <t>SN3220192</t>
  </si>
  <si>
    <t>BASRTL194</t>
  </si>
  <si>
    <t>SN3220307</t>
  </si>
  <si>
    <t>BASRTL195</t>
  </si>
  <si>
    <t>SN3220267</t>
  </si>
  <si>
    <t>BASRTL196</t>
  </si>
  <si>
    <t>SN3220202</t>
  </si>
  <si>
    <t>BASRTL197</t>
  </si>
  <si>
    <t>SN3220094</t>
  </si>
  <si>
    <t>BASRTL279</t>
  </si>
  <si>
    <t>SN3633191</t>
  </si>
  <si>
    <t>BASRTL282</t>
  </si>
  <si>
    <t>SN3633143</t>
  </si>
  <si>
    <t>BASRTL124</t>
  </si>
  <si>
    <t>SN2794402</t>
  </si>
  <si>
    <t>ICE16</t>
  </si>
  <si>
    <t>BASRTW029</t>
  </si>
  <si>
    <t>USB</t>
  </si>
  <si>
    <t>SGH037TY9Y</t>
  </si>
  <si>
    <t>BASRTL132</t>
  </si>
  <si>
    <t>SN2388891</t>
  </si>
  <si>
    <t>R6/1</t>
  </si>
  <si>
    <t>BASRTL131</t>
  </si>
  <si>
    <t>SN2511041</t>
  </si>
  <si>
    <t>BASRTL139</t>
  </si>
  <si>
    <t>SN2510538</t>
  </si>
  <si>
    <t>R6/4</t>
  </si>
  <si>
    <t>BASRTL176</t>
  </si>
  <si>
    <t>SN3219607</t>
  </si>
  <si>
    <t>R7/3</t>
  </si>
  <si>
    <t>BASRTL278</t>
  </si>
  <si>
    <t>SN3633232</t>
  </si>
  <si>
    <t>Faulty congatec</t>
  </si>
  <si>
    <t>BASRTW037</t>
  </si>
  <si>
    <t>JPA0340K4W</t>
  </si>
  <si>
    <t>BASRTW038</t>
  </si>
  <si>
    <t>SGH327T45L</t>
  </si>
  <si>
    <t>R8/2</t>
  </si>
  <si>
    <t>BASRTW039</t>
  </si>
  <si>
    <t>SGH151SS7N</t>
  </si>
  <si>
    <t>R8/3</t>
  </si>
  <si>
    <t>BASRTW040</t>
  </si>
  <si>
    <t>JPA0340K55</t>
  </si>
  <si>
    <t>BASRTW002</t>
  </si>
  <si>
    <t>JPA0340K50</t>
  </si>
  <si>
    <t>R8/5</t>
  </si>
  <si>
    <t>BASRTL280</t>
  </si>
  <si>
    <t>SN3633169</t>
  </si>
  <si>
    <t>BASRTL137</t>
  </si>
  <si>
    <t>SN2510541</t>
  </si>
  <si>
    <t>BASRTW056</t>
  </si>
  <si>
    <t>SGH305RTRK</t>
  </si>
  <si>
    <t>BASRTW058</t>
  </si>
  <si>
    <t>SGH327T45D</t>
  </si>
  <si>
    <t>R12/3</t>
  </si>
  <si>
    <t>BASRTW059</t>
  </si>
  <si>
    <t>SGH151SS8Q</t>
  </si>
  <si>
    <t>BASRTW051</t>
  </si>
  <si>
    <t>SGH327T45M</t>
  </si>
  <si>
    <t>BASRTW061</t>
  </si>
  <si>
    <t>SGH327T45H</t>
  </si>
  <si>
    <t>R12/6</t>
  </si>
  <si>
    <t>BASRTL213</t>
  </si>
  <si>
    <t>SN3299533</t>
  </si>
  <si>
    <t>BASRTL214</t>
  </si>
  <si>
    <t>SN3299764</t>
  </si>
  <si>
    <t>BASRTL215</t>
  </si>
  <si>
    <t>SN3299670</t>
  </si>
  <si>
    <t>R13/3</t>
  </si>
  <si>
    <t>BASRTL216</t>
  </si>
  <si>
    <t>SN3299698</t>
  </si>
  <si>
    <t>BASRTL217</t>
  </si>
  <si>
    <t>SN3299731</t>
  </si>
  <si>
    <t>BASRTL269</t>
  </si>
  <si>
    <t>SN3516399</t>
  </si>
  <si>
    <t>BASRTL239</t>
  </si>
  <si>
    <t>SN3299595</t>
  </si>
  <si>
    <t>R14/4</t>
  </si>
  <si>
    <t>BASRTL238</t>
  </si>
  <si>
    <t>SN3299555</t>
  </si>
  <si>
    <t>BASRTW073</t>
  </si>
  <si>
    <t>SGH327T461</t>
  </si>
  <si>
    <t>BASRTW070</t>
  </si>
  <si>
    <t>SGH037TY9W</t>
  </si>
  <si>
    <t>BASRTL281</t>
  </si>
  <si>
    <t>SN3633153</t>
  </si>
  <si>
    <t>BASRTW074</t>
  </si>
  <si>
    <t>SGH037TY9R</t>
  </si>
  <si>
    <t>R15/1</t>
  </si>
  <si>
    <t>BASRTW075</t>
  </si>
  <si>
    <t>SGH327T45V</t>
  </si>
  <si>
    <t>R15/2</t>
  </si>
  <si>
    <t>BASRTW076</t>
  </si>
  <si>
    <t>SGH151SS8L</t>
  </si>
  <si>
    <t>R15/3</t>
  </si>
  <si>
    <t>BASRTW077</t>
  </si>
  <si>
    <t>SGH327T45K</t>
  </si>
  <si>
    <t>R15/4</t>
  </si>
  <si>
    <t>BASRTW078</t>
  </si>
  <si>
    <t>SGH037TVTH</t>
  </si>
  <si>
    <t>BASRTW079</t>
  </si>
  <si>
    <t>SGH151SS84</t>
  </si>
  <si>
    <t>R15/6</t>
  </si>
  <si>
    <t>BASRTL241</t>
  </si>
  <si>
    <t>SN3299455</t>
  </si>
  <si>
    <t>R16/1</t>
  </si>
  <si>
    <t>BASRTL118</t>
  </si>
  <si>
    <t>SN2794401</t>
  </si>
  <si>
    <t>BASRTL126</t>
  </si>
  <si>
    <t>SN2794377</t>
  </si>
  <si>
    <t>R16/3</t>
  </si>
  <si>
    <t>BASRTL133</t>
  </si>
  <si>
    <t>R16/4</t>
  </si>
  <si>
    <t>BASRTL208</t>
  </si>
  <si>
    <t>SN3219620</t>
  </si>
  <si>
    <t>R16/5</t>
  </si>
  <si>
    <t>BASRTW081</t>
  </si>
  <si>
    <t>SGH151SS7H</t>
  </si>
  <si>
    <t>R17/1</t>
  </si>
  <si>
    <t>BASRTW099</t>
  </si>
  <si>
    <t>SGH327T455</t>
  </si>
  <si>
    <t>R17/2</t>
  </si>
  <si>
    <t>BASRTL121</t>
  </si>
  <si>
    <t>SN2794368</t>
  </si>
  <si>
    <t>R17/3</t>
  </si>
  <si>
    <t>BASRTL123</t>
  </si>
  <si>
    <t>SN2250543</t>
  </si>
  <si>
    <t>R17/6</t>
  </si>
  <si>
    <t>BASRTW094</t>
  </si>
  <si>
    <t>SGH219R5BD</t>
  </si>
  <si>
    <t>R18/2</t>
  </si>
  <si>
    <t>BASRTW095</t>
  </si>
  <si>
    <t>SGH151SS7R</t>
  </si>
  <si>
    <t>R18/6</t>
  </si>
  <si>
    <t>BASRTW093</t>
  </si>
  <si>
    <t>SGH042SY68</t>
  </si>
  <si>
    <t>R21/1</t>
  </si>
  <si>
    <t>BASRTW062</t>
  </si>
  <si>
    <t>SGH327T45B</t>
  </si>
  <si>
    <t>R21/2</t>
  </si>
  <si>
    <t>BASRTL164</t>
  </si>
  <si>
    <t>SN3219989</t>
  </si>
  <si>
    <t>R26/5</t>
  </si>
  <si>
    <t>BASRTL161</t>
  </si>
  <si>
    <t>SN3219927</t>
  </si>
  <si>
    <t>R26/6</t>
  </si>
  <si>
    <t>BASRTL247</t>
  </si>
  <si>
    <t>SN3299379</t>
  </si>
  <si>
    <t>R23/04</t>
  </si>
  <si>
    <t>BASRTW104</t>
  </si>
  <si>
    <t>SGH327T45Z</t>
  </si>
  <si>
    <t>R23/1</t>
  </si>
  <si>
    <t>BASRTW105</t>
  </si>
  <si>
    <t>JPA0340K4Y</t>
  </si>
  <si>
    <t>R23/2</t>
  </si>
  <si>
    <t>BASRTW097</t>
  </si>
  <si>
    <t>SGH305RTRM</t>
  </si>
  <si>
    <t>R22/1</t>
  </si>
  <si>
    <t>BASRTW098</t>
  </si>
  <si>
    <t>SGH305RTRV</t>
  </si>
  <si>
    <t>R22/2</t>
  </si>
  <si>
    <t>BASRTW092</t>
  </si>
  <si>
    <t>JPA0340K54</t>
  </si>
  <si>
    <t>R22/3</t>
  </si>
  <si>
    <t>BASRTW100</t>
  </si>
  <si>
    <t>SGH327T459</t>
  </si>
  <si>
    <t>R22/4</t>
  </si>
  <si>
    <t>BASRTW101</t>
  </si>
  <si>
    <t>JPA0340K53</t>
  </si>
  <si>
    <t>R22/5</t>
  </si>
  <si>
    <t>BASRTW102</t>
  </si>
  <si>
    <t>ITP305BPD24</t>
  </si>
  <si>
    <t>R22/6</t>
  </si>
  <si>
    <t>BASRTW103</t>
  </si>
  <si>
    <t>SGH305RTRG</t>
  </si>
  <si>
    <t>R22/7</t>
  </si>
  <si>
    <t>BASRTL283</t>
  </si>
  <si>
    <t>SN3633150</t>
  </si>
  <si>
    <t>R13</t>
  </si>
  <si>
    <t>B0</t>
  </si>
  <si>
    <t>BASRTL284</t>
  </si>
  <si>
    <t>SN3633147</t>
  </si>
  <si>
    <t xml:space="preserve">R7 </t>
  </si>
  <si>
    <t>BASRTL285</t>
  </si>
  <si>
    <t>SN3633188</t>
  </si>
  <si>
    <t>BASRTL286</t>
  </si>
  <si>
    <t>SN3633146</t>
  </si>
  <si>
    <t>BASRTL287</t>
  </si>
  <si>
    <t>SN3633190</t>
  </si>
  <si>
    <t xml:space="preserve">R3 </t>
  </si>
  <si>
    <t>MUCSRTL136</t>
  </si>
  <si>
    <t>MUCSRTL137</t>
  </si>
  <si>
    <t>MUCSRTL138</t>
  </si>
  <si>
    <t>MUCSRTL139</t>
  </si>
  <si>
    <t>MUCSRTL140</t>
  </si>
  <si>
    <t>MUCSRTL141</t>
  </si>
  <si>
    <t>MUCSRTL142</t>
  </si>
  <si>
    <t>MUCSRTL131</t>
  </si>
  <si>
    <t>MUCZC3237N8D</t>
  </si>
  <si>
    <t>MUCZC4482XZS</t>
  </si>
  <si>
    <t>MUCZC2216H38</t>
  </si>
  <si>
    <t>MUCZC3237N7V</t>
  </si>
  <si>
    <t>MUCZC3186B5L</t>
  </si>
  <si>
    <t>MUCZC4482XZP</t>
  </si>
  <si>
    <t>MUCZC3242CVG</t>
  </si>
  <si>
    <t>MUCZC53028GY</t>
  </si>
  <si>
    <t>MUCZC3186B5J</t>
  </si>
  <si>
    <t>MUCZC4482Y04</t>
  </si>
  <si>
    <t>MUCZC3237N7Z</t>
  </si>
  <si>
    <t>MUCZC2216H2M</t>
  </si>
  <si>
    <t>MUCZC53028H7</t>
  </si>
  <si>
    <t>MUCZC4482XZJ</t>
  </si>
  <si>
    <t>MUCZC21653XL</t>
  </si>
  <si>
    <t>MUCZC4482XZZ</t>
  </si>
  <si>
    <t>MUCZC21653XQ</t>
  </si>
  <si>
    <t>MUCZC53028GR</t>
  </si>
  <si>
    <t>MUCZC3242CVJ</t>
  </si>
  <si>
    <t>MUCZC53028GL</t>
  </si>
  <si>
    <t>MUCZC2216H39</t>
  </si>
  <si>
    <t>MUCZC53028GV</t>
  </si>
  <si>
    <t>MUCZC2216H3L</t>
  </si>
  <si>
    <t xml:space="preserve">MUCSRTL004 </t>
  </si>
  <si>
    <t>SN2511043</t>
  </si>
  <si>
    <t>MUCSRTL059</t>
  </si>
  <si>
    <t xml:space="preserve">SN3219824 </t>
  </si>
  <si>
    <t>MUCSRTL061</t>
  </si>
  <si>
    <t xml:space="preserve">SN3219872 </t>
  </si>
  <si>
    <t>MUCSRTL062</t>
  </si>
  <si>
    <t xml:space="preserve">SN3219885  </t>
  </si>
  <si>
    <t>MUCSRTL063</t>
  </si>
  <si>
    <t>SN3219829</t>
  </si>
  <si>
    <t>MUCSRTL082</t>
  </si>
  <si>
    <t>SN3219987</t>
  </si>
  <si>
    <t>MUCSRTL084</t>
  </si>
  <si>
    <t>SN3219881</t>
  </si>
  <si>
    <t>MUCSRTL085</t>
  </si>
  <si>
    <t>SN3299560</t>
  </si>
  <si>
    <t>MUCSRTL086</t>
  </si>
  <si>
    <t>SN3299505</t>
  </si>
  <si>
    <t>MUCSRTL087</t>
  </si>
  <si>
    <t>SN3299585</t>
  </si>
  <si>
    <t>MUCSRTL089</t>
  </si>
  <si>
    <t>SN3299760</t>
  </si>
  <si>
    <t>MUCSRTL105</t>
  </si>
  <si>
    <t>SN3299589</t>
  </si>
  <si>
    <t>MUCSRTL106</t>
  </si>
  <si>
    <t>SN3299798</t>
  </si>
  <si>
    <t>MUCSRTL107</t>
  </si>
  <si>
    <t>SN3299717</t>
  </si>
  <si>
    <t>MUCSRTL108</t>
  </si>
  <si>
    <t>SN3299693</t>
  </si>
  <si>
    <t>MUCSRTL109</t>
  </si>
  <si>
    <t>SN3299573</t>
  </si>
  <si>
    <t>MUCSRTL110</t>
  </si>
  <si>
    <t>SN3299579</t>
  </si>
  <si>
    <t>MUCSRTL111</t>
  </si>
  <si>
    <t>SN3299405</t>
  </si>
  <si>
    <t>MUCSRTL112</t>
  </si>
  <si>
    <t>SN3299677</t>
  </si>
  <si>
    <t>MUCSRTL113</t>
  </si>
  <si>
    <t>SN3299337</t>
  </si>
  <si>
    <t>MUCSRTL115</t>
  </si>
  <si>
    <t>SN2510976</t>
  </si>
  <si>
    <t>MUCSRTL116</t>
  </si>
  <si>
    <t>SN3299668</t>
  </si>
  <si>
    <t>MUCSRTL117</t>
  </si>
  <si>
    <t>SN3299392</t>
  </si>
  <si>
    <t>MUCSRTL118</t>
  </si>
  <si>
    <t>SN3299519</t>
  </si>
  <si>
    <t>MUCSRTL119</t>
  </si>
  <si>
    <t>SN3299678</t>
  </si>
  <si>
    <t>MUCSRTL120</t>
  </si>
  <si>
    <t>SN3299514</t>
  </si>
  <si>
    <t>MUCSRTL121</t>
  </si>
  <si>
    <t>SN3299414</t>
  </si>
  <si>
    <t>MUCSRTL122</t>
  </si>
  <si>
    <t>SN3299561</t>
  </si>
  <si>
    <t>MUCSRTL123</t>
  </si>
  <si>
    <t>SN3299510</t>
  </si>
  <si>
    <t>MUCSRTL124</t>
  </si>
  <si>
    <t>SN3299636</t>
  </si>
  <si>
    <t>MUCSRTL125</t>
  </si>
  <si>
    <t>SN3299440</t>
  </si>
  <si>
    <t>MUCSRTL132</t>
  </si>
  <si>
    <t>SN2388868</t>
  </si>
  <si>
    <t>MUCSRTL133</t>
  </si>
  <si>
    <t>SN2388888</t>
  </si>
  <si>
    <t>MUCSRTL134</t>
  </si>
  <si>
    <t>SN2388861</t>
  </si>
  <si>
    <t>MUCSRTL135</t>
  </si>
  <si>
    <t>SN2388886</t>
  </si>
  <si>
    <t>SDSRTL026</t>
  </si>
  <si>
    <t>VZW</t>
  </si>
  <si>
    <t>SDSRTL037</t>
  </si>
  <si>
    <t>SDSRTL048</t>
  </si>
  <si>
    <t>SDSRTL051</t>
  </si>
  <si>
    <t>SDSRTL055</t>
  </si>
  <si>
    <t>SDSRTL068</t>
  </si>
  <si>
    <t>SDSRTL066</t>
  </si>
  <si>
    <t>SDSRTL069</t>
  </si>
  <si>
    <t>SDSRTL067</t>
  </si>
  <si>
    <t>SDSRTL036</t>
  </si>
  <si>
    <t>SDSRTL038</t>
  </si>
  <si>
    <t>SDSRTL053</t>
  </si>
  <si>
    <t>SDSRTL039</t>
  </si>
  <si>
    <t>SDSRTL049</t>
  </si>
  <si>
    <t>SDSRTL065</t>
  </si>
  <si>
    <t>SDSRTL070</t>
  </si>
  <si>
    <t>SDSRTL020</t>
  </si>
  <si>
    <t>SDSRTL021</t>
  </si>
  <si>
    <t>SDSRTL052</t>
  </si>
  <si>
    <t>SDSRTL027</t>
  </si>
  <si>
    <t>SDSRTL028</t>
  </si>
  <si>
    <t>SDSRTL050</t>
  </si>
  <si>
    <t>SDSRTL054</t>
  </si>
  <si>
    <t>SDSRTL057</t>
  </si>
  <si>
    <t>SDSRTL040</t>
  </si>
  <si>
    <t>SDSRTL041</t>
  </si>
  <si>
    <t>SDSRTL042</t>
  </si>
  <si>
    <t>SDSRTL043</t>
  </si>
  <si>
    <t>SDSRTL056</t>
  </si>
  <si>
    <t>SDSRTL058</t>
  </si>
  <si>
    <t>SDSRTL081</t>
  </si>
  <si>
    <t>SDSRTL082</t>
  </si>
  <si>
    <t>BASRTL258</t>
  </si>
  <si>
    <t>SN3633201</t>
  </si>
  <si>
    <t>R20/1</t>
  </si>
  <si>
    <t>BASRTL259</t>
  </si>
  <si>
    <t>SN3220249</t>
  </si>
  <si>
    <t>R20/2</t>
  </si>
  <si>
    <t>BASRTL260</t>
  </si>
  <si>
    <t>SN3633211</t>
  </si>
  <si>
    <t>R20/3</t>
  </si>
  <si>
    <t>BASRTL261</t>
  </si>
  <si>
    <t>SN3633185</t>
  </si>
  <si>
    <t>R20/4</t>
  </si>
  <si>
    <t>BASRTL262</t>
  </si>
  <si>
    <t>SN3633236</t>
  </si>
  <si>
    <t>R20/5</t>
  </si>
  <si>
    <t>BASRTL263</t>
  </si>
  <si>
    <t>SN3633219</t>
  </si>
  <si>
    <t>R20/6</t>
  </si>
  <si>
    <t>BASRTL264</t>
  </si>
  <si>
    <t>SN3633204</t>
  </si>
  <si>
    <t>R20/7</t>
  </si>
  <si>
    <t>BASRTL265</t>
  </si>
  <si>
    <t>SN3633193</t>
  </si>
  <si>
    <t>BASRTL266</t>
  </si>
  <si>
    <t>SN3633164</t>
  </si>
  <si>
    <t>BASRTL267</t>
  </si>
  <si>
    <t>SN3633166</t>
  </si>
  <si>
    <t>BASRTL268</t>
  </si>
  <si>
    <t>SN3516441</t>
  </si>
  <si>
    <t>BASRTL270</t>
  </si>
  <si>
    <t>SN3316748</t>
  </si>
  <si>
    <t>BASRTL271</t>
  </si>
  <si>
    <t>SN3516404</t>
  </si>
  <si>
    <t>BASRTL272</t>
  </si>
  <si>
    <t>SN3316788</t>
  </si>
  <si>
    <t>BASRTL273</t>
  </si>
  <si>
    <t>SN3516432</t>
  </si>
  <si>
    <t>BASRTL274</t>
  </si>
  <si>
    <t>SN3516438</t>
  </si>
  <si>
    <t>BASRTL275</t>
  </si>
  <si>
    <t>SN3299774</t>
  </si>
  <si>
    <t>BASRTL276</t>
  </si>
  <si>
    <t>SN3516443</t>
  </si>
  <si>
    <t>BASRTL277</t>
  </si>
  <si>
    <t>SN3316692</t>
  </si>
  <si>
    <t>PCie</t>
  </si>
  <si>
    <t>SN2250522</t>
  </si>
  <si>
    <t>NO</t>
  </si>
  <si>
    <t>C7H741200EUHXNKG9</t>
  </si>
  <si>
    <t>SN2510491</t>
  </si>
  <si>
    <t>SN2361030</t>
  </si>
  <si>
    <t>C7H741200EKHXNKGJ</t>
  </si>
  <si>
    <t>SN2361026</t>
  </si>
  <si>
    <t>C7H750600BVHXNKK6</t>
  </si>
  <si>
    <t>C7H74120062HXNKGR</t>
  </si>
  <si>
    <t>SN2510843</t>
  </si>
  <si>
    <t>C7H7412003YHXNKG4</t>
  </si>
  <si>
    <t>SN3220225</t>
  </si>
  <si>
    <t>SN2361081</t>
  </si>
  <si>
    <t>C7H74120083HXNKGJ</t>
  </si>
  <si>
    <t>SN3220214</t>
  </si>
  <si>
    <t>C7H741200C2HXNKG7</t>
  </si>
  <si>
    <t xml:space="preserve">Chandan is using </t>
  </si>
  <si>
    <t>SN3219932</t>
  </si>
  <si>
    <t>C7H7412007THXNKGX</t>
  </si>
  <si>
    <t>SN3219873</t>
  </si>
  <si>
    <t>C7H741200EJHXNKGK</t>
  </si>
  <si>
    <t>SN3219859</t>
  </si>
  <si>
    <t>C7H750600DCHXNKKH</t>
  </si>
  <si>
    <t>SN3219576</t>
  </si>
  <si>
    <t>C7H750600FDHXNKKA</t>
  </si>
  <si>
    <t>SN3219577</t>
  </si>
  <si>
    <t>C7H741200DXHXNKG9</t>
  </si>
  <si>
    <t>SN3120196</t>
  </si>
  <si>
    <t>C7H741200G8HXNKGP</t>
  </si>
  <si>
    <t>SN2510971</t>
  </si>
  <si>
    <t>C7H74120059HXNKGM</t>
  </si>
  <si>
    <t>SN3219773</t>
  </si>
  <si>
    <t>C7H741200DTHXNKGD</t>
  </si>
  <si>
    <t>SN3219967</t>
  </si>
  <si>
    <t>C7H741200BEHXNKGY</t>
  </si>
  <si>
    <t>SN3219962</t>
  </si>
  <si>
    <t>C7H750600DRHXNKK4</t>
  </si>
  <si>
    <t>SN3220053</t>
  </si>
  <si>
    <t>C7H750600CDHXNKKK</t>
  </si>
  <si>
    <t>SN3219683</t>
  </si>
  <si>
    <t>C7H7393001NHXNKGW</t>
  </si>
  <si>
    <t>SN3219736</t>
  </si>
  <si>
    <t>C7H750600G2HXNKKJ</t>
  </si>
  <si>
    <t>SN3220064</t>
  </si>
  <si>
    <t>C7H7412002CHXNKGT</t>
  </si>
  <si>
    <t>SN3220040</t>
  </si>
  <si>
    <t>C7H741200BBHXNKG1</t>
  </si>
  <si>
    <t>SN3219836</t>
  </si>
  <si>
    <t>C7H741200B1HXNKGB</t>
  </si>
  <si>
    <t>SN3220043</t>
  </si>
  <si>
    <t>C7H741200G4HXNKGT</t>
  </si>
  <si>
    <t>SN3219825</t>
  </si>
  <si>
    <t>C7H741200AJHXNKGX</t>
  </si>
  <si>
    <t>SN3219810</t>
  </si>
  <si>
    <t>C7H741200JTHXNKGY</t>
  </si>
  <si>
    <t>SN2510914</t>
  </si>
  <si>
    <t>C7H7412005ZHXNKGX</t>
  </si>
  <si>
    <t>SN3220328</t>
  </si>
  <si>
    <t>C7H741200EMHXNKGG</t>
  </si>
  <si>
    <t>SN3220231</t>
  </si>
  <si>
    <t>C7H74120058HXNKGN</t>
  </si>
  <si>
    <t>SN3220193</t>
  </si>
  <si>
    <t>C7H741200LVHXNKGQ</t>
  </si>
  <si>
    <t>SN3220250</t>
  </si>
  <si>
    <t>C7H74120060HXNKGT</t>
  </si>
  <si>
    <t>SN3219689</t>
  </si>
  <si>
    <t>C7H741200LRHXNKGU</t>
  </si>
  <si>
    <t>SN3219803</t>
  </si>
  <si>
    <t>C7H74120021HXNKG4</t>
  </si>
  <si>
    <t>SN3220075</t>
  </si>
  <si>
    <t>C7H750600ECHXNKKE</t>
  </si>
  <si>
    <t>Sprint</t>
  </si>
  <si>
    <t>SN3219744</t>
  </si>
  <si>
    <t>C7H74120020HXNKG5</t>
  </si>
  <si>
    <t>SN3220177</t>
  </si>
  <si>
    <t xml:space="preserve">Need Feb Time sheet by EOD tomorrow (6 Mar) </t>
  </si>
  <si>
    <t>SN3220190</t>
  </si>
  <si>
    <t>C7H7412003BHXNKGR</t>
  </si>
  <si>
    <t>SN3220237</t>
  </si>
  <si>
    <t>C7H750600G0HXNKKL</t>
  </si>
  <si>
    <t>SN3220263</t>
  </si>
  <si>
    <t>C7H741200ALHXNKGV</t>
  </si>
  <si>
    <t>SN3220255</t>
  </si>
  <si>
    <t>C7H7412001AHXNKGY</t>
  </si>
  <si>
    <t>SN3220238</t>
  </si>
  <si>
    <t>HILSRTL046</t>
  </si>
  <si>
    <t>SN3220234</t>
  </si>
  <si>
    <t>HILSRTL047</t>
  </si>
  <si>
    <t>SN3220217</t>
  </si>
  <si>
    <t>HILSRTL052</t>
  </si>
  <si>
    <t>SN3219871</t>
  </si>
  <si>
    <t>HILSRTL069</t>
  </si>
  <si>
    <t>SN3299707</t>
  </si>
  <si>
    <t>HILSRTL070</t>
  </si>
  <si>
    <t>HILSRTL071</t>
  </si>
  <si>
    <t>HILSRTL072</t>
  </si>
  <si>
    <t>HILSRTL073</t>
  </si>
  <si>
    <t>HILSRTL074</t>
  </si>
  <si>
    <t>HILSRTL075</t>
  </si>
  <si>
    <t>HILSRTL076</t>
  </si>
  <si>
    <t>HILSRTL077</t>
  </si>
  <si>
    <t>HILSRTL078</t>
  </si>
  <si>
    <t>HILSRTL079</t>
  </si>
  <si>
    <t>Congatec is dead</t>
  </si>
  <si>
    <t>HILSRTL080</t>
  </si>
  <si>
    <t>HILSRTL116</t>
  </si>
  <si>
    <t>HILSRTL117</t>
  </si>
  <si>
    <t>HILSRTL118</t>
  </si>
  <si>
    <t>HILSRTL131</t>
  </si>
  <si>
    <t>HILSRTL132</t>
  </si>
  <si>
    <t>HILSRTL133</t>
  </si>
  <si>
    <t>HILSRTL134</t>
  </si>
  <si>
    <t>HILSRTL135</t>
  </si>
  <si>
    <t>HILSRTL136</t>
  </si>
  <si>
    <t>HILSRTL137</t>
  </si>
  <si>
    <t>HILSRTL138</t>
  </si>
  <si>
    <t>HILSRTL139</t>
  </si>
  <si>
    <t>HILSRTL140</t>
  </si>
  <si>
    <t>HILSRTL141</t>
  </si>
  <si>
    <t>HILSRTL142</t>
  </si>
  <si>
    <t>00440152218107</t>
  </si>
  <si>
    <t>BEJSRTL394</t>
  </si>
  <si>
    <t>C7H7523007THXNKKH</t>
  </si>
  <si>
    <t>00440152219575</t>
  </si>
  <si>
    <t>BEJSRTL395</t>
  </si>
  <si>
    <t>00440152219490</t>
  </si>
  <si>
    <t>BEJSRTL396</t>
  </si>
  <si>
    <t>00440152219519</t>
  </si>
  <si>
    <t>BEJSRTL397</t>
  </si>
  <si>
    <t>C7H7523008ZHXNKK8</t>
  </si>
  <si>
    <t>00440152219590</t>
  </si>
  <si>
    <t>BEJSRTL398</t>
  </si>
  <si>
    <t>C7H75230080HXNKK7</t>
  </si>
  <si>
    <t>00440152219516</t>
  </si>
  <si>
    <t>BEJSRTL399</t>
  </si>
  <si>
    <t>C7H752300AKHXNKKG</t>
  </si>
  <si>
    <t>00440152219513</t>
  </si>
  <si>
    <t>BEJSRTL400</t>
  </si>
  <si>
    <t>C7H751300YMHXNKKK</t>
  </si>
  <si>
    <t>00440152218057</t>
  </si>
  <si>
    <t>BEJSRTL401</t>
  </si>
  <si>
    <t>C7H7523007ZHXNKKB</t>
  </si>
  <si>
    <t>00440152218097</t>
  </si>
  <si>
    <t>00440152217713</t>
  </si>
  <si>
    <t>00440152217743</t>
  </si>
  <si>
    <t>BEJSRTL364</t>
  </si>
  <si>
    <t>C7H751300ZEHXNKKP</t>
  </si>
  <si>
    <t>00440152217746</t>
  </si>
  <si>
    <t>BEJSRTL385</t>
  </si>
  <si>
    <t>C7H75230082HXNKK5</t>
  </si>
  <si>
    <t>00440152218143</t>
  </si>
  <si>
    <t>C7H7513012PHXNKK4</t>
  </si>
  <si>
    <t>00440152217944</t>
  </si>
  <si>
    <t>BEJSRTL388</t>
  </si>
  <si>
    <t>C7H7523007VHXNKKF</t>
  </si>
  <si>
    <t>00440152217715</t>
  </si>
  <si>
    <t>BEJSRTL390</t>
  </si>
  <si>
    <t>C7H751300ZHHXNKKL</t>
  </si>
  <si>
    <t>00440152219466</t>
  </si>
  <si>
    <t>BEJSRTL402</t>
  </si>
  <si>
    <t>C7H751300Y0HXNKK6</t>
  </si>
  <si>
    <t>00440152219704</t>
  </si>
  <si>
    <t>BEJSRTL405</t>
  </si>
  <si>
    <t>C7H7513012QHXNKK3</t>
  </si>
  <si>
    <t>00440152219709</t>
  </si>
  <si>
    <t>00440152218037</t>
  </si>
  <si>
    <t>C7H7513012LHXNKK7</t>
  </si>
  <si>
    <t>00440152218085</t>
  </si>
  <si>
    <t>BASRTL290</t>
  </si>
  <si>
    <t>SN3633231</t>
  </si>
  <si>
    <t>BASRTL291</t>
  </si>
  <si>
    <t>SN3633222</t>
  </si>
  <si>
    <t>BASRTL292</t>
  </si>
  <si>
    <t>SN3633235</t>
  </si>
  <si>
    <t>BASRTL293</t>
  </si>
  <si>
    <t>SN3633162</t>
  </si>
  <si>
    <t>BASRTL294</t>
  </si>
  <si>
    <t>SN3633225</t>
  </si>
  <si>
    <t>BASRTL295</t>
  </si>
  <si>
    <t>SN3633149</t>
  </si>
  <si>
    <t>BASRTL296</t>
  </si>
  <si>
    <t>SN3633208</t>
  </si>
  <si>
    <t>BASRTL297</t>
  </si>
  <si>
    <t>SN3633200</t>
  </si>
  <si>
    <t>BASRTL298</t>
  </si>
  <si>
    <t>SN3633141</t>
  </si>
  <si>
    <t>BASRTL299</t>
  </si>
  <si>
    <t>SN3633181</t>
  </si>
  <si>
    <t>BASRTL300</t>
  </si>
  <si>
    <t xml:space="preserve">SN2983399 </t>
  </si>
  <si>
    <t>bejsrtl047</t>
  </si>
  <si>
    <t>C0374720762T379B1</t>
  </si>
  <si>
    <t>00440152211047</t>
  </si>
  <si>
    <t>bejsrtl048</t>
  </si>
  <si>
    <t>R24/8</t>
  </si>
  <si>
    <t>C0374721195T379BS</t>
  </si>
  <si>
    <t>00440152211048</t>
  </si>
  <si>
    <t>bejsrtl049</t>
  </si>
  <si>
    <t>R24/9</t>
  </si>
  <si>
    <t>C0374720964T379BX</t>
  </si>
  <si>
    <t>00440152211049</t>
  </si>
  <si>
    <t>bejsrtl052</t>
  </si>
  <si>
    <t>R23/3</t>
  </si>
  <si>
    <t>C0374720808T379BC</t>
  </si>
  <si>
    <t>00440152211052</t>
  </si>
  <si>
    <t>bejsrtl053</t>
  </si>
  <si>
    <t>R23/4</t>
  </si>
  <si>
    <t>C0374720807T379BD</t>
  </si>
  <si>
    <t>00440152211053</t>
  </si>
  <si>
    <t>bejsrtl054</t>
  </si>
  <si>
    <t>C0374721169T379BX</t>
  </si>
  <si>
    <t>00440152211054</t>
  </si>
  <si>
    <t>bejsrtl055</t>
  </si>
  <si>
    <t>R23/6</t>
  </si>
  <si>
    <t>C0374721181T379BZ</t>
  </si>
  <si>
    <t>00440152211055</t>
  </si>
  <si>
    <t>bejsrtl056</t>
  </si>
  <si>
    <t>00440152211056</t>
  </si>
  <si>
    <t>bejsrtl057</t>
  </si>
  <si>
    <t>R23/8</t>
  </si>
  <si>
    <t>00440152211057</t>
  </si>
  <si>
    <t>bejsrtl058</t>
  </si>
  <si>
    <t>00440152211058</t>
  </si>
  <si>
    <t>bejsrtl059</t>
  </si>
  <si>
    <t>C0374721003T379BN</t>
  </si>
  <si>
    <t>00440152211059</t>
  </si>
  <si>
    <t>bejsrtl060</t>
  </si>
  <si>
    <t>C0374720927T379B6</t>
  </si>
  <si>
    <t>00440152211060</t>
  </si>
  <si>
    <t>bejsrtl061</t>
  </si>
  <si>
    <t>C0380740165T379EU</t>
  </si>
  <si>
    <t>00440152211061</t>
  </si>
  <si>
    <t>bejsrtl062</t>
  </si>
  <si>
    <t>C0380740033T379E6</t>
  </si>
  <si>
    <t>00440152211062</t>
  </si>
  <si>
    <t>bejsrtl063</t>
  </si>
  <si>
    <t>C0380740030T379E9</t>
  </si>
  <si>
    <t>13811011862</t>
  </si>
  <si>
    <t>00440152211063</t>
  </si>
  <si>
    <t>bejsrtl064</t>
  </si>
  <si>
    <t>C0374720901T379BJ</t>
  </si>
  <si>
    <t>13810863052</t>
  </si>
  <si>
    <t>00440152211064</t>
  </si>
  <si>
    <t>bejsrtl065</t>
  </si>
  <si>
    <t>C0374721339T379B4</t>
  </si>
  <si>
    <t>13810279504</t>
  </si>
  <si>
    <t>00440152211065</t>
  </si>
  <si>
    <t>bejsrtl066</t>
  </si>
  <si>
    <t>C0380740006T379EC</t>
  </si>
  <si>
    <t>00440152211066</t>
  </si>
  <si>
    <t>bejsrtl067</t>
  </si>
  <si>
    <t>C0380740013T379EC</t>
  </si>
  <si>
    <t>13811090670</t>
  </si>
  <si>
    <t>00440152211067</t>
  </si>
  <si>
    <t>bejsrtl068</t>
  </si>
  <si>
    <t>C0374720865T379BX</t>
  </si>
  <si>
    <t>13811020730</t>
  </si>
  <si>
    <t>00440152211068</t>
  </si>
  <si>
    <t>bejsrtl069</t>
  </si>
  <si>
    <t>C0374720893T379BQ</t>
  </si>
  <si>
    <t>13811020853</t>
  </si>
  <si>
    <t>00440152211069</t>
  </si>
  <si>
    <t>Site</t>
  </si>
  <si>
    <t>Equipment</t>
  </si>
  <si>
    <t>Qtty</t>
  </si>
  <si>
    <t>Operation</t>
  </si>
  <si>
    <t>From/To</t>
  </si>
  <si>
    <t>Date Shipped (DD/MM/YYYY)</t>
  </si>
  <si>
    <t>Date Received (DD/MM/YYYY)</t>
  </si>
  <si>
    <t>Who</t>
  </si>
  <si>
    <t>Serials</t>
  </si>
  <si>
    <t>Comment</t>
  </si>
  <si>
    <t>Stok Effective value</t>
  </si>
  <si>
    <t>Rack Effective value</t>
  </si>
  <si>
    <t>Congatec</t>
  </si>
  <si>
    <t>To Stock</t>
  </si>
  <si>
    <t>Pankaj</t>
  </si>
  <si>
    <t>Initial data entry</t>
  </si>
  <si>
    <t>Stock</t>
  </si>
  <si>
    <t>Stock to Rack</t>
  </si>
  <si>
    <t>HILB</t>
  </si>
  <si>
    <t>Reset</t>
  </si>
  <si>
    <t>Interposer</t>
  </si>
  <si>
    <t>Antenna</t>
  </si>
  <si>
    <t>Power</t>
  </si>
  <si>
    <t>DUT (ICE18)</t>
  </si>
  <si>
    <t>DUT(IBIS)</t>
  </si>
  <si>
    <t>DUT (ICE19</t>
  </si>
  <si>
    <t>Win PC</t>
  </si>
  <si>
    <t>Carrier</t>
  </si>
  <si>
    <t>San Diego</t>
  </si>
  <si>
    <t>Other</t>
  </si>
  <si>
    <t>Rack</t>
  </si>
  <si>
    <t>Shehryar</t>
  </si>
  <si>
    <t>Total</t>
  </si>
  <si>
    <t>Targets</t>
  </si>
  <si>
    <t>ICE18 E</t>
  </si>
  <si>
    <t>IBIS E</t>
  </si>
  <si>
    <t>ICE17 E</t>
  </si>
  <si>
    <t>ICE16 E</t>
  </si>
  <si>
    <t>ICE19 E</t>
  </si>
  <si>
    <t>Dev/Lab Ops</t>
  </si>
  <si>
    <t>ICE18 U</t>
  </si>
  <si>
    <t>ICE17 U</t>
  </si>
  <si>
    <t>ICE16 U</t>
  </si>
  <si>
    <t>ICE19 U</t>
  </si>
  <si>
    <t>Indraneel</t>
  </si>
  <si>
    <t>Gap - Component</t>
  </si>
  <si>
    <t>Gap - Set-Ups to ramp up</t>
  </si>
  <si>
    <t>Igor</t>
  </si>
  <si>
    <t>ISM:</t>
  </si>
  <si>
    <t>Shipment from Lukas</t>
  </si>
  <si>
    <t>Sridhar</t>
  </si>
  <si>
    <t>DUT ICE18</t>
  </si>
  <si>
    <t>DUT IBIS</t>
  </si>
  <si>
    <t>Remote Sites: SYD, KOR, SGP - IBIS</t>
  </si>
  <si>
    <t>Remote Sites: SYD, KOR, SGP - ICE18</t>
  </si>
  <si>
    <t>ISM: 1303910314</t>
  </si>
  <si>
    <t>Interposers for 7560 - out of 120 additionally requested</t>
  </si>
  <si>
    <t>ISM: 1303910320</t>
  </si>
  <si>
    <t>ISM: 1303910322</t>
  </si>
  <si>
    <t>Nidhi</t>
  </si>
  <si>
    <t>New MKDev5.1 for ICE18</t>
  </si>
  <si>
    <t>Congatecs for IBIS</t>
  </si>
  <si>
    <t>Power cables for IBIS</t>
  </si>
  <si>
    <t>DUTs for ICE18</t>
  </si>
  <si>
    <t>SN3633150,SN3633147,SN3633188,SN3633146,SN3633190</t>
  </si>
  <si>
    <t>Duts for IBIS</t>
  </si>
  <si>
    <t>From Stock</t>
  </si>
  <si>
    <t>Daniel</t>
  </si>
  <si>
    <t>PMRs #4, 5, 6</t>
  </si>
  <si>
    <t>Rack to Stock</t>
  </si>
  <si>
    <t>SN3299450, SN3299782, SN3299488</t>
  </si>
  <si>
    <t>Tokyo on site rack</t>
  </si>
  <si>
    <t>for IBIS</t>
  </si>
  <si>
    <t>ISM: 1303907445</t>
  </si>
  <si>
    <t>Bond no:828-SRR-566-2017</t>
  </si>
  <si>
    <t>For XMM7560 -MSIM</t>
  </si>
  <si>
    <t>SN3633201,SN3220249,SN3633211,SN3633185,SN3633236,SN3633219,SN3633204</t>
  </si>
  <si>
    <t>SN3633193,SN3633164,SN3633166,SN3516441,SN3516399,SN3316748,SN3516404,SN3316788,SN3516432,SN3516438,SN3299774,SN3516443,SN3316692</t>
  </si>
  <si>
    <t xml:space="preserve">For IBIS </t>
  </si>
  <si>
    <t>Li Xiang</t>
  </si>
  <si>
    <t>7560 MSIM</t>
  </si>
  <si>
    <r>
      <rPr>
        <sz val="11"/>
        <rFont val="Calibri"/>
        <family val="2"/>
      </rPr>
      <t>SN2510861, SN2250</t>
    </r>
    <r>
      <rPr>
        <sz val="11"/>
        <color rgb="FF000000"/>
        <rFont val="Calibri"/>
        <family val="2"/>
      </rPr>
      <t>547, SN3516393, SN3516376, SN3516380, SN3316803, SN3516361, SN3516445</t>
    </r>
  </si>
  <si>
    <t>ISM: 1303914375</t>
  </si>
  <si>
    <t>Additional allocation for MSIM</t>
  </si>
  <si>
    <t>ISM: 1303914378</t>
  </si>
  <si>
    <t>Non-filtered cables to close the ramp up gap</t>
  </si>
  <si>
    <t>ISM: 1303914376</t>
  </si>
  <si>
    <t>ISM: 1303914392</t>
  </si>
  <si>
    <t>ISM: 1303916164</t>
  </si>
  <si>
    <t>7 interposers borrowed from other teams</t>
  </si>
  <si>
    <t>SN3633231,SN3633222,SN3633235,SN3633162,SN3633225,SN3633149,SN3633208,SN3633200,SN3633141,SN3633181</t>
  </si>
  <si>
    <t>SN2983399</t>
  </si>
  <si>
    <t>replacement for faulty congatec ( for IBIS )</t>
  </si>
  <si>
    <t>Initial data entry - correction</t>
  </si>
  <si>
    <t>Additional for MSIM out of ICE19 portion</t>
  </si>
  <si>
    <t>ISM: 1303918484</t>
  </si>
  <si>
    <t>ISM: 1303917565</t>
  </si>
  <si>
    <t>ISM: 1303917567</t>
  </si>
  <si>
    <t xml:space="preserve">SN2983375,SN3516370,SN3633215,SN3516371,SN3516359
</t>
  </si>
  <si>
    <t xml:space="preserve">for thermal testing </t>
  </si>
  <si>
    <t>prepare 2 set-ups for 7272 project in Tokyo</t>
  </si>
  <si>
    <t>ISM: 1303912333</t>
  </si>
  <si>
    <t xml:space="preserve">IBIS RFDEV4 </t>
  </si>
  <si>
    <t>handed over to Sridhar</t>
  </si>
  <si>
    <t>Handed over to Jasmine</t>
  </si>
  <si>
    <t>Igor: Can we talk about this? 
Maybe we did not make entry from delivery</t>
  </si>
  <si>
    <t>Stock count -  we have 39 - not 0</t>
  </si>
  <si>
    <t>ISM: 1303919347</t>
  </si>
  <si>
    <t>ISM: 1303919334</t>
  </si>
  <si>
    <t>ISM: 1303919338</t>
  </si>
  <si>
    <t>ISM: 1303919344</t>
  </si>
  <si>
    <t>2510972, 2510460 - from ICE17</t>
  </si>
  <si>
    <t>From ICE17 / One from IBIS</t>
  </si>
  <si>
    <t>accounting for wrong initial data entered -- don’t know why -- my email had only 4 in stock whereas number here count here was 16</t>
  </si>
  <si>
    <t>ICE17 Windows Rampdown</t>
  </si>
  <si>
    <t>li Xiang</t>
  </si>
  <si>
    <t>SN3220222,SN3633247,SN3633152,SN3633224,SN3648251,SN3648215,SN3648232,SN3648384,SN3648408,SN3648462,SN3648240,SN3648214,SN3648303,SN3648404,SN3648460,SN3648300</t>
  </si>
  <si>
    <t>SN3648287,SN3648477,SN3648350,SN3648414,SN3648258,SN3648246,SN3648326,SN3648524,SN3648409,SN3648510,SN3648209,SN3648317,SN3648222,SN3648394,SN3648281,SN3648422,SN3648242,SN3648249,SN3648265,SN3648211,SN3648311,SN3648239,SN3648330,SN3648548</t>
  </si>
  <si>
    <t>Bulean</t>
  </si>
  <si>
    <t>DUT</t>
  </si>
  <si>
    <t>Operators</t>
  </si>
  <si>
    <t>Telstra</t>
  </si>
  <si>
    <t>DUT ICE19</t>
  </si>
  <si>
    <t>DUT ICE17</t>
  </si>
  <si>
    <t>bejsrtl070</t>
  </si>
  <si>
    <t>bejsrtl071</t>
  </si>
  <si>
    <t>bejsrtl072</t>
  </si>
  <si>
    <t>bejsrtl073</t>
  </si>
  <si>
    <t>bejsrtl074</t>
  </si>
  <si>
    <t>bejsrtl075</t>
  </si>
  <si>
    <t>bejsrtl076</t>
  </si>
  <si>
    <t>bejsrtl077</t>
  </si>
  <si>
    <t>bejsrtl078</t>
  </si>
  <si>
    <t>bejsrtl079</t>
  </si>
  <si>
    <t>R26/1</t>
  </si>
  <si>
    <t>R26/2</t>
  </si>
  <si>
    <t>R26/3</t>
  </si>
  <si>
    <t>R26/4</t>
  </si>
  <si>
    <t>bejsrtl080</t>
  </si>
  <si>
    <t>bejsrtl081</t>
  </si>
  <si>
    <t>bejsrtl082</t>
  </si>
  <si>
    <t>bejsrtl083</t>
  </si>
  <si>
    <t>bejsrtl084</t>
  </si>
  <si>
    <t>bejsrtl085</t>
  </si>
  <si>
    <t>bejsrtl086</t>
  </si>
  <si>
    <t>bejsrtl087</t>
  </si>
  <si>
    <t>bejsrtl088</t>
  </si>
  <si>
    <t>bejsrtl089</t>
  </si>
  <si>
    <t>bejsrtl090</t>
  </si>
  <si>
    <t>bejsrtl091</t>
  </si>
  <si>
    <t>C0374721223T3798E</t>
  </si>
  <si>
    <t>C0374721002T379BP</t>
  </si>
  <si>
    <t>C0380870599T379E5</t>
  </si>
  <si>
    <t>C0380870964T379EF</t>
  </si>
  <si>
    <t>C0380740243T379E1</t>
  </si>
  <si>
    <t>C0380870593T379EB</t>
  </si>
  <si>
    <t>C0380740163T379EW</t>
  </si>
  <si>
    <t>C0380870960T379EK</t>
  </si>
  <si>
    <t>C0380870418T379EX</t>
  </si>
  <si>
    <t>C0380740117T379E7</t>
  </si>
  <si>
    <t>00440152211070</t>
  </si>
  <si>
    <t>R26/7</t>
  </si>
  <si>
    <t>R26/8</t>
  </si>
  <si>
    <t>R26/9</t>
  </si>
  <si>
    <t>R25/6</t>
  </si>
  <si>
    <t>bejsrtl092</t>
  </si>
  <si>
    <t>C0380870492T379ED</t>
  </si>
  <si>
    <t>C0374721001T379BQ</t>
  </si>
  <si>
    <t>C0373440847T3798J</t>
  </si>
  <si>
    <t>C0374721341T379B9</t>
  </si>
  <si>
    <t>C0380740078T379EP</t>
  </si>
  <si>
    <t>C0380740073T379ER</t>
  </si>
  <si>
    <t>C0380740099T379EG</t>
  </si>
  <si>
    <t>C0380740069T379ER</t>
  </si>
  <si>
    <t>C0380740274T379ER</t>
  </si>
  <si>
    <t>C0374720930T379BA</t>
  </si>
  <si>
    <t>bejsrtl093</t>
  </si>
  <si>
    <t>bejsrtl094</t>
  </si>
  <si>
    <t>bejsrtl095</t>
  </si>
  <si>
    <t>bejsrtl096</t>
  </si>
  <si>
    <t>bejsrtl097</t>
  </si>
  <si>
    <t>bejsrtl098</t>
  </si>
  <si>
    <t>bejsrtl099</t>
  </si>
  <si>
    <t>R25/8</t>
  </si>
  <si>
    <t>R25/9</t>
  </si>
  <si>
    <t>C0380870365T379EL</t>
  </si>
  <si>
    <t>C0380870364T379EM</t>
  </si>
  <si>
    <t>C0380870495T379EA</t>
  </si>
  <si>
    <t>C0380870644T379EQ</t>
  </si>
  <si>
    <t>C0380870582T379EF</t>
  </si>
  <si>
    <t>C0380870662T379EL</t>
  </si>
  <si>
    <t>C0374720741T379B8</t>
    <phoneticPr fontId="110" type="noConversion"/>
  </si>
  <si>
    <t>C0374720716T379BC</t>
  </si>
  <si>
    <t>C0374720944T379B3</t>
  </si>
  <si>
    <t>C0380870655T379EL</t>
  </si>
  <si>
    <t>00440152211090</t>
  </si>
  <si>
    <t>00440152211091</t>
  </si>
  <si>
    <t>00440152211092</t>
  </si>
  <si>
    <t>00440152211093</t>
  </si>
  <si>
    <t>00440152211094</t>
  </si>
  <si>
    <t>00440152211095</t>
  </si>
  <si>
    <t>00440152211096</t>
    <phoneticPr fontId="110" type="noConversion"/>
  </si>
  <si>
    <t>00440152211097</t>
  </si>
  <si>
    <t>00440152211098</t>
  </si>
  <si>
    <t>00440152211099</t>
  </si>
  <si>
    <t>00440152211071</t>
    <phoneticPr fontId="115" type="noConversion"/>
  </si>
  <si>
    <t>00440152211072</t>
  </si>
  <si>
    <t>00440152211073</t>
  </si>
  <si>
    <t>00440152211074</t>
  </si>
  <si>
    <t>00440152211075</t>
  </si>
  <si>
    <t>00440152211076</t>
  </si>
  <si>
    <t>00440152211077</t>
  </si>
  <si>
    <t>00440152211078</t>
  </si>
  <si>
    <t>00440152211079</t>
  </si>
  <si>
    <t>00440152211080</t>
  </si>
  <si>
    <t>00440152211081</t>
  </si>
  <si>
    <t>00440152211082</t>
  </si>
  <si>
    <t>00440152211083</t>
  </si>
  <si>
    <t>00440152211084</t>
  </si>
  <si>
    <t>00440152211085</t>
  </si>
  <si>
    <t>00440152211086</t>
  </si>
  <si>
    <t>00440152211087</t>
  </si>
  <si>
    <t>00440152211088</t>
  </si>
  <si>
    <t>00440152211089</t>
  </si>
  <si>
    <t>bejsrtl041</t>
  </si>
  <si>
    <t>bejsrtl042</t>
  </si>
  <si>
    <t>bejsrtl043</t>
  </si>
  <si>
    <t>bejsrtl044</t>
  </si>
  <si>
    <t>C0380740110T379EE</t>
  </si>
  <si>
    <t>C0380740046T379E0</t>
    <phoneticPr fontId="115" type="noConversion"/>
  </si>
  <si>
    <t>C0380740143T379E2</t>
    <phoneticPr fontId="115" type="noConversion"/>
  </si>
  <si>
    <t>C0380740247T379EX</t>
    <phoneticPr fontId="115" type="noConversion"/>
  </si>
  <si>
    <t>00440152211041</t>
  </si>
  <si>
    <t>00440152211042</t>
    <phoneticPr fontId="115" type="noConversion"/>
  </si>
  <si>
    <t>00440152211043</t>
  </si>
  <si>
    <t>00440152211044</t>
  </si>
  <si>
    <t>C0380740175T379ER</t>
    <phoneticPr fontId="114" type="noConversion"/>
  </si>
  <si>
    <t xml:space="preserve"> C0380740192T379EN   </t>
    <phoneticPr fontId="114" type="noConversion"/>
  </si>
  <si>
    <t>bejsrtl030</t>
  </si>
  <si>
    <t>bejsrtl031</t>
  </si>
  <si>
    <t>bejsrtl032</t>
  </si>
  <si>
    <t>bejsrtl033</t>
  </si>
  <si>
    <t>bejsrtl034</t>
  </si>
  <si>
    <t>bejsrtl035</t>
  </si>
  <si>
    <t>bejsrtl036</t>
  </si>
  <si>
    <t>bejsrtl037</t>
  </si>
  <si>
    <t>bejsrtl038</t>
  </si>
  <si>
    <t>bejsrtl039</t>
  </si>
  <si>
    <t>bejsrtl040</t>
  </si>
  <si>
    <t>For IBIS</t>
  </si>
  <si>
    <t>BEJSRTL423</t>
  </si>
  <si>
    <t>BEJSRTL152</t>
  </si>
  <si>
    <t>BEJSRTL153</t>
  </si>
  <si>
    <t>BEJSRTL163</t>
  </si>
  <si>
    <t>BEJSRTL210</t>
  </si>
  <si>
    <t>BEJSRTL228</t>
  </si>
  <si>
    <t>BEJSRTL229</t>
  </si>
  <si>
    <t>BEJSRTL230</t>
  </si>
  <si>
    <t>BEJSRTL232</t>
  </si>
  <si>
    <t>BEJSRTL237</t>
  </si>
  <si>
    <t>BEJSRTL238</t>
  </si>
  <si>
    <t>BEJSRTL248</t>
  </si>
  <si>
    <t>BEJSRTL250</t>
  </si>
  <si>
    <t>BEJSRTL251</t>
  </si>
  <si>
    <t>BEJSRTL252</t>
  </si>
  <si>
    <t>BEJSRTL253</t>
  </si>
  <si>
    <t>BEJSRTL254</t>
  </si>
  <si>
    <t>BEJSRTL257</t>
  </si>
  <si>
    <t>BEJSRTL258</t>
  </si>
  <si>
    <t>BEJSRTL260</t>
  </si>
  <si>
    <t>BEJSRTL262</t>
  </si>
  <si>
    <t>BEJSRTL263</t>
  </si>
  <si>
    <t>BEJSRTL265</t>
  </si>
  <si>
    <t>BEJSRTL266</t>
  </si>
  <si>
    <t>BEJSRTL267</t>
  </si>
  <si>
    <t>BEJSRTL268</t>
  </si>
  <si>
    <t>BEJSRTL270</t>
  </si>
  <si>
    <t>BEJSRTL272</t>
  </si>
  <si>
    <t>BEJSRTL274</t>
  </si>
  <si>
    <t>BEJSRTL275</t>
  </si>
  <si>
    <t>BEJSRTL276</t>
  </si>
  <si>
    <t>BEJSRTL277</t>
  </si>
  <si>
    <t>BEJSRTL278</t>
  </si>
  <si>
    <t>BEJSRTL279</t>
  </si>
  <si>
    <t>BEJSRTL280</t>
  </si>
  <si>
    <t>BEJSRTL281</t>
  </si>
  <si>
    <t>BEJSRTL282</t>
  </si>
  <si>
    <t>BEJSRTL283</t>
  </si>
  <si>
    <t>BEJSRTL284</t>
  </si>
  <si>
    <t>BEJSRTL285</t>
  </si>
  <si>
    <t>BEJSRTL286</t>
  </si>
  <si>
    <t>BEJSRTL287</t>
  </si>
  <si>
    <t>BEJSRTL288</t>
  </si>
  <si>
    <t>BEJSRTL289</t>
  </si>
  <si>
    <t>BEJSRTL290</t>
  </si>
  <si>
    <t>BEJSRTL291</t>
  </si>
  <si>
    <t>BEJSRTL292</t>
  </si>
  <si>
    <t>BEJSRTL293</t>
  </si>
  <si>
    <t>BEJSRTL294</t>
  </si>
  <si>
    <t>BEJSRTL295</t>
  </si>
  <si>
    <t>BEJSRTL296</t>
  </si>
  <si>
    <t>BEJSRTL301</t>
  </si>
  <si>
    <t>BEJSRTL302</t>
  </si>
  <si>
    <t>BEJSRTL303</t>
  </si>
  <si>
    <t>BEJSRTL305</t>
  </si>
  <si>
    <t>BEJSRTL306</t>
  </si>
  <si>
    <t>BEJSRTL307</t>
  </si>
  <si>
    <t>BEJSRTL308</t>
  </si>
  <si>
    <t>BEJSRTL310</t>
  </si>
  <si>
    <t>BEJSRTL311</t>
  </si>
  <si>
    <t>BEJSRTL313</t>
  </si>
  <si>
    <t>BEJSRTL314</t>
  </si>
  <si>
    <t>BEJSRTL315</t>
  </si>
  <si>
    <t>BEJSRTL316</t>
  </si>
  <si>
    <t>BEJSRTL318</t>
  </si>
  <si>
    <t>BEJSRTL319</t>
  </si>
  <si>
    <t>BEJSRTL321</t>
  </si>
  <si>
    <t>BEJSRTL322</t>
  </si>
  <si>
    <t>BEJSRTL323</t>
  </si>
  <si>
    <t>BEJSRTL324</t>
  </si>
  <si>
    <t>BEJSRTL325</t>
  </si>
  <si>
    <t>BEJSRTL326</t>
  </si>
  <si>
    <t>BEJSRTL327</t>
  </si>
  <si>
    <t>BEJSRTL328</t>
  </si>
  <si>
    <t>BEJSRTL329</t>
  </si>
  <si>
    <t>BEJSRTL330</t>
  </si>
  <si>
    <t>BEJSRTL331</t>
  </si>
  <si>
    <t>BEJSRTL332</t>
  </si>
  <si>
    <t>BEJSRTL333</t>
  </si>
  <si>
    <t>BEJSRTL334</t>
  </si>
  <si>
    <t>BEJSRTL337</t>
  </si>
  <si>
    <t>BEJSRTL338</t>
  </si>
  <si>
    <t>BEJSRTL339</t>
  </si>
  <si>
    <t>BEJSRTL340</t>
  </si>
  <si>
    <t>BEJSRTL341</t>
  </si>
  <si>
    <t>BEJSRTL345</t>
  </si>
  <si>
    <t>BEJSRTL346</t>
  </si>
  <si>
    <t>BEJSRTL348</t>
  </si>
  <si>
    <t>BEJSRTL350</t>
  </si>
  <si>
    <t>BEJSRTL354</t>
  </si>
  <si>
    <t>BEJSRTL356</t>
  </si>
  <si>
    <t>BEJSRTL357</t>
  </si>
  <si>
    <t>BEJSRTL359</t>
  </si>
  <si>
    <t>BEJSRTL362</t>
  </si>
  <si>
    <t>BEJSRTL363</t>
  </si>
  <si>
    <t>BEJSRTL365</t>
  </si>
  <si>
    <t>BEJSRTL366</t>
  </si>
  <si>
    <t>BEJSRTL367</t>
  </si>
  <si>
    <t>BEJSRTL368</t>
  </si>
  <si>
    <t>BEJSRTL369</t>
  </si>
  <si>
    <t>BEJSRTL370</t>
  </si>
  <si>
    <t>BEJSRTL371</t>
  </si>
  <si>
    <t>BEJSRTL372</t>
  </si>
  <si>
    <t>BEJSRTL373</t>
  </si>
  <si>
    <t>BEJSRTL375</t>
  </si>
  <si>
    <t>BEJSRTL378</t>
  </si>
  <si>
    <t>BEJSRTL381</t>
  </si>
  <si>
    <t>BEJSRTL386</t>
  </si>
  <si>
    <t>BEJSRTL392</t>
  </si>
  <si>
    <t>BEJSRTL393</t>
  </si>
  <si>
    <t>BEJSRTL408</t>
  </si>
  <si>
    <t>BEJSRTL409</t>
  </si>
  <si>
    <t>BEJSRTL420</t>
  </si>
  <si>
    <t>BEJSRTL421</t>
  </si>
  <si>
    <t>BEJSRTL424</t>
  </si>
  <si>
    <t>BEJSRTL427</t>
  </si>
  <si>
    <t>BEJSRTL428</t>
  </si>
  <si>
    <t>BEJSRTL429</t>
  </si>
  <si>
    <t>BEJSRTL432</t>
  </si>
  <si>
    <t>BEJSRTL435</t>
  </si>
  <si>
    <t>HYBRID</t>
  </si>
  <si>
    <t>CATR</t>
  </si>
  <si>
    <t>CTC+CUC</t>
  </si>
  <si>
    <t>C7H751301BEHXNKKL</t>
  </si>
  <si>
    <t>C7H7513017PHXNKKP</t>
  </si>
  <si>
    <t>C7H7523008THXNKKE</t>
  </si>
  <si>
    <t>C7H7523007XHXNKKD</t>
  </si>
  <si>
    <t>C7H751301CEHXNKKH</t>
  </si>
  <si>
    <t>C7H75130128HXNKKK</t>
  </si>
  <si>
    <t>C7H751301B7HXNKKT</t>
  </si>
  <si>
    <t>C7H751301B9HXNKKR</t>
  </si>
  <si>
    <t>C7H7513012AHXNKKH</t>
  </si>
  <si>
    <t>C7H75130156HXNKKC</t>
  </si>
  <si>
    <t>C7H75130171HXNKKB</t>
  </si>
  <si>
    <t>00440152219524</t>
  </si>
  <si>
    <t>00440152218088</t>
  </si>
  <si>
    <t>00440152219594</t>
  </si>
  <si>
    <t>00440152218030</t>
  </si>
  <si>
    <t>00440152217717</t>
  </si>
  <si>
    <t>00440152218114</t>
  </si>
  <si>
    <t>00440152219738</t>
  </si>
  <si>
    <t>00440152218033</t>
  </si>
  <si>
    <t>00440152218056</t>
  </si>
  <si>
    <t>00440152218040</t>
  </si>
  <si>
    <t>00440152219774</t>
  </si>
  <si>
    <t>00440152218115</t>
  </si>
  <si>
    <t>00440152219589</t>
  </si>
  <si>
    <t>00440152218145</t>
  </si>
  <si>
    <t>00440152218031</t>
  </si>
  <si>
    <t>00440152218061</t>
  </si>
  <si>
    <t>00440152219699</t>
  </si>
  <si>
    <t>00440152218012</t>
  </si>
  <si>
    <t>00440152218147</t>
  </si>
  <si>
    <t>00440152219470</t>
  </si>
  <si>
    <t>00440152218011</t>
  </si>
  <si>
    <t>00440152218060</t>
  </si>
  <si>
    <t>00440152219654</t>
  </si>
  <si>
    <t>C7H75130187HXNKK2</t>
  </si>
  <si>
    <t>C7H751300ZFHXNKKN</t>
  </si>
  <si>
    <t>C7H7523008WHXNKKB</t>
  </si>
  <si>
    <t>00440152219479</t>
  </si>
  <si>
    <t>00440152218133</t>
  </si>
  <si>
    <t>00440152217934</t>
  </si>
  <si>
    <t>00440152219523</t>
  </si>
  <si>
    <t>00440152219460</t>
  </si>
  <si>
    <t>BEJSRTL439</t>
  </si>
  <si>
    <t>C7H741200JSHXNKGZ</t>
  </si>
  <si>
    <t>C7H7513012BHXNKKG</t>
  </si>
  <si>
    <t>C7H7513012CHXNKKF</t>
  </si>
  <si>
    <t>C7H7523008QHXNKKH</t>
  </si>
  <si>
    <t>C7H7523008VHXNKKC</t>
  </si>
  <si>
    <t>C7H751301A7HXNKKW</t>
  </si>
  <si>
    <t>C7H751301A4HXNKKZ</t>
  </si>
  <si>
    <t>C7H751301A1HXNKK2</t>
  </si>
  <si>
    <t>C7H7513018THXNKKG</t>
  </si>
  <si>
    <t>C7H75130178HXNKK4</t>
  </si>
  <si>
    <t>C7H751301ARHXNKKC</t>
  </si>
  <si>
    <t>C7H751301CDHXNKKJ</t>
  </si>
  <si>
    <t>C7H751301CPHXNKK8</t>
  </si>
  <si>
    <t>C7H7513018YHXNKKB</t>
  </si>
  <si>
    <t>C7H7513019ZHXNKK7</t>
  </si>
  <si>
    <t>C7H751301CQHXNKK7</t>
  </si>
  <si>
    <t>C7H7513018SHXNKKH</t>
  </si>
  <si>
    <t>C7H751301A3HXNKK0</t>
  </si>
  <si>
    <t>C7H751300YJHXNKKN</t>
  </si>
  <si>
    <t>C7H7513012MHXNKK6</t>
  </si>
  <si>
    <t>C7H7523007UHXNKKG</t>
  </si>
  <si>
    <t>C7H75230084HXNKK3</t>
  </si>
  <si>
    <t>C7H7513017MHXNKKR</t>
  </si>
  <si>
    <t>C7H7513012NHXNKK5</t>
  </si>
  <si>
    <t>C7H751300ZZHXNKK4</t>
  </si>
  <si>
    <t>C7H751300ZXHXNKK6</t>
  </si>
  <si>
    <t>00440152219591</t>
  </si>
  <si>
    <t>00440152219608</t>
  </si>
  <si>
    <t>00440152217931</t>
  </si>
  <si>
    <t>00440152218082</t>
  </si>
  <si>
    <t>00440152219578</t>
  </si>
  <si>
    <t>00440152219598</t>
  </si>
  <si>
    <t>00440152219491</t>
  </si>
  <si>
    <t>00440152218005</t>
  </si>
  <si>
    <t>00440152218150</t>
  </si>
  <si>
    <t>00440152219658</t>
  </si>
  <si>
    <t>00440152219495</t>
  </si>
  <si>
    <t>00440152219656</t>
  </si>
  <si>
    <t>00440152218071</t>
  </si>
  <si>
    <t>00440152218067</t>
  </si>
  <si>
    <t>00440152218026</t>
  </si>
  <si>
    <t>00440152218116</t>
  </si>
  <si>
    <t>00440152219768</t>
  </si>
  <si>
    <t>00440152217742</t>
  </si>
  <si>
    <t>00440152219522</t>
  </si>
  <si>
    <t>00440152218077</t>
  </si>
  <si>
    <t>00440152218076</t>
  </si>
  <si>
    <t>00440152218078</t>
  </si>
  <si>
    <t>00440152219820</t>
  </si>
  <si>
    <t>ISM: 1303918490</t>
  </si>
  <si>
    <t>?</t>
  </si>
  <si>
    <t>ISM1303918614</t>
  </si>
  <si>
    <t>BASRTL301</t>
  </si>
  <si>
    <t>SN3220127</t>
  </si>
  <si>
    <t>SN2250546,SN2427718,SN3299695,SN3299373,SN2510668,SN2510699,SN2510626</t>
  </si>
  <si>
    <t>being used by DevOps</t>
  </si>
  <si>
    <t>being used by  DevOps</t>
  </si>
  <si>
    <t>SN3219632</t>
  </si>
  <si>
    <t>SN3219597</t>
  </si>
  <si>
    <t>SN3219956</t>
  </si>
  <si>
    <t>SN3220080</t>
  </si>
  <si>
    <t>SN3219992</t>
  </si>
  <si>
    <t>SN3219705</t>
  </si>
  <si>
    <t>SN3219867</t>
  </si>
  <si>
    <t>SN3220058</t>
  </si>
  <si>
    <t>SN3219545</t>
  </si>
  <si>
    <t>SN3220051</t>
  </si>
  <si>
    <t>SN3219877</t>
  </si>
  <si>
    <t>SN3219958</t>
  </si>
  <si>
    <t>SN3219740</t>
  </si>
  <si>
    <t>SN3219832</t>
  </si>
  <si>
    <t>SN3219737</t>
  </si>
  <si>
    <t>SN3220055</t>
  </si>
  <si>
    <t>SN3219886</t>
  </si>
  <si>
    <t>SN3219943</t>
  </si>
  <si>
    <t>SN3219696</t>
  </si>
  <si>
    <t>SN3219896</t>
  </si>
  <si>
    <t>SN3219643</t>
  </si>
  <si>
    <t>SN3219685</t>
  </si>
  <si>
    <t>SN3219700</t>
  </si>
  <si>
    <t>SN3219936</t>
  </si>
  <si>
    <t>SN3219887</t>
  </si>
  <si>
    <t>SN3219830</t>
  </si>
  <si>
    <t>SN3219960</t>
  </si>
  <si>
    <t>SN3219920</t>
  </si>
  <si>
    <t>SN3219954</t>
  </si>
  <si>
    <t>SN3219657</t>
  </si>
  <si>
    <t>SN3219565</t>
  </si>
  <si>
    <t>SN3120178</t>
  </si>
  <si>
    <t>SN3219913</t>
  </si>
  <si>
    <t>SN3220329</t>
  </si>
  <si>
    <t>SN3220149</t>
  </si>
  <si>
    <t>SN3219817</t>
  </si>
  <si>
    <t>SN3219818</t>
  </si>
  <si>
    <t>SN3219805</t>
  </si>
  <si>
    <t>SN3219973</t>
  </si>
  <si>
    <t>SN3220325</t>
  </si>
  <si>
    <t>SN3220294</t>
  </si>
  <si>
    <t>SN3219965</t>
  </si>
  <si>
    <t>SN3220183</t>
  </si>
  <si>
    <t>SN3120176</t>
  </si>
  <si>
    <t>SN3219985</t>
  </si>
  <si>
    <t>SN3220070</t>
  </si>
  <si>
    <t xml:space="preserve">SN3220162 </t>
  </si>
  <si>
    <t xml:space="preserve">SN3220246 </t>
  </si>
  <si>
    <t xml:space="preserve">SN3299675 </t>
  </si>
  <si>
    <t xml:space="preserve">SN3299464 </t>
  </si>
  <si>
    <t xml:space="preserve">SN3299475 </t>
  </si>
  <si>
    <t xml:space="preserve">SN3299430 </t>
  </si>
  <si>
    <t>11.1.371 R1/2</t>
  </si>
  <si>
    <t>11.1.371 R1/4</t>
  </si>
  <si>
    <t>11.1.371 R2/1</t>
  </si>
  <si>
    <t>11.1.371 R3/1</t>
  </si>
  <si>
    <t>11.1.371 R3/2</t>
  </si>
  <si>
    <t>11.1.371 R3/3</t>
  </si>
  <si>
    <t>11.1.371 R3/4</t>
  </si>
  <si>
    <t>11.1.371 R4/1</t>
  </si>
  <si>
    <t>11.1.371 R4/3</t>
  </si>
  <si>
    <t>11.1.371 R4/4</t>
  </si>
  <si>
    <t>11.1.371 R5/1</t>
  </si>
  <si>
    <t>11.1.371 R5/2</t>
  </si>
  <si>
    <t>11.1.371 R5/3</t>
  </si>
  <si>
    <t>11.1.371 R5/5</t>
  </si>
  <si>
    <t>11.1.371 R6/1</t>
  </si>
  <si>
    <t>11.1.371 R8/2</t>
  </si>
  <si>
    <t>11.1.371 R8/5</t>
  </si>
  <si>
    <t>11.1.371 R9/1</t>
  </si>
  <si>
    <t>11.1.371 R10/1</t>
  </si>
  <si>
    <t>11.1.371 R10/3</t>
  </si>
  <si>
    <t>11.1.371 R10/5</t>
  </si>
  <si>
    <t>11.1.371 HartR15/6</t>
  </si>
  <si>
    <t>11.1.268 R1/1</t>
  </si>
  <si>
    <t>11.1.268 R1/2</t>
  </si>
  <si>
    <t>11.1.268 R1/3</t>
  </si>
  <si>
    <t>11.1.268 R1/4</t>
  </si>
  <si>
    <t>11.1.268 R2/1</t>
  </si>
  <si>
    <t>11.1.268 R2/3</t>
  </si>
  <si>
    <t>11.1.268 R2/5</t>
  </si>
  <si>
    <t>11.1.268 R3/2</t>
  </si>
  <si>
    <t>11.1.268 RDSR2/1</t>
  </si>
  <si>
    <t>11.1.268 RDSR2/2</t>
  </si>
  <si>
    <t>11.1.268 RDSR2/3</t>
  </si>
  <si>
    <t>11.1.268 ICER1/1</t>
  </si>
  <si>
    <t>11.1.268 ICER1/4</t>
  </si>
  <si>
    <t>11.1.268 ICER1/3</t>
  </si>
  <si>
    <t>11.1.268 ICER1/5</t>
  </si>
  <si>
    <t>11.1.268 ICER1/6</t>
  </si>
  <si>
    <t>11.1.268 ICER1/7</t>
  </si>
  <si>
    <t>11.1.268 ICER3/1</t>
  </si>
  <si>
    <t>11.1.268 R1/5</t>
  </si>
  <si>
    <t>NBG</t>
  </si>
  <si>
    <t>11.1.268 ICER2/3</t>
  </si>
  <si>
    <t>SN2510407</t>
  </si>
  <si>
    <t>SN2510780</t>
  </si>
  <si>
    <t>SN2510731</t>
  </si>
  <si>
    <t>SN2510525</t>
  </si>
  <si>
    <t>SN2250476</t>
  </si>
  <si>
    <t>SN2510793</t>
  </si>
  <si>
    <t>SN2511034</t>
  </si>
  <si>
    <t>SN2794399</t>
  </si>
  <si>
    <t>removed from rack</t>
  </si>
  <si>
    <t>SN2794401,SN3219929,SN2388891,SN2510735</t>
  </si>
  <si>
    <t>ICE17 ramp down</t>
  </si>
  <si>
    <t>A0</t>
  </si>
  <si>
    <t>Additional allocation for MSIM, 3648534, 3648327, 3648206, 3648270, 3648549, 3633233, 3648450, 3648256, 3648443, 3648411</t>
  </si>
  <si>
    <t>ICE18 ramp up</t>
  </si>
  <si>
    <t>Data correction</t>
  </si>
  <si>
    <t>Indranee;/Ashish/Antonio</t>
  </si>
  <si>
    <t>SN3299531</t>
  </si>
  <si>
    <t>HILSRTL143</t>
  </si>
  <si>
    <t>HILSRTL144</t>
  </si>
  <si>
    <t>HILSRTL145</t>
  </si>
  <si>
    <t>HILSRTL146</t>
  </si>
  <si>
    <t>HILSRTL157</t>
  </si>
  <si>
    <t>HILSRTL159</t>
  </si>
  <si>
    <t>HILSRTL161</t>
  </si>
  <si>
    <t>HILSRTL162</t>
  </si>
  <si>
    <t>HILSRTL163</t>
  </si>
  <si>
    <t>HILSRTL169</t>
  </si>
  <si>
    <t>HILSRTL170</t>
  </si>
  <si>
    <t>HILSRTL172</t>
  </si>
  <si>
    <t>HILSRTL173</t>
  </si>
  <si>
    <t>HILSRTL174</t>
  </si>
  <si>
    <t>HILSRTL175</t>
  </si>
  <si>
    <t>HILSRTL176</t>
  </si>
  <si>
    <t>C7H7412006BHXNKGG</t>
  </si>
  <si>
    <t>C7H750600CFHXNKKH</t>
  </si>
  <si>
    <t>C7H741200AZHXNKGG</t>
  </si>
  <si>
    <t>C7H7412002VHXNKGA</t>
  </si>
  <si>
    <t>C7H741200AHHXNKGY</t>
  </si>
  <si>
    <t>C7H7412005BHXNKGK</t>
  </si>
  <si>
    <t>SN3299627</t>
  </si>
  <si>
    <t>SN3299538</t>
  </si>
  <si>
    <t>SN3299583</t>
  </si>
  <si>
    <t>SN3299672</t>
  </si>
  <si>
    <t>SN3299783</t>
  </si>
  <si>
    <t>SN3299516</t>
  </si>
  <si>
    <t>SN3299522</t>
  </si>
  <si>
    <t>SN3299433</t>
  </si>
  <si>
    <t>SN2794342</t>
  </si>
  <si>
    <t>SN2510778</t>
  </si>
  <si>
    <t>SN2510434</t>
  </si>
  <si>
    <t>SN3516415</t>
  </si>
  <si>
    <t>SN3516416</t>
  </si>
  <si>
    <t>SN3516384</t>
  </si>
  <si>
    <t>SN3516440</t>
  </si>
  <si>
    <t>SN3516743</t>
  </si>
  <si>
    <t>SN3299438</t>
  </si>
  <si>
    <t>SN3299417</t>
  </si>
  <si>
    <t>SN3299358</t>
  </si>
  <si>
    <t>SN3516390</t>
  </si>
  <si>
    <t>SN3516355</t>
  </si>
  <si>
    <t>SN3516437</t>
  </si>
  <si>
    <t>SN2794331</t>
  </si>
  <si>
    <t>SN2510444</t>
  </si>
  <si>
    <t>SN3219969</t>
  </si>
  <si>
    <t>SN2510977</t>
  </si>
  <si>
    <t>SN2794279</t>
  </si>
  <si>
    <t>SN2794366</t>
  </si>
  <si>
    <t>SN2510942</t>
  </si>
  <si>
    <t>SN2510560</t>
  </si>
  <si>
    <t>SN2794411</t>
  </si>
  <si>
    <t>SN2510563</t>
  </si>
  <si>
    <t>SN2794292</t>
  </si>
  <si>
    <t>SN2794382</t>
  </si>
  <si>
    <t>SN2510761</t>
  </si>
  <si>
    <t>SN2510492</t>
  </si>
  <si>
    <t>SN2510595</t>
  </si>
  <si>
    <t>C7H750600DKHXNKKA</t>
  </si>
  <si>
    <t>C7H750600E6HXNKKL</t>
  </si>
  <si>
    <t>C7H750600CAHXNKKN</t>
  </si>
  <si>
    <t>C7H750600ETHXNKKZ</t>
  </si>
  <si>
    <t>C7H750600EQHXNKK2</t>
  </si>
  <si>
    <t>C7H750600E7HXNKKK</t>
  </si>
  <si>
    <t>C7H750600DGHXNKKD</t>
  </si>
  <si>
    <t>C7H750600E8HXNKKJ</t>
  </si>
  <si>
    <t>C7H750600C3HXNKKV</t>
  </si>
  <si>
    <t>C7H750600EPHXNKK3</t>
  </si>
  <si>
    <t>C7H750600E2HXNKKQ</t>
  </si>
  <si>
    <t>C7H750600CGHXNKKG</t>
  </si>
  <si>
    <t>C7H750600D0HXNKKV</t>
  </si>
  <si>
    <t>C7H750600CMHXNKKB</t>
  </si>
  <si>
    <t>C7H750600CKHXNKKD</t>
  </si>
  <si>
    <t>C7H750600DDHXNKKG</t>
  </si>
  <si>
    <t>C7H750600D1HXNKKU</t>
  </si>
  <si>
    <t>C7H750600CHHXNKKF</t>
  </si>
  <si>
    <t>C7H750600DAHXNKKK</t>
  </si>
  <si>
    <t>C7H750600BXHXNKK4</t>
  </si>
  <si>
    <t>C7H750600FTHXNKKW</t>
  </si>
  <si>
    <t>C7H750600F2HXNKKM</t>
  </si>
  <si>
    <t>C7H750600G1HXNKKK</t>
  </si>
  <si>
    <t>C7H750600FJHXNKK5</t>
  </si>
  <si>
    <t>C7H750600EWHXNKKW</t>
  </si>
  <si>
    <t>RACK TO STOCK</t>
  </si>
  <si>
    <t>ICE 17 Ramp Down</t>
  </si>
  <si>
    <t>ICE 17 Converted to ICE18</t>
  </si>
  <si>
    <t>ICE17 Ramp Down</t>
  </si>
  <si>
    <t>ICE17 converted to ICE18</t>
  </si>
  <si>
    <t>INDRANEEL</t>
  </si>
  <si>
    <t>ICE 18 RAMP UP</t>
  </si>
  <si>
    <t>iNDRANEEL</t>
  </si>
  <si>
    <t>25 INTEPORSERS SHIPPED TO US BY MUNICH</t>
  </si>
  <si>
    <t>50 TO BE SHIPPED TO SD</t>
  </si>
  <si>
    <t>Antonio/Indraneel</t>
  </si>
  <si>
    <t>Gone for Perst Rework to SD- So ramp up cannot be done.</t>
  </si>
  <si>
    <t>BASRTL302</t>
  </si>
  <si>
    <t>BASRTL303</t>
  </si>
  <si>
    <t>BASRTL304</t>
  </si>
  <si>
    <t>BASRTL305</t>
  </si>
  <si>
    <t>BASRTL306</t>
  </si>
  <si>
    <t>SN3648530</t>
  </si>
  <si>
    <t>SN3648250</t>
  </si>
  <si>
    <t>SN3648208</t>
  </si>
  <si>
    <t>SN3648360</t>
  </si>
  <si>
    <t xml:space="preserve">SN3648537 </t>
  </si>
  <si>
    <t xml:space="preserve">SN3220127,SN3648530,SN3648250,SN3648208,SN3648360,SN3648537 </t>
  </si>
  <si>
    <t>7480 ramp down</t>
  </si>
  <si>
    <t>SN3648457</t>
  </si>
  <si>
    <t>SN3648447</t>
  </si>
  <si>
    <t>SN3633284</t>
  </si>
  <si>
    <t>SN3633291</t>
  </si>
  <si>
    <t>BASRTL307</t>
  </si>
  <si>
    <t>BASRTL308</t>
  </si>
  <si>
    <t>BASRTL309</t>
  </si>
  <si>
    <t>BASRTL310</t>
  </si>
  <si>
    <t>BASRTL311</t>
  </si>
  <si>
    <t>BASRTL312</t>
  </si>
  <si>
    <t>BASRTL313</t>
  </si>
  <si>
    <t>BASRTL314</t>
  </si>
  <si>
    <t>BASRTL315</t>
  </si>
  <si>
    <t>BASRTL316</t>
  </si>
  <si>
    <t>BASRTL317</t>
  </si>
  <si>
    <t>BASRTL318</t>
  </si>
  <si>
    <t>BASRTL319</t>
  </si>
  <si>
    <t>BASRTL320</t>
  </si>
  <si>
    <t>BASRTL321</t>
  </si>
  <si>
    <t>BASRTL322</t>
  </si>
  <si>
    <t>BASRTL323</t>
  </si>
  <si>
    <t>BASRTL324</t>
  </si>
  <si>
    <t>BASRTL325</t>
  </si>
  <si>
    <t>BASRTL326</t>
  </si>
  <si>
    <t>SN3633183</t>
  </si>
  <si>
    <t>SN3633186</t>
  </si>
  <si>
    <t>SN3633144</t>
  </si>
  <si>
    <t>SN3633148</t>
  </si>
  <si>
    <t>SN3633216</t>
  </si>
  <si>
    <t>SN3633187</t>
  </si>
  <si>
    <t>SN3633160</t>
  </si>
  <si>
    <t>SN3633234</t>
  </si>
  <si>
    <t>SN3633192</t>
  </si>
  <si>
    <t>SN3633165</t>
  </si>
  <si>
    <t>SN3633184</t>
  </si>
  <si>
    <t>SN3633244</t>
  </si>
  <si>
    <t>SN3633246</t>
  </si>
  <si>
    <t>SN3633157</t>
  </si>
  <si>
    <t>SN3633174</t>
  </si>
  <si>
    <t>SN3633223</t>
  </si>
  <si>
    <t>Correction in initial data -- had these in storage</t>
  </si>
  <si>
    <t>From ICE17 Ramp down</t>
  </si>
  <si>
    <t>SDSRTL008</t>
  </si>
  <si>
    <t>SDSRTL022</t>
  </si>
  <si>
    <t>SDSRTL023</t>
  </si>
  <si>
    <t>SDSRTL024</t>
  </si>
  <si>
    <t>SDSRTL025</t>
  </si>
  <si>
    <t>SDSRTL029</t>
  </si>
  <si>
    <t>SDSRTL031</t>
  </si>
  <si>
    <t>SDSRTL032</t>
  </si>
  <si>
    <t>SDSRTL033</t>
  </si>
  <si>
    <t>SDSRTL034</t>
  </si>
  <si>
    <t>SDSRTL035</t>
  </si>
  <si>
    <t>SDSRTL044</t>
  </si>
  <si>
    <t>SDSRTL045</t>
  </si>
  <si>
    <t>SDSRTL046</t>
  </si>
  <si>
    <t>SDSRTL047</t>
  </si>
  <si>
    <t>SDSRTL060</t>
  </si>
  <si>
    <t>SDSRTL061</t>
  </si>
  <si>
    <t>SDSRTL062</t>
  </si>
  <si>
    <t>SDSRTL064</t>
  </si>
  <si>
    <t>SDSRTL075</t>
  </si>
  <si>
    <t>SDSRTL077</t>
  </si>
  <si>
    <t>SDSRTL078</t>
  </si>
  <si>
    <t>SDSRTL079</t>
  </si>
  <si>
    <t>SDSRTL080</t>
  </si>
  <si>
    <t>SDSRTL083</t>
  </si>
  <si>
    <t>SDSRTL084</t>
  </si>
  <si>
    <t>SDSRTL085</t>
  </si>
  <si>
    <t>SDSRTL086</t>
  </si>
  <si>
    <t>SDSRTL087</t>
  </si>
  <si>
    <t>SDSRTL088</t>
  </si>
  <si>
    <t>SDSRTL089</t>
  </si>
  <si>
    <t>SDSRTL090</t>
  </si>
  <si>
    <t>SDSRTL091</t>
  </si>
  <si>
    <t>SDSRTL092</t>
  </si>
  <si>
    <t>SDSRTL093</t>
  </si>
  <si>
    <t>SDSRTL094</t>
  </si>
  <si>
    <t>SDSRTL106</t>
  </si>
  <si>
    <t>SDSRTL107</t>
  </si>
  <si>
    <t>SDSRTL108</t>
  </si>
  <si>
    <t>SDSRTL110</t>
  </si>
  <si>
    <t>SDSRTL111</t>
  </si>
  <si>
    <t>SDSRTL112</t>
  </si>
  <si>
    <t>SDSRTL113</t>
  </si>
  <si>
    <t>SDSRTL114</t>
  </si>
  <si>
    <t>SDSRTL115</t>
  </si>
  <si>
    <t>SDSRTL116</t>
  </si>
  <si>
    <t>SDSRTL117</t>
  </si>
  <si>
    <t>SDSRTL118</t>
  </si>
  <si>
    <t>SDSRTL119</t>
  </si>
  <si>
    <t>SDSRTL120</t>
  </si>
  <si>
    <t>SDSRTL121</t>
  </si>
  <si>
    <t>SDSRTL122</t>
  </si>
  <si>
    <t>SDSRTL123</t>
  </si>
  <si>
    <t>SDSRTL124</t>
  </si>
  <si>
    <t>SDSRTL125</t>
  </si>
  <si>
    <t>New portion shipment from MUC</t>
  </si>
  <si>
    <t>Reworked from Tony</t>
  </si>
  <si>
    <t>PCIE</t>
  </si>
  <si>
    <t>BEJSRTL304</t>
  </si>
  <si>
    <t>BEJSRTL440</t>
  </si>
  <si>
    <t>BEJSRTL449</t>
  </si>
  <si>
    <t>BEJSRTL458</t>
  </si>
  <si>
    <t>BEJSRTL459</t>
  </si>
  <si>
    <t>BEJSRTL460</t>
  </si>
  <si>
    <t>just install os ,not put to the rack</t>
  </si>
  <si>
    <t>C7H7513019FHXNKKR</t>
  </si>
  <si>
    <t>C7H751301ALHXNKKH</t>
  </si>
  <si>
    <t>C7H751301CMHXNKKA</t>
  </si>
  <si>
    <t>C7H752300AFHXNKKL</t>
  </si>
  <si>
    <t>C7H751301BCHXNKKN</t>
  </si>
  <si>
    <t>Broken</t>
  </si>
  <si>
    <t>SIM1 Number</t>
  </si>
  <si>
    <t>IMEI_1</t>
  </si>
  <si>
    <t>Experimental Setup to be Moved Out of Rack</t>
  </si>
  <si>
    <t>Taken down to Stock</t>
  </si>
  <si>
    <t xml:space="preserve">With Script Team </t>
  </si>
  <si>
    <t>BEJSRTL101</t>
  </si>
  <si>
    <t>BEJSRTL135</t>
  </si>
  <si>
    <t>BEJSRTL145</t>
  </si>
  <si>
    <t>BEJSRTL162</t>
  </si>
  <si>
    <t>BEJSRTL166</t>
  </si>
  <si>
    <t>BEJSRTL167</t>
  </si>
  <si>
    <t>C7H7523008CHXNKKV</t>
  </si>
  <si>
    <t>C7H751301AGHXNKKM</t>
  </si>
  <si>
    <t>C7H75130191HXNKK5</t>
  </si>
  <si>
    <t>C7H7523009UHXNKKA</t>
  </si>
  <si>
    <t>C7H751301CBHXNKKL</t>
  </si>
  <si>
    <t>00440152264314</t>
  </si>
  <si>
    <t>00440152218836</t>
  </si>
  <si>
    <t>00440152218988</t>
  </si>
  <si>
    <t>00440152264380</t>
  </si>
  <si>
    <t>00440152264384</t>
  </si>
  <si>
    <t>00440152219007</t>
  </si>
  <si>
    <t>00440152218965</t>
  </si>
  <si>
    <t>00440152264303</t>
  </si>
  <si>
    <t>00440152264368</t>
  </si>
  <si>
    <t>00440152218930</t>
  </si>
  <si>
    <t>00440152264365</t>
  </si>
  <si>
    <t>00440152218617</t>
  </si>
  <si>
    <t>00440152219014</t>
  </si>
  <si>
    <t>00440152218643</t>
  </si>
  <si>
    <t>00440152264528</t>
  </si>
  <si>
    <t>00440152218933</t>
  </si>
  <si>
    <t>00440152264280</t>
  </si>
  <si>
    <t>00440152218956</t>
  </si>
  <si>
    <t>00440152218613</t>
  </si>
  <si>
    <t>00440152218940</t>
  </si>
  <si>
    <t>00440152264564</t>
  </si>
  <si>
    <t>00440152219015</t>
  </si>
  <si>
    <t>00440152264379</t>
  </si>
  <si>
    <t>00440152219045</t>
  </si>
  <si>
    <t>00440152218931</t>
  </si>
  <si>
    <t>00440152218961</t>
  </si>
  <si>
    <t>00440152264489</t>
  </si>
  <si>
    <t>00440152264309</t>
  </si>
  <si>
    <t>00440152218912</t>
  </si>
  <si>
    <t>00440152218646</t>
  </si>
  <si>
    <t>00440152218610</t>
  </si>
  <si>
    <t>00440152219047</t>
  </si>
  <si>
    <t>00440152264260</t>
  </si>
  <si>
    <t>00440152218911</t>
  </si>
  <si>
    <t>00440152218960</t>
  </si>
  <si>
    <t>00440152264444</t>
  </si>
  <si>
    <t>00440152264259</t>
  </si>
  <si>
    <t>00440152219033</t>
  </si>
  <si>
    <t>00440152218834</t>
  </si>
  <si>
    <t>00440152264313</t>
  </si>
  <si>
    <t>00440152264250</t>
  </si>
  <si>
    <t>00440152264394</t>
  </si>
  <si>
    <t>00440152219037</t>
  </si>
  <si>
    <t>00440152264381</t>
  </si>
  <si>
    <t>00440152264398</t>
  </si>
  <si>
    <t>00440152218831</t>
  </si>
  <si>
    <t>00440152218982</t>
  </si>
  <si>
    <t>00440152218648</t>
  </si>
  <si>
    <t>00440152264388</t>
  </si>
  <si>
    <t>00440152264281</t>
  </si>
  <si>
    <t>00440152218905</t>
  </si>
  <si>
    <t>00440152219050</t>
  </si>
  <si>
    <t>00440152264448</t>
  </si>
  <si>
    <t>00440152264285</t>
  </si>
  <si>
    <t>00440152264446</t>
  </si>
  <si>
    <t>00440152218971</t>
  </si>
  <si>
    <t>00440152218967</t>
  </si>
  <si>
    <t>00440152218926</t>
  </si>
  <si>
    <t>00440152219016</t>
  </si>
  <si>
    <t>00440152264558</t>
  </si>
  <si>
    <t>00440152218642</t>
  </si>
  <si>
    <t>00440152264312</t>
  </si>
  <si>
    <t>00440152218977</t>
  </si>
  <si>
    <t>00440152218976</t>
  </si>
  <si>
    <t>00440152218978</t>
  </si>
  <si>
    <t>00440152264610</t>
  </si>
  <si>
    <t>00440152219043</t>
  </si>
  <si>
    <t>00440152218615</t>
  </si>
  <si>
    <t>00440152264256</t>
  </si>
  <si>
    <t>00440152218997</t>
  </si>
  <si>
    <t>00440152264306</t>
  </si>
  <si>
    <t>00440152218957</t>
  </si>
  <si>
    <t>00440152264494</t>
  </si>
  <si>
    <t>00440152264499</t>
  </si>
  <si>
    <t>00440152218844</t>
  </si>
  <si>
    <t>00440152218985</t>
  </si>
  <si>
    <t>00440152218937</t>
  </si>
  <si>
    <t>00440152218614</t>
  </si>
  <si>
    <t>00440152219031</t>
  </si>
  <si>
    <t>00440152219092</t>
  </si>
  <si>
    <t>00440452217936</t>
  </si>
  <si>
    <t>00440152217710</t>
  </si>
  <si>
    <t>00440152219604</t>
  </si>
  <si>
    <t>00440152218065</t>
  </si>
  <si>
    <t>00440152218137</t>
  </si>
  <si>
    <t>00440152217748</t>
  </si>
  <si>
    <t>00400152217714</t>
  </si>
  <si>
    <t>00440152218131</t>
  </si>
  <si>
    <t>00440152218192</t>
  </si>
  <si>
    <t>bejsrtl245</t>
    <phoneticPr fontId="131" type="noConversion"/>
  </si>
  <si>
    <t>bejsrtl351</t>
    <phoneticPr fontId="131" type="noConversion"/>
  </si>
  <si>
    <t>bejsrtl358</t>
    <phoneticPr fontId="131" type="noConversion"/>
  </si>
  <si>
    <t>bejsrtl389</t>
    <phoneticPr fontId="131" type="noConversion"/>
  </si>
  <si>
    <t>bejsrtl374</t>
    <phoneticPr fontId="131" type="noConversion"/>
  </si>
  <si>
    <t>bejsrtl391</t>
    <phoneticPr fontId="131" type="noConversion"/>
  </si>
  <si>
    <t>bejsrtl465</t>
    <phoneticPr fontId="131" type="noConversion"/>
  </si>
  <si>
    <t>bejsrtl466</t>
    <phoneticPr fontId="131" type="noConversion"/>
  </si>
  <si>
    <t>C076503000KH2WH1</t>
    <phoneticPr fontId="115" type="noConversion"/>
  </si>
  <si>
    <t>C0765140012OHHH1</t>
    <phoneticPr fontId="115" type="noConversion"/>
  </si>
  <si>
    <t>bejsrtl403</t>
    <phoneticPr fontId="131" type="noConversion"/>
  </si>
  <si>
    <t>R36/6</t>
    <phoneticPr fontId="115" type="noConversion"/>
  </si>
  <si>
    <t>R35/6</t>
    <phoneticPr fontId="115" type="noConversion"/>
  </si>
  <si>
    <t>R36/3</t>
    <phoneticPr fontId="115" type="noConversion"/>
  </si>
  <si>
    <t>R35/8</t>
    <phoneticPr fontId="115" type="noConversion"/>
  </si>
  <si>
    <t>R37/7</t>
    <phoneticPr fontId="115" type="noConversion"/>
  </si>
  <si>
    <t>R37/3</t>
    <phoneticPr fontId="115" type="noConversion"/>
  </si>
  <si>
    <t>R36/5</t>
    <phoneticPr fontId="115" type="noConversion"/>
  </si>
  <si>
    <t>R29/1</t>
    <phoneticPr fontId="115" type="noConversion"/>
  </si>
  <si>
    <t>R15</t>
  </si>
  <si>
    <t>R22</t>
  </si>
  <si>
    <t>R25</t>
  </si>
  <si>
    <t>R26</t>
  </si>
  <si>
    <t>R23</t>
  </si>
  <si>
    <t>R18</t>
  </si>
  <si>
    <t>R5</t>
  </si>
  <si>
    <t>ISM: 1303932388</t>
  </si>
  <si>
    <t>ISM: 1303932381</t>
  </si>
  <si>
    <t>ISM: 1303935284</t>
  </si>
  <si>
    <t>ISM: 1303935289</t>
  </si>
  <si>
    <t>C7H75130129HXNKKJ</t>
  </si>
  <si>
    <t>C7H751301CCHXNKKK</t>
  </si>
  <si>
    <t>C7H751301BAHXNKKQ</t>
  </si>
  <si>
    <t>C7H751301B2HXNKKY</t>
  </si>
  <si>
    <t>C7H751301A5HXNKKY</t>
  </si>
  <si>
    <t>C7H7523008RHXNKKG</t>
  </si>
  <si>
    <t>C7H751301AYHXNKK5</t>
  </si>
  <si>
    <t>C7H7513018RHXNKKJ</t>
  </si>
  <si>
    <t>C7H751301BBHXNKKP</t>
  </si>
  <si>
    <t>C7H7513013GHXNKK8</t>
  </si>
  <si>
    <t>C7H751301BVHXNKK5</t>
  </si>
  <si>
    <t>C7H751301AQHXNKKD</t>
  </si>
  <si>
    <t>C7H7523009THXNKKB</t>
  </si>
  <si>
    <t>C7H751301CRHXNKK6</t>
  </si>
  <si>
    <t>BEJSRTL425</t>
  </si>
  <si>
    <t>2F/R43/7</t>
  </si>
  <si>
    <t>BEJSRTL430</t>
  </si>
  <si>
    <t>2F/R44/ 5</t>
  </si>
  <si>
    <t>BEJSRTL431</t>
  </si>
  <si>
    <t>2F/R44/ 2</t>
  </si>
  <si>
    <t>BEJSRTL433</t>
  </si>
  <si>
    <t>2F/R43/1</t>
  </si>
  <si>
    <t>BEJSRTL434</t>
  </si>
  <si>
    <t>2F/R43/2</t>
  </si>
  <si>
    <t>BEJSRTL441</t>
  </si>
  <si>
    <t>2F/R43/4</t>
  </si>
  <si>
    <t>BEJSRTL445</t>
  </si>
  <si>
    <t>2F/R44/ 6</t>
  </si>
  <si>
    <t>BEJSRTL446</t>
  </si>
  <si>
    <t>2F/R43/5</t>
  </si>
  <si>
    <t>BEJSRTL447</t>
  </si>
  <si>
    <t>2F/R43/3</t>
  </si>
  <si>
    <t>BEJSRTL450</t>
  </si>
  <si>
    <t>BEJSRTL451</t>
  </si>
  <si>
    <t>2F/R44/ 4</t>
  </si>
  <si>
    <t>BEJSRTL452</t>
  </si>
  <si>
    <t xml:space="preserve">2F/R45/ 3 </t>
  </si>
  <si>
    <t>BEJSRTL453</t>
  </si>
  <si>
    <t>2F/R44/ 7</t>
  </si>
  <si>
    <t>BEJSRTL454</t>
  </si>
  <si>
    <t>2F/R45/ 2</t>
  </si>
  <si>
    <t>BEJSRTL456</t>
  </si>
  <si>
    <t>BEJSRTL457</t>
  </si>
  <si>
    <t>2F/R44/1</t>
  </si>
  <si>
    <t>BEJSRTL461</t>
  </si>
  <si>
    <t>2F/R44/ 3</t>
  </si>
  <si>
    <t>BEJSRTL464</t>
  </si>
  <si>
    <t>00440152218073</t>
  </si>
  <si>
    <t>00440152218973</t>
  </si>
  <si>
    <t>00440152219592</t>
  </si>
  <si>
    <t>00440152264382</t>
  </si>
  <si>
    <t>00440152264283</t>
  </si>
  <si>
    <t>00440152219618</t>
  </si>
  <si>
    <t>00440152264408</t>
  </si>
  <si>
    <t>C7H7523008LHXNKKM</t>
  </si>
  <si>
    <t>C7H7523009RHXNKKD</t>
  </si>
  <si>
    <t>C7H75230086HXNKK1</t>
  </si>
  <si>
    <t>C7H752300A8HXNKKT</t>
  </si>
  <si>
    <t>C7H7523009MHXNKKH</t>
  </si>
  <si>
    <t>C7H752300AGHXNKKK</t>
  </si>
  <si>
    <t>C7H752300A9HXNKKS</t>
  </si>
  <si>
    <t>C7H752300A7HXNKKU</t>
  </si>
  <si>
    <t>C7H752300AHHXNKKJ</t>
  </si>
  <si>
    <t>C7H7523008AHXNKKX</t>
  </si>
  <si>
    <t>C7H752300A6HXNKKV</t>
  </si>
  <si>
    <t>C7H7523008GHXNKKR</t>
  </si>
  <si>
    <t>C7H7523008DHXNKKU</t>
  </si>
  <si>
    <t>C7H7523009XHXNKK7</t>
  </si>
  <si>
    <t>C7H752300ACHXNKKP</t>
  </si>
  <si>
    <t>C7H7523009LHXNKKJ</t>
  </si>
  <si>
    <t>SUS</t>
  </si>
  <si>
    <t>M.2_7360</t>
  </si>
  <si>
    <t>4917610563401</t>
  </si>
  <si>
    <t>491605103513</t>
  </si>
  <si>
    <t>491706842108</t>
  </si>
  <si>
    <t>491724736869</t>
  </si>
  <si>
    <t>4917619020192</t>
  </si>
  <si>
    <t>4917610506587</t>
  </si>
  <si>
    <t>4917610259174</t>
  </si>
  <si>
    <t>491706228088</t>
  </si>
  <si>
    <t>491722561308</t>
  </si>
  <si>
    <t>491755815399</t>
  </si>
  <si>
    <t>4915904263210</t>
  </si>
  <si>
    <t>491755869283</t>
  </si>
  <si>
    <t>4915904545569</t>
  </si>
  <si>
    <t>4917610506583</t>
  </si>
  <si>
    <t>4917610506581</t>
  </si>
  <si>
    <t>4917610506588</t>
  </si>
  <si>
    <t>4915904273019</t>
  </si>
  <si>
    <t>491605106636</t>
  </si>
  <si>
    <t>491605316012</t>
  </si>
  <si>
    <t>491605101703</t>
  </si>
  <si>
    <t>4915117968298</t>
  </si>
  <si>
    <t>4915904280592</t>
  </si>
  <si>
    <t>Congatec is not booting</t>
  </si>
  <si>
    <t>congatec not working</t>
  </si>
  <si>
    <t>sim removed for IBIS</t>
  </si>
  <si>
    <t>ramped down</t>
  </si>
  <si>
    <t>r8/4</t>
  </si>
  <si>
    <t>R16</t>
  </si>
  <si>
    <t>UTT (Port)</t>
  </si>
  <si>
    <t>40148</t>
  </si>
  <si>
    <t>O2</t>
  </si>
  <si>
    <t>ALU</t>
  </si>
  <si>
    <t>BASRTL209</t>
  </si>
  <si>
    <t>BASRTL212</t>
  </si>
  <si>
    <t>BASRTL240</t>
  </si>
  <si>
    <t>BASRTL246</t>
  </si>
  <si>
    <t>SN3219619</t>
  </si>
  <si>
    <t>SN3299763</t>
  </si>
  <si>
    <t>SN3299701</t>
  </si>
  <si>
    <t>SN3299395</t>
  </si>
  <si>
    <t>Script Team Setup</t>
  </si>
  <si>
    <t>SN3219918</t>
  </si>
  <si>
    <t>Aravind Setup</t>
  </si>
  <si>
    <t>BASRTL288</t>
  </si>
  <si>
    <t>BASRTL289</t>
  </si>
  <si>
    <t>Congatec used in Boot test given to Calibration station</t>
  </si>
  <si>
    <t>Pruthvi</t>
  </si>
  <si>
    <t>SN3299575</t>
  </si>
  <si>
    <t>SN3299667</t>
  </si>
  <si>
    <t>ICE 18 ramo up before conversion to Mk6</t>
  </si>
  <si>
    <t>HILSRTL171</t>
  </si>
  <si>
    <t>HILSRTL182</t>
  </si>
  <si>
    <t>SDSRTL109</t>
  </si>
  <si>
    <t>SDSRTL126</t>
  </si>
  <si>
    <t>SDSRTL139</t>
  </si>
  <si>
    <t>SDSRTL140</t>
  </si>
  <si>
    <t>SDSRTL141</t>
  </si>
  <si>
    <t>SDSRTL142</t>
  </si>
  <si>
    <t>SDSRTL128</t>
  </si>
  <si>
    <t>SDSRTL104</t>
  </si>
  <si>
    <t>SDSRTL105</t>
  </si>
  <si>
    <t>ICE18 Rampup</t>
  </si>
  <si>
    <t>not in use</t>
  </si>
  <si>
    <t>sim removed for 7560</t>
  </si>
  <si>
    <t>sim removed for Lakefield</t>
  </si>
  <si>
    <t>BASRTW069</t>
  </si>
  <si>
    <t>faulty</t>
  </si>
  <si>
    <t>MU000002388880</t>
  </si>
  <si>
    <t>MU000002388885</t>
  </si>
  <si>
    <t>MU000002388877</t>
  </si>
  <si>
    <t>MU000002388931</t>
  </si>
  <si>
    <t>MU000002388873</t>
  </si>
  <si>
    <t>MU000002388847</t>
  </si>
  <si>
    <t>MU000002388908</t>
  </si>
  <si>
    <t>MUCSRTL015</t>
  </si>
  <si>
    <t>MUCSRTL016</t>
  </si>
  <si>
    <t>GBR</t>
  </si>
  <si>
    <t>ICE RACK 02</t>
  </si>
  <si>
    <t>ICE18 multi sim ramp up</t>
  </si>
  <si>
    <t>BASRTL333</t>
  </si>
  <si>
    <t>BASRTL334</t>
  </si>
  <si>
    <t>BASRTL335</t>
  </si>
  <si>
    <t>BASRTL336</t>
  </si>
  <si>
    <t>BASRTL337</t>
  </si>
  <si>
    <t>BASRTL338</t>
  </si>
  <si>
    <t>BASRTL339</t>
  </si>
  <si>
    <t>BASRTL340</t>
  </si>
  <si>
    <t>BASRTL341</t>
  </si>
  <si>
    <t>BASRTL342</t>
  </si>
  <si>
    <t>BASRTL343</t>
  </si>
  <si>
    <t>BASRTL344</t>
  </si>
  <si>
    <t>BASRTL345</t>
  </si>
  <si>
    <t>BASRTL346</t>
  </si>
  <si>
    <t>BASRTL347</t>
  </si>
  <si>
    <t>BASRTL348</t>
  </si>
  <si>
    <t>BASRTL349</t>
  </si>
  <si>
    <t>BASRTL350</t>
  </si>
  <si>
    <t>BASRTL351</t>
  </si>
  <si>
    <t>BASRTL352</t>
  </si>
  <si>
    <t>SN3648289</t>
  </si>
  <si>
    <t>SN3633156</t>
  </si>
  <si>
    <t>SN3648217</t>
  </si>
  <si>
    <t>SN3648442</t>
  </si>
  <si>
    <t>SN3648423</t>
  </si>
  <si>
    <t>SN3648260</t>
  </si>
  <si>
    <t>SN3648355</t>
  </si>
  <si>
    <t>SN3633230</t>
  </si>
  <si>
    <t>SN3648277</t>
  </si>
  <si>
    <t>SN3648308</t>
  </si>
  <si>
    <t>SN3648269</t>
  </si>
  <si>
    <t>SN3648359</t>
  </si>
  <si>
    <t>SN3648254</t>
  </si>
  <si>
    <t>SN3648544</t>
  </si>
  <si>
    <t>SN3648412</t>
  </si>
  <si>
    <t>SN3648286</t>
  </si>
  <si>
    <t>SN3648455</t>
  </si>
  <si>
    <t>SN3648257</t>
  </si>
  <si>
    <t>SN3648243</t>
  </si>
  <si>
    <t>SN3648388</t>
  </si>
  <si>
    <t>SN2510799,SN3648289,SN3633156,SN3648217,SN3648442,SN3648423,SN3648260,SN3648355,SN3633230,SN3648277,SN3648308,SN3648269,SN3648359,SN3648254,SN3648544,SN3648412,SN3648286,SN3648455,SN3648257,SN3648243,SN3648388</t>
  </si>
  <si>
    <t>BASRTL353</t>
  </si>
  <si>
    <t>Waiting for Accessories</t>
  </si>
  <si>
    <t>MK6</t>
  </si>
  <si>
    <t>IMEI_2</t>
  </si>
  <si>
    <t>SIM2 Number</t>
  </si>
  <si>
    <t>BEJSRTL455</t>
  </si>
  <si>
    <t>C7H7523009YHXNKK6</t>
  </si>
  <si>
    <t>00440152218089</t>
  </si>
  <si>
    <t>00440152218989</t>
  </si>
  <si>
    <t>TDD+3G</t>
  </si>
  <si>
    <t>BEJSRTL444</t>
  </si>
  <si>
    <t>2F/R43/6</t>
  </si>
  <si>
    <t>C7H7523009ZHXNKK5</t>
  </si>
  <si>
    <t>00440152219473</t>
  </si>
  <si>
    <t>00440152264263</t>
  </si>
  <si>
    <t>SRLTE+3G</t>
  </si>
  <si>
    <t>BEJSRTL436</t>
  </si>
  <si>
    <t>C7H7523009PHXNKKF</t>
  </si>
  <si>
    <t>00440152218136</t>
  </si>
  <si>
    <t>00440152219036</t>
  </si>
  <si>
    <t>BEJSRTL448</t>
  </si>
  <si>
    <t>2F/R45/1</t>
  </si>
  <si>
    <t>C7H75230089HXNKKY</t>
  </si>
  <si>
    <t>BEJSRTL443</t>
  </si>
  <si>
    <t>2F/R45/4</t>
  </si>
  <si>
    <t>C7H751301BZHXNKK1</t>
  </si>
  <si>
    <t>BEJSRTL463</t>
  </si>
  <si>
    <t>2F/R45/5</t>
  </si>
  <si>
    <t>C7H7513018VHXNKKE</t>
  </si>
  <si>
    <t>FDD+1XRTT</t>
  </si>
  <si>
    <t>BEJSRTL442</t>
  </si>
  <si>
    <t>2F/R45/6</t>
  </si>
  <si>
    <t>C7H751301A9HXNKKU</t>
  </si>
  <si>
    <t>BEJSRTL426</t>
  </si>
  <si>
    <t>2F/R45/7</t>
  </si>
  <si>
    <t>C7H75130190HXNKK6</t>
  </si>
  <si>
    <t>00440152219651</t>
  </si>
  <si>
    <t>00440152264441</t>
  </si>
  <si>
    <t>BEJSRTL437</t>
  </si>
  <si>
    <t>2F/R46/1</t>
  </si>
  <si>
    <t>C7H7523008EHXNKKT</t>
  </si>
  <si>
    <t>TDD+2G</t>
  </si>
  <si>
    <t>BEJSRTL438</t>
  </si>
  <si>
    <t>2F/R46/2</t>
  </si>
  <si>
    <t>C7H752300A2HXNKKZ</t>
  </si>
  <si>
    <t>00440152219499</t>
  </si>
  <si>
    <t>00440152264289</t>
  </si>
  <si>
    <t>BEJSRTL480</t>
  </si>
  <si>
    <t>2F/R46/3</t>
  </si>
  <si>
    <t>C7H751301BPHXNKKB</t>
  </si>
  <si>
    <t>00440152219607</t>
  </si>
  <si>
    <t>00440152264397</t>
  </si>
  <si>
    <t>BEJSRTL476</t>
  </si>
  <si>
    <t>2F/R46/4</t>
  </si>
  <si>
    <t>C7H7523009GHXNKKN</t>
  </si>
  <si>
    <t>00440152219500</t>
  </si>
  <si>
    <t>00440152264290</t>
  </si>
  <si>
    <t>BEJSRTL478</t>
  </si>
  <si>
    <t>00440152219693</t>
  </si>
  <si>
    <t>00440152264483</t>
  </si>
  <si>
    <t>BEJSRTL479</t>
  </si>
  <si>
    <t>2F/R46/6</t>
  </si>
  <si>
    <t>C7H7523008FHXNKKS</t>
  </si>
  <si>
    <t>00440152219492</t>
  </si>
  <si>
    <t>00440152264282</t>
  </si>
  <si>
    <t>BEJSRTL474</t>
  </si>
  <si>
    <t>2F/R46/7</t>
  </si>
  <si>
    <t>C7H752300A0HXNKK1</t>
  </si>
  <si>
    <t>00440152219649</t>
  </si>
  <si>
    <t>00440152264439</t>
  </si>
  <si>
    <t>BEJSRTL471</t>
  </si>
  <si>
    <t>2F/R48/1</t>
  </si>
  <si>
    <t>C7H7513018PHXNKKL</t>
  </si>
  <si>
    <t>00440152219515</t>
  </si>
  <si>
    <t>00440152264305</t>
  </si>
  <si>
    <t>BEJSRTL469</t>
  </si>
  <si>
    <t>2F/R48/2</t>
  </si>
  <si>
    <t>C7H752300A5HXNKKW</t>
  </si>
  <si>
    <t>00440152219803</t>
  </si>
  <si>
    <t>00440152264593</t>
  </si>
  <si>
    <t>FDD+2G</t>
  </si>
  <si>
    <t>BEJSRTL473</t>
  </si>
  <si>
    <t>2F/R48/3</t>
  </si>
  <si>
    <t>C7H7513019BHXNKKV</t>
  </si>
  <si>
    <t>00440152219510</t>
  </si>
  <si>
    <t>00440152264300</t>
  </si>
  <si>
    <t>BEJSRTL470</t>
  </si>
  <si>
    <t>2F/R48/4</t>
  </si>
  <si>
    <t>C7H7523008PHXNKKJ</t>
  </si>
  <si>
    <t>00440152218081</t>
  </si>
  <si>
    <t>00440152218981</t>
  </si>
  <si>
    <t>BEJSRTL477</t>
  </si>
  <si>
    <t>2F/R48/5</t>
  </si>
  <si>
    <t>C7H75230097HXNKKX</t>
  </si>
  <si>
    <t>BEJSRTL468</t>
  </si>
  <si>
    <t>2F/R48/6</t>
  </si>
  <si>
    <t>C7H7523008SHXNKKF</t>
  </si>
  <si>
    <t>00440152219588</t>
  </si>
  <si>
    <t>00440152264378</t>
  </si>
  <si>
    <t>BEJSRTL472</t>
  </si>
  <si>
    <t>2F/R48/7</t>
  </si>
  <si>
    <t>C7H7523009CHXNKKS</t>
  </si>
  <si>
    <t>00440152219471</t>
  </si>
  <si>
    <t>00440152264261</t>
  </si>
  <si>
    <t>BEJSRTL475</t>
  </si>
  <si>
    <t>2F/R47/1</t>
  </si>
  <si>
    <t>C7H7523009DHXNKKR</t>
  </si>
  <si>
    <t>00440152219496</t>
  </si>
  <si>
    <t>00440152264286</t>
  </si>
  <si>
    <t>BEJSRTL467</t>
  </si>
  <si>
    <t>2F/R47/ 2</t>
  </si>
  <si>
    <t>C7H751301BMHXNKKD</t>
  </si>
  <si>
    <t>00440152219498</t>
  </si>
  <si>
    <t>00440152264288</t>
  </si>
  <si>
    <t>BEJSRTL481</t>
  </si>
  <si>
    <t>2F/R47/2</t>
  </si>
  <si>
    <t>C7H751301BQHXNKKA</t>
  </si>
  <si>
    <t>BEJSRTL482</t>
  </si>
  <si>
    <t>C7H7513018QHXNKKK</t>
  </si>
  <si>
    <t>BEJSRTL483</t>
  </si>
  <si>
    <t>C7H75130198HXNKKY</t>
  </si>
  <si>
    <t>BEJSRTL484</t>
  </si>
  <si>
    <t>C7H7513019CHXNKKU</t>
  </si>
  <si>
    <t>Extended Status</t>
  </si>
  <si>
    <t>Debug Needed</t>
  </si>
  <si>
    <t>Recalibration Needed</t>
  </si>
  <si>
    <t>Lend to Script</t>
  </si>
  <si>
    <t>SIM Issue</t>
  </si>
  <si>
    <t>HW Check Needed</t>
  </si>
  <si>
    <t>Can be used</t>
  </si>
  <si>
    <t>Dry Run Required</t>
  </si>
  <si>
    <t>NVM Folder</t>
  </si>
  <si>
    <t>E1DFBA0E45190F00FFFFFFFF</t>
  </si>
  <si>
    <t>E1DF19D2B7790800FFFFFFFF</t>
  </si>
  <si>
    <t>C7H75130199HXNKKX</t>
  </si>
  <si>
    <t>CMCC+CMCC</t>
  </si>
  <si>
    <t>CUC+CMCC</t>
  </si>
  <si>
    <t>CMCC+CUC</t>
  </si>
  <si>
    <t>CMCC+CTC</t>
  </si>
  <si>
    <t>E15F590F0EE20A00FFFFFFFF</t>
  </si>
  <si>
    <t>E15F59C1ED480800FFFFFFFF</t>
  </si>
  <si>
    <t>E15F5933AEFB0A00FFFFFFFF</t>
  </si>
  <si>
    <t>C7H7523009HHXNKKM</t>
  </si>
  <si>
    <t>E15F492BC6B40500FFFFFFFF</t>
  </si>
  <si>
    <t>E1DFCA944DC30A00FFFFFFFF</t>
  </si>
  <si>
    <t>E15F29B5F62E0E00FFFFFFFF</t>
  </si>
  <si>
    <t>C7H7523009BHXNKKT</t>
  </si>
  <si>
    <t>E15F798158E20A00FFFFFFFF</t>
  </si>
  <si>
    <t>E15F795DF8060800FFFFFFFF</t>
  </si>
  <si>
    <t>E1DF394CA6E30A00FFFFFFFF</t>
  </si>
  <si>
    <t>E15FB98EF3A10A00FFFFFFFF</t>
  </si>
  <si>
    <t>E1DF295E6D690800FFFFFFFF</t>
  </si>
  <si>
    <t>CTC+CMCC</t>
  </si>
  <si>
    <t>E15FA91CE2110800FFFFFFFF</t>
  </si>
  <si>
    <t>C7H7513018MHXNKKN</t>
  </si>
  <si>
    <t>E15F599361A50500FFFFFFFF</t>
  </si>
  <si>
    <t>E15FB9821D5D0800FFFFFFFF</t>
  </si>
  <si>
    <t>C7H7513018NHXNKKM</t>
  </si>
  <si>
    <t>E15F1919B32A0800FFFFFFFF</t>
  </si>
  <si>
    <t>E15F394F85730800FFFFFFFF</t>
  </si>
  <si>
    <t>C7H7523008UHXNKKD</t>
  </si>
  <si>
    <t>E15F79D199680800FFFFFFFF</t>
  </si>
  <si>
    <t>E1DFAA5481780C00FFFFFFFF</t>
  </si>
  <si>
    <t>E15F59C7D10D0300FFFFFFFF</t>
  </si>
  <si>
    <t>E1DF394A5B770800FFFFFFFF</t>
  </si>
  <si>
    <t>C7H75130197HXNKKZ</t>
  </si>
  <si>
    <t>E15FB96E02E10A00FFFFFFFF</t>
  </si>
  <si>
    <t>E15FE962051E0F00FFFFFFFF</t>
  </si>
  <si>
    <t>E15F49B5F60D0800FFFFFFFF</t>
  </si>
  <si>
    <t>E1DFAA5E3A080300FFFFFFFF</t>
  </si>
  <si>
    <t>E1DF2A7541710C00FFFFFFFF</t>
  </si>
  <si>
    <t>E15F2981A5E40A00FFFFFFFF</t>
  </si>
  <si>
    <t>E1DF1970BABC0A00FFFFFFFF</t>
  </si>
  <si>
    <t>E1DF39D828960A00FFFFFFFF</t>
  </si>
  <si>
    <t>E1DFCAAACC3B0400FFFFFFFF</t>
  </si>
  <si>
    <t>E15FE938FDD60D00FFFFFFFF</t>
  </si>
  <si>
    <t>E1DF299CEA050800FFFFFFFF</t>
  </si>
  <si>
    <t>E15F29EDA43F0E00FFFFFFFF</t>
  </si>
  <si>
    <t>C7H75230098HXNKKW</t>
  </si>
  <si>
    <t>E1DF091EAEE40A00FFFFFFFF</t>
  </si>
  <si>
    <t>E15FE956684A0F00FFFFFFFF</t>
  </si>
  <si>
    <t>C7H75230085HXNKK2</t>
  </si>
  <si>
    <t>E15F59652C530800FFFFFFFF</t>
  </si>
  <si>
    <t>C7H7523007YHXNKKC</t>
  </si>
  <si>
    <t>E1DF39226FFC0A00FFFFFFFF</t>
  </si>
  <si>
    <t>C7H751301BNHXNKKC</t>
  </si>
  <si>
    <t>E157F3C267D40400FFFFFFFF</t>
  </si>
  <si>
    <t>E1DFDACE6C650200FFFFFFFF</t>
  </si>
  <si>
    <t>E15FE9CA78BD0D00FFFFFFFF</t>
  </si>
  <si>
    <t>E1DF1A57E0190C00FFFFFFFF</t>
  </si>
  <si>
    <t>E15FF99099540900FFFFFFFF</t>
  </si>
  <si>
    <t>2F/R47/3</t>
  </si>
  <si>
    <t>E1DF09062FCA0A00FFFFFFFF</t>
  </si>
  <si>
    <t>E15F49A9A2E50A00FFFFFFFF</t>
  </si>
  <si>
    <t>E15F59D7D08C0A00FFFFFFFF</t>
  </si>
  <si>
    <t>C7H75230093HXNKK1</t>
  </si>
  <si>
    <t>E1DF1AE7AF810300FFFFFFFF</t>
  </si>
  <si>
    <t>E15FF98823260F00FFFFFFFF</t>
  </si>
  <si>
    <t>C7H752300A1HXNKK0</t>
  </si>
  <si>
    <t>E1DFBA8437D70A00FFFFFFFF</t>
  </si>
  <si>
    <t>E1DFAA62AB571000FFFFFFFF</t>
  </si>
  <si>
    <t>E15F39F7D61F0500FFFFFFFF</t>
  </si>
  <si>
    <t>E15F59A14E8F0A00FFFFFFFF</t>
  </si>
  <si>
    <t>E15F79DB95F00A00FFFFFFFF</t>
  </si>
  <si>
    <t>E15F79D747E80F00FFFFFFFF</t>
  </si>
  <si>
    <t>E1DF19DEDDB90A00FFFFFFFF</t>
  </si>
  <si>
    <t>E15F49A3F42C0500FFFFFFFF</t>
  </si>
  <si>
    <t>C7H751301BLHXNKKE</t>
  </si>
  <si>
    <t>E15FF9084D950D00FFFFFFFF</t>
  </si>
  <si>
    <t>CUC+CTC</t>
  </si>
  <si>
    <t>E15FA97435BE0A00FFFFFFFF</t>
  </si>
  <si>
    <t>E15FB93ED6100800FFFFFFFF</t>
  </si>
  <si>
    <t>E15FB9BECAD10A00FFFFFFFF</t>
  </si>
  <si>
    <t>E15F79B93B5F0800FFFFFFFF</t>
  </si>
  <si>
    <t>E15FB9D073260800FFFFFFFF</t>
  </si>
  <si>
    <t>E15F5915CFA60A00FFFFFFFF</t>
  </si>
  <si>
    <t>E1DFDA4EEAF40A00FFFFFFFF</t>
  </si>
  <si>
    <t>E1DF09AA0CBE0A00FFFFFFFF</t>
  </si>
  <si>
    <t>E15FF9F23B720900FFFFFFFF</t>
  </si>
  <si>
    <t>E15F699527E50A00FFFFFFFF</t>
  </si>
  <si>
    <t>E1DF39BE1B370800FFFFFFFF</t>
  </si>
  <si>
    <t>E15F490BC4F40A00FFFFFFFF</t>
  </si>
  <si>
    <t>E15F198B93350F00FFFFFFFF</t>
  </si>
  <si>
    <t>E15FB9143A020800FFFFFFFF</t>
  </si>
  <si>
    <t>C7H7513018KHXNKKQ</t>
  </si>
  <si>
    <t>E1DF39A8223C0800FFFFFFFF</t>
  </si>
  <si>
    <t>C7H751301BKHXNKKF</t>
  </si>
  <si>
    <t>E1DF398A57E60A00FFFFFFFF</t>
  </si>
  <si>
    <t>E1DF9A68A3310F00FFFFFFFF</t>
  </si>
  <si>
    <t>E15F097754700F00FFFFFFFF</t>
  </si>
  <si>
    <t>E1DFBA5458391000FFFFFFFF</t>
  </si>
  <si>
    <t>E15F69A7A6B00A00FFFFFFFF</t>
  </si>
  <si>
    <t>E1DFBA8CFC060200FFFFFFFF</t>
  </si>
  <si>
    <t>E15F692DE5BE0A00FFFFFFFF</t>
  </si>
  <si>
    <t>E15F490586FB0A00FFFFFFFF</t>
  </si>
  <si>
    <t>E15F09EF66620900FFFFFFFF</t>
  </si>
  <si>
    <t>E1DF195A61CE0A00FFFFFFFF</t>
  </si>
  <si>
    <t>C7H751301AWHXNKK7</t>
  </si>
  <si>
    <t>E1DF19063AC80A00FFFFFFFF</t>
  </si>
  <si>
    <t>E15F59970E380800FFFFFFFF</t>
  </si>
  <si>
    <t>E15F294941020E00FFFFFFFF</t>
  </si>
  <si>
    <t>E15FE9B82C780F00FFFFFFFF</t>
  </si>
  <si>
    <t>E1DF1AEB27D90600FFFFFFFF</t>
  </si>
  <si>
    <t>E15F69EDD7E40A00FFFFFFFF</t>
  </si>
  <si>
    <t>E1DF2A93C3741000FFFFFFFF</t>
  </si>
  <si>
    <t>E1DF4A87320B1000FFFFFFFF</t>
  </si>
  <si>
    <t>E1DFEA9E39270C00FFFFFFFF</t>
  </si>
  <si>
    <t>E1DFBAF2A4450F00FFFFFFFF</t>
  </si>
  <si>
    <t>E15FB926D1D80A00FFFFFFFF</t>
  </si>
  <si>
    <t>E1DFCABE80530F00FFFFFFFF</t>
  </si>
  <si>
    <t>E1DF3A2156531000FFFFFFFF</t>
  </si>
  <si>
    <t>E1DFAA40D4470C00FFFFFFFF</t>
  </si>
  <si>
    <t>E15FA9AE625B0800FFFFFFFF</t>
  </si>
  <si>
    <t>E15F7925F7D80A00FFFFFFFF</t>
  </si>
  <si>
    <t>E15F29078D300800FFFFFFFF</t>
  </si>
  <si>
    <t>E15F497131290800FFFFFFFF</t>
  </si>
  <si>
    <t>E15F79ED11900A00FFFFFFFF</t>
  </si>
  <si>
    <t>E15FE94A0B0D0F00FFFFFFFF</t>
  </si>
  <si>
    <t>E15F393B53890A00FFFFFFFF</t>
  </si>
  <si>
    <t>E15F1909980C0900FFFFFFFF</t>
  </si>
  <si>
    <t>E15FE9DC264B0F00FFFFFFFF</t>
  </si>
  <si>
    <t>E15F09E559730F00FFFFFFFF</t>
  </si>
  <si>
    <t>E15FE93401CE0D00FFFFFFFF</t>
  </si>
  <si>
    <t>E15FE91A716F0F00FFFFFFFF</t>
  </si>
  <si>
    <t>E15F595FAE5A0800FFFFFFFF</t>
  </si>
  <si>
    <t>E15F794978AD0A00FFFFFFFF</t>
  </si>
  <si>
    <t>E15F6929861D0800FFFFFFFF</t>
  </si>
  <si>
    <t>E15F59E34F970A00FFFFFFFF</t>
  </si>
  <si>
    <t>E15F0971751A0F00FFFFFFFF</t>
  </si>
  <si>
    <t>E15F79B3FD0E0800FFFFFFFF</t>
  </si>
  <si>
    <t>E1DF090EDB080800FFFFFFFF</t>
  </si>
  <si>
    <t>E15F4941F4610800FFFFFFFF</t>
  </si>
  <si>
    <t>E15F79A3204D0800FFFFFFFF</t>
  </si>
  <si>
    <t>E15F791FF6A80A00FFFFFFFF</t>
  </si>
  <si>
    <t>E15F69F3778F0A00FFFFFFFF</t>
  </si>
  <si>
    <t>E15F792BD88C0A00FFFFFFFF</t>
  </si>
  <si>
    <t>E1DF09C0BC6F0E00FFFFFFFF</t>
  </si>
  <si>
    <t>E15FA922A5570800FFFFFFFF</t>
  </si>
  <si>
    <t>E1DF0914FA030800FFFFFFFF</t>
  </si>
  <si>
    <t>E15FB932F46D0800FFFFFFFF</t>
  </si>
  <si>
    <t>E15F695B19FA0A00FFFFFFFF</t>
  </si>
  <si>
    <t>E1DF09A63A780800FFFFFFFF</t>
  </si>
  <si>
    <t>E15F496395810A00FFFFFFFF</t>
  </si>
  <si>
    <t>E1DF29F04A090800FFFFFFFF</t>
  </si>
  <si>
    <t>E15F69E7659E0F00FFFFFFFF</t>
  </si>
  <si>
    <t>E1DF098CEDF60A00FFFFFFFF</t>
  </si>
  <si>
    <t>E15F1997936D0F00FFFFFFFF</t>
  </si>
  <si>
    <t>E15FA95676B20A00FFFFFFFF</t>
  </si>
  <si>
    <t>E15F5911F03E0800FFFFFFFF</t>
  </si>
  <si>
    <t>E1DF4984E2D80A00FFFFFFFF</t>
  </si>
  <si>
    <t>E15F794315E00A00FFFFFFFF</t>
  </si>
  <si>
    <t>E15F499D56370800FFFFFFFF</t>
  </si>
  <si>
    <t>E15F799181470800FFFFFFFF</t>
  </si>
  <si>
    <t>E15FE9A090680F00FFFFFFFF</t>
  </si>
  <si>
    <t>E15F690B264D0800FFFFFFFF</t>
  </si>
  <si>
    <t>E15FB9C44A9A0A00FFFFFFFF</t>
  </si>
  <si>
    <t>E1DF1928D9E80A00FFFFFFFF</t>
  </si>
  <si>
    <t>E1DF29CCB7C80A00FFFFFFFF</t>
  </si>
  <si>
    <t>E15F4917B2620500FFFFFFFF</t>
  </si>
  <si>
    <t>E1DF19C07CB20A00FFFFFFFF</t>
  </si>
  <si>
    <t>SRLTE+2G</t>
  </si>
  <si>
    <t>TDD+1XRTT</t>
  </si>
  <si>
    <t>TDD+FDD</t>
  </si>
  <si>
    <t>00440152218070</t>
  </si>
  <si>
    <t>00440152218970</t>
  </si>
  <si>
    <t>HYBRID+2G</t>
  </si>
  <si>
    <t>00440152219042</t>
  </si>
  <si>
    <t>00440152218142</t>
  </si>
  <si>
    <t>18516808495</t>
  </si>
  <si>
    <t>CR</t>
  </si>
  <si>
    <t>FDD VOLTE</t>
  </si>
  <si>
    <t>PCIE CABLE SHORTING THE BOARD- Debugging to be Done</t>
  </si>
  <si>
    <t>Power Is not coming</t>
  </si>
  <si>
    <t>ISM: 1303935627</t>
  </si>
  <si>
    <t xml:space="preserve">ISM:1303935627 </t>
  </si>
  <si>
    <t>No</t>
    <phoneticPr fontId="115" type="noConversion"/>
  </si>
  <si>
    <t>LTE_pre</t>
    <phoneticPr fontId="115" type="noConversion"/>
  </si>
  <si>
    <t>2G</t>
    <phoneticPr fontId="115" type="noConversion"/>
  </si>
  <si>
    <t>LTE_pre_VOLTE</t>
    <phoneticPr fontId="115" type="noConversion"/>
  </si>
  <si>
    <t>C07645500AWOHHH1</t>
    <phoneticPr fontId="115" type="noConversion"/>
  </si>
  <si>
    <t>9331042980024203F90A0805</t>
    <phoneticPr fontId="115" type="noConversion"/>
  </si>
  <si>
    <t>933104298002E351F822BA85</t>
    <phoneticPr fontId="115" type="noConversion"/>
  </si>
  <si>
    <t>933104298002EE31F914D486</t>
    <phoneticPr fontId="115" type="noConversion"/>
  </si>
  <si>
    <t>9331042980024F61F9E43104</t>
    <phoneticPr fontId="115" type="noConversion"/>
  </si>
  <si>
    <t>933104298002EED1F9CED106</t>
    <phoneticPr fontId="115" type="noConversion"/>
  </si>
  <si>
    <t>9331042980022FD1F8F83704</t>
    <phoneticPr fontId="115" type="noConversion"/>
  </si>
  <si>
    <t xml:space="preserve">9331042980028F81F932A386 </t>
    <phoneticPr fontId="115" type="noConversion"/>
  </si>
  <si>
    <t xml:space="preserve">2C330D0A0D0A2B5042524541 </t>
    <phoneticPr fontId="115" type="noConversion"/>
  </si>
  <si>
    <t>9331042980026E61F93CE305</t>
    <phoneticPr fontId="115" type="noConversion"/>
  </si>
  <si>
    <t>C0765140033OHHH1</t>
    <phoneticPr fontId="115" type="noConversion"/>
  </si>
  <si>
    <t>C076505005RH2WH1 </t>
    <phoneticPr fontId="115" type="noConversion"/>
  </si>
  <si>
    <t>C0765140012OHHH1</t>
    <phoneticPr fontId="115" type="noConversion"/>
  </si>
  <si>
    <t>C076503003BH2WH1</t>
    <phoneticPr fontId="115" type="noConversion"/>
  </si>
  <si>
    <t>C076514002UOHHH1</t>
    <phoneticPr fontId="115" type="noConversion"/>
  </si>
  <si>
    <t>C0765050069H2WH1</t>
    <phoneticPr fontId="115" type="noConversion"/>
  </si>
  <si>
    <t>ICE 18 PREINT RAMP UP</t>
  </si>
  <si>
    <t>ICE18 Preint RAMP UP</t>
  </si>
  <si>
    <t>HILSRTL183</t>
  </si>
  <si>
    <t>HILSRTL184</t>
  </si>
  <si>
    <t>HILSRTL185</t>
  </si>
  <si>
    <t>HILSRTL181</t>
  </si>
  <si>
    <t>HILSRTL186</t>
  </si>
  <si>
    <t>SN3633313</t>
  </si>
  <si>
    <t>SN3633310</t>
  </si>
  <si>
    <t>SN3633290</t>
  </si>
  <si>
    <t>SN3633273</t>
  </si>
  <si>
    <t>xiaogang</t>
  </si>
  <si>
    <t>SN3648476</t>
  </si>
  <si>
    <t>BASRTL354</t>
  </si>
  <si>
    <t>BASRTL355</t>
  </si>
  <si>
    <t>BASRTL356</t>
  </si>
  <si>
    <t>BASRTL357</t>
  </si>
  <si>
    <t>BASRTL358</t>
  </si>
  <si>
    <t>BASRTL359</t>
  </si>
  <si>
    <t>BASRTL360</t>
  </si>
  <si>
    <t>SN3648219</t>
  </si>
  <si>
    <t>SN3648375</t>
  </si>
  <si>
    <t>SN3648439</t>
  </si>
  <si>
    <t>SN3648331</t>
  </si>
  <si>
    <t>SN3648366</t>
  </si>
  <si>
    <t>SN3648363</t>
  </si>
  <si>
    <t>SN3648400</t>
  </si>
  <si>
    <t>SN3648376</t>
  </si>
  <si>
    <t>SN3648219,SN3648375,SN3648439,SN3648331,SN3648366,SN3648363,SN3648400,SN3648376</t>
  </si>
  <si>
    <t>ICE 18 ramp up</t>
  </si>
  <si>
    <t>data correction</t>
  </si>
  <si>
    <t>Yes(40029)</t>
  </si>
  <si>
    <t>Yes(40047)</t>
  </si>
  <si>
    <t>Yes(40005)</t>
  </si>
  <si>
    <t>Yes(40031)</t>
  </si>
  <si>
    <t>Yes(40035)</t>
  </si>
  <si>
    <t>Yes(40041)</t>
  </si>
  <si>
    <t>Yes(40069)</t>
  </si>
  <si>
    <t>Yes(40026)</t>
  </si>
  <si>
    <t>Yes(40024)</t>
  </si>
  <si>
    <t>Yes(40012)</t>
  </si>
  <si>
    <t>Yes(40006)</t>
  </si>
  <si>
    <t>Yes(40072)</t>
  </si>
  <si>
    <t>Yes(40033)</t>
  </si>
  <si>
    <t>Yes(40034)</t>
  </si>
  <si>
    <t>Yes(40028)</t>
  </si>
  <si>
    <t>Yes(40044)</t>
  </si>
  <si>
    <t>Yes(40078)</t>
  </si>
  <si>
    <t>Yes(40068)</t>
  </si>
  <si>
    <t>Yes(40055)</t>
  </si>
  <si>
    <t>Yes(40053)</t>
  </si>
  <si>
    <t>Yes(40013)</t>
  </si>
  <si>
    <t>Yes(40045)</t>
  </si>
  <si>
    <t>Yes(40037)</t>
  </si>
  <si>
    <t>Yes(40065)</t>
  </si>
  <si>
    <t>Yes(40032)</t>
  </si>
  <si>
    <t>Yes(40081)</t>
  </si>
  <si>
    <t>Yes(40099)</t>
  </si>
  <si>
    <t>Yes(40036)</t>
  </si>
  <si>
    <t>Yes(40101)</t>
  </si>
  <si>
    <t>Yes(40076)</t>
  </si>
  <si>
    <t>Yes(40014)</t>
  </si>
  <si>
    <t>Yes(40025)</t>
  </si>
  <si>
    <t>Yes(40039)</t>
  </si>
  <si>
    <t>MAC Host Name</t>
  </si>
  <si>
    <t>ISM:1303940652</t>
  </si>
  <si>
    <t>Row Labels</t>
  </si>
  <si>
    <t>Grand Total</t>
  </si>
  <si>
    <t>Column Labels</t>
  </si>
  <si>
    <t>Count of Can be used</t>
  </si>
  <si>
    <t>Count of UTT (Port)</t>
  </si>
  <si>
    <t>(Multiple Items)</t>
  </si>
  <si>
    <t>Waiting for Accessories &amp; Rack Installation ongoing</t>
  </si>
  <si>
    <t>Used in Run plan</t>
  </si>
  <si>
    <t>Weekly</t>
  </si>
  <si>
    <t>Daily</t>
  </si>
  <si>
    <t>EB</t>
  </si>
  <si>
    <t>CEB</t>
  </si>
  <si>
    <t>Operator Combo</t>
  </si>
  <si>
    <t>RAT Combo</t>
  </si>
  <si>
    <t>SUS / RA</t>
  </si>
  <si>
    <t>SUS RAT</t>
  </si>
  <si>
    <t>BEJSRTL485</t>
  </si>
  <si>
    <t>BEJSRTL486</t>
  </si>
  <si>
    <t>BEJSRTL487</t>
  </si>
  <si>
    <t>BEJSRTL489</t>
  </si>
  <si>
    <t>2F/R47/6</t>
  </si>
  <si>
    <t>2F/R47/5</t>
  </si>
  <si>
    <t>E1DFEAA217040300FFFFFFFF</t>
  </si>
  <si>
    <t>C7H7513007THXNKKL</t>
  </si>
  <si>
    <t>E15F09F3944D0800FFFFFFFF</t>
  </si>
  <si>
    <t>C7H752300BQHXNKK8</t>
  </si>
  <si>
    <t>E15F09B7529B0A00FFFFFFFF</t>
  </si>
  <si>
    <t>C7H752300CBHXNKKJ</t>
  </si>
  <si>
    <t>E1DFAA3A2C520C00FFFFFFFF</t>
  </si>
  <si>
    <t>C7H75130095HXNKK2</t>
  </si>
  <si>
    <t>E1DF5A9F1C950500FFFFFFFF</t>
  </si>
  <si>
    <t>C7H751300C5HXNKKT</t>
  </si>
  <si>
    <t>E1DFAAD84C140F00FFFFFFFF</t>
  </si>
  <si>
    <t>C7H7513009VHXNKKC</t>
  </si>
  <si>
    <t>E15FE9B2E5380800FFFFFFFF</t>
  </si>
  <si>
    <t>C7H752300D0HXNKKS</t>
  </si>
  <si>
    <t>E15F39F7B1300F00FFFFFFFF</t>
  </si>
  <si>
    <t>C7H751301AEHXNKKP</t>
  </si>
  <si>
    <t>E1DF5A5FE3C20500FFFFFFFF</t>
  </si>
  <si>
    <t>C7H7513006THXNKKP</t>
  </si>
  <si>
    <t>E1DF5A53278C0700FFFFFFFF</t>
  </si>
  <si>
    <t>C7H751300AQHXNKKE</t>
  </si>
  <si>
    <t>E1DFCA3EDD060C00FFFFFFFF</t>
  </si>
  <si>
    <t>C7H7513008RHXNKKK</t>
  </si>
  <si>
    <t>E15F295BA5300500FFFFFFFF</t>
  </si>
  <si>
    <t>C7H752300BYHXNKK0</t>
  </si>
  <si>
    <t>E1DFAAD2F9280300FFFFFFFF</t>
  </si>
  <si>
    <t>C7H7513006KHXNKKX</t>
  </si>
  <si>
    <t>E1DFDA0EE4740C00FFFFFFFF</t>
  </si>
  <si>
    <t>C7H751300BBHXNKKQ</t>
  </si>
  <si>
    <t>E15FD9BE68100800FFFFFFFF</t>
  </si>
  <si>
    <t>C7H752300BSHXNKK6</t>
  </si>
  <si>
    <t>E1DFEA36A4040300FFFFFFFF</t>
  </si>
  <si>
    <t>C7H751300AYHXNKK6</t>
  </si>
  <si>
    <t>E15FD912F8B40A00FFFFFFFF</t>
  </si>
  <si>
    <t>C7H752300C5HXNKKQ</t>
  </si>
  <si>
    <t>E1DFCA167D3D0B00FFFFFFFF</t>
  </si>
  <si>
    <t>C7H7513008ZHXNKKB</t>
  </si>
  <si>
    <t>E1DFEAB8EE1D0C00FFFFFFFF</t>
  </si>
  <si>
    <t>C7H7513008THXNKKH</t>
  </si>
  <si>
    <t>E15FF942D17C0800FFFFFFFF</t>
  </si>
  <si>
    <t>C7H752300CAHXNKKK</t>
  </si>
  <si>
    <t>E1DF6A17B7B80500FFFFFFFF</t>
  </si>
  <si>
    <t>C7H7513006MHXNKKV</t>
  </si>
  <si>
    <t>E15F09DBB0E90A00FFFFFFFF</t>
  </si>
  <si>
    <t>C7H752300BCHXNKKL</t>
  </si>
  <si>
    <t>E15FE9989DF00A00FFFFFFFF</t>
  </si>
  <si>
    <t>C7H752300BPHXNKK9</t>
  </si>
  <si>
    <t>E1DF5A5909840700FFFFFFFF</t>
  </si>
  <si>
    <t>C7H751300BDHXNKKN</t>
  </si>
  <si>
    <t>E1DF3A5955860700FFFFFFFF</t>
  </si>
  <si>
    <t>C7H7513008QHXNKKL</t>
  </si>
  <si>
    <t>E15FF9CE0D030800FFFFFFFF</t>
  </si>
  <si>
    <t>C7H752300CUHXNKK1</t>
  </si>
  <si>
    <t>E1DFCA223D210B00FFFFFFFF</t>
  </si>
  <si>
    <t>C7H751300ARHXNKKD</t>
  </si>
  <si>
    <t>E1DFDA10AB310B00FFFFFFFF</t>
  </si>
  <si>
    <t>C7H7513008YHXNKKC</t>
  </si>
  <si>
    <t>E15F190770B20A00FFFFFFFF</t>
  </si>
  <si>
    <t>C7H752300BEHXNKKJ</t>
  </si>
  <si>
    <t>E1DFAAA843020B00FFFFFFFF</t>
  </si>
  <si>
    <t>C7H751300B9HXNKKS</t>
  </si>
  <si>
    <t>E1DFAA3A4E360B00FFFFFFFF</t>
  </si>
  <si>
    <t>C7H75130099HXNKKY</t>
  </si>
  <si>
    <t>E15F396575100F00FFFFFFFF</t>
  </si>
  <si>
    <t>C7H752300CSHXNKK3</t>
  </si>
  <si>
    <t>E15FD9CE6EC50A00FFFFFFFF</t>
  </si>
  <si>
    <t>C7H752300B1HXNKKX</t>
  </si>
  <si>
    <t>E1DF5AB9EAA90500FFFFFFFF</t>
  </si>
  <si>
    <t>C7H75130091HXNKK6</t>
  </si>
  <si>
    <t>E15F1981D5380800FFFFFFFF</t>
  </si>
  <si>
    <t>C7H752300B6HXNKKS</t>
  </si>
  <si>
    <t>E1DF39AE41570800FFFFFFFF</t>
  </si>
  <si>
    <t>C7H75130194HXNKK2</t>
  </si>
  <si>
    <t>E1DFCADC52401000FFFFFFFF</t>
  </si>
  <si>
    <t>C7H7513012KHXNKK8</t>
  </si>
  <si>
    <t>E1DFCA8222090300FFFFFFFF</t>
  </si>
  <si>
    <t>C7H751300BNHXNKKD</t>
  </si>
  <si>
    <t>E15FC9E63A9D0A00FFFFFFFF</t>
  </si>
  <si>
    <t>C7H752300C3HXNKKS</t>
  </si>
  <si>
    <t>E15FF99E58060800FFFFFFFF</t>
  </si>
  <si>
    <t>C7H752300D1HXNKKR</t>
  </si>
  <si>
    <t>E15F09B1B0F70A00FFFFFFFF</t>
  </si>
  <si>
    <t>C7H752300ANHXNKKD</t>
  </si>
  <si>
    <t>E15FF9B64DDB0A00FFFFFFFF</t>
  </si>
  <si>
    <t>C7H752300AYHXNKK3</t>
  </si>
  <si>
    <t>E15FD9C2EEAD0A00FFFFFFFF</t>
  </si>
  <si>
    <t>C7H752300BXHXNKK1</t>
  </si>
  <si>
    <t>E1DFAA2847740300FFFFFFFF</t>
  </si>
  <si>
    <t>C7H7513007XHXNKKG</t>
  </si>
  <si>
    <t>E1DF6A179D8B0700FFFFFFFF</t>
  </si>
  <si>
    <t>C7H751300AMHXNKKH</t>
  </si>
  <si>
    <t>E15FC9E01BAB0A00FFFFFFFF</t>
  </si>
  <si>
    <t>C7H752300BNHXNKKA</t>
  </si>
  <si>
    <t>E1DF5AAD6FA60700FFFFFFFF</t>
  </si>
  <si>
    <t>C7H7513008PHXNKKM</t>
  </si>
  <si>
    <t>E15FC9BC1B800A00FFFFFFFF</t>
  </si>
  <si>
    <t>C7H752300C4HXNKKR</t>
  </si>
  <si>
    <t>E1DFAA1AFA680B00FFFFFFFF</t>
  </si>
  <si>
    <t>C7H7513007FHXNKKY</t>
  </si>
  <si>
    <t>E15FF9B00EE80A00FFFFFFFF</t>
  </si>
  <si>
    <t>C7H752300BWHXNKK2</t>
  </si>
  <si>
    <t>E1DFCA08E46C0300FFFFFFFF</t>
  </si>
  <si>
    <t>C7H751300AWHXNKK8</t>
  </si>
  <si>
    <t>E1DF4A4FE6800700FFFFFFFF</t>
  </si>
  <si>
    <t>E1DFEA002C320C00FFFFFFFF</t>
  </si>
  <si>
    <t>C7H751300BEHXNKKM</t>
  </si>
  <si>
    <t>E1DFCA7479580B00FFFFFFFF</t>
  </si>
  <si>
    <t>C7H7513007ZHXNKKE</t>
  </si>
  <si>
    <t>E1DFDA8861070C00FFFFFFFF</t>
  </si>
  <si>
    <t>C7H7513008UHXNKKG</t>
  </si>
  <si>
    <t>E28F69B9AAA80500FFFFFFFF</t>
  </si>
  <si>
    <t>C7H809500BRHXNKXJ</t>
  </si>
  <si>
    <t>E28F6983543C1200FFFFFFFF</t>
  </si>
  <si>
    <t>C7H809500FVHXNKX2</t>
  </si>
  <si>
    <t>E28F59DDA1820300FFFFFFFF</t>
  </si>
  <si>
    <t>C7H809500CXHXNKX9</t>
  </si>
  <si>
    <t>REGULAR TEST</t>
  </si>
  <si>
    <t>DEBUG TEST</t>
  </si>
  <si>
    <t>REGULAR Test</t>
  </si>
  <si>
    <t>Will fix asap /Shehryar 02/24</t>
  </si>
  <si>
    <t>SN3633270,SN3633218,SN3633145,SN3633137,SN3633155,SN3633168,SN3633287,SN3633296,SN3648541,SN3648398,SN3633159,SN3648453</t>
  </si>
  <si>
    <t>Ext. Status</t>
  </si>
  <si>
    <t>Pre-INT/CEB</t>
  </si>
  <si>
    <t>Boot</t>
  </si>
  <si>
    <t>E15FF9F2C8820A00FFFFFFFF</t>
  </si>
  <si>
    <t>C7H752300C8HXNKKM</t>
  </si>
  <si>
    <t>E15FB804E20B0B00FFFFFFFF</t>
  </si>
  <si>
    <t>C7H749700AQHXNKKM</t>
  </si>
  <si>
    <t>E15F295F7C340F00FFFFFFFF</t>
  </si>
  <si>
    <t>C7H752300CQHXNKK5</t>
  </si>
  <si>
    <t>E15FE954919D0A00FFFFFFFF</t>
  </si>
  <si>
    <t>C7H752300CZHXNKKW</t>
  </si>
  <si>
    <t>E15F09E170870A00FFFFFFFF</t>
  </si>
  <si>
    <t>C7H752300CCHXNKKH</t>
  </si>
  <si>
    <t>E15FF9ECC9A50A00FFFFFFFF</t>
  </si>
  <si>
    <t>C7H752300C9HXNKKL</t>
  </si>
  <si>
    <t>E15FD9B2C44E0800FFFFFFFF</t>
  </si>
  <si>
    <t>C7H752300C6HXNKKP</t>
  </si>
  <si>
    <t>E15F78BCCF0F0400FFFFFFFF</t>
  </si>
  <si>
    <t>C7H749700CFHXNKKQ</t>
  </si>
  <si>
    <t>E15FD9863BEB0A00FFFFFFFF</t>
  </si>
  <si>
    <t>C7H752300BMHXNKKB</t>
  </si>
  <si>
    <t>E15FF99E2F910A00FFFFFFFF</t>
  </si>
  <si>
    <t>C7H752300CGHXNKKD</t>
  </si>
  <si>
    <t>E15FF84C8D140500FFFFFFFF</t>
  </si>
  <si>
    <t>C7H749700EDHXNKKL</t>
  </si>
  <si>
    <t>E1DFAA600C6D0B00FFFFFFFF</t>
  </si>
  <si>
    <t>C7H751300BGHXNKKK</t>
  </si>
  <si>
    <t>E15FB872183C0500FFFFFFFF</t>
  </si>
  <si>
    <t>C7H749700FJHXNKKC</t>
  </si>
  <si>
    <t>E15FD804E27A0500FFFFFFFF</t>
  </si>
  <si>
    <t>C7H749700DHHXNKKK</t>
  </si>
  <si>
    <t>E15FD8BC5A1C0500FFFFFFFF</t>
  </si>
  <si>
    <t>C7H749700DGHXNKKL</t>
  </si>
  <si>
    <t>E15FE9B679F50A00FFFFFFFF</t>
  </si>
  <si>
    <t>C7H752300CPHXNKK6</t>
  </si>
  <si>
    <t>E15F98A4AF110500FFFFFFFF</t>
  </si>
  <si>
    <t>C7H749700DPHXNKKD</t>
  </si>
  <si>
    <t>E15FB884AB5C0D00FFFFFFFF</t>
  </si>
  <si>
    <t>C7H749700DRHXNKKB</t>
  </si>
  <si>
    <t>E1DF2A0D377B0400FFFFFFFF</t>
  </si>
  <si>
    <t>C7H751300BFHXNKKL</t>
  </si>
  <si>
    <t>E15FE85016300D00FFFFFFFF</t>
  </si>
  <si>
    <t>C7H749700FLHXNKKA</t>
  </si>
  <si>
    <t>E15F29936C1F0F00FFFFFFFF</t>
  </si>
  <si>
    <t>C7H752300CXHXNKKY</t>
  </si>
  <si>
    <t>E1DFEA6AD0690300FFFFFFFF</t>
  </si>
  <si>
    <t>C7H751300BCHXNKKP</t>
  </si>
  <si>
    <t>E15FE9DC81070800FFFFFFFF</t>
  </si>
  <si>
    <t>C7H752300CFHXNKKE</t>
  </si>
  <si>
    <t>E15FE94296F60A00FFFFFFFF</t>
  </si>
  <si>
    <t>C7H752300CEHXNKKF</t>
  </si>
  <si>
    <t>E15FC99E38C60A00FFFFFFFF</t>
  </si>
  <si>
    <t>C7H752300B8HXNKKQ</t>
  </si>
  <si>
    <t>E15FF93077080800FFFFFFFF</t>
  </si>
  <si>
    <t>C7H752300BLHXNKKC</t>
  </si>
  <si>
    <t>E15FE92ADBEF0A00FFFFFFFF</t>
  </si>
  <si>
    <t>C7H752300CDHXNKKG</t>
  </si>
  <si>
    <t>E15FC90848030800FFFFFFFF</t>
  </si>
  <si>
    <t>C7H752300D2HXNKKQ</t>
  </si>
  <si>
    <t>E15FE9F2FD660800FFFFFFFF</t>
  </si>
  <si>
    <t>C7H752300CYHXNKKX</t>
  </si>
  <si>
    <t>E15FB8A412100D00FFFFFFFF</t>
  </si>
  <si>
    <t>C7H749700E1HXNKKY</t>
  </si>
  <si>
    <t>E1DF3AD34CDD0700FFFFFFFF</t>
  </si>
  <si>
    <t>C7H7513006XHXNKKK</t>
  </si>
  <si>
    <t>E15FE91E7CD10A00FFFFFFFF</t>
  </si>
  <si>
    <t>C7H752300BGHXNKKG</t>
  </si>
  <si>
    <t>E15FD9DA56980A00FFFFFFFF</t>
  </si>
  <si>
    <t>C7H752300CNHXNKK7</t>
  </si>
  <si>
    <t>E15F09C9391A0800FFFFFFFF</t>
  </si>
  <si>
    <t>C7H752300CVHXNKK0</t>
  </si>
  <si>
    <t>E15F783641AE0D00FFFFFFFF</t>
  </si>
  <si>
    <t>C7H749700CUHXNKKB</t>
  </si>
  <si>
    <t>E15FE9E2C2080800FFFFFFFF</t>
  </si>
  <si>
    <t>C7H752300CMHXNKK8</t>
  </si>
  <si>
    <t>E15F0999A8A00A00FFFFFFFF</t>
  </si>
  <si>
    <t>C7H752300BVHXNKK3</t>
  </si>
  <si>
    <t>E15F882C2AC70D00FFFFFFFF</t>
  </si>
  <si>
    <t>C7H749700FMHXNKK9</t>
  </si>
  <si>
    <t>x</t>
  </si>
  <si>
    <t>IMPLEMENTATION OF IDC WORK IN SR</t>
  </si>
  <si>
    <t>MU000003299562</t>
  </si>
  <si>
    <t>MUCSRTL091</t>
  </si>
  <si>
    <t>MUCSRTL090</t>
  </si>
  <si>
    <t>MUCSRTL093</t>
  </si>
  <si>
    <t>MUCSRTL092</t>
  </si>
  <si>
    <t xml:space="preserve">MU000003299487 </t>
  </si>
  <si>
    <t>SN3299562</t>
  </si>
  <si>
    <t>SN3299487</t>
  </si>
  <si>
    <t>SN3299694</t>
  </si>
  <si>
    <t>SN3299542</t>
  </si>
  <si>
    <t>SN3299399</t>
  </si>
  <si>
    <t>SN3299813</t>
  </si>
  <si>
    <t>Used for Boot test, if want to use need update config for normal testseup</t>
  </si>
  <si>
    <t>Daniel Jacobsen</t>
  </si>
  <si>
    <t>ISM: 1303952843</t>
  </si>
  <si>
    <t>ISM: 1303952893</t>
  </si>
  <si>
    <t>ISM: 1303952897</t>
  </si>
  <si>
    <t>ISM: 1303952900</t>
  </si>
  <si>
    <t>BEJSRTL491</t>
  </si>
  <si>
    <t>BEJSRTL492</t>
  </si>
  <si>
    <t>BEJSRTL493</t>
  </si>
  <si>
    <t>BEJSRTL494</t>
  </si>
  <si>
    <t>BEJSRTL497</t>
  </si>
  <si>
    <t>BEJSRTL498</t>
  </si>
  <si>
    <t>BEJSRTL499</t>
  </si>
  <si>
    <t>BEJSRTL500</t>
  </si>
  <si>
    <t>BEJSRTL502</t>
  </si>
  <si>
    <t>BEJSRTL503</t>
  </si>
  <si>
    <t>BEJSRTL504</t>
  </si>
  <si>
    <t>BEJSRTL505</t>
  </si>
  <si>
    <t>BEJSRTL506</t>
  </si>
  <si>
    <t>E15FC84A99020B00FFFFFFFF</t>
  </si>
  <si>
    <t>C7H749700D7HXNKKV</t>
  </si>
  <si>
    <t>E15F091349CD0A00FFFFFFFF</t>
  </si>
  <si>
    <t>C7H752300ASHXNKK9</t>
  </si>
  <si>
    <t>E15FF9A40FD00A00FFFFFFFF</t>
  </si>
  <si>
    <t>C7H752300DJHXNKK8</t>
  </si>
  <si>
    <t>E15FD9D6E9760800FFFFFFFF</t>
  </si>
  <si>
    <t>C7H752300BTHXNKK5</t>
  </si>
  <si>
    <t>E15FF80A39380500FFFFFFFF</t>
  </si>
  <si>
    <t>C7H749700DVHXNKK7</t>
  </si>
  <si>
    <t>E15FF948CF5F0800FFFFFFFF</t>
  </si>
  <si>
    <t>C7H752300AMHXNKKE</t>
  </si>
  <si>
    <t>E15FA854B04F0D00FFFFFFFF</t>
  </si>
  <si>
    <t>C7H749700DLHXNKKG</t>
  </si>
  <si>
    <t>E15FD9C48A650800FFFFFFFF</t>
  </si>
  <si>
    <t>C7H752300AQHXNKKB</t>
  </si>
  <si>
    <t>E15FF95ACF360800FFFFFFFF</t>
  </si>
  <si>
    <t>C7H752300C0HXNKKV</t>
  </si>
  <si>
    <t>E15F29B106470F00FFFFFFFF</t>
  </si>
  <si>
    <t>C7H752300B7HXNKKR</t>
  </si>
  <si>
    <t>E15FD8F69B0C1000FFFFFFFF</t>
  </si>
  <si>
    <t>C7H749700BFHXNKKT</t>
  </si>
  <si>
    <t>E15FE912DCF50A00FFFFFFFF</t>
  </si>
  <si>
    <t>C7H752300AXHXNKK4</t>
  </si>
  <si>
    <t>E15FB808043B1000FFFFFFFF</t>
  </si>
  <si>
    <t>C7H749700FTHXNKK3</t>
  </si>
  <si>
    <t>E15FA876653C0D00FFFFFFFF</t>
  </si>
  <si>
    <t>C7H749700DMHXNKKF</t>
  </si>
  <si>
    <t>E15FC84A03581000FFFFFFFF</t>
  </si>
  <si>
    <t>C7H749700BSHXNKKG</t>
  </si>
  <si>
    <t>E15FB85AAF2F0B00FFFFFFFF</t>
  </si>
  <si>
    <t>C7H749700BHHXNKKR</t>
  </si>
  <si>
    <t>E15FD9A0470E0800FFFFFFFF</t>
  </si>
  <si>
    <t>C7H752300DVHXNKKX</t>
  </si>
  <si>
    <t>E15FF9B6343F0800FFFFFFFF</t>
  </si>
  <si>
    <t>C7H752300DFHXNKKB</t>
  </si>
  <si>
    <t>E15F494538DA0A00FFFFFFFF</t>
  </si>
  <si>
    <t>C7H752300DSHXNKK0</t>
  </si>
  <si>
    <t>2F/R49/1</t>
  </si>
  <si>
    <t>E15F29B5F3460300FFFFFFFF</t>
  </si>
  <si>
    <t>C7H752300CHHXNKKC</t>
  </si>
  <si>
    <t>00440152219526</t>
  </si>
  <si>
    <t>00440152264316</t>
  </si>
  <si>
    <t>E15F296BFC250500FFFFFFFF</t>
  </si>
  <si>
    <t>C7H752300DKHXNKK7</t>
  </si>
  <si>
    <t>00440152219518</t>
  </si>
  <si>
    <t>00440152264308</t>
  </si>
  <si>
    <t>2F/R49/2</t>
  </si>
  <si>
    <t>E15FF960EE0F0800FFFFFFFF</t>
  </si>
  <si>
    <t>C7H752300DUHXNKKY</t>
  </si>
  <si>
    <t>00440152219601</t>
  </si>
  <si>
    <t>00440152264391</t>
  </si>
  <si>
    <t>E15FD924B49E0A00FFFFFFFF</t>
  </si>
  <si>
    <t>C7H752300APHXNKKC</t>
  </si>
  <si>
    <t>00440152219509</t>
  </si>
  <si>
    <t>00440152264299</t>
  </si>
  <si>
    <t>2F/R49/4</t>
  </si>
  <si>
    <t>E20F0A9837350700FFFFFFFF</t>
  </si>
  <si>
    <t>C7H8103001THXNKX6</t>
  </si>
  <si>
    <t>00440152219620</t>
  </si>
  <si>
    <t>00440152264410</t>
  </si>
  <si>
    <t>E28F69B35A641300FFFFFFFF</t>
  </si>
  <si>
    <t>C7H8103001PHXNKXA</t>
  </si>
  <si>
    <t>2F/R49/5</t>
  </si>
  <si>
    <t>E28F69E380091300FFFFFFFF</t>
  </si>
  <si>
    <t>C7H81030027HXNKXP</t>
  </si>
  <si>
    <t>E28F69E958AB0000FFFFFFFF</t>
  </si>
  <si>
    <t>C7H8103002EHXNKXG</t>
  </si>
  <si>
    <t>2F/R49/6</t>
  </si>
  <si>
    <t>E28F59C32CE40000FFFFFFFF</t>
  </si>
  <si>
    <t>C7H8103002ZHXNKXX</t>
  </si>
  <si>
    <t>2F/R49/7</t>
  </si>
  <si>
    <t>E28F59217B241300FFFFFFFF</t>
  </si>
  <si>
    <t>C7H8103001NHXNKXB</t>
  </si>
  <si>
    <t>00440152219507</t>
  </si>
  <si>
    <t>00440152264297</t>
  </si>
  <si>
    <t>2F/R50/1</t>
  </si>
  <si>
    <t>E20F0AEA4DE90000FFFFFFFF</t>
  </si>
  <si>
    <t>C7H8103001JHXNKXF</t>
  </si>
  <si>
    <t xml:space="preserve">Replaced with MK5 </t>
  </si>
  <si>
    <t>ICE19</t>
  </si>
  <si>
    <t>E1DF09B23C570800FFFFFFFF</t>
  </si>
  <si>
    <t>C7H752300DRHXNKK1</t>
  </si>
  <si>
    <t>E15FD902092C0800FFFFFFFF</t>
  </si>
  <si>
    <t>C7H752300DGHXNKKA</t>
  </si>
  <si>
    <t>E15F090DD4320800FFFFFFFF</t>
  </si>
  <si>
    <t>C7H752300DTHXNKKZ</t>
  </si>
  <si>
    <t>E15FB82A1C0E0B00FFFFFFFF</t>
  </si>
  <si>
    <t>C7H749700BLHXNKKN</t>
  </si>
  <si>
    <t>E20F1A887C1F1300FFFFFFFF</t>
  </si>
  <si>
    <t>C7H81030029HXNKXM</t>
  </si>
  <si>
    <t>E15FB8BAD32B1000FFFFFFFF</t>
  </si>
  <si>
    <t>C7H749700BDHXNKKV</t>
  </si>
  <si>
    <t>E15FD8F6B13A0B00FFFFFFFF</t>
  </si>
  <si>
    <t>C7H749700FUHXNKK2</t>
  </si>
  <si>
    <t>E15FC8147B6D1000FFFFFFFF</t>
  </si>
  <si>
    <t>C7H749700B4HXNKK4</t>
  </si>
  <si>
    <t>E15FC88ED53C1000FFFFFFFF</t>
  </si>
  <si>
    <t>C7H749700BNHXNKKL</t>
  </si>
  <si>
    <t>E15FC9A6A6500800FFFFFFFF</t>
  </si>
  <si>
    <t>C7H752300DMHXNKK5</t>
  </si>
  <si>
    <t>E15FE938476A0800FFFFFFFF</t>
  </si>
  <si>
    <t>C7H752300AUHXNKK7</t>
  </si>
  <si>
    <t>E15FC890A5730B00FFFFFFFF</t>
  </si>
  <si>
    <t>C7H749700CGHXNKKP</t>
  </si>
  <si>
    <t>E15FB8A8632A1000FFFFFFFF</t>
  </si>
  <si>
    <t>C7H749700FVHXNKK1</t>
  </si>
  <si>
    <t>E15F0967319B0A00FFFFFFFF</t>
  </si>
  <si>
    <t>C7H752300BRHXNKK7</t>
  </si>
  <si>
    <t>E15F88449BD00D00FFFFFFFF</t>
  </si>
  <si>
    <t>C7H749700CTHXNKKC</t>
  </si>
  <si>
    <t>E15FF9CEE9FC0A00FFFFFFFF</t>
  </si>
  <si>
    <t>C7H752300BZHXNKKZ</t>
  </si>
  <si>
    <t>E15F689DE33F0D00FFFFFFFF</t>
  </si>
  <si>
    <t>C7H749700B1HXNKK7</t>
  </si>
  <si>
    <t>E15FD8F06E701000FFFFFFFF</t>
  </si>
  <si>
    <t>C7H749700BAHXNKKY</t>
  </si>
  <si>
    <t>E15FE9A0C72A0800FFFFFFFF</t>
  </si>
  <si>
    <t>C7H752300B2HXNKKW</t>
  </si>
  <si>
    <t>C7H7513015EHXNKK4</t>
  </si>
  <si>
    <t>C7H7513014HHXNKK4</t>
  </si>
  <si>
    <t>C7H75130161HXNKKE</t>
  </si>
  <si>
    <t>C7H7513017BHXNKK1</t>
  </si>
  <si>
    <t>E20F0A0C69151300FFFFFFFF</t>
  </si>
  <si>
    <t>C7H8103002LHXNKXA</t>
  </si>
  <si>
    <t>E15FF8D455420D00FFFFFFFF</t>
  </si>
  <si>
    <t>C7H749700FNHXNKK8</t>
  </si>
  <si>
    <t>E15F59B934FB0A00FFFFFFFF</t>
  </si>
  <si>
    <t>C7H75230096HXNKKY</t>
  </si>
  <si>
    <t>E15F68A03D2E0400FFFFFFFF</t>
  </si>
  <si>
    <t>C7H749700CNHXNKKH</t>
  </si>
  <si>
    <t>E15FC8CECD4D0500FFFFFFFF</t>
  </si>
  <si>
    <t>E15FE80CB5681000FFFFFFFF</t>
  </si>
  <si>
    <t>C7H749700B7HXNKK1</t>
  </si>
  <si>
    <t>E15F783C6B9D0D00FFFFFFFF</t>
  </si>
  <si>
    <t>C7H749700CRHXNKKE</t>
  </si>
  <si>
    <t>BEJSRTL495</t>
  </si>
  <si>
    <t>2F/R49/3</t>
  </si>
  <si>
    <t>E15F98848F5B0900FFFFFFFF</t>
  </si>
  <si>
    <t>C7H749700B8HXNKK0</t>
  </si>
  <si>
    <t>00440152217937</t>
  </si>
  <si>
    <t>00440152218837</t>
  </si>
  <si>
    <t>BEJSRTL496</t>
  </si>
  <si>
    <t>E15FB8A4F6290B00FFFFFFFF</t>
  </si>
  <si>
    <t>C7H749700BGHXNKKS</t>
  </si>
  <si>
    <t>00440152219472</t>
  </si>
  <si>
    <t>00440152264262</t>
  </si>
  <si>
    <t>BEJSRTL507</t>
  </si>
  <si>
    <t>E15FC8F208050B00FFFFFFFF</t>
  </si>
  <si>
    <t>C7H749700AXHXNKKE</t>
  </si>
  <si>
    <t>00440152219606</t>
  </si>
  <si>
    <t>00440152264396</t>
  </si>
  <si>
    <t>E15FD80CF7581000FFFFFFFF</t>
  </si>
  <si>
    <t>C7H749700BPHXNKKK</t>
  </si>
  <si>
    <t>BASRTL107</t>
  </si>
  <si>
    <t xml:space="preserve">for ICE 19 trial run </t>
  </si>
  <si>
    <t>To stock</t>
  </si>
  <si>
    <t>SN2794308</t>
  </si>
  <si>
    <t>ISM : 1303938206</t>
  </si>
  <si>
    <t xml:space="preserve">MK6 </t>
  </si>
  <si>
    <t>Ticket opened for Devops</t>
  </si>
  <si>
    <t>ISM:1303945693</t>
  </si>
  <si>
    <t>E1DF5A3FF29C0700FFFFFFFF</t>
  </si>
  <si>
    <t>C7H7513007VHXNKKJ</t>
  </si>
  <si>
    <t>00440152219493</t>
  </si>
  <si>
    <t>00440152280443</t>
  </si>
  <si>
    <t>00440152262406</t>
  </si>
  <si>
    <t>00440152280423</t>
  </si>
  <si>
    <t>00440152262408</t>
  </si>
  <si>
    <t>00440152280425</t>
  </si>
  <si>
    <t>00440152262410</t>
  </si>
  <si>
    <t>BEJSRTL490</t>
  </si>
  <si>
    <t>00440152280438</t>
  </si>
  <si>
    <t>00440152262412</t>
  </si>
  <si>
    <t>BEJSRTL501</t>
  </si>
  <si>
    <t>00440152280442</t>
  </si>
  <si>
    <t>00440152262414</t>
  </si>
  <si>
    <t>BEJSRTL508</t>
  </si>
  <si>
    <t>00440152280444</t>
  </si>
  <si>
    <t>00440152262416</t>
  </si>
  <si>
    <t>E1DF6A9FC0840500FFFFFFFF</t>
  </si>
  <si>
    <t>C7H75130067HXNKK9</t>
  </si>
  <si>
    <t>E1DF7A9F563B0E00FFFFFFFF</t>
  </si>
  <si>
    <t>C7H7513006EHXNKK2</t>
  </si>
  <si>
    <t>Level adjustment</t>
  </si>
  <si>
    <t>Lend to Boot</t>
  </si>
  <si>
    <t>ISM:130395381</t>
  </si>
  <si>
    <t xml:space="preserve">For Trial Run </t>
  </si>
  <si>
    <t>Shipping to Santa Clara</t>
  </si>
  <si>
    <t>Ashish</t>
  </si>
  <si>
    <t>IBIS Congatecs- Setups ramped up for IBIS</t>
  </si>
  <si>
    <t>IBIS HIL 10 setups ramped up</t>
  </si>
  <si>
    <t>Ramp Up</t>
  </si>
  <si>
    <t>RAMP up</t>
  </si>
  <si>
    <t>ramp up</t>
  </si>
  <si>
    <t>IBIS RAMP</t>
  </si>
  <si>
    <t>IBIS RAMP Up</t>
  </si>
  <si>
    <t xml:space="preserve">Jio+Airtel </t>
  </si>
  <si>
    <t>HAMA power supplies received</t>
  </si>
  <si>
    <t>To reset cables handed over to Jasmine</t>
  </si>
  <si>
    <t>bejsrtm008smini.bj.intel.com</t>
  </si>
  <si>
    <t>bejsrtm007smini.bj.intel.com</t>
  </si>
  <si>
    <t>00440152217745</t>
  </si>
  <si>
    <t>00440152218645</t>
  </si>
  <si>
    <t>bijsrtm012smini.bj.intel.com</t>
  </si>
  <si>
    <t>00440152218006</t>
  </si>
  <si>
    <t>00440152218906</t>
  </si>
  <si>
    <t>bejsrtm010smini.bj.intel.com</t>
  </si>
  <si>
    <t>bejsrtm009smini.bj.intel.com</t>
  </si>
  <si>
    <t>00440152218007</t>
  </si>
  <si>
    <t>00440152218907</t>
  </si>
  <si>
    <t>7560utt235smini.bj.intel.com</t>
  </si>
  <si>
    <t>00440152218008</t>
  </si>
  <si>
    <t>00440152218908</t>
  </si>
  <si>
    <t>7560utt236smini.bj.intel.com</t>
  </si>
  <si>
    <t>00440152262030</t>
  </si>
  <si>
    <t>00440152262232</t>
  </si>
  <si>
    <t>bejsrtm005smini.bj.intel.com</t>
  </si>
  <si>
    <t>00440152219585</t>
  </si>
  <si>
    <t>00440152264375</t>
  </si>
  <si>
    <t>7560utt243smini.bj.intel.com</t>
  </si>
  <si>
    <t>00440152218032</t>
  </si>
  <si>
    <t>00440152218932</t>
  </si>
  <si>
    <t>7560utt127smini.bj.intel.com</t>
  </si>
  <si>
    <t>00440152218087</t>
  </si>
  <si>
    <t>00440152218987</t>
  </si>
  <si>
    <t>7560utt241smini.bj.intel.com</t>
  </si>
  <si>
    <t>00440152219497</t>
  </si>
  <si>
    <t>00440152264287</t>
  </si>
  <si>
    <t>00440152218117</t>
  </si>
  <si>
    <t>00440152219017</t>
  </si>
  <si>
    <t>bejsrtm002smini.bj.intel.com</t>
  </si>
  <si>
    <t>00440152218134</t>
  </si>
  <si>
    <t>00440152219034</t>
  </si>
  <si>
    <t>bejsrtm006smini.bj.intel.com</t>
  </si>
  <si>
    <t>00440152219511</t>
  </si>
  <si>
    <t>00440152264301</t>
  </si>
  <si>
    <t>bejsrtm004smini.bj.intel.com</t>
  </si>
  <si>
    <t>00440152218090</t>
  </si>
  <si>
    <t>00440152218990</t>
  </si>
  <si>
    <t>00440152219605</t>
  </si>
  <si>
    <t>00440152264395</t>
  </si>
  <si>
    <t>00440152217712</t>
  </si>
  <si>
    <t>00440152218612</t>
  </si>
  <si>
    <t>00440152218139</t>
  </si>
  <si>
    <t>00440152219039</t>
  </si>
  <si>
    <t>00440152218144</t>
  </si>
  <si>
    <t>00440152219044</t>
  </si>
  <si>
    <t>00440152218148</t>
  </si>
  <si>
    <t>00440152219048</t>
  </si>
  <si>
    <t>00440152219586</t>
  </si>
  <si>
    <t>00440152264376</t>
  </si>
  <si>
    <t>00440152219587</t>
  </si>
  <si>
    <t>00440152264377</t>
  </si>
  <si>
    <t>00440152219593</t>
  </si>
  <si>
    <t>00440152264383</t>
  </si>
  <si>
    <t>7560utt275smini.bj.intel.com</t>
  </si>
  <si>
    <t>bejsrtm011smini.bj.intel.com</t>
  </si>
  <si>
    <t>00440152219494</t>
  </si>
  <si>
    <t>00440152264284</t>
  </si>
  <si>
    <t>00440152219478</t>
  </si>
  <si>
    <t>00440152264268</t>
  </si>
  <si>
    <t>00440152218149</t>
  </si>
  <si>
    <t>00440152219049</t>
  </si>
  <si>
    <t>00440152219488</t>
  </si>
  <si>
    <t>00440152264278</t>
  </si>
  <si>
    <t>00440152219581</t>
  </si>
  <si>
    <t>00440152264371</t>
  </si>
  <si>
    <t>00440152219583</t>
  </si>
  <si>
    <t>00440152264373</t>
  </si>
  <si>
    <t>00440152217744</t>
  </si>
  <si>
    <t>00440152218644</t>
  </si>
  <si>
    <t>bejsrtm001smini.bj.intel.com</t>
  </si>
  <si>
    <t>00440152219632</t>
  </si>
  <si>
    <t>00440152264422</t>
  </si>
  <si>
    <t>00440152219595</t>
  </si>
  <si>
    <t>00440152264385</t>
  </si>
  <si>
    <t>00440152219650</t>
  </si>
  <si>
    <t>00440152264440</t>
  </si>
  <si>
    <t>00440152219822</t>
  </si>
  <si>
    <t>00440152264612</t>
  </si>
  <si>
    <t>00440152219834</t>
  </si>
  <si>
    <t>00440152264624</t>
  </si>
  <si>
    <t>00440152262000</t>
  </si>
  <si>
    <t>00440152262202</t>
  </si>
  <si>
    <t>00440152262001</t>
  </si>
  <si>
    <t>00440152262203</t>
  </si>
  <si>
    <t>00440152218091</t>
  </si>
  <si>
    <t>00440152218991</t>
  </si>
  <si>
    <t>00440152219659</t>
  </si>
  <si>
    <t>00440152264449</t>
  </si>
  <si>
    <t>00440152218113</t>
  </si>
  <si>
    <t>00440152219013</t>
  </si>
  <si>
    <t>00440152262002</t>
  </si>
  <si>
    <t>00440152262204</t>
  </si>
  <si>
    <t>00440152262003</t>
  </si>
  <si>
    <t>00440152262205</t>
  </si>
  <si>
    <t>00440152262004</t>
  </si>
  <si>
    <t>00440152262206</t>
  </si>
  <si>
    <t>00440152262005</t>
  </si>
  <si>
    <t>00440152262207</t>
  </si>
  <si>
    <t>E1DFDA0679580300FFFFFFFF</t>
  </si>
  <si>
    <t>C7H75130092HXNKK5</t>
  </si>
  <si>
    <t>00440152262006</t>
  </si>
  <si>
    <t>00440152262208</t>
  </si>
  <si>
    <t>00440152262007</t>
  </si>
  <si>
    <t>00440152262209</t>
  </si>
  <si>
    <t>E1DFBA6A81260B00FFFFFFFF</t>
  </si>
  <si>
    <t>C7H75130080HXNKKA</t>
  </si>
  <si>
    <t>00440152262008</t>
  </si>
  <si>
    <t>00440152262210</t>
  </si>
  <si>
    <t>00440152262009</t>
  </si>
  <si>
    <t>00440152262211</t>
  </si>
  <si>
    <t>bejsrtm003smini.bj.intel.com</t>
  </si>
  <si>
    <t>00440152262010</t>
  </si>
  <si>
    <t>00440152262212</t>
  </si>
  <si>
    <t>00440152262011</t>
  </si>
  <si>
    <t>00440152262213</t>
  </si>
  <si>
    <t>00440152218191</t>
  </si>
  <si>
    <t>00440152219091</t>
  </si>
  <si>
    <t>7560utt175smini.bj.intel.com</t>
  </si>
  <si>
    <t>00440152219611</t>
  </si>
  <si>
    <t>00440152264401</t>
  </si>
  <si>
    <t>00440152218118</t>
  </si>
  <si>
    <t>00440152219018</t>
  </si>
  <si>
    <t>00440152262012</t>
  </si>
  <si>
    <t>00440152262214</t>
  </si>
  <si>
    <t>00440152219755</t>
  </si>
  <si>
    <t>00440152264545</t>
  </si>
  <si>
    <t>00440152219763</t>
  </si>
  <si>
    <t>00440152264553</t>
  </si>
  <si>
    <t>00440152262014</t>
  </si>
  <si>
    <t>00440152262216</t>
  </si>
  <si>
    <t>00440152262015</t>
  </si>
  <si>
    <t>00440152262217</t>
  </si>
  <si>
    <t>00440152262016</t>
  </si>
  <si>
    <t>00440152262218</t>
  </si>
  <si>
    <t>00440152262017</t>
  </si>
  <si>
    <t>00440152262219</t>
  </si>
  <si>
    <t>00440152219468</t>
  </si>
  <si>
    <t>00440152264258</t>
  </si>
  <si>
    <t>00440152218015</t>
  </si>
  <si>
    <t>00440152218915</t>
  </si>
  <si>
    <t>00440152262018</t>
  </si>
  <si>
    <t>00440152262220</t>
  </si>
  <si>
    <t>00440152218140</t>
  </si>
  <si>
    <t>00440152219040</t>
  </si>
  <si>
    <t>00440152219596</t>
  </si>
  <si>
    <t>00440152264386</t>
  </si>
  <si>
    <t>00440152219655</t>
  </si>
  <si>
    <t>00440152264445</t>
  </si>
  <si>
    <t>E1DFCA80771E0C00FFFFFFFF</t>
  </si>
  <si>
    <t>C7H7513007UHXNKKK</t>
  </si>
  <si>
    <t>00440152219597</t>
  </si>
  <si>
    <t>00440152264387</t>
  </si>
  <si>
    <t>00440152262020</t>
  </si>
  <si>
    <t>00440152262222</t>
  </si>
  <si>
    <t>00440152218093</t>
  </si>
  <si>
    <t>00440152218993</t>
  </si>
  <si>
    <t>00440152262021</t>
  </si>
  <si>
    <t>00440152262223</t>
  </si>
  <si>
    <t>00440152262022</t>
  </si>
  <si>
    <t>00440152262224</t>
  </si>
  <si>
    <t>00440152262023</t>
  </si>
  <si>
    <t>00440152262225</t>
  </si>
  <si>
    <t>00440152262024</t>
  </si>
  <si>
    <t>00440152262226</t>
  </si>
  <si>
    <t>00440152262025</t>
  </si>
  <si>
    <t>00440152262227</t>
  </si>
  <si>
    <t>00440152262026</t>
  </si>
  <si>
    <t>00440152262228</t>
  </si>
  <si>
    <t>00440152262027</t>
  </si>
  <si>
    <t>00440152262229</t>
  </si>
  <si>
    <t>00440152262028</t>
  </si>
  <si>
    <t>00440152262230</t>
  </si>
  <si>
    <t>00440152262029</t>
  </si>
  <si>
    <t>00440152262231</t>
  </si>
  <si>
    <t>00440152262031</t>
  </si>
  <si>
    <t>00440152262233</t>
  </si>
  <si>
    <t>00440152262032</t>
  </si>
  <si>
    <t>00440152262234</t>
  </si>
  <si>
    <t>00440152262033</t>
  </si>
  <si>
    <t>00440152262235</t>
  </si>
  <si>
    <t>00440152262034</t>
  </si>
  <si>
    <t>00440152262236</t>
  </si>
  <si>
    <t>7560utt009smini.bj.intel.com</t>
  </si>
  <si>
    <t>00440152217919</t>
  </si>
  <si>
    <t>00440152218819</t>
  </si>
  <si>
    <t>bejsrtm014smini.bj.intel.com</t>
  </si>
  <si>
    <t>00440152262035</t>
  </si>
  <si>
    <t>00440152262237</t>
  </si>
  <si>
    <t>00440152262036</t>
  </si>
  <si>
    <t>00440152262238</t>
  </si>
  <si>
    <t>00440152280445</t>
  </si>
  <si>
    <t>00440152262420</t>
  </si>
  <si>
    <t>00440152262037</t>
  </si>
  <si>
    <t>00440152262239</t>
  </si>
  <si>
    <t>00440152262038</t>
  </si>
  <si>
    <t>00440152262240</t>
  </si>
  <si>
    <t>00440152262039</t>
  </si>
  <si>
    <t>00440152262241</t>
  </si>
  <si>
    <t>00440152262040</t>
  </si>
  <si>
    <t>00440152262242</t>
  </si>
  <si>
    <t>00440152262041</t>
  </si>
  <si>
    <t>00440152262243</t>
  </si>
  <si>
    <t>00440152262042</t>
  </si>
  <si>
    <t>00440152262244</t>
  </si>
  <si>
    <t>00440152262052</t>
  </si>
  <si>
    <t>00440152262254</t>
  </si>
  <si>
    <t>00440152262043</t>
  </si>
  <si>
    <t>00440152262245</t>
  </si>
  <si>
    <t>00440152262044</t>
  </si>
  <si>
    <t>00440152262246</t>
  </si>
  <si>
    <t>00440152262045</t>
  </si>
  <si>
    <t>00440152262247</t>
  </si>
  <si>
    <t>00440152262046</t>
  </si>
  <si>
    <t>00440152262248</t>
  </si>
  <si>
    <t>00440152262047</t>
  </si>
  <si>
    <t>00440152262249</t>
  </si>
  <si>
    <t>00440152262048</t>
  </si>
  <si>
    <t>00440152262250</t>
  </si>
  <si>
    <t>00440152262049</t>
  </si>
  <si>
    <t>00440152262251</t>
  </si>
  <si>
    <t>00440152262050</t>
  </si>
  <si>
    <t>00440152262252</t>
  </si>
  <si>
    <t>00440152262051</t>
  </si>
  <si>
    <t>00440152262253</t>
  </si>
  <si>
    <t>00440152262053</t>
  </si>
  <si>
    <t>00440152262255</t>
  </si>
  <si>
    <t>00440152262055</t>
  </si>
  <si>
    <t>00440152262257</t>
  </si>
  <si>
    <t>00440152262056</t>
  </si>
  <si>
    <t>00440152262258</t>
  </si>
  <si>
    <t>00440152262057</t>
  </si>
  <si>
    <t>00440152262259</t>
  </si>
  <si>
    <t>00440152262058</t>
  </si>
  <si>
    <t>00440152262260</t>
  </si>
  <si>
    <t>00440152262059</t>
  </si>
  <si>
    <t>00440152262261</t>
  </si>
  <si>
    <t>00440152262060</t>
  </si>
  <si>
    <t>00440152262262</t>
  </si>
  <si>
    <t>00440152262061</t>
  </si>
  <si>
    <t>00440152262263</t>
  </si>
  <si>
    <t>00440152262062</t>
  </si>
  <si>
    <t>00440152262264</t>
  </si>
  <si>
    <t>00440152262063</t>
  </si>
  <si>
    <t>00440152262265</t>
  </si>
  <si>
    <t>00440152280441</t>
  </si>
  <si>
    <t>00440152262418</t>
  </si>
  <si>
    <t>00440152262064</t>
  </si>
  <si>
    <t>00440152262266</t>
  </si>
  <si>
    <t>00440152262065</t>
  </si>
  <si>
    <t>00440152262267</t>
  </si>
  <si>
    <t>00440152262066</t>
  </si>
  <si>
    <t>00440152262268</t>
  </si>
  <si>
    <t>00440152262067</t>
  </si>
  <si>
    <t>00440152262269</t>
  </si>
  <si>
    <t>00440152262068</t>
  </si>
  <si>
    <t>00440152262270</t>
  </si>
  <si>
    <t>00440152262069</t>
  </si>
  <si>
    <t>00440152262271</t>
  </si>
  <si>
    <t>00440152262070</t>
  </si>
  <si>
    <t>00440152262272</t>
  </si>
  <si>
    <t>00440152262071</t>
  </si>
  <si>
    <t>00440152262273</t>
  </si>
  <si>
    <t>00440152262072</t>
  </si>
  <si>
    <t>00440152262274</t>
  </si>
  <si>
    <t>00440152262073</t>
  </si>
  <si>
    <t>00440152262275</t>
  </si>
  <si>
    <t>00440152262074</t>
  </si>
  <si>
    <t>00440152262276</t>
  </si>
  <si>
    <t>00440152262075</t>
  </si>
  <si>
    <t>00440152262277</t>
  </si>
  <si>
    <t>00440152262076</t>
  </si>
  <si>
    <t>00440152262278</t>
  </si>
  <si>
    <t>00440152262077</t>
  </si>
  <si>
    <t>00440152262279</t>
  </si>
  <si>
    <t>00440152262078</t>
  </si>
  <si>
    <t>00440152262280</t>
  </si>
  <si>
    <t>00440152262079</t>
  </si>
  <si>
    <t>00440152262281</t>
  </si>
  <si>
    <t>00440152262080</t>
  </si>
  <si>
    <t>00440152262282</t>
  </si>
  <si>
    <t>00440152262081</t>
  </si>
  <si>
    <t>00440152262283</t>
  </si>
  <si>
    <t>00440152262082</t>
  </si>
  <si>
    <t>00440152262284</t>
  </si>
  <si>
    <t>00440152262083</t>
  </si>
  <si>
    <t>00440152262285</t>
  </si>
  <si>
    <t>00440152262084</t>
  </si>
  <si>
    <t>00440152262286</t>
  </si>
  <si>
    <t>00440152262085</t>
  </si>
  <si>
    <t>00440152262287</t>
  </si>
  <si>
    <t>00440152262086</t>
  </si>
  <si>
    <t>00440152262288</t>
  </si>
  <si>
    <t>00440152262087</t>
  </si>
  <si>
    <t>00440152262289</t>
  </si>
  <si>
    <t>00440152262088</t>
  </si>
  <si>
    <t>00440152262290</t>
  </si>
  <si>
    <t>E1DF6A2568CA0700FFFFFFFF</t>
  </si>
  <si>
    <t>C7H7513008AHXNKK0</t>
  </si>
  <si>
    <t>00440152262089</t>
  </si>
  <si>
    <t>00440152262291</t>
  </si>
  <si>
    <t>00440152219506</t>
  </si>
  <si>
    <t>00440152264296</t>
  </si>
  <si>
    <t>00440152262090</t>
  </si>
  <si>
    <t>00440152262292</t>
  </si>
  <si>
    <t>00440152262091</t>
  </si>
  <si>
    <t>00440152262293</t>
  </si>
  <si>
    <t>00440152262092</t>
  </si>
  <si>
    <t>00440152262294</t>
  </si>
  <si>
    <t>00440152262093</t>
  </si>
  <si>
    <t>00440152262295</t>
  </si>
  <si>
    <t>E1DF4A6754C60700FFFFFFFF</t>
  </si>
  <si>
    <t>C7H7513006DHXNKK3</t>
  </si>
  <si>
    <t>00440152262094</t>
  </si>
  <si>
    <t>00440152262296</t>
  </si>
  <si>
    <t>00440152262095</t>
  </si>
  <si>
    <t>00440152262297</t>
  </si>
  <si>
    <t>00440152262096</t>
  </si>
  <si>
    <t>00440152262298</t>
  </si>
  <si>
    <t>00440152262097</t>
  </si>
  <si>
    <t>00440152262299</t>
  </si>
  <si>
    <t>C7H7513009CHXNKKV</t>
  </si>
  <si>
    <t>00440152218075</t>
  </si>
  <si>
    <t>00440152218975</t>
  </si>
  <si>
    <t>00440152262098</t>
  </si>
  <si>
    <t>00440152262300</t>
  </si>
  <si>
    <t>00440152262099</t>
  </si>
  <si>
    <t>00440152262301</t>
  </si>
  <si>
    <t>00440152262100</t>
  </si>
  <si>
    <t>00440152262302</t>
  </si>
  <si>
    <t>00440152262101</t>
  </si>
  <si>
    <t>00440152262303</t>
  </si>
  <si>
    <t>00440152262102</t>
  </si>
  <si>
    <t>00440152262304</t>
  </si>
  <si>
    <t>00440152262103</t>
  </si>
  <si>
    <t>00440152262305</t>
  </si>
  <si>
    <t>00440152262104</t>
  </si>
  <si>
    <t>00440152262306</t>
  </si>
  <si>
    <t>00440152262134</t>
  </si>
  <si>
    <t>00440152262336</t>
  </si>
  <si>
    <t>00440152262105</t>
  </si>
  <si>
    <t>00440152262307</t>
  </si>
  <si>
    <t>00440152262106</t>
  </si>
  <si>
    <t>00440152262308</t>
  </si>
  <si>
    <t>00440152262107</t>
  </si>
  <si>
    <t>00440152262309</t>
  </si>
  <si>
    <t>00440152262108</t>
  </si>
  <si>
    <t>00440152262310</t>
  </si>
  <si>
    <t>00440152262109</t>
  </si>
  <si>
    <t>00440152262311</t>
  </si>
  <si>
    <t>00440152262110</t>
  </si>
  <si>
    <t>00440152262312</t>
  </si>
  <si>
    <t>00440152262111</t>
  </si>
  <si>
    <t>00440152262313</t>
  </si>
  <si>
    <t>00440152262112</t>
  </si>
  <si>
    <t>00440152262314</t>
  </si>
  <si>
    <t>E1DF2A8D73740200FFFFFFFF</t>
  </si>
  <si>
    <t>C7H751300AAHXNKKU</t>
  </si>
  <si>
    <t>00440152262113</t>
  </si>
  <si>
    <t>00440152262315</t>
  </si>
  <si>
    <t>00440152262114</t>
  </si>
  <si>
    <t>00440152262316</t>
  </si>
  <si>
    <t>E20F2A8499090700FFFFFFFF</t>
  </si>
  <si>
    <t>C7H8103001QHXNKX9</t>
  </si>
  <si>
    <t>00440152262115</t>
  </si>
  <si>
    <t>00440152262317</t>
  </si>
  <si>
    <t>00440152262116</t>
  </si>
  <si>
    <t>00440152262318</t>
  </si>
  <si>
    <t>00440152262117</t>
  </si>
  <si>
    <t>00440152262319</t>
  </si>
  <si>
    <t>00440152262118</t>
  </si>
  <si>
    <t>00440152262320</t>
  </si>
  <si>
    <t>00440152262119</t>
  </si>
  <si>
    <t>00440152262321</t>
  </si>
  <si>
    <t>00440152262120</t>
  </si>
  <si>
    <t>00440152262322</t>
  </si>
  <si>
    <t>00440152262121</t>
  </si>
  <si>
    <t>00440152262323</t>
  </si>
  <si>
    <t>00440152262122</t>
  </si>
  <si>
    <t>00440152262324</t>
  </si>
  <si>
    <t>00440152262123</t>
  </si>
  <si>
    <t>00440152262325</t>
  </si>
  <si>
    <t>00440152262124</t>
  </si>
  <si>
    <t>00440152262326</t>
  </si>
  <si>
    <t>00440152262125</t>
  </si>
  <si>
    <t>00440152262327</t>
  </si>
  <si>
    <t>00440152262126</t>
  </si>
  <si>
    <t>00440152262328</t>
  </si>
  <si>
    <t>E1DF2A4741CE0700FFFFFFFF</t>
  </si>
  <si>
    <t>C7H7513008CHXNKKY</t>
  </si>
  <si>
    <t>00440152262127</t>
  </si>
  <si>
    <t>00440152262329</t>
  </si>
  <si>
    <t>00440152262128</t>
  </si>
  <si>
    <t>00440152262330</t>
  </si>
  <si>
    <t>00440152262129</t>
  </si>
  <si>
    <t>00440152262331</t>
  </si>
  <si>
    <t>00440152262130</t>
  </si>
  <si>
    <t>00440152262332</t>
  </si>
  <si>
    <t>00440152262131</t>
  </si>
  <si>
    <t>00440152262333</t>
  </si>
  <si>
    <t>00440152262132</t>
  </si>
  <si>
    <t>00440152262334</t>
  </si>
  <si>
    <t>00440152262133</t>
  </si>
  <si>
    <t>00440152262335</t>
  </si>
  <si>
    <t>00440152262135</t>
  </si>
  <si>
    <t>00440152262337</t>
  </si>
  <si>
    <t>00440152262136</t>
  </si>
  <si>
    <t>00440152262338</t>
  </si>
  <si>
    <t>00440152262137</t>
  </si>
  <si>
    <t>00440152262339</t>
  </si>
  <si>
    <t>00440152262138</t>
  </si>
  <si>
    <t>00440152262340</t>
  </si>
  <si>
    <t>00440152262139</t>
  </si>
  <si>
    <t>00440152262341</t>
  </si>
  <si>
    <t>00440152217711</t>
  </si>
  <si>
    <t>00440152218611</t>
  </si>
  <si>
    <t>00440152262140</t>
  </si>
  <si>
    <t>00440152262342</t>
  </si>
  <si>
    <t>00440152262141</t>
  </si>
  <si>
    <t>00440152262343</t>
  </si>
  <si>
    <t>00440152262142</t>
  </si>
  <si>
    <t>00440152262344</t>
  </si>
  <si>
    <t>E15FC8DC9AB40A00FFFFFFFF</t>
  </si>
  <si>
    <t>C7H749700FPHXNKK7</t>
  </si>
  <si>
    <t>C7H749700ECHXNKKM</t>
  </si>
  <si>
    <t>00440152262615</t>
  </si>
  <si>
    <t>00440152262616</t>
  </si>
  <si>
    <t>E1DF5A3343D70500FFFFFFFF</t>
  </si>
  <si>
    <t>C7H751300ADHXNKKR</t>
  </si>
  <si>
    <t>congatec is faulty</t>
  </si>
  <si>
    <t>from local vendor</t>
  </si>
  <si>
    <t xml:space="preserve">4Rx enablement </t>
  </si>
  <si>
    <t>ROT</t>
  </si>
  <si>
    <t>4x</t>
  </si>
  <si>
    <t>Santa Clara</t>
  </si>
  <si>
    <t>Cupertino</t>
  </si>
  <si>
    <t>HILSRTL198</t>
  </si>
  <si>
    <t>Mk6</t>
  </si>
  <si>
    <t>HILSRTL190</t>
  </si>
  <si>
    <t>SPRINT</t>
  </si>
  <si>
    <t>Mk5</t>
  </si>
  <si>
    <t>HW SWAPPED WITH HILSRTL158</t>
  </si>
  <si>
    <t>4Rx enablement SSIM setups</t>
  </si>
  <si>
    <t>4Rx enablement for MSIM setups</t>
  </si>
  <si>
    <t>Hybrid</t>
  </si>
  <si>
    <t>E1DF5A4BB7D20500FFFFFFFF</t>
  </si>
  <si>
    <t>C7H75130093HXNKK4</t>
  </si>
  <si>
    <t>E1DFBA0281640B00FFFFFFFF</t>
  </si>
  <si>
    <t>C7H7513006VHXNKKM</t>
  </si>
  <si>
    <t>E1DF3A1B48251000FFFFFFFF</t>
  </si>
  <si>
    <t>C7H751300A0HXNKK4</t>
  </si>
  <si>
    <t>E1DF2ACD6F551000FFFFFFFF</t>
  </si>
  <si>
    <t>C7H7513009UHXNKKD</t>
  </si>
  <si>
    <t>E1DFDAEE926A0300FFFFFFFF</t>
  </si>
  <si>
    <t>C7H75130094HXNKK3</t>
  </si>
  <si>
    <t>E28F79C9611D1300FFFFFFFF</t>
  </si>
  <si>
    <t>C7H81030033HXNKXQ</t>
  </si>
  <si>
    <t>FDD+FDD</t>
  </si>
  <si>
    <t>FDD+WCDMA</t>
  </si>
  <si>
    <t>WCDMA+WCDMA</t>
  </si>
  <si>
    <t>TDD+WCDMA</t>
  </si>
  <si>
    <t>BAngalore</t>
  </si>
  <si>
    <t>AIRTEL+VDF</t>
  </si>
  <si>
    <t>RJIO</t>
  </si>
  <si>
    <t>JIO+AIRTEL</t>
  </si>
  <si>
    <t>JIO+JIO</t>
  </si>
  <si>
    <t>(blank)</t>
  </si>
  <si>
    <t xml:space="preserve">for IDC enabled setup </t>
  </si>
  <si>
    <t>ATT US</t>
  </si>
  <si>
    <t>TMO US</t>
  </si>
  <si>
    <t>ATT US+TMO US</t>
  </si>
  <si>
    <t>TMO DE</t>
  </si>
  <si>
    <t>VDFIN</t>
  </si>
  <si>
    <t>VDFIN+Airtel</t>
  </si>
  <si>
    <t>VDFIN+JIO</t>
  </si>
  <si>
    <t>UTT Stats Pivot</t>
  </si>
  <si>
    <t>SSIM by RAT and OP Pivot</t>
  </si>
  <si>
    <t>MSIM by RAT and OP Pivot</t>
  </si>
  <si>
    <t>VZW+ATT</t>
  </si>
  <si>
    <t>Lent to script team</t>
  </si>
  <si>
    <t>Airtel+JIO</t>
  </si>
  <si>
    <t>Airtel+Airtel</t>
  </si>
  <si>
    <t>BASRTL127</t>
  </si>
  <si>
    <t>SN2794340</t>
  </si>
  <si>
    <t xml:space="preserve">ICE 19 ramp up </t>
  </si>
  <si>
    <t>7560 post-S8 ramp up and 7660 initial ramp up</t>
  </si>
  <si>
    <t>ISM: 1303981341</t>
  </si>
  <si>
    <t>ISM: 1303981345</t>
  </si>
  <si>
    <t>ISM: 1303981347</t>
  </si>
  <si>
    <t>ISM: 1303981350</t>
  </si>
  <si>
    <t>CUC+CUC</t>
  </si>
  <si>
    <t>E1DF5A4BBCDC0700FFFFFFFF</t>
  </si>
  <si>
    <t>C7H75130081HXNKK9</t>
  </si>
  <si>
    <t>E1DFCAAE7C340B00FFFFFFFF</t>
  </si>
  <si>
    <t>C7H7513008BHXNKKZ</t>
  </si>
  <si>
    <t>BEJSRTL360</t>
  </si>
  <si>
    <t>E1DF2A53CAD50700FFFFFFFF</t>
  </si>
  <si>
    <t>C7H75130082HXNKK8</t>
  </si>
  <si>
    <t>00440152262144</t>
  </si>
  <si>
    <t>00440152262346</t>
  </si>
  <si>
    <t>BEJSRTL376</t>
  </si>
  <si>
    <t>E1DF5AF759C80700FFFFFFFF</t>
  </si>
  <si>
    <t>C7H75130079HXNKK4</t>
  </si>
  <si>
    <t>00440152262145</t>
  </si>
  <si>
    <t>00440152262347</t>
  </si>
  <si>
    <t>BEJSRTL379</t>
  </si>
  <si>
    <t>BEJSRTL404</t>
  </si>
  <si>
    <t>E1DFDAB61D020400FFFFFFFF</t>
  </si>
  <si>
    <t>C7H7513009PHXNKKJ</t>
  </si>
  <si>
    <t>00440152262143</t>
  </si>
  <si>
    <t>00440152262345</t>
  </si>
  <si>
    <t>BEJSRTL406</t>
  </si>
  <si>
    <t>M2 setup</t>
  </si>
  <si>
    <t>ISM: 1303994761</t>
  </si>
  <si>
    <t>ICE 18 MSIM RAMP UP</t>
  </si>
  <si>
    <t>ICE18 MSIM RAMP UP</t>
  </si>
  <si>
    <t>4x4 MIMO ANTENNA RAMP UP</t>
  </si>
  <si>
    <t>ICE 18 RESET CABLE CHANGE- still 19 filters were missing- 0 as of now we have reset cables.</t>
  </si>
  <si>
    <t>ICE 17 RAMP DOWN- ICE 18 RAMP UP</t>
  </si>
  <si>
    <t>Transfer to SD- Added Igor in the mail.</t>
  </si>
  <si>
    <t>HILSRTL192</t>
  </si>
  <si>
    <t>HILSRTL193</t>
  </si>
  <si>
    <t>HILSRTL199</t>
  </si>
  <si>
    <t>HILSRTL200</t>
  </si>
  <si>
    <t>HILSRTL205</t>
  </si>
  <si>
    <t>HILSRTL206</t>
  </si>
  <si>
    <t>HILSRTL207</t>
  </si>
  <si>
    <t>HILSRTL208</t>
  </si>
  <si>
    <t>HILSRTL209</t>
  </si>
  <si>
    <t>HILSRTL240</t>
  </si>
  <si>
    <t>HILSRTL242</t>
  </si>
  <si>
    <t>HILSRTL241</t>
  </si>
  <si>
    <t>HILSRTL243</t>
  </si>
  <si>
    <t>FDD+3G</t>
  </si>
  <si>
    <t>Handed over to Thimmaiah</t>
  </si>
  <si>
    <t>E1DFCA96F6550F00FFFFFFFF</t>
  </si>
  <si>
    <t>C7H751300A6HXNKKY</t>
  </si>
  <si>
    <t>E1DFEAC4920E0C00FFFFFFFF</t>
  </si>
  <si>
    <t>C7H751300B4HXNKKX</t>
  </si>
  <si>
    <t>E1DFBA3C694A0300FFFFFFFF</t>
  </si>
  <si>
    <t>C7H751300A8HXNKKW</t>
  </si>
  <si>
    <t>E1DFAAF2150B0B00FFFFFFFF</t>
  </si>
  <si>
    <t>C7H75130083HXNKK7</t>
  </si>
  <si>
    <t>Indraneel/Shehryar</t>
  </si>
  <si>
    <t>Trasnfer to San Diego</t>
  </si>
  <si>
    <t>Indraneel/Sunitha</t>
  </si>
  <si>
    <t>M2.7560 RAMP Up</t>
  </si>
  <si>
    <t>Indraneel/Igor</t>
  </si>
  <si>
    <t>30 Mk5 from IGOR to Indraneel- 19 Mk5 are from Japan.</t>
  </si>
  <si>
    <t>M2. 7560 RAMP UP</t>
  </si>
  <si>
    <t>REWORKED RESET CABLES</t>
  </si>
  <si>
    <t>Shipped to San Diego</t>
  </si>
  <si>
    <t>Shipped to Sydney</t>
  </si>
  <si>
    <t>HILSRTL244</t>
  </si>
  <si>
    <t>HILSRTL245</t>
  </si>
  <si>
    <t>HILSRTL247</t>
  </si>
  <si>
    <t>HILSRTL248</t>
  </si>
  <si>
    <t>HILSRTL249</t>
  </si>
  <si>
    <t>HILSRTL250</t>
  </si>
  <si>
    <t>HILSRTL251</t>
  </si>
  <si>
    <t>HILSRTL252</t>
  </si>
  <si>
    <t>HILSRTL253</t>
  </si>
  <si>
    <t>HILSRTL255</t>
  </si>
  <si>
    <t>ATT+TMO</t>
  </si>
  <si>
    <t>Faulty Congatecs.</t>
  </si>
  <si>
    <t>SDSRTL145</t>
  </si>
  <si>
    <t>SDSRTL147</t>
  </si>
  <si>
    <t>SDSRTL150</t>
  </si>
  <si>
    <t>SDSRTL151</t>
  </si>
  <si>
    <t>SDSRTL152</t>
  </si>
  <si>
    <t>SDSRTL153</t>
  </si>
  <si>
    <t>SDSRTL154</t>
  </si>
  <si>
    <t>SDSRTL155</t>
  </si>
  <si>
    <t>SDSRTL156</t>
  </si>
  <si>
    <t>Sprint/TMO</t>
  </si>
  <si>
    <t>SRLTE/FDD</t>
  </si>
  <si>
    <t>MSIM rampup</t>
  </si>
  <si>
    <t>Extra + MSIM</t>
  </si>
  <si>
    <t>9 setups for MSIM</t>
  </si>
  <si>
    <t>Borrowed by system debug team</t>
  </si>
  <si>
    <t>These congatecs have issues. 3 in total have gone in bad from SD -- and three bad old congatecs received from HIL for MSIM ramp up recently.</t>
  </si>
  <si>
    <t>These were shipped a long time ago after SSIM ramp up was completed -- because we were out of space here</t>
  </si>
  <si>
    <t>Ramp ups</t>
  </si>
  <si>
    <t>BEJSRTL020</t>
  </si>
  <si>
    <t>BEJSRTL021</t>
  </si>
  <si>
    <t>BEJSRTL022</t>
  </si>
  <si>
    <t>HILSRTL196</t>
  </si>
  <si>
    <t>SN3633325</t>
  </si>
  <si>
    <t>SN3633275</t>
  </si>
  <si>
    <t>SN3633293</t>
  </si>
  <si>
    <t>SN3633311</t>
  </si>
  <si>
    <t>SN3633326</t>
  </si>
  <si>
    <t>SN3633295</t>
  </si>
  <si>
    <t>SN3648487</t>
  </si>
  <si>
    <t>SN3648307</t>
  </si>
  <si>
    <t>SN3648213</t>
  </si>
  <si>
    <t>SN3648316</t>
  </si>
  <si>
    <t>SN3648516</t>
  </si>
  <si>
    <t>SN3648252</t>
  </si>
  <si>
    <t>SN3648427</t>
  </si>
  <si>
    <t>SN3648440</t>
  </si>
  <si>
    <t>SN3648535</t>
  </si>
  <si>
    <t>SN3648320</t>
  </si>
  <si>
    <t>SN3647747</t>
  </si>
  <si>
    <t>SN3648142</t>
  </si>
  <si>
    <t>SN3647643</t>
  </si>
  <si>
    <t>SN3647964</t>
  </si>
  <si>
    <t>SN3647898</t>
  </si>
  <si>
    <t>SN3648089</t>
  </si>
  <si>
    <t>SN3647847</t>
  </si>
  <si>
    <t>SN3647862</t>
  </si>
  <si>
    <t>SN3647991</t>
  </si>
  <si>
    <t>SN3647827</t>
  </si>
  <si>
    <t>HILSRTM004sMini.hf.intel.com</t>
  </si>
  <si>
    <t>Replicants-Mini.hf.intel.com</t>
  </si>
  <si>
    <t>ReplicantsMini2.hf.intel.com</t>
  </si>
  <si>
    <t>HILSRTMAC003.hf.intel.com</t>
  </si>
  <si>
    <t>HILSRTM005sMini.hf.intel.com</t>
  </si>
  <si>
    <t>HILSRTL006sMini.hf.intel.com</t>
  </si>
  <si>
    <t>HILSRTM007sMini.hf.intel.com</t>
  </si>
  <si>
    <t>HILSRTM009sMini.hf.intel.com</t>
  </si>
  <si>
    <t>HILSRTM008sMini.hf.intel.com</t>
  </si>
  <si>
    <t>HILSRTM011sMini.hf.intel.com</t>
  </si>
  <si>
    <t>HILSRTM010sMini.hf.intel.com</t>
  </si>
  <si>
    <t>HILSRTM006sMini.hf.intel.com</t>
  </si>
  <si>
    <t>40101</t>
  </si>
  <si>
    <t>40102</t>
  </si>
  <si>
    <t>40103</t>
  </si>
  <si>
    <t>HUAWEI+HUAWEI</t>
  </si>
  <si>
    <t>40104</t>
  </si>
  <si>
    <t>E1DFBA42C52E0B00FFFFFFFF</t>
  </si>
  <si>
    <t>C7H7513008EHXNKKW</t>
  </si>
  <si>
    <t>40105</t>
  </si>
  <si>
    <t>40106</t>
  </si>
  <si>
    <t>40107</t>
  </si>
  <si>
    <t>40108</t>
  </si>
  <si>
    <t>40110</t>
  </si>
  <si>
    <t>40111</t>
  </si>
  <si>
    <t>40112</t>
  </si>
  <si>
    <t>40115</t>
  </si>
  <si>
    <t>40118</t>
  </si>
  <si>
    <t>40119</t>
  </si>
  <si>
    <t>40121</t>
  </si>
  <si>
    <t>40122</t>
  </si>
  <si>
    <t>40123</t>
  </si>
  <si>
    <t>40125</t>
  </si>
  <si>
    <t>40127</t>
  </si>
  <si>
    <t>40131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</si>
  <si>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</si>
  <si>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</si>
  <si>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</si>
  <si>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</si>
  <si>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</si>
  <si>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</si>
  <si>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</si>
  <si>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</si>
  <si>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</si>
  <si>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</si>
  <si>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</si>
  <si>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</si>
  <si>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</si>
  <si>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</si>
  <si>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40149</t>
  </si>
  <si>
    <t>40151</t>
  </si>
  <si>
    <t>7560utt277smini.bj.intel.com</t>
  </si>
  <si>
    <t>40152</t>
  </si>
  <si>
    <t>40153</t>
  </si>
  <si>
    <t>40154</t>
  </si>
  <si>
    <t>40155</t>
  </si>
  <si>
    <t>40156</t>
  </si>
  <si>
    <t>40157</t>
  </si>
  <si>
    <t>40158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</si>
  <si>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</si>
  <si>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</si>
  <si>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</si>
  <si>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</si>
  <si>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</si>
  <si>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</si>
  <si>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</si>
  <si>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</si>
  <si>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</si>
  <si>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</si>
  <si>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</si>
  <si>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</si>
  <si>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</si>
  <si>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</si>
  <si>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</si>
  <si>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</si>
  <si>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</si>
  <si>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</si>
  <si>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</si>
  <si>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</si>
  <si>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</si>
  <si>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40184</t>
  </si>
  <si>
    <t>40186</t>
  </si>
  <si>
    <t>40187</t>
  </si>
  <si>
    <t>40188</t>
  </si>
  <si>
    <t>40189</t>
  </si>
  <si>
    <t>40190</t>
  </si>
  <si>
    <t>40191</t>
  </si>
  <si>
    <t>40193</t>
  </si>
  <si>
    <t>40194</t>
  </si>
  <si>
    <t>40195</t>
  </si>
  <si>
    <t>40196</t>
  </si>
  <si>
    <t>40197</t>
  </si>
  <si>
    <t>40205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</si>
  <si>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</si>
  <si>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</si>
  <si>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</si>
  <si>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</si>
  <si>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</si>
  <si>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</si>
  <si>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</si>
  <si>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</si>
  <si>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</si>
  <si>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</si>
  <si>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</si>
  <si>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CATR+HUAWEI</t>
  </si>
  <si>
    <t>40219</t>
  </si>
  <si>
    <t>40220</t>
  </si>
  <si>
    <t>40221</t>
  </si>
  <si>
    <t>40224</t>
  </si>
  <si>
    <t>40225</t>
  </si>
  <si>
    <t>40228</t>
  </si>
  <si>
    <t>40229</t>
  </si>
  <si>
    <t>40230</t>
  </si>
  <si>
    <t>40231</t>
  </si>
  <si>
    <t>40232</t>
  </si>
  <si>
    <t>40233</t>
  </si>
  <si>
    <t>7560utt276smini.bj.intel.com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</si>
  <si>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</si>
  <si>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</si>
  <si>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</si>
  <si>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</si>
  <si>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</si>
  <si>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</si>
  <si>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</si>
  <si>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</si>
  <si>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</si>
  <si>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40244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</si>
  <si>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</si>
  <si>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</si>
  <si>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</si>
  <si>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</si>
  <si>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</si>
  <si>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</si>
  <si>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</si>
  <si>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</si>
  <si>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</si>
  <si>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</si>
  <si>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</si>
  <si>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</si>
  <si>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</si>
  <si>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</si>
  <si>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</si>
  <si>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</si>
  <si>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</si>
  <si>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</si>
  <si>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</si>
  <si>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</si>
  <si>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</si>
  <si>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</si>
  <si>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</si>
  <si>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40270</t>
  </si>
  <si>
    <t>40272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</si>
  <si>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</si>
  <si>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</si>
  <si>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</si>
  <si>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</si>
  <si>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</si>
  <si>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</si>
  <si>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</si>
  <si>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</si>
  <si>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</si>
  <si>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</si>
  <si>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</si>
  <si>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</si>
  <si>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</si>
  <si>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</si>
  <si>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</si>
  <si>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</si>
  <si>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</si>
  <si>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</si>
  <si>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</si>
  <si>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</si>
  <si>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</si>
  <si>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</si>
  <si>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</si>
  <si>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</si>
  <si>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</si>
  <si>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</si>
  <si>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</si>
  <si>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</si>
  <si>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</si>
  <si>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</si>
  <si>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</si>
  <si>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40310</t>
  </si>
  <si>
    <t>40311</t>
  </si>
  <si>
    <t>40313</t>
  </si>
  <si>
    <t>40314</t>
  </si>
  <si>
    <t>40315</t>
  </si>
  <si>
    <t>40316</t>
  </si>
  <si>
    <t>40318</t>
  </si>
  <si>
    <t>40319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</si>
  <si>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</si>
  <si>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</si>
  <si>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</si>
  <si>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</si>
  <si>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</si>
  <si>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</si>
  <si>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</si>
  <si>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</si>
  <si>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</si>
  <si>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</si>
  <si>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</si>
  <si>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</si>
  <si>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</si>
  <si>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</si>
  <si>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40337</t>
  </si>
  <si>
    <t>40338</t>
  </si>
  <si>
    <t>40339</t>
  </si>
  <si>
    <t>40340</t>
  </si>
  <si>
    <t>40341</t>
  </si>
  <si>
    <t>40346</t>
  </si>
  <si>
    <t>40348</t>
  </si>
  <si>
    <t>40350</t>
  </si>
  <si>
    <t>40354</t>
  </si>
  <si>
    <t>E1DF2A1311F10700FFFFFFFF</t>
  </si>
  <si>
    <t>C7H7513006GHXNKK0</t>
  </si>
  <si>
    <t>40356</t>
  </si>
  <si>
    <t>40357</t>
  </si>
  <si>
    <t>40359</t>
  </si>
  <si>
    <t>40360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</si>
  <si>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</si>
  <si>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</si>
  <si>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</si>
  <si>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</si>
  <si>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</si>
  <si>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</si>
  <si>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</si>
  <si>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</si>
  <si>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</si>
  <si>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</si>
  <si>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</si>
  <si>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</si>
  <si>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40375</t>
  </si>
  <si>
    <t>40376</t>
  </si>
  <si>
    <t>40378</t>
  </si>
  <si>
    <t>40379</t>
  </si>
  <si>
    <t>40381</t>
  </si>
  <si>
    <t>40385</t>
  </si>
  <si>
    <t>40386</t>
  </si>
  <si>
    <t>40388</t>
  </si>
  <si>
    <t>40390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</si>
  <si>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</si>
  <si>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</si>
  <si>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</si>
  <si>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</si>
  <si>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</si>
  <si>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</si>
  <si>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</si>
  <si>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</si>
  <si>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</si>
  <si>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</si>
  <si>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</si>
  <si>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40404</t>
  </si>
  <si>
    <t>40405</t>
  </si>
  <si>
    <t>40406</t>
  </si>
  <si>
    <t>40408</t>
  </si>
  <si>
    <t>40409</t>
  </si>
  <si>
    <t>40420</t>
  </si>
  <si>
    <t>40421</t>
  </si>
  <si>
    <t>BEJSRTL422</t>
  </si>
  <si>
    <t>40422</t>
  </si>
  <si>
    <t>E1DF4A5508950700FFFFFFFF</t>
  </si>
  <si>
    <t>C7H751300B0HXNKK1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</si>
  <si>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</si>
  <si>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</si>
  <si>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</si>
  <si>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</si>
  <si>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</si>
  <si>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</si>
  <si>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</si>
  <si>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</si>
  <si>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</si>
  <si>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</si>
  <si>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</si>
  <si>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</si>
  <si>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</si>
  <si>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</si>
  <si>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</si>
  <si>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</si>
  <si>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</si>
  <si>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</si>
  <si>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</si>
  <si>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</si>
  <si>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</si>
  <si>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</si>
  <si>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</si>
  <si>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</si>
  <si>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E1DFCAC692440300FFFFFFFF</t>
  </si>
  <si>
    <t>C7H751300BYHXNKK3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</si>
  <si>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</si>
  <si>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</si>
  <si>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</si>
  <si>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</si>
  <si>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</si>
  <si>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</si>
  <si>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</si>
  <si>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</si>
  <si>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</si>
  <si>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</si>
  <si>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</si>
  <si>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</si>
  <si>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</si>
  <si>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</si>
  <si>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</si>
  <si>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40463</t>
  </si>
  <si>
    <t>40464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</si>
  <si>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</si>
  <si>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</si>
  <si>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</si>
  <si>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</si>
  <si>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</si>
  <si>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</si>
  <si>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</si>
  <si>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</si>
  <si>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</si>
  <si>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</si>
  <si>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</si>
  <si>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</si>
  <si>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</si>
  <si>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</si>
  <si>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</si>
  <si>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</si>
  <si>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</si>
  <si>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</si>
  <si>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</si>
  <si>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</si>
  <si>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</si>
  <si>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40489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</si>
  <si>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</si>
  <si>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</si>
  <si>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</si>
  <si>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</si>
  <si>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</si>
  <si>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</si>
  <si>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</si>
  <si>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</si>
  <si>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</si>
  <si>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</si>
  <si>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40502</t>
  </si>
  <si>
    <t>40503</t>
  </si>
  <si>
    <t>40504</t>
  </si>
  <si>
    <t>40505</t>
  </si>
  <si>
    <t>40506</t>
  </si>
  <si>
    <t>40507</t>
  </si>
  <si>
    <t>BEJSRTL509</t>
  </si>
  <si>
    <t>40509</t>
  </si>
  <si>
    <t>BEJSRTL510</t>
  </si>
  <si>
    <t>40510</t>
  </si>
  <si>
    <t>E1DFAA14D8170300FFFFFFFF</t>
  </si>
  <si>
    <t>C7H751300ATHXNKKB</t>
  </si>
  <si>
    <t>00440152262146</t>
  </si>
  <si>
    <t>00440152262348</t>
  </si>
  <si>
    <t>Hand carry</t>
  </si>
  <si>
    <t>DHL: 3773950950</t>
  </si>
  <si>
    <t>DHL: 3773958101</t>
  </si>
  <si>
    <t>DHL: 3773955146</t>
  </si>
  <si>
    <t xml:space="preserve">DHL: 3773952070 </t>
  </si>
  <si>
    <t>DHL: 3773953385</t>
  </si>
  <si>
    <t xml:space="preserve">DHL: 3773949255 </t>
  </si>
  <si>
    <t>ISM: 1304004496</t>
  </si>
  <si>
    <t>ISM: 1304004502</t>
  </si>
  <si>
    <t>ISM: 1304004508</t>
  </si>
  <si>
    <t>ISM: 1304007523</t>
  </si>
  <si>
    <t>ISM: 1304007528</t>
  </si>
  <si>
    <t>ISM: 1304007614</t>
  </si>
  <si>
    <t>ISM:1304007523</t>
  </si>
  <si>
    <t>ISM:1304004496</t>
  </si>
  <si>
    <t>7660 ramp up</t>
  </si>
  <si>
    <t>MK1</t>
  </si>
  <si>
    <t>MK2</t>
  </si>
  <si>
    <t>7660 RAMP UP</t>
  </si>
  <si>
    <t>7660 RAMP Up</t>
  </si>
  <si>
    <t xml:space="preserve">HIL MSIM RAMP </t>
  </si>
  <si>
    <t>HIL MSIM RAMP UP</t>
  </si>
  <si>
    <t>Zhang Juan</t>
  </si>
  <si>
    <t>MK3 boards for 7660</t>
  </si>
  <si>
    <t>santa clara</t>
  </si>
  <si>
    <t>RFDev5.0 ROW board</t>
  </si>
  <si>
    <t>ISM:130401178</t>
  </si>
  <si>
    <t>ISM:1304013256</t>
  </si>
  <si>
    <t>Nikesh Singh Bundelkhand</t>
  </si>
  <si>
    <t>Shipped from HIL</t>
  </si>
  <si>
    <t>Correcting count</t>
  </si>
  <si>
    <t>Old Missed Update</t>
  </si>
  <si>
    <t>HILSRTL256</t>
  </si>
  <si>
    <t>SN3647829</t>
  </si>
  <si>
    <t>SM_2G</t>
  </si>
  <si>
    <t>591290882A800D00FFFFFFFF</t>
  </si>
  <si>
    <t>C07805400P8D9M17</t>
  </si>
  <si>
    <t>HILSRTL257</t>
  </si>
  <si>
    <t>C07805400QCD9M17</t>
  </si>
  <si>
    <t>HILSRTL349</t>
  </si>
  <si>
    <t>SN3647809</t>
  </si>
  <si>
    <t>HILSRTL258</t>
  </si>
  <si>
    <t>SN3647978</t>
  </si>
  <si>
    <t>651010932A800D00FFFFFFFF</t>
  </si>
  <si>
    <t>C07805500WJD9M17</t>
  </si>
  <si>
    <t>7.5V Power Supplies</t>
  </si>
  <si>
    <t>ICE 19 RAMP Up</t>
  </si>
  <si>
    <t>Indraneel/Ashish</t>
  </si>
  <si>
    <t>Pre-int</t>
  </si>
  <si>
    <t>SEB</t>
  </si>
  <si>
    <t>UTC</t>
  </si>
  <si>
    <t>BEJSRTL513</t>
  </si>
  <si>
    <t>BEJSRTL419</t>
  </si>
  <si>
    <t>40419</t>
  </si>
  <si>
    <t>E1DFAA88860C0C00FFFFFFFF</t>
  </si>
  <si>
    <t>C7H751300BKHXNKKG</t>
  </si>
  <si>
    <t>00440152262147</t>
  </si>
  <si>
    <t>00440152262349</t>
  </si>
  <si>
    <t>BEJSRTL511</t>
  </si>
  <si>
    <t>40511</t>
  </si>
  <si>
    <t>E1DF1A4330E70600FFFFFFFF</t>
  </si>
  <si>
    <t>C7H7513009WHXNKKB</t>
  </si>
  <si>
    <t>00440152262148</t>
  </si>
  <si>
    <t>00440152262350</t>
  </si>
  <si>
    <t>Sunitha/Ashish</t>
  </si>
  <si>
    <t>Transfer to San Diego- Shehryar to Acknowledge</t>
  </si>
  <si>
    <t>M2 Ramp UP</t>
  </si>
  <si>
    <t>M2 Ramp Up</t>
  </si>
  <si>
    <t>459/R42/7</t>
  </si>
  <si>
    <t>439/R10/5</t>
  </si>
  <si>
    <t>439/R15/5</t>
  </si>
  <si>
    <t>439/R33/1</t>
  </si>
  <si>
    <t>439/R10/8</t>
  </si>
  <si>
    <t>439/R10/6</t>
  </si>
  <si>
    <t>439/R1/2</t>
  </si>
  <si>
    <t>439/R1/4</t>
  </si>
  <si>
    <t>439/R1/3</t>
  </si>
  <si>
    <t>439/R1/1</t>
  </si>
  <si>
    <t>439/R6/2</t>
  </si>
  <si>
    <t>439/R2/4</t>
  </si>
  <si>
    <t>439/R6/3</t>
  </si>
  <si>
    <t>439/R1/8</t>
  </si>
  <si>
    <t>439/R18/2</t>
  </si>
  <si>
    <t>439/R1/5</t>
  </si>
  <si>
    <t>439/R3/4</t>
  </si>
  <si>
    <t>439/R3/1</t>
  </si>
  <si>
    <t>459/R34/4</t>
  </si>
  <si>
    <t>459/R39/5</t>
  </si>
  <si>
    <t>439/R3/3</t>
  </si>
  <si>
    <t>439/R4/2</t>
  </si>
  <si>
    <t>439/R3/7</t>
  </si>
  <si>
    <t>439/R11/5</t>
  </si>
  <si>
    <t>439/R4/6</t>
  </si>
  <si>
    <t>TDS+3G</t>
  </si>
  <si>
    <t>439/R4/4</t>
  </si>
  <si>
    <t>439/R3/5</t>
  </si>
  <si>
    <t>439/R16/7</t>
  </si>
  <si>
    <t>439/R2/5</t>
  </si>
  <si>
    <t>459/R39/6</t>
  </si>
  <si>
    <t>439/R3/2</t>
  </si>
  <si>
    <t>439/R4/3</t>
  </si>
  <si>
    <t>439/R6/5</t>
  </si>
  <si>
    <t>439/R33/2</t>
  </si>
  <si>
    <t>459/R42/1</t>
  </si>
  <si>
    <t>439/R16/6</t>
  </si>
  <si>
    <t>439/R5/3</t>
  </si>
  <si>
    <t>459/R42/5</t>
  </si>
  <si>
    <t>439/R18/6</t>
  </si>
  <si>
    <t>439/R5/2</t>
  </si>
  <si>
    <t>439/R4/7</t>
  </si>
  <si>
    <t>459/R41/2</t>
  </si>
  <si>
    <t>439/R4/8</t>
  </si>
  <si>
    <t>439/R5/1</t>
  </si>
  <si>
    <t>439/R5/4</t>
  </si>
  <si>
    <t>459/R40/4</t>
  </si>
  <si>
    <t>459/R40/1</t>
  </si>
  <si>
    <t>439/R12/2</t>
  </si>
  <si>
    <t>439/R9/4</t>
  </si>
  <si>
    <t>459/R39/1</t>
  </si>
  <si>
    <t>439/R5/6</t>
  </si>
  <si>
    <t>439/R9/1</t>
  </si>
  <si>
    <t>439/R9/5</t>
  </si>
  <si>
    <t>439/R9/7</t>
  </si>
  <si>
    <t>439/R11/7</t>
  </si>
  <si>
    <t>439/R11/3</t>
  </si>
  <si>
    <t>439/R9/3</t>
  </si>
  <si>
    <t>439/R11/8</t>
  </si>
  <si>
    <t>439/R11/2</t>
  </si>
  <si>
    <t>439/R18/7</t>
  </si>
  <si>
    <t>459/R41/5</t>
  </si>
  <si>
    <t>439/R11/6</t>
  </si>
  <si>
    <t>2G(CUC)</t>
  </si>
  <si>
    <t>439/R12/4</t>
  </si>
  <si>
    <t>439/R11/1</t>
  </si>
  <si>
    <t>439/R12/1</t>
  </si>
  <si>
    <t>439/R13/4</t>
  </si>
  <si>
    <t>439/R13/2</t>
  </si>
  <si>
    <t>439/R13/5</t>
  </si>
  <si>
    <t>439/R14/3</t>
  </si>
  <si>
    <t>439/R14/6</t>
  </si>
  <si>
    <t>439/R14/2</t>
  </si>
  <si>
    <t>439/R8/1</t>
  </si>
  <si>
    <t>459/R42/8</t>
  </si>
  <si>
    <t>439/R32/3</t>
  </si>
  <si>
    <t>439/R14/1</t>
  </si>
  <si>
    <t>459/R36/4</t>
  </si>
  <si>
    <t>439/R14/5</t>
  </si>
  <si>
    <t>439/R8/4</t>
  </si>
  <si>
    <t>439/R28/4</t>
  </si>
  <si>
    <t>other site</t>
  </si>
  <si>
    <t>459/R39/7</t>
  </si>
  <si>
    <t>439/R13/6</t>
  </si>
  <si>
    <t>BEJSRTL382</t>
  </si>
  <si>
    <t>439/R2/2</t>
  </si>
  <si>
    <t>40382</t>
  </si>
  <si>
    <t>439/R6/1</t>
  </si>
  <si>
    <t>459/R42/3</t>
  </si>
  <si>
    <t>439/R11/4</t>
  </si>
  <si>
    <t>439/R28/1</t>
  </si>
  <si>
    <t>439/R8/2</t>
  </si>
  <si>
    <t>1XRTT+2G</t>
  </si>
  <si>
    <t>439/R15/1</t>
  </si>
  <si>
    <t>439/R15/3</t>
  </si>
  <si>
    <t>439/R10/1</t>
  </si>
  <si>
    <t>439/R1/6</t>
  </si>
  <si>
    <t>439/R12/6</t>
  </si>
  <si>
    <t>439/R8/5</t>
  </si>
  <si>
    <t>439/R13/3</t>
  </si>
  <si>
    <t>439/R8/6</t>
  </si>
  <si>
    <t>459/R40/5</t>
  </si>
  <si>
    <t>439/R10/2</t>
  </si>
  <si>
    <t>439/R18/4</t>
  </si>
  <si>
    <t>439/R15/6</t>
  </si>
  <si>
    <t>439/R2/8</t>
  </si>
  <si>
    <t>439/R10/7</t>
  </si>
  <si>
    <t>439/R15/2</t>
  </si>
  <si>
    <t>439/R18/5</t>
  </si>
  <si>
    <t>439/R16/3</t>
  </si>
  <si>
    <t>BEJSRTL514</t>
  </si>
  <si>
    <t>459/R36/2</t>
  </si>
  <si>
    <t>40514</t>
  </si>
  <si>
    <t>439/R8/3</t>
  </si>
  <si>
    <t>439/R5/7</t>
  </si>
  <si>
    <t>439/R28/3</t>
  </si>
  <si>
    <t>439/R28/5</t>
  </si>
  <si>
    <t>439/R10/3</t>
  </si>
  <si>
    <t>439/R2/7</t>
  </si>
  <si>
    <t>439/R15/4</t>
  </si>
  <si>
    <t>439/R14/4</t>
  </si>
  <si>
    <t>439/R11/9</t>
  </si>
  <si>
    <t>439/R9/8</t>
  </si>
  <si>
    <t>439/R10/9</t>
  </si>
  <si>
    <t>439/R3/6</t>
  </si>
  <si>
    <t>439/R4/5</t>
  </si>
  <si>
    <t>459/R39/4</t>
  </si>
  <si>
    <t>439/R16/4</t>
  </si>
  <si>
    <t>439/R16/5</t>
  </si>
  <si>
    <t>439/R17/1</t>
  </si>
  <si>
    <t>439/R16/2</t>
  </si>
  <si>
    <t>459/R41/3</t>
  </si>
  <si>
    <t>439/R17/2</t>
  </si>
  <si>
    <t>439/R16/1</t>
  </si>
  <si>
    <t>459/R40/6</t>
  </si>
  <si>
    <t>459/R40/3</t>
  </si>
  <si>
    <t>459/R40/2</t>
  </si>
  <si>
    <t>459/R39/2</t>
  </si>
  <si>
    <t>439/R13/1</t>
  </si>
  <si>
    <t>459/R42/4</t>
  </si>
  <si>
    <t>439/R3/8</t>
  </si>
  <si>
    <t>2F/R50/2</t>
  </si>
  <si>
    <t>439/R2/3</t>
  </si>
  <si>
    <t>439/R6/6</t>
  </si>
  <si>
    <t>439/R5/5</t>
  </si>
  <si>
    <t>459/R37/1</t>
  </si>
  <si>
    <t>439/R33/3</t>
  </si>
  <si>
    <t>459/R42/2</t>
  </si>
  <si>
    <t>439/R12/3</t>
  </si>
  <si>
    <t>439/R18/1</t>
  </si>
  <si>
    <t>439/R6/7</t>
  </si>
  <si>
    <t>439/R6/4</t>
  </si>
  <si>
    <t>2F/R50/3</t>
  </si>
  <si>
    <t>439/R9/6</t>
  </si>
  <si>
    <t>459/R36/1</t>
  </si>
  <si>
    <t>439/R2/1</t>
  </si>
  <si>
    <t>439/R4/1</t>
  </si>
  <si>
    <t>439/R33/4</t>
  </si>
  <si>
    <t>439/R12/5</t>
  </si>
  <si>
    <t>Given to FT</t>
  </si>
  <si>
    <t>Decivce Issue</t>
  </si>
  <si>
    <t>Given to Anand's team</t>
  </si>
  <si>
    <t>Device Issue</t>
  </si>
  <si>
    <t xml:space="preserve">given to FT </t>
  </si>
  <si>
    <t>Given to Anand</t>
  </si>
  <si>
    <t xml:space="preserve">Faulty </t>
  </si>
  <si>
    <t>SIT Team test run</t>
  </si>
  <si>
    <t xml:space="preserve">Device with other team </t>
  </si>
  <si>
    <t xml:space="preserve">Being used for mini rack </t>
  </si>
  <si>
    <t xml:space="preserve">Being used for Mini Rack </t>
  </si>
  <si>
    <t>Pc is not working</t>
  </si>
  <si>
    <t>IDC setup</t>
  </si>
  <si>
    <t xml:space="preserve">IDC setup </t>
  </si>
  <si>
    <t>Initial Data Correction</t>
  </si>
  <si>
    <t>PERST REWORK INTERPOSER- received 30- But have to maintain the co</t>
  </si>
  <si>
    <t>Adjusting the counts for ICE18 and Gaps in HIL Setups</t>
  </si>
  <si>
    <t>HILSRTL262</t>
  </si>
  <si>
    <t>HILSRTL300</t>
  </si>
  <si>
    <t>HILSRTL347</t>
  </si>
  <si>
    <t>SN3648067</t>
  </si>
  <si>
    <t>SN3647574</t>
  </si>
  <si>
    <t>SN3647745</t>
  </si>
  <si>
    <t>SN3648130</t>
  </si>
  <si>
    <t>ICE 17 USB Setup Ramp DOWN.</t>
  </si>
  <si>
    <t>BEJSRTL273</t>
  </si>
  <si>
    <t>40273</t>
  </si>
  <si>
    <t>439/R19/7</t>
  </si>
  <si>
    <t>FDD+TDD</t>
  </si>
  <si>
    <t>TDD+TDD</t>
  </si>
  <si>
    <t>7560utt014smini.bj.intel.com</t>
  </si>
  <si>
    <t>ICE 19 Setup Ramp Up</t>
  </si>
  <si>
    <t xml:space="preserve">HILSRTL301, HILSRTL302, HILSRTL303, HILSRTL304, </t>
  </si>
  <si>
    <t>HILSRTL351, HILSRTL305</t>
  </si>
  <si>
    <t>SD TO HIL Transfer</t>
  </si>
  <si>
    <t>HILSRTL351</t>
  </si>
  <si>
    <t>HILSRTL301</t>
  </si>
  <si>
    <t>HILSRTL302</t>
  </si>
  <si>
    <t>HILSRTL303</t>
  </si>
  <si>
    <t>HILSRTL304</t>
  </si>
  <si>
    <t>HILSRTL305</t>
  </si>
  <si>
    <t>ICE 18 MSIM RAMP Up</t>
  </si>
  <si>
    <t>indraneel</t>
  </si>
  <si>
    <t>Shehryar/Bharath</t>
  </si>
  <si>
    <t>ICE RAMP UP</t>
  </si>
  <si>
    <t>Daily(SEB)</t>
  </si>
  <si>
    <t>Weekly(UTC)</t>
  </si>
  <si>
    <t>SRLTE+TDD</t>
  </si>
  <si>
    <t xml:space="preserve">Kasper </t>
  </si>
  <si>
    <t>ISM: 1304046034</t>
  </si>
  <si>
    <t xml:space="preserve">ISM: 1304046056 </t>
  </si>
  <si>
    <t>ISM: 1304046071</t>
  </si>
  <si>
    <t>ISM: 1304046088</t>
  </si>
  <si>
    <t>N/A</t>
  </si>
  <si>
    <t>ISM: 1304047556</t>
  </si>
  <si>
    <t>ISM: 1304047560</t>
  </si>
  <si>
    <t>ISM: 1304047561</t>
  </si>
  <si>
    <t>ISM: 1304047592</t>
  </si>
  <si>
    <t>ISM: 1304047584</t>
  </si>
  <si>
    <t>439/R19/6</t>
  </si>
  <si>
    <t>439/R19/5</t>
  </si>
  <si>
    <t>E1DF3A13BB810700FFFFFFFF</t>
  </si>
  <si>
    <t>C7H75130070HXNKKD  </t>
  </si>
  <si>
    <t>ISM: 1304051627</t>
  </si>
  <si>
    <t xml:space="preserve">Bharath </t>
  </si>
  <si>
    <t>ICE19 RAMP UP</t>
  </si>
  <si>
    <t>MK3</t>
  </si>
  <si>
    <t>7660utt001smini.bj.intel.com</t>
  </si>
  <si>
    <t>13810224061</t>
  </si>
  <si>
    <t>BEJSRTL601</t>
  </si>
  <si>
    <t>BEJSRTL602</t>
  </si>
  <si>
    <t>C03816108931369B7</t>
  </si>
  <si>
    <t>13260231457</t>
  </si>
  <si>
    <t>BEJSRTL603</t>
  </si>
  <si>
    <t>18511273032</t>
  </si>
  <si>
    <t>BEJSRTL604</t>
  </si>
  <si>
    <t>C03816110011369B7</t>
  </si>
  <si>
    <t>BEJSRTL605</t>
  </si>
  <si>
    <t>BEJSRTL606</t>
  </si>
  <si>
    <t>BEJSRTL607</t>
  </si>
  <si>
    <t>BEJSRTL608</t>
  </si>
  <si>
    <t>BEJSRTL609</t>
  </si>
  <si>
    <t>C03816108871369B6</t>
  </si>
  <si>
    <t>BEJSRTL612</t>
  </si>
  <si>
    <t>13810713965</t>
  </si>
  <si>
    <t>BEJSRTL621</t>
  </si>
  <si>
    <t>BEJSRTL622</t>
  </si>
  <si>
    <t>C07826400JTX1R36</t>
  </si>
  <si>
    <t>13810069147</t>
  </si>
  <si>
    <t>BEJSRTL623</t>
  </si>
  <si>
    <t>C07826400E0X1R36</t>
  </si>
  <si>
    <t>13810692607</t>
  </si>
  <si>
    <t>BEJSRTL624</t>
  </si>
  <si>
    <t>13810736993</t>
  </si>
  <si>
    <t>MUCSRTMAC127.imu.intel.com</t>
  </si>
  <si>
    <t>481000795A800D00FFFFFFFF</t>
  </si>
  <si>
    <t>C03816108301369BU</t>
  </si>
  <si>
    <t>BASRTL372</t>
  </si>
  <si>
    <t>BASRTL373</t>
  </si>
  <si>
    <t>BASRTL374</t>
  </si>
  <si>
    <t>BASRTL375</t>
  </si>
  <si>
    <t>BASRTL376</t>
  </si>
  <si>
    <t>BASRTL377</t>
  </si>
  <si>
    <t>BASRTL378</t>
  </si>
  <si>
    <t>BASRTL379</t>
  </si>
  <si>
    <t>BASRTL380</t>
  </si>
  <si>
    <t>BASRTL381</t>
  </si>
  <si>
    <t>BASRTL382</t>
  </si>
  <si>
    <t>BASRTL383</t>
  </si>
  <si>
    <t>BASRTL384</t>
  </si>
  <si>
    <t>BASRTL385</t>
  </si>
  <si>
    <t>BASRTL386</t>
  </si>
  <si>
    <t>BASRTL387</t>
  </si>
  <si>
    <t>BASRTL388</t>
  </si>
  <si>
    <t>BASRTL389</t>
  </si>
  <si>
    <t>BASRTL390</t>
  </si>
  <si>
    <t>BASRTL391</t>
  </si>
  <si>
    <t>BASRTL392</t>
  </si>
  <si>
    <t>BASRTL393</t>
  </si>
  <si>
    <t>BASRTL394</t>
  </si>
  <si>
    <t>BASRTL395</t>
  </si>
  <si>
    <t>BASRTL396</t>
  </si>
  <si>
    <t xml:space="preserve">SN4079777 </t>
  </si>
  <si>
    <t>SN4079823</t>
  </si>
  <si>
    <t>SN4079950</t>
  </si>
  <si>
    <t xml:space="preserve">SN4079853 </t>
  </si>
  <si>
    <t>SN4079774</t>
  </si>
  <si>
    <t>SN4079955</t>
  </si>
  <si>
    <t>SN4079800</t>
  </si>
  <si>
    <t>SN4079765</t>
  </si>
  <si>
    <t>SN4079832</t>
  </si>
  <si>
    <t>SN4079866</t>
  </si>
  <si>
    <t>SN4079804</t>
  </si>
  <si>
    <t>SN4079812</t>
  </si>
  <si>
    <t>SN4079911</t>
  </si>
  <si>
    <t xml:space="preserve">SN4079820 </t>
  </si>
  <si>
    <t>SN4079900</t>
  </si>
  <si>
    <t>SN4079905</t>
  </si>
  <si>
    <t>SN4079935</t>
  </si>
  <si>
    <t>SN4079918</t>
  </si>
  <si>
    <t>SN4079916</t>
  </si>
  <si>
    <t>SN4079821</t>
  </si>
  <si>
    <t>SN4079884</t>
  </si>
  <si>
    <t>SN4079770</t>
  </si>
  <si>
    <t>SN4079788</t>
  </si>
  <si>
    <t>SN4079880</t>
  </si>
  <si>
    <t>SN4079867</t>
  </si>
  <si>
    <t>MUCSRTMAC129.imu.intel.com</t>
  </si>
  <si>
    <t>MUCSRTMAC130.imu.intel.com</t>
  </si>
  <si>
    <t>Yes(40077)</t>
  </si>
  <si>
    <t>Yes(40054)</t>
  </si>
  <si>
    <t>C019DA08D052CBCFFFFFFFFF</t>
  </si>
  <si>
    <t>280300795A800D00FFFFFFFF</t>
  </si>
  <si>
    <t>C03816108401369BR</t>
  </si>
  <si>
    <t>C03816108381369BL</t>
  </si>
  <si>
    <t>C07826400QMX1R36</t>
  </si>
  <si>
    <t>4917610506582</t>
  </si>
  <si>
    <t>721100795A800D00FFFFFFFF</t>
  </si>
  <si>
    <t>MUCSRTL161</t>
  </si>
  <si>
    <t>MUCSRTL162</t>
  </si>
  <si>
    <t>MUCSRTL163</t>
  </si>
  <si>
    <t>MUCSRTL164</t>
  </si>
  <si>
    <t>MUCSRTL165</t>
  </si>
  <si>
    <t>SN3648083</t>
  </si>
  <si>
    <t>Yes(40161)</t>
  </si>
  <si>
    <t>Yes(40162)</t>
  </si>
  <si>
    <t>Yes(40163)</t>
  </si>
  <si>
    <t>Yes(40164)</t>
  </si>
  <si>
    <t>67AE03C60E11029AFFFFFFFF</t>
  </si>
  <si>
    <t>C07826400S4X1R36</t>
  </si>
  <si>
    <t>SN4079932</t>
  </si>
  <si>
    <t>SN4079934</t>
  </si>
  <si>
    <t>SN4079945</t>
  </si>
  <si>
    <t>SN4079964</t>
  </si>
  <si>
    <t>Yes(40165)</t>
  </si>
  <si>
    <t>C07826400RLX1R36</t>
  </si>
  <si>
    <t>C07826400M0X1R36</t>
  </si>
  <si>
    <t>C07826400NKX1R36</t>
  </si>
  <si>
    <t>C07826400T5X1R36</t>
  </si>
  <si>
    <t>MUCSRTL166</t>
  </si>
  <si>
    <t>MUCSRTL167</t>
  </si>
  <si>
    <t>SN3647691</t>
  </si>
  <si>
    <t>SN3633214</t>
  </si>
  <si>
    <t>11.1.268</t>
  </si>
  <si>
    <t>Yes(40166)</t>
  </si>
  <si>
    <t>Yes(40167)</t>
  </si>
  <si>
    <t>901000795A800D00FFFFFFFF</t>
  </si>
  <si>
    <t>271000795A800D00FFFFFFFF</t>
  </si>
  <si>
    <t>C03816113221369BX</t>
  </si>
  <si>
    <t>C03816108361369BN</t>
  </si>
  <si>
    <t>4917610563409</t>
  </si>
  <si>
    <t>4915904263212</t>
  </si>
  <si>
    <t>4917610056922</t>
  </si>
  <si>
    <t>SN4079799</t>
  </si>
  <si>
    <t>Yes(40172)</t>
  </si>
  <si>
    <t>18BB529A9557A96EFFFFFFFF</t>
  </si>
  <si>
    <t>C07826400M1X1R36</t>
  </si>
  <si>
    <t>4915904272972</t>
  </si>
  <si>
    <t>MUCSRTL172</t>
  </si>
  <si>
    <t>MUCSRTL173</t>
  </si>
  <si>
    <t>SN4079780</t>
  </si>
  <si>
    <t>MUCSRTL174</t>
  </si>
  <si>
    <t>MUCSRTL175</t>
  </si>
  <si>
    <t>MUCSRTL176</t>
  </si>
  <si>
    <t>MUCSRTL177</t>
  </si>
  <si>
    <t>MUCSRTL178</t>
  </si>
  <si>
    <t>MUCSRTL179</t>
  </si>
  <si>
    <t xml:space="preserve">SN4079793       </t>
  </si>
  <si>
    <t>SN3647605</t>
  </si>
  <si>
    <t>SN4079957</t>
  </si>
  <si>
    <t>SN4079928</t>
  </si>
  <si>
    <t>SN4079894</t>
  </si>
  <si>
    <t>SN4079779</t>
  </si>
  <si>
    <t>Yes(40174)</t>
  </si>
  <si>
    <t>1BF22415AE0077BFFFFFFFFF</t>
  </si>
  <si>
    <t>C07826400SHX1R36</t>
  </si>
  <si>
    <t>491608477939</t>
  </si>
  <si>
    <t>Yes(40175)</t>
  </si>
  <si>
    <t>8DBFCAC0BDD93E37FFFFFFFF</t>
  </si>
  <si>
    <t>Yes(40176)</t>
  </si>
  <si>
    <t>Yes(40177)</t>
  </si>
  <si>
    <t>Yes(40178)</t>
  </si>
  <si>
    <t>Yes(40179)</t>
  </si>
  <si>
    <t>5ABB9F2CC87EA5CDFFFFFFFF</t>
  </si>
  <si>
    <t>D68821C3A5F69E87FFFFFFFF</t>
  </si>
  <si>
    <t>D139A9D40DAE7683FFFFFFFF</t>
  </si>
  <si>
    <t>C20EA8B2114AF453FFFFFFFF</t>
  </si>
  <si>
    <t>C07826400Q9X1R36</t>
  </si>
  <si>
    <t>C07826400M9X1R36</t>
  </si>
  <si>
    <t>C07826400RZX1R36</t>
  </si>
  <si>
    <t>C07826400QBX1R36</t>
  </si>
  <si>
    <t>C07826400QPX1R36</t>
  </si>
  <si>
    <t>4915904305708</t>
  </si>
  <si>
    <t>4915904545556</t>
  </si>
  <si>
    <t>4917610506584</t>
  </si>
  <si>
    <t>4917619020195</t>
  </si>
  <si>
    <t>4917610563405</t>
  </si>
  <si>
    <t>Moved from ICE 18 Ramp down machine</t>
  </si>
  <si>
    <t>SN3647777</t>
  </si>
  <si>
    <t>SN3648044</t>
  </si>
  <si>
    <t>SN3647668</t>
  </si>
  <si>
    <t>SN3647660</t>
  </si>
  <si>
    <t>SN3647693</t>
  </si>
  <si>
    <t>SN3648108</t>
  </si>
  <si>
    <t>SN4079869</t>
  </si>
  <si>
    <t>SN4079890</t>
  </si>
  <si>
    <t>SN4079811</t>
  </si>
  <si>
    <t>SN4079819</t>
  </si>
  <si>
    <t>SN4079963</t>
  </si>
  <si>
    <t>SN4079772</t>
  </si>
  <si>
    <t>SN4079954</t>
  </si>
  <si>
    <t>SN4079940</t>
  </si>
  <si>
    <t>SN4079922</t>
  </si>
  <si>
    <t>SN4079817</t>
  </si>
  <si>
    <t>SN4079965</t>
  </si>
  <si>
    <t>SN4079895</t>
  </si>
  <si>
    <t>SN4079792</t>
  </si>
  <si>
    <t>SN4079857</t>
  </si>
  <si>
    <t>SN4079941</t>
  </si>
  <si>
    <t>SN4079939</t>
  </si>
  <si>
    <t>SN4079937</t>
  </si>
  <si>
    <t>SN4079923</t>
  </si>
  <si>
    <t>SN4079959</t>
  </si>
  <si>
    <t>SN4079861</t>
  </si>
  <si>
    <t>SN4079960</t>
  </si>
  <si>
    <t>SN4079831</t>
  </si>
  <si>
    <t>SN4079925</t>
  </si>
  <si>
    <t>SN4079920</t>
  </si>
  <si>
    <t>SN4079848</t>
  </si>
  <si>
    <t>SN4079893</t>
  </si>
  <si>
    <t>SN4079846</t>
  </si>
  <si>
    <t>SN4079850</t>
  </si>
  <si>
    <t>SN4079802</t>
  </si>
  <si>
    <t>Mk3</t>
  </si>
  <si>
    <t>459/R54/4</t>
  </si>
  <si>
    <t>459/R54/5</t>
  </si>
  <si>
    <t>459/R54/7</t>
  </si>
  <si>
    <t>459/R54/3</t>
  </si>
  <si>
    <t>459/R54/6</t>
  </si>
  <si>
    <t>2F/R51/1</t>
  </si>
  <si>
    <t>2F/R51/2</t>
  </si>
  <si>
    <t>2F/R51/3</t>
  </si>
  <si>
    <t>2F/R51/4</t>
  </si>
  <si>
    <t>2F/R51/5</t>
  </si>
  <si>
    <t>2F/R52/1</t>
  </si>
  <si>
    <t>2F/R52/2</t>
  </si>
  <si>
    <t>2F/R52/3</t>
  </si>
  <si>
    <t>459/R55/4</t>
  </si>
  <si>
    <t>2F/R51/6</t>
  </si>
  <si>
    <t>2F/R52/4</t>
  </si>
  <si>
    <t>BEJSRTL625</t>
  </si>
  <si>
    <t>18911175674</t>
  </si>
  <si>
    <t>BEJSRTL626</t>
  </si>
  <si>
    <t>C07826400J9X1R36</t>
  </si>
  <si>
    <t>15321691705</t>
  </si>
  <si>
    <t>BEJSRTL627</t>
  </si>
  <si>
    <t>DD7ACA3771E0AEAFFFFFFFFF</t>
  </si>
  <si>
    <t>C07826400CNX1R36</t>
  </si>
  <si>
    <t>BEJSRTL628</t>
  </si>
  <si>
    <t>C07826400DEX1R36</t>
  </si>
  <si>
    <t>EBB20A497FF54900FFFFFFFF</t>
  </si>
  <si>
    <t>33B293A2A122DAB7FFFFFFFF</t>
  </si>
  <si>
    <t>4BB88A08890F4B48FFFFFFFF</t>
  </si>
  <si>
    <t>CC2C182AD78FBEA6FFFFFFFF</t>
  </si>
  <si>
    <t>4915228826905</t>
  </si>
  <si>
    <t>HILSRTL149</t>
  </si>
  <si>
    <t>00440152226658'</t>
  </si>
  <si>
    <t>C076475005VOHHH1</t>
  </si>
  <si>
    <t>HILSRTL151</t>
  </si>
  <si>
    <t>00440152227304'</t>
  </si>
  <si>
    <t>C0765050010H2WH1</t>
  </si>
  <si>
    <t>HILSRTL154</t>
  </si>
  <si>
    <t>00440152221623'</t>
  </si>
  <si>
    <t>C0764550067OHHH1</t>
  </si>
  <si>
    <t>HILSRTL178</t>
  </si>
  <si>
    <t>00440152221762'</t>
  </si>
  <si>
    <t>C0764550044OHHH1</t>
  </si>
  <si>
    <t>HILSRTL155</t>
  </si>
  <si>
    <t>00440152226845'</t>
  </si>
  <si>
    <t>C076485002QOHHH1</t>
  </si>
  <si>
    <t>HILSRTL150</t>
  </si>
  <si>
    <t>00440152228655'</t>
  </si>
  <si>
    <t>C076475005QOHHH1</t>
  </si>
  <si>
    <t>HILSRTL156</t>
  </si>
  <si>
    <t>00440152221775'</t>
  </si>
  <si>
    <t>C076455004AOHHH1</t>
  </si>
  <si>
    <t>HILSRTL153</t>
  </si>
  <si>
    <t>00440152222218'</t>
  </si>
  <si>
    <t>C076303006PH2WH9</t>
  </si>
  <si>
    <t>HILSRTL152</t>
  </si>
  <si>
    <t>00440152227161'</t>
  </si>
  <si>
    <t>C076505004BH2WH1</t>
  </si>
  <si>
    <t>HILSRTL177</t>
  </si>
  <si>
    <t>00440152221771'</t>
  </si>
  <si>
    <t>C076455005EOHHH1</t>
  </si>
  <si>
    <t>HILSRTL179</t>
  </si>
  <si>
    <t>00440152221772'</t>
  </si>
  <si>
    <t>C076455004WOHHH1</t>
  </si>
  <si>
    <t>HILSRTL180</t>
  </si>
  <si>
    <t>00440152226843'</t>
  </si>
  <si>
    <t>C0764850030OHHH1</t>
  </si>
  <si>
    <t>T-MOBILE US</t>
  </si>
  <si>
    <t>MK3.1_PWL</t>
  </si>
  <si>
    <t>STRESSPCHILL014</t>
  </si>
  <si>
    <t>STRESSPCHILL040</t>
  </si>
  <si>
    <t>HILSRTW013</t>
  </si>
  <si>
    <t>HILSRTW010</t>
  </si>
  <si>
    <t>00440152227163'</t>
  </si>
  <si>
    <t>00440152226838'</t>
  </si>
  <si>
    <t>00440152221653'</t>
  </si>
  <si>
    <t>00440152221770'</t>
  </si>
  <si>
    <t>SIM Removed</t>
  </si>
  <si>
    <t>SIM REMOVED</t>
  </si>
  <si>
    <t>HILSRTL230</t>
  </si>
  <si>
    <t>HILSRTL236</t>
  </si>
  <si>
    <t>HILSRTL232</t>
  </si>
  <si>
    <t>HILSRTL233</t>
  </si>
  <si>
    <t>HILSRTL234</t>
  </si>
  <si>
    <t>HILSRTL235</t>
  </si>
  <si>
    <t>HILSRTL231</t>
  </si>
  <si>
    <t>HILSRTL237</t>
  </si>
  <si>
    <t>HILSRTL238</t>
  </si>
  <si>
    <t>HILSRTL239</t>
  </si>
  <si>
    <t> 16105042016</t>
  </si>
  <si>
    <t>00440152066690'</t>
  </si>
  <si>
    <t>00440152061400'</t>
  </si>
  <si>
    <t>00440152061662'</t>
  </si>
  <si>
    <t>00440152066682'</t>
  </si>
  <si>
    <t>00440152066652'</t>
  </si>
  <si>
    <t>00440152067064'</t>
  </si>
  <si>
    <t>00440152066656'</t>
  </si>
  <si>
    <t>00440152060482'</t>
  </si>
  <si>
    <t>00440152061351'</t>
  </si>
  <si>
    <t>00440152066556'</t>
  </si>
  <si>
    <t>C7H552600MWG7R6AZ</t>
  </si>
  <si>
    <t>C7H60120001G7R6AY</t>
  </si>
  <si>
    <t>C7H601200AWG7R6A7</t>
  </si>
  <si>
    <t>C7H552600QYG7R6AN</t>
  </si>
  <si>
    <t>C7H552600NZG7R6AT</t>
  </si>
  <si>
    <t>C7H552600D7G7R6AC</t>
  </si>
  <si>
    <t>C7H552600EWG7R6AL</t>
  </si>
  <si>
    <t>C7H552600JGG7R6AN</t>
  </si>
  <si>
    <t>C7H6012009PG7R6AH</t>
  </si>
  <si>
    <t>C7H552600CRG7R6AX</t>
  </si>
  <si>
    <t>AW000002510869</t>
  </si>
  <si>
    <t>AW000002510831</t>
  </si>
  <si>
    <t>00440152221773'</t>
  </si>
  <si>
    <t>00440152221750'</t>
  </si>
  <si>
    <t xml:space="preserve">10.53.224.37 </t>
  </si>
  <si>
    <t>Verizon</t>
  </si>
  <si>
    <t>HILSRTW133.AMR.CORP.INTEL.COM</t>
  </si>
  <si>
    <t>HILSRTW134.AMR.CORP.INTEL.COM</t>
  </si>
  <si>
    <t>HILSRTW128.AMR.CORP.INTEL.COM</t>
  </si>
  <si>
    <t>HILSRTW127.AMR.CORP.INTEL.COM</t>
  </si>
  <si>
    <t>HILSRTW129.AMR.CORP.INTEL.COM</t>
  </si>
  <si>
    <t>HILSRTW130.AMR.CORP.INTEL.COM</t>
  </si>
  <si>
    <t>HILSRTW126.AMR.CORP.INTEL.COM</t>
  </si>
  <si>
    <t>HILSRTE067.AMR.CORP.INTEL.COM</t>
  </si>
  <si>
    <t>HILSRTW065.AMR.CORP.INTEL.COM</t>
  </si>
  <si>
    <t>Windows</t>
  </si>
  <si>
    <t>2F/R52/5</t>
  </si>
  <si>
    <t>2F/R52/6</t>
  </si>
  <si>
    <t>2F/R55/1</t>
  </si>
  <si>
    <t>BEJSRTL634</t>
  </si>
  <si>
    <t>BEJSRTL635</t>
  </si>
  <si>
    <t>2F/R55/2</t>
  </si>
  <si>
    <t>BEJSRTL636</t>
  </si>
  <si>
    <t>BEJSRTL630</t>
  </si>
  <si>
    <t>2F/R55/3</t>
  </si>
  <si>
    <t>BEJSRTL631</t>
  </si>
  <si>
    <t>BEJSRTL632</t>
  </si>
  <si>
    <t>2F/R55/4</t>
  </si>
  <si>
    <t>BEJSRTL637</t>
  </si>
  <si>
    <t>BEJSRTL638</t>
  </si>
  <si>
    <t>2F/R55/5</t>
  </si>
  <si>
    <t>BEJSRTL639</t>
  </si>
  <si>
    <t>BEJSRTL640</t>
  </si>
  <si>
    <t>BEJSRTL641</t>
  </si>
  <si>
    <t>BEJSRTL642</t>
  </si>
  <si>
    <t>BEJSRTL643</t>
  </si>
  <si>
    <t>TOOL_TEAM_CONFIG</t>
  </si>
  <si>
    <t>Yes(40080)</t>
  </si>
  <si>
    <t>A070F37F3C27AE9CFFFFFFFF</t>
  </si>
  <si>
    <t>C07826400T6X1R36</t>
  </si>
  <si>
    <t>ICE 19 RAMP UP</t>
  </si>
  <si>
    <t>Indraneel/AShish</t>
  </si>
  <si>
    <t>ICE 18 CPS SLOTS for ICE 19</t>
  </si>
  <si>
    <t>ICE 19 RAMP UP ADJUSTMENT FOR CARRIER- TOTAL 30 received</t>
  </si>
  <si>
    <t>ICE 19 RAMP up</t>
  </si>
  <si>
    <t>HILSRTL367</t>
  </si>
  <si>
    <t>HILSRTL369</t>
  </si>
  <si>
    <t>HILSRTL370</t>
  </si>
  <si>
    <t>HILSRTL371</t>
  </si>
  <si>
    <t>HILSRTL372</t>
  </si>
  <si>
    <t>HILSRTL373</t>
  </si>
  <si>
    <t>HILSRTL374</t>
  </si>
  <si>
    <t>HILSRTL375</t>
  </si>
  <si>
    <t>HILSRTL376</t>
  </si>
  <si>
    <t>HILSRTL377</t>
  </si>
  <si>
    <t>HILSRTL379</t>
  </si>
  <si>
    <t>HILSRTL380</t>
  </si>
  <si>
    <t>HILSRTL381</t>
  </si>
  <si>
    <t>HILSRTL382</t>
  </si>
  <si>
    <t>HILSRTL383</t>
  </si>
  <si>
    <t>HILSRTL384</t>
  </si>
  <si>
    <t>HILSRTL385</t>
  </si>
  <si>
    <t>HILSRTL386</t>
  </si>
  <si>
    <t>HILSRTL387</t>
  </si>
  <si>
    <t>HILSRTL388</t>
  </si>
  <si>
    <t>HILSRTL389</t>
  </si>
  <si>
    <t>HILSRTL390</t>
  </si>
  <si>
    <t>HILSRTL391</t>
  </si>
  <si>
    <t>HILSRTL392</t>
  </si>
  <si>
    <t>HILSRTL393</t>
  </si>
  <si>
    <t>HILSRTL394</t>
  </si>
  <si>
    <t>HILSRTL395</t>
  </si>
  <si>
    <t>HILSRTL396</t>
  </si>
  <si>
    <t>HILSRTL397</t>
  </si>
  <si>
    <t>C07826600WCX1R36</t>
  </si>
  <si>
    <t>C07826600VHX1R36</t>
  </si>
  <si>
    <t>C07826600ZAX1R36</t>
  </si>
  <si>
    <t>C07826600UUx1R36</t>
  </si>
  <si>
    <t>C07826600VXX1R36</t>
  </si>
  <si>
    <t>C07826600VCX1R36</t>
  </si>
  <si>
    <t>C07826600W5X1R36</t>
  </si>
  <si>
    <t>C07826600XMX1R36</t>
  </si>
  <si>
    <r>
      <t>HILSRTMAC014.hf.intel.com</t>
    </r>
    <r>
      <rPr>
        <sz val="10"/>
        <color rgb="FF000000"/>
        <rFont val="Segoe UI"/>
        <family val="2"/>
      </rPr>
      <t xml:space="preserve"> </t>
    </r>
  </si>
  <si>
    <r>
      <t>C07826600WHX1R36</t>
    </r>
    <r>
      <rPr>
        <sz val="10"/>
        <color rgb="FF000000"/>
        <rFont val="Segoe UI"/>
        <family val="2"/>
      </rPr>
      <t xml:space="preserve"> </t>
    </r>
  </si>
  <si>
    <r>
      <t>C07826600Y0X1R36</t>
    </r>
    <r>
      <rPr>
        <sz val="10"/>
        <color rgb="FF000000"/>
        <rFont val="Segoe UI"/>
        <family val="2"/>
      </rPr>
      <t xml:space="preserve"> </t>
    </r>
  </si>
  <si>
    <r>
      <t>C07826600VZX1R36</t>
    </r>
    <r>
      <rPr>
        <sz val="10"/>
        <color rgb="FF000000"/>
        <rFont val="Segoe UI"/>
        <family val="2"/>
      </rPr>
      <t xml:space="preserve"> </t>
    </r>
  </si>
  <si>
    <r>
      <t>C07826600TCX1R36</t>
    </r>
    <r>
      <rPr>
        <sz val="10"/>
        <color rgb="FF000000"/>
        <rFont val="Segoe UI"/>
        <family val="2"/>
      </rPr>
      <t xml:space="preserve"> </t>
    </r>
  </si>
  <si>
    <r>
      <t>C07826600UGX1R36</t>
    </r>
    <r>
      <rPr>
        <sz val="10"/>
        <color rgb="FF000000"/>
        <rFont val="Segoe UI"/>
        <family val="2"/>
      </rPr>
      <t xml:space="preserve"> </t>
    </r>
  </si>
  <si>
    <r>
      <t>C07826600WTX1R36</t>
    </r>
    <r>
      <rPr>
        <sz val="10"/>
        <color rgb="FF000000"/>
        <rFont val="Segoe UI"/>
        <family val="2"/>
      </rPr>
      <t xml:space="preserve"> </t>
    </r>
  </si>
  <si>
    <r>
      <t>C07826600WZX1R36</t>
    </r>
    <r>
      <rPr>
        <sz val="10"/>
        <color rgb="FF000000"/>
        <rFont val="Segoe UI"/>
        <family val="2"/>
      </rPr>
      <t xml:space="preserve"> </t>
    </r>
  </si>
  <si>
    <r>
      <t>C07826600V9X1R36</t>
    </r>
    <r>
      <rPr>
        <sz val="10"/>
        <color rgb="FF000000"/>
        <rFont val="Segoe UI"/>
        <family val="2"/>
      </rPr>
      <t xml:space="preserve"> </t>
    </r>
  </si>
  <si>
    <r>
      <t>C07826600Y4X1R36</t>
    </r>
    <r>
      <rPr>
        <sz val="10"/>
        <color rgb="FF000000"/>
        <rFont val="Segoe UI"/>
        <family val="2"/>
      </rPr>
      <t xml:space="preserve"> </t>
    </r>
  </si>
  <si>
    <r>
      <t>C07826600TVX1R36</t>
    </r>
    <r>
      <rPr>
        <sz val="10"/>
        <color rgb="FF000000"/>
        <rFont val="Segoe UI"/>
        <family val="2"/>
      </rPr>
      <t xml:space="preserve"> </t>
    </r>
  </si>
  <si>
    <t>ICE 19 Antennas Shipped from MUC</t>
  </si>
  <si>
    <t>ICE 18 antennas removed from Sprint setup which do not need QBAS</t>
  </si>
  <si>
    <t>Indranee;/Ashish</t>
  </si>
  <si>
    <t>ICE 19 RAMPUP</t>
  </si>
  <si>
    <t>Shipment of 50 power Supplies to SD</t>
  </si>
  <si>
    <t>HILSRTM014smini.HF.INTEL.COM </t>
  </si>
  <si>
    <t>C07826600XYX1R36</t>
  </si>
  <si>
    <t>C07826600XXX1R36</t>
  </si>
  <si>
    <t>C07826600ZDX1R36</t>
  </si>
  <si>
    <t>C07826600WUX1R36</t>
  </si>
  <si>
    <t>C07826600TFX1R36</t>
  </si>
  <si>
    <t>Bharath/Shehryer</t>
  </si>
  <si>
    <t>Indraneel/Ashsi</t>
  </si>
  <si>
    <t>Indraneel?Ashish</t>
  </si>
  <si>
    <t>AT&amp;T</t>
  </si>
  <si>
    <t>HILSRTL348</t>
  </si>
  <si>
    <t>F7E73DDC4266EB5DFFFFFFFF</t>
  </si>
  <si>
    <t>D256A66E1C5957D3FFFFFFFF</t>
  </si>
  <si>
    <t>20F035D12C386129FFFFFFFF</t>
  </si>
  <si>
    <t>74A78D0ACD325971FFFFFFFF</t>
  </si>
  <si>
    <t>8CA1D6AAB941B051FFFFFFFF</t>
  </si>
  <si>
    <t>12CF0B21FE0F748AFFFFFFFF</t>
  </si>
  <si>
    <t>2CB0271AE70CD675FFFFFFFF</t>
  </si>
  <si>
    <t>D1881CBF640B56FCFFFFFFFF</t>
  </si>
  <si>
    <t>C7AC2FCE124C4725FFFFFFFF</t>
  </si>
  <si>
    <t>221D9E3DCA6F10EFFFFFFFFF</t>
  </si>
  <si>
    <t>1D4F0471A530FAEFFFFFFFFF</t>
  </si>
  <si>
    <t>6101EEFE773657E8FFFFFFFF</t>
  </si>
  <si>
    <t>CAF4A51DEA3CC7A0FFFFFFFF</t>
  </si>
  <si>
    <t>Indraneel/ashish</t>
  </si>
  <si>
    <t>Owner</t>
  </si>
  <si>
    <t>MK</t>
  </si>
  <si>
    <t>HIL Board</t>
  </si>
  <si>
    <t>Reset Cable</t>
  </si>
  <si>
    <t>Carrier Board</t>
  </si>
  <si>
    <t>MAC PC</t>
  </si>
  <si>
    <t>Mini Grabbers</t>
  </si>
  <si>
    <t>Purchased and Shipment in progress, Delivery ETA</t>
  </si>
  <si>
    <t>Sachin\Ashish</t>
  </si>
  <si>
    <t>Hongtao\Sherry</t>
  </si>
  <si>
    <t>Yokesh\</t>
  </si>
  <si>
    <t>Songwei\Xiaogang</t>
  </si>
  <si>
    <t>Som\</t>
  </si>
  <si>
    <t>for 7660 ramp up</t>
  </si>
  <si>
    <t>40020</t>
  </si>
  <si>
    <t>18511279429</t>
  </si>
  <si>
    <t>OTHER</t>
  </si>
  <si>
    <t>40021</t>
  </si>
  <si>
    <t>40022</t>
  </si>
  <si>
    <t>13810019104</t>
  </si>
  <si>
    <t>BEJSRTL025</t>
  </si>
  <si>
    <t>40025</t>
  </si>
  <si>
    <t>BEJSRTL173</t>
  </si>
  <si>
    <t>40173</t>
  </si>
  <si>
    <t>18101349360</t>
  </si>
  <si>
    <t>BEJSRTL600</t>
  </si>
  <si>
    <t>40600</t>
  </si>
  <si>
    <t>004999010640007</t>
  </si>
  <si>
    <t>40601</t>
  </si>
  <si>
    <t>40602</t>
  </si>
  <si>
    <t>004999010640009</t>
  </si>
  <si>
    <t>40603</t>
  </si>
  <si>
    <t>40604</t>
  </si>
  <si>
    <t>004999010640011</t>
  </si>
  <si>
    <t>40605</t>
  </si>
  <si>
    <t>13810274964</t>
  </si>
  <si>
    <t>40606</t>
  </si>
  <si>
    <t>40607</t>
  </si>
  <si>
    <t>C03816111111369B3</t>
  </si>
  <si>
    <t>004999010640014</t>
  </si>
  <si>
    <t>40608</t>
  </si>
  <si>
    <t>40609</t>
  </si>
  <si>
    <t>C03816109861369B6</t>
  </si>
  <si>
    <t>13811446790</t>
  </si>
  <si>
    <t>004999010640016</t>
  </si>
  <si>
    <t>BEJSRTL610</t>
  </si>
  <si>
    <t>40610</t>
  </si>
  <si>
    <t>004999010640017</t>
  </si>
  <si>
    <t>40612</t>
  </si>
  <si>
    <t>BEJSRTL615</t>
  </si>
  <si>
    <t>40615</t>
  </si>
  <si>
    <t>BEJSRTL616</t>
  </si>
  <si>
    <t>40616</t>
  </si>
  <si>
    <t>13810051246</t>
  </si>
  <si>
    <t>BEJSRTL619</t>
  </si>
  <si>
    <t>40619</t>
  </si>
  <si>
    <t>400620805A800D00FFFFFFFF</t>
  </si>
  <si>
    <t>C03816113461369BM</t>
  </si>
  <si>
    <t>004999010640022</t>
  </si>
  <si>
    <t>BEJSRTL620</t>
  </si>
  <si>
    <t>40620</t>
  </si>
  <si>
    <t>40621</t>
  </si>
  <si>
    <t>40622</t>
  </si>
  <si>
    <t>40623</t>
  </si>
  <si>
    <t>40624</t>
  </si>
  <si>
    <t>C078263005YX1R36</t>
  </si>
  <si>
    <t>bejsrtm015smini.bj.intel.com</t>
  </si>
  <si>
    <t>40625</t>
  </si>
  <si>
    <t>40626</t>
  </si>
  <si>
    <t>F11E35D2760FC5C8FFFFFFFF</t>
  </si>
  <si>
    <t>40627</t>
  </si>
  <si>
    <t>40628</t>
  </si>
  <si>
    <t>BEJSRTL629</t>
  </si>
  <si>
    <t>bejsrtm017.bj.intel.com</t>
  </si>
  <si>
    <t>40629</t>
  </si>
  <si>
    <t>59F26AE645E95CE8FFFFFFFF</t>
  </si>
  <si>
    <t>C07826600YMX1R36</t>
  </si>
  <si>
    <t>40630</t>
  </si>
  <si>
    <t>446CB453DFC1E3CDFFFFFFFF</t>
  </si>
  <si>
    <t>C07826400E4X1R36</t>
  </si>
  <si>
    <t>40631</t>
  </si>
  <si>
    <t>4DE42DBBF5FD0BFBFFFFFFFF</t>
  </si>
  <si>
    <t>C07826400EBX1R36</t>
  </si>
  <si>
    <t>40632</t>
  </si>
  <si>
    <t>92B08AB88DCF683BFFFFFFFF</t>
  </si>
  <si>
    <t>C07826400ENX1R36</t>
  </si>
  <si>
    <t>BEJSRTL633</t>
  </si>
  <si>
    <t>40633</t>
  </si>
  <si>
    <t>A666C4735BC8137FFFFFFFFF</t>
  </si>
  <si>
    <t>40634</t>
  </si>
  <si>
    <t>2497CBCCDEE8834CFFFFFFFF</t>
  </si>
  <si>
    <t>C078263003XX1R36</t>
  </si>
  <si>
    <t>40635</t>
  </si>
  <si>
    <t>6CD7B2D8B3F9D97CFFFFFFFF</t>
  </si>
  <si>
    <t>C07826400H1X1R36</t>
  </si>
  <si>
    <t>40636</t>
  </si>
  <si>
    <t>40637</t>
  </si>
  <si>
    <t>8867DAEB8D9A15DAFFFFFFFF</t>
  </si>
  <si>
    <t>C07826400J4X1R36</t>
  </si>
  <si>
    <t>40638</t>
  </si>
  <si>
    <t>40639</t>
  </si>
  <si>
    <t>40640</t>
  </si>
  <si>
    <t>ED540CDD20D0EF7CFFFFFFFF</t>
  </si>
  <si>
    <t>C07826300BYX1R36</t>
  </si>
  <si>
    <t>40641</t>
  </si>
  <si>
    <t>2F/R55/7</t>
  </si>
  <si>
    <t>40642</t>
  </si>
  <si>
    <t>D3228C943DA03651FFFFFFFF</t>
  </si>
  <si>
    <t>C078263006GX1R36</t>
  </si>
  <si>
    <t>40643</t>
  </si>
  <si>
    <t>CC75D23CFD3715B8FFFFFFFF</t>
  </si>
  <si>
    <t>C0782630046X1R36</t>
  </si>
  <si>
    <t>BEJSRTL644</t>
  </si>
  <si>
    <t>2F/R56/10</t>
  </si>
  <si>
    <t>40644</t>
  </si>
  <si>
    <t>B90B4BEE12BED77BFFFFFFFF</t>
  </si>
  <si>
    <t>C07826600ZYX1R36</t>
  </si>
  <si>
    <t>13910617349</t>
  </si>
  <si>
    <t>BEJSRTL645</t>
  </si>
  <si>
    <t>2F/R56/1</t>
  </si>
  <si>
    <t>bejsrtm016.bj.intel.com</t>
  </si>
  <si>
    <t>40645</t>
  </si>
  <si>
    <t>53308B243FED8EA7FFFFFFFF</t>
  </si>
  <si>
    <t>C07826300B7X1R36</t>
  </si>
  <si>
    <t>BEJSRTL647</t>
  </si>
  <si>
    <t>2F/R56/2</t>
  </si>
  <si>
    <t>40647</t>
  </si>
  <si>
    <t>7BEB4560C46F6385FFFFFFFF</t>
  </si>
  <si>
    <t>C07826300BDX1R36</t>
  </si>
  <si>
    <t>BEJSRTL648</t>
  </si>
  <si>
    <t>40648</t>
  </si>
  <si>
    <t>29950EF9FFE5A5BEFFFFFFFF</t>
  </si>
  <si>
    <t>C07826300AEX1R36</t>
  </si>
  <si>
    <t>BEJSRTL649</t>
  </si>
  <si>
    <t>2F/R56/3</t>
  </si>
  <si>
    <t>40649</t>
  </si>
  <si>
    <t>BEJSRTL650</t>
  </si>
  <si>
    <t>40650</t>
  </si>
  <si>
    <t>649B77C5F291AEB5FFFFFFFF</t>
  </si>
  <si>
    <t>C0782630054X1R36</t>
  </si>
  <si>
    <t>BEJSRTL651</t>
  </si>
  <si>
    <t>2F/R56/4</t>
  </si>
  <si>
    <t>40651</t>
  </si>
  <si>
    <t>0DEBB338DAABC373FFFFFFFF</t>
  </si>
  <si>
    <t>C07826300BKX1R36</t>
  </si>
  <si>
    <t>BEJSRTL652</t>
  </si>
  <si>
    <t>4F/R7/1</t>
  </si>
  <si>
    <t>40652</t>
  </si>
  <si>
    <t>E18AC7250D3DE892FFFFFFFF</t>
  </si>
  <si>
    <t>C078263008SX1R36</t>
  </si>
  <si>
    <t>13810269474</t>
  </si>
  <si>
    <t>BEJSRTL653</t>
  </si>
  <si>
    <t>2F/R56/5</t>
  </si>
  <si>
    <t>40653</t>
  </si>
  <si>
    <t>CE93B7F41E44846FFFFFFFFF</t>
  </si>
  <si>
    <t>C07826300A8X1R36</t>
  </si>
  <si>
    <t>BEJSRTL654</t>
  </si>
  <si>
    <t>40654</t>
  </si>
  <si>
    <t>4052DFFF666852FEFFFFFFFF</t>
  </si>
  <si>
    <t>BEJSRTL655</t>
  </si>
  <si>
    <t>2F/R56/6</t>
  </si>
  <si>
    <t>40655</t>
  </si>
  <si>
    <t>92ABFD0F678EABFDFFFFFFFF</t>
  </si>
  <si>
    <t>C07826300A5X1R36</t>
  </si>
  <si>
    <t>BEJSRTL656</t>
  </si>
  <si>
    <t>40656</t>
  </si>
  <si>
    <t>8F9B9BDDCB33E678FFFFFFFF</t>
  </si>
  <si>
    <t>C07826600YNX1R36</t>
  </si>
  <si>
    <t>13810480261</t>
  </si>
  <si>
    <t>BEJSRTL657</t>
  </si>
  <si>
    <t>2F/R56/7</t>
  </si>
  <si>
    <t>40657</t>
  </si>
  <si>
    <t>BEJSRTL658</t>
  </si>
  <si>
    <t>40658</t>
  </si>
  <si>
    <t>BEJSRTL659</t>
  </si>
  <si>
    <t>40659</t>
  </si>
  <si>
    <t>EA76B80EC0620247FFFFFFFF</t>
  </si>
  <si>
    <t>C0782660101X1R36</t>
  </si>
  <si>
    <t>13810734472</t>
  </si>
  <si>
    <t>BEJSRTL660</t>
  </si>
  <si>
    <t>40660</t>
  </si>
  <si>
    <t>D80E97B27D4B4E90FFFFFFFF</t>
  </si>
  <si>
    <t>C07826600U9X1R36</t>
  </si>
  <si>
    <t>18618484354</t>
  </si>
  <si>
    <t>BEJSRTL661</t>
  </si>
  <si>
    <t>40661</t>
  </si>
  <si>
    <t>65D3F15BCE7CC2ACFFFFFFFF</t>
  </si>
  <si>
    <t>C078263008AX1R36</t>
  </si>
  <si>
    <t>BEJSRTL662</t>
  </si>
  <si>
    <t>40662</t>
  </si>
  <si>
    <t>23C4E8092A6978FEFFFFFFFF</t>
  </si>
  <si>
    <t>C07826600ZSX1R36</t>
  </si>
  <si>
    <t>15501179261</t>
  </si>
  <si>
    <t>BEJSRTL663</t>
  </si>
  <si>
    <t>40663</t>
  </si>
  <si>
    <t>15501299671</t>
  </si>
  <si>
    <t>BEJSRTL664</t>
  </si>
  <si>
    <t>40664</t>
  </si>
  <si>
    <t>BEJSRTL669</t>
  </si>
  <si>
    <t>2F/R57/4</t>
  </si>
  <si>
    <t>40669</t>
  </si>
  <si>
    <t>C078263007NX1R36</t>
  </si>
  <si>
    <t>15501261637</t>
  </si>
  <si>
    <t>2F/R57/5</t>
  </si>
  <si>
    <t>BEJSRTL672</t>
  </si>
  <si>
    <t>40672</t>
  </si>
  <si>
    <t>C07826600Z3X1R36</t>
  </si>
  <si>
    <t>18511007409</t>
  </si>
  <si>
    <t>BEJSRTL670</t>
  </si>
  <si>
    <t>2F/R57/6</t>
  </si>
  <si>
    <t>40670</t>
  </si>
  <si>
    <t>C07826600YWX1R36</t>
  </si>
  <si>
    <t>BEJSRTL666</t>
  </si>
  <si>
    <t>2F/R57/7</t>
  </si>
  <si>
    <t>40666</t>
  </si>
  <si>
    <t>13810309107</t>
  </si>
  <si>
    <t>BEJSRTL665</t>
  </si>
  <si>
    <t>40665</t>
  </si>
  <si>
    <t>BEJSRTL667</t>
  </si>
  <si>
    <t>40667</t>
  </si>
  <si>
    <t>13810420561</t>
  </si>
  <si>
    <t>BEJSRTL668</t>
  </si>
  <si>
    <t>2F/R58/1</t>
  </si>
  <si>
    <t>40668</t>
  </si>
  <si>
    <t>13810697732</t>
  </si>
  <si>
    <t xml:space="preserve">ISM: 1304071818  </t>
  </si>
  <si>
    <t>ISM: 1304071846</t>
  </si>
  <si>
    <t>ISM: 1304071854</t>
  </si>
  <si>
    <t>59(40 without filter)</t>
  </si>
  <si>
    <t>47+6(broken)</t>
  </si>
  <si>
    <t>ISM: 1304075201</t>
  </si>
  <si>
    <t>ICE 19 ramp up</t>
  </si>
  <si>
    <t>C07826600ZVX1R36</t>
  </si>
  <si>
    <t>C07826600VWX1R36</t>
  </si>
  <si>
    <t>C07826600UZX1R36</t>
  </si>
  <si>
    <t>C07826600WGX1R36</t>
  </si>
  <si>
    <t>C07826600YQX1R36</t>
  </si>
  <si>
    <t>C07826600Vex1R36</t>
  </si>
  <si>
    <t>C07826600VNX1R36</t>
  </si>
  <si>
    <t>C07826600YBX1R36</t>
  </si>
  <si>
    <t>C07826600XKX1R36</t>
  </si>
  <si>
    <t>C07826600UWX1R36</t>
  </si>
  <si>
    <t>Antenna Shipped to San Diego</t>
  </si>
  <si>
    <t>Antenna Received different as compared to Standard.</t>
  </si>
  <si>
    <t>ICE 18 MISM RAMP UP</t>
  </si>
  <si>
    <t>HILSRTL259</t>
  </si>
  <si>
    <t>SM_4G+DM_4G3G</t>
  </si>
  <si>
    <t>HILSRTL267</t>
  </si>
  <si>
    <t>HILSRTL269</t>
  </si>
  <si>
    <t>HILSRTL270</t>
  </si>
  <si>
    <t>HILSRTL282</t>
  </si>
  <si>
    <t>HILSRTL283</t>
  </si>
  <si>
    <t>HILSRTL285</t>
  </si>
  <si>
    <t>HILSRTL286</t>
  </si>
  <si>
    <t>HILSRTL268</t>
  </si>
  <si>
    <t>HILSRTL289</t>
  </si>
  <si>
    <t>SSIM Total</t>
  </si>
  <si>
    <t>MSIM Total</t>
  </si>
  <si>
    <t>SN2299806</t>
  </si>
  <si>
    <t>C07826600Z2X1R36</t>
  </si>
  <si>
    <t>PREINT</t>
  </si>
  <si>
    <t>52371970C2787726FFFFFFFF</t>
  </si>
  <si>
    <t>C078257003SX1R36</t>
  </si>
  <si>
    <t>434C408C2EE53F7EFFFFFFFF</t>
  </si>
  <si>
    <t>C0782630048X1R36</t>
  </si>
  <si>
    <t>E2B77C2852E3A7B3FFFFFFFF</t>
  </si>
  <si>
    <t>C078257003FX1R36</t>
  </si>
  <si>
    <t>878DFCBD6EFCE117FFFFFFFF</t>
  </si>
  <si>
    <t>C0782570066X1R36</t>
  </si>
  <si>
    <t>311300795A800D00FFFFFFFF</t>
  </si>
  <si>
    <t>C03816109441369BL</t>
  </si>
  <si>
    <t>E64BFE5DF5A1CD87FFFFFFFF</t>
  </si>
  <si>
    <t>C078257003PX1R36</t>
  </si>
  <si>
    <t>180300795A800D00FFFFFFFF</t>
  </si>
  <si>
    <t>6F65799927DC53ADFFFFFFFF</t>
  </si>
  <si>
    <t>C07826600VLX1R36</t>
  </si>
  <si>
    <t>181200795A800D00FFFFFFFF</t>
  </si>
  <si>
    <t>34550609EFDD8E9BFFFFFFFF</t>
  </si>
  <si>
    <t>C07826600WLX1R36</t>
  </si>
  <si>
    <t>844DFF2A08B3F6C1FFFFFFFF</t>
  </si>
  <si>
    <t>C07826600ZRX1R36</t>
  </si>
  <si>
    <t>080800795A800D00FFFFFFFF</t>
  </si>
  <si>
    <t>C30BB2D7F3BFDD13FFFFFFFF</t>
  </si>
  <si>
    <t>C078263001FX1R36</t>
  </si>
  <si>
    <t>890900795A800D00FFFFFFFF</t>
  </si>
  <si>
    <t>8D7563F965924EE6FFFFFFFF</t>
  </si>
  <si>
    <t>C01269483E0502FCFFFFFFFF</t>
  </si>
  <si>
    <t>C07826600YEX1R36</t>
  </si>
  <si>
    <t>53D3D4C4F7EF3A1BFFFFFFFF</t>
  </si>
  <si>
    <t>C07826400HFX1R36</t>
  </si>
  <si>
    <t>004999010640080</t>
  </si>
  <si>
    <t>2074BB03800C062FFFFFFFFF</t>
  </si>
  <si>
    <t>C07826600YZX1R36</t>
  </si>
  <si>
    <t>89D61D9144C51A11FFFFFFFF</t>
  </si>
  <si>
    <t>C83FFBC893DE09E9FFFFFFFF</t>
  </si>
  <si>
    <t>C8FE44722A476F26FFFFFFFF</t>
  </si>
  <si>
    <t>18911124205</t>
  </si>
  <si>
    <t>13910409538</t>
  </si>
  <si>
    <t>23780B50DFE2F58BFFFFFFFF</t>
  </si>
  <si>
    <t>C07826600YDX1R36</t>
  </si>
  <si>
    <t>18911034337</t>
  </si>
  <si>
    <t>13263362761</t>
  </si>
  <si>
    <t>13810670535</t>
  </si>
  <si>
    <t>Huawei+Huawei</t>
  </si>
  <si>
    <t>C07826600WFX1R36</t>
  </si>
  <si>
    <t>13810650117</t>
  </si>
  <si>
    <t>13810017314</t>
  </si>
  <si>
    <t>2DE15ADBB2651A2EFFFFFFFF</t>
  </si>
  <si>
    <t>C07826600TZX1R36</t>
  </si>
  <si>
    <t>18511006485</t>
  </si>
  <si>
    <t>F3E3C7F2E5BC5C1AFFFFFFFF</t>
  </si>
  <si>
    <t>C07826600ZTX1R36</t>
  </si>
  <si>
    <t>18911034312</t>
  </si>
  <si>
    <t>15510359289</t>
  </si>
  <si>
    <t>EEBA77F119E17078FFFFFFFF</t>
  </si>
  <si>
    <t>C07826600XJX1R36</t>
  </si>
  <si>
    <t>13810957902</t>
  </si>
  <si>
    <t>DF6781A4EAF53DBDFFFFFFFF</t>
  </si>
  <si>
    <t>C07826600W6X1R36</t>
  </si>
  <si>
    <t>13810833935</t>
  </si>
  <si>
    <t>22455BB9A9EDA27DFFFFFFFF</t>
  </si>
  <si>
    <t>C07826600T8X1R36</t>
  </si>
  <si>
    <t>18612650843</t>
  </si>
  <si>
    <t>76DD1C6B5566D90BFFFFFFFF</t>
  </si>
  <si>
    <t>13810274074</t>
  </si>
  <si>
    <t>2A6136519F928831FFFFFFFF</t>
  </si>
  <si>
    <t>D0485918C6C3618BFFFFFFFF</t>
  </si>
  <si>
    <t>BEJSRTL673</t>
  </si>
  <si>
    <t>40673</t>
  </si>
  <si>
    <t>C07826400JZX1R36</t>
  </si>
  <si>
    <t>BEJSRTL674</t>
  </si>
  <si>
    <t>40674</t>
  </si>
  <si>
    <t>F8C789D6A9A30487FFFFFFFF</t>
  </si>
  <si>
    <t>C07826600XQX1R36</t>
  </si>
  <si>
    <t>BEJSRTL675</t>
  </si>
  <si>
    <t>40675</t>
  </si>
  <si>
    <t>6DB166FC7937C643FFFFFFFF</t>
  </si>
  <si>
    <t>C07826400FJX1R36</t>
  </si>
  <si>
    <t>18511004983</t>
  </si>
  <si>
    <t>18911473764</t>
  </si>
  <si>
    <t>BEJSRTL676</t>
  </si>
  <si>
    <t>40676</t>
  </si>
  <si>
    <t>06D2062701DD7BF0FFFFFFFF</t>
  </si>
  <si>
    <t>C07826400K3X1R36</t>
  </si>
  <si>
    <t>BEJSRTL677</t>
  </si>
  <si>
    <t>2F/R58/2</t>
  </si>
  <si>
    <t>40677</t>
  </si>
  <si>
    <t>F34C06B48FDDE756FFFFFFFF</t>
  </si>
  <si>
    <t>C07826400EMX1R36</t>
  </si>
  <si>
    <t>BEJSRTL678</t>
  </si>
  <si>
    <t>40678</t>
  </si>
  <si>
    <t>27616398608973CCFFFFFFFF</t>
  </si>
  <si>
    <t>C07826400KTX1R36</t>
  </si>
  <si>
    <t>BEJSRTL679</t>
  </si>
  <si>
    <t>2F/R58/3</t>
  </si>
  <si>
    <t>40679</t>
  </si>
  <si>
    <t>2136CD89B66336EDFFFFFFFF</t>
  </si>
  <si>
    <t>C07826400KQX1R36</t>
  </si>
  <si>
    <t>BEJSRTL680</t>
  </si>
  <si>
    <t>40680</t>
  </si>
  <si>
    <t>7909D9330BA152A0FFFFFFFF</t>
  </si>
  <si>
    <t>C07826400HNX1R36</t>
  </si>
  <si>
    <t>BEJSRTL681</t>
  </si>
  <si>
    <t>2F/R58/4</t>
  </si>
  <si>
    <t>40681</t>
  </si>
  <si>
    <t>C537F4925FACB774FFFFFFFF</t>
  </si>
  <si>
    <t>C0782660103X1R36</t>
  </si>
  <si>
    <t>40682</t>
  </si>
  <si>
    <t>8492B1450364ED7EFFFFFFFF</t>
  </si>
  <si>
    <t>C07826400CZX1R36</t>
  </si>
  <si>
    <t>BEJSRTL683</t>
  </si>
  <si>
    <t>2F/R58/5</t>
  </si>
  <si>
    <t>40683</t>
  </si>
  <si>
    <t>DF2F0B19EFFD9A2FFFFFFFFF</t>
  </si>
  <si>
    <t>C07826400DZX1R36</t>
  </si>
  <si>
    <t>BEJSRTL684</t>
  </si>
  <si>
    <t>40684</t>
  </si>
  <si>
    <t>BEJSRTL685</t>
  </si>
  <si>
    <t>2F/R58/6</t>
  </si>
  <si>
    <t>40685</t>
  </si>
  <si>
    <t>BEJSRTL686</t>
  </si>
  <si>
    <t>40686</t>
  </si>
  <si>
    <t>BEJSRTL687</t>
  </si>
  <si>
    <t>2F/R58/7</t>
  </si>
  <si>
    <t>40687</t>
  </si>
  <si>
    <t>BEJSRTL688</t>
  </si>
  <si>
    <t>40688</t>
  </si>
  <si>
    <t>BEJSRTL689</t>
  </si>
  <si>
    <t>2F/R60/1</t>
  </si>
  <si>
    <t>40689</t>
  </si>
  <si>
    <t>BEJSRTL690</t>
  </si>
  <si>
    <t>40690</t>
  </si>
  <si>
    <t>BEJSRTL691</t>
  </si>
  <si>
    <t>2F/R60/2</t>
  </si>
  <si>
    <t>40691</t>
  </si>
  <si>
    <t>BEJSRTL692</t>
  </si>
  <si>
    <t>40692</t>
  </si>
  <si>
    <t>BEJSRTL693</t>
  </si>
  <si>
    <t>2F/R60/3</t>
  </si>
  <si>
    <t>40693</t>
  </si>
  <si>
    <t>BEJSRTL694</t>
  </si>
  <si>
    <t>40694</t>
  </si>
  <si>
    <t>BEJSRTL695</t>
  </si>
  <si>
    <t>2F/R60/4</t>
  </si>
  <si>
    <t>40695</t>
  </si>
  <si>
    <t>BEJSRTL696</t>
  </si>
  <si>
    <t>40696</t>
  </si>
  <si>
    <t>BEJSRTL697</t>
  </si>
  <si>
    <t>2F/R60/5</t>
  </si>
  <si>
    <t>40697</t>
  </si>
  <si>
    <t>BEJSRTL698</t>
  </si>
  <si>
    <t>40698</t>
  </si>
  <si>
    <t>BEJSRTL699</t>
  </si>
  <si>
    <t>2F/R60/6</t>
  </si>
  <si>
    <t>40699</t>
  </si>
  <si>
    <t>BEJSRTL700</t>
  </si>
  <si>
    <t>40700</t>
  </si>
  <si>
    <t>BEJSRTL701</t>
  </si>
  <si>
    <t>2F/R60/7</t>
  </si>
  <si>
    <t>40701</t>
  </si>
  <si>
    <t>BEJSRTL702</t>
  </si>
  <si>
    <t>40702</t>
  </si>
  <si>
    <t>BEJSRTL703</t>
  </si>
  <si>
    <t>2F/R61/1</t>
  </si>
  <si>
    <t>40703</t>
  </si>
  <si>
    <t>BEJSRTL704</t>
  </si>
  <si>
    <t>40704</t>
  </si>
  <si>
    <t>BEJSRTL705</t>
  </si>
  <si>
    <t>2F/R61/2</t>
  </si>
  <si>
    <t>40705</t>
  </si>
  <si>
    <t>BEJSRTL706</t>
  </si>
  <si>
    <t>40706</t>
  </si>
  <si>
    <t>BEJSRTL707</t>
  </si>
  <si>
    <t>2F/R61/3</t>
  </si>
  <si>
    <t>40707</t>
  </si>
  <si>
    <t>BEJSRTL708</t>
  </si>
  <si>
    <t>BEJSRTL709</t>
  </si>
  <si>
    <t>2F/R61/4</t>
  </si>
  <si>
    <t>40709</t>
  </si>
  <si>
    <t>BEJSRTL710</t>
  </si>
  <si>
    <t>40710</t>
  </si>
  <si>
    <t>BEJSRTL711</t>
  </si>
  <si>
    <t>2F/R61/5</t>
  </si>
  <si>
    <t>40711</t>
  </si>
  <si>
    <t>BEJSRTL712</t>
  </si>
  <si>
    <t>40712</t>
  </si>
  <si>
    <t>BEJSRTL713</t>
  </si>
  <si>
    <t>2F/R61/6</t>
  </si>
  <si>
    <t>40713</t>
  </si>
  <si>
    <t>BEJSRTL714</t>
  </si>
  <si>
    <t>40714</t>
  </si>
  <si>
    <t>BEJSRTL715</t>
  </si>
  <si>
    <t>2F/R61/7</t>
  </si>
  <si>
    <t>40715</t>
  </si>
  <si>
    <t>BEJSRTL716</t>
  </si>
  <si>
    <t>40716</t>
  </si>
  <si>
    <t>BEJSRTL717</t>
  </si>
  <si>
    <t>2F/R59/1</t>
  </si>
  <si>
    <t>40717</t>
  </si>
  <si>
    <t xml:space="preserve">ICE19 RAMP UP </t>
  </si>
  <si>
    <t>ICE19 shipment</t>
  </si>
  <si>
    <t>ICE19 Ramp up</t>
  </si>
  <si>
    <t>Stock error correction</t>
  </si>
  <si>
    <t>MK4</t>
  </si>
  <si>
    <t>C078263000EX1R36</t>
  </si>
  <si>
    <t>C0782630002X1R36</t>
  </si>
  <si>
    <t xml:space="preserve"> 00440152287666</t>
  </si>
  <si>
    <t xml:space="preserve"> 00440152287684</t>
  </si>
  <si>
    <t>C07826600UGX1R36</t>
  </si>
  <si>
    <t>ISM: 1304071835</t>
  </si>
  <si>
    <t>ISM: 1304078400</t>
  </si>
  <si>
    <t>ISM: 1304078404</t>
  </si>
  <si>
    <t>ISM: 1304078389</t>
  </si>
  <si>
    <t>ISM: 1304086291</t>
  </si>
  <si>
    <t>AShish</t>
  </si>
  <si>
    <t>Count Adjustment</t>
  </si>
  <si>
    <t>SDSRTL157</t>
  </si>
  <si>
    <t>SDSRTL158</t>
  </si>
  <si>
    <t>SDSRTL159</t>
  </si>
  <si>
    <t>SDSRTL160</t>
  </si>
  <si>
    <t>SDSRTL161</t>
  </si>
  <si>
    <t>SDSRTL163</t>
  </si>
  <si>
    <t>SDSRTL164</t>
  </si>
  <si>
    <t>SDSRTL165</t>
  </si>
  <si>
    <t>SDSRTL166</t>
  </si>
  <si>
    <t>SDSRTL167</t>
  </si>
  <si>
    <t>SDSRTL168</t>
  </si>
  <si>
    <t>SDSRTL169</t>
  </si>
  <si>
    <t>SDSRTL170</t>
  </si>
  <si>
    <t>SDSRTL171</t>
  </si>
  <si>
    <t>SDSRTL172</t>
  </si>
  <si>
    <t>SDSRTL173</t>
  </si>
  <si>
    <t>SDSRTL174</t>
  </si>
  <si>
    <t>SDSRTL175</t>
  </si>
  <si>
    <t>SDSRTL176</t>
  </si>
  <si>
    <t>SDSRTL178</t>
  </si>
  <si>
    <t>SDSRTL179</t>
  </si>
  <si>
    <t>SDSRTL180</t>
  </si>
  <si>
    <t>SDSRTL181</t>
  </si>
  <si>
    <t>SDSRTL182</t>
  </si>
  <si>
    <t>SDSRTL183</t>
  </si>
  <si>
    <t>SDSRTL184</t>
  </si>
  <si>
    <t>SDSRTL185</t>
  </si>
  <si>
    <t>SDSRTL186</t>
  </si>
  <si>
    <t>SDSRTL187</t>
  </si>
  <si>
    <t>SDSRTL188</t>
  </si>
  <si>
    <t>SDSRTL189</t>
  </si>
  <si>
    <t>SDSRTL190</t>
  </si>
  <si>
    <t>SDSRTL191</t>
  </si>
  <si>
    <t>SDSRTL192</t>
  </si>
  <si>
    <t>VZW/TMO</t>
  </si>
  <si>
    <t>13810018814</t>
  </si>
  <si>
    <t>C5E5BC4F4823EF56FFFFFFFF</t>
  </si>
  <si>
    <t>C07826600UEX1R36</t>
  </si>
  <si>
    <t xml:space="preserve"> </t>
  </si>
  <si>
    <t>16ED81143029B1B4FFFFFFFF</t>
  </si>
  <si>
    <t>C07826400ELX1R36</t>
  </si>
  <si>
    <t>13800001364</t>
  </si>
  <si>
    <t>13800001365</t>
  </si>
  <si>
    <t>18910548642</t>
  </si>
  <si>
    <t>2F/R57/2</t>
  </si>
  <si>
    <t>E77FC95F053559C9FFFFFFFF</t>
  </si>
  <si>
    <t>C07826600TYX1R36</t>
  </si>
  <si>
    <t>13800001362</t>
  </si>
  <si>
    <t>13800001363</t>
  </si>
  <si>
    <t>13051118761</t>
  </si>
  <si>
    <t>13810982575</t>
  </si>
  <si>
    <t>13810471639</t>
  </si>
  <si>
    <t>bejsrtm018smini.bj.intel.com</t>
  </si>
  <si>
    <t>793B348563774620FFFFFFFF</t>
  </si>
  <si>
    <t>C07826300BZX1R36</t>
  </si>
  <si>
    <t>13810830353</t>
  </si>
  <si>
    <t>15501295070</t>
  </si>
  <si>
    <t>10/24/2018</t>
  </si>
  <si>
    <t>26567ED45D61C7F7FFFFFFFF</t>
  </si>
  <si>
    <t>C07826400ETX1R36</t>
  </si>
  <si>
    <t>13810931323</t>
  </si>
  <si>
    <t>15501298790</t>
  </si>
  <si>
    <t>34435C45702B6FB2FFFFFFFF</t>
  </si>
  <si>
    <t>C07826400DCX1R36</t>
  </si>
  <si>
    <t>13810719763</t>
  </si>
  <si>
    <t>7D6F9DB7AB72B2CEFFFFFFFF</t>
  </si>
  <si>
    <t>C07826600ZCX1R36</t>
  </si>
  <si>
    <t>13810657082</t>
  </si>
  <si>
    <t>18911175549</t>
  </si>
  <si>
    <t>DC9D3FF86F2C1174FFFFFFFF</t>
  </si>
  <si>
    <t>C07826400D3X1R36</t>
  </si>
  <si>
    <t>17310529042</t>
  </si>
  <si>
    <t>13810585913</t>
  </si>
  <si>
    <t>D1DD1D17FC0DE80DFFFFFFFF</t>
  </si>
  <si>
    <t>C07826400G2X1R36</t>
  </si>
  <si>
    <t>13331048813</t>
  </si>
  <si>
    <t>13910407834</t>
  </si>
  <si>
    <t>15501298796</t>
  </si>
  <si>
    <t>13810018984</t>
  </si>
  <si>
    <t>Black Ray</t>
  </si>
  <si>
    <t>Zeroing Win PC count for replacecement by Black Ray</t>
  </si>
  <si>
    <t>ISM: 1304089276</t>
  </si>
  <si>
    <t>ISM: 1304089272</t>
  </si>
  <si>
    <t>FC54A4829834DE5DFFFFFFFF</t>
  </si>
  <si>
    <t>81EC1AB0740B8328FFFFFFFF</t>
  </si>
  <si>
    <t>C078257006TX1R36</t>
  </si>
  <si>
    <t>13810431072</t>
  </si>
  <si>
    <t>11/5/2018</t>
  </si>
  <si>
    <t>10/31/2018</t>
  </si>
  <si>
    <t>13910632574</t>
  </si>
  <si>
    <t>13810076614</t>
  </si>
  <si>
    <t>BEJSRTL718</t>
  </si>
  <si>
    <t>40718</t>
  </si>
  <si>
    <t>ICE 19 Antennas</t>
  </si>
  <si>
    <t>Ashish/Shehryar</t>
  </si>
  <si>
    <t>ICE 19 Antennas to Be shipped to San Diego</t>
  </si>
  <si>
    <t>ICE 19 4x4 conversion- existing setups</t>
  </si>
  <si>
    <t>Black RAY Ramp Up-4x4 Conversion</t>
  </si>
  <si>
    <t>Count Adjustment for Reset</t>
  </si>
  <si>
    <t xml:space="preserve">Shipped to San Diego- </t>
  </si>
  <si>
    <t xml:space="preserve">Hardware with Antonio- </t>
  </si>
  <si>
    <t>HW Received from Bangalore</t>
  </si>
  <si>
    <t>HW shipped to San Diego</t>
  </si>
  <si>
    <t>ISM: 1304098811</t>
  </si>
  <si>
    <t>ISM: 1304098817</t>
  </si>
  <si>
    <t>3x congatec broken</t>
  </si>
  <si>
    <t>ISM: 1304097823</t>
  </si>
  <si>
    <t>ISM: 1304098826</t>
  </si>
  <si>
    <t>ISM: 1304098805</t>
  </si>
  <si>
    <t>ISM: 1304100024</t>
  </si>
  <si>
    <t>ISM: 1304100013</t>
  </si>
  <si>
    <t>MUCSRTL181</t>
  </si>
  <si>
    <t>MUCSRTL182</t>
  </si>
  <si>
    <t>MUCSRTL183</t>
  </si>
  <si>
    <t>MUCSRTL184</t>
  </si>
  <si>
    <t>11.1.371 Rack 8/4</t>
  </si>
  <si>
    <t>11.1.371 Rack 7/2</t>
  </si>
  <si>
    <t>11.1371 Rack 6/2</t>
  </si>
  <si>
    <t>11.1.371 Rack 9/1</t>
  </si>
  <si>
    <t>11.1.268 Rack 2/1</t>
  </si>
  <si>
    <t>11.1.268 Rack 2/3</t>
  </si>
  <si>
    <t>11.1.371 Rack 5/5</t>
  </si>
  <si>
    <t>11.1.371 Rack 4/3</t>
  </si>
  <si>
    <t>11.1.268 Rack 9/3</t>
  </si>
  <si>
    <t>11.1.371 Rack 9/4</t>
  </si>
  <si>
    <t>11.1.371 Rack 6/5</t>
  </si>
  <si>
    <t>11.1.371 Rack 4/5</t>
  </si>
  <si>
    <t>11.1.371 Rack 5/3</t>
  </si>
  <si>
    <t>11.1.371 Rack 5/2</t>
  </si>
  <si>
    <t>11.1.371 Rack 9/2</t>
  </si>
  <si>
    <t>11.1.268 Rack 1/5</t>
  </si>
  <si>
    <t>11.1.371 Rack 8/2</t>
  </si>
  <si>
    <t>11.1.268 Rack 2/2</t>
  </si>
  <si>
    <t>11.1.268 Rack 1/2</t>
  </si>
  <si>
    <t>11.1.268 Rack 10/3</t>
  </si>
  <si>
    <t>11.1.268 Rack 2/4</t>
  </si>
  <si>
    <t>MUCSRTMAC130.IMU.INTEL.COM</t>
  </si>
  <si>
    <t>Yes(40181)</t>
  </si>
  <si>
    <t>Yes(40182)</t>
  </si>
  <si>
    <t>Yes(40183)</t>
  </si>
  <si>
    <t>Yes(40184)</t>
  </si>
  <si>
    <t>C07826400L2X1R36</t>
  </si>
  <si>
    <t>C07826400NEX1R36</t>
  </si>
  <si>
    <t>C07826400MVX1R36</t>
  </si>
  <si>
    <t>C07826400P6X1R36</t>
  </si>
  <si>
    <t>A2E1A6FACBC290F7FFFFFFFF</t>
  </si>
  <si>
    <t>C6C6AC61ADF36248FFFFFFFF</t>
  </si>
  <si>
    <t>C1EC5067A4738463FFFFFFFF</t>
  </si>
  <si>
    <t>EC7CE50282DBFEC6FFFFFFFF</t>
  </si>
  <si>
    <t>491725177795</t>
  </si>
  <si>
    <t>4917610045781</t>
  </si>
  <si>
    <t>Interface</t>
  </si>
  <si>
    <t>BlackRay</t>
  </si>
  <si>
    <t>For B0 7660 ramp up</t>
  </si>
  <si>
    <t>MUCSRTL185</t>
  </si>
  <si>
    <t>MUCSRTL186</t>
  </si>
  <si>
    <t>MUCSRTL187</t>
  </si>
  <si>
    <t>SN4079534</t>
  </si>
  <si>
    <t>SN4079688</t>
  </si>
  <si>
    <t>SN4079556</t>
  </si>
  <si>
    <t>SN4079474</t>
  </si>
  <si>
    <t>SN4079381</t>
  </si>
  <si>
    <t>SN4079333</t>
  </si>
  <si>
    <t>SN4079708</t>
  </si>
  <si>
    <t>SN4079495</t>
  </si>
  <si>
    <t>4915780542715</t>
  </si>
  <si>
    <t>MUCSRTMAC128.IMU.INTEL.COM</t>
  </si>
  <si>
    <t>Yes(40187)</t>
  </si>
  <si>
    <t>521100794A800D00FFFFFFFF</t>
  </si>
  <si>
    <t>11.1.371 Rack 8/3</t>
  </si>
  <si>
    <t>4 Adjustment for Faulty Congatecs</t>
  </si>
  <si>
    <t>SN4079869, SN4079890, SN4079811, SN4079819, SN4079963, SN4079772, SN4079954, SN4079940, SN4079922, SN4079817, SN4079902, SN4079965, SN4079895, SN4079792, SN4079857, SN4079941, SN4079939, SN4079937, SN4079923, SN4079959, SN4079861, SN4079960, SN4079831, SN4079925, SN4079920, SN4079848, SN4079893, SN4079846, SN4079850, SN4079802</t>
  </si>
  <si>
    <t>SN4079542, SN4079569, SN4079431, SN4079403, SN4079435, SN4079442, SN4079482, SN4079359, SN4079361, SN4079394, SN4079633, SN4079529, SN4079336, SN4079580, SN4079656, SN4079492, SN4079669, SN4079705</t>
  </si>
  <si>
    <t>SN4079542</t>
  </si>
  <si>
    <t>SN4079569</t>
  </si>
  <si>
    <t xml:space="preserve"> SN4079431</t>
  </si>
  <si>
    <t>SN4079403</t>
  </si>
  <si>
    <t xml:space="preserve"> SN4079435</t>
  </si>
  <si>
    <t>SN4079442</t>
  </si>
  <si>
    <t>SN4079359</t>
  </si>
  <si>
    <t xml:space="preserve"> SN4079361</t>
  </si>
  <si>
    <t>SN4079394</t>
  </si>
  <si>
    <t>SN4079529</t>
  </si>
  <si>
    <t>SN4079336</t>
  </si>
  <si>
    <t>SN4079580</t>
  </si>
  <si>
    <t>SN4079656</t>
  </si>
  <si>
    <t>SN4079492</t>
  </si>
  <si>
    <t>SN4079669</t>
  </si>
  <si>
    <t>Count Adjustment For Interposers</t>
  </si>
  <si>
    <t>HILSRTL398</t>
  </si>
  <si>
    <t>SN4079902</t>
  </si>
  <si>
    <t>HILSRTL260</t>
  </si>
  <si>
    <t>HILSRTL306</t>
  </si>
  <si>
    <t>HILSRTL309</t>
  </si>
  <si>
    <t>HILSRLT407</t>
  </si>
  <si>
    <t>BASRTL397</t>
  </si>
  <si>
    <t>BASRTL398</t>
  </si>
  <si>
    <t>BASRTL399</t>
  </si>
  <si>
    <t>BASRTL400</t>
  </si>
  <si>
    <t>BASRTL401</t>
  </si>
  <si>
    <t>BASRTL402</t>
  </si>
  <si>
    <t>BASRTL403</t>
  </si>
  <si>
    <t>BASRTL404</t>
  </si>
  <si>
    <t>BASRTL405</t>
  </si>
  <si>
    <t>BASRTL406</t>
  </si>
  <si>
    <t>BASRTL407</t>
  </si>
  <si>
    <t>BASRTL408</t>
  </si>
  <si>
    <t>BASRTL409</t>
  </si>
  <si>
    <t>BASRTL410</t>
  </si>
  <si>
    <t>BASRTL411</t>
  </si>
  <si>
    <t>BASRTL412</t>
  </si>
  <si>
    <t>BASRTL413</t>
  </si>
  <si>
    <t>BASRTL414</t>
  </si>
  <si>
    <t>BASRTL415</t>
  </si>
  <si>
    <t>BASRTL416</t>
  </si>
  <si>
    <t>BASRTL417</t>
  </si>
  <si>
    <t>BASRTL418</t>
  </si>
  <si>
    <t>Sprint&amp;ATT</t>
  </si>
  <si>
    <t>Verizon&amp;ATT</t>
  </si>
  <si>
    <t>HILSRTL404</t>
  </si>
  <si>
    <t>HILSRTL405</t>
  </si>
  <si>
    <t>HILSRTL406</t>
  </si>
  <si>
    <t>HILSRTL408</t>
  </si>
  <si>
    <t>HILSRTL409</t>
  </si>
  <si>
    <t>HILSRTL411</t>
  </si>
  <si>
    <t>HILSRTL412</t>
  </si>
  <si>
    <t>HILSRTL414</t>
  </si>
  <si>
    <t>HILSRTL415</t>
  </si>
  <si>
    <t>HILSRTL416</t>
  </si>
  <si>
    <t>HILSRTL417</t>
  </si>
  <si>
    <t>HILSRTL410</t>
  </si>
  <si>
    <t>00440152289235</t>
  </si>
  <si>
    <t>00440152299235</t>
  </si>
  <si>
    <t>00499901061607</t>
  </si>
  <si>
    <t>00440152289345</t>
  </si>
  <si>
    <t>00440152299345</t>
  </si>
  <si>
    <t>00440152289359</t>
  </si>
  <si>
    <t>00440152299359</t>
  </si>
  <si>
    <t>00440152289362</t>
  </si>
  <si>
    <t>00440152299362</t>
  </si>
  <si>
    <t>00440152289221</t>
  </si>
  <si>
    <t>00440152299221</t>
  </si>
  <si>
    <t>00440152289363</t>
  </si>
  <si>
    <t>00440152299363</t>
  </si>
  <si>
    <t>00440152289355</t>
  </si>
  <si>
    <t>00440152299355</t>
  </si>
  <si>
    <t>00440152289365</t>
  </si>
  <si>
    <t>00440152299365</t>
  </si>
  <si>
    <t>00440152289185</t>
  </si>
  <si>
    <t>00440152299185</t>
  </si>
  <si>
    <t>00440152289360</t>
  </si>
  <si>
    <t>00440152299360</t>
  </si>
  <si>
    <t>00440152289353</t>
  </si>
  <si>
    <t>00440152299353</t>
  </si>
  <si>
    <t>00440152289339</t>
  </si>
  <si>
    <t>00440152299339</t>
  </si>
  <si>
    <t>00440152289222</t>
  </si>
  <si>
    <t>00440152299222</t>
  </si>
  <si>
    <t>18211964905</t>
  </si>
  <si>
    <t>13331048801</t>
  </si>
  <si>
    <t>18618442550</t>
  </si>
  <si>
    <t>00499901061658</t>
  </si>
  <si>
    <t>00499901062658</t>
  </si>
  <si>
    <t>00440152289223</t>
  </si>
  <si>
    <t>00440152299223</t>
  </si>
  <si>
    <t>00440152289227</t>
  </si>
  <si>
    <t>00440152299227</t>
  </si>
  <si>
    <t>00440152289216</t>
  </si>
  <si>
    <t>00440152299216</t>
  </si>
  <si>
    <t>13810274794</t>
  </si>
  <si>
    <t>18911175584</t>
  </si>
  <si>
    <t>13911724214</t>
  </si>
  <si>
    <t>00440152289177</t>
  </si>
  <si>
    <t>00440152299177</t>
  </si>
  <si>
    <t>13331048819</t>
  </si>
  <si>
    <t>11/15/2018</t>
  </si>
  <si>
    <t>00440152289189</t>
  </si>
  <si>
    <t>00440152299189</t>
  </si>
  <si>
    <t>00440152289191</t>
  </si>
  <si>
    <t>00440152299191</t>
  </si>
  <si>
    <t>00440152289192</t>
  </si>
  <si>
    <t>00440152299192</t>
  </si>
  <si>
    <t>13810018174</t>
  </si>
  <si>
    <t>00440152289209</t>
  </si>
  <si>
    <t>00440152299209</t>
  </si>
  <si>
    <t>00440152289204</t>
  </si>
  <si>
    <t>00440152299204</t>
  </si>
  <si>
    <t>000000000000000000000000</t>
  </si>
  <si>
    <t>BEJSRTL719</t>
  </si>
  <si>
    <t>40719</t>
  </si>
  <si>
    <t>BEJSRTL720</t>
  </si>
  <si>
    <t>40720</t>
  </si>
  <si>
    <t>BEJSRTL721</t>
  </si>
  <si>
    <t>40721</t>
  </si>
  <si>
    <t>BEJSRTL722</t>
  </si>
  <si>
    <t>40722</t>
  </si>
  <si>
    <t>BEJSRTL723</t>
  </si>
  <si>
    <t>40723</t>
  </si>
  <si>
    <t>BEJSRTL724</t>
  </si>
  <si>
    <t>40724</t>
  </si>
  <si>
    <t>BEJSRTL725</t>
  </si>
  <si>
    <t>40725</t>
  </si>
  <si>
    <t>BEJSRTL726</t>
  </si>
  <si>
    <t>40726</t>
  </si>
  <si>
    <t>BEJSRTL671</t>
  </si>
  <si>
    <t>40671</t>
  </si>
  <si>
    <t>BEJSRTL646</t>
  </si>
  <si>
    <t>40646</t>
  </si>
  <si>
    <t>BEJSRTL727</t>
  </si>
  <si>
    <t>40727</t>
  </si>
  <si>
    <t>BEJSRTL728</t>
  </si>
  <si>
    <t>40728</t>
  </si>
  <si>
    <t>BEJSRTL729</t>
  </si>
  <si>
    <t>40729</t>
  </si>
  <si>
    <t>BEJSRTL730</t>
  </si>
  <si>
    <t>40730</t>
  </si>
  <si>
    <t>BEJSRTL731</t>
  </si>
  <si>
    <t>40731</t>
  </si>
  <si>
    <t>BEJSRTL732</t>
  </si>
  <si>
    <t>40732</t>
  </si>
  <si>
    <t>BEJSRTL733</t>
  </si>
  <si>
    <t>40733</t>
  </si>
  <si>
    <t>BEJSRTL734</t>
  </si>
  <si>
    <t>40734</t>
  </si>
  <si>
    <t>PC BROKEN</t>
  </si>
  <si>
    <t>IDC test</t>
  </si>
  <si>
    <t>SN4079638</t>
  </si>
  <si>
    <t>SN4079473</t>
  </si>
  <si>
    <t>SN4079526</t>
  </si>
  <si>
    <t>SN4079645</t>
  </si>
  <si>
    <t>SN4079592</t>
  </si>
  <si>
    <t>SN4079639</t>
  </si>
  <si>
    <t>SN4079439</t>
  </si>
  <si>
    <t>SN4079476</t>
  </si>
  <si>
    <t>SN4079609</t>
  </si>
  <si>
    <t>SN4079540</t>
  </si>
  <si>
    <t>SN4079577</t>
  </si>
  <si>
    <t>SN4079345</t>
  </si>
  <si>
    <t>SN4079686</t>
  </si>
  <si>
    <t>SN4079713</t>
  </si>
  <si>
    <t>SN4079624</t>
  </si>
  <si>
    <t>SN4079409</t>
  </si>
  <si>
    <t>SN4079553</t>
  </si>
  <si>
    <t>SN4079643</t>
  </si>
  <si>
    <t>SN4079428</t>
  </si>
  <si>
    <t>SN4079481</t>
  </si>
  <si>
    <t>SN4079627</t>
  </si>
  <si>
    <t>SN4079531</t>
  </si>
  <si>
    <t xml:space="preserve">labuser4-mini.iind.intel.com </t>
  </si>
  <si>
    <t>VDF+Airtel</t>
  </si>
  <si>
    <t>BASRTL331</t>
  </si>
  <si>
    <t>SN3648467</t>
  </si>
  <si>
    <t>Airtel+VDF</t>
  </si>
  <si>
    <t>SDSRTL193</t>
  </si>
  <si>
    <t>SDSRTL194</t>
  </si>
  <si>
    <t>SDSRTL195</t>
  </si>
  <si>
    <t>SDSRTL196</t>
  </si>
  <si>
    <t>SDSRTL197</t>
  </si>
  <si>
    <t>SDSRTL198</t>
  </si>
  <si>
    <t>SDSRTL199</t>
  </si>
  <si>
    <t>SDSRTL200</t>
  </si>
  <si>
    <t>SDSRTL201</t>
  </si>
  <si>
    <t>SDSRTL202</t>
  </si>
  <si>
    <t>SDSRTL203</t>
  </si>
  <si>
    <t>SDSRTL204</t>
  </si>
  <si>
    <t>SDSRTL205</t>
  </si>
  <si>
    <t>SDSRTL206</t>
  </si>
  <si>
    <t>SDSRTL177</t>
  </si>
  <si>
    <t>Sprint/ATT US</t>
  </si>
  <si>
    <t>VZW/ATT US</t>
  </si>
  <si>
    <t>Yes(40185)</t>
  </si>
  <si>
    <t>E1DF29E4B6F10A00FFFFFFFF</t>
  </si>
  <si>
    <t>4915780540999</t>
  </si>
  <si>
    <t>Actually running UTC on 2G -- 11/19</t>
  </si>
  <si>
    <t>VZW/VZW</t>
  </si>
  <si>
    <t>Sprint/VZW</t>
  </si>
  <si>
    <t>CDMA_HYBRID</t>
  </si>
  <si>
    <t>Ready</t>
  </si>
  <si>
    <t>Pending</t>
  </si>
  <si>
    <t>HILSRTL403</t>
  </si>
  <si>
    <t>HILSRTL400</t>
  </si>
  <si>
    <t>HILSRTL401</t>
  </si>
  <si>
    <t>HILSRTL402</t>
  </si>
  <si>
    <t>HILSRTL093</t>
  </si>
  <si>
    <t>SN2510562</t>
  </si>
  <si>
    <t>Kong Xianzeng</t>
  </si>
  <si>
    <t>ISM: 1304101400</t>
  </si>
  <si>
    <t>Han Songwei</t>
  </si>
  <si>
    <t>ISM: 1304077627</t>
  </si>
  <si>
    <t>ISM: 1304078680</t>
  </si>
  <si>
    <t>D</t>
  </si>
  <si>
    <t>Comcat testing</t>
  </si>
  <si>
    <t>43DB8FE8B8BC0BDFFFFFFFFF</t>
  </si>
  <si>
    <t>C07826400DFX1R36</t>
  </si>
  <si>
    <t>0F9EAA4B46F7D867FFFFFFFF</t>
  </si>
  <si>
    <t>C0782630042X1R36</t>
  </si>
  <si>
    <t>SN4079548</t>
  </si>
  <si>
    <t>SN4079468</t>
  </si>
  <si>
    <t>SN4079398</t>
  </si>
  <si>
    <t>SN4079611</t>
  </si>
  <si>
    <t>SN4079397</t>
  </si>
  <si>
    <t>SN4079719</t>
  </si>
  <si>
    <t>SN4079591</t>
  </si>
  <si>
    <t>SN4079600</t>
  </si>
  <si>
    <t>SN4079504</t>
  </si>
  <si>
    <t>11.1.371 Rack 7/3</t>
  </si>
  <si>
    <t>MUCSRTL189</t>
  </si>
  <si>
    <t>MUCSRTL190</t>
  </si>
  <si>
    <t>MUCSRTL191</t>
  </si>
  <si>
    <t>11.1.371 Rack 4/4</t>
  </si>
  <si>
    <t>20 NOV: Lend to GNSS Team/Priya</t>
  </si>
  <si>
    <t>20 NOV: Lend to RAU Team</t>
  </si>
  <si>
    <t>MUCSRTL188</t>
  </si>
  <si>
    <t>SN3647670</t>
  </si>
  <si>
    <t>C07826400LEX1R36</t>
  </si>
  <si>
    <t>E4DD684687DBF6A2FFFFFFFF</t>
  </si>
  <si>
    <t>Yes(40188)</t>
  </si>
  <si>
    <t>MUCSRTL192</t>
  </si>
  <si>
    <t>SN4079551</t>
  </si>
  <si>
    <t>MUCSRTL193</t>
  </si>
  <si>
    <t>MUCSRTL194</t>
  </si>
  <si>
    <t>SN4079583</t>
  </si>
  <si>
    <t>MUCSRTL195</t>
  </si>
  <si>
    <t>SN4079704</t>
  </si>
  <si>
    <t>MUCSRTL196</t>
  </si>
  <si>
    <t>SN4079619</t>
  </si>
  <si>
    <t>MUCSRTL197</t>
  </si>
  <si>
    <t>MUCSRTL198</t>
  </si>
  <si>
    <t>MUCSRTL199</t>
  </si>
  <si>
    <t>MUCSRTL200</t>
  </si>
  <si>
    <t>MUCSRTL201</t>
  </si>
  <si>
    <t>MUCSRTL202</t>
  </si>
  <si>
    <t>MUCSRTL203</t>
  </si>
  <si>
    <t>21 NOV: MO,DL/UL Pass, MT Failed (Rectifed with right SIM confiuration),  Release for Normal Testing
19 NOV: PDP Error. Dry run failed.</t>
  </si>
  <si>
    <t>21 NOV: Baseline update Done , MO,MT,DL/UL Pass , RAN in TDD+WCDMA, Allocated for Regular testing
20 NOV: Not in Run Plan - HW connected, Dry Run On Going</t>
  </si>
  <si>
    <t>21 NOV: Baseline update Done, MO,MT,DL/UL Pass ,  RAN in TDD+WCDMA Allocated for Regular testing
20 NOV: Not in Run Plan -HW Connected, Dry Run On Going</t>
  </si>
  <si>
    <t>20 Nov : Issue with SRLTE Campaign - SMS31465558 
Dry Run 11/19 --- check results --- shehryar</t>
  </si>
  <si>
    <t>21 NOV: Good from Ramp up Perspective. SRLTE not working due to SMS31465558
dry run today 11/19</t>
  </si>
  <si>
    <t xml:space="preserve">21 NOV: Blocked because of ticket: SMS31465558 </t>
  </si>
  <si>
    <t>FDD VoLTE (VZW) + FDD VoLTE/CSFB (ATT)</t>
  </si>
  <si>
    <t xml:space="preserve">SRLTE (Sprint) + FDD (ATT) </t>
  </si>
  <si>
    <t>FDD VoLTE (VZW) + FDD VoLTE (VZW)</t>
  </si>
  <si>
    <t>Verizon&amp;Verizon</t>
  </si>
  <si>
    <t>SRLTE (SPR) + FDD VoLTE (VZW)</t>
  </si>
  <si>
    <t>Sprint&amp;Verizon</t>
  </si>
  <si>
    <t>SRLTE (VZW) + FDD VoLTE/CSFB (ATT)</t>
  </si>
  <si>
    <t>FDD VoLTE (VZW) + WCDMA (TMO)</t>
  </si>
  <si>
    <t>Verizon&amp;TMo</t>
  </si>
  <si>
    <t>ATT&amp;Tmo</t>
  </si>
  <si>
    <t>FDD VoLTE (ATT) + FDD CSFB (T-Mo)</t>
  </si>
  <si>
    <t xml:space="preserve">SRLTE (SPR) + FDD VoLTE (VZW) </t>
  </si>
  <si>
    <t>SRLTE (Sprint) + FDD (ATT)</t>
  </si>
  <si>
    <t>4915780542719</t>
  </si>
  <si>
    <t>4915780542718</t>
  </si>
  <si>
    <t>21 Nov : Convertion Done
20 Nov : Waiting for feedback from Himashu
19 Nov : Should be converted to O2 - 2G RAT</t>
  </si>
  <si>
    <t>21 Nov : Convertion Done
20 Nov : Waiting for feedback from Himashu
19 Nov : Should be converted to O2 - FDD RAT</t>
  </si>
  <si>
    <t>C07827300CZX1R36</t>
  </si>
  <si>
    <t>18911175840</t>
  </si>
  <si>
    <t>00440152274302</t>
  </si>
  <si>
    <t>00440152274303</t>
  </si>
  <si>
    <t>C078255000SX1R36</t>
  </si>
  <si>
    <t>18911175644</t>
  </si>
  <si>
    <t>13910473448</t>
  </si>
  <si>
    <t>20 NOV: LTEC, convert to CUC WCDMA SEB</t>
  </si>
  <si>
    <t>Kasper</t>
  </si>
  <si>
    <t>ISM: 1304109885</t>
  </si>
  <si>
    <t>ISM: 1304109890</t>
  </si>
  <si>
    <t>4915780542716</t>
  </si>
  <si>
    <t>22 Nov : Conversion Done
20 Nov : Waiting for feedback from Himashu
19 Nov : Should be converted to O2 - WCDMA RAT</t>
  </si>
  <si>
    <t>4915780542717</t>
  </si>
  <si>
    <t>T-Mobile de</t>
  </si>
  <si>
    <t>FDD CSFB</t>
  </si>
  <si>
    <t>FDD VoLTE</t>
  </si>
  <si>
    <t>FDD (TMO) + FDD (VDF)</t>
  </si>
  <si>
    <t>T-Mo + VDF</t>
  </si>
  <si>
    <t>BEJSRTL682</t>
  </si>
  <si>
    <t>11/26/2018</t>
  </si>
  <si>
    <t>LTL test setup</t>
  </si>
  <si>
    <t>FDD (VDF) + WCDMA (Airtel)</t>
  </si>
  <si>
    <t>TDD CSFB</t>
  </si>
  <si>
    <t xml:space="preserve">FDD VoLTE (ATT) + FDD CSFB (T-Mo) </t>
  </si>
  <si>
    <t>https://oc6web-ver.intel.com/vsfe/requests/258558</t>
  </si>
  <si>
    <t>HILSRTL307</t>
  </si>
  <si>
    <t>29 NOV: Good for Regular testing
28 NOV: Santiy Run: 7 hours, 7 crashes, 1 reset
27 Nov: Habteab fixed now its running                                                                                                                                  27 Nov: No update on Ticket / Habteab is working on it                                                                                                                                                  26 Nov: Setup issue raised ticket to devops: RITM6831281                                                                                             23 NOV: RITM6815852 , to get the update EoD
20/11; HW is connected with devops RITM6815852   21/11:baseline installtion was not completed so Habteab started working on it</t>
  </si>
  <si>
    <t>29 NOV: Good for Regular testing
28 NOV: Santiy Run: 10 hours, 9 crashes, 1 reset
27 Nov: test Campign Stopped so re started again                                                                                                        26 Nov: Started Sanity with New Config
23 NOV: RITM6815852 is complete. Sim cofiguration Issue are seen.
20/11; HW is connected with devops RITM6815852   21/11:Machine was not reflecting to Drag Nodes updated same to Habteab so testing not started</t>
  </si>
  <si>
    <t xml:space="preserve">29 NOV: Good for Regular testing
28 NOV: Santiy Run: 7 hours, 5 crashes, 7 reset
27 Nov: Campaign stopped so restarted                                                                                                                             26 Nov: During calibration HW is not booting so using new HW and will start Sanity
26 Nov: Sanity Started :: Operator information was not present in Operator properties
26 NOV: UL/DL is passed ,but  MO/MT calls are failing in the setup. IMS registration failing on SIM0 &amp; SIM1
22 NOV: Dry run triggered
21:11 new ticket as requested by Devops RITM6819802 (CLA Initlization was failing. Also issue seen "Failure : Incorrect MAC IP specified"
20/11; HW is connected with devops  RITM6815400 </t>
  </si>
  <si>
    <t>29 NOV: Dry Run under tests
28 NOV: Santiy Run: 0 hours, 10 crashes, 1 reset
27 Nov:Testing is going on but CSV not updated                                                                                                            26 Nov:Sanity Started :: Operator information was not present in Operator properties
26 NOV: UL/DL is passed ,but  MO/MT calls are failing in the setup. 
23 NOV: Re Dry Run needed
22 NOV: Dry Run under tests by Nikesh
21 NOV: RITM6814413
20/11 under debugging with devops,pyhton exception</t>
  </si>
  <si>
    <t>29 NOV: Dry Run looks good. Released for regular tests
28 Nov: Sanity is going on                                                                                                                                                                                                                  27 Nov: RITM6835864</t>
  </si>
  <si>
    <t>29 NOV: Dry Run done. good for regular testing
28 Nov: Sanity is going on                                                                                                                                                        28 nOV: Cds in Loop. To check L1.1 &amp; L1.2 substates in BIOS
27 Nov: Sanity Started                                                                                                                                                                27 Nov: with devops RITM6834786                                                                                                                                                                                                                                                                                                                                                                                                                               26 Nov: RITM6815852  with Devops                                                                        23 NOV: RITM6815852 , Node not reachable by Devops with error "Connection timed out"
20/11; HW is connected with devops RITM6815852   21/11:baseline installtion was not completed so Habteab started working on it</t>
  </si>
  <si>
    <t>29 NOV: Good for regular testing
28 NOV: Dry run is ok. BO to check the logs
26 Nov: Sanity Run in progress -- details emailed</t>
  </si>
  <si>
    <t>29 NOV: Released for regular testing
28 NOV: Dry run is ok. BO to check the logs
26 Nov: Sanity Run in progress -- TMO sim used instead of ATT for today -- details emailed</t>
  </si>
  <si>
    <t>29 NOV: Released for regular testing
28 NOV: Dry run looks good. Need BO Analysis for 2crashes and 10 resets
26 Nov: Sanity Run in progress -- TMO sim used instead of ATT for today -- details emailed</t>
  </si>
  <si>
    <t>29 NOV: Released for regular testing
28 NOV: Dry run ok. To send for BO Analysis
26 Nov: TMO sim Swapped with ATT --- sanity run in progress -- details in email</t>
  </si>
  <si>
    <t>29 NOV: Released for regular testing
28 NOV: Dry run ok. To send for BO Analysis
26 Nov: Sanity Run in progress -- details emailed</t>
  </si>
  <si>
    <t>For PFSW&amp; Smarti</t>
  </si>
  <si>
    <t>For RAC/RAU</t>
  </si>
  <si>
    <t>29 NOV: Dry Run under tests
27 NOV: Running with SRLTE+Hybrid. Restarted with needed Combo
26 Nov: Sanity Run in progress -- details emailed</t>
  </si>
  <si>
    <t>29 NOV: Dry Run Pass. Good to go
27 NOV: To retrigger campaign with SRLTE on Sim 1
26 Nov: Sanity Run in progress -- TMO sim used instead of ATT for today -- details emailed</t>
  </si>
  <si>
    <t>29 NOV: Dry Run under tests
28 NOV: To retrigger sanity tests
27 NOV: HIL Board to be checked. In parallel Habteab to check the Issue
26 Nov: Sanity Run in progress -- TMO sim used instead of ATT for today -- details emailed</t>
  </si>
  <si>
    <t>29 Nov: Sim is working restarted campaign                                                                                                                      29 NOV: SEcond Sim not registering. Ashish to check
28 NOV: Santiy Run: 0 hours, 10 crashes, 1 reset
27 Nov:Testing is going on but CSV not updated                                                                                                           26 Nov:Sanity Started :: Operator information was not present in Operator properties
26 NOV: UL/DL is passed ,but  MO/MT calls are failing in the setup.
23 NOV: Re Dry Run needed
22 NOV: Dry Run under tests by Nikesh
21 NOV: RITM6814413
20/11 under debugging with devops,pyhton exception</t>
  </si>
  <si>
    <t>29 Nov: Looks good to use in run plan                                                                                                                                 29 NOV: Dry Run ongoing
28 Nov: Sanity Started                                                                                                                                                                RITM6840021 Baseline Installation is going on.</t>
  </si>
  <si>
    <t>29 NOV: Dry Run ongoing can use for run plan
28 Nov: Sanity is going on                                                                                                                                                           28 NOV: Unable to turn on the board and Arduino flash is also failing in the setup. to check HIL Board
27 Nov:RITM6834425 CLA Initlization failing                                                                                                                                                                  26 Nov: RITM6815852  with Devops                                                                                                              23 NOV: RITM6815852 , Node not reachable by Devops witherror "Name or service not known"
20/11; HW is connected with devops RITM6815852   21/11:baseline installtion was not completed so Habteab started working on it</t>
  </si>
  <si>
    <t>BEJSRTL736</t>
  </si>
  <si>
    <t>BEJSRTL735</t>
  </si>
  <si>
    <t>BEJSRTL737</t>
  </si>
  <si>
    <t>BEJSRTL738</t>
  </si>
  <si>
    <t>BEJSRTL739</t>
  </si>
  <si>
    <t>BEJSRTL740</t>
  </si>
  <si>
    <t>BEJSRTL741</t>
  </si>
  <si>
    <t>BEJSRTL742</t>
  </si>
  <si>
    <t>BEJSRTL743</t>
  </si>
  <si>
    <t>BEJSRTL744</t>
  </si>
  <si>
    <t>BEJSRTL745</t>
  </si>
  <si>
    <t>BEJSRTL746</t>
  </si>
  <si>
    <t>BEJSRTL747</t>
  </si>
  <si>
    <t>BEJSRTL748</t>
  </si>
  <si>
    <t>BEJSRTL749</t>
  </si>
  <si>
    <t>BEJSRTL750</t>
  </si>
  <si>
    <t>BEJSRTL751</t>
  </si>
  <si>
    <t>BEJSRTL752</t>
  </si>
  <si>
    <t>BEJSRTL753</t>
  </si>
  <si>
    <t>BEJSRTL754</t>
  </si>
  <si>
    <t>BEJSRTL755</t>
  </si>
  <si>
    <t>BEJSRTL756</t>
  </si>
  <si>
    <t>BEJSRTL757</t>
  </si>
  <si>
    <t>BEJSRTL758</t>
  </si>
  <si>
    <t>BEJSRTL759</t>
  </si>
  <si>
    <t>BEJSRTL760</t>
  </si>
  <si>
    <t>BEJSRTL761</t>
  </si>
  <si>
    <t>BEJSRTL762</t>
  </si>
  <si>
    <t>BEJSRTL763</t>
  </si>
  <si>
    <t>BEJSRTL764</t>
  </si>
  <si>
    <t>30 NOV: RITM6842346 is complete
29 NOV: RITM6842346 requested</t>
  </si>
  <si>
    <t>30 NOV: RITM6842346 is complete
29 NOV: RITM6842346 requested, For CPS &amp; Power</t>
  </si>
  <si>
    <t>30 NOV: Good for Regular testing
29 Nov: Sanity is going on                                                                                                                                                              27 Nov: RITM6835867</t>
  </si>
  <si>
    <t>TDD (Airtel) + FDD (VDF)</t>
  </si>
  <si>
    <t>30 NOV: 100% MO/MT Call Failure
27 NOV: Campaign running with SrLTE+Hybrid and didnt attach. Restarted with needed Combo
26 Nov: Sanity Run in progress -- details emailed</t>
  </si>
  <si>
    <t>30 Nov: Sanity is going on                                                                                                                                                           28 Nov: Waiting for VZW sims to activate                                                                                                                                                                                  27 Nov: RITM6835864</t>
  </si>
  <si>
    <t>30 Nov: Sanity is going on                                                                                                                                                              30 NOV: Host Down, Update from L2 Guys
29 Nov: RITM6844223 waiting for Devops to Complete installation                                                                       29 NOV: Yokesh changed Combo for this system from Sprint&amp;ATT to Verizon&amp;TMo
28 Nov:  Modem is not detecting while modem looks good and working on Cal station                                                                                                                                                                                                               27 Nov: RITM6835864</t>
  </si>
  <si>
    <r>
      <rPr>
        <sz val="11"/>
        <color rgb="FFFF0000"/>
        <rFont val="Calibri"/>
        <family val="2"/>
        <scheme val="minor"/>
      </rPr>
      <t xml:space="preserve">30 Nov: Sanity is going on --IMS Failing/MO/MT Calls are failing ,BO is checking  for reason.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29 Nov:RITM6844452  CLA initialization is failing Devops working on it.                                                                                                                                                                                          28 Nov: Waiting for VZW sims to activate                                                                                                                          27 Nov: RITM6835864</t>
    </r>
  </si>
  <si>
    <t>HW handed over to another team</t>
  </si>
  <si>
    <r>
      <rPr>
        <sz val="11"/>
        <color rgb="FFFF0000"/>
        <rFont val="Calibri"/>
        <family val="2"/>
        <scheme val="minor"/>
      </rPr>
      <t xml:space="preserve">03:Sanity result looks good we can use for Testing.  send logs to BO also.                                                                                                           03 DEC :Sanity is going on. Sims are not camping to VOLTE. Sharing Logs with BO to Check. HMT Used: 18.46.02. 
</t>
    </r>
    <r>
      <rPr>
        <sz val="11"/>
        <color theme="1"/>
        <rFont val="Calibri"/>
        <family val="2"/>
        <scheme val="minor"/>
      </rPr>
      <t xml:space="preserve">30 NOV: NVM cust issue to be checked. Physically to be checked
29 Nov: No enough run time to conclude                                                                                                                                                      28 NOV: Santiy Run: 0 hours, 10 crashes, 1 reset
27 Nov: Campaign stopped so restarted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rFont val="Calibri"/>
        <family val="2"/>
        <scheme val="minor"/>
      </rPr>
      <t>26 Nov:Sanity Started :: Operator information was not present in Operator properties
26 NOV: UL/DL is passed ,but  MO/MT calls are failing in the setup. IMS registration failing on SIM0.
23 NOV: Dry run triggered</t>
    </r>
    <r>
      <rPr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22 NOV: Dry Run triggered by Nikesh but with error "Getting value for property NVM_FOLDER ( source: tcf_config, value: FDA09925F459BF18FFFFFFFF)"
21:11 new ticket as requested by Devops RITM6819802 (CLA Initlization was failing</t>
    </r>
    <r>
      <rPr>
        <sz val="11"/>
        <color theme="1"/>
        <rFont val="Calibri"/>
        <family val="2"/>
        <scheme val="minor"/>
      </rPr>
      <t xml:space="preserve">
20/11; HW is connected with devops  RITM6815400</t>
    </r>
  </si>
  <si>
    <t>04 DEC: To convert to JIO MSIM SEB for the secondary combo FDD (VDF) + TDD (Jio)
21 NOV: Baseline update Done, MO,MT,DL/UL Pass ,  RAN in TDD+WCDMA Allocated for Regular Testing
20 NOV: Not in Run Plan - HW connected, Dry Run On Going</t>
  </si>
  <si>
    <t>04 DEC: Convert it to GNSS</t>
  </si>
  <si>
    <t>04 DEC : To change it to JIO MSIM SEB with secondary combo TDD (Jio) + WCDMA (Airtel)</t>
  </si>
  <si>
    <t>SN3299736</t>
  </si>
  <si>
    <t>MUCSRTL088</t>
  </si>
  <si>
    <t>04 Dec : RITM6857704 - Baseline installation needed from DevOps Team</t>
  </si>
  <si>
    <t>SN2510891</t>
  </si>
  <si>
    <t>SN3299790</t>
  </si>
  <si>
    <t>SN3219961</t>
  </si>
  <si>
    <t>SN2510431</t>
  </si>
  <si>
    <t>SN3299631</t>
  </si>
  <si>
    <t>SN4079705</t>
  </si>
  <si>
    <t xml:space="preserve">Congatec issue </t>
  </si>
  <si>
    <t>FDD (VDF) + TDD (Jio)</t>
  </si>
  <si>
    <t>VDF+JIO</t>
  </si>
  <si>
    <t>JIO+Airtel</t>
  </si>
  <si>
    <t>TDD (Jio) + WCDMA (Airtel)</t>
  </si>
  <si>
    <t>With Graeme</t>
  </si>
  <si>
    <t>05 Dec : Baseline Installation is done
04 Dec : RITM6857704 - Baseline installation needed from DevOps Team</t>
  </si>
  <si>
    <t xml:space="preserve">05 Dec : Replaced with repait kit
Need to be replaced with repair kit </t>
  </si>
  <si>
    <t>T-Mo</t>
  </si>
  <si>
    <t>4915152884138</t>
  </si>
  <si>
    <t>491728920646</t>
  </si>
  <si>
    <t>05 Dec : RITM6861310 - Baseline Installation done</t>
  </si>
  <si>
    <t>04 Dec : RITM6857704 - Baseline installation done</t>
  </si>
  <si>
    <t>This Congatec is with Latest IC175 Version. Need RPK of this version</t>
  </si>
  <si>
    <t>In Transit</t>
  </si>
  <si>
    <t>05 Dec: Board is not working . not booting up after reset. updated same to tester as well.                                                                                                                                               23 NOV: Dry run is pass
22 NOV: VZW IMS is failing
21 NOV: LTEC HW,Realocate --&gt;convert to VZW &amp; ATT   21/11: Running fine</t>
  </si>
  <si>
    <t>Fixed the Parts- Under reimaging process</t>
  </si>
  <si>
    <t>TDD (Airtel) + FDD (Jio)</t>
  </si>
  <si>
    <t xml:space="preserve">06 DEC: To try the HW from HILSRTL396 and see if it works.
05 DEC : No HW
29 Nov: HW is not booting up </t>
  </si>
  <si>
    <t>MUCSRTL168</t>
  </si>
  <si>
    <t>SN3647971</t>
  </si>
  <si>
    <t>MUCSRTMAC127.IMU.INTEL.COM</t>
  </si>
  <si>
    <t>Yes(40168)</t>
  </si>
  <si>
    <t>9082040A5A9A426DFFFFFFFF</t>
  </si>
  <si>
    <t>C03816111921369BC</t>
  </si>
  <si>
    <t>07 Dec : Released from Pipe Clean and can be used for Normal Testing</t>
  </si>
  <si>
    <t>07 Dec : Released from Pipe Clean and can be used for Normal Testing
06 Dec : Sanity Ongoing with PreINT Build
05 DEC: For PFSW&amp; Smarti</t>
  </si>
  <si>
    <t>07 Dec : Released from Pipe Clean and can be used for Normal Testing
06 Dec : Sanity Ongoing with PreINT Build
05 DEC: For CPS &amp; Power</t>
  </si>
  <si>
    <t>SDSRTL207</t>
  </si>
  <si>
    <t>SDSRTL208</t>
  </si>
  <si>
    <t>SDSRTL209</t>
  </si>
  <si>
    <t>SDSRTL210</t>
  </si>
  <si>
    <t>SDSRTL211</t>
  </si>
  <si>
    <t>SDSRTL212</t>
  </si>
  <si>
    <t>Fixed the Parts and Reimaging is Completed</t>
  </si>
  <si>
    <t>Fixed the Parts and Reimaging yet to be complete</t>
  </si>
  <si>
    <t>TDD (Airtel) + TDD (Jio)</t>
  </si>
  <si>
    <t>WCDMA (Airtel) + WCDMA (VDF)</t>
  </si>
  <si>
    <t>Working Congatec</t>
  </si>
  <si>
    <t>3GFW CEB</t>
  </si>
  <si>
    <t>LTE CEB</t>
  </si>
  <si>
    <t>10 DEC: Under Sanity tests
07Dec : Sanity Ongoing with PreINT Build
05 DEC: For CPS &amp; Power</t>
  </si>
  <si>
    <t>3G CEB</t>
  </si>
  <si>
    <t>CPS &amp; Power</t>
  </si>
  <si>
    <t>PFSW&amp;Smarti</t>
  </si>
  <si>
    <t>PFSW &amp; Smarti</t>
  </si>
  <si>
    <t>RAC/RAU &amp; 2G</t>
  </si>
  <si>
    <t>LTE  CEB</t>
  </si>
  <si>
    <t>3G FW CEB</t>
  </si>
  <si>
    <t>10 DEC: Dry Run stats sent to BO for analysis
06 DEC: To try /clone same as 266306 VER ID
03 DEC: Host Down
30 Nov : Campaign failed due to Failed to check IMEI on DUT. Recopied NVM Files and triggered campaign.
29 NOV: Dry Run under tests
27 NOV: Ran in SRLTE + Hybrid. But Hybrid didnt attach. Restarted with needed Combo
26 Nov: Sanity Run in progress -- details emailed</t>
  </si>
  <si>
    <t>10 DEC: Dry Run stats sent to BO for analysis
06 DEC: To try /clone same as 266306 VER ID
30 NOV: 100% MO/MT Call Failure
27 NOV: Ran with SRLTE+Hybrid and attach failed. Restarted with needed Combo
26 Nov: Sanity Run in progress -- details emailed</t>
  </si>
  <si>
    <t xml:space="preserve">10 DEC: 4X Antenna Connected </t>
  </si>
  <si>
    <t>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   LTE CEB</t>
  </si>
  <si>
    <t xml:space="preserve">10 DEC: 4X Antenna Connected                                                                                                                                                                                                                                                          04 DEC : To change it to JIO MSIM SEB with primary combo TDD (Airtel) + FDD (Jio) </t>
  </si>
  <si>
    <t>10 DEC: 4X Antenna Connected                                                                                                                                                                                                                                                           04 DEC : To change it to JIO MSIM SEB with primary combo FDD (Jio) + FDD (Jio)</t>
  </si>
  <si>
    <t>10 DEC: 4X Antenna Connected                                                                                                                                                                                                                                                           3G CEB</t>
  </si>
  <si>
    <t>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   21 NOV: MO,MT,DL/UL Pass , Release for Normal Testing
20 NOV: Tests ongoing</t>
  </si>
  <si>
    <t>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21 NOV: MO,MT,DL/UL Pass , Release for Normal Testing
20 NOV: Tests ongoing . ETA EoD</t>
  </si>
  <si>
    <t>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21 NOV: Dry Run under tests. To revisit the verdict ,MO,MT,DL/UL Pass ,  Release for Normal Testing
20 NOV: Sim0 is not latching. 1. To check manual attach. 2. To try in VDF+Airtel combo with FDD+WCDMA.  3. To calibrate . 4. Change to new HW</t>
  </si>
  <si>
    <t>HILSRTL418</t>
  </si>
  <si>
    <t>HILSRTL419</t>
  </si>
  <si>
    <t>HILSRTL420</t>
  </si>
  <si>
    <t>HILSRTL421</t>
  </si>
  <si>
    <t>HILSRTL422</t>
  </si>
  <si>
    <t>C07826600TMX1R36</t>
  </si>
  <si>
    <t xml:space="preserve"> 00440152289320</t>
  </si>
  <si>
    <t xml:space="preserve"> 00440152299320</t>
  </si>
  <si>
    <t>C07826400SYX1R36</t>
  </si>
  <si>
    <t>9133142416</t>
  </si>
  <si>
    <t>00440152289871</t>
  </si>
  <si>
    <t>00440152299871</t>
  </si>
  <si>
    <t>C07826400R9X1R36</t>
  </si>
  <si>
    <t>9133142814</t>
  </si>
  <si>
    <t>5036199552</t>
  </si>
  <si>
    <t>00440152289864</t>
  </si>
  <si>
    <t>00440152299864</t>
  </si>
  <si>
    <t>5036199751</t>
  </si>
  <si>
    <t xml:space="preserve"> 00440152289866</t>
  </si>
  <si>
    <t>00440152299866</t>
  </si>
  <si>
    <t>C07826400SSX1R36</t>
  </si>
  <si>
    <t>C07826400P3X1R36</t>
  </si>
  <si>
    <t>C07826400Q6X1R36</t>
  </si>
  <si>
    <t xml:space="preserve"> 00440152289873</t>
  </si>
  <si>
    <t>00440152299873</t>
  </si>
  <si>
    <t>C07826400NSX1R36</t>
  </si>
  <si>
    <t>9132206825</t>
  </si>
  <si>
    <t xml:space="preserve"> 00440152289869</t>
  </si>
  <si>
    <t>00440152299869</t>
  </si>
  <si>
    <t>C07826400QAX1R36</t>
  </si>
  <si>
    <t>00440152289844</t>
  </si>
  <si>
    <t>00440152299844</t>
  </si>
  <si>
    <t>C07826600U2X1R36</t>
  </si>
  <si>
    <t xml:space="preserve"> 00440152289851</t>
  </si>
  <si>
    <t xml:space="preserve"> 00440152299851</t>
  </si>
  <si>
    <t>C07826400NVX1R36</t>
  </si>
  <si>
    <t>9135791861</t>
  </si>
  <si>
    <t>00440152289865</t>
  </si>
  <si>
    <t>00440152299865</t>
  </si>
  <si>
    <t>C07826400LSX1R36</t>
  </si>
  <si>
    <t>9712942754</t>
  </si>
  <si>
    <t>00440152289856</t>
  </si>
  <si>
    <t>00440152299856</t>
  </si>
  <si>
    <t>9712979347</t>
  </si>
  <si>
    <t>C07826600Z4X1R36</t>
  </si>
  <si>
    <t>9712942755</t>
  </si>
  <si>
    <t>00440152289308</t>
  </si>
  <si>
    <t>00440152299308</t>
  </si>
  <si>
    <t>5034817497</t>
  </si>
  <si>
    <t>C07826400L1X1R36</t>
  </si>
  <si>
    <t>9135794378</t>
  </si>
  <si>
    <t xml:space="preserve"> 00440152289854</t>
  </si>
  <si>
    <t xml:space="preserve"> 00440152299854</t>
  </si>
  <si>
    <t>C07826600YFX1R36</t>
  </si>
  <si>
    <t>9135261489</t>
  </si>
  <si>
    <t>00440152289328</t>
  </si>
  <si>
    <t xml:space="preserve"> 00440152299328</t>
  </si>
  <si>
    <t>C07826400NTX1R36</t>
  </si>
  <si>
    <t>5037288604</t>
  </si>
  <si>
    <t xml:space="preserve"> 00440152289862</t>
  </si>
  <si>
    <t xml:space="preserve"> 00440152299862</t>
  </si>
  <si>
    <t>5034572405</t>
  </si>
  <si>
    <t xml:space="preserve"> 00440152289858</t>
  </si>
  <si>
    <t xml:space="preserve"> 00440152299858</t>
  </si>
  <si>
    <t>6194946146</t>
  </si>
  <si>
    <t>X1R3827003W</t>
  </si>
  <si>
    <t>00440152274619</t>
  </si>
  <si>
    <t>00440152274618</t>
  </si>
  <si>
    <t>6194946258</t>
  </si>
  <si>
    <t>10 Dec: Idle from Oct                                                                                                                                                                       LTE CEB</t>
  </si>
  <si>
    <r>
      <rPr>
        <sz val="11"/>
        <color rgb="FFFF0000"/>
        <rFont val="Calibri"/>
        <family val="2"/>
        <scheme val="minor"/>
      </rPr>
      <t xml:space="preserve">30 Nov:Can use for Testing                                                                                                                                                      30 Nov: Sanity is going on. Sims are not camping to VOLTE Logs will pass to BO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29 Nov: RITM6844492 CLA initilization is failing                                                                                                                                                                                             28 Nov: Waiting for VZW sims to activate                                                                                                                          27 Nov: RITM6835864</t>
    </r>
  </si>
  <si>
    <t>10 Dec: Setup issue  Board is crashing                                                                                                                                                          LTEC HW</t>
  </si>
  <si>
    <t>ISM: 1304119604</t>
  </si>
  <si>
    <t>ISM: 1304119582</t>
  </si>
  <si>
    <t>SN4079464</t>
  </si>
  <si>
    <t>SN4079710</t>
  </si>
  <si>
    <t>SN4079642</t>
  </si>
  <si>
    <t>SN4079586</t>
  </si>
  <si>
    <t>SN4079657</t>
  </si>
  <si>
    <t>SN4079453</t>
  </si>
  <si>
    <t>SN4079602</t>
  </si>
  <si>
    <t>SN4079507</t>
  </si>
  <si>
    <t>SN4079537</t>
  </si>
  <si>
    <t>SN4079562</t>
  </si>
  <si>
    <t>SN4079594</t>
  </si>
  <si>
    <t>SN4079520</t>
  </si>
  <si>
    <t>SN4079701</t>
  </si>
  <si>
    <t>SN4079684</t>
  </si>
  <si>
    <t>SN4079472</t>
  </si>
  <si>
    <t>SN4079689</t>
  </si>
  <si>
    <t>SN4079434</t>
  </si>
  <si>
    <t>SN4079407</t>
  </si>
  <si>
    <t>SN4079679</t>
  </si>
  <si>
    <t>SN4079489</t>
  </si>
  <si>
    <t>SN4079613</t>
  </si>
  <si>
    <t>SN4079364</t>
  </si>
  <si>
    <t>SN4079425</t>
  </si>
  <si>
    <t>SN4079665</t>
  </si>
  <si>
    <t>SN4079596</t>
  </si>
  <si>
    <t>SN4079427</t>
  </si>
  <si>
    <t>SN4079387</t>
  </si>
  <si>
    <t>SN4079584</t>
  </si>
  <si>
    <t>SN4079512</t>
  </si>
  <si>
    <t>SN4079485</t>
  </si>
  <si>
    <t>SN4079579</t>
  </si>
  <si>
    <t>SN4079475</t>
  </si>
  <si>
    <t>SN4079349</t>
  </si>
  <si>
    <t>SN4079589</t>
  </si>
  <si>
    <t>SN4079519</t>
  </si>
  <si>
    <t>SN4079598</t>
  </si>
  <si>
    <t>SN4079405</t>
  </si>
  <si>
    <t>SN4079574</t>
  </si>
  <si>
    <t>SN4079694</t>
  </si>
  <si>
    <t>SN4079351</t>
  </si>
  <si>
    <t>SN4079348</t>
  </si>
  <si>
    <t>SN4079629</t>
  </si>
  <si>
    <t>SN4079696</t>
  </si>
  <si>
    <t>SN4079597</t>
  </si>
  <si>
    <t>SN4079566</t>
  </si>
  <si>
    <t>SN4079366</t>
  </si>
  <si>
    <t>SN4079493</t>
  </si>
  <si>
    <t>SN4079604</t>
  </si>
  <si>
    <t>SN4079518</t>
  </si>
  <si>
    <t>SN4079549</t>
  </si>
  <si>
    <t>SN4079391</t>
  </si>
  <si>
    <t>SN4079595</t>
  </si>
  <si>
    <t>SN4079717</t>
  </si>
  <si>
    <t>SN4079329</t>
  </si>
  <si>
    <t>SN4079421</t>
  </si>
  <si>
    <t>SN4079457</t>
  </si>
  <si>
    <t>SN4079664</t>
  </si>
  <si>
    <t>SN4079365</t>
  </si>
  <si>
    <t>SN4079460</t>
  </si>
  <si>
    <t>SN4079458</t>
  </si>
  <si>
    <t>SN4079402</t>
  </si>
  <si>
    <t>SN4079429</t>
  </si>
  <si>
    <t>SN4079420</t>
  </si>
  <si>
    <t>SN4079501</t>
  </si>
  <si>
    <t>SN4079342</t>
  </si>
  <si>
    <t>SN4079454</t>
  </si>
  <si>
    <t>SN4079385</t>
  </si>
  <si>
    <t>SN4079443</t>
  </si>
  <si>
    <t>SN4079461</t>
  </si>
  <si>
    <t>SN4079692</t>
  </si>
  <si>
    <t>SN4079558</t>
  </si>
  <si>
    <t>SN4079536</t>
  </si>
  <si>
    <t>SN4079449</t>
  </si>
  <si>
    <t>SN4079555</t>
  </si>
  <si>
    <t>SN4079513</t>
  </si>
  <si>
    <t>SN4079340</t>
  </si>
  <si>
    <t>SN4079654</t>
  </si>
  <si>
    <t>SN4079715</t>
  </si>
  <si>
    <t>SN4079685</t>
  </si>
  <si>
    <t>SN4079466</t>
  </si>
  <si>
    <t>SN4079601</t>
  </si>
  <si>
    <t>SN4079389</t>
  </si>
  <si>
    <t>SN4079663</t>
  </si>
  <si>
    <t>SN4079478</t>
  </si>
  <si>
    <t>SN4079522</t>
  </si>
  <si>
    <t>SN4079400</t>
  </si>
  <si>
    <t>SN4079486</t>
  </si>
  <si>
    <t>SN4079368</t>
  </si>
  <si>
    <t>SN4079480</t>
  </si>
  <si>
    <t>SN4079650</t>
  </si>
  <si>
    <t>SN4079470</t>
  </si>
  <si>
    <t>SN4079641</t>
  </si>
  <si>
    <t>SN4079621</t>
  </si>
  <si>
    <t>SN4079676</t>
  </si>
  <si>
    <t>SN4079354</t>
  </si>
  <si>
    <t>SN4079327</t>
  </si>
  <si>
    <t>SN4079393</t>
  </si>
  <si>
    <t>SN4079346</t>
  </si>
  <si>
    <t>SN4079465</t>
  </si>
  <si>
    <t>SN4079682</t>
  </si>
  <si>
    <t>SN4079539</t>
  </si>
  <si>
    <t>SN4079667</t>
  </si>
  <si>
    <t>SN4079337</t>
  </si>
  <si>
    <t>ISM: 1304119591</t>
  </si>
  <si>
    <t>11 DEC: HIL board not connected</t>
  </si>
  <si>
    <t>11 DEC: Ashish to start dry run</t>
  </si>
  <si>
    <t>11 DEC: Dry Run under tests
07 DEC: Convert to Sprint SRLTE for CDMA_CPS</t>
  </si>
  <si>
    <t>11 DEC: Dry Run under tests
07 DEC: Convert to Sprint Hybrid for CDMA_CPS</t>
  </si>
  <si>
    <t>00440152289213</t>
  </si>
  <si>
    <t>00440152299213</t>
  </si>
  <si>
    <t>00440152289188</t>
  </si>
  <si>
    <t>00440152299188</t>
  </si>
  <si>
    <t>00440152289182</t>
  </si>
  <si>
    <t>00440152299182</t>
  </si>
  <si>
    <t>1XRTT</t>
  </si>
  <si>
    <t>00440152289179</t>
  </si>
  <si>
    <t>00440152299179</t>
  </si>
  <si>
    <t>00440152289181</t>
  </si>
  <si>
    <t>00440152299181</t>
  </si>
  <si>
    <t>00440152289215</t>
  </si>
  <si>
    <t>00440152299215</t>
  </si>
  <si>
    <t>00440152289229</t>
  </si>
  <si>
    <t>00440152299229</t>
  </si>
  <si>
    <t>00440152289218</t>
  </si>
  <si>
    <t>00440152299218</t>
  </si>
  <si>
    <t>00440152287669</t>
  </si>
  <si>
    <t>00440152297669</t>
  </si>
  <si>
    <t>00440152289366</t>
  </si>
  <si>
    <t>00440152299366</t>
  </si>
  <si>
    <t>FDD+TDD(VOLTE)</t>
  </si>
  <si>
    <t>00440152289219</t>
  </si>
  <si>
    <t>00440152299219</t>
  </si>
  <si>
    <t>00440152289358</t>
  </si>
  <si>
    <t>00440152299358</t>
  </si>
  <si>
    <t>00440152289357</t>
  </si>
  <si>
    <t>00440152299357</t>
  </si>
  <si>
    <t>00440152289184</t>
  </si>
  <si>
    <t>00440152299184</t>
  </si>
  <si>
    <t>00440152289217</t>
  </si>
  <si>
    <t>00440152299217</t>
  </si>
  <si>
    <t>SRLTE+FDD</t>
  </si>
  <si>
    <t>00440152289367</t>
  </si>
  <si>
    <t>00440152299367</t>
  </si>
  <si>
    <t>00440152289356</t>
  </si>
  <si>
    <t>00440152299356</t>
  </si>
  <si>
    <t>00440152289194</t>
  </si>
  <si>
    <t>00440152299194</t>
  </si>
  <si>
    <t>00440152289335</t>
  </si>
  <si>
    <t>00440152299335</t>
  </si>
  <si>
    <t>00440152289329</t>
  </si>
  <si>
    <t>00440152299329</t>
  </si>
  <si>
    <t>00440152289233</t>
  </si>
  <si>
    <t>00440152299233</t>
  </si>
  <si>
    <t>00440152289332</t>
  </si>
  <si>
    <t>00440152299332</t>
  </si>
  <si>
    <t>00440152289224</t>
  </si>
  <si>
    <t>00440152299224</t>
  </si>
  <si>
    <t>00440152289337</t>
  </si>
  <si>
    <t>00440152299337</t>
  </si>
  <si>
    <t>00440152289342</t>
  </si>
  <si>
    <t>00440152299342</t>
  </si>
  <si>
    <t>00440152289330</t>
  </si>
  <si>
    <t>00440152299330</t>
  </si>
  <si>
    <t>00440152289351</t>
  </si>
  <si>
    <t>00440152299351</t>
  </si>
  <si>
    <t>00440152289349</t>
  </si>
  <si>
    <t>00440152299349</t>
  </si>
  <si>
    <t>00440152289228</t>
  </si>
  <si>
    <t>00440152299228</t>
  </si>
  <si>
    <t>00440152289334</t>
  </si>
  <si>
    <t>00440152299334</t>
  </si>
  <si>
    <t>2F/R57/3</t>
  </si>
  <si>
    <t>00440152287676</t>
  </si>
  <si>
    <t>00440152297676</t>
  </si>
  <si>
    <t>2F/R57/1</t>
  </si>
  <si>
    <t>00440152289340</t>
  </si>
  <si>
    <t>00440152299340</t>
  </si>
  <si>
    <t>00440152289234</t>
  </si>
  <si>
    <t>00440152299234</t>
  </si>
  <si>
    <t>00440152289178</t>
  </si>
  <si>
    <t>00440152299178</t>
  </si>
  <si>
    <t>00440152289232</t>
  </si>
  <si>
    <t>00440152299232</t>
  </si>
  <si>
    <t>00440152289230</t>
  </si>
  <si>
    <t>00440152299230</t>
  </si>
  <si>
    <t>00440152289225</t>
  </si>
  <si>
    <t>00440152299225</t>
  </si>
  <si>
    <t>00440152289220</t>
  </si>
  <si>
    <t>00440152299220</t>
  </si>
  <si>
    <t>HYBRID+TDD</t>
  </si>
  <si>
    <t>00440152289214</t>
  </si>
  <si>
    <t>00440152299214</t>
  </si>
  <si>
    <t>00440152289236</t>
  </si>
  <si>
    <t>00440152299236</t>
  </si>
  <si>
    <t>00440152289202</t>
  </si>
  <si>
    <t>00440152299202</t>
  </si>
  <si>
    <t>00440152289211</t>
  </si>
  <si>
    <t>00440152299211</t>
  </si>
  <si>
    <t>VoLTE+FDD</t>
  </si>
  <si>
    <t>00440152289205</t>
  </si>
  <si>
    <t>00440152299205</t>
  </si>
  <si>
    <t>00440152289201</t>
  </si>
  <si>
    <t>00440152299201</t>
  </si>
  <si>
    <t>00440152289206</t>
  </si>
  <si>
    <t>00440152299206</t>
  </si>
  <si>
    <t>00440152289195</t>
  </si>
  <si>
    <t>00440152299195</t>
  </si>
  <si>
    <t>00440152289196</t>
  </si>
  <si>
    <t>00440152299196</t>
  </si>
  <si>
    <t>00440152289208</t>
  </si>
  <si>
    <t>00440152299208</t>
  </si>
  <si>
    <t>00440152289186</t>
  </si>
  <si>
    <t>00440152299186</t>
  </si>
  <si>
    <t>00440152289200</t>
  </si>
  <si>
    <t>00440152299200</t>
  </si>
  <si>
    <t>00440152289198</t>
  </si>
  <si>
    <t>00440152299198</t>
  </si>
  <si>
    <t>00440152289348</t>
  </si>
  <si>
    <t>00440152299348</t>
  </si>
  <si>
    <t>00440152289346</t>
  </si>
  <si>
    <t>00440152299346</t>
  </si>
  <si>
    <t>00440152289193</t>
  </si>
  <si>
    <t>00440152299193</t>
  </si>
  <si>
    <t>3772E9B24B736802FFFFFFFF</t>
  </si>
  <si>
    <t>C07827300A5X1R36</t>
  </si>
  <si>
    <t>00440152274384</t>
  </si>
  <si>
    <t>00440152274385</t>
  </si>
  <si>
    <t>5BDD17124D676802FFFFFFFF</t>
  </si>
  <si>
    <t>C07827300BDX1R36</t>
  </si>
  <si>
    <t>13810273942</t>
  </si>
  <si>
    <t>00440152274476</t>
  </si>
  <si>
    <t>00440152274477</t>
  </si>
  <si>
    <t>0B814C14CB536802FFFFFFFF</t>
  </si>
  <si>
    <t>C078273003LX1R36</t>
  </si>
  <si>
    <t>00440152274742</t>
  </si>
  <si>
    <t>00440152274743</t>
  </si>
  <si>
    <t>2287146BBC7A6802FFFFFFFF</t>
  </si>
  <si>
    <t>C0782730046X1R36</t>
  </si>
  <si>
    <t>00440152274418</t>
  </si>
  <si>
    <t>00440152274419</t>
  </si>
  <si>
    <t>0B7E3A19CC2F6802FFFFFFFF</t>
  </si>
  <si>
    <t>C07827500KGX1R36</t>
  </si>
  <si>
    <t>00440152274530</t>
  </si>
  <si>
    <t>00440152274531</t>
  </si>
  <si>
    <t>150B86F1CC5A6802FFFFFFFF</t>
  </si>
  <si>
    <t>C07827500KEX1R36</t>
  </si>
  <si>
    <t>13269667764</t>
  </si>
  <si>
    <t>00440152274378</t>
  </si>
  <si>
    <t>00440152274379</t>
  </si>
  <si>
    <t>13811902573</t>
  </si>
  <si>
    <t>bejsrtm020smini.bj.intel.com</t>
  </si>
  <si>
    <t>33600B5D4D606802FFFFFFFF</t>
  </si>
  <si>
    <t>00440152274380</t>
  </si>
  <si>
    <t>00440152274381</t>
  </si>
  <si>
    <t>3C21A9FACA776802FFFFFFFF</t>
  </si>
  <si>
    <t>C0782730044X1R36</t>
  </si>
  <si>
    <t>00440152274522</t>
  </si>
  <si>
    <t>00440152274523</t>
  </si>
  <si>
    <t>24AC404ECD646802FFFFFFFF</t>
  </si>
  <si>
    <t>00440152274578</t>
  </si>
  <si>
    <t>00440152274579</t>
  </si>
  <si>
    <t>bejsrtm021smini.bj.intel.com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</si>
  <si>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</si>
  <si>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</si>
  <si>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</si>
  <si>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</si>
  <si>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</si>
  <si>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</si>
  <si>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</si>
  <si>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</si>
  <si>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bejsrtm022smini.bj.intel.com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</si>
  <si>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</si>
  <si>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</si>
  <si>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</si>
  <si>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</si>
  <si>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</si>
  <si>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</si>
  <si>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</si>
  <si>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</si>
  <si>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</si>
  <si>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</si>
  <si>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</si>
  <si>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</si>
  <si>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</si>
  <si>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</si>
  <si>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</si>
  <si>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</si>
  <si>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</si>
  <si>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</si>
  <si>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</si>
  <si>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</si>
  <si>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</si>
  <si>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</si>
  <si>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BASRTL362</t>
  </si>
  <si>
    <t>BASRTL363</t>
  </si>
  <si>
    <t>BASRTL364</t>
  </si>
  <si>
    <t>BASRTL365</t>
  </si>
  <si>
    <t>BASRTL366</t>
  </si>
  <si>
    <t>BASRTL367</t>
  </si>
  <si>
    <t>BASRTL368</t>
  </si>
  <si>
    <t>BASRTL369</t>
  </si>
  <si>
    <t>BASRTL370</t>
  </si>
  <si>
    <t>BASRTL371</t>
  </si>
  <si>
    <t>SN3648128</t>
  </si>
  <si>
    <t>SN3647596</t>
  </si>
  <si>
    <t>SN3647550</t>
  </si>
  <si>
    <t>SN3647974</t>
  </si>
  <si>
    <t>SN3647578</t>
  </si>
  <si>
    <t>SN3647580</t>
  </si>
  <si>
    <t>SN3647607</t>
  </si>
  <si>
    <t>SN3647559</t>
  </si>
  <si>
    <t>SN3647730</t>
  </si>
  <si>
    <t>SN3647759</t>
  </si>
  <si>
    <t>FDD (Jio) + FDD (Jio)</t>
  </si>
  <si>
    <t>12 DEC: Sanity Passsed Can be taken in runplan                                                                                                                                                                             11 DEC: Sanity Run ongoing                                    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     06 DEC: Convert to Primary Combo TDD (Airtel) + FDD (Jio) for SEB</t>
  </si>
  <si>
    <t>12 DEC: Sanity Passsed Can be taken in runplan                                                                                                                                                       11 DEC: Sanity Run ongoing                                       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     06 DEC: To convert to secondary Combo FDD (VDF) + TDD (Jio) for SEB</t>
  </si>
  <si>
    <t>12 DEC: Sanity Passsed Can be taken in runplan                                                                                                                                         11 DEC: Sanity Run ongoing                                    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06 DEC: Convert to Secondary Combo TDD (Airtel) + TDD (Jio) for SEB</t>
  </si>
  <si>
    <t>SVB B0 + EK3.1</t>
  </si>
  <si>
    <t>SVB B0 + EK4.1</t>
  </si>
  <si>
    <t>12 DEC: Can be Taken in Run Plan                                                                                                                                               11 DEC: Sanity Run ongoing                                   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06 DEC: Convert to Secondary Combo TDD (Airtel) + TDD (Jio) for SEB</t>
  </si>
  <si>
    <t>12 DEC: Sanity Ongoing CI#272251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06 DEC: Convert to Primary Combo FDD (Jio) + FDD (Jio) for SEB</t>
  </si>
  <si>
    <t>12 DEC: Converted to JIO From VDF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10 DEC: To convert to JIO for preINT</t>
  </si>
  <si>
    <t>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12 DEC: Converted to JIO From VDF                                                                                                                                                             10 DEC: To convert to JIO for preINT</t>
  </si>
  <si>
    <t>12 Dec: Setup is ready for Regulat Testing
12 DEC: Swikriti to check and feedback the dry run status
11: Dec: Sanity is going on --&gt;can use for Testing.                                                                                                                                                          10 Dec: Can use for Testing                                                                                                                                                       07 DEC: Covnert to Verizon Hybrid for CDMA_CPS</t>
  </si>
  <si>
    <t xml:space="preserve">To be fixed </t>
  </si>
  <si>
    <t>14 Dev Converted to ATT as requested by Sunitha.
LTE CEB</t>
  </si>
  <si>
    <t>HILSRTL430</t>
  </si>
  <si>
    <t>HILSRTL431</t>
  </si>
  <si>
    <t>HILSRTL432</t>
  </si>
  <si>
    <t>HILSRTL433</t>
  </si>
  <si>
    <t>14 Dec: Testing started.it already proven setup we can use for testing only tracing issue was there which is fixed
13 DEC: Dry run triggered did not execute any TCs due to UTT issue(to be discussed with Saidulu), fresh campaign triggered now 
12 Dec: Traces are coming 
12 DEC: Tracing is working fine post baseline update. Swikriti to trigger dry run
11 Dec: Habteab is installing baseline once done will start testing  but  still no luck,habteab is going to send mail.                                                                                                                                                                                        11 DEC: Campaign is still running. Ashish to check if tracing issue is gone
10 Dec: Trace issue Habteab is waiting for new set of Tools                                                                                       10 DEC: Trace Issue : RITM6872627</t>
  </si>
  <si>
    <r>
      <rPr>
        <sz val="11"/>
        <color rgb="FFFF0000"/>
        <rFont val="Calibri"/>
        <family val="2"/>
        <scheme val="minor"/>
      </rPr>
      <t>14 DEC: HW issue removed please dont use for Testing  &amp; dont start any sanity</t>
    </r>
    <r>
      <rPr>
        <sz val="11"/>
        <color theme="1"/>
        <rFont val="Calibri"/>
        <family val="2"/>
        <scheme val="minor"/>
      </rPr>
      <t xml:space="preserve">
13 DEC: DUT crashed 3 times during the flash process, SIM card is not present in the DUT, after check manual flash also below results are seen:
12 DEC: Modem is crashing after flash.IPC is not getting up. even on call station also.
11 DEC: NVM data is corrupted. Tests retriggered. Ashish to Monitor and if needed update to test_b185002_L7660-mtbf and check again
10: Dec DUT is not booting after Flash Habteab is waiting for new Baseline                                                      07 DEC: Covnert to Verizon SRLTE for CDMA_CPS. Baseline update needed: RITM6872673</t>
    </r>
  </si>
  <si>
    <r>
      <rPr>
        <sz val="11"/>
        <color rgb="FFFF0000"/>
        <rFont val="Calibri"/>
        <family val="2"/>
        <scheme val="minor"/>
      </rPr>
      <t>14 Dec: Dont use setup for testing HW is not Good</t>
    </r>
    <r>
      <rPr>
        <sz val="11"/>
        <color theme="1"/>
        <rFont val="Calibri"/>
        <family val="2"/>
        <scheme val="minor"/>
      </rPr>
      <t xml:space="preserve">
13 DEC: DUT is crashing after manual flash as well. Modem is not running. Cannot configure device: wwan0.iat0_0. 
12 DEC: Modem is crashing after flash.
11 DEC: Habteab is going to send mail. setup not working even after updateding baseline
11 DEC: Baseline to be updated and to be tried 
10 Dec: Setup issue not running need to check                                                                                                               29 NOV: Good for Regular testing
28 Nov: Sanity is going on                                                                                                                                                             27 Nov :,Habteb is working on it.                                                                                                                                          26 Nov: Config issue Hil Board is not flashing Devops is Checking RITM6830983                                                                                                                                           23 NOV: RITM6815852 is complete. Dry RunTriggered but HIL Board connection Issue is seen.
20/11; HW is connected with devops RITM6815852   21/11:Machine was not reflecting to Drag Nodes updated same to Habteab so testing not started</t>
    </r>
  </si>
  <si>
    <t>SDSRTL229</t>
  </si>
  <si>
    <t>SDSRTL228</t>
  </si>
  <si>
    <t>SDSRTL227</t>
  </si>
  <si>
    <t>SDSRTL226</t>
  </si>
  <si>
    <t>SDSRTL225</t>
  </si>
  <si>
    <t>SDSRTL224</t>
  </si>
  <si>
    <t>SDSRTL221</t>
  </si>
  <si>
    <t>SDSRTL222</t>
  </si>
  <si>
    <t>SDSRTL223</t>
  </si>
  <si>
    <t>SDSRTL220</t>
  </si>
  <si>
    <t>SDSRTL219</t>
  </si>
  <si>
    <t>SDSRTL218</t>
  </si>
  <si>
    <t>SDSRTL217</t>
  </si>
  <si>
    <t>SDSRTL216</t>
  </si>
  <si>
    <t>SDSRTL215</t>
  </si>
  <si>
    <t>SDSRTL214</t>
  </si>
  <si>
    <t>HILSRTL434</t>
  </si>
  <si>
    <t>HILSRTL435</t>
  </si>
  <si>
    <t>HILSRTL436</t>
  </si>
  <si>
    <t>HILSRTL437</t>
  </si>
  <si>
    <t>HILSRTL438</t>
  </si>
  <si>
    <t>HILSRTL439</t>
  </si>
  <si>
    <t>HILSRTL440</t>
  </si>
  <si>
    <t>HILSRTL441</t>
  </si>
  <si>
    <t>HILSRTL442</t>
  </si>
  <si>
    <t>HILSRTL443</t>
  </si>
  <si>
    <t>HILSRTL444</t>
  </si>
  <si>
    <t>HILSRTL445</t>
  </si>
  <si>
    <t>HILSRTL446</t>
  </si>
  <si>
    <t>HILSRTL447</t>
  </si>
  <si>
    <t>HILSRTL448</t>
  </si>
  <si>
    <t>HILSRTL449</t>
  </si>
  <si>
    <t>HILSRTL450</t>
  </si>
  <si>
    <t>HILSRTL451</t>
  </si>
  <si>
    <t>HILSRTL452</t>
  </si>
  <si>
    <t>HILSRTL453</t>
  </si>
  <si>
    <t>HILSRTL454</t>
  </si>
  <si>
    <t>HILSRTL455</t>
  </si>
  <si>
    <t>HILSRTL456</t>
  </si>
  <si>
    <t>HILSRTL457</t>
  </si>
  <si>
    <t>HILSRTL458</t>
  </si>
  <si>
    <t>HILSRTL459</t>
  </si>
  <si>
    <t>HILSRTL460</t>
  </si>
  <si>
    <t>HILSRTL461</t>
  </si>
  <si>
    <t>HILSRTL462</t>
  </si>
  <si>
    <t>HILSRTL463</t>
  </si>
  <si>
    <t>HILSRTL464</t>
  </si>
  <si>
    <t>HILSRTL465</t>
  </si>
  <si>
    <t>HILSRTL466</t>
  </si>
  <si>
    <t>HILSRTL467</t>
  </si>
  <si>
    <t>HILSRTL468</t>
  </si>
  <si>
    <t>HILSRTL469</t>
  </si>
  <si>
    <t>HILSRTL470</t>
  </si>
  <si>
    <t>HILSRTL471</t>
  </si>
  <si>
    <t>HILSRTL472</t>
  </si>
  <si>
    <t>HILSRTL473</t>
  </si>
  <si>
    <t>HILSRTL474</t>
  </si>
  <si>
    <t>HILSRTL475</t>
  </si>
  <si>
    <t>HILSRTL476</t>
  </si>
  <si>
    <t>HILSRTL477</t>
  </si>
  <si>
    <t>HILSRTL478</t>
  </si>
  <si>
    <t>HILSRTL479</t>
  </si>
  <si>
    <t>HILSRTL480</t>
  </si>
  <si>
    <t>HILSRTL481</t>
  </si>
  <si>
    <t>HILSRTL482</t>
  </si>
  <si>
    <t>HILSRTL483</t>
  </si>
  <si>
    <t>HILSRTL484</t>
  </si>
  <si>
    <t>HILSRTL485</t>
  </si>
  <si>
    <t>HILSRTL486</t>
  </si>
  <si>
    <t>HILSRTL487</t>
  </si>
  <si>
    <t>HILSRTL488</t>
  </si>
  <si>
    <t>SN3219611 --&gt; 3647921</t>
  </si>
  <si>
    <t>SN3219610 ---&gt;3648102</t>
  </si>
  <si>
    <t>SN3219589 ---&gt; 3647566</t>
  </si>
  <si>
    <t>SN3219903 ---&gt; 3647646</t>
  </si>
  <si>
    <t>SN2250518 --&gt;3647956</t>
  </si>
  <si>
    <t>SN3219557 ---&gt;3647805</t>
  </si>
  <si>
    <t>SN2794421 --&gt; 3647900</t>
  </si>
  <si>
    <t>BASRTL419</t>
  </si>
  <si>
    <t>BASRTL420</t>
  </si>
  <si>
    <t>BASRTL421</t>
  </si>
  <si>
    <t>BASRTL422</t>
  </si>
  <si>
    <t>BASRTL423</t>
  </si>
  <si>
    <t>BASRTL424</t>
  </si>
  <si>
    <t>17 Dec: Campaign gets blocked after MO Call ARI is initiated, connection to UTT is lost and could not be recovered as MDM_Ready was not seen.
Triggered campaign with HMT: 18.50.01_SMS31966353.zip (Attached mail chain), to run overnight and observe if campaign stops due to same issue again.
14 Dec: Testing started. already proven setup before we can use for testing already analysis from Janani.
13 DEC: Campaign blocked after MO Call ARI is initiated, connection to UTT is lost and could not be recovered as MDM_Ready was not seen, fresh campaign triggered now
12 Dec: Sanity is going on  will add for Regular testing once ready
12 DEC: To convert to Verizon SRLTE</t>
  </si>
  <si>
    <t>17 Dec: Re-Queued Campaign ran for 20 Hours, with 1 reset, CD test not executed properly, have retriggered campaign and monitoring. 100% MO Call failure. To check for SIM card
14 Dec: Sanity Started, we already have proven data from Janani, we can use for testing
14 Dec: HW with SW team
13 DEC: 100% CALL FAILURE observed on SIM1 only, no logs are saved since the STT version used is STT-18.48.0000, requires baseline update. Update to b185003_L7660-mtbf-sit and check Sim1 MSISDN number
12 Dec: Swapped HW with HILSRTL397 and looks running need to check Sanity Result
06 DEC: UE Is coredumping.
05 : Habteab Added IPC team(Isfan) to check                                                                                                                   05 DEC : Habteab to check and confirm
04 DEC: New Download tool version to be tried if the issue is resolved
03 DEC: Issue will be escalated to IPC team
30 NOV: RITM6844962 with Devops is closed. CD after post power ON. To be checked physically
29 NOV: Ashish to check.
26 NOV: To check Dry Run Status
23 NOV: Under Dry Run
21 NOV: LTEC HW,Realocate --&gt;convert to VZW &amp; ATT   21/11: has IMEI issue Calibrated and again started Testingworking on it</t>
  </si>
  <si>
    <t>BASRTL425</t>
  </si>
  <si>
    <t>17 Dec: Modem not detected so removed Congatec from Rack
06 Dec: Replacement KIT 3648094 --Re-imaging is going on</t>
  </si>
  <si>
    <t>17 Dec: Modem not detected so removed Congatec from Rack
06 Dec: Replacement KIT 3647946--Re-imaging is going on</t>
  </si>
  <si>
    <t>17 Dec: Modem not detected so removed Congatec from Rack
06 Dec: Replacement KIT 3648529--Re-imaging is going on</t>
  </si>
  <si>
    <t>17 Dec: Modem not detected so removed Congatec from Rack
06 Dec: Replacement KIT 3647752--Re-imaging is going on</t>
  </si>
  <si>
    <t>17 Dec: Modem not detected so removed Congatec from Rack
06 Dec: Replacement KIT 3648441--Re-imaging is going on</t>
  </si>
  <si>
    <t>18 DEC: EK3.1 is broken</t>
  </si>
  <si>
    <t>18 DEC: Convert to JIO SSIM SEB</t>
  </si>
  <si>
    <t>Lend to Script Team</t>
  </si>
  <si>
    <t>18 DEC: With Scope connected</t>
  </si>
  <si>
    <t>WCDMA (Airtel) + WCDMA</t>
  </si>
  <si>
    <t>18 DEC: To check with Sudha</t>
  </si>
  <si>
    <t>BASRTL110</t>
  </si>
  <si>
    <t>18 DEC: Convert to FDD (Jio) + FDD (Jio) SEB MSIM</t>
  </si>
  <si>
    <t>18 DEC: Taken for normal testing</t>
  </si>
  <si>
    <t>18 DEC: Sanity tests looking good can use for testing</t>
  </si>
  <si>
    <t>SN4079724</t>
  </si>
  <si>
    <t>459/R12/6</t>
  </si>
  <si>
    <t>40490</t>
  </si>
  <si>
    <t>12/18/2018</t>
  </si>
  <si>
    <t>13051113538</t>
  </si>
  <si>
    <t>just release board ,sim card keep in hands</t>
  </si>
  <si>
    <t>need repair</t>
  </si>
  <si>
    <t>12/19/2018: board transfer to GNSS
IDC test</t>
  </si>
  <si>
    <t>189000670348</t>
  </si>
  <si>
    <t>26 NOV: Dry Run Pass
19 NOV: CPS power preint
20 NOV: Recalibration needed</t>
  </si>
  <si>
    <t>13121819332</t>
  </si>
  <si>
    <t/>
  </si>
  <si>
    <t>11/21/2018</t>
  </si>
  <si>
    <t>00440152274310</t>
  </si>
  <si>
    <t>00440152274311</t>
  </si>
  <si>
    <t>baseline done</t>
  </si>
  <si>
    <t>hard disk broken</t>
  </si>
  <si>
    <t>18911175464</t>
  </si>
  <si>
    <t>12/13/2018</t>
  </si>
  <si>
    <t>18010341442</t>
  </si>
  <si>
    <t>Sanity Required</t>
  </si>
  <si>
    <t>19 DEC: Hw moved to 172 for reset cable trials</t>
  </si>
  <si>
    <t>19 DEC: Dry run looks good. Email confrimation sent</t>
  </si>
  <si>
    <t xml:space="preserve">
19 Dec: facing issue so just for debugging changed Congatec and now HW connected to HILSRTL450
19 DEC: PRIO2  replaced congatec and Habteab is working on it
18 Dec: Congatec Frozen issue is coming frequently
18 DEC: To check BIOS settings</t>
  </si>
  <si>
    <t>19 Dec: Sanity passed we can use for testing
19: Habteab fixed '+' going to start  so started testing again
18 Dec: Campaign is going in "Pending"State every time "RITM6907312"
18 DEC: Host is not reachable--rebooted</t>
  </si>
  <si>
    <t xml:space="preserve">19 Dec: Sanity passed we can use for testing
19 Dec: MT Call not executed so restarted testing again
18 Dec: Habteab Corrected it.
18 DEC: Many crashes seen. Sanity tests looking good except MT call failure. The number must begin with '+' and the country code,” </t>
  </si>
  <si>
    <t>20 DEC: Basic Functionalities worked
19 Dec: Restarted again BO need to check ISTP log for MT call issue
19 DEC: Dry run triggered from MUC timezone with old SW and basic functionalities are working. All MO &amp; MT Call is failed
18 DEC: Blocked after modem reset detected, and MDM_READY is not seen. To rerun with suggested HMT version and SW build</t>
  </si>
  <si>
    <t>20 DEC: Basic Functionalities worked
19 Dec: BO is checking ISTP log for MT call issue /No messages in ISTP looks
19 DEC: Dry run triggered from MUC timezone. MO &amp; MT Call Failed
18 DEC: Blocked because of extra NVM file, retriggered campaign now</t>
  </si>
  <si>
    <t>20 DEC: Pankaj checking for functionalities
19 DEC: Dry run triggered from MUC timezone. New campaign triggered and failed with SMS32473775 &amp; SMS32480043
18 DEC: To check BIOS settings
17 Dec: Devops Tool installtion going on</t>
  </si>
  <si>
    <t>20 DEC: Sanity passed
19 Dec: Sanity Passed we can use for testing
19 DEC: Dry run triggered from MUC timezone. New campaign triggered and failed with SMS32473775 &amp; SMS32480043
18 Dec: Started Sanity
18 DEC: To check BIOS settings
17 Dec: Devops Tool installtion going on</t>
  </si>
  <si>
    <t xml:space="preserve">19 Dec: Sanity passed we can use for testing
18 DEC: Many crashes seen. Sanity tests looking good except MT call failure. The number must begin with '+' and the country code,” </t>
  </si>
  <si>
    <t>LTE</t>
  </si>
  <si>
    <t>ATT + T-Mo</t>
  </si>
  <si>
    <t>SPR+ATT</t>
  </si>
  <si>
    <t xml:space="preserve">FDD VoLTE (VZW) + FDD VoLTE (VZW) </t>
  </si>
  <si>
    <t>VZW+VZW</t>
  </si>
  <si>
    <r>
      <t xml:space="preserve">T-Mo
</t>
    </r>
    <r>
      <rPr>
        <sz val="12"/>
        <color theme="1"/>
        <rFont val="Calibri"/>
        <family val="2"/>
        <scheme val="minor"/>
      </rPr>
      <t>Verizon</t>
    </r>
  </si>
  <si>
    <r>
      <t xml:space="preserve">ATT
</t>
    </r>
    <r>
      <rPr>
        <sz val="12"/>
        <color theme="1"/>
        <rFont val="Calibri"/>
        <family val="2"/>
        <scheme val="minor"/>
      </rPr>
      <t>Verizon</t>
    </r>
  </si>
  <si>
    <t xml:space="preserve">21 DEC: Released for testing
20 DEC: Sanity passed with MT Calls Failed
19 DEC: Shehryar | Attach, FTP, MO_Call Passed -- 34 crashes in first iteration.
19 DEC: Sridhar from Devops checked for + sign. New campaign triggered
18 DEC: Sanity tests looking good with MT failures. Invalid phone number . The number must begin with '+' </t>
  </si>
  <si>
    <t>21 DEC: Released for testing
20 DEC: To try post recalibration. MT Call Issue is seen
19 DEC: Shehryar | Attach &amp; MO Call passed - Setup Froze -- 8x Crashes in prepare devices</t>
  </si>
  <si>
    <t>21 DEC: Released for testing
20 DEC: Sanity pass
19 DEC: Shehryar |Attach &amp; FTP passed -- 30 Crashes in first iteration</t>
  </si>
  <si>
    <t xml:space="preserve">21 DEC: Released for testing
20 DEC: Sanity passed with MT Calls Failed
19 DEC: Shehryar | Attach &amp; FTP Passed -- 38 crashes in prepare devices &amp; MT Calls Failed
19 DEC: Sridhar from Devops checked for + sign. New campaign triggered
18 DEC: Sanity tests looking good with MT failures. Invalid phone number . The number must begin with '+' </t>
  </si>
  <si>
    <t xml:space="preserve">21 DEC: Released for testing
20 DEC: Sanity passed
19 DEC: Shehryar | Attach &amp; FTP passed | 30x Crashes in prepare devices
19 DEC: Sridhar from Devops checked for + sign. New campaign triggered
18 DEC: Sanity tests looking good with MT failures. Invalid phone number . The number must begin with '+' </t>
  </si>
  <si>
    <t>21 DEC: Released for testing
20 DEC: To try post recalibration. Multiple crashes seen.
19 DEC: Shehryar | Not attaching | 8 crashes</t>
  </si>
  <si>
    <t>21 DEC: Released for testing
20 DEC: To try post recalibration
19 DEC: Shehryar | Attach Passed | 16x Crashes in prepare devices</t>
  </si>
  <si>
    <t>21 DEC: Released for testing
20 DEC: Sanity passed with MT Calls Failed
19 DEC: Shehryar | Attach Passed, MO Call Passed | 20x Crashes in prepare devices</t>
  </si>
  <si>
    <t>21 DEC: Released for testing
20 DEC: MT Calls Failing
19 DEC: Shehryar | 36 Crashes in first Iteration -- Not attaching, crashing too frequently</t>
  </si>
  <si>
    <t>21 DEC: Released for testing
20 DEC: Sanity Passed
19 DEC: Shehryar | Attach Passing, MO call Passed | 26 Crashes in prepare devices</t>
  </si>
  <si>
    <t>21 DEC: Released for testing
20 DEC: Sanity tests passed</t>
  </si>
  <si>
    <t>21 Dec | Released for Testing</t>
  </si>
  <si>
    <t>22 DEC : This Can be used in normal testing
18 DEC: Under tests with modified reset filter</t>
  </si>
  <si>
    <t>22 DEC : This can be used in normal testing
19 DEC: To try with Bender165653.1 in 2G mode. Blocked due to SMS32480043
18 DEC : Many crashes seen. To check with XFT team if this is a known crash</t>
  </si>
  <si>
    <t>22 DEC: Sanity Passed now Conagtec went to Faulty                                                                                                                                                                                         22 DEC: Sanity Ongoing                                                                                                                                                                                   17 DEC: For Primary config</t>
  </si>
  <si>
    <t>22 DEC: Sanity Ongoing    
17 DEC: For Primary config                                                                                                                                                           Power Cable will procure from IT team Tomorrow and will be sent for Baseline Update</t>
  </si>
  <si>
    <t>22 DEC: Sanity Passed
17 DEC: For Primary config                                                                                                                                                       Power Cable will procure from IT team Tomorrow and will be sent for Baseline Update</t>
  </si>
  <si>
    <t>22 DEC: Sanity Passed    
17 DEC: For Primary config                                                                                                                                                              Power Cable will procure from IT team Tomorrow and will be sent for Baseline Update</t>
  </si>
  <si>
    <t>22 DEC: Sanity Passed (MT Fail only)
17 DEC: For Primary config                                                                                                                                                       Power Cable will procure from IT team Tomorrow and will be sent for Baseline Update</t>
  </si>
  <si>
    <t>22 DEC: Sanity Passed
17 DEC: For Primary config</t>
  </si>
  <si>
    <t>22 DEC: Sanity Ongoing    
17 DEC: For Primary config                                                                                                                                                                  Power Cable will procure from IT team Tomorrow and will be sent for Baseline Update</t>
  </si>
  <si>
    <t>22 Dec: We can use for Testing
22 Dec: only 1/12 MT call passed.
21 DEC: with Devops to configure RITM6918555</t>
  </si>
  <si>
    <t>22 Dec:RITM6923899 with Devops</t>
  </si>
  <si>
    <t>22 Dec: MT call also working can use for Testing
22 Dec: only MT Call is failing 12 attampts all failed.restarting campaign
21 DEC: with Devops to configure RITM6918555</t>
  </si>
  <si>
    <t>22 Dec: MT call is working
22 Dec: only MT Call is failing 12 attampts all failed.restarting campaign
21 DEC: with Devops to configure RITM6918555</t>
  </si>
  <si>
    <t>SDSRTL231</t>
  </si>
  <si>
    <t>SDSRTL232</t>
  </si>
  <si>
    <t>SDSRTL233</t>
  </si>
  <si>
    <t>SDSRTL234</t>
  </si>
  <si>
    <t>SDSRTL235</t>
  </si>
  <si>
    <t>SDSRTL236</t>
  </si>
  <si>
    <t>SDSRTL237</t>
  </si>
  <si>
    <t>SDSRTL247</t>
  </si>
  <si>
    <t>Crashing on Flash | AI BO Please | 2gpsd:smarti_err_rb.c | 010A06030700047A9F7300000000000010E5</t>
  </si>
  <si>
    <t>Modem Not Detected</t>
  </si>
  <si>
    <t>23 Dec: can use for Testing
22 Dec: waiting for more run to conclude
22 Dec: Re-started campaign
22 Dec: CLA initilazation is failing, checking with Devops
21 DEC: with Devops to configure RITM6918555 /SIM no is wrong need to correct once ready for sanity</t>
  </si>
  <si>
    <t>23 Dec can use for Testing MT call passed
23 Dec: MT Call is failing 
22 Dec: MT call is failing waiting for some more iteration.
22 Dec:RITM6923899 with Devops</t>
  </si>
  <si>
    <t>23 Dec: We can use for Testing
23 Dec: again starting testing no enough data to conclude
22 Dec: Dut is not camping/Sim is working again started camping in hyb will see.
22 Dec: No NVM file found,fixing issue
21 DEC: with Devops to configure RITM6918555 /SIM no is wrong need to correct once ready for sanity</t>
  </si>
  <si>
    <r>
      <t>23 Dec: Can use for testing
23 Dec: MT Call Failing and Host Sleep Testing Failing so starting again  campaign
22 Dec: Waiting more time to conclude.
22 Dec: started Sanity  NVM cust. was failing/waiting for result.
20 Dec: Started Sanity</t>
    </r>
    <r>
      <rPr>
        <sz val="11"/>
        <color rgb="FFFF0000"/>
        <rFont val="Calibri"/>
        <family val="2"/>
        <scheme val="minor"/>
      </rPr>
      <t xml:space="preserve">
20 DEC: FTPs are failing. To check and retrigger the campaign</t>
    </r>
    <r>
      <rPr>
        <sz val="11"/>
        <color theme="1"/>
        <rFont val="Calibri"/>
        <family val="2"/>
        <scheme val="minor"/>
      </rPr>
      <t xml:space="preserve">
19 Dec: requested BLR Team to drag Nodes. INC008729783 raised with Devops
19 Dec: Habteab configured but machine name is not coming in manual Scheduling tab tab to start so waiting. To start testing</t>
    </r>
  </si>
  <si>
    <t>78523D61766C4874FFFFFFFF</t>
  </si>
  <si>
    <t>C07826701EYX1R36</t>
  </si>
  <si>
    <t>00440308050667</t>
  </si>
  <si>
    <t>00440308055667</t>
  </si>
  <si>
    <t>13810503570</t>
  </si>
  <si>
    <t>AA08D2BF41B832D6FFFFFFFF</t>
  </si>
  <si>
    <t>C07826701EFX1R36</t>
  </si>
  <si>
    <t>13810012914</t>
  </si>
  <si>
    <t>00440308050661</t>
  </si>
  <si>
    <t>00440308055661</t>
  </si>
  <si>
    <t>C07826701E8X1R36</t>
  </si>
  <si>
    <t>00440308050662</t>
  </si>
  <si>
    <t>00440308055662</t>
  </si>
  <si>
    <t>33D290EBBFC38FADFFFFFFFF</t>
  </si>
  <si>
    <t>C07826701EEX1R36</t>
  </si>
  <si>
    <t>13810825702</t>
  </si>
  <si>
    <t>00440308050666</t>
  </si>
  <si>
    <t>00440308055666</t>
  </si>
  <si>
    <t>13811515392</t>
  </si>
  <si>
    <t>C07826701E1X1R36</t>
  </si>
  <si>
    <t>00440308050664</t>
  </si>
  <si>
    <t>00440308055664</t>
  </si>
  <si>
    <t>0BEB930FA02F91A3FFFFFFFF</t>
  </si>
  <si>
    <t>C0782630006X1R36</t>
  </si>
  <si>
    <t>22098471CE2B6F02FFFFFFFF</t>
  </si>
  <si>
    <t>C078486002FLQ935</t>
  </si>
  <si>
    <t>00440308051099</t>
  </si>
  <si>
    <t>00440308056099</t>
  </si>
  <si>
    <t>Mk2</t>
  </si>
  <si>
    <t>12/20/2018</t>
  </si>
  <si>
    <t>BLACK RAY</t>
  </si>
  <si>
    <t>3E3D24EB4B3D6F02FFFFFFFF</t>
  </si>
  <si>
    <t>C078486003CLQ935</t>
  </si>
  <si>
    <t>00440308051087</t>
  </si>
  <si>
    <t>00440308056087</t>
  </si>
  <si>
    <t>16755B6CCB4A6B02FFFFFFFF</t>
  </si>
  <si>
    <t>C078486002WLQ935</t>
  </si>
  <si>
    <t>13810781532</t>
  </si>
  <si>
    <t>00440308051177</t>
  </si>
  <si>
    <t>00440308056177</t>
  </si>
  <si>
    <t>16E042364C576B02FFFFFFFF</t>
  </si>
  <si>
    <t>C078486002YLQ935</t>
  </si>
  <si>
    <t>13810137974</t>
  </si>
  <si>
    <t>00440308051181</t>
  </si>
  <si>
    <t>00440308056181</t>
  </si>
  <si>
    <t>6FED570DCB266B02FFFFFFFF</t>
  </si>
  <si>
    <t>C078486002PLQ935</t>
  </si>
  <si>
    <t>18511279122</t>
  </si>
  <si>
    <t>00440308051182</t>
  </si>
  <si>
    <t>00440308056182</t>
  </si>
  <si>
    <t>12/21/2018</t>
  </si>
  <si>
    <t>7BAAE20ACC2D6F02FFFFFFFF</t>
  </si>
  <si>
    <t>C0784860047LQ935</t>
  </si>
  <si>
    <t>13811517285</t>
  </si>
  <si>
    <t>00440308051176</t>
  </si>
  <si>
    <t>00440308056176</t>
  </si>
  <si>
    <t>26F0075F4CF36E02FFFFFFFF</t>
  </si>
  <si>
    <t>C078486004LLQ935</t>
  </si>
  <si>
    <t>00440308051086</t>
  </si>
  <si>
    <t>00440308056086</t>
  </si>
  <si>
    <t>1DA8412BCB316F02FFFFFFFF</t>
  </si>
  <si>
    <t>C078486002DLQ935</t>
  </si>
  <si>
    <t>13810673179</t>
  </si>
  <si>
    <t>00440308051174</t>
  </si>
  <si>
    <t>00440308056174</t>
  </si>
  <si>
    <t>118E9017CC206B02FFFFFFFF</t>
  </si>
  <si>
    <t>C078486004ALQ935</t>
  </si>
  <si>
    <t>00440308051089</t>
  </si>
  <si>
    <t>00440308056089</t>
  </si>
  <si>
    <t>121EFDCF4D426B02FFFFFFFF</t>
  </si>
  <si>
    <t>C078486002XLQ935</t>
  </si>
  <si>
    <t>00440308051175</t>
  </si>
  <si>
    <t>00440308056175</t>
  </si>
  <si>
    <t>500FE98ECB496B02FFFFFFFF</t>
  </si>
  <si>
    <t>C078486002QLQ935</t>
  </si>
  <si>
    <t>00440308051180</t>
  </si>
  <si>
    <t>00440308056180</t>
  </si>
  <si>
    <t>SVB B0+EK3.1</t>
  </si>
  <si>
    <t>Debug for memory issue</t>
  </si>
  <si>
    <t>RITM6913056</t>
  </si>
  <si>
    <t>baseline doneFDD-&gt;TDS(CUC card in my hands)</t>
  </si>
  <si>
    <t>baseline done HYBRID-&gt;TDD</t>
  </si>
  <si>
    <t>baseline done SRLTE-&gt;TDD</t>
  </si>
  <si>
    <t>RITM6913056
black ray bois config done</t>
  </si>
  <si>
    <t>baseline done FDD-&gt;TDD
RITM6913056
black ray bois config done</t>
  </si>
  <si>
    <t>baseline done SRLTE-&gt;TDD
RITM6913056
black ray bois config done</t>
  </si>
  <si>
    <t>24 DEC : Good to go as sanity passed
22 DEC Shehryar | Issue resolved, sanity triggered
21 DEC: DevOps Issue | Campaign Stuck -- Minor issue | Ticket: INC008742894
20 DEC: Sanity passed with MT Calls Failed
19 DEC: Shehryar | Attach, FTP, MO Call passed -- 32 crashes in first iteration.
19 DEC: Sridhar from Devops checked for + sign. New campaign triggered and failed with SMS32473775 &amp; SMS32480043
18 DEC: Sanity tests looking good with MT failures. Invalid phone number . The number must begin. with '+'   Current sim card is T-Mo. Convert to Verizon Hybird</t>
  </si>
  <si>
    <t xml:space="preserve">
24 DEC : Nikesh | Good sanity Results
22 DEC Shehryar | Reassembly resolved the problem - sanity triggered
21 DEC: Shehryar | Modem not detected -- will probably need to swap out the MK4
20 DEC: Sanity tests passed
19 DEC: Shehryar | Attach on LTE and MO Call Passed --- 18x crashes in Prepare Devices</t>
  </si>
  <si>
    <t>24 DEC : Nikesh | Good sanity Results
Runing Sanity</t>
  </si>
  <si>
    <t>24 DEC : Good Sanity Results</t>
  </si>
  <si>
    <t>24 DEC : Good Sanity Results 
22 DEC Shehryar | Board replaced -- sanity triggered
21 DEC: Shehryar | Modem not detected -- will probably need to swap out the MK4
20 DEC: To try post recalibration
19 DEC: Shehryar | Not attaching | Congatec Froze | 8x crashes in prepare devices</t>
  </si>
  <si>
    <t xml:space="preserve">
24: Sanity Passed
22 DEC: Sanity Ongoing    
17 DEC: For Primary config                                                                                                                                                                    Power Cable will procure from IT team Tomorrow and will be sent for Baseline Update</t>
  </si>
  <si>
    <t>24: Sanity Passed
22 DEC: Sanity Ongoing                                                                                                                                                                                         17 DEC: For Primary config</t>
  </si>
  <si>
    <t xml:space="preserve">
24: Sanity Passed
22 DEC: Sanity Ongoing
17 DEC: For Primary config                                                                                                                                                       Power Cable will procure from IT team Tomorrow and will be sent for Baseline Update</t>
  </si>
  <si>
    <t>24 Dec: Can use for Sanity
24 Dec: Restarted Testing
23 Dec: again starteting testing
22 Dec: MT Call failed 0/2  so restarted campaign.
21 Dec: Sanity is going on</t>
  </si>
  <si>
    <t>13810715530</t>
  </si>
  <si>
    <t>27F6F0654CF66E02FFFFFFFF</t>
  </si>
  <si>
    <t>C078486002ULQ935</t>
  </si>
  <si>
    <t>13810437502</t>
  </si>
  <si>
    <t>00440308051096</t>
  </si>
  <si>
    <t>00440308056096</t>
  </si>
  <si>
    <t>52F72C98CC5C6B02FFFFFFFF</t>
  </si>
  <si>
    <t>C078486003GLQ935</t>
  </si>
  <si>
    <t>13810990625</t>
  </si>
  <si>
    <t>00440308051090</t>
  </si>
  <si>
    <t>00440308056090</t>
  </si>
  <si>
    <t>23E23B8ACAF36E02FFFFFFFF</t>
  </si>
  <si>
    <t>C078486004FLQ935</t>
  </si>
  <si>
    <t>13810272047</t>
  </si>
  <si>
    <t>00440308051093</t>
  </si>
  <si>
    <t>00440308056093</t>
  </si>
  <si>
    <t>7BB831534B596B02FFFFFFFF</t>
  </si>
  <si>
    <t>C078486004MLQ935</t>
  </si>
  <si>
    <t>00440308051091</t>
  </si>
  <si>
    <t>00440308056091</t>
  </si>
  <si>
    <t>SVB B0+EK4.1</t>
  </si>
  <si>
    <t>C0784860074LQ935</t>
  </si>
  <si>
    <t>12/26/2018</t>
  </si>
  <si>
    <t>10E4D2B84A356802FFFFFFFF</t>
  </si>
  <si>
    <t>C0784860063LQ935</t>
  </si>
  <si>
    <t>00440152274552</t>
  </si>
  <si>
    <t>00440152274553</t>
  </si>
  <si>
    <t>C078486005RLQ935</t>
  </si>
  <si>
    <t xml:space="preserve">26Dec: Moved from ICE 18 to 19 and Sanity Run Ongoing </t>
  </si>
  <si>
    <t>25 Dec:can use for testing
24 Dec: Restarted testing sim is good
23 Dec: MT call is failing BO Need to analyze.Config wise looks good..
23 Dec:Setup issue Modem was not detecting so again pull back for sanity with new modem
18 DEC: Taken for normal testing</t>
  </si>
  <si>
    <t>26 Dec: Can use for Testing
24 Dec: Restarted Testing Sim is good
23 Dec: MT Call failing BO need to check,config wise looks ok.
23 Dec: Testing stopped need to run again.
22 Dec: Agin re-imaged, Habteab facing issue during installtion. He is working on installtion
21 DEC: with Devops to configure RITM6918555 /SIM no is wrong need to correct once ready for sanity</t>
  </si>
  <si>
    <t>26 Dec:can use for Testing
24 Dec: rebooted setup and restarted testing again
23 Dec: restrating testing again no enogh data to conclude
22 Dec:RITM6923899 with Devops</t>
  </si>
  <si>
    <t>26 Dec: Can use for Testing
23 Dec: RITM6925643 Modem not detected again need to start testing.
22 Dec: Device is not coming Manual scheduling tab
22 Dec:RITM6923899 with Devops</t>
  </si>
  <si>
    <t>26 Dec: can use for Testing
26 Dec: Not reachable so restarted testing
24 Dec: Restarted Testing
23 Dec: Testing blocked restarted again.
23 Dec: Need to start campign no enough data to conclude
22 Dec: Waiting for more time to conclude
21 DEC: Devops done. Dry run to be started
20 Dec: with devops RITM6916057</t>
  </si>
  <si>
    <t xml:space="preserve">27DEC: Will be moved to separate Sector
26Dec: Moved from ICE 18 to 19 and Sanity Run Ongoing </t>
  </si>
  <si>
    <t>26 Dec: Can use for Testing. Replaced with HILSRTL413 congatec</t>
  </si>
  <si>
    <t>HILSRTL413</t>
  </si>
  <si>
    <t xml:space="preserve">26 Dec: New Congatec HILSRTL475
26 Dec: Can use for Sanity
26 Dec: Replaced congtaec now it  is  HILSRTL475
23: Facing Core Temprature reached threshold 
20 Dec: we can use for testing. Sanity Pass
19 DEC: New campaign triggered and failed with SMS32473775 &amp; SMS32480043
18 Dec: Habteab corrected but still can see "+" issue is coming working on it, again started testing
18 DEC: Many crashes seen. Sanity tests looking good except MT call failure. The number must begin with '+' and the country code,” </t>
  </si>
  <si>
    <t>12 DEC : Replaced with MK4 hardware . Sanity in progress
17 DEC: WDT reset issue is seen. To try with new HW
12 DEC: Can be taken in Run plan                                                                                                                                                                                                                                         11 DEC: Sanity Run ongoing                                        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06 DEC: Convert to Secondary Combo TDD (Jio) + WCDMA (Airtel) for SEB</t>
  </si>
  <si>
    <t>BASRTL130</t>
  </si>
  <si>
    <t>13810281449</t>
  </si>
  <si>
    <t>18519747298</t>
  </si>
  <si>
    <t>13810992905</t>
  </si>
  <si>
    <t>13121819271</t>
  </si>
  <si>
    <t>13810471509</t>
  </si>
  <si>
    <t>13810910807</t>
  </si>
  <si>
    <t>13810284534</t>
  </si>
  <si>
    <t>12/27/2018</t>
  </si>
  <si>
    <t>579411664D5F6B02FFFFFFFF</t>
  </si>
  <si>
    <t>C078486003JLQ935</t>
  </si>
  <si>
    <t>13810286441</t>
  </si>
  <si>
    <t>00440308051094</t>
  </si>
  <si>
    <t>00440308056094</t>
  </si>
  <si>
    <t>13811021282</t>
  </si>
  <si>
    <t>13811056251</t>
  </si>
  <si>
    <t>13811902571</t>
  </si>
  <si>
    <t>39AA52DCCCFC6E02FFFFFFFF</t>
  </si>
  <si>
    <t>C078486004PLQ935</t>
  </si>
  <si>
    <t>138110111862</t>
  </si>
  <si>
    <t>00440308051088</t>
  </si>
  <si>
    <t>00440308056088</t>
  </si>
  <si>
    <t>18614045493</t>
  </si>
  <si>
    <t>13331048809</t>
  </si>
  <si>
    <t>12/28/2018</t>
  </si>
  <si>
    <t xml:space="preserve">28 DEC: Sanity Passed
27 DEC: Sanity Ongoing </t>
  </si>
  <si>
    <t>29 DEC: Sanity Passed
28 DEC: Replaced with MK3 to MK4 Sanity Ongoing
21 NOV: MO,MT,DL/UL Pass,  Release for Normal Testing
19 NOV: NVM Error
20 NOV: Tests Ongoing</t>
  </si>
  <si>
    <t xml:space="preserve">29 DEC: Sanity Passed
28 DEC: Replace from MK3 to MK4 Sanity ongoing </t>
  </si>
  <si>
    <t>SN3219567</t>
  </si>
  <si>
    <t>254A7DED4A066F02FFFFFFFF</t>
  </si>
  <si>
    <t>C078487002HLQ935</t>
  </si>
  <si>
    <t>00440308051394</t>
  </si>
  <si>
    <t>00440308056394</t>
  </si>
  <si>
    <t>360A1344CA376B02FFFFFFFF</t>
  </si>
  <si>
    <t>C0784870049LQ935</t>
  </si>
  <si>
    <t>00440308051332</t>
  </si>
  <si>
    <t>00440308056332</t>
  </si>
  <si>
    <t>2F/R62/2</t>
  </si>
  <si>
    <t>DM_3G2G</t>
  </si>
  <si>
    <t>2F/R59/2</t>
  </si>
  <si>
    <t>44CB2EC94D296B02FFFFFFFF</t>
  </si>
  <si>
    <t>C078487004BLQ935</t>
  </si>
  <si>
    <t>18911175847</t>
  </si>
  <si>
    <t>00440308051325</t>
  </si>
  <si>
    <t>00440308056325</t>
  </si>
  <si>
    <t>2F/R59/3</t>
  </si>
  <si>
    <t>0A2D3C844A1D6F02FFFFFFFF</t>
  </si>
  <si>
    <t>C0784870052LQ935</t>
  </si>
  <si>
    <t>17343167116</t>
  </si>
  <si>
    <t>00440308051333</t>
  </si>
  <si>
    <t>00440308056333</t>
  </si>
  <si>
    <t>46176EB6CA016F02FFFFFFFF</t>
  </si>
  <si>
    <t>C078487003ELQ935</t>
  </si>
  <si>
    <t>18101234841</t>
  </si>
  <si>
    <t>00440308051330</t>
  </si>
  <si>
    <t>00440308056330</t>
  </si>
  <si>
    <t>2F/R59/4</t>
  </si>
  <si>
    <t>274FBF2BC9F66E02FFFFFFFF</t>
  </si>
  <si>
    <t>C078487003FLQ935</t>
  </si>
  <si>
    <t>13811233682</t>
  </si>
  <si>
    <t>00440308051326</t>
  </si>
  <si>
    <t>00440308056326</t>
  </si>
  <si>
    <t>13810274347</t>
  </si>
  <si>
    <t>3600D3A94AFC6E02FFFFFFFF</t>
  </si>
  <si>
    <t>C078487003NLQ935</t>
  </si>
  <si>
    <t>13810262125</t>
  </si>
  <si>
    <t>00440308051385</t>
  </si>
  <si>
    <t>00440308056385</t>
  </si>
  <si>
    <t>13810013204</t>
  </si>
  <si>
    <t>2F/R59/5</t>
  </si>
  <si>
    <t>4D4F8403CA2B6B02FFFFFFFF</t>
  </si>
  <si>
    <t>C078487003YLQ935</t>
  </si>
  <si>
    <t>13911725844</t>
  </si>
  <si>
    <t>00440308051393</t>
  </si>
  <si>
    <t>00440308056393</t>
  </si>
  <si>
    <t>1/2/2019</t>
  </si>
  <si>
    <t>4470A52D4E216F02FFFFFFFF</t>
  </si>
  <si>
    <t>C078487004PLQ935</t>
  </si>
  <si>
    <t>13810561823</t>
  </si>
  <si>
    <t>00440308051395</t>
  </si>
  <si>
    <t>00440308056395</t>
  </si>
  <si>
    <t>2F/R59/6</t>
  </si>
  <si>
    <t>42011E0ACB326B02FFFFFFFF</t>
  </si>
  <si>
    <t>C078487002ULQ935</t>
  </si>
  <si>
    <t>13810331242</t>
  </si>
  <si>
    <t>00440308051388</t>
  </si>
  <si>
    <t>00440308056388</t>
  </si>
  <si>
    <t>12/31/2018</t>
  </si>
  <si>
    <t>2F/R59/7</t>
  </si>
  <si>
    <t>4EE56C5E4E266B02FFFFFFFF</t>
  </si>
  <si>
    <t>C0784870035LQ935</t>
  </si>
  <si>
    <t>15501297983</t>
  </si>
  <si>
    <t>00440308051324</t>
  </si>
  <si>
    <t>00440308056324</t>
  </si>
  <si>
    <t>563F1008CD006F02FFFFFFFF</t>
  </si>
  <si>
    <t>C0784870039LQ935</t>
  </si>
  <si>
    <t>18911175489</t>
  </si>
  <si>
    <t>00440308051328</t>
  </si>
  <si>
    <t>00440308056328</t>
  </si>
  <si>
    <t>2F/R62/1</t>
  </si>
  <si>
    <t>28384DA8CD216B02FFFFFFFF</t>
  </si>
  <si>
    <t>C078487005PLQ935</t>
  </si>
  <si>
    <t>13381264315</t>
  </si>
  <si>
    <t>00440308051391</t>
  </si>
  <si>
    <t>00440308056391</t>
  </si>
  <si>
    <t>13811021750</t>
  </si>
  <si>
    <t>MK4.0</t>
  </si>
  <si>
    <t>B17DD0A87A23E2A9FFFFFFFF</t>
  </si>
  <si>
    <t>C078497000MX1R38</t>
  </si>
  <si>
    <t>13810837135</t>
  </si>
  <si>
    <t>00440308052631</t>
  </si>
  <si>
    <t>00440308057631</t>
  </si>
  <si>
    <t>F30061F445F1DDD2FFFFFFFF</t>
  </si>
  <si>
    <t>C078497003TX1R38</t>
  </si>
  <si>
    <t>13910643947</t>
  </si>
  <si>
    <t>00440308052724</t>
  </si>
  <si>
    <t>00440308057724</t>
  </si>
  <si>
    <t>2F/R62/5</t>
  </si>
  <si>
    <t>1841217ACE206802FFFFFFFF</t>
  </si>
  <si>
    <t>C078486005ULQ935</t>
  </si>
  <si>
    <t>00440152274556</t>
  </si>
  <si>
    <t>00440152274557</t>
  </si>
  <si>
    <t>2F/R62/6</t>
  </si>
  <si>
    <t>3BC5D9EA4A376802FFFFFFFF</t>
  </si>
  <si>
    <t>C0784860073LQ935</t>
  </si>
  <si>
    <t>15501282351</t>
  </si>
  <si>
    <t>00440152274608</t>
  </si>
  <si>
    <t>00440152274609</t>
  </si>
  <si>
    <t>2F/R62/7</t>
  </si>
  <si>
    <t>17E72B4C4C5F6802FFFFFFFF</t>
  </si>
  <si>
    <t>C078486005WLQ935</t>
  </si>
  <si>
    <t>15501290069</t>
  </si>
  <si>
    <t>00440152274658</t>
  </si>
  <si>
    <t>00440152274659</t>
  </si>
  <si>
    <t>148169134E326802FFFFFFFF</t>
  </si>
  <si>
    <t>C078486004WLQ935</t>
  </si>
  <si>
    <t>15501285921</t>
  </si>
  <si>
    <t>00440152274448</t>
  </si>
  <si>
    <t>00440152274449</t>
  </si>
  <si>
    <t>DEBUG Needed</t>
  </si>
  <si>
    <t>need roll back bois
RITM6913056</t>
  </si>
  <si>
    <t>RITM6939630</t>
  </si>
  <si>
    <t>RITM6913056
black ray bois config done
need roll back bois</t>
  </si>
  <si>
    <t>2 Jan: Added In One Note
31 DEC: Sanity Passed 5hrs 0C 0R 
31 DEC: Replace ICE18 HW  to MK4 Sanity ongoing 
SIT team test run</t>
  </si>
  <si>
    <t>Airtel + JIO</t>
  </si>
  <si>
    <t xml:space="preserve">31 DEC: Sanity Passed with 1 WDT Reset
29DEC: M0/MT/DL&amp;UL Pass 1 BB Glicth 
27 DEC: Sanity Ongoing </t>
  </si>
  <si>
    <t>2 Jan: Sanity is going on</t>
  </si>
  <si>
    <t xml:space="preserve">
JAN 3: Sanity Passed 
JAN 2: Recalibrated on 1901DB01 with 1851.01 Cal Tool Sanity Ongoing</t>
  </si>
  <si>
    <t xml:space="preserve">
JAN 3: Sanity Passed 
JAN 2: Recalibrated on 1901DB01 with 1851.01 Cal Tool Sanity Ongoing
DEC 29: Replace ICE18 HW with MK4 HW</t>
  </si>
  <si>
    <t xml:space="preserve">
JAN 3: Recalibarted on XMM7660_01.1902_DB07__Bender167766.2__SMS32806219 Sanity Ongoing
JAN 2: Recalibartion On going on 1901DB01 with 1851.01 Cal Tool (Calibartion Failng)</t>
  </si>
  <si>
    <t xml:space="preserve">
JAN 3: Sanity Passed
JAN 2: Recalibartion On going on 1901DB01 with 1851.01 Cal Tool (Calibartion Failng)</t>
  </si>
  <si>
    <t xml:space="preserve">
JAN 3: Sanity Passed
JAN 3: Recalibarted on XMM7660_01.1902_DB07__Bender167766.2__SMS32806219 Sanity Ongoing
JAN 2: Recalibartion On going on 1901DB01 with 1851.01 Cal Tool (Calibartion Failng)</t>
  </si>
  <si>
    <t xml:space="preserve">
JAN 3: Sanity Passed
JAN 2: Recalibrated on 1901DB01 with 1851.01 Cal Tool Sanity Ongoing
JAN 2: FW Crash Count is High
29 DEC: Replace ICE18 HW  to MK4 Sanity ongoing </t>
  </si>
  <si>
    <t xml:space="preserve">
JAN 3: Sanity Passed in SSIM Test
JAN 3: Recalibarted on XMM7660_01.1902_DB07__Bender167766.2__SMS32806219 Sanity Ongoing
JAN 2: Recalibartion On going on 1901DB01 with 1851.01 Cal Tool (Calibartion Failng)</t>
  </si>
  <si>
    <t xml:space="preserve">
JAN 3: Sanity Passed in SSIM Test
JAN 2: Recalibrated on 1901DB01 with 1851.01 Cal Tool Sanity Ongoing</t>
  </si>
  <si>
    <t xml:space="preserve">
JAN 3: Sanity Passed in SSIM
JAN 2: Recalibrated on 1901DB01 with 1851.01 Cal Tool Sanity Ongoing</t>
  </si>
  <si>
    <t>FDD (DM_4G3G)</t>
  </si>
  <si>
    <t>ZTE+CATR</t>
  </si>
  <si>
    <t>CF1E367F35121AD2FFFFFFFF</t>
  </si>
  <si>
    <t>C07826600WVX1R36</t>
  </si>
  <si>
    <t>13800001328</t>
  </si>
  <si>
    <t>00440152289231</t>
  </si>
  <si>
    <t>00440152299231</t>
  </si>
  <si>
    <t>18900670334</t>
  </si>
  <si>
    <t>ZTE+HUAWEI</t>
  </si>
  <si>
    <t>485C13CCADA0FA5BFFFFFFFF</t>
  </si>
  <si>
    <t>C078263000PX1R36</t>
  </si>
  <si>
    <t>13800001326</t>
  </si>
  <si>
    <t>00440152287672</t>
  </si>
  <si>
    <t>00440152297672</t>
  </si>
  <si>
    <t>13800461344</t>
  </si>
  <si>
    <t>CATR+ZTE</t>
  </si>
  <si>
    <t>0000E25E45E2C74DFFFFFFFF</t>
  </si>
  <si>
    <t>C0782630014X1R36</t>
  </si>
  <si>
    <t>18900670332</t>
  </si>
  <si>
    <t>00440152287677</t>
  </si>
  <si>
    <t>00440152297677</t>
  </si>
  <si>
    <t>13800001327</t>
  </si>
  <si>
    <t>SM_3G</t>
  </si>
  <si>
    <t>13910404239</t>
  </si>
  <si>
    <t>1710ED083821F1FAFFFFFFFF</t>
  </si>
  <si>
    <t>C078497001EX1R38</t>
  </si>
  <si>
    <t>18515814057</t>
  </si>
  <si>
    <t>00440308052663</t>
  </si>
  <si>
    <t>00440308057663</t>
  </si>
  <si>
    <t>EEFA71480BC55E66FFFFFFFF</t>
  </si>
  <si>
    <t>C0784970073X1R38</t>
  </si>
  <si>
    <t>18010341446</t>
  </si>
  <si>
    <t>00440308052627</t>
  </si>
  <si>
    <t>00440308057627</t>
  </si>
  <si>
    <t>13810259675</t>
  </si>
  <si>
    <t>FDF4AFF63695808DFFFFFFFF</t>
  </si>
  <si>
    <t>C0784970088X1R38</t>
  </si>
  <si>
    <t>18510546189</t>
  </si>
  <si>
    <t>00440308052719</t>
  </si>
  <si>
    <t>00440308057719</t>
  </si>
  <si>
    <t>13810503592</t>
  </si>
  <si>
    <t>E111C5AA7E42784EFFFFFFFF</t>
  </si>
  <si>
    <t>C078497006YX1R38</t>
  </si>
  <si>
    <t>13810017049</t>
  </si>
  <si>
    <t>00440308052636</t>
  </si>
  <si>
    <t>00440308057636</t>
  </si>
  <si>
    <t>4EDF0F0C580AC2A1FFFFFFFF</t>
  </si>
  <si>
    <t>C078497004DX1R38</t>
  </si>
  <si>
    <t>18519359248</t>
  </si>
  <si>
    <t>00440308052840</t>
  </si>
  <si>
    <t>00440308057840</t>
  </si>
  <si>
    <t>062C8A280DDE615CFFFFFFFF</t>
  </si>
  <si>
    <t>C078497008QX1R38</t>
  </si>
  <si>
    <t>13269092273</t>
  </si>
  <si>
    <t>00440308052812</t>
  </si>
  <si>
    <t>00440308057812</t>
  </si>
  <si>
    <t>13810419605</t>
  </si>
  <si>
    <t>HYBRID+FDD</t>
  </si>
  <si>
    <t>56941D64C68CC7C3FFFFFFFF</t>
  </si>
  <si>
    <t>C078497004CX1R38</t>
  </si>
  <si>
    <t>17310980745</t>
  </si>
  <si>
    <t>00440308052849</t>
  </si>
  <si>
    <t>00440308057849</t>
  </si>
  <si>
    <t>18511273048</t>
  </si>
  <si>
    <t>A3AD6FAE86A95E6FFFFFFFFF</t>
  </si>
  <si>
    <t>C0784970087X1R38</t>
  </si>
  <si>
    <t>18010341439</t>
  </si>
  <si>
    <t>00440308052639</t>
  </si>
  <si>
    <t>00440308057639</t>
  </si>
  <si>
    <t>13240180795</t>
  </si>
  <si>
    <t>8E655CFC0AD5B369FFFFFFFF</t>
  </si>
  <si>
    <t>C078497003NX1R38</t>
  </si>
  <si>
    <t>18515563967</t>
  </si>
  <si>
    <t>00440308052846</t>
  </si>
  <si>
    <t>00440308057846</t>
  </si>
  <si>
    <t>29FEE4940A64CF42FFFFFFFF</t>
  </si>
  <si>
    <t>C078497007BX1R38</t>
  </si>
  <si>
    <t>18101234784</t>
  </si>
  <si>
    <t>00440308052645</t>
  </si>
  <si>
    <t>00440308057645</t>
  </si>
  <si>
    <t>18510014772</t>
  </si>
  <si>
    <t>22852D3BCE166F02FFFFFFFF</t>
  </si>
  <si>
    <t>C0784870055LQ935</t>
  </si>
  <si>
    <t>18911175846</t>
  </si>
  <si>
    <t>00440308051392</t>
  </si>
  <si>
    <t>00440308056392</t>
  </si>
  <si>
    <t>13810268994</t>
  </si>
  <si>
    <t>08A845471C010A62FFFFFFFF</t>
  </si>
  <si>
    <t>C078497003ZX1R38</t>
  </si>
  <si>
    <t>13810282494</t>
  </si>
  <si>
    <t>00440308052882</t>
  </si>
  <si>
    <t>00440308057882</t>
  </si>
  <si>
    <t>13041046044</t>
  </si>
  <si>
    <t>A348D1C12C9DECF5FFFFFFFF</t>
  </si>
  <si>
    <t>C0784970046X1R38</t>
  </si>
  <si>
    <t>13810830597</t>
  </si>
  <si>
    <t>00440308052884</t>
  </si>
  <si>
    <t>00440308057884</t>
  </si>
  <si>
    <t>13121662781</t>
  </si>
  <si>
    <t>1BAFE5E44B7CFE5FFFFFFFFF</t>
  </si>
  <si>
    <t>C0784970008X1R38</t>
  </si>
  <si>
    <t>13220103536</t>
  </si>
  <si>
    <t>00440308052629</t>
  </si>
  <si>
    <t>00440308057629</t>
  </si>
  <si>
    <t>8F312235CAA28625FFFFFFFF</t>
  </si>
  <si>
    <t>C078497006ZX1R38</t>
  </si>
  <si>
    <t>13331048815</t>
  </si>
  <si>
    <t>00440308052844</t>
  </si>
  <si>
    <t>00440308057844</t>
  </si>
  <si>
    <t>18501967551</t>
  </si>
  <si>
    <t>DD64A514E45E7C0AFFFFFFFF</t>
  </si>
  <si>
    <t>C078497006FX1R38</t>
  </si>
  <si>
    <t>17310533824</t>
  </si>
  <si>
    <t>00440308052883</t>
  </si>
  <si>
    <t>00440308057883</t>
  </si>
  <si>
    <t>18519359542</t>
  </si>
  <si>
    <t>903CF597201E3335FFFFFFFF</t>
  </si>
  <si>
    <t>C0784970082X1R38</t>
  </si>
  <si>
    <t>13269732038</t>
  </si>
  <si>
    <t>00440308052845</t>
  </si>
  <si>
    <t>00440308057845</t>
  </si>
  <si>
    <t>13810065574</t>
  </si>
  <si>
    <t>BEJSRTL765</t>
  </si>
  <si>
    <t>40765</t>
  </si>
  <si>
    <t>99C00DFDBAC38188FFFFFFFF</t>
  </si>
  <si>
    <t>C078497004UX1R38</t>
  </si>
  <si>
    <t>13810284045</t>
  </si>
  <si>
    <t>13141364077</t>
  </si>
  <si>
    <t>BEJSRTL766</t>
  </si>
  <si>
    <t>40766</t>
  </si>
  <si>
    <t>BEJSRTL767</t>
  </si>
  <si>
    <t>40767</t>
  </si>
  <si>
    <t>BEJSRTL768</t>
  </si>
  <si>
    <t>40768</t>
  </si>
  <si>
    <t>BEJSRTL769</t>
  </si>
  <si>
    <t>40769</t>
  </si>
  <si>
    <t>BEJSRTL770</t>
  </si>
  <si>
    <t>40770</t>
  </si>
  <si>
    <t>BEJSRTL771</t>
  </si>
  <si>
    <t>40771</t>
  </si>
  <si>
    <t>BEJSRTL772</t>
  </si>
  <si>
    <t>40772</t>
  </si>
  <si>
    <t>BEJSRTL773</t>
  </si>
  <si>
    <t>40773</t>
  </si>
  <si>
    <t>BEJSRTL774</t>
  </si>
  <si>
    <t>40774</t>
  </si>
  <si>
    <t>BEJSRTL775</t>
  </si>
  <si>
    <t>40775</t>
  </si>
  <si>
    <t>BEJSRTL776</t>
  </si>
  <si>
    <t>40776</t>
  </si>
  <si>
    <t>BEJSRTL777</t>
  </si>
  <si>
    <t>40777</t>
  </si>
  <si>
    <t>BEJSRTL778</t>
  </si>
  <si>
    <t>40778</t>
  </si>
  <si>
    <t>BEJSRTL779</t>
  </si>
  <si>
    <t>40779</t>
  </si>
  <si>
    <t>BEJSRTL780</t>
  </si>
  <si>
    <t>40780</t>
  </si>
  <si>
    <t>BEJSRTL781</t>
  </si>
  <si>
    <t>40781</t>
  </si>
  <si>
    <t>BEJSRTL782</t>
  </si>
  <si>
    <t>40782</t>
  </si>
  <si>
    <t>BEJSRTL783</t>
  </si>
  <si>
    <t>40783</t>
  </si>
  <si>
    <t>BEJSRTL784</t>
  </si>
  <si>
    <t>40784</t>
  </si>
  <si>
    <t>BEJSRTL785</t>
  </si>
  <si>
    <t>40785</t>
  </si>
  <si>
    <t>BEJSRTL786</t>
  </si>
  <si>
    <t>40786</t>
  </si>
  <si>
    <t>BEJSRTL787</t>
  </si>
  <si>
    <t>40787</t>
  </si>
  <si>
    <t>BEJSRTL788</t>
  </si>
  <si>
    <t>40788</t>
  </si>
  <si>
    <t>BEJSRTL789</t>
  </si>
  <si>
    <t>40789</t>
  </si>
  <si>
    <t>BEJSRTL790</t>
  </si>
  <si>
    <t>40790</t>
  </si>
  <si>
    <t>BEJSRTL791</t>
  </si>
  <si>
    <t>40791</t>
  </si>
  <si>
    <t>BEJSRTL792</t>
  </si>
  <si>
    <t>40792</t>
  </si>
  <si>
    <t>BEJSRTL793</t>
  </si>
  <si>
    <t>40793</t>
  </si>
  <si>
    <t>BEJSRTL794</t>
  </si>
  <si>
    <t>40794</t>
  </si>
  <si>
    <t>BEJSRTL795</t>
  </si>
  <si>
    <t>40795</t>
  </si>
  <si>
    <t>BEJSRTL796</t>
  </si>
  <si>
    <t>40796</t>
  </si>
  <si>
    <t>BEJSRTL797</t>
  </si>
  <si>
    <t>40797</t>
  </si>
  <si>
    <t>BEJSRTL798</t>
  </si>
  <si>
    <t>40798</t>
  </si>
  <si>
    <t>BEJSRTL799</t>
  </si>
  <si>
    <t>40799</t>
  </si>
  <si>
    <t>BEJSRTL800</t>
  </si>
  <si>
    <t>40800</t>
  </si>
  <si>
    <t>BEJSRTL801</t>
  </si>
  <si>
    <t>40801</t>
  </si>
  <si>
    <t>BEJSRTL802</t>
  </si>
  <si>
    <t>40802</t>
  </si>
  <si>
    <t>BEJSRTL803</t>
  </si>
  <si>
    <t>40803</t>
  </si>
  <si>
    <t>BEJSRTL804</t>
  </si>
  <si>
    <t>40804</t>
  </si>
  <si>
    <t>BEJSRTL805</t>
  </si>
  <si>
    <t>40805</t>
  </si>
  <si>
    <t>BEJSRTL806</t>
  </si>
  <si>
    <t>40806</t>
  </si>
  <si>
    <t>RITM6947164</t>
  </si>
  <si>
    <t>RITM6943603(bois check needed)</t>
  </si>
  <si>
    <t>can't detect modem,need check PC issue</t>
  </si>
  <si>
    <t>need reinstall OS</t>
  </si>
  <si>
    <t>RITM6947364</t>
  </si>
  <si>
    <t>convert from 7560,RITM6947186</t>
  </si>
  <si>
    <t>1/4/2019</t>
  </si>
  <si>
    <t>524A9C14CB496802FFFFFFFF</t>
  </si>
  <si>
    <t>C0784860067LQ935</t>
  </si>
  <si>
    <t>15510689782</t>
  </si>
  <si>
    <t>00440152274482</t>
  </si>
  <si>
    <t>00440152274483</t>
  </si>
  <si>
    <t>13810909937</t>
  </si>
  <si>
    <t>112B8243CD506802FFFFFFFF</t>
  </si>
  <si>
    <t>C078486005DLQ935</t>
  </si>
  <si>
    <t>18519331730</t>
  </si>
  <si>
    <t>00440152274426</t>
  </si>
  <si>
    <t>00440152274427</t>
  </si>
  <si>
    <t>13810776302</t>
  </si>
  <si>
    <t>2AEFABB44B316802FFFFFFFF</t>
  </si>
  <si>
    <t>C078486007CLQ935</t>
  </si>
  <si>
    <t>13811607531</t>
  </si>
  <si>
    <t>00440152274538</t>
  </si>
  <si>
    <t>00440152274539</t>
  </si>
  <si>
    <t>13810797612</t>
  </si>
  <si>
    <t>1F795431CC496802FFFFFFFF</t>
  </si>
  <si>
    <t>C0784860058LQ935</t>
  </si>
  <si>
    <t>13810021364</t>
  </si>
  <si>
    <t>00440152274388</t>
  </si>
  <si>
    <t>00440152274389</t>
  </si>
  <si>
    <t>13810798137</t>
  </si>
  <si>
    <t>151BB20C7C7F6802FFFFFFFF</t>
  </si>
  <si>
    <t>C078486004VLQ935</t>
  </si>
  <si>
    <t>13810018254</t>
  </si>
  <si>
    <t>00440152274604</t>
  </si>
  <si>
    <t>00440152274605</t>
  </si>
  <si>
    <t>18610808439</t>
  </si>
  <si>
    <t>1B017F234D1F6802FFFFFFFF</t>
  </si>
  <si>
    <t>C078486004RLQ935</t>
  </si>
  <si>
    <t>13810021745</t>
  </si>
  <si>
    <t>00440152274564</t>
  </si>
  <si>
    <t>00440152274565</t>
  </si>
  <si>
    <t>18612029422</t>
  </si>
  <si>
    <t xml:space="preserve">
JAN4: Converted to Black Ray Handed Over to DevOps "RITM6952320"
JAN 3: OS Installation Ongoing
Jan 2: OS Issue in Congatec </t>
  </si>
  <si>
    <t xml:space="preserve">
JAN4: Converted to Black Ray Handed Over to DevOps "RITM6952320"
JAN 3: Required HILLBoard/Black Ray as too many Reset seen
HW Issue, Removed the HW
27/12: Replaced with MK4 hardware . Sanity in progress</t>
  </si>
  <si>
    <t>BASRTL426</t>
  </si>
  <si>
    <t>BASRTL168</t>
  </si>
  <si>
    <t>SN3648494</t>
  </si>
  <si>
    <t>SN2794388</t>
  </si>
  <si>
    <t xml:space="preserve">
JAN4: Converted to Black Ray Handed Over to DevOps "RITM6952320"</t>
  </si>
  <si>
    <t>labusermac.iind.intel.com</t>
  </si>
  <si>
    <t>SN4079670</t>
  </si>
  <si>
    <t>SN4079459</t>
  </si>
  <si>
    <t>HILSRTM013sMini.hf.intel.com</t>
  </si>
  <si>
    <t>2F/R63/2</t>
  </si>
  <si>
    <t>13810835563</t>
  </si>
  <si>
    <t>2F/R63/3</t>
  </si>
  <si>
    <t>2F/R62/3</t>
  </si>
  <si>
    <t>2F/R63/4</t>
  </si>
  <si>
    <t>2F/R63/6</t>
  </si>
  <si>
    <t>2F/R63/7</t>
  </si>
  <si>
    <t>can't detect modem</t>
  </si>
  <si>
    <t>(blank) Total</t>
  </si>
  <si>
    <t>2</t>
  </si>
  <si>
    <t>D%$&amp;01_5c4bc0100a764f2a92ed3f5c73eb8014</t>
  </si>
  <si>
    <t>Wang, Jianwei_5093_Intel Corporation_Windows (32-bit) NT :.00_JWANG115-MOBL1_jwang115$$$06012019</t>
  </si>
  <si>
    <t>"'E4!74445"</t>
  </si>
  <si>
    <t>LTE_pre</t>
  </si>
  <si>
    <t>LTE_pre_VOLTE</t>
  </si>
  <si>
    <t>ATT
Verizon</t>
  </si>
  <si>
    <t>T-Mo
Verizon</t>
  </si>
  <si>
    <t>Count of RAT Combo</t>
  </si>
  <si>
    <t>hwang17_5093_Intel Corporation_Windows (32-bit) NT :.00_HWANG17-MOBL_hwang17$$$05012019</t>
  </si>
  <si>
    <t>"$&amp;\%!520"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</si>
</sst>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6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sz val="11"/>
      <name val="Calibri"/>
      <family val="2"/>
    </font>
    <font>
      <b/>
      <sz val="9"/>
      <name val="Tahoma"/>
      <family val="2"/>
    </font>
    <font>
      <sz val="9"/>
      <name val="Tahoma"/>
      <family val="2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8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color rgb="FFC0000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sz val="11"/>
      <color theme="1"/>
      <name val="Calibri"/>
      <family val="3"/>
      <charset val="134"/>
      <scheme val="minor"/>
    </font>
    <font>
      <sz val="11"/>
      <color rgb="FF9C6500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Times New Roman"/>
      <family val="1"/>
    </font>
    <font>
      <sz val="10.5"/>
      <color rgb="FF53565A"/>
      <name val="Intel Clear"/>
      <family val="2"/>
    </font>
    <font>
      <sz val="12"/>
      <color theme="1"/>
      <name val="SimSun"/>
      <family val="3"/>
      <charset val="134"/>
    </font>
    <font>
      <sz val="9"/>
      <color theme="1"/>
      <name val="Calibri"/>
      <family val="2"/>
      <scheme val="minor"/>
    </font>
    <font>
      <b/>
      <sz val="11"/>
      <color rgb="FF1F497D"/>
      <name val="Calibri"/>
      <family val="2"/>
    </font>
    <font>
      <b/>
      <sz val="10"/>
      <color rgb="FF1F497D"/>
      <name val="Calibri"/>
      <family val="2"/>
    </font>
    <font>
      <sz val="11"/>
      <color rgb="FF006100"/>
      <name val="Calibri"/>
      <family val="2"/>
      <scheme val="minor"/>
    </font>
    <font>
      <sz val="12"/>
      <color rgb="FF000000"/>
      <name val="Times New Roman"/>
      <family val="1"/>
    </font>
    <font>
      <sz val="10"/>
      <color rgb="FF000000"/>
      <name val="Segoe UI"/>
      <family val="2"/>
    </font>
    <font>
      <sz val="10"/>
      <color rgb="FF000000"/>
      <name val="Arial Unicode MS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trike/>
      <sz val="12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rgb="FF00000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B1BABF"/>
      </right>
      <top/>
      <bottom style="medium">
        <color rgb="FFB1BABF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5">
    <xf numFmtId="0" fontId="0" fillId="0" borderId="0"/>
    <xf numFmtId="0" fontId="121" fillId="0" borderId="0"/>
    <xf numFmtId="0" fontId="121" fillId="0" borderId="0"/>
    <xf numFmtId="0" fontId="113" fillId="15" borderId="0" applyNumberFormat="0" applyBorder="0" applyAlignment="0" applyProtection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/>
    <xf numFmtId="0" fontId="121" fillId="0" borderId="0"/>
    <xf numFmtId="0" fontId="120" fillId="0" borderId="0" applyNumberFormat="0" applyFill="0" applyBorder="0" applyAlignment="0" applyProtection="0">
      <alignment vertical="center"/>
    </xf>
    <xf numFmtId="0" fontId="121" fillId="0" borderId="0"/>
    <xf numFmtId="0" fontId="122" fillId="0" borderId="0" applyNumberFormat="0" applyFill="0" applyBorder="0" applyAlignment="0" applyProtection="0">
      <alignment vertical="top"/>
      <protection locked="0"/>
    </xf>
    <xf numFmtId="0" fontId="121" fillId="0" borderId="0"/>
    <xf numFmtId="0" fontId="121" fillId="0" borderId="0"/>
    <xf numFmtId="0" fontId="121" fillId="0" borderId="0"/>
    <xf numFmtId="0" fontId="121" fillId="0" borderId="0"/>
    <xf numFmtId="0" fontId="119" fillId="0" borderId="0"/>
    <xf numFmtId="0" fontId="119" fillId="0" borderId="0"/>
    <xf numFmtId="0" fontId="119" fillId="0" borderId="0">
      <alignment vertical="center"/>
    </xf>
    <xf numFmtId="0" fontId="121" fillId="0" borderId="0"/>
    <xf numFmtId="0" fontId="119" fillId="0" borderId="0"/>
    <xf numFmtId="0" fontId="119" fillId="0" borderId="0">
      <alignment vertical="center"/>
    </xf>
    <xf numFmtId="0" fontId="119" fillId="0" borderId="0"/>
    <xf numFmtId="0" fontId="121" fillId="0" borderId="0"/>
    <xf numFmtId="0" fontId="121" fillId="0" borderId="0"/>
    <xf numFmtId="0" fontId="119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0" fillId="0" borderId="0" applyNumberFormat="0" applyFill="0" applyBorder="0" applyAlignment="0" applyProtection="0"/>
    <xf numFmtId="0" fontId="133" fillId="0" borderId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20" fillId="0" borderId="0" applyNumberFormat="0" applyFill="0" applyBorder="0" applyAlignment="0" applyProtection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36" fillId="21" borderId="0" applyNumberFormat="0" applyBorder="0" applyAlignment="0" applyProtection="0"/>
    <xf numFmtId="0" fontId="74" fillId="0" borderId="0"/>
    <xf numFmtId="0" fontId="151" fillId="0" borderId="0"/>
    <xf numFmtId="0" fontId="113" fillId="15" borderId="0" applyNumberFormat="0" applyBorder="0" applyAlignment="0" applyProtection="0"/>
    <xf numFmtId="0" fontId="74" fillId="0" borderId="0"/>
    <xf numFmtId="0" fontId="74" fillId="0" borderId="0"/>
    <xf numFmtId="0" fontId="74" fillId="0" borderId="0"/>
    <xf numFmtId="0" fontId="74" fillId="0" borderId="0">
      <alignment vertical="center"/>
    </xf>
    <xf numFmtId="0" fontId="74" fillId="0" borderId="0"/>
    <xf numFmtId="0" fontId="74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36" fillId="21" borderId="0" applyNumberFormat="0" applyBorder="0" applyAlignment="0" applyProtection="0"/>
    <xf numFmtId="0" fontId="69" fillId="0" borderId="0"/>
    <xf numFmtId="0" fontId="153" fillId="0" borderId="0"/>
    <xf numFmtId="0" fontId="69" fillId="0" borderId="0"/>
    <xf numFmtId="0" fontId="69" fillId="0" borderId="0"/>
    <xf numFmtId="0" fontId="69" fillId="0" borderId="0">
      <alignment vertical="center"/>
    </xf>
    <xf numFmtId="0" fontId="69" fillId="0" borderId="0"/>
    <xf numFmtId="0" fontId="69" fillId="0" borderId="0">
      <alignment vertical="center"/>
    </xf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</cellStyleXfs>
  <cellXfs count="560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Protection="1"/>
    <xf numFmtId="0" fontId="110" fillId="0" borderId="0" xfId="0" applyFont="1"/>
    <xf numFmtId="0" fontId="0" fillId="4" borderId="0" xfId="0" applyFill="1"/>
    <xf numFmtId="0" fontId="111" fillId="4" borderId="0" xfId="0" applyFont="1" applyFill="1"/>
    <xf numFmtId="0" fontId="110" fillId="4" borderId="0" xfId="0" applyFont="1" applyFill="1"/>
    <xf numFmtId="0" fontId="0" fillId="5" borderId="0" xfId="0" applyFill="1"/>
    <xf numFmtId="0" fontId="0" fillId="6" borderId="0" xfId="0" applyFill="1"/>
    <xf numFmtId="0" fontId="110" fillId="4" borderId="0" xfId="0" applyFont="1" applyFill="1" applyBorder="1"/>
    <xf numFmtId="0" fontId="110" fillId="6" borderId="0" xfId="0" applyFont="1" applyFill="1"/>
    <xf numFmtId="0" fontId="110" fillId="0" borderId="0" xfId="0" applyFont="1" applyFill="1"/>
    <xf numFmtId="0" fontId="0" fillId="7" borderId="0" xfId="0" applyFill="1"/>
    <xf numFmtId="0" fontId="0" fillId="8" borderId="0" xfId="0" applyFill="1"/>
    <xf numFmtId="0" fontId="110" fillId="7" borderId="0" xfId="0" applyFont="1" applyFill="1"/>
    <xf numFmtId="0" fontId="0" fillId="9" borderId="0" xfId="0" applyFill="1"/>
    <xf numFmtId="0" fontId="110" fillId="10" borderId="0" xfId="0" applyFont="1" applyFill="1"/>
    <xf numFmtId="0" fontId="110" fillId="9" borderId="0" xfId="0" applyFont="1" applyFill="1"/>
    <xf numFmtId="0" fontId="0" fillId="11" borderId="0" xfId="0" applyFill="1"/>
    <xf numFmtId="0" fontId="111" fillId="11" borderId="0" xfId="0" applyFont="1" applyFill="1"/>
    <xf numFmtId="0" fontId="110" fillId="11" borderId="0" xfId="0" applyFont="1" applyFill="1"/>
    <xf numFmtId="0" fontId="0" fillId="12" borderId="0" xfId="0" applyFill="1"/>
    <xf numFmtId="0" fontId="111" fillId="12" borderId="0" xfId="0" applyFont="1" applyFill="1"/>
    <xf numFmtId="0" fontId="110" fillId="12" borderId="0" xfId="0" applyFont="1" applyFill="1"/>
    <xf numFmtId="0" fontId="110" fillId="13" borderId="0" xfId="0" applyFont="1" applyFill="1" applyProtection="1"/>
    <xf numFmtId="0" fontId="0" fillId="9" borderId="0" xfId="0" applyFill="1" applyProtection="1"/>
    <xf numFmtId="0" fontId="0" fillId="0" borderId="0" xfId="0" applyBorder="1"/>
    <xf numFmtId="0" fontId="0" fillId="9" borderId="0" xfId="0" applyFill="1" applyProtection="1">
      <protection locked="0"/>
    </xf>
    <xf numFmtId="14" fontId="0" fillId="9" borderId="0" xfId="0" applyNumberFormat="1" applyFill="1" applyProtection="1"/>
    <xf numFmtId="14" fontId="0" fillId="9" borderId="0" xfId="0" applyNumberFormat="1" applyFill="1" applyProtection="1">
      <protection locked="0"/>
    </xf>
    <xf numFmtId="0" fontId="0" fillId="14" borderId="0" xfId="0" applyFill="1" applyProtection="1">
      <protection locked="0"/>
    </xf>
    <xf numFmtId="14" fontId="0" fillId="14" borderId="0" xfId="0" applyNumberFormat="1" applyFill="1" applyProtection="1">
      <protection locked="0"/>
    </xf>
    <xf numFmtId="0" fontId="113" fillId="15" borderId="0" xfId="3" applyProtection="1">
      <protection locked="0"/>
    </xf>
    <xf numFmtId="0" fontId="0" fillId="0" borderId="0" xfId="0" applyProtection="1">
      <protection locked="0"/>
    </xf>
    <xf numFmtId="0" fontId="0" fillId="9" borderId="0" xfId="3" applyFont="1" applyFill="1" applyProtection="1">
      <protection locked="0"/>
    </xf>
    <xf numFmtId="14" fontId="0" fillId="9" borderId="0" xfId="3" applyNumberFormat="1" applyFont="1" applyFill="1" applyProtection="1">
      <protection locked="0"/>
    </xf>
    <xf numFmtId="14" fontId="113" fillId="15" borderId="0" xfId="3" applyNumberFormat="1" applyProtection="1">
      <protection locked="0"/>
    </xf>
    <xf numFmtId="14" fontId="0" fillId="0" borderId="0" xfId="0" applyNumberFormat="1" applyFill="1" applyProtection="1">
      <protection locked="0"/>
    </xf>
    <xf numFmtId="0" fontId="0" fillId="0" borderId="0" xfId="0" applyAlignment="1" applyProtection="1">
      <alignment wrapText="1"/>
      <protection locked="0"/>
    </xf>
    <xf numFmtId="1" fontId="0" fillId="0" borderId="0" xfId="0" applyNumberFormat="1" applyAlignment="1" applyProtection="1">
      <alignment wrapText="1"/>
      <protection locked="0"/>
    </xf>
    <xf numFmtId="0" fontId="0" fillId="0" borderId="0" xfId="0" applyAlignment="1">
      <alignment wrapText="1"/>
    </xf>
    <xf numFmtId="0" fontId="114" fillId="16" borderId="3" xfId="0" applyFont="1" applyFill="1" applyBorder="1" applyAlignment="1" applyProtection="1">
      <alignment horizontal="center" wrapText="1"/>
      <protection locked="0"/>
    </xf>
    <xf numFmtId="0" fontId="0" fillId="0" borderId="2" xfId="0" applyFont="1" applyFill="1" applyBorder="1" applyAlignment="1" applyProtection="1">
      <alignment wrapText="1"/>
      <protection locked="0"/>
    </xf>
    <xf numFmtId="0" fontId="0" fillId="0" borderId="2" xfId="0" applyFill="1" applyBorder="1" applyAlignment="1" applyProtection="1">
      <alignment wrapText="1"/>
      <protection locked="0"/>
    </xf>
    <xf numFmtId="0" fontId="0" fillId="0" borderId="2" xfId="0" applyFill="1" applyBorder="1" applyProtection="1">
      <protection locked="0"/>
    </xf>
    <xf numFmtId="0" fontId="116" fillId="0" borderId="2" xfId="0" applyFont="1" applyFill="1" applyBorder="1" applyAlignment="1" applyProtection="1">
      <alignment wrapText="1"/>
      <protection locked="0"/>
    </xf>
    <xf numFmtId="1" fontId="0" fillId="0" borderId="2" xfId="0" applyNumberFormat="1" applyFont="1" applyFill="1" applyBorder="1" applyAlignment="1" applyProtection="1">
      <alignment wrapText="1"/>
      <protection locked="0"/>
    </xf>
    <xf numFmtId="1" fontId="0" fillId="0" borderId="2" xfId="0" applyNumberFormat="1" applyFont="1" applyFill="1" applyBorder="1" applyAlignment="1" applyProtection="1">
      <alignment horizontal="right" wrapText="1"/>
      <protection locked="0"/>
    </xf>
    <xf numFmtId="1" fontId="0" fillId="0" borderId="2" xfId="0" applyNumberFormat="1" applyFill="1" applyBorder="1" applyAlignment="1" applyProtection="1">
      <alignment wrapText="1"/>
      <protection locked="0"/>
    </xf>
    <xf numFmtId="0" fontId="0" fillId="0" borderId="2" xfId="0" applyFill="1" applyBorder="1" applyAlignment="1" applyProtection="1">
      <alignment horizontal="right" wrapText="1"/>
      <protection locked="0"/>
    </xf>
    <xf numFmtId="0" fontId="0" fillId="0" borderId="2" xfId="0" applyBorder="1" applyAlignment="1" applyProtection="1">
      <alignment wrapText="1"/>
      <protection locked="0"/>
    </xf>
    <xf numFmtId="1" fontId="0" fillId="0" borderId="2" xfId="0" applyNumberFormat="1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left" wrapText="1"/>
      <protection locked="0"/>
    </xf>
    <xf numFmtId="0" fontId="0" fillId="0" borderId="2" xfId="0" quotePrefix="1" applyFont="1" applyFill="1" applyBorder="1" applyAlignment="1" applyProtection="1">
      <alignment wrapText="1"/>
      <protection locked="0"/>
    </xf>
    <xf numFmtId="0" fontId="0" fillId="0" borderId="2" xfId="0" quotePrefix="1" applyFill="1" applyBorder="1" applyAlignment="1" applyProtection="1">
      <alignment wrapText="1"/>
      <protection locked="0"/>
    </xf>
    <xf numFmtId="3" fontId="0" fillId="0" borderId="2" xfId="0" quotePrefix="1" applyNumberFormat="1" applyFill="1" applyBorder="1" applyAlignment="1" applyProtection="1">
      <alignment wrapText="1"/>
      <protection locked="0"/>
    </xf>
    <xf numFmtId="0" fontId="0" fillId="0" borderId="2" xfId="0" quotePrefix="1" applyBorder="1" applyProtection="1">
      <protection locked="0"/>
    </xf>
    <xf numFmtId="0" fontId="0" fillId="0" borderId="2" xfId="0" quotePrefix="1" applyFill="1" applyBorder="1" applyAlignment="1" applyProtection="1">
      <alignment horizontal="right" wrapText="1"/>
      <protection locked="0"/>
    </xf>
    <xf numFmtId="0" fontId="0" fillId="18" borderId="0" xfId="0" applyFill="1" applyProtection="1">
      <protection locked="0"/>
    </xf>
    <xf numFmtId="14" fontId="0" fillId="18" borderId="0" xfId="0" applyNumberFormat="1" applyFill="1" applyProtection="1">
      <protection locked="0"/>
    </xf>
    <xf numFmtId="0" fontId="126" fillId="18" borderId="0" xfId="0" applyFont="1" applyFill="1" applyProtection="1">
      <protection locked="0"/>
    </xf>
    <xf numFmtId="0" fontId="0" fillId="19" borderId="2" xfId="0" applyFont="1" applyFill="1" applyBorder="1" applyAlignment="1" applyProtection="1">
      <alignment wrapText="1"/>
      <protection locked="0"/>
    </xf>
    <xf numFmtId="0" fontId="117" fillId="19" borderId="2" xfId="0" applyFont="1" applyFill="1" applyBorder="1" applyProtection="1">
      <protection locked="0"/>
    </xf>
    <xf numFmtId="0" fontId="117" fillId="19" borderId="2" xfId="0" applyFont="1" applyFill="1" applyBorder="1" applyAlignment="1" applyProtection="1">
      <alignment horizontal="left"/>
      <protection locked="0"/>
    </xf>
    <xf numFmtId="0" fontId="117" fillId="19" borderId="2" xfId="0" applyFont="1" applyFill="1" applyBorder="1" applyAlignment="1" applyProtection="1">
      <alignment horizontal="left" vertical="center"/>
      <protection locked="0"/>
    </xf>
    <xf numFmtId="0" fontId="117" fillId="19" borderId="2" xfId="0" quotePrefix="1" applyFont="1" applyFill="1" applyBorder="1" applyAlignment="1" applyProtection="1">
      <alignment horizontal="left"/>
      <protection locked="0"/>
    </xf>
    <xf numFmtId="0" fontId="0" fillId="19" borderId="2" xfId="0" applyFill="1" applyBorder="1" applyAlignment="1" applyProtection="1">
      <alignment wrapText="1"/>
      <protection locked="0"/>
    </xf>
    <xf numFmtId="0" fontId="0" fillId="0" borderId="0" xfId="0" applyAlignment="1" applyProtection="1">
      <alignment wrapText="1"/>
    </xf>
    <xf numFmtId="0" fontId="117" fillId="19" borderId="2" xfId="0" applyFont="1" applyFill="1" applyBorder="1" applyProtection="1"/>
    <xf numFmtId="0" fontId="0" fillId="19" borderId="2" xfId="0" applyFill="1" applyBorder="1" applyAlignment="1" applyProtection="1">
      <alignment wrapText="1"/>
    </xf>
    <xf numFmtId="0" fontId="114" fillId="16" borderId="3" xfId="0" applyFont="1" applyFill="1" applyBorder="1" applyAlignment="1" applyProtection="1">
      <alignment horizontal="left" wrapText="1"/>
      <protection locked="0"/>
    </xf>
    <xf numFmtId="0" fontId="0" fillId="19" borderId="2" xfId="0" applyFont="1" applyFill="1" applyBorder="1" applyAlignment="1" applyProtection="1">
      <alignment horizontal="left" wrapText="1"/>
      <protection locked="0"/>
    </xf>
    <xf numFmtId="0" fontId="0" fillId="0" borderId="0" xfId="0" applyAlignment="1" applyProtection="1">
      <alignment horizontal="left" wrapText="1"/>
      <protection locked="0"/>
    </xf>
    <xf numFmtId="0" fontId="128" fillId="19" borderId="2" xfId="0" applyFont="1" applyFill="1" applyBorder="1" applyAlignment="1" applyProtection="1">
      <alignment horizontal="center"/>
      <protection locked="0"/>
    </xf>
    <xf numFmtId="14" fontId="0" fillId="0" borderId="2" xfId="0" applyNumberFormat="1" applyFont="1" applyFill="1" applyBorder="1" applyAlignment="1" applyProtection="1">
      <alignment wrapText="1"/>
      <protection locked="0"/>
    </xf>
    <xf numFmtId="14" fontId="0" fillId="0" borderId="2" xfId="0" applyNumberFormat="1" applyFill="1" applyBorder="1" applyAlignment="1" applyProtection="1">
      <alignment wrapText="1"/>
      <protection locked="0"/>
    </xf>
    <xf numFmtId="14" fontId="0" fillId="19" borderId="2" xfId="0" applyNumberFormat="1" applyFont="1" applyFill="1" applyBorder="1" applyAlignment="1" applyProtection="1">
      <alignment wrapText="1"/>
      <protection locked="0"/>
    </xf>
    <xf numFmtId="14" fontId="0" fillId="0" borderId="2" xfId="0" applyNumberFormat="1" applyBorder="1" applyAlignment="1" applyProtection="1">
      <alignment wrapText="1"/>
      <protection locked="0"/>
    </xf>
    <xf numFmtId="0" fontId="0" fillId="0" borderId="2" xfId="0" applyFont="1" applyFill="1" applyBorder="1" applyAlignment="1" applyProtection="1">
      <alignment wrapText="1"/>
    </xf>
    <xf numFmtId="0" fontId="0" fillId="0" borderId="2" xfId="0" applyFill="1" applyBorder="1" applyAlignment="1" applyProtection="1">
      <alignment wrapText="1"/>
    </xf>
    <xf numFmtId="0" fontId="116" fillId="0" borderId="2" xfId="0" applyFont="1" applyFill="1" applyBorder="1" applyAlignment="1" applyProtection="1">
      <alignment wrapText="1"/>
    </xf>
    <xf numFmtId="0" fontId="129" fillId="14" borderId="2" xfId="0" applyFont="1" applyFill="1" applyBorder="1" applyAlignment="1" applyProtection="1">
      <alignment wrapText="1"/>
      <protection locked="0"/>
    </xf>
    <xf numFmtId="0" fontId="130" fillId="14" borderId="2" xfId="0" applyFont="1" applyFill="1" applyBorder="1" applyProtection="1">
      <protection locked="0"/>
    </xf>
    <xf numFmtId="0" fontId="129" fillId="14" borderId="2" xfId="0" applyFont="1" applyFill="1" applyBorder="1" applyProtection="1">
      <protection locked="0"/>
    </xf>
    <xf numFmtId="0" fontId="129" fillId="14" borderId="0" xfId="0" applyFont="1" applyFill="1" applyAlignment="1" applyProtection="1">
      <alignment wrapText="1"/>
    </xf>
    <xf numFmtId="0" fontId="109" fillId="18" borderId="0" xfId="0" applyFont="1" applyFill="1" applyProtection="1">
      <protection locked="0"/>
    </xf>
    <xf numFmtId="0" fontId="0" fillId="14" borderId="2" xfId="0" applyFont="1" applyFill="1" applyBorder="1" applyAlignment="1" applyProtection="1">
      <alignment wrapText="1"/>
      <protection locked="0"/>
    </xf>
    <xf numFmtId="0" fontId="108" fillId="18" borderId="0" xfId="0" applyFont="1" applyFill="1" applyAlignment="1" applyProtection="1">
      <protection locked="0"/>
    </xf>
    <xf numFmtId="0" fontId="0" fillId="18" borderId="0" xfId="0" applyFill="1" applyAlignment="1" applyProtection="1">
      <protection locked="0"/>
    </xf>
    <xf numFmtId="14" fontId="0" fillId="18" borderId="0" xfId="0" applyNumberFormat="1" applyFill="1" applyAlignment="1" applyProtection="1">
      <protection locked="0"/>
    </xf>
    <xf numFmtId="0" fontId="107" fillId="19" borderId="2" xfId="0" applyFont="1" applyFill="1" applyBorder="1" applyAlignment="1" applyProtection="1">
      <alignment wrapText="1"/>
      <protection locked="0"/>
    </xf>
    <xf numFmtId="0" fontId="107" fillId="0" borderId="2" xfId="0" applyFont="1" applyBorder="1" applyAlignment="1" applyProtection="1">
      <alignment wrapText="1"/>
      <protection locked="0"/>
    </xf>
    <xf numFmtId="0" fontId="107" fillId="0" borderId="2" xfId="0" applyFont="1" applyFill="1" applyBorder="1" applyAlignment="1" applyProtection="1">
      <alignment wrapText="1"/>
      <protection locked="0"/>
    </xf>
    <xf numFmtId="0" fontId="107" fillId="0" borderId="0" xfId="0" applyFont="1"/>
    <xf numFmtId="0" fontId="132" fillId="0" borderId="0" xfId="0" applyFont="1"/>
    <xf numFmtId="0" fontId="107" fillId="0" borderId="0" xfId="0" applyFont="1" applyProtection="1">
      <protection locked="0"/>
    </xf>
    <xf numFmtId="0" fontId="106" fillId="0" borderId="2" xfId="0" applyFont="1" applyBorder="1" applyAlignment="1" applyProtection="1">
      <alignment horizontal="left" wrapText="1"/>
      <protection locked="0"/>
    </xf>
    <xf numFmtId="0" fontId="105" fillId="0" borderId="2" xfId="0" applyFont="1" applyBorder="1" applyAlignment="1" applyProtection="1">
      <alignment horizontal="left" wrapText="1"/>
      <protection locked="0"/>
    </xf>
    <xf numFmtId="0" fontId="105" fillId="0" borderId="2" xfId="0" applyFont="1" applyBorder="1" applyAlignment="1" applyProtection="1">
      <alignment wrapText="1"/>
      <protection locked="0"/>
    </xf>
    <xf numFmtId="0" fontId="104" fillId="0" borderId="0" xfId="0" applyFont="1" applyProtection="1">
      <protection locked="0"/>
    </xf>
    <xf numFmtId="0" fontId="127" fillId="20" borderId="0" xfId="0" applyFont="1" applyFill="1" applyProtection="1">
      <protection locked="0"/>
    </xf>
    <xf numFmtId="0" fontId="0" fillId="19" borderId="2" xfId="0" applyFont="1" applyFill="1" applyBorder="1" applyAlignment="1" applyProtection="1">
      <alignment horizontal="left" wrapText="1"/>
    </xf>
    <xf numFmtId="1" fontId="110" fillId="17" borderId="3" xfId="0" applyNumberFormat="1" applyFont="1" applyFill="1" applyBorder="1" applyAlignment="1" applyProtection="1">
      <alignment horizontal="left" wrapText="1"/>
      <protection locked="0"/>
    </xf>
    <xf numFmtId="1" fontId="0" fillId="0" borderId="0" xfId="0" applyNumberFormat="1" applyAlignment="1" applyProtection="1">
      <alignment horizontal="left" wrapText="1"/>
      <protection locked="0"/>
    </xf>
    <xf numFmtId="0" fontId="135" fillId="19" borderId="2" xfId="0" applyFont="1" applyFill="1" applyBorder="1" applyAlignment="1" applyProtection="1">
      <alignment wrapText="1"/>
      <protection locked="0"/>
    </xf>
    <xf numFmtId="0" fontId="110" fillId="16" borderId="3" xfId="0" applyFont="1" applyFill="1" applyBorder="1" applyAlignment="1" applyProtection="1">
      <alignment horizontal="center" wrapText="1"/>
      <protection locked="0"/>
    </xf>
    <xf numFmtId="0" fontId="102" fillId="18" borderId="0" xfId="0" applyFont="1" applyFill="1" applyProtection="1">
      <protection locked="0"/>
    </xf>
    <xf numFmtId="0" fontId="101" fillId="0" borderId="2" xfId="0" applyFont="1" applyBorder="1" applyAlignment="1" applyProtection="1">
      <alignment horizontal="left" wrapText="1"/>
      <protection locked="0"/>
    </xf>
    <xf numFmtId="0" fontId="0" fillId="0" borderId="0" xfId="0" applyAlignment="1" applyProtection="1">
      <alignment horizontal="right"/>
      <protection locked="0"/>
    </xf>
    <xf numFmtId="0" fontId="0" fillId="0" borderId="2" xfId="0" applyFont="1" applyFill="1" applyBorder="1" applyAlignment="1" applyProtection="1">
      <alignment horizontal="right" wrapText="1"/>
      <protection locked="0"/>
    </xf>
    <xf numFmtId="0" fontId="0" fillId="19" borderId="2" xfId="0" applyFont="1" applyFill="1" applyBorder="1" applyAlignment="1" applyProtection="1">
      <alignment horizontal="right" wrapText="1"/>
      <protection locked="0"/>
    </xf>
    <xf numFmtId="0" fontId="105" fillId="0" borderId="2" xfId="0" applyFont="1" applyBorder="1" applyAlignment="1" applyProtection="1">
      <alignment horizontal="right" wrapText="1"/>
      <protection locked="0"/>
    </xf>
    <xf numFmtId="0" fontId="117" fillId="0" borderId="2" xfId="0" applyFont="1" applyFill="1" applyBorder="1" applyProtection="1">
      <protection locked="0"/>
    </xf>
    <xf numFmtId="0" fontId="117" fillId="0" borderId="2" xfId="0" applyFont="1" applyFill="1" applyBorder="1" applyAlignment="1" applyProtection="1">
      <alignment horizontal="left" vertical="center"/>
      <protection locked="0"/>
    </xf>
    <xf numFmtId="0" fontId="0" fillId="0" borderId="0" xfId="0" applyFill="1" applyAlignment="1" applyProtection="1">
      <alignment wrapText="1"/>
    </xf>
    <xf numFmtId="1" fontId="117" fillId="19" borderId="2" xfId="0" applyNumberFormat="1" applyFont="1" applyFill="1" applyBorder="1" applyProtection="1">
      <protection locked="0"/>
    </xf>
    <xf numFmtId="1" fontId="107" fillId="0" borderId="0" xfId="0" applyNumberFormat="1" applyFont="1"/>
    <xf numFmtId="1" fontId="117" fillId="19" borderId="2" xfId="0" applyNumberFormat="1" applyFont="1" applyFill="1" applyBorder="1" applyProtection="1"/>
    <xf numFmtId="1" fontId="130" fillId="14" borderId="2" xfId="0" applyNumberFormat="1" applyFont="1" applyFill="1" applyBorder="1" applyProtection="1">
      <protection locked="0"/>
    </xf>
    <xf numFmtId="1" fontId="117" fillId="0" borderId="2" xfId="0" applyNumberFormat="1" applyFont="1" applyFill="1" applyBorder="1" applyProtection="1">
      <protection locked="0"/>
    </xf>
    <xf numFmtId="0" fontId="107" fillId="0" borderId="2" xfId="0" applyFont="1" applyBorder="1"/>
    <xf numFmtId="1" fontId="107" fillId="0" borderId="2" xfId="0" applyNumberFormat="1" applyFont="1" applyBorder="1"/>
    <xf numFmtId="0" fontId="132" fillId="0" borderId="2" xfId="0" applyFont="1" applyBorder="1"/>
    <xf numFmtId="0" fontId="107" fillId="0" borderId="0" xfId="0" applyFont="1" applyFill="1"/>
    <xf numFmtId="0" fontId="107" fillId="0" borderId="2" xfId="0" applyFont="1" applyFill="1" applyBorder="1"/>
    <xf numFmtId="1" fontId="107" fillId="0" borderId="2" xfId="0" applyNumberFormat="1" applyFont="1" applyFill="1" applyBorder="1"/>
    <xf numFmtId="0" fontId="0" fillId="0" borderId="0" xfId="0" applyFill="1" applyAlignment="1">
      <alignment wrapText="1"/>
    </xf>
    <xf numFmtId="0" fontId="107" fillId="0" borderId="3" xfId="0" applyFont="1" applyBorder="1" applyAlignment="1" applyProtection="1">
      <alignment wrapText="1"/>
      <protection locked="0"/>
    </xf>
    <xf numFmtId="0" fontId="100" fillId="0" borderId="3" xfId="0" applyFont="1" applyBorder="1" applyAlignment="1" applyProtection="1">
      <alignment wrapText="1"/>
      <protection locked="0"/>
    </xf>
    <xf numFmtId="0" fontId="0" fillId="19" borderId="3" xfId="0" applyFont="1" applyFill="1" applyBorder="1" applyAlignment="1" applyProtection="1">
      <alignment wrapText="1"/>
      <protection locked="0"/>
    </xf>
    <xf numFmtId="0" fontId="0" fillId="0" borderId="3" xfId="0" applyBorder="1" applyAlignment="1" applyProtection="1">
      <alignment wrapText="1"/>
      <protection locked="0"/>
    </xf>
    <xf numFmtId="0" fontId="0" fillId="0" borderId="3" xfId="0" applyFont="1" applyFill="1" applyBorder="1" applyAlignment="1" applyProtection="1">
      <alignment wrapText="1"/>
      <protection locked="0"/>
    </xf>
    <xf numFmtId="0" fontId="0" fillId="0" borderId="3" xfId="0" applyFill="1" applyBorder="1" applyAlignment="1" applyProtection="1">
      <alignment wrapText="1"/>
      <protection locked="0"/>
    </xf>
    <xf numFmtId="0" fontId="107" fillId="0" borderId="3" xfId="0" applyFont="1" applyBorder="1"/>
    <xf numFmtId="1" fontId="107" fillId="0" borderId="3" xfId="0" applyNumberFormat="1" applyFont="1" applyBorder="1"/>
    <xf numFmtId="0" fontId="117" fillId="19" borderId="3" xfId="0" applyFont="1" applyFill="1" applyBorder="1" applyAlignment="1" applyProtection="1">
      <alignment horizontal="left" vertical="center"/>
      <protection locked="0"/>
    </xf>
    <xf numFmtId="14" fontId="0" fillId="0" borderId="3" xfId="0" applyNumberFormat="1" applyBorder="1" applyAlignment="1" applyProtection="1">
      <alignment wrapText="1"/>
      <protection locked="0"/>
    </xf>
    <xf numFmtId="1" fontId="0" fillId="0" borderId="2" xfId="0" applyNumberFormat="1" applyBorder="1" applyAlignment="1" applyProtection="1">
      <alignment horizontal="left" wrapText="1"/>
      <protection locked="0"/>
    </xf>
    <xf numFmtId="0" fontId="99" fillId="0" borderId="2" xfId="0" applyFont="1" applyBorder="1" applyAlignment="1" applyProtection="1">
      <alignment horizontal="left" wrapText="1"/>
      <protection locked="0"/>
    </xf>
    <xf numFmtId="0" fontId="99" fillId="0" borderId="2" xfId="0" applyFont="1" applyBorder="1" applyAlignment="1" applyProtection="1">
      <alignment wrapText="1"/>
      <protection locked="0"/>
    </xf>
    <xf numFmtId="0" fontId="99" fillId="0" borderId="0" xfId="0" applyFont="1" applyProtection="1">
      <protection locked="0"/>
    </xf>
    <xf numFmtId="1" fontId="117" fillId="19" borderId="2" xfId="0" quotePrefix="1" applyNumberFormat="1" applyFont="1" applyFill="1" applyBorder="1" applyAlignment="1" applyProtection="1">
      <alignment horizontal="left"/>
      <protection locked="0"/>
    </xf>
    <xf numFmtId="0" fontId="98" fillId="0" borderId="2" xfId="0" applyFont="1" applyBorder="1" applyAlignment="1" applyProtection="1">
      <alignment horizontal="left" wrapText="1"/>
      <protection locked="0"/>
    </xf>
    <xf numFmtId="0" fontId="101" fillId="0" borderId="2" xfId="0" applyFont="1" applyBorder="1" applyAlignment="1" applyProtection="1">
      <alignment horizontal="right" wrapText="1"/>
      <protection locked="0"/>
    </xf>
    <xf numFmtId="0" fontId="97" fillId="0" borderId="2" xfId="0" applyFont="1" applyBorder="1" applyAlignment="1" applyProtection="1">
      <alignment wrapText="1"/>
      <protection locked="0"/>
    </xf>
    <xf numFmtId="0" fontId="0" fillId="14" borderId="2" xfId="0" applyFill="1" applyBorder="1" applyProtection="1">
      <protection locked="0"/>
    </xf>
    <xf numFmtId="0" fontId="0" fillId="0" borderId="0" xfId="0" applyFont="1" applyFill="1" applyBorder="1" applyAlignment="1" applyProtection="1">
      <alignment wrapText="1"/>
      <protection locked="0"/>
    </xf>
    <xf numFmtId="164" fontId="114" fillId="16" borderId="3" xfId="0" applyNumberFormat="1" applyFont="1" applyFill="1" applyBorder="1" applyAlignment="1" applyProtection="1">
      <alignment horizontal="left" wrapText="1"/>
      <protection locked="0"/>
    </xf>
    <xf numFmtId="164" fontId="0" fillId="0" borderId="2" xfId="0" applyNumberFormat="1" applyBorder="1" applyAlignment="1" applyProtection="1">
      <alignment horizontal="left" wrapText="1"/>
      <protection locked="0"/>
    </xf>
    <xf numFmtId="164" fontId="0" fillId="0" borderId="0" xfId="0" applyNumberFormat="1" applyAlignment="1" applyProtection="1">
      <alignment horizontal="left" wrapText="1"/>
      <protection locked="0"/>
    </xf>
    <xf numFmtId="0" fontId="0" fillId="14" borderId="2" xfId="0" applyFill="1" applyBorder="1" applyAlignment="1" applyProtection="1">
      <alignment wrapText="1"/>
      <protection locked="0"/>
    </xf>
    <xf numFmtId="0" fontId="117" fillId="14" borderId="2" xfId="0" applyFont="1" applyFill="1" applyBorder="1" applyProtection="1">
      <protection locked="0"/>
    </xf>
    <xf numFmtId="1" fontId="117" fillId="14" borderId="2" xfId="0" applyNumberFormat="1" applyFont="1" applyFill="1" applyBorder="1" applyProtection="1">
      <protection locked="0"/>
    </xf>
    <xf numFmtId="0" fontId="107" fillId="14" borderId="2" xfId="0" applyFont="1" applyFill="1" applyBorder="1" applyAlignment="1" applyProtection="1">
      <alignment wrapText="1"/>
      <protection locked="0"/>
    </xf>
    <xf numFmtId="0" fontId="0" fillId="14" borderId="0" xfId="0" applyFill="1" applyAlignment="1" applyProtection="1">
      <alignment wrapText="1"/>
    </xf>
    <xf numFmtId="0" fontId="0" fillId="19" borderId="0" xfId="0" applyFill="1" applyProtection="1">
      <protection locked="0"/>
    </xf>
    <xf numFmtId="14" fontId="0" fillId="19" borderId="0" xfId="0" applyNumberFormat="1" applyFill="1" applyProtection="1">
      <protection locked="0"/>
    </xf>
    <xf numFmtId="0" fontId="135" fillId="0" borderId="2" xfId="0" applyFont="1" applyFill="1" applyBorder="1" applyAlignment="1" applyProtection="1">
      <alignment wrapText="1"/>
      <protection locked="0"/>
    </xf>
    <xf numFmtId="0" fontId="95" fillId="19" borderId="2" xfId="0" applyFont="1" applyFill="1" applyBorder="1" applyAlignment="1" applyProtection="1">
      <alignment wrapText="1"/>
      <protection locked="0"/>
    </xf>
    <xf numFmtId="0" fontId="95" fillId="0" borderId="3" xfId="0" applyFont="1" applyBorder="1" applyAlignment="1" applyProtection="1">
      <alignment wrapText="1"/>
      <protection locked="0"/>
    </xf>
    <xf numFmtId="0" fontId="110" fillId="16" borderId="3" xfId="0" applyFont="1" applyFill="1" applyBorder="1" applyAlignment="1" applyProtection="1">
      <alignment horizontal="left" wrapText="1"/>
      <protection locked="0"/>
    </xf>
    <xf numFmtId="0" fontId="94" fillId="18" borderId="0" xfId="0" applyFont="1" applyFill="1" applyProtection="1"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126" fillId="2" borderId="0" xfId="0" applyFont="1" applyFill="1"/>
    <xf numFmtId="0" fontId="126" fillId="0" borderId="0" xfId="0" applyFont="1"/>
    <xf numFmtId="0" fontId="126" fillId="0" borderId="2" xfId="0" applyFont="1" applyFill="1" applyBorder="1" applyAlignment="1" applyProtection="1">
      <alignment wrapText="1"/>
      <protection locked="0"/>
    </xf>
    <xf numFmtId="0" fontId="126" fillId="19" borderId="2" xfId="0" applyFont="1" applyFill="1" applyBorder="1" applyAlignment="1" applyProtection="1">
      <alignment wrapText="1"/>
      <protection locked="0"/>
    </xf>
    <xf numFmtId="0" fontId="0" fillId="0" borderId="2" xfId="0" applyBorder="1" applyAlignment="1" applyProtection="1">
      <protection locked="0"/>
    </xf>
    <xf numFmtId="0" fontId="0" fillId="14" borderId="2" xfId="0" applyFill="1" applyBorder="1" applyAlignment="1" applyProtection="1">
      <protection locked="0"/>
    </xf>
    <xf numFmtId="0" fontId="129" fillId="14" borderId="2" xfId="0" applyFont="1" applyFill="1" applyBorder="1" applyAlignment="1" applyProtection="1">
      <protection locked="0"/>
    </xf>
    <xf numFmtId="0" fontId="107" fillId="0" borderId="2" xfId="0" applyFont="1" applyFill="1" applyBorder="1" applyAlignment="1" applyProtection="1">
      <protection locked="0"/>
    </xf>
    <xf numFmtId="0" fontId="107" fillId="0" borderId="2" xfId="0" applyFont="1" applyBorder="1" applyAlignment="1" applyProtection="1">
      <protection locked="0"/>
    </xf>
    <xf numFmtId="0" fontId="96" fillId="0" borderId="2" xfId="0" applyFont="1" applyBorder="1" applyAlignment="1" applyProtection="1">
      <protection locked="0"/>
    </xf>
    <xf numFmtId="0" fontId="0" fillId="0" borderId="2" xfId="0" applyFill="1" applyBorder="1" applyAlignment="1" applyProtection="1">
      <protection locked="0"/>
    </xf>
    <xf numFmtId="0" fontId="95" fillId="0" borderId="2" xfId="0" applyFont="1" applyBorder="1" applyAlignment="1" applyProtection="1">
      <protection locked="0"/>
    </xf>
    <xf numFmtId="0" fontId="0" fillId="0" borderId="0" xfId="0" applyAlignment="1" applyProtection="1">
      <protection locked="0"/>
    </xf>
    <xf numFmtId="0" fontId="110" fillId="17" borderId="3" xfId="0" applyFont="1" applyFill="1" applyBorder="1" applyAlignment="1" applyProtection="1">
      <alignment horizontal="center" wrapText="1"/>
      <protection locked="0"/>
    </xf>
    <xf numFmtId="0" fontId="93" fillId="0" borderId="2" xfId="0" applyFont="1" applyFill="1" applyBorder="1" applyAlignment="1" applyProtection="1">
      <alignment wrapText="1"/>
      <protection locked="0"/>
    </xf>
    <xf numFmtId="0" fontId="93" fillId="0" borderId="2" xfId="0" applyFont="1" applyBorder="1"/>
    <xf numFmtId="0" fontId="93" fillId="0" borderId="2" xfId="0" applyFont="1" applyBorder="1" applyAlignment="1" applyProtection="1">
      <protection locked="0"/>
    </xf>
    <xf numFmtId="0" fontId="92" fillId="0" borderId="0" xfId="0" applyFont="1" applyAlignment="1" applyProtection="1">
      <alignment wrapText="1"/>
    </xf>
    <xf numFmtId="0" fontId="90" fillId="0" borderId="2" xfId="0" applyFont="1" applyBorder="1" applyAlignment="1" applyProtection="1">
      <protection locked="0"/>
    </xf>
    <xf numFmtId="0" fontId="116" fillId="19" borderId="2" xfId="0" applyFont="1" applyFill="1" applyBorder="1" applyAlignment="1" applyProtection="1">
      <alignment wrapText="1"/>
      <protection locked="0"/>
    </xf>
    <xf numFmtId="0" fontId="100" fillId="19" borderId="2" xfId="0" applyFont="1" applyFill="1" applyBorder="1" applyAlignment="1" applyProtection="1">
      <alignment wrapText="1"/>
      <protection locked="0"/>
    </xf>
    <xf numFmtId="0" fontId="0" fillId="19" borderId="0" xfId="0" applyFont="1" applyFill="1" applyBorder="1" applyAlignment="1" applyProtection="1">
      <alignment wrapText="1"/>
      <protection locked="0"/>
    </xf>
    <xf numFmtId="0" fontId="107" fillId="19" borderId="0" xfId="0" applyFont="1" applyFill="1"/>
    <xf numFmtId="0" fontId="107" fillId="19" borderId="2" xfId="0" applyFont="1" applyFill="1" applyBorder="1"/>
    <xf numFmtId="1" fontId="107" fillId="19" borderId="2" xfId="0" applyNumberFormat="1" applyFont="1" applyFill="1" applyBorder="1"/>
    <xf numFmtId="14" fontId="0" fillId="19" borderId="2" xfId="0" applyNumberFormat="1" applyFill="1" applyBorder="1" applyAlignment="1" applyProtection="1">
      <alignment wrapText="1"/>
      <protection locked="0"/>
    </xf>
    <xf numFmtId="0" fontId="95" fillId="19" borderId="2" xfId="0" applyFont="1" applyFill="1" applyBorder="1" applyAlignment="1" applyProtection="1">
      <protection locked="0"/>
    </xf>
    <xf numFmtId="0" fontId="0" fillId="19" borderId="0" xfId="0" applyFill="1" applyAlignment="1">
      <alignment wrapText="1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2" xfId="0" applyNumberFormat="1" applyBorder="1" applyAlignment="1" applyProtection="1">
      <alignment horizontal="right" wrapText="1"/>
      <protection locked="0"/>
    </xf>
    <xf numFmtId="0" fontId="89" fillId="0" borderId="2" xfId="0" applyFont="1" applyBorder="1" applyAlignment="1" applyProtection="1">
      <protection locked="0"/>
    </xf>
    <xf numFmtId="0" fontId="0" fillId="0" borderId="0" xfId="0" applyNumberFormat="1"/>
    <xf numFmtId="0" fontId="0" fillId="0" borderId="3" xfId="0" applyBorder="1" applyAlignment="1">
      <alignment horizontal="center"/>
    </xf>
    <xf numFmtId="0" fontId="0" fillId="3" borderId="0" xfId="0" applyFill="1" applyProtection="1">
      <protection locked="0"/>
    </xf>
    <xf numFmtId="14" fontId="0" fillId="3" borderId="0" xfId="0" applyNumberFormat="1" applyFill="1" applyProtection="1">
      <protection locked="0"/>
    </xf>
    <xf numFmtId="0" fontId="136" fillId="18" borderId="0" xfId="54" applyFill="1" applyProtection="1">
      <protection locked="0"/>
    </xf>
    <xf numFmtId="0" fontId="88" fillId="0" borderId="2" xfId="0" applyFont="1" applyBorder="1" applyAlignment="1" applyProtection="1">
      <protection locked="0"/>
    </xf>
    <xf numFmtId="0" fontId="0" fillId="19" borderId="2" xfId="0" quotePrefix="1" applyFont="1" applyFill="1" applyBorder="1" applyAlignment="1" applyProtection="1">
      <alignment wrapText="1"/>
      <protection locked="0"/>
    </xf>
    <xf numFmtId="0" fontId="137" fillId="22" borderId="2" xfId="0" applyFont="1" applyFill="1" applyBorder="1" applyAlignment="1" applyProtection="1">
      <alignment horizontal="left"/>
    </xf>
    <xf numFmtId="0" fontId="0" fillId="19" borderId="2" xfId="0" applyFill="1" applyBorder="1" applyProtection="1">
      <protection locked="0"/>
    </xf>
    <xf numFmtId="0" fontId="0" fillId="19" borderId="2" xfId="0" applyFill="1" applyBorder="1" applyAlignment="1" applyProtection="1">
      <protection locked="0"/>
    </xf>
    <xf numFmtId="0" fontId="0" fillId="19" borderId="0" xfId="0" applyFill="1" applyAlignment="1" applyProtection="1">
      <alignment wrapText="1"/>
    </xf>
    <xf numFmtId="1" fontId="0" fillId="19" borderId="2" xfId="0" applyNumberFormat="1" applyFill="1" applyBorder="1" applyAlignment="1" applyProtection="1">
      <alignment wrapText="1"/>
      <protection locked="0"/>
    </xf>
    <xf numFmtId="0" fontId="91" fillId="19" borderId="2" xfId="0" applyFont="1" applyFill="1" applyBorder="1" applyAlignment="1" applyProtection="1">
      <protection locked="0"/>
    </xf>
    <xf numFmtId="0" fontId="132" fillId="19" borderId="0" xfId="0" applyFont="1" applyFill="1"/>
    <xf numFmtId="0" fontId="132" fillId="19" borderId="2" xfId="0" applyFont="1" applyFill="1" applyBorder="1"/>
    <xf numFmtId="0" fontId="138" fillId="0" borderId="0" xfId="0" applyFont="1"/>
    <xf numFmtId="0" fontId="140" fillId="0" borderId="0" xfId="0" applyFont="1"/>
    <xf numFmtId="0" fontId="139" fillId="23" borderId="6" xfId="0" applyFont="1" applyFill="1" applyBorder="1" applyAlignment="1">
      <alignment vertical="center" wrapText="1"/>
    </xf>
    <xf numFmtId="0" fontId="87" fillId="0" borderId="2" xfId="0" applyFont="1" applyFill="1" applyBorder="1" applyAlignment="1" applyProtection="1">
      <alignment wrapText="1"/>
      <protection locked="0"/>
    </xf>
    <xf numFmtId="0" fontId="0" fillId="0" borderId="0" xfId="0" applyNumberFormat="1" applyBorder="1"/>
    <xf numFmtId="0" fontId="127" fillId="0" borderId="0" xfId="0" applyFont="1" applyFill="1" applyBorder="1" applyAlignment="1">
      <alignment horizontal="left"/>
    </xf>
    <xf numFmtId="0" fontId="127" fillId="0" borderId="0" xfId="0" applyFont="1"/>
    <xf numFmtId="0" fontId="127" fillId="0" borderId="0" xfId="0" applyFont="1" applyAlignment="1">
      <alignment horizontal="left"/>
    </xf>
    <xf numFmtId="0" fontId="0" fillId="14" borderId="0" xfId="0" applyNumberFormat="1" applyFill="1" applyAlignment="1">
      <alignment horizontal="center"/>
    </xf>
    <xf numFmtId="0" fontId="0" fillId="24" borderId="0" xfId="0" applyNumberFormat="1" applyFill="1" applyAlignment="1">
      <alignment horizontal="center"/>
    </xf>
    <xf numFmtId="49" fontId="110" fillId="17" borderId="3" xfId="0" applyNumberFormat="1" applyFont="1" applyFill="1" applyBorder="1" applyAlignment="1" applyProtection="1">
      <alignment horizontal="left" wrapText="1"/>
      <protection locked="0"/>
    </xf>
    <xf numFmtId="49" fontId="0" fillId="0" borderId="2" xfId="0" applyNumberFormat="1" applyBorder="1" applyAlignment="1" applyProtection="1">
      <alignment horizontal="left" wrapText="1"/>
      <protection locked="0"/>
    </xf>
    <xf numFmtId="49" fontId="0" fillId="0" borderId="0" xfId="0" applyNumberFormat="1" applyAlignment="1" applyProtection="1">
      <alignment horizontal="left" wrapText="1"/>
      <protection locked="0"/>
    </xf>
    <xf numFmtId="0" fontId="141" fillId="19" borderId="2" xfId="0" applyFont="1" applyFill="1" applyBorder="1" applyAlignment="1" applyProtection="1">
      <alignment horizontal="left" vertical="center"/>
      <protection locked="0"/>
    </xf>
    <xf numFmtId="0" fontId="141" fillId="19" borderId="2" xfId="0" applyFont="1" applyFill="1" applyBorder="1" applyAlignment="1" applyProtection="1">
      <alignment horizontal="left" vertical="center" wrapText="1"/>
      <protection locked="0"/>
    </xf>
    <xf numFmtId="0" fontId="141" fillId="0" borderId="2" xfId="0" applyFont="1" applyFill="1" applyBorder="1" applyAlignment="1" applyProtection="1">
      <alignment horizontal="left" vertical="center" wrapText="1"/>
      <protection locked="0"/>
    </xf>
    <xf numFmtId="49" fontId="141" fillId="19" borderId="2" xfId="0" quotePrefix="1" applyNumberFormat="1" applyFont="1" applyFill="1" applyBorder="1" applyAlignment="1" applyProtection="1">
      <alignment horizontal="left" vertical="center"/>
      <protection locked="0"/>
    </xf>
    <xf numFmtId="49" fontId="141" fillId="19" borderId="2" xfId="0" applyNumberFormat="1" applyFont="1" applyFill="1" applyBorder="1" applyAlignment="1" applyProtection="1">
      <alignment horizontal="left" vertical="center"/>
      <protection locked="0"/>
    </xf>
    <xf numFmtId="164" fontId="141" fillId="19" borderId="2" xfId="0" applyNumberFormat="1" applyFont="1" applyFill="1" applyBorder="1" applyAlignment="1" applyProtection="1">
      <alignment horizontal="left" vertical="center" wrapText="1"/>
      <protection locked="0"/>
    </xf>
    <xf numFmtId="49" fontId="141" fillId="0" borderId="2" xfId="0" applyNumberFormat="1" applyFont="1" applyFill="1" applyBorder="1" applyAlignment="1" applyProtection="1">
      <alignment horizontal="left" vertical="center" wrapText="1"/>
      <protection locked="0"/>
    </xf>
    <xf numFmtId="49" fontId="141" fillId="0" borderId="2" xfId="0" applyNumberFormat="1" applyFont="1" applyFill="1" applyBorder="1" applyAlignment="1" applyProtection="1">
      <alignment horizontal="left" vertical="center" wrapText="1"/>
    </xf>
    <xf numFmtId="0" fontId="141" fillId="0" borderId="2" xfId="0" applyFont="1" applyBorder="1" applyAlignment="1" applyProtection="1">
      <alignment horizontal="left" vertical="center" wrapText="1"/>
      <protection locked="0"/>
    </xf>
    <xf numFmtId="49" fontId="141" fillId="0" borderId="2" xfId="0" applyNumberFormat="1" applyFont="1" applyBorder="1" applyAlignment="1" applyProtection="1">
      <alignment horizontal="left" vertical="center" wrapText="1"/>
      <protection locked="0"/>
    </xf>
    <xf numFmtId="1" fontId="141" fillId="0" borderId="2" xfId="0" applyNumberFormat="1" applyFont="1" applyBorder="1" applyAlignment="1" applyProtection="1">
      <alignment horizontal="left" vertical="center" wrapText="1"/>
      <protection locked="0"/>
    </xf>
    <xf numFmtId="164" fontId="141" fillId="0" borderId="2" xfId="0" applyNumberFormat="1" applyFont="1" applyBorder="1" applyAlignment="1" applyProtection="1">
      <alignment horizontal="left" vertical="center" wrapText="1"/>
      <protection locked="0"/>
    </xf>
    <xf numFmtId="0" fontId="0" fillId="0" borderId="2" xfId="0" applyBorder="1" applyAlignment="1" applyProtection="1">
      <alignment horizontal="left" vertical="center" wrapText="1"/>
      <protection locked="0"/>
    </xf>
    <xf numFmtId="0" fontId="141" fillId="0" borderId="2" xfId="0" applyFont="1" applyFill="1" applyBorder="1" applyAlignment="1" applyProtection="1">
      <alignment horizontal="left" vertical="center"/>
      <protection locked="0"/>
    </xf>
    <xf numFmtId="0" fontId="110" fillId="16" borderId="3" xfId="0" applyFont="1" applyFill="1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horizontal="left" vertical="center" wrapText="1"/>
      <protection locked="0"/>
    </xf>
    <xf numFmtId="0" fontId="86" fillId="14" borderId="0" xfId="0" applyFont="1" applyFill="1" applyProtection="1">
      <protection locked="0"/>
    </xf>
    <xf numFmtId="0" fontId="0" fillId="0" borderId="0" xfId="0" applyAlignment="1">
      <alignment horizontal="left" indent="1"/>
    </xf>
    <xf numFmtId="0" fontId="116" fillId="14" borderId="2" xfId="0" applyFont="1" applyFill="1" applyBorder="1" applyAlignment="1" applyProtection="1">
      <alignment wrapText="1"/>
      <protection locked="0"/>
    </xf>
    <xf numFmtId="0" fontId="117" fillId="14" borderId="2" xfId="0" applyFont="1" applyFill="1" applyBorder="1" applyAlignment="1" applyProtection="1">
      <alignment horizontal="left" vertical="center"/>
      <protection locked="0"/>
    </xf>
    <xf numFmtId="0" fontId="0" fillId="14" borderId="2" xfId="0" applyFill="1" applyBorder="1" applyAlignment="1" applyProtection="1">
      <alignment wrapText="1"/>
    </xf>
    <xf numFmtId="0" fontId="118" fillId="0" borderId="7" xfId="0" applyFont="1" applyBorder="1" applyAlignment="1">
      <alignment horizontal="right" vertical="center"/>
    </xf>
    <xf numFmtId="0" fontId="142" fillId="23" borderId="2" xfId="0" applyFont="1" applyFill="1" applyBorder="1" applyAlignment="1">
      <alignment horizontal="center" vertical="center"/>
    </xf>
    <xf numFmtId="0" fontId="143" fillId="23" borderId="2" xfId="0" applyFont="1" applyFill="1" applyBorder="1" applyAlignment="1">
      <alignment horizontal="center" vertical="center"/>
    </xf>
    <xf numFmtId="0" fontId="112" fillId="0" borderId="0" xfId="0" applyFont="1"/>
    <xf numFmtId="0" fontId="120" fillId="0" borderId="0" xfId="40"/>
    <xf numFmtId="0" fontId="85" fillId="0" borderId="2" xfId="0" applyFont="1" applyBorder="1" applyAlignment="1" applyProtection="1">
      <alignment wrapText="1"/>
      <protection locked="0"/>
    </xf>
    <xf numFmtId="0" fontId="85" fillId="0" borderId="2" xfId="0" applyFont="1" applyBorder="1" applyAlignment="1" applyProtection="1">
      <alignment horizontal="left" wrapText="1"/>
      <protection locked="0"/>
    </xf>
    <xf numFmtId="0" fontId="84" fillId="0" borderId="0" xfId="0" applyFont="1" applyProtection="1">
      <protection locked="0"/>
    </xf>
    <xf numFmtId="0" fontId="83" fillId="0" borderId="2" xfId="0" applyFont="1" applyBorder="1" applyAlignment="1" applyProtection="1">
      <alignment wrapText="1"/>
      <protection locked="0"/>
    </xf>
    <xf numFmtId="0" fontId="0" fillId="0" borderId="0" xfId="0" applyAlignment="1" applyProtection="1">
      <alignment horizontal="left"/>
      <protection locked="0"/>
    </xf>
    <xf numFmtId="0" fontId="110" fillId="13" borderId="0" xfId="0" applyFont="1" applyFill="1" applyAlignment="1" applyProtection="1">
      <alignment horizontal="left"/>
    </xf>
    <xf numFmtId="0" fontId="0" fillId="9" borderId="0" xfId="0" applyFill="1" applyAlignment="1" applyProtection="1">
      <alignment horizontal="left"/>
    </xf>
    <xf numFmtId="0" fontId="0" fillId="9" borderId="0" xfId="0" applyFill="1" applyBorder="1" applyAlignment="1" applyProtection="1">
      <alignment horizontal="left"/>
    </xf>
    <xf numFmtId="0" fontId="0" fillId="9" borderId="0" xfId="0" applyFill="1" applyAlignment="1" applyProtection="1">
      <alignment horizontal="left"/>
      <protection locked="0"/>
    </xf>
    <xf numFmtId="0" fontId="0" fillId="18" borderId="0" xfId="0" applyFill="1" applyAlignment="1" applyProtection="1">
      <alignment horizontal="left"/>
    </xf>
    <xf numFmtId="14" fontId="0" fillId="9" borderId="0" xfId="0" applyNumberFormat="1" applyFill="1" applyAlignment="1" applyProtection="1">
      <alignment horizontal="left"/>
    </xf>
    <xf numFmtId="14" fontId="0" fillId="9" borderId="0" xfId="0" applyNumberFormat="1" applyFill="1" applyAlignment="1" applyProtection="1">
      <alignment horizontal="left"/>
      <protection locked="0"/>
    </xf>
    <xf numFmtId="0" fontId="112" fillId="9" borderId="0" xfId="0" applyFont="1" applyFill="1" applyAlignment="1" applyProtection="1">
      <alignment horizontal="left" vertical="center"/>
    </xf>
    <xf numFmtId="0" fontId="0" fillId="18" borderId="0" xfId="0" applyFill="1" applyAlignment="1" applyProtection="1">
      <alignment horizontal="left"/>
      <protection locked="0"/>
    </xf>
    <xf numFmtId="0" fontId="0" fillId="14" borderId="0" xfId="0" applyFill="1" applyAlignment="1" applyProtection="1">
      <alignment horizontal="left"/>
      <protection locked="0"/>
    </xf>
    <xf numFmtId="0" fontId="126" fillId="14" borderId="0" xfId="0" applyFont="1" applyFill="1" applyAlignment="1" applyProtection="1">
      <alignment horizontal="left"/>
      <protection locked="0"/>
    </xf>
    <xf numFmtId="0" fontId="126" fillId="18" borderId="0" xfId="0" applyFont="1" applyFill="1" applyAlignment="1" applyProtection="1">
      <alignment horizontal="left"/>
      <protection locked="0"/>
    </xf>
    <xf numFmtId="0" fontId="0" fillId="9" borderId="0" xfId="0" applyFill="1" applyAlignment="1" applyProtection="1">
      <alignment horizontal="left" wrapText="1"/>
      <protection locked="0"/>
    </xf>
    <xf numFmtId="0" fontId="114" fillId="9" borderId="0" xfId="3" applyFont="1" applyFill="1" applyAlignment="1" applyProtection="1">
      <alignment horizontal="left" wrapText="1"/>
      <protection locked="0"/>
    </xf>
    <xf numFmtId="0" fontId="115" fillId="15" borderId="0" xfId="3" applyFont="1" applyAlignment="1" applyProtection="1">
      <alignment horizontal="left" wrapText="1"/>
      <protection locked="0"/>
    </xf>
    <xf numFmtId="0" fontId="107" fillId="0" borderId="0" xfId="0" applyFont="1" applyAlignment="1" applyProtection="1">
      <alignment horizontal="left"/>
      <protection locked="0"/>
    </xf>
    <xf numFmtId="0" fontId="0" fillId="18" borderId="0" xfId="0" applyFill="1" applyAlignment="1" applyProtection="1">
      <alignment horizontal="left" wrapText="1"/>
      <protection locked="0"/>
    </xf>
    <xf numFmtId="0" fontId="0" fillId="3" borderId="0" xfId="0" applyFill="1" applyAlignment="1" applyProtection="1">
      <alignment horizontal="left"/>
      <protection locked="0"/>
    </xf>
    <xf numFmtId="0" fontId="99" fillId="0" borderId="0" xfId="0" applyFont="1" applyAlignment="1" applyProtection="1">
      <alignment horizontal="left"/>
      <protection locked="0"/>
    </xf>
    <xf numFmtId="0" fontId="0" fillId="19" borderId="0" xfId="0" applyFill="1" applyAlignment="1" applyProtection="1">
      <alignment horizontal="left"/>
      <protection locked="0"/>
    </xf>
    <xf numFmtId="0" fontId="86" fillId="14" borderId="0" xfId="0" applyFont="1" applyFill="1" applyAlignment="1" applyProtection="1">
      <alignment horizontal="left"/>
      <protection locked="0"/>
    </xf>
    <xf numFmtId="0" fontId="0" fillId="0" borderId="0" xfId="0" applyAlignment="1" applyProtection="1">
      <alignment horizontal="left"/>
    </xf>
    <xf numFmtId="0" fontId="132" fillId="0" borderId="8" xfId="0" applyFont="1" applyBorder="1" applyAlignment="1">
      <alignment vertical="center" wrapText="1"/>
    </xf>
    <xf numFmtId="0" fontId="132" fillId="0" borderId="9" xfId="0" applyFont="1" applyBorder="1" applyAlignment="1">
      <alignment vertical="center" wrapText="1"/>
    </xf>
    <xf numFmtId="0" fontId="145" fillId="0" borderId="0" xfId="0" applyFont="1" applyAlignment="1">
      <alignment vertical="center"/>
    </xf>
    <xf numFmtId="0" fontId="132" fillId="0" borderId="5" xfId="0" applyFont="1" applyBorder="1" applyAlignment="1">
      <alignment vertical="center" wrapText="1"/>
    </xf>
    <xf numFmtId="0" fontId="132" fillId="0" borderId="7" xfId="0" applyFont="1" applyBorder="1" applyAlignment="1">
      <alignment vertical="center" wrapText="1"/>
    </xf>
    <xf numFmtId="0" fontId="132" fillId="0" borderId="7" xfId="0" applyFont="1" applyBorder="1" applyAlignment="1">
      <alignment vertical="center"/>
    </xf>
    <xf numFmtId="0" fontId="82" fillId="0" borderId="0" xfId="0" applyFont="1" applyProtection="1">
      <protection locked="0"/>
    </xf>
    <xf numFmtId="0" fontId="81" fillId="0" borderId="0" xfId="0" applyFont="1" applyAlignment="1" applyProtection="1">
      <alignment horizontal="left"/>
      <protection locked="0"/>
    </xf>
    <xf numFmtId="0" fontId="118" fillId="14" borderId="7" xfId="0" applyFont="1" applyFill="1" applyBorder="1" applyAlignment="1">
      <alignment horizontal="right" vertical="center"/>
    </xf>
    <xf numFmtId="14" fontId="0" fillId="14" borderId="0" xfId="0" applyNumberFormat="1" applyFill="1" applyAlignment="1" applyProtection="1">
      <alignment horizontal="right"/>
      <protection locked="0"/>
    </xf>
    <xf numFmtId="0" fontId="0" fillId="14" borderId="0" xfId="0" applyFill="1" applyAlignment="1" applyProtection="1">
      <alignment horizontal="right"/>
      <protection locked="0"/>
    </xf>
    <xf numFmtId="0" fontId="117" fillId="0" borderId="2" xfId="0" applyFont="1" applyBorder="1" applyAlignment="1" applyProtection="1">
      <alignment horizontal="left" vertical="center" wrapText="1"/>
      <protection locked="0"/>
    </xf>
    <xf numFmtId="0" fontId="117" fillId="19" borderId="2" xfId="0" applyFont="1" applyFill="1" applyBorder="1" applyAlignment="1" applyProtection="1">
      <alignment horizontal="left" vertical="center" wrapText="1"/>
      <protection locked="0"/>
    </xf>
    <xf numFmtId="0" fontId="117" fillId="0" borderId="2" xfId="0" applyFont="1" applyBorder="1" applyAlignment="1" applyProtection="1">
      <alignment horizontal="left" vertical="center"/>
      <protection locked="0"/>
    </xf>
    <xf numFmtId="0" fontId="117" fillId="0" borderId="2" xfId="0" applyNumberFormat="1" applyFont="1" applyBorder="1" applyAlignment="1" applyProtection="1">
      <alignment horizontal="left" vertical="center" wrapText="1"/>
      <protection locked="0"/>
    </xf>
    <xf numFmtId="49" fontId="117" fillId="0" borderId="2" xfId="0" applyNumberFormat="1" applyFont="1" applyBorder="1" applyAlignment="1" applyProtection="1">
      <alignment horizontal="left" vertical="center" wrapText="1"/>
      <protection locked="0"/>
    </xf>
    <xf numFmtId="1" fontId="117" fillId="0" borderId="3" xfId="0" applyNumberFormat="1" applyFont="1" applyBorder="1" applyAlignment="1">
      <alignment horizontal="left" vertical="center"/>
    </xf>
    <xf numFmtId="1" fontId="117" fillId="0" borderId="2" xfId="0" applyNumberFormat="1" applyFont="1" applyBorder="1" applyAlignment="1" applyProtection="1">
      <alignment horizontal="left" vertical="center" wrapText="1"/>
      <protection locked="0"/>
    </xf>
    <xf numFmtId="164" fontId="117" fillId="0" borderId="2" xfId="0" applyNumberFormat="1" applyFont="1" applyBorder="1" applyAlignment="1" applyProtection="1">
      <alignment horizontal="left" vertical="center" wrapText="1"/>
      <protection locked="0"/>
    </xf>
    <xf numFmtId="49" fontId="0" fillId="0" borderId="2" xfId="0" quotePrefix="1" applyNumberFormat="1" applyBorder="1" applyAlignment="1" applyProtection="1">
      <alignment horizontal="left" wrapText="1"/>
      <protection locked="0"/>
    </xf>
    <xf numFmtId="0" fontId="146" fillId="0" borderId="0" xfId="0" applyFont="1"/>
    <xf numFmtId="0" fontId="80" fillId="0" borderId="2" xfId="0" applyFont="1" applyBorder="1" applyAlignment="1" applyProtection="1">
      <alignment horizontal="left" wrapText="1"/>
      <protection locked="0"/>
    </xf>
    <xf numFmtId="0" fontId="80" fillId="0" borderId="2" xfId="0" applyFont="1" applyBorder="1" applyAlignment="1" applyProtection="1">
      <alignment wrapText="1"/>
      <protection locked="0"/>
    </xf>
    <xf numFmtId="0" fontId="147" fillId="0" borderId="0" xfId="0" applyFont="1" applyAlignment="1">
      <alignment vertical="center"/>
    </xf>
    <xf numFmtId="49" fontId="80" fillId="0" borderId="2" xfId="0" applyNumberFormat="1" applyFont="1" applyBorder="1" applyAlignment="1" applyProtection="1">
      <alignment horizontal="left" wrapText="1"/>
      <protection locked="0"/>
    </xf>
    <xf numFmtId="0" fontId="80" fillId="0" borderId="2" xfId="0" applyFont="1" applyBorder="1" applyAlignment="1" applyProtection="1">
      <alignment horizontal="left" vertical="center" wrapText="1"/>
      <protection locked="0"/>
    </xf>
    <xf numFmtId="0" fontId="80" fillId="0" borderId="2" xfId="0" applyFont="1" applyBorder="1" applyAlignment="1" applyProtection="1">
      <protection locked="0"/>
    </xf>
    <xf numFmtId="0" fontId="79" fillId="0" borderId="2" xfId="0" applyFont="1" applyBorder="1" applyAlignment="1" applyProtection="1">
      <protection locked="0"/>
    </xf>
    <xf numFmtId="0" fontId="78" fillId="0" borderId="2" xfId="0" applyFont="1" applyBorder="1" applyAlignment="1" applyProtection="1">
      <alignment horizontal="left" wrapText="1"/>
      <protection locked="0"/>
    </xf>
    <xf numFmtId="14" fontId="0" fillId="0" borderId="1" xfId="0" applyNumberFormat="1" applyFill="1" applyBorder="1" applyProtection="1">
      <protection locked="0"/>
    </xf>
    <xf numFmtId="0" fontId="118" fillId="26" borderId="8" xfId="0" applyFont="1" applyFill="1" applyBorder="1" applyAlignment="1">
      <alignment horizontal="center" vertical="center"/>
    </xf>
    <xf numFmtId="0" fontId="148" fillId="26" borderId="9" xfId="0" applyFont="1" applyFill="1" applyBorder="1" applyAlignment="1">
      <alignment horizontal="center" vertical="center" wrapText="1"/>
    </xf>
    <xf numFmtId="0" fontId="148" fillId="26" borderId="9" xfId="0" applyFont="1" applyFill="1" applyBorder="1" applyAlignment="1">
      <alignment horizontal="center" vertical="center"/>
    </xf>
    <xf numFmtId="0" fontId="149" fillId="0" borderId="5" xfId="0" applyFont="1" applyBorder="1" applyAlignment="1">
      <alignment horizontal="center" vertical="center"/>
    </xf>
    <xf numFmtId="0" fontId="118" fillId="0" borderId="7" xfId="0" applyFont="1" applyBorder="1" applyAlignment="1">
      <alignment horizontal="center" vertical="center" wrapText="1"/>
    </xf>
    <xf numFmtId="0" fontId="150" fillId="0" borderId="7" xfId="0" applyFont="1" applyBorder="1" applyAlignment="1">
      <alignment horizontal="center" vertical="center"/>
    </xf>
    <xf numFmtId="0" fontId="150" fillId="0" borderId="7" xfId="0" applyFont="1" applyBorder="1" applyAlignment="1">
      <alignment horizontal="center" vertical="center" wrapText="1"/>
    </xf>
    <xf numFmtId="0" fontId="118" fillId="0" borderId="7" xfId="0" applyFont="1" applyBorder="1" applyAlignment="1">
      <alignment horizontal="center" vertical="center"/>
    </xf>
    <xf numFmtId="0" fontId="149" fillId="0" borderId="7" xfId="0" applyFont="1" applyBorder="1" applyAlignment="1">
      <alignment horizontal="center" vertical="center" wrapText="1"/>
    </xf>
    <xf numFmtId="0" fontId="149" fillId="0" borderId="7" xfId="0" applyFont="1" applyBorder="1" applyAlignment="1">
      <alignment horizontal="center" vertical="center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horizontal="left"/>
      <protection locked="0"/>
    </xf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117" fillId="0" borderId="0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wrapText="1"/>
    </xf>
    <xf numFmtId="0" fontId="76" fillId="0" borderId="0" xfId="0" applyFont="1" applyProtection="1">
      <protection locked="0"/>
    </xf>
    <xf numFmtId="0" fontId="76" fillId="0" borderId="0" xfId="0" applyFont="1" applyAlignment="1" applyProtection="1">
      <alignment horizontal="left"/>
      <protection locked="0"/>
    </xf>
    <xf numFmtId="14" fontId="0" fillId="0" borderId="0" xfId="0" applyNumberFormat="1" applyProtection="1">
      <protection locked="0"/>
    </xf>
    <xf numFmtId="0" fontId="75" fillId="14" borderId="0" xfId="0" applyFont="1" applyFill="1" applyProtection="1">
      <protection locked="0"/>
    </xf>
    <xf numFmtId="0" fontId="126" fillId="3" borderId="0" xfId="0" applyFont="1" applyFill="1"/>
    <xf numFmtId="0" fontId="126" fillId="0" borderId="0" xfId="0" applyFont="1" applyProtection="1">
      <protection locked="0"/>
    </xf>
    <xf numFmtId="0" fontId="0" fillId="0" borderId="2" xfId="0" applyBorder="1"/>
    <xf numFmtId="14" fontId="0" fillId="0" borderId="0" xfId="0" applyNumberFormat="1"/>
    <xf numFmtId="0" fontId="74" fillId="19" borderId="2" xfId="55" applyFill="1" applyBorder="1" applyAlignment="1">
      <alignment horizontal="left"/>
    </xf>
    <xf numFmtId="0" fontId="74" fillId="19" borderId="2" xfId="55" applyFill="1" applyBorder="1" applyAlignment="1">
      <alignment horizontal="left"/>
    </xf>
    <xf numFmtId="0" fontId="74" fillId="19" borderId="2" xfId="55" applyFill="1" applyBorder="1" applyAlignment="1">
      <alignment horizontal="left"/>
    </xf>
    <xf numFmtId="0" fontId="116" fillId="19" borderId="2" xfId="55" applyFont="1" applyFill="1" applyBorder="1" applyAlignment="1">
      <alignment horizontal="left"/>
    </xf>
    <xf numFmtId="0" fontId="116" fillId="19" borderId="2" xfId="55" applyFont="1" applyFill="1" applyBorder="1" applyAlignment="1">
      <alignment horizontal="left"/>
    </xf>
    <xf numFmtId="0" fontId="74" fillId="19" borderId="2" xfId="55" applyFill="1" applyBorder="1" applyAlignment="1">
      <alignment horizontal="left"/>
    </xf>
    <xf numFmtId="0" fontId="74" fillId="19" borderId="0" xfId="59" applyFill="1" applyBorder="1" applyAlignment="1">
      <alignment horizontal="left"/>
    </xf>
    <xf numFmtId="0" fontId="74" fillId="19" borderId="2" xfId="59" applyFill="1" applyBorder="1" applyAlignment="1">
      <alignment horizontal="left"/>
    </xf>
    <xf numFmtId="0" fontId="74" fillId="19" borderId="2" xfId="59" applyFill="1" applyBorder="1" applyAlignment="1">
      <alignment horizontal="left"/>
    </xf>
    <xf numFmtId="0" fontId="74" fillId="19" borderId="2" xfId="59" applyFill="1" applyBorder="1" applyAlignment="1">
      <alignment horizontal="left"/>
    </xf>
    <xf numFmtId="0" fontId="74" fillId="19" borderId="2" xfId="59" applyFill="1" applyBorder="1" applyAlignment="1">
      <alignment horizontal="left"/>
    </xf>
    <xf numFmtId="0" fontId="74" fillId="19" borderId="2" xfId="59" applyFill="1" applyBorder="1" applyAlignment="1">
      <alignment horizontal="left"/>
    </xf>
    <xf numFmtId="0" fontId="74" fillId="19" borderId="2" xfId="59" applyFill="1" applyBorder="1" applyAlignment="1">
      <alignment horizontal="left"/>
    </xf>
    <xf numFmtId="0" fontId="73" fillId="0" borderId="0" xfId="0" applyFont="1" applyProtection="1">
      <protection locked="0"/>
    </xf>
    <xf numFmtId="0" fontId="73" fillId="0" borderId="0" xfId="0" applyFont="1" applyAlignment="1" applyProtection="1">
      <alignment horizontal="left"/>
      <protection locked="0"/>
    </xf>
    <xf numFmtId="0" fontId="72" fillId="0" borderId="2" xfId="0" applyFont="1" applyBorder="1" applyAlignment="1" applyProtection="1">
      <alignment wrapText="1"/>
      <protection locked="0"/>
    </xf>
    <xf numFmtId="49" fontId="72" fillId="0" borderId="2" xfId="0" applyNumberFormat="1" applyFont="1" applyBorder="1" applyAlignment="1" applyProtection="1">
      <alignment horizontal="left" wrapText="1"/>
      <protection locked="0"/>
    </xf>
    <xf numFmtId="0" fontId="80" fillId="0" borderId="3" xfId="0" applyFont="1" applyBorder="1" applyAlignment="1" applyProtection="1">
      <alignment wrapText="1"/>
      <protection locked="0"/>
    </xf>
    <xf numFmtId="0" fontId="0" fillId="0" borderId="3" xfId="0" applyBorder="1" applyAlignment="1" applyProtection="1">
      <alignment horizontal="left" wrapText="1"/>
      <protection locked="0"/>
    </xf>
    <xf numFmtId="0" fontId="80" fillId="0" borderId="3" xfId="0" applyFont="1" applyBorder="1" applyAlignment="1" applyProtection="1">
      <alignment horizontal="left" wrapText="1"/>
      <protection locked="0"/>
    </xf>
    <xf numFmtId="0" fontId="74" fillId="19" borderId="3" xfId="59" applyFill="1" applyBorder="1" applyAlignment="1">
      <alignment horizontal="left"/>
    </xf>
    <xf numFmtId="0" fontId="72" fillId="0" borderId="3" xfId="0" applyFont="1" applyBorder="1" applyAlignment="1" applyProtection="1">
      <alignment wrapText="1"/>
      <protection locked="0"/>
    </xf>
    <xf numFmtId="49" fontId="0" fillId="0" borderId="3" xfId="0" applyNumberFormat="1" applyBorder="1" applyAlignment="1" applyProtection="1">
      <alignment horizontal="left" wrapText="1"/>
      <protection locked="0"/>
    </xf>
    <xf numFmtId="1" fontId="117" fillId="19" borderId="3" xfId="0" applyNumberFormat="1" applyFont="1" applyFill="1" applyBorder="1" applyProtection="1">
      <protection locked="0"/>
    </xf>
    <xf numFmtId="1" fontId="0" fillId="0" borderId="3" xfId="0" applyNumberFormat="1" applyBorder="1" applyAlignment="1" applyProtection="1">
      <alignment horizontal="left" wrapText="1"/>
      <protection locked="0"/>
    </xf>
    <xf numFmtId="164" fontId="0" fillId="0" borderId="3" xfId="0" applyNumberFormat="1" applyBorder="1" applyAlignment="1" applyProtection="1">
      <alignment horizontal="left" wrapText="1"/>
      <protection locked="0"/>
    </xf>
    <xf numFmtId="0" fontId="0" fillId="0" borderId="3" xfId="0" applyFill="1" applyBorder="1" applyProtection="1">
      <protection locked="0"/>
    </xf>
    <xf numFmtId="0" fontId="0" fillId="0" borderId="4" xfId="0" applyBorder="1" applyAlignment="1" applyProtection="1">
      <alignment wrapText="1"/>
      <protection locked="0"/>
    </xf>
    <xf numFmtId="0" fontId="132" fillId="0" borderId="2" xfId="0" applyFont="1" applyBorder="1" applyAlignment="1">
      <alignment vertical="center" wrapText="1"/>
    </xf>
    <xf numFmtId="0" fontId="145" fillId="0" borderId="2" xfId="0" applyFont="1" applyBorder="1" applyAlignment="1">
      <alignment vertical="center"/>
    </xf>
    <xf numFmtId="0" fontId="132" fillId="0" borderId="2" xfId="0" applyFont="1" applyBorder="1" applyAlignment="1">
      <alignment vertical="center"/>
    </xf>
    <xf numFmtId="11" fontId="132" fillId="0" borderId="2" xfId="0" applyNumberFormat="1" applyFont="1" applyBorder="1" applyAlignment="1">
      <alignment horizontal="right" vertical="center"/>
    </xf>
    <xf numFmtId="14" fontId="132" fillId="0" borderId="2" xfId="0" applyNumberFormat="1" applyFont="1" applyBorder="1" applyAlignment="1">
      <alignment vertical="center" wrapText="1"/>
    </xf>
    <xf numFmtId="0" fontId="144" fillId="25" borderId="2" xfId="0" applyFont="1" applyFill="1" applyBorder="1" applyAlignment="1">
      <alignment vertical="center"/>
    </xf>
    <xf numFmtId="0" fontId="144" fillId="25" borderId="2" xfId="0" applyFont="1" applyFill="1" applyBorder="1" applyAlignment="1">
      <alignment vertical="center" wrapText="1"/>
    </xf>
    <xf numFmtId="0" fontId="132" fillId="19" borderId="2" xfId="0" applyFont="1" applyFill="1" applyBorder="1" applyAlignment="1">
      <alignment vertical="center" wrapText="1"/>
    </xf>
    <xf numFmtId="49" fontId="152" fillId="27" borderId="2" xfId="0" applyNumberFormat="1" applyFont="1" applyFill="1" applyBorder="1" applyAlignment="1" applyProtection="1">
      <alignment horizontal="left" vertical="center"/>
      <protection locked="0"/>
    </xf>
    <xf numFmtId="0" fontId="117" fillId="0" borderId="2" xfId="0" applyFont="1" applyBorder="1" applyAlignment="1" applyProtection="1">
      <alignment wrapText="1"/>
      <protection locked="0"/>
    </xf>
    <xf numFmtId="0" fontId="71" fillId="0" borderId="2" xfId="0" applyFont="1" applyBorder="1" applyAlignment="1" applyProtection="1">
      <alignment horizontal="left" wrapText="1"/>
      <protection locked="0"/>
    </xf>
    <xf numFmtId="0" fontId="132" fillId="0" borderId="2" xfId="0" quotePrefix="1" applyFont="1" applyBorder="1"/>
    <xf numFmtId="0" fontId="70" fillId="0" borderId="2" xfId="0" applyFont="1" applyBorder="1" applyAlignment="1" applyProtection="1">
      <protection locked="0"/>
    </xf>
    <xf numFmtId="0" fontId="132" fillId="0" borderId="2" xfId="0" applyFont="1" applyFill="1" applyBorder="1" applyAlignment="1">
      <alignment vertical="center" wrapText="1"/>
    </xf>
    <xf numFmtId="0" fontId="132" fillId="0" borderId="0" xfId="0" applyFont="1" applyAlignment="1">
      <alignment vertical="center"/>
    </xf>
    <xf numFmtId="0" fontId="69" fillId="0" borderId="2" xfId="76" applyBorder="1" applyAlignment="1">
      <alignment horizontal="left"/>
    </xf>
    <xf numFmtId="0" fontId="69" fillId="0" borderId="2" xfId="78" applyBorder="1" applyAlignment="1">
      <alignment horizontal="left"/>
    </xf>
    <xf numFmtId="0" fontId="68" fillId="0" borderId="2" xfId="0" applyFont="1" applyBorder="1" applyAlignment="1" applyProtection="1">
      <alignment wrapText="1"/>
      <protection locked="0"/>
    </xf>
    <xf numFmtId="0" fontId="68" fillId="0" borderId="2" xfId="0" applyFont="1" applyBorder="1" applyAlignment="1" applyProtection="1">
      <alignment horizontal="left" wrapText="1"/>
      <protection locked="0"/>
    </xf>
    <xf numFmtId="0" fontId="67" fillId="0" borderId="2" xfId="0" applyFont="1" applyBorder="1" applyAlignment="1" applyProtection="1">
      <alignment wrapText="1"/>
      <protection locked="0"/>
    </xf>
    <xf numFmtId="0" fontId="67" fillId="0" borderId="2" xfId="0" applyFont="1" applyBorder="1" applyAlignment="1" applyProtection="1">
      <protection locked="0"/>
    </xf>
    <xf numFmtId="0" fontId="66" fillId="0" borderId="2" xfId="0" applyFont="1" applyBorder="1" applyAlignment="1" applyProtection="1">
      <alignment wrapText="1"/>
      <protection locked="0"/>
    </xf>
    <xf numFmtId="0" fontId="65" fillId="0" borderId="2" xfId="0" applyFont="1" applyBorder="1" applyAlignment="1" applyProtection="1">
      <alignment wrapText="1"/>
      <protection locked="0"/>
    </xf>
    <xf numFmtId="0" fontId="64" fillId="0" borderId="2" xfId="0" applyFont="1" applyBorder="1" applyAlignment="1" applyProtection="1">
      <alignment wrapText="1"/>
      <protection locked="0"/>
    </xf>
    <xf numFmtId="49" fontId="63" fillId="0" borderId="2" xfId="0" applyNumberFormat="1" applyFont="1" applyBorder="1" applyAlignment="1" applyProtection="1">
      <alignment horizontal="left" wrapText="1"/>
      <protection locked="0"/>
    </xf>
    <xf numFmtId="0" fontId="62" fillId="0" borderId="2" xfId="0" applyFont="1" applyBorder="1" applyAlignment="1" applyProtection="1">
      <alignment wrapText="1"/>
      <protection locked="0"/>
    </xf>
    <xf numFmtId="0" fontId="61" fillId="0" borderId="2" xfId="0" applyFont="1" applyBorder="1" applyAlignment="1" applyProtection="1">
      <alignment wrapText="1"/>
      <protection locked="0"/>
    </xf>
    <xf numFmtId="0" fontId="60" fillId="0" borderId="2" xfId="0" applyFont="1" applyBorder="1" applyAlignment="1" applyProtection="1">
      <alignment wrapText="1"/>
      <protection locked="0"/>
    </xf>
    <xf numFmtId="0" fontId="59" fillId="0" borderId="2" xfId="0" applyFont="1" applyBorder="1" applyAlignment="1" applyProtection="1">
      <alignment horizontal="left" wrapText="1"/>
      <protection locked="0"/>
    </xf>
    <xf numFmtId="0" fontId="59" fillId="0" borderId="2" xfId="0" applyFont="1" applyBorder="1" applyAlignment="1" applyProtection="1">
      <alignment wrapText="1"/>
      <protection locked="0"/>
    </xf>
    <xf numFmtId="0" fontId="57" fillId="0" borderId="2" xfId="0" applyFont="1" applyBorder="1" applyAlignment="1" applyProtection="1">
      <protection locked="0"/>
    </xf>
    <xf numFmtId="0" fontId="0" fillId="0" borderId="2" xfId="0" applyFill="1" applyBorder="1" applyAlignment="1" applyProtection="1">
      <alignment horizontal="left" wrapText="1"/>
      <protection locked="0"/>
    </xf>
    <xf numFmtId="0" fontId="70" fillId="0" borderId="2" xfId="0" applyFont="1" applyFill="1" applyBorder="1" applyAlignment="1" applyProtection="1">
      <alignment wrapText="1"/>
      <protection locked="0"/>
    </xf>
    <xf numFmtId="0" fontId="64" fillId="0" borderId="2" xfId="0" applyFont="1" applyFill="1" applyBorder="1" applyAlignment="1" applyProtection="1">
      <alignment horizontal="left" wrapText="1"/>
      <protection locked="0"/>
    </xf>
    <xf numFmtId="0" fontId="0" fillId="0" borderId="2" xfId="0" applyFill="1" applyBorder="1" applyAlignment="1" applyProtection="1">
      <alignment horizontal="left" vertical="center" wrapText="1"/>
      <protection locked="0"/>
    </xf>
    <xf numFmtId="49" fontId="0" fillId="0" borderId="2" xfId="0" applyNumberFormat="1" applyFill="1" applyBorder="1" applyAlignment="1" applyProtection="1">
      <alignment horizontal="left" wrapText="1"/>
      <protection locked="0"/>
    </xf>
    <xf numFmtId="1" fontId="0" fillId="0" borderId="2" xfId="0" applyNumberFormat="1" applyFill="1" applyBorder="1" applyAlignment="1" applyProtection="1">
      <alignment horizontal="left" wrapText="1"/>
      <protection locked="0"/>
    </xf>
    <xf numFmtId="164" fontId="0" fillId="0" borderId="2" xfId="0" applyNumberFormat="1" applyFill="1" applyBorder="1" applyAlignment="1" applyProtection="1">
      <alignment horizontal="left" wrapText="1"/>
      <protection locked="0"/>
    </xf>
    <xf numFmtId="0" fontId="58" fillId="0" borderId="2" xfId="0" applyFont="1" applyFill="1" applyBorder="1" applyAlignment="1" applyProtection="1">
      <alignment horizontal="left" wrapText="1"/>
      <protection locked="0"/>
    </xf>
    <xf numFmtId="0" fontId="56" fillId="0" borderId="2" xfId="0" applyFont="1" applyBorder="1" applyAlignment="1" applyProtection="1">
      <alignment wrapText="1"/>
      <protection locked="0"/>
    </xf>
    <xf numFmtId="0" fontId="55" fillId="0" borderId="2" xfId="0" applyFont="1" applyBorder="1" applyAlignment="1" applyProtection="1">
      <alignment horizontal="left" wrapText="1"/>
      <protection locked="0"/>
    </xf>
    <xf numFmtId="0" fontId="55" fillId="0" borderId="2" xfId="0" applyFont="1" applyBorder="1" applyAlignment="1" applyProtection="1">
      <alignment wrapText="1"/>
      <protection locked="0"/>
    </xf>
    <xf numFmtId="0" fontId="55" fillId="0" borderId="2" xfId="0" applyFont="1" applyFill="1" applyBorder="1" applyAlignment="1" applyProtection="1">
      <alignment wrapText="1"/>
      <protection locked="0"/>
    </xf>
    <xf numFmtId="0" fontId="55" fillId="0" borderId="2" xfId="0" applyFont="1" applyBorder="1" applyAlignment="1" applyProtection="1">
      <protection locked="0"/>
    </xf>
    <xf numFmtId="0" fontId="0" fillId="0" borderId="0" xfId="0" applyAlignment="1" applyProtection="1">
      <alignment vertical="center" wrapText="1"/>
      <protection locked="0"/>
    </xf>
    <xf numFmtId="0" fontId="64" fillId="0" borderId="2" xfId="0" applyFont="1" applyBorder="1" applyAlignment="1" applyProtection="1">
      <alignment vertical="center" wrapText="1"/>
      <protection locked="0"/>
    </xf>
    <xf numFmtId="0" fontId="55" fillId="0" borderId="2" xfId="0" applyFont="1" applyFill="1" applyBorder="1" applyAlignment="1" applyProtection="1">
      <alignment horizontal="left" wrapText="1"/>
      <protection locked="0"/>
    </xf>
    <xf numFmtId="0" fontId="54" fillId="0" borderId="2" xfId="0" applyFont="1" applyBorder="1" applyAlignment="1" applyProtection="1">
      <alignment wrapText="1"/>
      <protection locked="0"/>
    </xf>
    <xf numFmtId="0" fontId="54" fillId="0" borderId="2" xfId="0" applyFont="1" applyFill="1" applyBorder="1" applyAlignment="1" applyProtection="1">
      <alignment wrapText="1"/>
      <protection locked="0"/>
    </xf>
    <xf numFmtId="0" fontId="53" fillId="0" borderId="2" xfId="0" applyFont="1" applyBorder="1" applyAlignment="1" applyProtection="1">
      <alignment wrapText="1"/>
      <protection locked="0"/>
    </xf>
    <xf numFmtId="0" fontId="53" fillId="0" borderId="2" xfId="0" applyFont="1" applyBorder="1" applyAlignment="1" applyProtection="1">
      <alignment horizontal="left" wrapText="1"/>
      <protection locked="0"/>
    </xf>
    <xf numFmtId="0" fontId="53" fillId="0" borderId="2" xfId="0" applyFont="1" applyFill="1" applyBorder="1" applyAlignment="1" applyProtection="1">
      <alignment wrapText="1"/>
      <protection locked="0"/>
    </xf>
    <xf numFmtId="0" fontId="53" fillId="19" borderId="2" xfId="0" applyFont="1" applyFill="1" applyBorder="1" applyAlignment="1" applyProtection="1">
      <alignment wrapText="1"/>
      <protection locked="0"/>
    </xf>
    <xf numFmtId="0" fontId="53" fillId="0" borderId="2" xfId="0" applyFont="1" applyFill="1" applyBorder="1" applyAlignment="1" applyProtection="1">
      <alignment horizontal="left" wrapText="1"/>
      <protection locked="0"/>
    </xf>
    <xf numFmtId="0" fontId="52" fillId="0" borderId="2" xfId="0" applyFont="1" applyBorder="1" applyAlignment="1" applyProtection="1">
      <alignment wrapText="1"/>
      <protection locked="0"/>
    </xf>
    <xf numFmtId="0" fontId="52" fillId="19" borderId="2" xfId="0" applyFont="1" applyFill="1" applyBorder="1" applyAlignment="1" applyProtection="1">
      <alignment wrapText="1"/>
      <protection locked="0"/>
    </xf>
    <xf numFmtId="0" fontId="51" fillId="0" borderId="2" xfId="0" applyFont="1" applyFill="1" applyBorder="1" applyAlignment="1" applyProtection="1">
      <alignment horizontal="left" wrapText="1"/>
      <protection locked="0"/>
    </xf>
    <xf numFmtId="0" fontId="51" fillId="0" borderId="2" xfId="0" applyFont="1" applyBorder="1" applyAlignment="1" applyProtection="1">
      <alignment horizontal="left" wrapText="1"/>
      <protection locked="0"/>
    </xf>
    <xf numFmtId="0" fontId="50" fillId="0" borderId="2" xfId="0" applyFont="1" applyFill="1" applyBorder="1" applyAlignment="1" applyProtection="1">
      <alignment wrapText="1"/>
      <protection locked="0"/>
    </xf>
    <xf numFmtId="0" fontId="49" fillId="0" borderId="2" xfId="0" applyFont="1" applyBorder="1" applyAlignment="1" applyProtection="1">
      <protection locked="0"/>
    </xf>
    <xf numFmtId="0" fontId="48" fillId="0" borderId="2" xfId="0" applyFont="1" applyBorder="1" applyAlignment="1" applyProtection="1">
      <alignment wrapText="1"/>
      <protection locked="0"/>
    </xf>
    <xf numFmtId="0" fontId="118" fillId="0" borderId="2" xfId="0" applyFont="1" applyBorder="1" applyAlignment="1">
      <alignment horizontal="left" vertical="center"/>
    </xf>
    <xf numFmtId="164" fontId="0" fillId="0" borderId="10" xfId="0" applyNumberFormat="1" applyBorder="1" applyAlignment="1" applyProtection="1">
      <alignment horizontal="left" wrapText="1"/>
      <protection locked="0"/>
    </xf>
    <xf numFmtId="0" fontId="0" fillId="0" borderId="11" xfId="0" applyBorder="1" applyAlignment="1" applyProtection="1">
      <alignment wrapText="1"/>
      <protection locked="0"/>
    </xf>
    <xf numFmtId="0" fontId="53" fillId="0" borderId="4" xfId="0" applyFont="1" applyBorder="1" applyAlignment="1" applyProtection="1">
      <alignment wrapText="1"/>
      <protection locked="0"/>
    </xf>
    <xf numFmtId="0" fontId="0" fillId="0" borderId="4" xfId="0" applyBorder="1" applyAlignment="1" applyProtection="1">
      <alignment horizontal="left" wrapText="1"/>
      <protection locked="0"/>
    </xf>
    <xf numFmtId="0" fontId="47" fillId="0" borderId="2" xfId="0" applyFont="1" applyBorder="1" applyAlignment="1" applyProtection="1">
      <protection locked="0"/>
    </xf>
    <xf numFmtId="0" fontId="47" fillId="0" borderId="2" xfId="0" applyFont="1" applyBorder="1" applyAlignment="1" applyProtection="1">
      <alignment horizontal="left" wrapText="1"/>
      <protection locked="0"/>
    </xf>
    <xf numFmtId="0" fontId="46" fillId="0" borderId="2" xfId="0" applyFont="1" applyBorder="1" applyAlignment="1" applyProtection="1">
      <protection locked="0"/>
    </xf>
    <xf numFmtId="0" fontId="46" fillId="0" borderId="2" xfId="0" applyFont="1" applyBorder="1" applyAlignment="1" applyProtection="1">
      <alignment wrapText="1"/>
      <protection locked="0"/>
    </xf>
    <xf numFmtId="0" fontId="45" fillId="0" borderId="2" xfId="0" applyFont="1" applyBorder="1" applyAlignment="1" applyProtection="1">
      <alignment wrapText="1"/>
      <protection locked="0"/>
    </xf>
    <xf numFmtId="0" fontId="44" fillId="0" borderId="2" xfId="0" applyFont="1" applyFill="1" applyBorder="1" applyAlignment="1" applyProtection="1">
      <alignment wrapText="1"/>
      <protection locked="0"/>
    </xf>
    <xf numFmtId="0" fontId="43" fillId="0" borderId="2" xfId="0" applyFont="1" applyBorder="1" applyAlignment="1" applyProtection="1">
      <alignment wrapText="1"/>
      <protection locked="0"/>
    </xf>
    <xf numFmtId="0" fontId="42" fillId="0" borderId="2" xfId="0" applyFont="1" applyBorder="1" applyAlignment="1" applyProtection="1">
      <alignment wrapText="1"/>
      <protection locked="0"/>
    </xf>
    <xf numFmtId="0" fontId="42" fillId="0" borderId="2" xfId="0" applyFont="1" applyBorder="1" applyAlignment="1" applyProtection="1">
      <protection locked="0"/>
    </xf>
    <xf numFmtId="0" fontId="41" fillId="0" borderId="2" xfId="0" applyFont="1" applyBorder="1" applyAlignment="1" applyProtection="1">
      <alignment wrapText="1"/>
      <protection locked="0"/>
    </xf>
    <xf numFmtId="0" fontId="39" fillId="0" borderId="2" xfId="0" applyFont="1" applyBorder="1" applyAlignment="1" applyProtection="1">
      <alignment wrapText="1"/>
      <protection locked="0"/>
    </xf>
    <xf numFmtId="0" fontId="39" fillId="0" borderId="2" xfId="0" applyFont="1" applyBorder="1" applyAlignment="1" applyProtection="1">
      <alignment horizontal="left" wrapText="1"/>
      <protection locked="0"/>
    </xf>
    <xf numFmtId="0" fontId="39" fillId="0" borderId="2" xfId="0" applyFont="1" applyFill="1" applyBorder="1" applyAlignment="1" applyProtection="1">
      <alignment horizontal="left" wrapText="1"/>
      <protection locked="0"/>
    </xf>
    <xf numFmtId="0" fontId="38" fillId="0" borderId="2" xfId="0" applyFont="1" applyBorder="1" applyAlignment="1" applyProtection="1">
      <protection locked="0"/>
    </xf>
    <xf numFmtId="0" fontId="38" fillId="0" borderId="2" xfId="0" applyFont="1" applyBorder="1" applyAlignment="1" applyProtection="1">
      <alignment wrapText="1"/>
      <protection locked="0"/>
    </xf>
    <xf numFmtId="0" fontId="118" fillId="0" borderId="7" xfId="0" applyFont="1" applyBorder="1" applyAlignment="1">
      <alignment vertical="center" wrapText="1"/>
    </xf>
    <xf numFmtId="11" fontId="132" fillId="0" borderId="2" xfId="0" quotePrefix="1" applyNumberFormat="1" applyFont="1" applyBorder="1" applyAlignment="1">
      <alignment horizontal="right" vertical="center"/>
    </xf>
    <xf numFmtId="0" fontId="37" fillId="0" borderId="2" xfId="0" applyFont="1" applyBorder="1" applyAlignment="1" applyProtection="1">
      <alignment wrapText="1"/>
      <protection locked="0"/>
    </xf>
    <xf numFmtId="0" fontId="36" fillId="0" borderId="2" xfId="0" applyFont="1" applyFill="1" applyBorder="1" applyAlignment="1" applyProtection="1">
      <alignment horizontal="left" wrapText="1"/>
      <protection locked="0"/>
    </xf>
    <xf numFmtId="0" fontId="35" fillId="0" borderId="2" xfId="0" applyFont="1" applyBorder="1" applyAlignment="1" applyProtection="1">
      <protection locked="0"/>
    </xf>
    <xf numFmtId="0" fontId="34" fillId="0" borderId="2" xfId="0" applyFont="1" applyBorder="1" applyAlignment="1" applyProtection="1">
      <alignment wrapText="1"/>
      <protection locked="0"/>
    </xf>
    <xf numFmtId="0" fontId="33" fillId="0" borderId="4" xfId="0" applyFont="1" applyBorder="1" applyAlignment="1" applyProtection="1">
      <alignment wrapText="1"/>
      <protection locked="0"/>
    </xf>
    <xf numFmtId="0" fontId="32" fillId="0" borderId="2" xfId="0" applyFont="1" applyBorder="1" applyAlignment="1" applyProtection="1">
      <alignment wrapText="1"/>
      <protection locked="0"/>
    </xf>
    <xf numFmtId="0" fontId="32" fillId="0" borderId="2" xfId="0" applyFont="1" applyBorder="1" applyAlignment="1" applyProtection="1">
      <protection locked="0"/>
    </xf>
    <xf numFmtId="0" fontId="68" fillId="0" borderId="10" xfId="0" applyFont="1" applyBorder="1" applyAlignment="1" applyProtection="1">
      <alignment wrapText="1"/>
      <protection locked="0"/>
    </xf>
    <xf numFmtId="0" fontId="68" fillId="0" borderId="11" xfId="0" applyFont="1" applyBorder="1" applyAlignment="1" applyProtection="1">
      <alignment wrapText="1"/>
      <protection locked="0"/>
    </xf>
    <xf numFmtId="0" fontId="40" fillId="0" borderId="2" xfId="0" applyFont="1" applyBorder="1" applyAlignment="1" applyProtection="1">
      <protection locked="0"/>
    </xf>
    <xf numFmtId="0" fontId="132" fillId="0" borderId="16" xfId="0" applyFont="1" applyBorder="1" applyAlignment="1">
      <alignment vertical="center" wrapText="1"/>
    </xf>
    <xf numFmtId="0" fontId="132" fillId="0" borderId="17" xfId="0" applyFont="1" applyBorder="1" applyAlignment="1">
      <alignment vertical="center" wrapText="1"/>
    </xf>
    <xf numFmtId="49" fontId="0" fillId="0" borderId="10" xfId="0" applyNumberFormat="1" applyBorder="1" applyAlignment="1" applyProtection="1">
      <alignment horizontal="left" wrapText="1"/>
      <protection locked="0"/>
    </xf>
    <xf numFmtId="0" fontId="0" fillId="0" borderId="11" xfId="0" applyBorder="1" applyAlignment="1" applyProtection="1">
      <protection locked="0"/>
    </xf>
    <xf numFmtId="0" fontId="31" fillId="0" borderId="3" xfId="0" applyFont="1" applyBorder="1" applyAlignment="1" applyProtection="1">
      <alignment wrapText="1"/>
      <protection locked="0"/>
    </xf>
    <xf numFmtId="0" fontId="83" fillId="0" borderId="3" xfId="0" applyFont="1" applyBorder="1" applyAlignment="1" applyProtection="1">
      <alignment wrapText="1"/>
      <protection locked="0"/>
    </xf>
    <xf numFmtId="0" fontId="116" fillId="19" borderId="3" xfId="59" applyFont="1" applyFill="1" applyBorder="1" applyAlignment="1">
      <alignment horizontal="left"/>
    </xf>
    <xf numFmtId="0" fontId="78" fillId="0" borderId="3" xfId="0" applyFont="1" applyBorder="1" applyAlignment="1" applyProtection="1">
      <alignment horizontal="left" wrapText="1"/>
      <protection locked="0"/>
    </xf>
    <xf numFmtId="0" fontId="133" fillId="0" borderId="3" xfId="0" applyFont="1" applyFill="1" applyBorder="1" applyProtection="1">
      <protection locked="0"/>
    </xf>
    <xf numFmtId="0" fontId="117" fillId="0" borderId="4" xfId="0" applyFont="1" applyBorder="1" applyAlignment="1" applyProtection="1">
      <alignment horizontal="left" vertical="center" wrapText="1"/>
      <protection locked="0"/>
    </xf>
    <xf numFmtId="0" fontId="74" fillId="19" borderId="4" xfId="59" applyFill="1" applyBorder="1" applyAlignment="1">
      <alignment horizontal="left"/>
    </xf>
    <xf numFmtId="0" fontId="132" fillId="0" borderId="4" xfId="0" applyFont="1" applyBorder="1" applyAlignment="1">
      <alignment vertical="center" wrapText="1"/>
    </xf>
    <xf numFmtId="164" fontId="0" fillId="0" borderId="4" xfId="0" applyNumberFormat="1" applyBorder="1" applyAlignment="1" applyProtection="1">
      <alignment horizontal="left" wrapText="1"/>
      <protection locked="0"/>
    </xf>
    <xf numFmtId="0" fontId="0" fillId="0" borderId="4" xfId="0" applyFill="1" applyBorder="1" applyProtection="1">
      <protection locked="0"/>
    </xf>
    <xf numFmtId="0" fontId="80" fillId="0" borderId="4" xfId="0" applyFont="1" applyBorder="1" applyAlignment="1" applyProtection="1">
      <alignment wrapText="1"/>
      <protection locked="0"/>
    </xf>
    <xf numFmtId="0" fontId="80" fillId="0" borderId="4" xfId="0" applyFont="1" applyBorder="1" applyAlignment="1" applyProtection="1">
      <alignment horizontal="left" wrapText="1"/>
      <protection locked="0"/>
    </xf>
    <xf numFmtId="0" fontId="116" fillId="19" borderId="4" xfId="59" applyFont="1" applyFill="1" applyBorder="1" applyAlignment="1">
      <alignment horizontal="left"/>
    </xf>
    <xf numFmtId="0" fontId="30" fillId="0" borderId="2" xfId="0" applyFont="1" applyBorder="1" applyAlignment="1" applyProtection="1">
      <alignment wrapText="1"/>
      <protection locked="0"/>
    </xf>
    <xf numFmtId="14" fontId="132" fillId="0" borderId="17" xfId="0" applyNumberFormat="1" applyFont="1" applyBorder="1" applyAlignment="1">
      <alignment vertical="center" wrapText="1"/>
    </xf>
    <xf numFmtId="0" fontId="0" fillId="0" borderId="18" xfId="0" applyBorder="1" applyAlignment="1" applyProtection="1">
      <alignment wrapText="1"/>
      <protection locked="0"/>
    </xf>
    <xf numFmtId="0" fontId="29" fillId="0" borderId="2" xfId="0" applyFont="1" applyBorder="1" applyAlignment="1" applyProtection="1">
      <alignment wrapText="1"/>
      <protection locked="0"/>
    </xf>
    <xf numFmtId="0" fontId="29" fillId="28" borderId="2" xfId="0" applyFont="1" applyFill="1" applyBorder="1" applyAlignment="1" applyProtection="1">
      <alignment wrapText="1"/>
      <protection locked="0"/>
    </xf>
    <xf numFmtId="0" fontId="28" fillId="0" borderId="2" xfId="0" applyFont="1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right" wrapText="1"/>
      <protection locked="0"/>
    </xf>
    <xf numFmtId="0" fontId="27" fillId="0" borderId="2" xfId="0" applyFont="1" applyBorder="1" applyAlignment="1" applyProtection="1">
      <protection locked="0"/>
    </xf>
    <xf numFmtId="0" fontId="26" fillId="0" borderId="2" xfId="0" applyFont="1" applyBorder="1" applyAlignment="1" applyProtection="1">
      <alignment wrapText="1"/>
      <protection locked="0"/>
    </xf>
    <xf numFmtId="0" fontId="26" fillId="19" borderId="2" xfId="0" applyFont="1" applyFill="1" applyBorder="1" applyAlignment="1" applyProtection="1">
      <alignment wrapText="1"/>
      <protection locked="0"/>
    </xf>
    <xf numFmtId="0" fontId="0" fillId="3" borderId="2" xfId="0" applyFill="1" applyBorder="1" applyAlignment="1" applyProtection="1">
      <alignment wrapText="1"/>
      <protection locked="0"/>
    </xf>
    <xf numFmtId="0" fontId="0" fillId="29" borderId="2" xfId="0" applyFill="1" applyBorder="1" applyAlignment="1" applyProtection="1">
      <alignment wrapText="1"/>
      <protection locked="0"/>
    </xf>
    <xf numFmtId="0" fontId="0" fillId="18" borderId="2" xfId="0" applyFill="1" applyBorder="1" applyAlignment="1" applyProtection="1">
      <alignment wrapText="1"/>
      <protection locked="0"/>
    </xf>
    <xf numFmtId="0" fontId="25" fillId="0" borderId="2" xfId="0" applyFont="1" applyBorder="1" applyAlignment="1" applyProtection="1">
      <alignment wrapText="1"/>
      <protection locked="0"/>
    </xf>
    <xf numFmtId="0" fontId="155" fillId="0" borderId="2" xfId="0" applyFont="1" applyBorder="1" applyAlignment="1" applyProtection="1">
      <alignment horizontal="left" vertical="center" wrapText="1"/>
      <protection locked="0"/>
    </xf>
    <xf numFmtId="0" fontId="25" fillId="0" borderId="2" xfId="0" applyFont="1" applyBorder="1" applyAlignment="1" applyProtection="1">
      <alignment horizontal="left" wrapText="1"/>
      <protection locked="0"/>
    </xf>
    <xf numFmtId="0" fontId="24" fillId="0" borderId="2" xfId="0" applyFont="1" applyBorder="1" applyAlignment="1" applyProtection="1">
      <protection locked="0"/>
    </xf>
    <xf numFmtId="0" fontId="24" fillId="0" borderId="2" xfId="0" applyFont="1" applyFill="1" applyBorder="1" applyAlignment="1" applyProtection="1">
      <alignment wrapText="1"/>
      <protection locked="0"/>
    </xf>
    <xf numFmtId="0" fontId="24" fillId="0" borderId="2" xfId="0" applyFont="1" applyBorder="1" applyAlignment="1" applyProtection="1">
      <alignment horizontal="left" wrapText="1"/>
      <protection locked="0"/>
    </xf>
    <xf numFmtId="0" fontId="24" fillId="0" borderId="2" xfId="0" applyFont="1" applyBorder="1" applyAlignment="1" applyProtection="1">
      <alignment wrapText="1"/>
      <protection locked="0"/>
    </xf>
    <xf numFmtId="0" fontId="24" fillId="0" borderId="2" xfId="0" applyFont="1" applyFill="1" applyBorder="1" applyAlignment="1" applyProtection="1">
      <alignment horizontal="left" wrapText="1"/>
      <protection locked="0"/>
    </xf>
    <xf numFmtId="0" fontId="23" fillId="0" borderId="2" xfId="0" applyFont="1" applyBorder="1" applyAlignment="1" applyProtection="1">
      <alignment horizontal="left" wrapText="1"/>
      <protection locked="0"/>
    </xf>
    <xf numFmtId="0" fontId="23" fillId="0" borderId="2" xfId="0" applyFont="1" applyBorder="1" applyAlignment="1" applyProtection="1">
      <alignment wrapText="1"/>
      <protection locked="0"/>
    </xf>
    <xf numFmtId="0" fontId="23" fillId="0" borderId="2" xfId="0" applyFont="1" applyBorder="1" applyAlignment="1" applyProtection="1">
      <protection locked="0"/>
    </xf>
    <xf numFmtId="0" fontId="22" fillId="0" borderId="2" xfId="0" applyFont="1" applyBorder="1" applyAlignment="1" applyProtection="1">
      <alignment wrapText="1"/>
      <protection locked="0"/>
    </xf>
    <xf numFmtId="0" fontId="22" fillId="0" borderId="2" xfId="0" applyFont="1" applyBorder="1" applyAlignment="1" applyProtection="1">
      <protection locked="0"/>
    </xf>
    <xf numFmtId="0" fontId="21" fillId="3" borderId="2" xfId="0" applyFont="1" applyFill="1" applyBorder="1" applyAlignment="1" applyProtection="1">
      <alignment wrapText="1"/>
      <protection locked="0"/>
    </xf>
    <xf numFmtId="0" fontId="20" fillId="0" borderId="2" xfId="0" applyFont="1" applyBorder="1" applyAlignment="1" applyProtection="1">
      <alignment wrapText="1"/>
      <protection locked="0"/>
    </xf>
    <xf numFmtId="0" fontId="19" fillId="0" borderId="2" xfId="0" applyFont="1" applyBorder="1" applyAlignment="1" applyProtection="1">
      <alignment wrapText="1"/>
      <protection locked="0"/>
    </xf>
    <xf numFmtId="0" fontId="18" fillId="0" borderId="2" xfId="0" applyFont="1" applyBorder="1" applyAlignment="1" applyProtection="1">
      <alignment wrapText="1"/>
      <protection locked="0"/>
    </xf>
    <xf numFmtId="0" fontId="18" fillId="0" borderId="2" xfId="0" applyFont="1" applyFill="1" applyBorder="1" applyAlignment="1" applyProtection="1">
      <alignment wrapText="1"/>
      <protection locked="0"/>
    </xf>
    <xf numFmtId="0" fontId="17" fillId="0" borderId="2" xfId="0" applyFont="1" applyBorder="1" applyAlignment="1" applyProtection="1">
      <alignment wrapText="1"/>
      <protection locked="0"/>
    </xf>
    <xf numFmtId="0" fontId="17" fillId="0" borderId="2" xfId="0" applyFont="1" applyFill="1" applyBorder="1" applyAlignment="1" applyProtection="1">
      <alignment wrapText="1"/>
      <protection locked="0"/>
    </xf>
    <xf numFmtId="0" fontId="156" fillId="16" borderId="3" xfId="0" applyFont="1" applyFill="1" applyBorder="1" applyAlignment="1" applyProtection="1">
      <alignment wrapText="1"/>
      <protection locked="0"/>
    </xf>
    <xf numFmtId="0" fontId="156" fillId="16" borderId="3" xfId="0" applyFont="1" applyFill="1" applyBorder="1" applyAlignment="1" applyProtection="1">
      <alignment horizontal="center" wrapText="1"/>
      <protection locked="0"/>
    </xf>
    <xf numFmtId="0" fontId="156" fillId="16" borderId="2" xfId="0" applyFont="1" applyFill="1" applyBorder="1" applyAlignment="1" applyProtection="1">
      <alignment horizontal="center" wrapText="1"/>
      <protection locked="0"/>
    </xf>
    <xf numFmtId="1" fontId="156" fillId="17" borderId="2" xfId="0" applyNumberFormat="1" applyFont="1" applyFill="1" applyBorder="1" applyAlignment="1" applyProtection="1">
      <alignment horizontal="left"/>
      <protection locked="0"/>
    </xf>
    <xf numFmtId="0" fontId="157" fillId="19" borderId="2" xfId="0" applyFont="1" applyFill="1" applyBorder="1" applyAlignment="1" applyProtection="1">
      <alignment wrapText="1"/>
      <protection locked="0"/>
    </xf>
    <xf numFmtId="0" fontId="157" fillId="0" borderId="2" xfId="0" applyFont="1" applyBorder="1" applyAlignment="1" applyProtection="1">
      <alignment wrapText="1"/>
      <protection locked="0"/>
    </xf>
    <xf numFmtId="0" fontId="158" fillId="0" borderId="2" xfId="0" applyFont="1" applyFill="1" applyBorder="1" applyAlignment="1">
      <alignment vertical="center" wrapText="1"/>
    </xf>
    <xf numFmtId="0" fontId="157" fillId="0" borderId="2" xfId="0" applyFont="1" applyFill="1" applyBorder="1" applyAlignment="1" applyProtection="1">
      <alignment horizontal="left" wrapText="1"/>
      <protection locked="0"/>
    </xf>
    <xf numFmtId="0" fontId="157" fillId="19" borderId="2" xfId="0" applyFont="1" applyFill="1" applyBorder="1" applyAlignment="1" applyProtection="1">
      <alignment horizontal="left" vertical="center" wrapText="1"/>
      <protection locked="0"/>
    </xf>
    <xf numFmtId="0" fontId="158" fillId="0" borderId="2" xfId="0" applyFont="1" applyBorder="1" applyAlignment="1">
      <alignment vertical="center" wrapText="1"/>
    </xf>
    <xf numFmtId="0" fontId="157" fillId="0" borderId="2" xfId="0" applyFont="1" applyFill="1" applyBorder="1" applyAlignment="1" applyProtection="1">
      <alignment wrapText="1"/>
      <protection locked="0"/>
    </xf>
    <xf numFmtId="0" fontId="159" fillId="0" borderId="2" xfId="0" applyFont="1" applyBorder="1" applyAlignment="1" applyProtection="1">
      <alignment wrapText="1"/>
      <protection locked="0"/>
    </xf>
    <xf numFmtId="0" fontId="16" fillId="0" borderId="0" xfId="0" applyFont="1" applyAlignment="1" applyProtection="1">
      <alignment wrapText="1"/>
      <protection locked="0"/>
    </xf>
    <xf numFmtId="0" fontId="16" fillId="0" borderId="0" xfId="0" applyFont="1" applyAlignment="1" applyProtection="1">
      <alignment horizontal="left" wrapText="1"/>
      <protection locked="0"/>
    </xf>
    <xf numFmtId="0" fontId="16" fillId="0" borderId="2" xfId="0" applyFont="1" applyBorder="1" applyAlignment="1" applyProtection="1">
      <alignment wrapText="1"/>
      <protection locked="0"/>
    </xf>
    <xf numFmtId="0" fontId="15" fillId="0" borderId="2" xfId="0" applyFont="1" applyBorder="1" applyAlignment="1" applyProtection="1">
      <protection locked="0"/>
    </xf>
    <xf numFmtId="0" fontId="15" fillId="0" borderId="2" xfId="0" applyFont="1" applyBorder="1" applyAlignment="1" applyProtection="1">
      <alignment wrapText="1"/>
      <protection locked="0"/>
    </xf>
    <xf numFmtId="0" fontId="14" fillId="0" borderId="2" xfId="0" applyFont="1" applyBorder="1" applyAlignment="1" applyProtection="1">
      <alignment wrapText="1"/>
      <protection locked="0"/>
    </xf>
    <xf numFmtId="0" fontId="13" fillId="0" borderId="2" xfId="0" applyFont="1" applyBorder="1" applyAlignment="1" applyProtection="1">
      <alignment wrapText="1"/>
      <protection locked="0"/>
    </xf>
    <xf numFmtId="0" fontId="160" fillId="18" borderId="2" xfId="0" applyFont="1" applyFill="1" applyBorder="1" applyAlignment="1" applyProtection="1">
      <alignment horizontal="left" vertical="center" wrapText="1"/>
      <protection locked="0"/>
    </xf>
    <xf numFmtId="49" fontId="161" fillId="18" borderId="2" xfId="0" applyNumberFormat="1" applyFont="1" applyFill="1" applyBorder="1" applyAlignment="1" applyProtection="1">
      <alignment horizontal="left" vertical="center"/>
      <protection locked="0"/>
    </xf>
    <xf numFmtId="49" fontId="161" fillId="18" borderId="2" xfId="0" applyNumberFormat="1" applyFont="1" applyFill="1" applyBorder="1" applyAlignment="1" applyProtection="1">
      <alignment horizontal="left" vertical="center" wrapText="1"/>
      <protection locked="0"/>
    </xf>
    <xf numFmtId="0" fontId="12" fillId="0" borderId="2" xfId="0" applyFont="1" applyBorder="1" applyAlignment="1" applyProtection="1">
      <alignment wrapText="1"/>
      <protection locked="0"/>
    </xf>
    <xf numFmtId="0" fontId="11" fillId="0" borderId="2" xfId="0" applyFont="1" applyBorder="1" applyAlignment="1" applyProtection="1">
      <alignment wrapText="1"/>
      <protection locked="0"/>
    </xf>
    <xf numFmtId="0" fontId="10" fillId="0" borderId="2" xfId="0" applyFont="1" applyBorder="1" applyAlignment="1" applyProtection="1">
      <alignment wrapText="1"/>
      <protection locked="0"/>
    </xf>
    <xf numFmtId="0" fontId="9" fillId="0" borderId="2" xfId="0" applyFont="1" applyBorder="1" applyAlignment="1" applyProtection="1">
      <alignment wrapText="1"/>
      <protection locked="0"/>
    </xf>
    <xf numFmtId="0" fontId="8" fillId="0" borderId="2" xfId="0" applyFont="1" applyBorder="1" applyAlignment="1" applyProtection="1">
      <alignment wrapText="1"/>
      <protection locked="0"/>
    </xf>
    <xf numFmtId="0" fontId="7" fillId="0" borderId="2" xfId="0" applyFont="1" applyBorder="1" applyAlignment="1" applyProtection="1">
      <alignment wrapText="1"/>
      <protection locked="0"/>
    </xf>
    <xf numFmtId="0" fontId="6" fillId="0" borderId="2" xfId="0" applyFont="1" applyBorder="1" applyAlignment="1" applyProtection="1">
      <alignment wrapText="1"/>
      <protection locked="0"/>
    </xf>
    <xf numFmtId="0" fontId="5" fillId="0" borderId="2" xfId="0" applyFont="1" applyBorder="1" applyAlignment="1" applyProtection="1">
      <alignment wrapText="1"/>
      <protection locked="0"/>
    </xf>
    <xf numFmtId="0" fontId="4" fillId="0" borderId="2" xfId="0" applyFont="1" applyBorder="1" applyAlignment="1" applyProtection="1">
      <alignment wrapText="1"/>
      <protection locked="0"/>
    </xf>
    <xf numFmtId="0" fontId="4" fillId="0" borderId="2" xfId="0" applyFont="1" applyBorder="1" applyAlignment="1" applyProtection="1">
      <protection locked="0"/>
    </xf>
    <xf numFmtId="0" fontId="3" fillId="0" borderId="2" xfId="0" applyFont="1" applyBorder="1" applyAlignment="1" applyProtection="1">
      <alignment wrapText="1"/>
      <protection locked="0"/>
    </xf>
    <xf numFmtId="0" fontId="0" fillId="2" borderId="2" xfId="0" applyFill="1" applyBorder="1" applyAlignment="1" applyProtection="1">
      <alignment wrapText="1"/>
      <protection locked="0"/>
    </xf>
    <xf numFmtId="0" fontId="2" fillId="0" borderId="2" xfId="0" applyFont="1" applyBorder="1" applyAlignment="1" applyProtection="1">
      <alignment wrapText="1"/>
      <protection locked="0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2" xfId="0" applyNumberFormat="1" applyBorder="1" applyAlignment="1">
      <alignment horizontal="center"/>
    </xf>
    <xf numFmtId="0" fontId="0" fillId="28" borderId="2" xfId="0" applyNumberFormat="1" applyFill="1" applyBorder="1" applyAlignment="1">
      <alignment horizontal="center"/>
    </xf>
    <xf numFmtId="0" fontId="0" fillId="28" borderId="2" xfId="0" applyNumberFormat="1" applyFill="1" applyBorder="1"/>
    <xf numFmtId="49" fontId="0" fillId="0" borderId="0" xfId="0" applyNumberFormat="1"/>
    <xf numFmtId="1" fontId="0" fillId="0" borderId="0" xfId="0" applyNumberFormat="1"/>
    <xf numFmtId="3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pivotButton="1" applyAlignment="1">
      <alignment horizontal="left" vertical="top"/>
    </xf>
    <xf numFmtId="0" fontId="0" fillId="14" borderId="0" xfId="0" applyFill="1" applyAlignment="1">
      <alignment horizontal="left" indent="1"/>
    </xf>
    <xf numFmtId="0" fontId="0" fillId="14" borderId="0" xfId="0" applyNumberFormat="1" applyFill="1" applyAlignment="1">
      <alignment horizontal="center" vertical="center"/>
    </xf>
    <xf numFmtId="0" fontId="0" fillId="0" borderId="0" xfId="0" applyFill="1" applyAlignment="1">
      <alignment horizontal="left" indent="1"/>
    </xf>
    <xf numFmtId="0" fontId="0" fillId="0" borderId="0" xfId="0" applyNumberFormat="1" applyFill="1" applyAlignment="1">
      <alignment horizontal="center" vertical="center"/>
    </xf>
    <xf numFmtId="0" fontId="0" fillId="0" borderId="0" xfId="0" applyFill="1"/>
  </cellXfs>
  <cellStyles count="95">
    <cellStyle name="Bad" xfId="3" builtinId="27"/>
    <cellStyle name="Bad 2" xfId="57"/>
    <cellStyle name="Hyperlink" xfId="40" builtinId="8"/>
    <cellStyle name="Hyperlink 2" xfId="10"/>
    <cellStyle name="Hyperlink 2 2" xfId="13"/>
    <cellStyle name="Hyperlink 2 3" xfId="15"/>
    <cellStyle name="Hyperlink 2 4" xfId="48"/>
    <cellStyle name="Hyperlink 3" xfId="11"/>
    <cellStyle name="Hyperlink 4" xfId="42"/>
    <cellStyle name="Neutral" xfId="54" builtinId="28"/>
    <cellStyle name="Neutral 2" xfId="75"/>
    <cellStyle name="Normal" xfId="0" builtinId="0"/>
    <cellStyle name="Normal 10" xfId="7"/>
    <cellStyle name="Normal 10 2" xfId="16"/>
    <cellStyle name="Normal 11" xfId="6"/>
    <cellStyle name="Normal 11 2" xfId="17"/>
    <cellStyle name="Normal 12" xfId="4"/>
    <cellStyle name="Normal 12 2" xfId="18"/>
    <cellStyle name="Normal 13" xfId="8"/>
    <cellStyle name="Normal 13 2" xfId="9"/>
    <cellStyle name="Normal 14" xfId="12"/>
    <cellStyle name="Normal 14 2" xfId="1"/>
    <cellStyle name="Normal 15" xfId="14"/>
    <cellStyle name="Normal 15 2" xfId="19"/>
    <cellStyle name="Normal 16" xfId="20"/>
    <cellStyle name="Normal 16 2" xfId="59"/>
    <cellStyle name="Normal 16 3" xfId="78"/>
    <cellStyle name="Normal 17" xfId="21"/>
    <cellStyle name="Normal 17 2" xfId="44"/>
    <cellStyle name="Normal 17 2 2" xfId="46"/>
    <cellStyle name="Normal 17 2 2 2" xfId="52"/>
    <cellStyle name="Normal 17 2 2 2 2" xfId="73"/>
    <cellStyle name="Normal 17 2 2 2 3" xfId="92"/>
    <cellStyle name="Normal 17 2 2 3" xfId="68"/>
    <cellStyle name="Normal 17 2 2 4" xfId="87"/>
    <cellStyle name="Normal 17 2 3" xfId="50"/>
    <cellStyle name="Normal 17 2 3 2" xfId="71"/>
    <cellStyle name="Normal 17 2 3 3" xfId="90"/>
    <cellStyle name="Normal 17 2 4" xfId="66"/>
    <cellStyle name="Normal 17 2 5" xfId="85"/>
    <cellStyle name="Normal 17 3" xfId="45"/>
    <cellStyle name="Normal 17 3 2" xfId="51"/>
    <cellStyle name="Normal 17 3 2 2" xfId="72"/>
    <cellStyle name="Normal 17 3 2 3" xfId="91"/>
    <cellStyle name="Normal 17 3 3" xfId="67"/>
    <cellStyle name="Normal 17 3 4" xfId="86"/>
    <cellStyle name="Normal 17 4" xfId="49"/>
    <cellStyle name="Normal 17 4 2" xfId="70"/>
    <cellStyle name="Normal 17 4 3" xfId="89"/>
    <cellStyle name="Normal 17 5" xfId="43"/>
    <cellStyle name="Normal 17 5 2" xfId="65"/>
    <cellStyle name="Normal 17 5 3" xfId="84"/>
    <cellStyle name="Normal 17 6" xfId="60"/>
    <cellStyle name="Normal 17 7" xfId="79"/>
    <cellStyle name="Normal 18" xfId="41"/>
    <cellStyle name="Normal 19" xfId="55"/>
    <cellStyle name="Normal 19 2" xfId="94"/>
    <cellStyle name="Normal 2" xfId="22"/>
    <cellStyle name="Normal 2 2" xfId="23"/>
    <cellStyle name="Normal 2 2 2" xfId="24"/>
    <cellStyle name="Normal 2 2 2 2" xfId="62"/>
    <cellStyle name="Normal 2 2 2 3" xfId="81"/>
    <cellStyle name="Normal 2 2 3" xfId="53"/>
    <cellStyle name="Normal 2 2 3 2" xfId="74"/>
    <cellStyle name="Normal 2 2 3 3" xfId="93"/>
    <cellStyle name="Normal 2 3" xfId="25"/>
    <cellStyle name="Normal 2 3 2" xfId="63"/>
    <cellStyle name="Normal 2 3 3" xfId="82"/>
    <cellStyle name="Normal 2 4" xfId="47"/>
    <cellStyle name="Normal 2 4 2" xfId="69"/>
    <cellStyle name="Normal 2 4 3" xfId="88"/>
    <cellStyle name="Normal 2 5" xfId="61"/>
    <cellStyle name="Normal 2 6" xfId="80"/>
    <cellStyle name="Normal 20" xfId="56"/>
    <cellStyle name="Normal 20 2" xfId="58"/>
    <cellStyle name="Normal 20 3" xfId="77"/>
    <cellStyle name="Normal 21" xfId="76"/>
    <cellStyle name="Normal 3" xfId="26"/>
    <cellStyle name="Normal 3 2" xfId="27"/>
    <cellStyle name="Normal 3 3" xfId="28"/>
    <cellStyle name="Normal 3 4" xfId="64"/>
    <cellStyle name="Normal 3 5" xfId="83"/>
    <cellStyle name="Normal 3_Munich" xfId="29"/>
    <cellStyle name="Normal 4" xfId="30"/>
    <cellStyle name="Normal 4 2" xfId="31"/>
    <cellStyle name="Normal 5" xfId="32"/>
    <cellStyle name="Normal 5 2" xfId="33"/>
    <cellStyle name="Normal 6" xfId="34"/>
    <cellStyle name="Normal 6 2" xfId="35"/>
    <cellStyle name="Normal 7" xfId="36"/>
    <cellStyle name="Normal 7 2" xfId="2"/>
    <cellStyle name="Normal 8" xfId="37"/>
    <cellStyle name="Normal 8 2" xfId="38"/>
    <cellStyle name="Normal 9" xfId="39"/>
    <cellStyle name="Normal 9 2" xfId="5"/>
  </cellStyles>
  <dxfs count="362"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7" tint="0.3999450666829432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7" tint="0.3999450666829432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7" tint="0.3999450666829432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7" tint="0.3999450666829432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7" tint="0.3999450666829432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 patternType="solid">
          <bgColor theme="6" tint="0.39991454817346722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6" tint="0.39991454817346722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6" tint="0.39991454817346722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6" tint="0.39991454817346722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6" tint="0.39991454817346722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alignment horizontal="center" readingOrder="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xiaoga7x/Desktop/PCIE_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/Docs/StressRack/Stock/WW15.1_Nodes%20and%20Stock%20Management%20-%20BEJ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sanyalx/AppData/Local/Microsoft/Windows/INetCache/Content.Outlook/1TOSAEIE/Nodes%20and%20Stock%20Management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560_HW_info"/>
      <sheetName val="DEBUG"/>
      <sheetName val="VALUE"/>
      <sheetName val="Sheet2"/>
      <sheetName val="SUS"/>
      <sheetName val="MATERIAL"/>
      <sheetName val="USed "/>
      <sheetName val="C2"/>
      <sheetName val="ek4"/>
      <sheetName val="DropList"/>
      <sheetName val="drop list"/>
      <sheetName val="Valu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des"/>
      <sheetName val="Stock"/>
      <sheetName val="Values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des"/>
      <sheetName val="Stock"/>
      <sheetName val="Values"/>
      <sheetName val="Pivot"/>
    </sheetNames>
    <sheetDataSet>
      <sheetData sheetId="0"/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ang, XiaogangX" refreshedDate="43470.819751041665" createdVersion="5" refreshedVersion="5" minRefreshableVersion="3" recordCount="1785">
  <cacheSource type="worksheet">
    <worksheetSource ref="A1:AC1048576" sheet="Nodes"/>
  </cacheSource>
  <cacheFields count="29">
    <cacheField name="Site" numFmtId="0">
      <sharedItems containsBlank="1" count="8">
        <s v="Bangalore"/>
        <s v="Munich"/>
        <s v="San Diego"/>
        <s v="Hillsboro"/>
        <s v="Beijing"/>
        <m/>
        <s v="SanDiego" u="1"/>
        <s v="Other" u="1"/>
      </sharedItems>
    </cacheField>
    <cacheField name="Setup Name" numFmtId="0">
      <sharedItems containsBlank="1"/>
    </cacheField>
    <cacheField name="Used in Run plan" numFmtId="0">
      <sharedItems containsBlank="1"/>
    </cacheField>
    <cacheField name="Build Type" numFmtId="0">
      <sharedItems containsBlank="1" count="23">
        <s v="Daily"/>
        <s v="Pre-INT"/>
        <m/>
        <s v="Weekly"/>
        <s v="CEB"/>
        <s v="EB"/>
        <s v="CR"/>
        <s v="SEB"/>
        <s v="UTC"/>
        <s v="SUS"/>
        <s v="Pre-INT/CEB"/>
        <s v="Boot"/>
        <s v="Daily(SEB)"/>
        <s v="Weekly(UTC)"/>
        <s v="other site"/>
        <s v="OTHER"/>
        <s v="DB" u="1"/>
        <s v="PREINT/CEB" u="1"/>
        <s v="LTE CEBs" u="1"/>
        <s v="PREINT" u="1"/>
        <s v="TDS FW CEB" u="1"/>
        <s v="RAC/RAU &amp; 2G preINT" u="1"/>
        <s v="DB/UTC" u="1"/>
      </sharedItems>
    </cacheField>
    <cacheField name="PCIe/USB" numFmtId="0">
      <sharedItems containsBlank="1"/>
    </cacheField>
    <cacheField name="Serial" numFmtId="0">
      <sharedItems containsBlank="1" containsMixedTypes="1" containsNumber="1" containsInteger="1" minValue="321992" maxValue="4079974"/>
    </cacheField>
    <cacheField name="Location" numFmtId="0">
      <sharedItems containsBlank="1"/>
    </cacheField>
    <cacheField name="Project" numFmtId="0">
      <sharedItems containsBlank="1" count="8">
        <s v="ICE18"/>
        <s v="ICE19"/>
        <s v="IBIS"/>
        <m/>
        <s v="ICE17"/>
        <s v="ICE16"/>
        <s v="M.2_7360"/>
        <s v="ICE20" u="1"/>
      </sharedItems>
    </cacheField>
    <cacheField name="SIM System" numFmtId="0">
      <sharedItems containsBlank="1" count="3">
        <s v="SSIM"/>
        <s v="MSIM"/>
        <m/>
      </sharedItems>
    </cacheField>
    <cacheField name="Operator Combo" numFmtId="0">
      <sharedItems containsBlank="1" count="92">
        <s v="Airtel"/>
        <s v="JIO+JIO"/>
        <m/>
        <s v="VDFIN+Airtel"/>
        <s v="JIO"/>
        <s v="RJIO"/>
        <s v="VDFIN+JIO"/>
        <s v="AIRTEL+VDF"/>
        <s v="VDFIN"/>
        <s v="JIO+AIRTEL"/>
        <s v="Airtel+JIO"/>
        <s v="Airtel+Airtel"/>
        <s v="Jio+Airtel "/>
        <s v="Airtel + JIO"/>
        <s v="O2"/>
        <s v="TMO DE"/>
        <s v="T-Mo + VDF"/>
        <s v="SUS"/>
        <s v="ALU"/>
        <s v="VZW"/>
        <s v="ATT US"/>
        <s v="TMO US"/>
        <s v="SPRINT"/>
        <s v="ATT US+TMO US"/>
        <s v="VZW+ATT"/>
        <s v="CMCC+CTC"/>
        <s v="CTC"/>
        <s v="CMCC+CMCC"/>
        <s v="HUAWEI+HUAWEI"/>
        <s v="CTC+CMCC"/>
        <s v="CUC+CMCC"/>
        <s v="CMCC"/>
        <s v="CMCC+CUC"/>
        <s v="CUC+CUC"/>
        <s v="CUC"/>
        <s v="CTC+CUC"/>
        <s v="CATR"/>
        <s v="CATR+HUAWEI"/>
        <s v="CUC+CTC"/>
        <s v="ATT+TMO"/>
        <s v="Sprint/TMO"/>
        <s v="VZW/TMO"/>
        <s v="ZTE+CATR"/>
        <s v="ZTE+HUAWEI"/>
        <s v="CATR+ZTE"/>
        <s v="VDF"/>
        <s v="VDF+JIO"/>
        <s v="T-Mobile de"/>
        <s v="VDF+Airtel"/>
        <s v="Verizon"/>
        <s v="AT&amp;T"/>
        <s v="ATT&amp;Tmo"/>
        <s v="Verizon&amp;ATT"/>
        <s v="T-MOBILE US"/>
        <s v="ATT"/>
        <s v="TMO"/>
        <s v="Sprint/ATT US"/>
        <s v="VZW/VZW"/>
        <s v="T-Mo"/>
        <s v="Sprint&amp;ATT"/>
        <s v="Verizon&amp;Verizon"/>
        <s v="Sprint/VZW"/>
        <s v="VZW/ATT US"/>
        <s v="Verizon&amp;TMo"/>
        <s v="Sprint&amp;Verizon"/>
        <s v="ATT + T-Mo"/>
        <s v="SPR+ATT"/>
        <s v="VZW+VZW"/>
        <s v="T-Mo_x000a_Verizon"/>
        <s v="ATT_x000a_Verizon"/>
        <s v="CUC_x000a_CMCC" u="1"/>
        <s v="Reliance" u="1"/>
        <s v="CTC + CMCC" u="1"/>
        <s v="Sprint+TMO" u="1"/>
        <s v="CMCC+CMCC_x000a_CTC" u="1"/>
        <s v="AT&amp;TTMO US" u="1"/>
        <s v="VZW+TMO" u="1"/>
        <s v="VZW/TMO US" u="1"/>
        <s v="O2_x000a_T-Mo" u="1"/>
        <s v="VODAFONE+Airtel" u="1"/>
        <s v="SPR+VZW" u="1"/>
        <s v="Vodafone" u="1"/>
        <s v="ATT_x000a_Sprint" u="1"/>
        <s v="Verizon/TMO" u="1"/>
        <s v="JIO + JIO" u="1"/>
        <s v="ATT US/ATT US" u="1"/>
        <s v="ATT US/TMO US" u="1"/>
        <s v="VDF+Aritel" u="1"/>
        <s v="Vodafone.DE" u="1"/>
        <s v="Vodafone+Aritel" u="1"/>
        <s v="CTC + CUC" u="1"/>
        <s v="Airtel + VDF" u="1"/>
      </sharedItems>
    </cacheField>
    <cacheField name="RAT Combo" numFmtId="0">
      <sharedItems containsBlank="1" count="108">
        <s v="TDD"/>
        <s v="FDD+FDD"/>
        <m/>
        <s v="FDD+WCDMA"/>
        <s v="FDD"/>
        <s v="WCDMA"/>
        <s v="2G"/>
        <s v="WCDMA+WCDMA"/>
        <s v="TDD+WCDMA"/>
        <s v="TDD+FDD"/>
        <s v="TDD CSFB"/>
        <s v="NA"/>
        <s v="FDD (TMO) + FDD (VDF)"/>
        <s v="Hybrid"/>
        <s v="SRLTE"/>
        <s v="SRLTE+3G"/>
        <s v="TDD+1XRTT"/>
        <s v="TDD+TDD"/>
        <s v="TDD+2G"/>
        <s v="SRLTE+2G"/>
        <s v="FDD+TDD"/>
        <s v="TDD+3G"/>
        <s v="TDS"/>
        <s v="TDS+3G"/>
        <s v="FDD+2G"/>
        <s v="2G(CUC)"/>
        <s v="1XRTT+2G"/>
        <s v="SRLTE+TDD"/>
        <s v="HYBRID+2G"/>
        <s v="FDD+1XRTT"/>
        <s v="LTE_pre_VOLTE"/>
        <s v="LTE_pre"/>
        <s v="FDD VOLTE"/>
        <s v="TDD (Airtel) + TDD (Jio)"/>
        <s v="FDD+3G"/>
        <s v="SRLTE/FDD"/>
        <s v="HYBRID+TDD"/>
        <s v="FDD+TDD(VOLTE)"/>
        <s v="SRLTE+FDD"/>
        <s v="1XRTT"/>
        <s v="SM_3G"/>
        <s v="VoLTE+FDD"/>
        <s v="DM_3G2G"/>
        <s v="HYBRID+FDD"/>
        <s v="TDD (Airtel) + FDD (Jio)"/>
        <s v="FDD (Jio) + FDD (Jio)"/>
        <s v="TDD (Jio) + WCDMA (Airtel)"/>
        <s v="FDD (VDF) + TDD (Jio)"/>
        <s v="TDD (Airtel) + FDD (VDF)"/>
        <s v="FDD (VDF) + WCDMA (Airtel)"/>
        <s v="WCDMA (Airtel) + WCDMA (VDF)"/>
        <s v="SM_2G"/>
        <s v="FDD CSFB"/>
        <s v="CDMA_HYBRID"/>
        <s v="FDD VoLTE (ATT) + FDD CSFB (T-Mo)"/>
        <s v="FDD VoLTE (VZW) + FDD VoLTE/CSFB (ATT)"/>
        <s v="SM_4G+DM_4G3G"/>
        <s v="SRLTE (Sprint) + FDD (ATT)"/>
        <s v="FDD VoLTE (ATT) + FDD CSFB (T-Mo) "/>
        <s v="FDD VoLTE (VZW) + FDD VoLTE (VZW)"/>
        <s v="SRLTE (Sprint) + FDD (ATT) "/>
        <s v="SRLTE (VZW) + FDD VoLTE/CSFB (ATT)"/>
        <s v="WCDMA (Airtel) + WCDMA"/>
        <s v="SRLTE (SPR) + FDD VoLTE (VZW) "/>
        <s v="FDD VoLTE (VZW) + WCDMA (TMO)"/>
        <s v="SRLTE (SPR) + FDD VoLTE (VZW)"/>
        <s v="FDD VoLTE (VZW) + FDD VoLTE (VZW) "/>
        <s v="FDD (DM_4G3G)"/>
        <s v="LTE"/>
        <s v="ATT+TMO(VOLTE)" u="1"/>
        <s v="TDS+WCDMA" u="1"/>
        <s v="WCDMA_x000a_TDS" u="1"/>
        <s v="TDD (CMCC) + TDD (CMCC)" u="1"/>
        <s v="SRLTE (Sprint) + FDD (ATT) SD DP: swap" u="1"/>
        <s v="FDD VoLTE (ATT) + FDD CSFB (T-Mo) SD" u="1"/>
        <s v="CDM_HYBRIF" u="1"/>
        <s v="EVDO" u="1"/>
        <s v="TDD VoLTE" u="1"/>
        <s v="FDD (CUC) + TDD CSFB/VoLTE (CMCC)" u="1"/>
        <s v="TDD CSFB/VoLTE (CMCC) + FDD (CUC)" u="1"/>
        <s v="TDD (Huawei) + 2G (Huawei) " u="1"/>
        <s v="DM4G3G" u="1"/>
        <s v="TDD +FDD" u="1"/>
        <s v=" " u="1"/>
        <s v="FDD_x000a_TDS" u="1"/>
        <s v="TM_4G3G2G" u="1"/>
        <s v="TDD (Jio) + TDD (Jio)" u="1"/>
        <s v="HYBRID+3G" u="1"/>
        <s v="WCDMA+2G" u="1"/>
        <s v="TDD CSFB/VoLTE (CMCC) + FDD (CUC) " u="1"/>
        <s v="FDD VoLTE (CTC) + FDD CSFB (CUC)" u="1"/>
        <s v="Hybrid (CTC) + TDD (CMCC)" u="1"/>
        <s v="SM_4G" u="1"/>
        <s v="SRLTE (CTC) + FDD CSFB (CUC)" u="1"/>
        <s v="TDD +WCDMA" u="1"/>
        <s v="GNSS" u="1"/>
        <s v="1XRTT+LTE" u="1"/>
        <s v="TDD(VOLTE)" u="1"/>
        <s v="MRAT" u="1"/>
        <s v="CDMA_SRLTE" u="1"/>
        <s v="TDD (Airtel) + FDD (Jio) " u="1"/>
        <s v="TDD (CMCC) + TDD (CMCC)_x000a_Hybrid" u="1"/>
        <s v="SRLTE+TDD " u="1"/>
        <s v="SRLTE (CTC) + TDD (CMCC)" u="1"/>
        <s v="SRLTE (CTC) + TDD (CMCC) " u="1"/>
        <s v="FDD (CUC) + TDD CSFB/VoLTE (CMCC) " u="1"/>
        <s v="TDS+FDD" u="1"/>
        <s v="FDD (Jio) + WCDMA (Airtel)" u="1"/>
      </sharedItems>
    </cacheField>
    <cacheField name="HW DUT" numFmtId="0">
      <sharedItems containsBlank="1" count="18">
        <s v="SVB C2"/>
        <s v="MK5"/>
        <s v="MK4.1"/>
        <m/>
        <s v="MK4"/>
        <s v="A1"/>
        <s v="B0"/>
        <s v="A0"/>
        <s v="MK3"/>
        <s v="MK6"/>
        <s v="MK2"/>
        <s v="MK4.0"/>
        <s v="SVB B0+EK4.1"/>
        <s v="SVB B0+EK3.1"/>
        <s v="SVB B0 + EK3.1"/>
        <s v="MK3.1_PWL"/>
        <s v="SVB B0 + EK4.1"/>
        <s v="MK1" u="1"/>
      </sharedItems>
    </cacheField>
    <cacheField name="GNSS" numFmtId="0">
      <sharedItems containsBlank="1"/>
    </cacheField>
    <cacheField name="CDMA" numFmtId="0">
      <sharedItems containsBlank="1"/>
    </cacheField>
    <cacheField name="SUS / RA" numFmtId="0">
      <sharedItems containsBlank="1"/>
    </cacheField>
    <cacheField name="MAC Host Name" numFmtId="0">
      <sharedItems containsBlank="1" containsMixedTypes="1" containsNumber="1" containsInteger="1" minValue="4" maxValue="4"/>
    </cacheField>
    <cacheField name="UTT (Port)" numFmtId="0">
      <sharedItems containsBlank="1" containsMixedTypes="1" containsNumber="1" containsInteger="1" minValue="4066" maxValue="70280" count="842">
        <n v="40135"/>
        <n v="40136"/>
        <n v="40140"/>
        <n v="40141"/>
        <n v="40142"/>
        <n v="40143"/>
        <n v="40144"/>
        <n v="40145"/>
        <n v="40146"/>
        <s v="40148"/>
        <n v="40149"/>
        <n v="40150"/>
        <n v="40151"/>
        <m/>
        <n v="40154"/>
        <s v="NA"/>
        <n v="40158"/>
        <n v="40159"/>
        <n v="40162"/>
        <n v="40119"/>
        <n v="40134"/>
        <n v="40169"/>
        <n v="40171"/>
        <n v="40173"/>
        <n v="40175"/>
        <n v="40174"/>
        <n v="40181"/>
        <n v="40182"/>
        <n v="40183"/>
        <n v="40184"/>
        <n v="40185"/>
        <n v="40186"/>
        <n v="40187"/>
        <n v="40188"/>
        <n v="40189"/>
        <n v="40190"/>
        <n v="40125"/>
        <n v="40128"/>
        <n v="40120"/>
        <n v="40198"/>
        <n v="40199"/>
        <n v="40200"/>
        <n v="40201"/>
        <n v="40202"/>
        <n v="40203"/>
        <n v="40205"/>
        <n v="40206"/>
        <n v="40207"/>
        <n v="40222"/>
        <n v="40218"/>
        <n v="40219"/>
        <n v="40220"/>
        <n v="40221"/>
        <n v="40223"/>
        <n v="40224"/>
        <n v="40225"/>
        <n v="40226"/>
        <n v="40227"/>
        <n v="40228"/>
        <n v="40229"/>
        <n v="40230"/>
        <n v="40234"/>
        <n v="40235"/>
        <n v="40236"/>
        <n v="40237"/>
        <n v="40248"/>
        <n v="40249"/>
        <n v="40250"/>
        <n v="40251"/>
        <n v="40252"/>
        <n v="40253"/>
        <n v="40254"/>
        <n v="40255"/>
        <n v="40256"/>
        <n v="40257"/>
        <n v="40129"/>
        <n v="40269"/>
        <n v="40258"/>
        <n v="40259"/>
        <n v="40260"/>
        <n v="40261"/>
        <n v="40262"/>
        <n v="40263"/>
        <n v="40264"/>
        <n v="40265"/>
        <n v="40266"/>
        <n v="40267"/>
        <n v="40268"/>
        <n v="40270"/>
        <n v="40271"/>
        <n v="40272"/>
        <n v="40273"/>
        <n v="40274"/>
        <n v="40275"/>
        <n v="40276"/>
        <n v="40277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288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2"/>
        <n v="40353"/>
        <s v="Yes(40005)"/>
        <s v="Yes(40006)"/>
        <s v="No"/>
        <s v="Yes(40012)"/>
        <s v="Yes(40013)"/>
        <s v="Yes(40014)"/>
        <s v="Yes(40024)"/>
        <s v="Yes(40025)"/>
        <s v="Yes(40026)"/>
        <s v="Yes"/>
        <s v="Yes(40028)"/>
        <s v="Yes(40029)"/>
        <s v="Yes(40031)"/>
        <s v="Yes(40032)"/>
        <s v="Yes(40033)"/>
        <s v="Yes(40034)"/>
        <s v="Yes(40035)"/>
        <s v="Yes(40036)"/>
        <s v="Yes(40037)"/>
        <s v="Yes(40039)"/>
        <s v="Yes(40041)"/>
        <s v="Yes(40044)"/>
        <s v="Yes(40045)"/>
        <s v="Yes(40047)"/>
        <s v="Yes(40077)"/>
        <s v="Yes(40053)"/>
        <s v="Yes(40054)"/>
        <s v="Yes(40055)"/>
        <s v="Yes(40065)"/>
        <s v="Yes(40068)"/>
        <s v="Yes(40069)"/>
        <s v="Yes(40072)"/>
        <s v="Yes(40076)"/>
        <s v="Yes(40078)"/>
        <s v="Yes(40080)"/>
        <s v="Yes(40081)"/>
        <s v="Yes(40099)"/>
        <s v="Yes(40101)"/>
        <n v="70002"/>
        <n v="70003"/>
        <n v="70004"/>
        <s v="40101"/>
        <s v="40102"/>
        <s v="40103"/>
        <s v="40104"/>
        <s v="40105"/>
        <s v="40106"/>
        <s v="40107"/>
        <s v="40108"/>
        <s v="40110"/>
        <s v="40111"/>
        <s v="40112"/>
        <s v="40115"/>
        <s v="40118"/>
        <s v="40119"/>
        <s v="40121"/>
        <s v="40122"/>
        <s v="40123"/>
        <s v="40125"/>
        <s v="40127"/>
        <s v="40131"/>
        <s v="40134"/>
        <s v="40135"/>
        <s v="40136"/>
        <s v="40137"/>
        <s v="40138"/>
        <s v="40139"/>
        <s v="40140"/>
        <s v="40141"/>
        <s v="40142"/>
        <s v="40143"/>
        <s v="40144"/>
        <s v="40145"/>
        <s v="40146"/>
        <s v="40147"/>
        <s v="40149"/>
        <s v="40151"/>
        <s v="40152"/>
        <s v="40153"/>
        <s v="40154"/>
        <s v="40155"/>
        <s v="40156"/>
        <s v="40157"/>
        <s v="40158"/>
        <s v="40160"/>
        <s v="40161"/>
        <s v="40162"/>
        <s v="40163"/>
        <s v="40164"/>
        <s v="40165"/>
        <s v="40166"/>
        <s v="40167"/>
        <s v="40168"/>
        <s v="40169"/>
        <s v="40170"/>
        <s v="40171"/>
        <s v="40174"/>
        <s v="40175"/>
        <s v="40176"/>
        <s v="40177"/>
        <s v="40178"/>
        <s v="40179"/>
        <s v="40180"/>
        <s v="40181"/>
        <s v="40182"/>
        <s v="40184"/>
        <s v="40273"/>
        <s v="40186"/>
        <s v="40187"/>
        <s v="40188"/>
        <s v="40189"/>
        <s v="40190"/>
        <s v="40191"/>
        <s v="40193"/>
        <s v="40194"/>
        <s v="40195"/>
        <s v="40196"/>
        <s v="40197"/>
        <s v="40205"/>
        <s v="40207"/>
        <s v="40208"/>
        <s v="40209"/>
        <s v="40210"/>
        <s v="40211"/>
        <s v="40212"/>
        <s v="40213"/>
        <s v="40214"/>
        <s v="40215"/>
        <s v="40216"/>
        <s v="40218"/>
        <s v="40219"/>
        <s v="40220"/>
        <s v="40221"/>
        <s v="40224"/>
        <s v="40225"/>
        <s v="40382"/>
        <s v="40228"/>
        <s v="40229"/>
        <s v="40230"/>
        <s v="40231"/>
        <s v="40232"/>
        <s v="40233"/>
        <s v="40234"/>
        <s v="40235"/>
        <s v="40236"/>
        <s v="40237"/>
        <s v="40238"/>
        <s v="40239"/>
        <s v="40240"/>
        <s v="40241"/>
        <s v="40242"/>
        <s v="40244"/>
        <s v="40246"/>
        <s v="40247"/>
        <s v="40248"/>
        <s v="40249"/>
        <s v="40250"/>
        <s v="40251"/>
        <s v="40252"/>
        <s v="40253"/>
        <s v="40254"/>
        <s v="40255"/>
        <s v="40256"/>
        <s v="40257"/>
        <s v="40258"/>
        <s v="40259"/>
        <s v="40260"/>
        <s v="40261"/>
        <s v="40262"/>
        <s v="40263"/>
        <s v="40264"/>
        <s v="40265"/>
        <s v="40266"/>
        <s v="40267"/>
        <s v="40268"/>
        <s v="40270"/>
        <s v="40514"/>
        <s v="40272"/>
        <s v="40274"/>
        <s v="40275"/>
        <s v="40276"/>
        <s v="40277"/>
        <s v="40278"/>
        <s v="40279"/>
        <s v="40280"/>
        <s v="40281"/>
        <s v="40282"/>
        <s v="40283"/>
        <s v="40284"/>
        <s v="40285"/>
        <s v="40286"/>
        <s v="40287"/>
        <s v="40288"/>
        <s v="40289"/>
        <s v="40290"/>
        <s v="40291"/>
        <s v="40292"/>
        <s v="40293"/>
        <s v="40294"/>
        <s v="40295"/>
        <s v="40296"/>
        <s v="40301"/>
        <s v="40302"/>
        <s v="40303"/>
        <s v="40304"/>
        <s v="40305"/>
        <s v="40306"/>
        <s v="40307"/>
        <s v="40308"/>
        <s v="40310"/>
        <s v="40311"/>
        <s v="40313"/>
        <s v="40314"/>
        <s v="40315"/>
        <s v="40316"/>
        <s v="40318"/>
        <s v="40319"/>
        <s v="40321"/>
        <s v="40322"/>
        <s v="40323"/>
        <s v="40324"/>
        <s v="40325"/>
        <s v="40326"/>
        <s v="40327"/>
        <s v="40328"/>
        <s v="40329"/>
        <s v="40330"/>
        <s v="40331"/>
        <s v="40332"/>
        <s v="40333"/>
        <s v="40334"/>
        <s v="40337"/>
        <s v="40338"/>
        <s v="40339"/>
        <s v="40340"/>
        <s v="40341"/>
        <s v="40346"/>
        <s v="40348"/>
        <s v="40350"/>
        <s v="40354"/>
        <s v="40356"/>
        <s v="40357"/>
        <s v="40359"/>
        <s v="40360"/>
        <s v="40362"/>
        <s v="40363"/>
        <s v="40364"/>
        <s v="40365"/>
        <s v="40366"/>
        <s v="40367"/>
        <s v="40368"/>
        <s v="40369"/>
        <s v="40370"/>
        <s v="40371"/>
        <s v="40372"/>
        <s v="40373"/>
        <s v="40375"/>
        <s v="40376"/>
        <s v="40378"/>
        <s v="40379"/>
        <s v="40381"/>
        <s v="40385"/>
        <s v="40386"/>
        <s v="40388"/>
        <s v="40390"/>
        <s v="40392"/>
        <s v="40393"/>
        <s v="40394"/>
        <s v="40395"/>
        <s v="40396"/>
        <s v="40397"/>
        <s v="40398"/>
        <s v="40399"/>
        <s v="40400"/>
        <s v="40401"/>
        <s v="40402"/>
        <s v="40404"/>
        <s v="40405"/>
        <s v="40406"/>
        <s v="40408"/>
        <s v="40409"/>
        <s v="40420"/>
        <s v="40421"/>
        <s v="40422"/>
        <s v="40423"/>
        <s v="40424"/>
        <s v="40425"/>
        <s v="40426"/>
        <s v="40427"/>
        <s v="40428"/>
        <s v="40429"/>
        <s v="40430"/>
        <s v="40431"/>
        <s v="40432"/>
        <s v="40433"/>
        <s v="40434"/>
        <s v="40435"/>
        <s v="40436"/>
        <s v="40437"/>
        <s v="40438"/>
        <s v="40439"/>
        <s v="40440"/>
        <s v="40441"/>
        <s v="40442"/>
        <s v="40443"/>
        <s v="40444"/>
        <s v="40445"/>
        <s v="40446"/>
        <s v="40447"/>
        <s v="40448"/>
        <s v="40449"/>
        <s v="40450"/>
        <s v="40451"/>
        <s v="40452"/>
        <s v="40453"/>
        <s v="40454"/>
        <s v="40455"/>
        <s v="40456"/>
        <s v="40457"/>
        <s v="40458"/>
        <s v="40459"/>
        <s v="40460"/>
        <s v="40461"/>
        <s v="40463"/>
        <s v="40464"/>
        <s v="40467"/>
        <s v="40468"/>
        <s v="40469"/>
        <s v="40470"/>
        <s v="40471"/>
        <s v="40472"/>
        <s v="40473"/>
        <s v="40474"/>
        <s v="40475"/>
        <s v="40476"/>
        <s v="40477"/>
        <s v="40478"/>
        <s v="40479"/>
        <s v="40480"/>
        <s v="40481"/>
        <s v="40482"/>
        <s v="40483"/>
        <s v="40484"/>
        <s v="40485"/>
        <s v="40486"/>
        <s v="40487"/>
        <s v="40489"/>
        <s v="40491"/>
        <s v="40492"/>
        <s v="40493"/>
        <s v="40494"/>
        <s v="40495"/>
        <s v="40496"/>
        <s v="40497"/>
        <s v="40498"/>
        <s v="40499"/>
        <s v="40500"/>
        <s v="40502"/>
        <s v="40503"/>
        <s v="40504"/>
        <s v="40505"/>
        <s v="40506"/>
        <s v="40507"/>
        <s v="40509"/>
        <s v="40510"/>
        <s v="40419"/>
        <s v="40511"/>
        <n v="40354"/>
        <n v="40355"/>
        <n v="40356"/>
        <n v="40357"/>
        <n v="40358"/>
        <n v="40359"/>
        <n v="40360"/>
        <n v="40361"/>
        <n v="40192"/>
        <n v="40193"/>
        <n v="20408"/>
        <n v="40209"/>
        <n v="40240"/>
        <n v="40242"/>
        <n v="40243"/>
        <n v="40196"/>
        <n v="40244"/>
        <n v="40245"/>
        <n v="40247"/>
        <s v="40020"/>
        <s v="40021"/>
        <s v="40022"/>
        <s v="40025"/>
        <s v="40173"/>
        <s v="40490"/>
        <s v="40600"/>
        <s v="40601"/>
        <s v="40602"/>
        <s v="40603"/>
        <s v="40604"/>
        <s v="40605"/>
        <s v="40606"/>
        <s v="40607"/>
        <s v="40608"/>
        <s v="40609"/>
        <s v="40610"/>
        <s v="40612"/>
        <s v="40615"/>
        <s v="40616"/>
        <s v="40619"/>
        <s v="40620"/>
        <s v="40621"/>
        <s v="40622"/>
        <s v="40623"/>
        <s v="40624"/>
        <s v="40625"/>
        <s v="40626"/>
        <s v="40627"/>
        <s v="40628"/>
        <s v="40629"/>
        <s v="40630"/>
        <s v="40631"/>
        <s v="40632"/>
        <s v="40633"/>
        <s v="40634"/>
        <s v="40635"/>
        <s v="40636"/>
        <s v="40637"/>
        <s v="40638"/>
        <s v="40639"/>
        <s v="40640"/>
        <s v="40641"/>
        <s v="40642"/>
        <s v="40643"/>
        <s v="40644"/>
        <s v="40645"/>
        <s v="40646"/>
        <s v="40647"/>
        <s v="40648"/>
        <s v="40649"/>
        <s v="40650"/>
        <s v="40651"/>
        <s v="40652"/>
        <s v="40653"/>
        <s v="40654"/>
        <s v="40655"/>
        <s v="40656"/>
        <s v="40657"/>
        <s v="40658"/>
        <s v="40659"/>
        <s v="40660"/>
        <s v="40661"/>
        <s v="40662"/>
        <s v="40663"/>
        <s v="40664"/>
        <s v="40665"/>
        <s v="40666"/>
        <s v="40667"/>
        <s v="40668"/>
        <s v="40669"/>
        <s v="40670"/>
        <s v="40671"/>
        <s v="40672"/>
        <s v="40673"/>
        <s v="40674"/>
        <s v="40675"/>
        <s v="40676"/>
        <s v="40677"/>
        <s v="40678"/>
        <s v="40679"/>
        <s v="40680"/>
        <s v="40681"/>
        <s v="40682"/>
        <s v="40683"/>
        <s v="40684"/>
        <s v="40685"/>
        <s v="40686"/>
        <s v="40687"/>
        <s v="40688"/>
        <s v="40689"/>
        <s v="40690"/>
        <s v="40692"/>
        <s v="40693"/>
        <s v="40696"/>
        <s v="40706"/>
        <s v="40707"/>
        <s v="40709"/>
        <s v="40710"/>
        <s v="40711"/>
        <s v="40712"/>
        <s v="40713"/>
        <s v="40714"/>
        <s v="40715"/>
        <s v="40716"/>
        <s v="40717"/>
        <s v="40718"/>
        <s v="40719"/>
        <s v="40720"/>
        <s v="40721"/>
        <s v="40722"/>
        <s v="40723"/>
        <s v="40724"/>
        <s v="40725"/>
        <s v="40726"/>
        <s v="40727"/>
        <s v="40728"/>
        <s v="40729"/>
        <s v="40730"/>
        <s v="40731"/>
        <s v="40732"/>
        <s v="40733"/>
        <s v="40734"/>
        <s v="40735"/>
        <s v="40736"/>
        <s v="40737"/>
        <s v="40738"/>
        <s v="40740"/>
        <s v="40744"/>
        <s v="40745"/>
        <s v="40746"/>
        <s v="40747"/>
        <s v="40748"/>
        <s v="40749"/>
        <s v="40750"/>
        <s v="40751"/>
        <s v="40752"/>
        <s v="40753"/>
        <s v="40754"/>
        <s v="40755"/>
        <s v="40756"/>
        <s v="40757"/>
        <s v="40758"/>
        <s v="40759"/>
        <s v="40760"/>
        <s v="40761"/>
        <s v="40762"/>
        <s v="40763"/>
        <s v="40764"/>
        <s v="40765"/>
        <s v="40766"/>
        <s v="40697"/>
        <s v="40698"/>
        <s v="40699"/>
        <s v="40700"/>
        <s v="40701"/>
        <s v="40702"/>
        <s v="40691"/>
        <s v="40694"/>
        <s v="40703"/>
        <s v="40704"/>
        <s v="40695"/>
        <s v="40705"/>
        <s v="40739"/>
        <s v="40741"/>
        <s v="40742"/>
        <s v="40743"/>
        <s v="40767"/>
        <s v="40768"/>
        <s v="40769"/>
        <s v="40770"/>
        <s v="40771"/>
        <s v="40772"/>
        <s v="40773"/>
        <s v="40774"/>
        <s v="40775"/>
        <s v="40776"/>
        <s v="40777"/>
        <s v="40778"/>
        <s v="40779"/>
        <s v="40780"/>
        <s v="40781"/>
        <s v="40782"/>
        <s v="40783"/>
        <s v="40784"/>
        <s v="40785"/>
        <s v="40786"/>
        <s v="40787"/>
        <s v="40788"/>
        <s v="40789"/>
        <s v="40790"/>
        <s v="40791"/>
        <s v="40792"/>
        <s v="40793"/>
        <s v="40794"/>
        <s v="40795"/>
        <s v="40796"/>
        <s v="40797"/>
        <s v="40798"/>
        <s v="40799"/>
        <s v="40800"/>
        <s v="40801"/>
        <s v="40802"/>
        <s v="40803"/>
        <s v="40804"/>
        <s v="40805"/>
        <s v="40806"/>
        <s v="Yes(40161)"/>
        <s v="Yes(40162)"/>
        <s v="Yes(40163)"/>
        <s v="Yes(40164)"/>
        <s v="Yes(40165)"/>
        <s v="Yes(40172)"/>
        <s v="Yes(40166)"/>
        <s v="Yes(40167)"/>
        <s v="Yes(40174)"/>
        <s v="Yes(40175)"/>
        <s v="Yes(40176)"/>
        <s v="Yes(40177)"/>
        <s v="Yes(40178)"/>
        <s v="Yes(40179)"/>
        <n v="45256"/>
        <n v="45257"/>
        <n v="45349"/>
        <n v="45258"/>
        <n v="45262"/>
        <n v="45300"/>
        <n v="45347"/>
        <n v="45351"/>
        <n v="45301"/>
        <n v="45302"/>
        <n v="45303"/>
        <n v="45304"/>
        <n v="45305"/>
        <n v="45367"/>
        <n v="45369"/>
        <n v="45370"/>
        <n v="45371"/>
        <n v="45372"/>
        <n v="45373"/>
        <n v="45374"/>
        <n v="45375"/>
        <n v="45376"/>
        <n v="45377"/>
        <n v="45379"/>
        <n v="45380"/>
        <n v="45382"/>
        <s v="Yes(40181)"/>
        <s v="Yes(40182)"/>
        <s v="Yes(40183)"/>
        <s v="Yes(40184)"/>
        <s v="Yes(40185)"/>
        <s v="Yes(40187)"/>
        <s v="Yes(40188)"/>
        <s v="Yes(40168)"/>
        <s v="Broken"/>
        <n v="40197" u="1"/>
        <n v="45368" u="1"/>
        <n v="40327" u="1"/>
        <n v="40139" u="1"/>
        <n v="40392" u="1"/>
        <n v="40204" u="1"/>
        <n v="40331" u="1"/>
        <n v="40079" u="1"/>
        <n v="40210" u="1"/>
        <n v="40211" u="1"/>
        <n v="40212" u="1"/>
        <n v="40213" u="1"/>
        <n v="40024" u="1"/>
        <n v="40215" u="1"/>
        <n v="40409" u="1"/>
        <n v="40287" u="1"/>
        <n v="40351" u="1"/>
        <n v="40163" u="1"/>
        <n v="40164" u="1"/>
        <n v="40103" u="1"/>
        <n v="40107" u="1"/>
        <n v="40426" u="1"/>
        <n v="70280" u="1"/>
        <n v="40364" u="1"/>
        <n v="40238" u="1"/>
        <n v="40112" u="1"/>
        <n v="40365" u="1"/>
        <n v="40429" u="1"/>
        <n v="40241" u="1"/>
        <n v="40178" u="1"/>
        <n v="40179" u="1"/>
        <n v="40370" u="1"/>
        <n v="40371" u="1"/>
        <n v="40372" u="1"/>
        <n v="45353" u="1"/>
        <n v="40437" u="1"/>
        <n v="40438" u="1"/>
        <n v="40442" u="1"/>
        <n v="40127" u="1"/>
        <n v="40191" u="1"/>
        <n v="4066" u="1"/>
        <n v="40194" u="1"/>
        <n v="40131" u="1"/>
        <n v="40195" u="1"/>
        <n v="40448" u="1"/>
        <n v="40386" u="1"/>
      </sharedItems>
    </cacheField>
    <cacheField name="NVM Folder" numFmtId="0">
      <sharedItems containsBlank="1" containsMixedTypes="1" containsNumber="1" containsInteger="1" minValue="0" maxValue="0"/>
    </cacheField>
    <cacheField name="DUT SN" numFmtId="0">
      <sharedItems containsBlank="1"/>
    </cacheField>
    <cacheField name="SIM1 Number" numFmtId="0">
      <sharedItems containsBlank="1" containsMixedTypes="1" containsNumber="1" containsInteger="1" minValue="971727403" maxValue="4917610563440"/>
    </cacheField>
    <cacheField name="IMEI_1" numFmtId="0">
      <sharedItems containsBlank="1" containsMixedTypes="1" containsNumber="1" containsInteger="1" minValue="44015228973" maxValue="354999010649999"/>
    </cacheField>
    <cacheField name="IMEI_2" numFmtId="0">
      <sharedItems containsBlank="1" containsMixedTypes="1" containsNumber="1" containsInteger="1" minValue="0" maxValue="354999010649999"/>
    </cacheField>
    <cacheField name="SIM2 Number" numFmtId="0">
      <sharedItems containsBlank="1" containsMixedTypes="1" containsNumber="1" containsInteger="1" minValue="5037288471" maxValue="18911175846"/>
    </cacheField>
    <cacheField name="Time Stamp" numFmtId="0">
      <sharedItems containsDate="1" containsBlank="1" containsMixedTypes="1" minDate="2018-02-05T00:00:00" maxDate="2019-01-06T00:00:00"/>
    </cacheField>
    <cacheField name="LabOps" numFmtId="0">
      <sharedItems containsBlank="1"/>
    </cacheField>
    <cacheField name="DevOps" numFmtId="0">
      <sharedItems containsBlank="1"/>
    </cacheField>
    <cacheField name="Can be used" numFmtId="0">
      <sharedItems containsBlank="1" count="5">
        <s v="Yes"/>
        <s v="No"/>
        <m/>
        <s v="In progress"/>
        <s v="Broken"/>
      </sharedItems>
    </cacheField>
    <cacheField name="Ext. Status" numFmtId="0">
      <sharedItems containsBlank="1"/>
    </cacheField>
    <cacheField name="Comment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wang17" refreshedDate="43470.396681134262" createdVersion="5" refreshedVersion="5" minRefreshableVersion="3" recordCount="1785">
  <cacheSource type="worksheet">
    <worksheetSource ref="A1:AA1048576" sheet="Nodes"/>
  </cacheSource>
  <cacheFields count="27">
    <cacheField name="Site" numFmtId="0">
      <sharedItems containsBlank="1"/>
    </cacheField>
    <cacheField name="Setup Name" numFmtId="0">
      <sharedItems containsBlank="1"/>
    </cacheField>
    <cacheField name="Used in Run plan" numFmtId="0">
      <sharedItems containsBlank="1"/>
    </cacheField>
    <cacheField name="Build Type" numFmtId="0">
      <sharedItems containsBlank="1"/>
    </cacheField>
    <cacheField name="PCIe/USB" numFmtId="0">
      <sharedItems containsBlank="1"/>
    </cacheField>
    <cacheField name="Serial" numFmtId="0">
      <sharedItems containsBlank="1" containsMixedTypes="1" containsNumber="1" containsInteger="1" minValue="321992" maxValue="4079974"/>
    </cacheField>
    <cacheField name="Location" numFmtId="0">
      <sharedItems containsBlank="1"/>
    </cacheField>
    <cacheField name="Project" numFmtId="0">
      <sharedItems containsBlank="1"/>
    </cacheField>
    <cacheField name="SIM System" numFmtId="0">
      <sharedItems containsBlank="1" count="3">
        <s v="SSIM"/>
        <s v="MSIM"/>
        <m/>
      </sharedItems>
    </cacheField>
    <cacheField name="Operator Combo" numFmtId="0">
      <sharedItems containsBlank="1" count="70">
        <s v="Airtel"/>
        <s v="JIO+JIO"/>
        <m/>
        <s v="VDFIN+Airtel"/>
        <s v="JIO"/>
        <s v="RJIO"/>
        <s v="VDFIN+JIO"/>
        <s v="AIRTEL+VDF"/>
        <s v="VDFIN"/>
        <s v="JIO+AIRTEL"/>
        <s v="Airtel+JIO"/>
        <s v="Airtel+Airtel"/>
        <s v="Jio+Airtel "/>
        <s v="Airtel + JIO"/>
        <s v="O2"/>
        <s v="TMO DE"/>
        <s v="T-Mo + VDF"/>
        <s v="SUS"/>
        <s v="ALU"/>
        <s v="VZW"/>
        <s v="ATT US"/>
        <s v="TMO US"/>
        <s v="SPRINT"/>
        <s v="ATT US+TMO US"/>
        <s v="VZW+ATT"/>
        <s v="CMCC+CTC"/>
        <s v="CTC"/>
        <s v="CMCC+CMCC"/>
        <s v="HUAWEI+HUAWEI"/>
        <s v="CTC+CMCC"/>
        <s v="CUC+CMCC"/>
        <s v="CMCC"/>
        <s v="CMCC+CUC"/>
        <s v="CUC+CUC"/>
        <s v="CUC"/>
        <s v="CTC+CUC"/>
        <s v="CATR"/>
        <s v="CATR+HUAWEI"/>
        <s v="CUC+CTC"/>
        <s v="ATT+TMO"/>
        <s v="Sprint/TMO"/>
        <s v="VZW/TMO"/>
        <s v="ZTE+CATR"/>
        <s v="ZTE+HUAWEI"/>
        <s v="CATR+ZTE"/>
        <s v="VDF"/>
        <s v="VDF+JIO"/>
        <s v="T-Mobile de"/>
        <s v="VDF+Airtel"/>
        <s v="Verizon"/>
        <s v="AT&amp;T"/>
        <s v="ATT&amp;Tmo"/>
        <s v="Verizon&amp;ATT"/>
        <s v="T-MOBILE US"/>
        <s v="ATT"/>
        <s v="TMO"/>
        <s v="Sprint/ATT US"/>
        <s v="VZW/VZW"/>
        <s v="T-Mo"/>
        <s v="Sprint&amp;ATT"/>
        <s v="Verizon&amp;Verizon"/>
        <s v="Sprint/VZW"/>
        <s v="VZW/ATT US"/>
        <s v="Verizon&amp;TMo"/>
        <s v="Sprint&amp;Verizon"/>
        <s v="ATT + T-Mo"/>
        <s v="SPR+ATT"/>
        <s v="VZW+VZW"/>
        <s v="T-Mo_x000a_Verizon"/>
        <s v="ATT_x000a_Verizon"/>
      </sharedItems>
    </cacheField>
    <cacheField name="RAT Combo" numFmtId="0">
      <sharedItems containsBlank="1" count="69">
        <s v="TDD"/>
        <s v="FDD+FDD"/>
        <m/>
        <s v="FDD+WCDMA"/>
        <s v="FDD"/>
        <s v="WCDMA"/>
        <s v="2G"/>
        <s v="WCDMA+WCDMA"/>
        <s v="TDD+WCDMA"/>
        <s v="TDD+FDD"/>
        <s v="TDD CSFB"/>
        <s v="NA"/>
        <s v="FDD (TMO) + FDD (VDF)"/>
        <s v="Hybrid"/>
        <s v="SRLTE"/>
        <s v="SRLTE+3G"/>
        <s v="TDD+1XRTT"/>
        <s v="TDD+TDD"/>
        <s v="TDD+2G"/>
        <s v="SRLTE+2G"/>
        <s v="FDD+TDD"/>
        <s v="TDD+3G"/>
        <s v="TDS"/>
        <s v="TDS+3G"/>
        <s v="FDD+2G"/>
        <s v="2G(CUC)"/>
        <s v="1XRTT+2G"/>
        <s v="SRLTE+TDD"/>
        <s v="HYBRID+2G"/>
        <s v="FDD+1XRTT"/>
        <s v="LTE_pre_VOLTE"/>
        <s v="LTE_pre"/>
        <s v="FDD VOLTE"/>
        <s v="TDD (Airtel) + TDD (Jio)"/>
        <s v="FDD+3G"/>
        <s v="SRLTE/FDD"/>
        <s v="HYBRID+TDD"/>
        <s v="FDD+TDD(VOLTE)"/>
        <s v="SRLTE+FDD"/>
        <s v="1XRTT"/>
        <s v="SM_3G"/>
        <s v="VoLTE+FDD"/>
        <s v="DM_3G2G"/>
        <s v="HYBRID+FDD"/>
        <s v="TDD (Airtel) + FDD (Jio)"/>
        <s v="FDD (Jio) + FDD (Jio)"/>
        <s v="TDD (Jio) + WCDMA (Airtel)"/>
        <s v="FDD (VDF) + TDD (Jio)"/>
        <s v="TDD (Airtel) + FDD (VDF)"/>
        <s v="FDD (VDF) + WCDMA (Airtel)"/>
        <s v="WCDMA (Airtel) + WCDMA (VDF)"/>
        <s v="SM_2G"/>
        <s v="FDD CSFB"/>
        <s v="CDMA_HYBRID"/>
        <s v="FDD VoLTE (ATT) + FDD CSFB (T-Mo)"/>
        <s v="FDD VoLTE (VZW) + FDD VoLTE/CSFB (ATT)"/>
        <s v="SM_4G+DM_4G3G"/>
        <s v="SRLTE (Sprint) + FDD (ATT)"/>
        <s v="FDD VoLTE (ATT) + FDD CSFB (T-Mo) "/>
        <s v="FDD VoLTE (VZW) + FDD VoLTE (VZW)"/>
        <s v="SRLTE (Sprint) + FDD (ATT) "/>
        <s v="SRLTE (VZW) + FDD VoLTE/CSFB (ATT)"/>
        <s v="WCDMA (Airtel) + WCDMA"/>
        <s v="SRLTE (SPR) + FDD VoLTE (VZW) "/>
        <s v="FDD VoLTE (VZW) + WCDMA (TMO)"/>
        <s v="SRLTE (SPR) + FDD VoLTE (VZW)"/>
        <s v="FDD VoLTE (VZW) + FDD VoLTE (VZW) "/>
        <s v="FDD (DM_4G3G)"/>
        <s v="LTE"/>
      </sharedItems>
    </cacheField>
    <cacheField name="HW DUT" numFmtId="0">
      <sharedItems containsBlank="1" count="17">
        <s v="SVB C2"/>
        <s v="MK5"/>
        <s v="MK4.1"/>
        <m/>
        <s v="MK4"/>
        <s v="A1"/>
        <s v="B0"/>
        <s v="A0"/>
        <s v="MK3"/>
        <s v="MK6"/>
        <s v="MK2"/>
        <s v="MK4.0"/>
        <s v="SVB B0+EK4.1"/>
        <s v="SVB B0+EK3.1"/>
        <s v="SVB B0 + EK3.1"/>
        <s v="MK3.1_PWL"/>
        <s v="SVB B0 + EK4.1"/>
      </sharedItems>
    </cacheField>
    <cacheField name="GNSS" numFmtId="0">
      <sharedItems containsBlank="1"/>
    </cacheField>
    <cacheField name="CDMA" numFmtId="0">
      <sharedItems containsBlank="1"/>
    </cacheField>
    <cacheField name="SUS / RA" numFmtId="0">
      <sharedItems containsBlank="1"/>
    </cacheField>
    <cacheField name="MAC Host Name" numFmtId="0">
      <sharedItems containsBlank="1" containsMixedTypes="1" containsNumber="1" containsInteger="1" minValue="4" maxValue="4"/>
    </cacheField>
    <cacheField name="UTT (Port)" numFmtId="0">
      <sharedItems containsBlank="1" containsMixedTypes="1" containsNumber="1" containsInteger="1" minValue="20408" maxValue="70004"/>
    </cacheField>
    <cacheField name="NVM Folder" numFmtId="0">
      <sharedItems containsBlank="1" containsMixedTypes="1" containsNumber="1" containsInteger="1" minValue="0" maxValue="0"/>
    </cacheField>
    <cacheField name="DUT SN" numFmtId="0">
      <sharedItems containsBlank="1"/>
    </cacheField>
    <cacheField name="SIM1 Number" numFmtId="0">
      <sharedItems containsBlank="1" containsMixedTypes="1" containsNumber="1" containsInteger="1" minValue="971727403" maxValue="4917610563440"/>
    </cacheField>
    <cacheField name="IMEI_1" numFmtId="0">
      <sharedItems containsBlank="1" containsMixedTypes="1" containsNumber="1" containsInteger="1" minValue="44015228973" maxValue="354999010649999"/>
    </cacheField>
    <cacheField name="IMEI_2" numFmtId="0">
      <sharedItems containsBlank="1" containsMixedTypes="1" containsNumber="1" containsInteger="1" minValue="0" maxValue="354999010649999"/>
    </cacheField>
    <cacheField name="SIM2 Number" numFmtId="0">
      <sharedItems containsBlank="1" containsMixedTypes="1" containsNumber="1" containsInteger="1" minValue="5037288471" maxValue="18911175846"/>
    </cacheField>
    <cacheField name="Time Stamp" numFmtId="0">
      <sharedItems containsDate="1" containsBlank="1" containsMixedTypes="1" minDate="2018-02-05T00:00:00" maxDate="2019-01-06T00:00:00"/>
    </cacheField>
    <cacheField name="LabOps" numFmtId="0">
      <sharedItems containsBlank="1"/>
    </cacheField>
    <cacheField name="DevOps" numFmtId="0">
      <sharedItems containsBlank="1"/>
    </cacheField>
    <cacheField name="Can be used" numFmtId="0">
      <sharedItems containsBlank="1" count="5">
        <s v="Yes"/>
        <s v="No"/>
        <m/>
        <s v="In progress"/>
        <s v="Broke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5">
  <r>
    <x v="0"/>
    <s v="BASRTL135"/>
    <s v="Yes"/>
    <x v="0"/>
    <s v="PCIe"/>
    <s v="SN2510811"/>
    <s v="R25/7"/>
    <x v="0"/>
    <x v="0"/>
    <x v="0"/>
    <x v="0"/>
    <x v="0"/>
    <s v="No"/>
    <s v="No"/>
    <s v="4x"/>
    <m/>
    <x v="0"/>
    <m/>
    <m/>
    <n v="7338636158"/>
    <n v="440152237430"/>
    <m/>
    <m/>
    <d v="2018-04-05T00:00:00"/>
    <s v="Yes"/>
    <s v="Yes"/>
    <x v="0"/>
    <m/>
    <m/>
  </r>
  <r>
    <x v="0"/>
    <s v="BASRTL136"/>
    <s v="No"/>
    <x v="1"/>
    <s v="PCIe"/>
    <s v="SN2388893"/>
    <m/>
    <x v="0"/>
    <x v="0"/>
    <x v="0"/>
    <x v="0"/>
    <x v="1"/>
    <s v="No"/>
    <s v="No"/>
    <m/>
    <m/>
    <x v="1"/>
    <m/>
    <m/>
    <n v="9513471195"/>
    <n v="440152218141"/>
    <m/>
    <n v="7349781107"/>
    <d v="2018-04-05T00:00:00"/>
    <s v="Yes"/>
    <s v="Yes"/>
    <x v="0"/>
    <m/>
    <s v="IDC setup"/>
  </r>
  <r>
    <x v="0"/>
    <s v="BASRTL140"/>
    <s v="No"/>
    <x v="2"/>
    <s v="BlackRay"/>
    <s v="SN2510654"/>
    <m/>
    <x v="0"/>
    <x v="0"/>
    <x v="0"/>
    <x v="0"/>
    <x v="2"/>
    <s v="No"/>
    <s v="No"/>
    <m/>
    <m/>
    <x v="2"/>
    <m/>
    <m/>
    <n v="8660690674"/>
    <n v="440152219698"/>
    <m/>
    <n v="7625047643"/>
    <d v="2018-04-05T00:00:00"/>
    <s v="Yes"/>
    <s v="Yes"/>
    <x v="1"/>
    <s v="Lend to Script"/>
    <s v="being used by  DevOps"/>
  </r>
  <r>
    <x v="0"/>
    <s v="BASRTL141"/>
    <s v="Yes"/>
    <x v="3"/>
    <s v="PCIe"/>
    <s v="SN2388902"/>
    <s v="R11/5"/>
    <x v="0"/>
    <x v="1"/>
    <x v="1"/>
    <x v="1"/>
    <x v="1"/>
    <s v="No"/>
    <s v="No"/>
    <m/>
    <m/>
    <x v="3"/>
    <m/>
    <m/>
    <n v="7625046463"/>
    <n v="440152237427"/>
    <m/>
    <n v="7625047669"/>
    <d v="2018-04-05T00:00:00"/>
    <s v="Yes"/>
    <s v="Yes"/>
    <x v="0"/>
    <m/>
    <m/>
  </r>
  <r>
    <x v="0"/>
    <s v="BASRTL142"/>
    <s v="No"/>
    <x v="2"/>
    <s v="PCIe"/>
    <s v="SN2510574"/>
    <m/>
    <x v="0"/>
    <x v="2"/>
    <x v="2"/>
    <x v="2"/>
    <x v="3"/>
    <m/>
    <m/>
    <m/>
    <m/>
    <x v="4"/>
    <m/>
    <m/>
    <m/>
    <m/>
    <m/>
    <m/>
    <m/>
    <s v="No"/>
    <s v="No"/>
    <x v="1"/>
    <s v="Debug Needed"/>
    <s v="faulty"/>
  </r>
  <r>
    <x v="0"/>
    <s v="BASRTL143"/>
    <s v="Yes"/>
    <x v="3"/>
    <s v="PCIe"/>
    <s v="SN3219627"/>
    <s v="R24/4"/>
    <x v="0"/>
    <x v="1"/>
    <x v="3"/>
    <x v="3"/>
    <x v="1"/>
    <s v="No"/>
    <s v="No"/>
    <m/>
    <m/>
    <x v="5"/>
    <m/>
    <m/>
    <n v="9513388335"/>
    <n v="440152238922"/>
    <m/>
    <n v="7349781093"/>
    <d v="2018-04-05T00:00:00"/>
    <s v="Yes"/>
    <s v="Yes"/>
    <x v="0"/>
    <m/>
    <m/>
  </r>
  <r>
    <x v="0"/>
    <s v="BASRTL144"/>
    <s v="Yes"/>
    <x v="4"/>
    <s v="PCIe"/>
    <s v="SN3120191"/>
    <s v="R24/5"/>
    <x v="1"/>
    <x v="0"/>
    <x v="4"/>
    <x v="4"/>
    <x v="4"/>
    <s v="No"/>
    <s v="No"/>
    <s v="4x"/>
    <m/>
    <x v="6"/>
    <m/>
    <m/>
    <n v="7899716567"/>
    <n v="440152237452"/>
    <m/>
    <m/>
    <d v="2018-04-05T00:00:00"/>
    <s v="Yes"/>
    <s v="Yes"/>
    <x v="0"/>
    <m/>
    <s v="_x000a_JAN 3: Recalibarted on XMM7660_01.1902_DB07__Bender167766.2__SMS32806219 Sanity Ongoing_x000a_JAN 2: Recalibartion On going on 1901DB01 with 1851.01 Cal Tool (Calibartion Failng)"/>
  </r>
  <r>
    <x v="0"/>
    <s v="BASRTL145"/>
    <s v="Yes"/>
    <x v="5"/>
    <s v="PCIe"/>
    <s v="SN3219633"/>
    <s v="R24/6"/>
    <x v="0"/>
    <x v="0"/>
    <x v="0"/>
    <x v="0"/>
    <x v="1"/>
    <s v="No"/>
    <s v="No"/>
    <m/>
    <m/>
    <x v="7"/>
    <m/>
    <m/>
    <n v="7625036346"/>
    <n v="440152239963"/>
    <m/>
    <m/>
    <d v="2018-04-05T00:00:00"/>
    <s v="Yes"/>
    <s v="Yes"/>
    <x v="0"/>
    <m/>
    <m/>
  </r>
  <r>
    <x v="0"/>
    <s v="BASRTL146"/>
    <s v="Yes"/>
    <x v="0"/>
    <s v="PCIe"/>
    <s v="SN3219634"/>
    <s v="R24/7"/>
    <x v="0"/>
    <x v="0"/>
    <x v="5"/>
    <x v="0"/>
    <x v="1"/>
    <s v="No"/>
    <s v="No"/>
    <s v="4x"/>
    <m/>
    <x v="8"/>
    <m/>
    <m/>
    <n v="7349334951"/>
    <s v="00440152238390 "/>
    <m/>
    <m/>
    <d v="2018-04-05T00:00:00"/>
    <s v="Yes"/>
    <s v="Yes"/>
    <x v="0"/>
    <m/>
    <m/>
  </r>
  <r>
    <x v="0"/>
    <s v="BASRTL148"/>
    <s v="Yes"/>
    <x v="3"/>
    <s v="PCIe"/>
    <s v="SN3219571"/>
    <s v="R27/7"/>
    <x v="0"/>
    <x v="1"/>
    <x v="6"/>
    <x v="1"/>
    <x v="1"/>
    <s v="Yes"/>
    <s v="No"/>
    <m/>
    <m/>
    <x v="9"/>
    <m/>
    <m/>
    <n v="9916367897"/>
    <n v="440152218141"/>
    <m/>
    <m/>
    <d v="2018-04-05T00:00:00"/>
    <s v="Yes"/>
    <s v="Yes"/>
    <x v="0"/>
    <m/>
    <m/>
  </r>
  <r>
    <x v="0"/>
    <s v="BASRTL149"/>
    <s v="No"/>
    <x v="2"/>
    <s v="PCIe"/>
    <s v="SN3219922"/>
    <m/>
    <x v="0"/>
    <x v="0"/>
    <x v="2"/>
    <x v="2"/>
    <x v="3"/>
    <m/>
    <m/>
    <m/>
    <m/>
    <x v="10"/>
    <m/>
    <m/>
    <m/>
    <m/>
    <m/>
    <m/>
    <m/>
    <s v="No"/>
    <s v="No"/>
    <x v="1"/>
    <s v="Debug Needed"/>
    <s v="faulty"/>
  </r>
  <r>
    <x v="0"/>
    <s v="BASRTL150"/>
    <s v="Yes"/>
    <x v="0"/>
    <s v="PCIe"/>
    <s v="SN3219780"/>
    <s v="R11/4"/>
    <x v="1"/>
    <x v="0"/>
    <x v="0"/>
    <x v="5"/>
    <x v="4"/>
    <s v="No"/>
    <s v="No"/>
    <s v="4x"/>
    <m/>
    <x v="11"/>
    <m/>
    <m/>
    <n v="7625036345"/>
    <n v="440152238937"/>
    <m/>
    <m/>
    <d v="2018-04-05T00:00:00"/>
    <s v="Yes"/>
    <s v="Yes"/>
    <x v="0"/>
    <m/>
    <s v="26Dec: Moved from ICE 18 to 19 and Sanity Run Ongoing "/>
  </r>
  <r>
    <x v="0"/>
    <s v="BASRTL151"/>
    <s v="Yes"/>
    <x v="4"/>
    <s v="PCIe"/>
    <s v="SN3219759"/>
    <s v="R25/2"/>
    <x v="0"/>
    <x v="0"/>
    <x v="0"/>
    <x v="0"/>
    <x v="1"/>
    <s v="No"/>
    <s v="No"/>
    <s v="4x"/>
    <m/>
    <x v="12"/>
    <m/>
    <m/>
    <n v="9945617637"/>
    <n v="440152237453"/>
    <m/>
    <m/>
    <d v="2018-04-05T00:00:00"/>
    <s v="Yes"/>
    <s v="Yes"/>
    <x v="0"/>
    <m/>
    <m/>
  </r>
  <r>
    <x v="0"/>
    <s v="BASRTL152"/>
    <m/>
    <x v="2"/>
    <s v="PCIe"/>
    <s v="SN3219668"/>
    <s v="R21/5"/>
    <x v="2"/>
    <x v="0"/>
    <x v="0"/>
    <x v="0"/>
    <x v="5"/>
    <s v="No"/>
    <s v="No"/>
    <m/>
    <m/>
    <x v="13"/>
    <m/>
    <m/>
    <n v="7349781069"/>
    <n v="354999010649999"/>
    <m/>
    <m/>
    <d v="2018-04-05T00:00:00"/>
    <s v="Yes"/>
    <s v="Yes"/>
    <x v="0"/>
    <m/>
    <m/>
  </r>
  <r>
    <x v="0"/>
    <s v="BASRTL153"/>
    <m/>
    <x v="2"/>
    <s v="PCIe"/>
    <s v="3SN219929"/>
    <m/>
    <x v="3"/>
    <x v="2"/>
    <x v="2"/>
    <x v="6"/>
    <x v="3"/>
    <m/>
    <m/>
    <m/>
    <m/>
    <x v="13"/>
    <m/>
    <m/>
    <m/>
    <m/>
    <m/>
    <m/>
    <m/>
    <m/>
    <m/>
    <x v="2"/>
    <m/>
    <s v="removed from rack"/>
  </r>
  <r>
    <x v="0"/>
    <s v="BASRTL154"/>
    <s v="Yes"/>
    <x v="4"/>
    <s v="PCIe"/>
    <s v="SN3219918"/>
    <s v="R10/5"/>
    <x v="0"/>
    <x v="0"/>
    <x v="0"/>
    <x v="0"/>
    <x v="1"/>
    <s v="No"/>
    <s v="No"/>
    <s v="4x"/>
    <m/>
    <x v="14"/>
    <m/>
    <m/>
    <n v="7338636157"/>
    <n v="440152238923"/>
    <m/>
    <m/>
    <d v="2018-04-05T00:00:00"/>
    <s v="Yes"/>
    <s v="Yes"/>
    <x v="0"/>
    <m/>
    <m/>
  </r>
  <r>
    <x v="0"/>
    <s v="BASRTL155"/>
    <s v="Yes"/>
    <x v="3"/>
    <s v="PCIe"/>
    <s v="SN3219786"/>
    <s v="R27/5"/>
    <x v="0"/>
    <x v="1"/>
    <x v="3"/>
    <x v="3"/>
    <x v="1"/>
    <s v="Yes"/>
    <s v="No"/>
    <m/>
    <m/>
    <x v="15"/>
    <m/>
    <m/>
    <n v="9513421189"/>
    <n v="440152237424"/>
    <m/>
    <m/>
    <d v="2018-04-05T00:00:00"/>
    <s v="Yes"/>
    <s v="Yes"/>
    <x v="0"/>
    <m/>
    <m/>
  </r>
  <r>
    <x v="0"/>
    <s v="BASRTL156"/>
    <s v="Yes"/>
    <x v="3"/>
    <s v="PCIe"/>
    <s v="SN3219800"/>
    <s v="R27/6"/>
    <x v="0"/>
    <x v="1"/>
    <x v="3"/>
    <x v="3"/>
    <x v="1"/>
    <s v="Yes"/>
    <s v="No"/>
    <m/>
    <m/>
    <x v="15"/>
    <m/>
    <m/>
    <n v="9513388113"/>
    <n v="440152237424"/>
    <m/>
    <m/>
    <d v="2018-04-05T00:00:00"/>
    <s v="Yes"/>
    <s v="Yes"/>
    <x v="0"/>
    <m/>
    <m/>
  </r>
  <r>
    <x v="0"/>
    <s v="BASRTL157"/>
    <m/>
    <x v="2"/>
    <s v="PCIe"/>
    <s v="SN3219903"/>
    <m/>
    <x v="4"/>
    <x v="2"/>
    <x v="2"/>
    <x v="2"/>
    <x v="3"/>
    <m/>
    <m/>
    <m/>
    <m/>
    <x v="13"/>
    <m/>
    <m/>
    <m/>
    <m/>
    <m/>
    <m/>
    <m/>
    <s v="No"/>
    <s v="No"/>
    <x v="1"/>
    <m/>
    <s v="ramped down"/>
  </r>
  <r>
    <x v="0"/>
    <s v="BASRTL158"/>
    <s v="No"/>
    <x v="5"/>
    <s v="PCIe"/>
    <s v="SN3219835"/>
    <s v="R10/1"/>
    <x v="0"/>
    <x v="0"/>
    <x v="0"/>
    <x v="0"/>
    <x v="1"/>
    <s v="No"/>
    <s v="No"/>
    <m/>
    <m/>
    <x v="16"/>
    <m/>
    <m/>
    <n v="7625036337"/>
    <n v="440152238921"/>
    <m/>
    <n v="9513421196"/>
    <d v="2018-04-05T00:00:00"/>
    <s v="Yes"/>
    <s v="Yes"/>
    <x v="0"/>
    <m/>
    <s v="IDC setup"/>
  </r>
  <r>
    <x v="0"/>
    <s v="BASRTL159"/>
    <s v="Yes"/>
    <x v="4"/>
    <s v="PCIe"/>
    <s v="SN3219843"/>
    <s v="R11/6"/>
    <x v="0"/>
    <x v="0"/>
    <x v="0"/>
    <x v="0"/>
    <x v="1"/>
    <s v="No"/>
    <s v="No"/>
    <m/>
    <m/>
    <x v="17"/>
    <m/>
    <m/>
    <n v="7349781127"/>
    <s v="00440152237451 "/>
    <m/>
    <m/>
    <d v="2018-04-05T00:00:00"/>
    <s v="Yes"/>
    <s v="Yes"/>
    <x v="0"/>
    <m/>
    <m/>
  </r>
  <r>
    <x v="0"/>
    <s v="BASRTL160"/>
    <m/>
    <x v="2"/>
    <s v="PCIe"/>
    <s v="SN3219656"/>
    <s v="R9/4"/>
    <x v="2"/>
    <x v="0"/>
    <x v="0"/>
    <x v="0"/>
    <x v="5"/>
    <s v="No"/>
    <s v="No"/>
    <m/>
    <m/>
    <x v="13"/>
    <m/>
    <m/>
    <n v="7625047640"/>
    <n v="440152066752"/>
    <m/>
    <n v="7349700000"/>
    <d v="2018-05-09T00:00:00"/>
    <s v="Yes"/>
    <s v="Yes"/>
    <x v="0"/>
    <m/>
    <m/>
  </r>
  <r>
    <x v="0"/>
    <s v="BASRTL162"/>
    <s v="Yes"/>
    <x v="0"/>
    <s v="PCIe"/>
    <s v="SN3219930"/>
    <s v="R7/4"/>
    <x v="0"/>
    <x v="0"/>
    <x v="0"/>
    <x v="0"/>
    <x v="1"/>
    <s v="No"/>
    <s v="No"/>
    <m/>
    <m/>
    <x v="18"/>
    <m/>
    <m/>
    <n v="9591185328"/>
    <n v="440152238401"/>
    <m/>
    <n v="7349781108"/>
    <d v="2018-04-05T00:00:00"/>
    <s v="Yes"/>
    <s v="Yes"/>
    <x v="0"/>
    <m/>
    <m/>
  </r>
  <r>
    <x v="0"/>
    <s v="BASRTL119"/>
    <s v="No"/>
    <x v="5"/>
    <s v="PCIe"/>
    <s v="SN2794363"/>
    <s v="R21/4 "/>
    <x v="0"/>
    <x v="0"/>
    <x v="0"/>
    <x v="0"/>
    <x v="1"/>
    <s v="No"/>
    <s v="No"/>
    <m/>
    <m/>
    <x v="19"/>
    <m/>
    <m/>
    <n v="7625046432"/>
    <n v="440152238940"/>
    <m/>
    <m/>
    <m/>
    <s v="Yes"/>
    <s v="Yes"/>
    <x v="0"/>
    <m/>
    <s v="Being used for mini rack "/>
  </r>
  <r>
    <x v="0"/>
    <s v="BASRTL134"/>
    <s v="Yes"/>
    <x v="3"/>
    <s v="PCIe"/>
    <s v="SN2510534"/>
    <s v="R7/6"/>
    <x v="0"/>
    <x v="1"/>
    <x v="7"/>
    <x v="7"/>
    <x v="1"/>
    <s v="No"/>
    <s v="No"/>
    <s v="4x"/>
    <m/>
    <x v="20"/>
    <m/>
    <m/>
    <n v="9972093562"/>
    <n v="440152238923"/>
    <m/>
    <n v="7625047635"/>
    <d v="2018-04-05T00:00:00"/>
    <s v="Yes"/>
    <s v="Yes"/>
    <x v="0"/>
    <m/>
    <m/>
  </r>
  <r>
    <x v="0"/>
    <s v="BASRTL169"/>
    <s v="Yes"/>
    <x v="0"/>
    <s v="PCIe"/>
    <s v="SN2510799"/>
    <s v="R7/2"/>
    <x v="0"/>
    <x v="0"/>
    <x v="0"/>
    <x v="0"/>
    <x v="1"/>
    <s v="No"/>
    <s v="No"/>
    <m/>
    <m/>
    <x v="21"/>
    <m/>
    <m/>
    <n v="7625046443"/>
    <n v="440152248596"/>
    <m/>
    <m/>
    <d v="2018-04-05T00:00:00"/>
    <s v="Yes"/>
    <s v="Yes"/>
    <x v="0"/>
    <m/>
    <m/>
  </r>
  <r>
    <x v="0"/>
    <s v="BASRTL171"/>
    <s v="Yes"/>
    <x v="0"/>
    <s v="PCIe"/>
    <s v="SN2510439"/>
    <s v="R11/3"/>
    <x v="1"/>
    <x v="0"/>
    <x v="0"/>
    <x v="0"/>
    <x v="4"/>
    <s v="No"/>
    <s v="No"/>
    <s v="4x"/>
    <m/>
    <x v="22"/>
    <m/>
    <m/>
    <n v="7349781126"/>
    <n v="440152238925"/>
    <m/>
    <m/>
    <d v="2018-04-05T00:00:00"/>
    <s v="Yes"/>
    <s v="Yes"/>
    <x v="0"/>
    <m/>
    <s v="26Dec: Moved from ICE 18 to 19 and Sanity Run Ongoing "/>
  </r>
  <r>
    <x v="0"/>
    <s v="BASRTL172"/>
    <s v="Yes"/>
    <x v="3"/>
    <s v="PCIe"/>
    <s v="SN2250569"/>
    <s v="R27/4"/>
    <x v="0"/>
    <x v="1"/>
    <x v="6"/>
    <x v="1"/>
    <x v="1"/>
    <s v="Yes"/>
    <s v="No"/>
    <m/>
    <m/>
    <x v="15"/>
    <m/>
    <m/>
    <n v="9513421210"/>
    <n v="440152238387"/>
    <m/>
    <m/>
    <d v="2018-04-05T00:00:00"/>
    <s v="Yes"/>
    <s v="Yes"/>
    <x v="0"/>
    <m/>
    <m/>
  </r>
  <r>
    <x v="0"/>
    <s v="BASRTL173"/>
    <s v="Yes"/>
    <x v="0"/>
    <s v="PCIe"/>
    <s v="SN3219734"/>
    <s v="R11/1"/>
    <x v="0"/>
    <x v="0"/>
    <x v="0"/>
    <x v="0"/>
    <x v="1"/>
    <s v="No"/>
    <s v="No"/>
    <s v="4x"/>
    <m/>
    <x v="23"/>
    <m/>
    <m/>
    <n v="7625046457"/>
    <n v="440152237426"/>
    <m/>
    <m/>
    <d v="2018-04-05T00:00:00"/>
    <s v="Yes"/>
    <s v="Yes"/>
    <x v="0"/>
    <m/>
    <m/>
  </r>
  <r>
    <x v="0"/>
    <s v="BASRTL175"/>
    <s v="No"/>
    <x v="1"/>
    <s v="PCIe"/>
    <s v="SN3219559"/>
    <s v="R5/6"/>
    <x v="0"/>
    <x v="1"/>
    <x v="6"/>
    <x v="1"/>
    <x v="1"/>
    <s v="No"/>
    <s v="No"/>
    <m/>
    <m/>
    <x v="24"/>
    <m/>
    <m/>
    <n v="9108443022"/>
    <n v="440152238389"/>
    <m/>
    <m/>
    <d v="2018-04-05T00:00:00"/>
    <s v="Yes"/>
    <s v="Yes"/>
    <x v="0"/>
    <m/>
    <s v="Given to FT"/>
  </r>
  <r>
    <x v="0"/>
    <s v="BASRTL174"/>
    <s v="Yes"/>
    <x v="4"/>
    <s v="PCIe"/>
    <s v="SN3219604"/>
    <s v="R2/6"/>
    <x v="0"/>
    <x v="0"/>
    <x v="0"/>
    <x v="0"/>
    <x v="1"/>
    <s v="No"/>
    <s v="No"/>
    <s v="4x"/>
    <m/>
    <x v="25"/>
    <m/>
    <m/>
    <n v="7338636166"/>
    <n v="440152238398"/>
    <m/>
    <m/>
    <d v="2018-04-05T00:00:00"/>
    <s v="Yes"/>
    <s v="Yes"/>
    <x v="0"/>
    <m/>
    <m/>
  </r>
  <r>
    <x v="0"/>
    <s v="BASRTL181"/>
    <s v="Yes"/>
    <x v="1"/>
    <s v="PCIe"/>
    <s v="SN3220275"/>
    <s v="R1/1"/>
    <x v="1"/>
    <x v="0"/>
    <x v="0"/>
    <x v="0"/>
    <x v="4"/>
    <s v="No"/>
    <s v="No"/>
    <m/>
    <m/>
    <x v="26"/>
    <m/>
    <m/>
    <n v="9606480573"/>
    <n v="440152239965"/>
    <m/>
    <m/>
    <d v="2018-04-05T00:00:00"/>
    <s v="Yes"/>
    <s v="Yes"/>
    <x v="0"/>
    <m/>
    <s v="26Dec: Moved from ICE 18 to 19 and Sanity Run Ongoing "/>
  </r>
  <r>
    <x v="0"/>
    <s v="BASRTL182"/>
    <s v="Yes"/>
    <x v="3"/>
    <s v="PCIe"/>
    <s v="SN3220333"/>
    <s v="R1/2"/>
    <x v="0"/>
    <x v="1"/>
    <x v="7"/>
    <x v="7"/>
    <x v="1"/>
    <s v="No"/>
    <s v="No"/>
    <s v="4x"/>
    <m/>
    <x v="27"/>
    <m/>
    <m/>
    <n v="7625046450"/>
    <n v="440152217754"/>
    <m/>
    <n v="7349781098"/>
    <d v="2018-04-05T00:00:00"/>
    <s v="Yes"/>
    <s v="Yes"/>
    <x v="0"/>
    <m/>
    <m/>
  </r>
  <r>
    <x v="0"/>
    <s v="BASRTL183"/>
    <s v="Yes"/>
    <x v="3"/>
    <s v="PCIe"/>
    <s v="SN3220180"/>
    <s v="R1/3"/>
    <x v="0"/>
    <x v="1"/>
    <x v="3"/>
    <x v="3"/>
    <x v="1"/>
    <s v="No"/>
    <s v="No"/>
    <m/>
    <m/>
    <x v="28"/>
    <m/>
    <m/>
    <s v="9513421181,'7625046470"/>
    <n v="440152219784"/>
    <m/>
    <m/>
    <d v="2018-04-05T00:00:00"/>
    <s v="Yes"/>
    <s v="Yes"/>
    <x v="0"/>
    <m/>
    <m/>
  </r>
  <r>
    <x v="0"/>
    <s v="BASRTL184"/>
    <s v="Yes"/>
    <x v="4"/>
    <s v="PCIe"/>
    <s v="SN3220219"/>
    <s v="R16/2"/>
    <x v="0"/>
    <x v="0"/>
    <x v="0"/>
    <x v="0"/>
    <x v="1"/>
    <s v="No"/>
    <s v="No"/>
    <m/>
    <m/>
    <x v="29"/>
    <m/>
    <m/>
    <n v="9606480572"/>
    <n v="440152239966"/>
    <m/>
    <m/>
    <d v="2018-04-05T00:00:00"/>
    <s v="Yes"/>
    <s v="Yes"/>
    <x v="0"/>
    <m/>
    <m/>
  </r>
  <r>
    <x v="0"/>
    <s v="BASRTL185"/>
    <s v="Yes"/>
    <x v="3"/>
    <s v="PCIe"/>
    <s v="SN3220268"/>
    <s v="R1/5"/>
    <x v="0"/>
    <x v="1"/>
    <x v="7"/>
    <x v="7"/>
    <x v="1"/>
    <s v="No"/>
    <s v="No"/>
    <s v="4x"/>
    <m/>
    <x v="30"/>
    <m/>
    <m/>
    <s v="7625047663'8095011789,'"/>
    <n v="440152219772"/>
    <m/>
    <m/>
    <d v="2018-04-05T00:00:00"/>
    <s v="Yes"/>
    <s v="Yes"/>
    <x v="0"/>
    <m/>
    <m/>
  </r>
  <r>
    <x v="0"/>
    <s v="BASRTL186"/>
    <s v="Yes"/>
    <x v="0"/>
    <s v="PCIe"/>
    <s v="SN3220338"/>
    <s v="R1/6"/>
    <x v="0"/>
    <x v="0"/>
    <x v="5"/>
    <x v="0"/>
    <x v="1"/>
    <s v="No"/>
    <s v="No"/>
    <s v="4x"/>
    <m/>
    <x v="31"/>
    <m/>
    <m/>
    <n v="7625046457"/>
    <n v="440152237426"/>
    <m/>
    <m/>
    <d v="2018-04-05T00:00:00"/>
    <s v="Yes"/>
    <s v="Yes"/>
    <x v="0"/>
    <m/>
    <m/>
  </r>
  <r>
    <x v="0"/>
    <s v="BASRTL187"/>
    <s v="No"/>
    <x v="4"/>
    <s v="PCIe"/>
    <s v="SN3220339"/>
    <s v="R2/1"/>
    <x v="0"/>
    <x v="0"/>
    <x v="0"/>
    <x v="0"/>
    <x v="1"/>
    <s v="No"/>
    <s v="No"/>
    <m/>
    <m/>
    <x v="32"/>
    <m/>
    <m/>
    <n v="9945617637"/>
    <n v="440152238928"/>
    <m/>
    <m/>
    <d v="2018-04-05T00:00:00"/>
    <s v="Yes"/>
    <s v="Yes"/>
    <x v="1"/>
    <m/>
    <s v="Pc is not working"/>
  </r>
  <r>
    <x v="0"/>
    <s v="BASRTL188"/>
    <s v="Yes"/>
    <x v="1"/>
    <s v="PCIe"/>
    <s v="SN3220345"/>
    <s v="R2/4"/>
    <x v="0"/>
    <x v="0"/>
    <x v="0"/>
    <x v="0"/>
    <x v="1"/>
    <s v="No"/>
    <s v="No"/>
    <s v="4x"/>
    <m/>
    <x v="33"/>
    <m/>
    <m/>
    <n v="9845086006"/>
    <n v="440152238388"/>
    <m/>
    <m/>
    <d v="2018-04-05T00:00:00"/>
    <s v="Yes"/>
    <s v="Yes"/>
    <x v="0"/>
    <m/>
    <m/>
  </r>
  <r>
    <x v="0"/>
    <s v="BASRTL189"/>
    <s v="Yes"/>
    <x v="1"/>
    <s v="PCIe"/>
    <s v="SN3220287"/>
    <s v="R2/3"/>
    <x v="0"/>
    <x v="0"/>
    <x v="0"/>
    <x v="0"/>
    <x v="1"/>
    <s v="No"/>
    <s v="No"/>
    <s v="4x"/>
    <m/>
    <x v="34"/>
    <m/>
    <m/>
    <n v="7625036342"/>
    <n v="440152238394"/>
    <m/>
    <m/>
    <d v="2018-04-05T00:00:00"/>
    <s v="Yes"/>
    <s v="Yes"/>
    <x v="0"/>
    <m/>
    <m/>
  </r>
  <r>
    <x v="0"/>
    <s v="BASRTL190"/>
    <s v="Yes"/>
    <x v="3"/>
    <s v="PCIe"/>
    <s v="SN3220161"/>
    <s v="R2/2"/>
    <x v="1"/>
    <x v="0"/>
    <x v="0"/>
    <x v="0"/>
    <x v="4"/>
    <s v="No"/>
    <s v="No"/>
    <s v="4x"/>
    <m/>
    <x v="35"/>
    <m/>
    <m/>
    <n v="7349781071"/>
    <n v="440152237431"/>
    <m/>
    <m/>
    <d v="2018-04-05T00:00:00"/>
    <s v="Yes"/>
    <s v="Yes"/>
    <x v="0"/>
    <m/>
    <s v="26Dec: Moved from ICE 18 to 19 and Sanity Run Ongoing "/>
  </r>
  <r>
    <x v="0"/>
    <s v="BASRTL191"/>
    <s v="Yes"/>
    <x v="3"/>
    <s v="PCIe"/>
    <s v="SN3220152"/>
    <s v="R27/1"/>
    <x v="0"/>
    <x v="1"/>
    <x v="3"/>
    <x v="3"/>
    <x v="1"/>
    <s v="Yes"/>
    <s v="No"/>
    <m/>
    <m/>
    <x v="15"/>
    <m/>
    <m/>
    <n v="9513421189"/>
    <n v="440152237424"/>
    <m/>
    <m/>
    <d v="2018-04-05T00:00:00"/>
    <s v="Yes"/>
    <s v="Yes"/>
    <x v="0"/>
    <m/>
    <m/>
  </r>
  <r>
    <x v="0"/>
    <s v="BASRTL192"/>
    <s v="Yes"/>
    <x v="3"/>
    <s v="PCIe"/>
    <s v="SN3220284"/>
    <s v="R27/2"/>
    <x v="0"/>
    <x v="0"/>
    <x v="8"/>
    <x v="0"/>
    <x v="1"/>
    <s v="Yes"/>
    <s v="No"/>
    <m/>
    <m/>
    <x v="15"/>
    <m/>
    <m/>
    <n v="9513421184"/>
    <n v="440152238400"/>
    <m/>
    <m/>
    <d v="2018-04-05T00:00:00"/>
    <s v="Yes"/>
    <s v="Yes"/>
    <x v="0"/>
    <m/>
    <m/>
  </r>
  <r>
    <x v="0"/>
    <s v="BASRTL125"/>
    <s v="No"/>
    <x v="3"/>
    <s v="PCIe"/>
    <s v="SN2794290"/>
    <m/>
    <x v="0"/>
    <x v="2"/>
    <x v="2"/>
    <x v="0"/>
    <x v="1"/>
    <m/>
    <m/>
    <m/>
    <m/>
    <x v="36"/>
    <m/>
    <m/>
    <m/>
    <m/>
    <m/>
    <m/>
    <d v="2018-03-21T00:00:00"/>
    <s v="No"/>
    <s v="No"/>
    <x v="1"/>
    <s v="Lend to Script"/>
    <s v="being used by DevOps"/>
  </r>
  <r>
    <x v="0"/>
    <s v="BASRTL128"/>
    <s v="No"/>
    <x v="3"/>
    <s v="PCIe"/>
    <s v="SN2510607"/>
    <s v="R25/5"/>
    <x v="0"/>
    <x v="1"/>
    <x v="3"/>
    <x v="3"/>
    <x v="1"/>
    <s v="No"/>
    <s v="No"/>
    <m/>
    <m/>
    <x v="37"/>
    <m/>
    <m/>
    <m/>
    <m/>
    <m/>
    <m/>
    <d v="2018-04-05T00:00:00"/>
    <s v="Yes"/>
    <s v="Yes"/>
    <x v="1"/>
    <m/>
    <s v="Decivce Issue"/>
  </r>
  <r>
    <x v="0"/>
    <s v="BASRTL120"/>
    <s v="Yes"/>
    <x v="1"/>
    <s v="PCIe"/>
    <s v="SN2794338"/>
    <s v="R5/1"/>
    <x v="0"/>
    <x v="0"/>
    <x v="0"/>
    <x v="0"/>
    <x v="1"/>
    <s v="No"/>
    <s v="No"/>
    <m/>
    <m/>
    <x v="38"/>
    <m/>
    <m/>
    <n v="7338636224"/>
    <n v="440152238930"/>
    <m/>
    <m/>
    <d v="2018-04-05T00:00:00"/>
    <s v="Yes"/>
    <s v="Yes"/>
    <x v="0"/>
    <m/>
    <m/>
  </r>
  <r>
    <x v="0"/>
    <s v="BASRTL198"/>
    <s v="Yes"/>
    <x v="3"/>
    <s v="PCIe"/>
    <s v="SN3219993"/>
    <s v="R4/1"/>
    <x v="0"/>
    <x v="1"/>
    <x v="6"/>
    <x v="1"/>
    <x v="1"/>
    <s v="No"/>
    <s v="No"/>
    <m/>
    <m/>
    <x v="39"/>
    <m/>
    <m/>
    <n v="9606480570"/>
    <n v="440152219730"/>
    <m/>
    <m/>
    <d v="2018-04-05T00:00:00"/>
    <s v="Yes"/>
    <s v="Yes"/>
    <x v="0"/>
    <m/>
    <m/>
  </r>
  <r>
    <x v="0"/>
    <s v="BASRTL199"/>
    <s v="No"/>
    <x v="3"/>
    <s v="PCIe"/>
    <s v="SN3219982"/>
    <s v="R4/2"/>
    <x v="0"/>
    <x v="1"/>
    <x v="7"/>
    <x v="7"/>
    <x v="1"/>
    <s v="No"/>
    <s v="No"/>
    <s v="4x"/>
    <m/>
    <x v="40"/>
    <m/>
    <m/>
    <n v="9606480569"/>
    <n v="440152239951"/>
    <m/>
    <m/>
    <d v="2018-04-05T00:00:00"/>
    <s v="Yes"/>
    <s v="Yes"/>
    <x v="0"/>
    <m/>
    <s v="Given to Anand's team"/>
  </r>
  <r>
    <x v="0"/>
    <s v="BASRTL200"/>
    <s v="Yes"/>
    <x v="3"/>
    <s v="PCIe"/>
    <s v="SN3219863"/>
    <s v="R4/3"/>
    <x v="1"/>
    <x v="0"/>
    <x v="0"/>
    <x v="0"/>
    <x v="4"/>
    <s v="No"/>
    <s v="No"/>
    <s v="4x"/>
    <m/>
    <x v="41"/>
    <m/>
    <m/>
    <n v="9606480568"/>
    <n v="440152238936"/>
    <m/>
    <m/>
    <d v="2018-04-05T00:00:00"/>
    <s v="Yes"/>
    <s v="Yes"/>
    <x v="0"/>
    <m/>
    <s v="27DEC: Will be moved to separate Sector_x000a_26Dec: Moved from ICE 18 to 19 and Sanity Run Ongoing "/>
  </r>
  <r>
    <x v="0"/>
    <s v="BASRTL201"/>
    <s v="No"/>
    <x v="3"/>
    <s v="PCIe"/>
    <s v="SN3219688"/>
    <s v="R9/1"/>
    <x v="0"/>
    <x v="1"/>
    <x v="7"/>
    <x v="8"/>
    <x v="1"/>
    <s v="No"/>
    <s v="No"/>
    <m/>
    <m/>
    <x v="42"/>
    <m/>
    <m/>
    <s v="9845086006"/>
    <n v="440152239962"/>
    <m/>
    <m/>
    <d v="2018-04-05T00:00:00"/>
    <s v="Yes"/>
    <s v="Yes"/>
    <x v="1"/>
    <m/>
    <s v="Device Issue"/>
  </r>
  <r>
    <x v="0"/>
    <s v="BASRTL202"/>
    <s v="Yes"/>
    <x v="2"/>
    <s v="BlackRay"/>
    <s v="SN3120211"/>
    <s v="R9/2"/>
    <x v="1"/>
    <x v="0"/>
    <x v="4"/>
    <x v="4"/>
    <x v="4"/>
    <s v="No"/>
    <s v="No"/>
    <m/>
    <m/>
    <x v="43"/>
    <m/>
    <m/>
    <n v="9606480566"/>
    <n v="440152238386"/>
    <m/>
    <m/>
    <d v="2018-04-05T00:00:00"/>
    <s v="Yes"/>
    <s v="Yes"/>
    <x v="3"/>
    <m/>
    <s v="_x000a_JAN4: Converted to Black Ray Handed Over to DevOps &quot;RITM6952320&quot;_x000a_JAN 3: OS Installation Ongoing_x000a_Jan 2: OS Issue in Congatec "/>
  </r>
  <r>
    <x v="0"/>
    <s v="BASRTL203"/>
    <s v="Yes"/>
    <x v="5"/>
    <s v="PCIe"/>
    <s v="SN3219921"/>
    <s v="R9/6"/>
    <x v="0"/>
    <x v="0"/>
    <x v="0"/>
    <x v="0"/>
    <x v="1"/>
    <s v="No"/>
    <s v="No"/>
    <s v="4x"/>
    <m/>
    <x v="44"/>
    <m/>
    <m/>
    <m/>
    <n v="440152237428"/>
    <m/>
    <m/>
    <d v="2018-04-05T00:00:00"/>
    <s v="Yes"/>
    <s v="Yes"/>
    <x v="0"/>
    <m/>
    <m/>
  </r>
  <r>
    <x v="0"/>
    <s v="BASRTL204"/>
    <m/>
    <x v="2"/>
    <s v="PCIe"/>
    <s v="SN3219864"/>
    <s v="R8/6"/>
    <x v="2"/>
    <x v="0"/>
    <x v="0"/>
    <x v="0"/>
    <x v="5"/>
    <s v="No"/>
    <s v="No"/>
    <m/>
    <m/>
    <x v="13"/>
    <m/>
    <m/>
    <n v="9901220354"/>
    <n v="354999010649999"/>
    <m/>
    <m/>
    <m/>
    <s v="Yes"/>
    <s v="Yes"/>
    <x v="0"/>
    <m/>
    <m/>
  </r>
  <r>
    <x v="0"/>
    <s v="BASRTL205"/>
    <s v="Yes"/>
    <x v="1"/>
    <s v="PCIe"/>
    <s v="SN3220258"/>
    <s v="R87/1"/>
    <x v="0"/>
    <x v="0"/>
    <x v="0"/>
    <x v="0"/>
    <x v="1"/>
    <s v="No"/>
    <s v="No"/>
    <m/>
    <m/>
    <x v="45"/>
    <m/>
    <m/>
    <n v="7349781102"/>
    <n v="440152238929"/>
    <m/>
    <m/>
    <d v="2018-04-05T00:00:00"/>
    <s v="Yes"/>
    <s v="Yes"/>
    <x v="0"/>
    <m/>
    <m/>
  </r>
  <r>
    <x v="0"/>
    <s v="BASRTL206"/>
    <s v="Yes"/>
    <x v="5"/>
    <s v="PCIe"/>
    <s v="SN3219821"/>
    <s v="R10/4"/>
    <x v="0"/>
    <x v="0"/>
    <x v="0"/>
    <x v="0"/>
    <x v="1"/>
    <s v="No"/>
    <s v="No"/>
    <m/>
    <m/>
    <x v="46"/>
    <m/>
    <m/>
    <n v="9513471194"/>
    <n v="440152218141"/>
    <m/>
    <m/>
    <d v="2018-04-05T00:00:00"/>
    <s v="Yes"/>
    <s v="Yes"/>
    <x v="0"/>
    <m/>
    <m/>
  </r>
  <r>
    <x v="0"/>
    <s v="BASRTL207"/>
    <s v="Yes"/>
    <x v="5"/>
    <s v="PCIe"/>
    <s v="SN3220280"/>
    <s v="R6/6"/>
    <x v="0"/>
    <x v="0"/>
    <x v="0"/>
    <x v="0"/>
    <x v="1"/>
    <s v="No"/>
    <s v="No"/>
    <s v="4x"/>
    <m/>
    <x v="47"/>
    <m/>
    <m/>
    <n v="9606480564"/>
    <n v="440152238931"/>
    <m/>
    <m/>
    <d v="2018-04-05T00:00:00"/>
    <s v="Yes"/>
    <s v="Yes"/>
    <x v="0"/>
    <m/>
    <m/>
  </r>
  <r>
    <x v="0"/>
    <s v="BASRTL222"/>
    <s v="Yes"/>
    <x v="3"/>
    <s v="PCIe"/>
    <s v="SN3299428"/>
    <s v="R10/6"/>
    <x v="0"/>
    <x v="1"/>
    <x v="1"/>
    <x v="1"/>
    <x v="1"/>
    <s v="No"/>
    <s v="No"/>
    <m/>
    <m/>
    <x v="48"/>
    <m/>
    <m/>
    <n v="7406177166"/>
    <n v="440152237448"/>
    <m/>
    <m/>
    <d v="2018-04-05T00:00:00"/>
    <s v="Yes"/>
    <s v="Yes"/>
    <x v="0"/>
    <m/>
    <m/>
  </r>
  <r>
    <x v="0"/>
    <s v="BASRTL218"/>
    <s v="No"/>
    <x v="5"/>
    <s v="PCIe"/>
    <s v="SN3299751"/>
    <s v="R19/1"/>
    <x v="0"/>
    <x v="0"/>
    <x v="0"/>
    <x v="0"/>
    <x v="1"/>
    <s v="No"/>
    <s v="No"/>
    <m/>
    <m/>
    <x v="49"/>
    <m/>
    <m/>
    <n v="7625047621"/>
    <n v="440152239952"/>
    <m/>
    <m/>
    <d v="2018-04-05T00:00:00"/>
    <s v="Yes"/>
    <s v="Yes"/>
    <x v="0"/>
    <m/>
    <s v="IDC setup "/>
  </r>
  <r>
    <x v="0"/>
    <s v="BASRTL219"/>
    <s v="Yes"/>
    <x v="3"/>
    <s v="PCIe"/>
    <s v="SN3299746"/>
    <s v="R2/5"/>
    <x v="0"/>
    <x v="1"/>
    <x v="7"/>
    <x v="7"/>
    <x v="1"/>
    <s v="No"/>
    <s v="No"/>
    <s v="4x"/>
    <m/>
    <x v="50"/>
    <m/>
    <m/>
    <n v="7625047637"/>
    <m/>
    <m/>
    <m/>
    <d v="2018-04-05T00:00:00"/>
    <s v="Yes"/>
    <s v="Yes"/>
    <x v="0"/>
    <m/>
    <m/>
  </r>
  <r>
    <x v="0"/>
    <s v="BASRTL220"/>
    <s v="Yes"/>
    <x v="5"/>
    <s v="PCIe"/>
    <s v="SN3299692"/>
    <s v="R10/2"/>
    <x v="0"/>
    <x v="0"/>
    <x v="0"/>
    <x v="0"/>
    <x v="1"/>
    <s v="No"/>
    <s v="No"/>
    <m/>
    <m/>
    <x v="51"/>
    <m/>
    <m/>
    <n v="7625047633"/>
    <n v="440152238384"/>
    <m/>
    <m/>
    <d v="2018-04-05T00:00:00"/>
    <s v="Yes"/>
    <s v="Yes"/>
    <x v="0"/>
    <m/>
    <m/>
  </r>
  <r>
    <x v="0"/>
    <s v="BASRTL221"/>
    <s v="No"/>
    <x v="2"/>
    <s v="PCIe"/>
    <s v="SN3299550"/>
    <s v="R10/3"/>
    <x v="0"/>
    <x v="0"/>
    <x v="2"/>
    <x v="2"/>
    <x v="2"/>
    <s v="No"/>
    <s v="No"/>
    <m/>
    <m/>
    <x v="52"/>
    <m/>
    <m/>
    <m/>
    <m/>
    <m/>
    <m/>
    <d v="2018-04-05T00:00:00"/>
    <s v="No"/>
    <s v="No"/>
    <x v="1"/>
    <s v="Debug Needed"/>
    <s v="congatec not working"/>
  </r>
  <r>
    <x v="0"/>
    <s v="BASRTL223"/>
    <s v="No"/>
    <x v="2"/>
    <s v="PCIe"/>
    <s v="SN3299722"/>
    <s v="R25/1"/>
    <x v="0"/>
    <x v="0"/>
    <x v="0"/>
    <x v="0"/>
    <x v="1"/>
    <s v="No"/>
    <s v="Yes"/>
    <m/>
    <m/>
    <x v="53"/>
    <m/>
    <m/>
    <n v="7625047621"/>
    <n v="440152238397"/>
    <m/>
    <m/>
    <d v="2018-04-26T00:00:00"/>
    <s v="Yes"/>
    <s v="Yes"/>
    <x v="0"/>
    <m/>
    <s v="Replaced with MK5 "/>
  </r>
  <r>
    <x v="0"/>
    <s v="BASRTL224"/>
    <s v="Yes"/>
    <x v="0"/>
    <s v="PCIe"/>
    <s v="SN3299598"/>
    <s v="R19/2"/>
    <x v="0"/>
    <x v="0"/>
    <x v="0"/>
    <x v="0"/>
    <x v="1"/>
    <s v="No"/>
    <s v="No"/>
    <m/>
    <m/>
    <x v="54"/>
    <m/>
    <m/>
    <s v="7625046425,'7349781108"/>
    <n v="440152243917"/>
    <m/>
    <m/>
    <d v="2018-04-05T00:00:00"/>
    <s v="Yes"/>
    <s v="Yes"/>
    <x v="0"/>
    <m/>
    <m/>
  </r>
  <r>
    <x v="0"/>
    <s v="BASRTL225"/>
    <s v="Yes"/>
    <x v="3"/>
    <s v="PCIe"/>
    <s v="SN3299638"/>
    <s v="R4/5"/>
    <x v="0"/>
    <x v="1"/>
    <x v="7"/>
    <x v="7"/>
    <x v="1"/>
    <s v="No"/>
    <s v="No"/>
    <s v="4x"/>
    <m/>
    <x v="55"/>
    <m/>
    <m/>
    <n v="7625047668"/>
    <n v="440152219826"/>
    <m/>
    <m/>
    <d v="2018-04-05T00:00:00"/>
    <s v="Yes"/>
    <s v="Yes"/>
    <x v="0"/>
    <m/>
    <m/>
  </r>
  <r>
    <x v="0"/>
    <s v="BASRTL226"/>
    <s v="Yes"/>
    <x v="3"/>
    <s v="PCIe"/>
    <s v="SN3299363"/>
    <s v="R4/6"/>
    <x v="0"/>
    <x v="1"/>
    <x v="1"/>
    <x v="1"/>
    <x v="1"/>
    <s v="No"/>
    <s v="No"/>
    <m/>
    <m/>
    <x v="56"/>
    <m/>
    <m/>
    <n v="7625047658"/>
    <n v="440152219679"/>
    <m/>
    <m/>
    <d v="2018-04-05T00:00:00"/>
    <s v="Yes"/>
    <s v="Yes"/>
    <x v="0"/>
    <m/>
    <m/>
  </r>
  <r>
    <x v="0"/>
    <s v="BASRTL227"/>
    <s v="Yes"/>
    <x v="0"/>
    <s v="PCIe"/>
    <s v="SN3299619"/>
    <s v="R24/3"/>
    <x v="0"/>
    <x v="0"/>
    <x v="0"/>
    <x v="0"/>
    <x v="1"/>
    <s v="No"/>
    <s v="No"/>
    <m/>
    <m/>
    <x v="57"/>
    <m/>
    <m/>
    <n v="7625046426"/>
    <n v="440152239964"/>
    <m/>
    <m/>
    <d v="2018-04-05T00:00:00"/>
    <s v="Yes"/>
    <s v="Yes"/>
    <x v="0"/>
    <m/>
    <m/>
  </r>
  <r>
    <x v="0"/>
    <s v="BASRTL228"/>
    <s v="No"/>
    <x v="3"/>
    <s v="PCIe"/>
    <s v="SN3299429"/>
    <s v="R9/3"/>
    <x v="0"/>
    <x v="1"/>
    <x v="9"/>
    <x v="3"/>
    <x v="1"/>
    <s v="No"/>
    <s v="No"/>
    <m/>
    <m/>
    <x v="58"/>
    <m/>
    <m/>
    <n v="7625047642"/>
    <n v="440152219782"/>
    <m/>
    <m/>
    <d v="2018-04-05T00:00:00"/>
    <s v="Yes"/>
    <s v="Yes"/>
    <x v="0"/>
    <m/>
    <s v="given to FT "/>
  </r>
  <r>
    <x v="0"/>
    <s v="BASRTL229"/>
    <s v="No"/>
    <x v="0"/>
    <s v="PCIe"/>
    <s v="SN3299618"/>
    <s v="R19/3"/>
    <x v="0"/>
    <x v="0"/>
    <x v="0"/>
    <x v="0"/>
    <x v="1"/>
    <s v="No"/>
    <s v="No"/>
    <m/>
    <m/>
    <x v="59"/>
    <m/>
    <m/>
    <n v="7625047628"/>
    <n v="440152238918"/>
    <m/>
    <m/>
    <d v="2018-04-05T00:00:00"/>
    <s v="Yes"/>
    <s v="Yes"/>
    <x v="0"/>
    <m/>
    <s v="Being used for mini rack "/>
  </r>
  <r>
    <x v="0"/>
    <s v="BASRTL230"/>
    <s v="Yes"/>
    <x v="3"/>
    <s v="PCIe"/>
    <s v="SN3299517"/>
    <s v="R25/3"/>
    <x v="0"/>
    <x v="1"/>
    <x v="7"/>
    <x v="8"/>
    <x v="1"/>
    <s v="No"/>
    <s v="Yes"/>
    <m/>
    <m/>
    <x v="60"/>
    <m/>
    <m/>
    <n v="7406200266"/>
    <n v="440152237450"/>
    <m/>
    <m/>
    <d v="2018-04-05T00:00:00"/>
    <s v="Yes"/>
    <s v="Yes"/>
    <x v="0"/>
    <m/>
    <m/>
  </r>
  <r>
    <x v="0"/>
    <s v="BASRTL231"/>
    <s v="Yes"/>
    <x v="3"/>
    <s v="PCIe"/>
    <s v="SN3299423"/>
    <s v="R27/3"/>
    <x v="0"/>
    <x v="1"/>
    <x v="6"/>
    <x v="1"/>
    <x v="1"/>
    <s v="Yes"/>
    <s v="Yes"/>
    <m/>
    <m/>
    <x v="15"/>
    <m/>
    <m/>
    <n v="9513421200"/>
    <n v="440152238391"/>
    <m/>
    <m/>
    <d v="2018-04-05T00:00:00"/>
    <s v="Yes"/>
    <s v="Yes"/>
    <x v="0"/>
    <m/>
    <m/>
  </r>
  <r>
    <x v="0"/>
    <s v="BASRTL234"/>
    <s v="Yes"/>
    <x v="3"/>
    <s v="PCIe"/>
    <s v="SN3299387"/>
    <s v="R19/7"/>
    <x v="0"/>
    <x v="1"/>
    <x v="1"/>
    <x v="1"/>
    <x v="2"/>
    <s v="No"/>
    <s v="No"/>
    <m/>
    <m/>
    <x v="61"/>
    <m/>
    <m/>
    <n v="7406255266"/>
    <n v="440152237449"/>
    <m/>
    <m/>
    <d v="2018-04-05T00:00:00"/>
    <s v="Yes"/>
    <s v="Yes"/>
    <x v="0"/>
    <m/>
    <m/>
  </r>
  <r>
    <x v="0"/>
    <s v="BASRTL235"/>
    <s v="Yes"/>
    <x v="3"/>
    <s v="PCIe"/>
    <s v="SN3299490"/>
    <s v="R19/4"/>
    <x v="0"/>
    <x v="1"/>
    <x v="7"/>
    <x v="8"/>
    <x v="1"/>
    <s v="No"/>
    <s v="Yes"/>
    <m/>
    <m/>
    <x v="62"/>
    <m/>
    <m/>
    <n v="7406188166"/>
    <n v="440152238939"/>
    <m/>
    <m/>
    <d v="2018-04-05T00:00:00"/>
    <s v="Yes"/>
    <s v="Yes"/>
    <x v="0"/>
    <m/>
    <m/>
  </r>
  <r>
    <x v="0"/>
    <s v="BASRTL236"/>
    <s v="Yes"/>
    <x v="3"/>
    <s v="PCIe"/>
    <s v="SN3299770"/>
    <s v="R19/5"/>
    <x v="0"/>
    <x v="1"/>
    <x v="7"/>
    <x v="8"/>
    <x v="1"/>
    <s v="No"/>
    <s v="Yes"/>
    <m/>
    <m/>
    <x v="63"/>
    <m/>
    <m/>
    <n v="7625047629"/>
    <n v="440152219644"/>
    <m/>
    <m/>
    <d v="2018-04-05T00:00:00"/>
    <s v="Yes"/>
    <s v="Yes"/>
    <x v="0"/>
    <m/>
    <m/>
  </r>
  <r>
    <x v="0"/>
    <s v="BASRTL237"/>
    <s v="Yes"/>
    <x v="1"/>
    <s v="PCIe"/>
    <s v="SN3299747"/>
    <s v="R19/6"/>
    <x v="1"/>
    <x v="0"/>
    <x v="4"/>
    <x v="4"/>
    <x v="2"/>
    <s v="No"/>
    <s v="No"/>
    <m/>
    <m/>
    <x v="64"/>
    <m/>
    <m/>
    <n v="7625047630"/>
    <n v="440152238922"/>
    <m/>
    <m/>
    <d v="2018-04-05T00:00:00"/>
    <s v="Yes"/>
    <s v="Yes"/>
    <x v="0"/>
    <m/>
    <s v="_x000a_JAN 3: Sanity Passed_x000a_JAN 2: Recalibrated on 1901DB01 with 1851.01 Cal Tool Sanity Ongoing_x000a_JAN 2: FW Crash Count is High_x000a_29 DEC: Replace ICE18 HW  to MK4 Sanity ongoing "/>
  </r>
  <r>
    <x v="0"/>
    <s v="BASRTL248"/>
    <s v="Yes"/>
    <x v="3"/>
    <s v="PCIe"/>
    <s v="SN3516421"/>
    <s v="R18/5"/>
    <x v="0"/>
    <x v="1"/>
    <x v="3"/>
    <x v="3"/>
    <x v="1"/>
    <s v="No"/>
    <s v="No"/>
    <m/>
    <m/>
    <x v="65"/>
    <m/>
    <m/>
    <n v="8095016234"/>
    <n v="440152218156"/>
    <m/>
    <m/>
    <m/>
    <s v="Yes"/>
    <s v="Yes"/>
    <x v="0"/>
    <m/>
    <m/>
  </r>
  <r>
    <x v="0"/>
    <s v="BASRTL249"/>
    <s v="Yes"/>
    <x v="3"/>
    <s v="PCIe"/>
    <s v="SN3516372"/>
    <s v="R14/1"/>
    <x v="0"/>
    <x v="1"/>
    <x v="6"/>
    <x v="1"/>
    <x v="1"/>
    <s v="No"/>
    <s v="No"/>
    <m/>
    <m/>
    <x v="66"/>
    <m/>
    <m/>
    <n v="8095010789"/>
    <n v="440152218156"/>
    <m/>
    <m/>
    <d v="2018-04-05T00:00:00"/>
    <s v="Yes"/>
    <s v="Yes"/>
    <x v="0"/>
    <m/>
    <m/>
  </r>
  <r>
    <x v="0"/>
    <s v="BASRTL250"/>
    <s v="Yes"/>
    <x v="3"/>
    <s v="PCIe"/>
    <s v="SN3516381"/>
    <s v="R18/1"/>
    <x v="0"/>
    <x v="1"/>
    <x v="10"/>
    <x v="1"/>
    <x v="1"/>
    <s v="No"/>
    <s v="No"/>
    <m/>
    <m/>
    <x v="67"/>
    <m/>
    <m/>
    <n v="7625047667"/>
    <n v="440152219637"/>
    <m/>
    <m/>
    <d v="2018-04-05T00:00:00"/>
    <s v="Yes"/>
    <s v="Yes"/>
    <x v="0"/>
    <m/>
    <m/>
  </r>
  <r>
    <x v="0"/>
    <s v="BASRTL251"/>
    <s v="Yes"/>
    <x v="3"/>
    <s v="PCIe"/>
    <s v="SN3516375"/>
    <s v="R21/6"/>
    <x v="0"/>
    <x v="1"/>
    <x v="3"/>
    <x v="3"/>
    <x v="1"/>
    <s v="No"/>
    <s v="No"/>
    <m/>
    <m/>
    <x v="68"/>
    <m/>
    <m/>
    <n v="8095015234"/>
    <n v="440152219684"/>
    <m/>
    <m/>
    <d v="2018-04-05T00:00:00"/>
    <s v="Yes"/>
    <s v="Yes"/>
    <x v="0"/>
    <m/>
    <m/>
  </r>
  <r>
    <x v="0"/>
    <s v="BASRTL252"/>
    <s v="Yes"/>
    <x v="3"/>
    <s v="PCIe"/>
    <s v="SN3316735"/>
    <s v="R17/5"/>
    <x v="0"/>
    <x v="1"/>
    <x v="6"/>
    <x v="1"/>
    <x v="1"/>
    <s v="No"/>
    <s v="No"/>
    <m/>
    <m/>
    <x v="69"/>
    <m/>
    <m/>
    <n v="8095012789"/>
    <n v="440152219643"/>
    <m/>
    <m/>
    <d v="2018-04-05T00:00:00"/>
    <s v="Yes"/>
    <s v="Yes"/>
    <x v="0"/>
    <m/>
    <m/>
  </r>
  <r>
    <x v="0"/>
    <s v="BASRTL253"/>
    <s v="Yes"/>
    <x v="3"/>
    <s v="PCIe"/>
    <s v="SN3316771"/>
    <s v="R1/4"/>
    <x v="0"/>
    <x v="1"/>
    <x v="3"/>
    <x v="3"/>
    <x v="1"/>
    <s v="No"/>
    <s v="No"/>
    <m/>
    <m/>
    <x v="70"/>
    <m/>
    <m/>
    <n v="9916295567"/>
    <n v="440152219673"/>
    <m/>
    <m/>
    <d v="2018-04-05T00:00:00"/>
    <s v="Yes"/>
    <s v="Yes"/>
    <x v="0"/>
    <m/>
    <m/>
  </r>
  <r>
    <x v="0"/>
    <s v="BASRTL254"/>
    <s v="Yes"/>
    <x v="3"/>
    <s v="PCIe"/>
    <s v="SN3316668"/>
    <s v="R18/3"/>
    <x v="0"/>
    <x v="1"/>
    <x v="3"/>
    <x v="3"/>
    <x v="1"/>
    <s v="No"/>
    <s v="No"/>
    <m/>
    <m/>
    <x v="71"/>
    <m/>
    <m/>
    <n v="8095020012"/>
    <n v="440152219694"/>
    <m/>
    <m/>
    <d v="2018-04-05T00:00:00"/>
    <s v="Yes"/>
    <s v="Yes"/>
    <x v="0"/>
    <m/>
    <m/>
  </r>
  <r>
    <x v="0"/>
    <s v="BASRTL255"/>
    <s v="Yes"/>
    <x v="3"/>
    <s v="PCIe"/>
    <s v="SN3316746"/>
    <s v="R23/5"/>
    <x v="0"/>
    <x v="1"/>
    <x v="3"/>
    <x v="3"/>
    <x v="1"/>
    <s v="No"/>
    <s v="No"/>
    <m/>
    <m/>
    <x v="72"/>
    <m/>
    <m/>
    <n v="8095011345"/>
    <n v="440152219745"/>
    <m/>
    <m/>
    <d v="2018-04-05T00:00:00"/>
    <s v="Yes"/>
    <s v="Yes"/>
    <x v="0"/>
    <m/>
    <m/>
  </r>
  <r>
    <x v="0"/>
    <s v="BASRTL256"/>
    <s v="Yes"/>
    <x v="3"/>
    <s v="PCIe"/>
    <s v="SN3299615"/>
    <s v="R12/5"/>
    <x v="0"/>
    <x v="1"/>
    <x v="3"/>
    <x v="3"/>
    <x v="1"/>
    <s v="No"/>
    <s v="No"/>
    <m/>
    <m/>
    <x v="73"/>
    <m/>
    <m/>
    <n v="8095015789"/>
    <n v="440152217740"/>
    <m/>
    <m/>
    <d v="2018-04-05T00:00:00"/>
    <s v="Yes"/>
    <s v="Yes"/>
    <x v="0"/>
    <m/>
    <m/>
  </r>
  <r>
    <x v="0"/>
    <s v="BASRTL257"/>
    <s v="Yes"/>
    <x v="3"/>
    <s v="PCIe"/>
    <s v="SN3299416"/>
    <s v="R18/4"/>
    <x v="0"/>
    <x v="1"/>
    <x v="3"/>
    <x v="3"/>
    <x v="1"/>
    <s v="No"/>
    <s v="No"/>
    <m/>
    <m/>
    <x v="74"/>
    <m/>
    <m/>
    <n v="8095011789"/>
    <n v="440152219772"/>
    <m/>
    <m/>
    <d v="2018-04-05T00:00:00"/>
    <s v="Yes"/>
    <s v="Yes"/>
    <x v="0"/>
    <m/>
    <m/>
  </r>
  <r>
    <x v="0"/>
    <s v="BASRTL129"/>
    <s v="Yes"/>
    <x v="3"/>
    <s v="PCIe"/>
    <s v="SN2510791"/>
    <s v="R25/4"/>
    <x v="0"/>
    <x v="1"/>
    <x v="3"/>
    <x v="3"/>
    <x v="1"/>
    <s v="No"/>
    <s v="No"/>
    <m/>
    <m/>
    <x v="75"/>
    <m/>
    <m/>
    <n v="7625046453"/>
    <n v="440152219682"/>
    <m/>
    <m/>
    <d v="2018-04-05T00:00:00"/>
    <s v="Yes"/>
    <s v="Yes"/>
    <x v="0"/>
    <m/>
    <m/>
  </r>
  <r>
    <x v="0"/>
    <s v="BASRTL193"/>
    <m/>
    <x v="2"/>
    <s v="PCIe"/>
    <s v="SN3220192"/>
    <s v="R3/1"/>
    <x v="2"/>
    <x v="0"/>
    <x v="0"/>
    <x v="0"/>
    <x v="5"/>
    <s v="No"/>
    <s v="No"/>
    <m/>
    <m/>
    <x v="13"/>
    <m/>
    <m/>
    <n v="7338636152"/>
    <n v="354999010649999"/>
    <m/>
    <m/>
    <d v="2018-04-05T00:00:00"/>
    <s v="Yes"/>
    <s v="Yes"/>
    <x v="0"/>
    <m/>
    <m/>
  </r>
  <r>
    <x v="0"/>
    <s v="BASRTL194"/>
    <m/>
    <x v="2"/>
    <s v="PCIe"/>
    <s v="SN3220307"/>
    <s v="R3/2"/>
    <x v="2"/>
    <x v="0"/>
    <x v="0"/>
    <x v="0"/>
    <x v="6"/>
    <s v="No"/>
    <s v="No"/>
    <m/>
    <m/>
    <x v="13"/>
    <m/>
    <m/>
    <n v="7338636151"/>
    <m/>
    <m/>
    <m/>
    <d v="2018-04-05T00:00:00"/>
    <s v="Yes"/>
    <s v="Yes"/>
    <x v="0"/>
    <m/>
    <m/>
  </r>
  <r>
    <x v="0"/>
    <s v="BASRTL195"/>
    <m/>
    <x v="2"/>
    <s v="PCIe"/>
    <s v="SN3220267"/>
    <s v="R3/3"/>
    <x v="2"/>
    <x v="0"/>
    <x v="0"/>
    <x v="0"/>
    <x v="6"/>
    <s v="No"/>
    <s v="No"/>
    <m/>
    <m/>
    <x v="13"/>
    <m/>
    <m/>
    <n v="7022229678"/>
    <m/>
    <m/>
    <m/>
    <d v="2018-04-05T00:00:00"/>
    <s v="Yes"/>
    <s v="Yes"/>
    <x v="0"/>
    <m/>
    <m/>
  </r>
  <r>
    <x v="0"/>
    <s v="BASRTL196"/>
    <m/>
    <x v="2"/>
    <s v="PCIe"/>
    <s v="SN3220202"/>
    <s v="R3/4"/>
    <x v="2"/>
    <x v="0"/>
    <x v="0"/>
    <x v="0"/>
    <x v="6"/>
    <s v="No"/>
    <s v="No"/>
    <m/>
    <m/>
    <x v="13"/>
    <m/>
    <m/>
    <n v="7899715900"/>
    <m/>
    <m/>
    <m/>
    <d v="2018-04-05T00:00:00"/>
    <s v="Yes"/>
    <s v="Yes"/>
    <x v="0"/>
    <m/>
    <m/>
  </r>
  <r>
    <x v="0"/>
    <s v="BASRTL197"/>
    <m/>
    <x v="2"/>
    <s v="PCIe"/>
    <s v="SN3220094"/>
    <s v="R3/5"/>
    <x v="2"/>
    <x v="0"/>
    <x v="0"/>
    <x v="0"/>
    <x v="6"/>
    <s v="No"/>
    <s v="No"/>
    <m/>
    <m/>
    <x v="13"/>
    <m/>
    <m/>
    <n v="9901220386"/>
    <m/>
    <m/>
    <m/>
    <d v="2018-04-05T00:00:00"/>
    <s v="Yes"/>
    <s v="Yes"/>
    <x v="0"/>
    <m/>
    <m/>
  </r>
  <r>
    <x v="0"/>
    <s v="BASRTL279"/>
    <m/>
    <x v="2"/>
    <s v="PCIe"/>
    <s v="SN3633191"/>
    <s v="R3/2"/>
    <x v="2"/>
    <x v="0"/>
    <x v="0"/>
    <x v="0"/>
    <x v="5"/>
    <s v="No"/>
    <s v="No"/>
    <m/>
    <m/>
    <x v="13"/>
    <m/>
    <m/>
    <n v="7349781129"/>
    <m/>
    <m/>
    <m/>
    <m/>
    <s v="Yes"/>
    <s v="Yes"/>
    <x v="0"/>
    <m/>
    <m/>
  </r>
  <r>
    <x v="0"/>
    <s v="BASRTL282"/>
    <m/>
    <x v="2"/>
    <s v="PCIe"/>
    <s v="SN3633143"/>
    <s v="R3/3"/>
    <x v="2"/>
    <x v="0"/>
    <x v="0"/>
    <x v="0"/>
    <x v="5"/>
    <s v="No"/>
    <s v="No"/>
    <m/>
    <m/>
    <x v="13"/>
    <m/>
    <m/>
    <n v="7349781129"/>
    <m/>
    <m/>
    <m/>
    <m/>
    <s v="Yes"/>
    <s v="Yes"/>
    <x v="0"/>
    <m/>
    <m/>
  </r>
  <r>
    <x v="0"/>
    <s v="BASRTL124"/>
    <m/>
    <x v="2"/>
    <s v="PCIe"/>
    <s v="SN2794402"/>
    <s v="R5/3"/>
    <x v="5"/>
    <x v="1"/>
    <x v="6"/>
    <x v="1"/>
    <x v="1"/>
    <s v="No"/>
    <s v="No"/>
    <m/>
    <m/>
    <x v="13"/>
    <m/>
    <m/>
    <m/>
    <m/>
    <m/>
    <m/>
    <m/>
    <s v="Yes"/>
    <s v="Yes"/>
    <x v="0"/>
    <m/>
    <m/>
  </r>
  <r>
    <x v="0"/>
    <s v="BASRTW029"/>
    <m/>
    <x v="2"/>
    <s v="USB"/>
    <s v="SGH037TY9Y"/>
    <s v="R5/4"/>
    <x v="3"/>
    <x v="2"/>
    <x v="2"/>
    <x v="2"/>
    <x v="3"/>
    <m/>
    <m/>
    <m/>
    <m/>
    <x v="13"/>
    <m/>
    <m/>
    <m/>
    <m/>
    <m/>
    <m/>
    <m/>
    <s v="No"/>
    <s v="No"/>
    <x v="1"/>
    <m/>
    <s v="Experimental Setup to be Moved Out of Rack"/>
  </r>
  <r>
    <x v="0"/>
    <s v="BASRTL132"/>
    <m/>
    <x v="2"/>
    <s v="PCIe"/>
    <s v="SN2388891"/>
    <s v="R6/1"/>
    <x v="5"/>
    <x v="0"/>
    <x v="2"/>
    <x v="2"/>
    <x v="1"/>
    <s v="No"/>
    <s v="No"/>
    <m/>
    <m/>
    <x v="13"/>
    <m/>
    <m/>
    <m/>
    <m/>
    <m/>
    <m/>
    <m/>
    <s v="Yes"/>
    <s v="Yes"/>
    <x v="0"/>
    <m/>
    <m/>
  </r>
  <r>
    <x v="0"/>
    <s v="BASRTL131"/>
    <m/>
    <x v="2"/>
    <s v="PCIe"/>
    <s v="SN2511041"/>
    <s v="R6/2"/>
    <x v="5"/>
    <x v="0"/>
    <x v="2"/>
    <x v="2"/>
    <x v="1"/>
    <s v="No"/>
    <s v="No"/>
    <m/>
    <m/>
    <x v="13"/>
    <m/>
    <m/>
    <m/>
    <m/>
    <m/>
    <m/>
    <m/>
    <s v="Yes"/>
    <s v="Yes"/>
    <x v="0"/>
    <m/>
    <m/>
  </r>
  <r>
    <x v="0"/>
    <s v="BASRTL139"/>
    <m/>
    <x v="2"/>
    <s v="PCIe"/>
    <s v="SN2510538"/>
    <s v="R6/4"/>
    <x v="5"/>
    <x v="0"/>
    <x v="2"/>
    <x v="2"/>
    <x v="1"/>
    <s v="No"/>
    <s v="No"/>
    <m/>
    <m/>
    <x v="13"/>
    <m/>
    <m/>
    <m/>
    <m/>
    <m/>
    <m/>
    <m/>
    <s v="Yes"/>
    <s v="Yes"/>
    <x v="0"/>
    <m/>
    <m/>
  </r>
  <r>
    <x v="0"/>
    <s v="BASRTL176"/>
    <m/>
    <x v="2"/>
    <s v="PCIe"/>
    <s v="SN3219607"/>
    <s v="R7/3"/>
    <x v="2"/>
    <x v="0"/>
    <x v="0"/>
    <x v="0"/>
    <x v="5"/>
    <s v="No"/>
    <s v="No"/>
    <m/>
    <m/>
    <x v="13"/>
    <m/>
    <m/>
    <n v="7349781109"/>
    <m/>
    <m/>
    <m/>
    <m/>
    <s v="Yes"/>
    <s v="Yes"/>
    <x v="0"/>
    <m/>
    <m/>
  </r>
  <r>
    <x v="0"/>
    <s v="BASRTL278"/>
    <m/>
    <x v="2"/>
    <s v="PCIe"/>
    <s v="SN3633232"/>
    <m/>
    <x v="2"/>
    <x v="0"/>
    <x v="2"/>
    <x v="2"/>
    <x v="5"/>
    <s v="No"/>
    <s v="No"/>
    <m/>
    <m/>
    <x v="13"/>
    <m/>
    <m/>
    <m/>
    <m/>
    <m/>
    <m/>
    <m/>
    <s v="Yes"/>
    <s v="Yes"/>
    <x v="4"/>
    <m/>
    <s v="Faulty congatec"/>
  </r>
  <r>
    <x v="0"/>
    <s v="BASRTW037"/>
    <m/>
    <x v="2"/>
    <s v="USB"/>
    <s v="JPA0340K4W"/>
    <s v="R8/1"/>
    <x v="4"/>
    <x v="0"/>
    <x v="2"/>
    <x v="2"/>
    <x v="2"/>
    <s v="No"/>
    <s v="No"/>
    <m/>
    <m/>
    <x v="13"/>
    <m/>
    <m/>
    <m/>
    <m/>
    <m/>
    <m/>
    <d v="2018-04-06T00:00:00"/>
    <s v="No"/>
    <s v="No"/>
    <x v="1"/>
    <m/>
    <s v="not in use"/>
  </r>
  <r>
    <x v="0"/>
    <s v="BASRTW038"/>
    <m/>
    <x v="2"/>
    <s v="USB"/>
    <s v="SGH327T45L"/>
    <s v="R8/2"/>
    <x v="4"/>
    <x v="0"/>
    <x v="2"/>
    <x v="2"/>
    <x v="2"/>
    <s v="No"/>
    <s v="No"/>
    <m/>
    <m/>
    <x v="13"/>
    <m/>
    <m/>
    <m/>
    <m/>
    <m/>
    <m/>
    <d v="2018-04-06T00:00:00"/>
    <s v="No"/>
    <s v="No"/>
    <x v="1"/>
    <m/>
    <s v="not in use"/>
  </r>
  <r>
    <x v="0"/>
    <s v="BASRTW039"/>
    <m/>
    <x v="2"/>
    <s v="USB"/>
    <s v="SGH151SS7N"/>
    <s v="R8/3"/>
    <x v="4"/>
    <x v="0"/>
    <x v="2"/>
    <x v="2"/>
    <x v="5"/>
    <s v="No"/>
    <s v="No"/>
    <m/>
    <m/>
    <x v="13"/>
    <m/>
    <m/>
    <m/>
    <m/>
    <m/>
    <m/>
    <d v="2018-04-06T00:00:00"/>
    <s v="Yes"/>
    <s v="Yes"/>
    <x v="0"/>
    <m/>
    <m/>
  </r>
  <r>
    <x v="0"/>
    <s v="BASRTW040"/>
    <m/>
    <x v="2"/>
    <s v="USB"/>
    <s v="JPA0340K55"/>
    <s v="R8/4"/>
    <x v="4"/>
    <x v="0"/>
    <x v="2"/>
    <x v="2"/>
    <x v="2"/>
    <s v="No"/>
    <s v="No"/>
    <m/>
    <m/>
    <x v="13"/>
    <m/>
    <m/>
    <m/>
    <m/>
    <m/>
    <m/>
    <d v="2018-04-06T00:00:00"/>
    <s v="No"/>
    <s v="No"/>
    <x v="1"/>
    <m/>
    <s v="sim removed for IBIS"/>
  </r>
  <r>
    <x v="0"/>
    <s v="BASRTW002"/>
    <m/>
    <x v="2"/>
    <s v="USB"/>
    <s v="JPA0340K50"/>
    <s v="R8/5"/>
    <x v="4"/>
    <x v="0"/>
    <x v="2"/>
    <x v="2"/>
    <x v="5"/>
    <s v="No"/>
    <s v="No"/>
    <m/>
    <m/>
    <x v="13"/>
    <m/>
    <m/>
    <m/>
    <m/>
    <m/>
    <m/>
    <d v="2018-04-06T00:00:00"/>
    <s v="No"/>
    <s v="No"/>
    <x v="1"/>
    <m/>
    <s v="sim removed for 7560"/>
  </r>
  <r>
    <x v="0"/>
    <s v="BASRTL280"/>
    <m/>
    <x v="2"/>
    <s v="PCIe"/>
    <s v="SN3633169"/>
    <s v="R8/6"/>
    <x v="2"/>
    <x v="0"/>
    <x v="0"/>
    <x v="0"/>
    <x v="6"/>
    <s v="No"/>
    <s v="No"/>
    <m/>
    <m/>
    <x v="13"/>
    <m/>
    <m/>
    <n v="7899715582"/>
    <m/>
    <m/>
    <m/>
    <m/>
    <s v="Yes"/>
    <s v="Yes"/>
    <x v="0"/>
    <m/>
    <m/>
  </r>
  <r>
    <x v="0"/>
    <s v="BASRTL289"/>
    <s v="Yes"/>
    <x v="3"/>
    <s v="PCIe"/>
    <s v="SN3219688"/>
    <s v="R9/1"/>
    <x v="0"/>
    <x v="2"/>
    <x v="8"/>
    <x v="4"/>
    <x v="1"/>
    <s v="No"/>
    <s v="No"/>
    <m/>
    <m/>
    <x v="42"/>
    <m/>
    <m/>
    <n v="9513388211"/>
    <m/>
    <m/>
    <m/>
    <d v="2018-04-05T00:00:00"/>
    <s v="Yes"/>
    <s v="Yes"/>
    <x v="0"/>
    <m/>
    <m/>
  </r>
  <r>
    <x v="0"/>
    <s v="BASRTL127"/>
    <s v="Yes"/>
    <x v="6"/>
    <s v="PCIe"/>
    <s v="SN2794340"/>
    <s v="R9/2"/>
    <x v="0"/>
    <x v="0"/>
    <x v="0"/>
    <x v="0"/>
    <x v="1"/>
    <s v="No"/>
    <s v="No"/>
    <s v="4x"/>
    <m/>
    <x v="43"/>
    <m/>
    <m/>
    <n v="9606480566"/>
    <n v="440152238386"/>
    <m/>
    <m/>
    <d v="2018-04-05T00:00:00"/>
    <s v="Yes"/>
    <s v="Yes"/>
    <x v="0"/>
    <m/>
    <m/>
  </r>
  <r>
    <x v="0"/>
    <s v="BASRTL137"/>
    <m/>
    <x v="2"/>
    <s v="PCIe"/>
    <s v="SN2510541"/>
    <s v="R11/2"/>
    <x v="4"/>
    <x v="0"/>
    <x v="0"/>
    <x v="0"/>
    <x v="2"/>
    <s v="No"/>
    <s v="No"/>
    <m/>
    <m/>
    <x v="13"/>
    <m/>
    <m/>
    <n v="7625036337"/>
    <m/>
    <m/>
    <m/>
    <m/>
    <s v="No"/>
    <s v="No"/>
    <x v="1"/>
    <m/>
    <s v="ramped down"/>
  </r>
  <r>
    <x v="0"/>
    <s v="BASRTW056"/>
    <m/>
    <x v="2"/>
    <s v="USB"/>
    <s v="SGH305RTRK"/>
    <s v="R12/1"/>
    <x v="6"/>
    <x v="0"/>
    <x v="0"/>
    <x v="0"/>
    <x v="3"/>
    <s v="No"/>
    <s v="No"/>
    <m/>
    <m/>
    <x v="13"/>
    <m/>
    <m/>
    <m/>
    <m/>
    <m/>
    <m/>
    <m/>
    <s v="Yes"/>
    <s v="Yes"/>
    <x v="0"/>
    <m/>
    <m/>
  </r>
  <r>
    <x v="0"/>
    <s v="BASRTW058"/>
    <m/>
    <x v="2"/>
    <s v="USB"/>
    <s v="SGH327T45D"/>
    <s v="R12/3"/>
    <x v="6"/>
    <x v="0"/>
    <x v="0"/>
    <x v="0"/>
    <x v="3"/>
    <s v="No"/>
    <s v="No"/>
    <m/>
    <m/>
    <x v="13"/>
    <m/>
    <m/>
    <m/>
    <m/>
    <m/>
    <m/>
    <m/>
    <s v="Yes"/>
    <s v="Yes"/>
    <x v="0"/>
    <m/>
    <m/>
  </r>
  <r>
    <x v="0"/>
    <s v="BASRTW059"/>
    <m/>
    <x v="2"/>
    <s v="USB"/>
    <s v="SGH151SS8Q"/>
    <s v="R12/4"/>
    <x v="6"/>
    <x v="0"/>
    <x v="0"/>
    <x v="0"/>
    <x v="3"/>
    <s v="No"/>
    <s v="No"/>
    <m/>
    <m/>
    <x v="13"/>
    <m/>
    <m/>
    <m/>
    <m/>
    <m/>
    <m/>
    <m/>
    <s v="Yes"/>
    <s v="Yes"/>
    <x v="0"/>
    <m/>
    <m/>
  </r>
  <r>
    <x v="0"/>
    <s v="BASRTW051"/>
    <m/>
    <x v="2"/>
    <s v="USB"/>
    <s v="SGH327T45M"/>
    <s v="R12/2"/>
    <x v="6"/>
    <x v="0"/>
    <x v="2"/>
    <x v="2"/>
    <x v="3"/>
    <s v="No"/>
    <s v="No"/>
    <m/>
    <m/>
    <x v="13"/>
    <m/>
    <m/>
    <m/>
    <m/>
    <m/>
    <m/>
    <m/>
    <s v="Yes"/>
    <s v="Yes"/>
    <x v="0"/>
    <m/>
    <m/>
  </r>
  <r>
    <x v="0"/>
    <s v="BASRTW061"/>
    <m/>
    <x v="2"/>
    <s v="USB"/>
    <s v="SGH327T45H"/>
    <s v="R12/6"/>
    <x v="5"/>
    <x v="0"/>
    <x v="2"/>
    <x v="2"/>
    <x v="3"/>
    <s v="No"/>
    <s v="No"/>
    <m/>
    <m/>
    <x v="13"/>
    <m/>
    <m/>
    <m/>
    <m/>
    <m/>
    <m/>
    <m/>
    <s v="Yes"/>
    <s v="Yes"/>
    <x v="0"/>
    <m/>
    <m/>
  </r>
  <r>
    <x v="0"/>
    <s v="BASRTL233"/>
    <s v="No"/>
    <x v="2"/>
    <s v="PCIe"/>
    <m/>
    <s v="R12/5"/>
    <x v="0"/>
    <x v="1"/>
    <x v="11"/>
    <x v="2"/>
    <x v="2"/>
    <s v="No"/>
    <s v="No"/>
    <m/>
    <m/>
    <x v="73"/>
    <m/>
    <m/>
    <n v="8095015789"/>
    <n v="440152217740"/>
    <m/>
    <m/>
    <d v="2018-04-05T00:00:00"/>
    <s v="Yes"/>
    <s v="Yes"/>
    <x v="0"/>
    <m/>
    <s v="Aravind Setup"/>
  </r>
  <r>
    <x v="0"/>
    <s v="BASRTL213"/>
    <m/>
    <x v="2"/>
    <s v="PCIe"/>
    <s v="SN3299533"/>
    <s v="R13/1"/>
    <x v="2"/>
    <x v="0"/>
    <x v="2"/>
    <x v="2"/>
    <x v="5"/>
    <s v="No"/>
    <s v="No"/>
    <m/>
    <m/>
    <x v="13"/>
    <m/>
    <m/>
    <m/>
    <m/>
    <m/>
    <m/>
    <m/>
    <s v="Yes"/>
    <s v="Yes"/>
    <x v="0"/>
    <m/>
    <m/>
  </r>
  <r>
    <x v="0"/>
    <s v="BASRTL214"/>
    <m/>
    <x v="2"/>
    <s v="PCIe"/>
    <s v="SN3299764"/>
    <s v="R13/2"/>
    <x v="2"/>
    <x v="0"/>
    <x v="0"/>
    <x v="0"/>
    <x v="5"/>
    <s v="No"/>
    <s v="No"/>
    <m/>
    <m/>
    <x v="13"/>
    <m/>
    <m/>
    <n v="7349781102"/>
    <m/>
    <m/>
    <m/>
    <m/>
    <s v="Yes"/>
    <s v="Yes"/>
    <x v="0"/>
    <m/>
    <m/>
  </r>
  <r>
    <x v="0"/>
    <s v="BASRTL215"/>
    <m/>
    <x v="2"/>
    <s v="PCIe"/>
    <s v="SN3299670"/>
    <s v="R13/3"/>
    <x v="2"/>
    <x v="0"/>
    <x v="0"/>
    <x v="0"/>
    <x v="5"/>
    <s v="No"/>
    <s v="No"/>
    <m/>
    <m/>
    <x v="13"/>
    <m/>
    <m/>
    <n v="7349781129"/>
    <m/>
    <m/>
    <m/>
    <m/>
    <s v="Yes"/>
    <s v="Yes"/>
    <x v="0"/>
    <m/>
    <m/>
  </r>
  <r>
    <x v="0"/>
    <s v="BASRTL216"/>
    <m/>
    <x v="2"/>
    <s v="PCIe"/>
    <s v="SN3299698"/>
    <s v="R13/4"/>
    <x v="2"/>
    <x v="0"/>
    <x v="0"/>
    <x v="0"/>
    <x v="5"/>
    <s v="No"/>
    <s v="No"/>
    <m/>
    <m/>
    <x v="13"/>
    <m/>
    <m/>
    <n v="7349781070"/>
    <m/>
    <m/>
    <m/>
    <m/>
    <s v="Yes"/>
    <s v="Yes"/>
    <x v="0"/>
    <m/>
    <m/>
  </r>
  <r>
    <x v="0"/>
    <s v="BASRTL217"/>
    <m/>
    <x v="2"/>
    <s v="PCIe"/>
    <s v="SN3299731"/>
    <s v="R13/5"/>
    <x v="2"/>
    <x v="0"/>
    <x v="0"/>
    <x v="0"/>
    <x v="5"/>
    <s v="No"/>
    <s v="No"/>
    <m/>
    <m/>
    <x v="13"/>
    <m/>
    <m/>
    <n v="7349781070"/>
    <m/>
    <m/>
    <m/>
    <m/>
    <s v="Yes"/>
    <s v="Yes"/>
    <x v="0"/>
    <m/>
    <m/>
  </r>
  <r>
    <x v="0"/>
    <s v="BASRTL269"/>
    <s v="Yes"/>
    <x v="3"/>
    <s v="PCIe"/>
    <s v="SN3516399"/>
    <s v="R14/2"/>
    <x v="0"/>
    <x v="1"/>
    <x v="7"/>
    <x v="7"/>
    <x v="1"/>
    <s v="No"/>
    <s v="No"/>
    <m/>
    <m/>
    <x v="76"/>
    <m/>
    <m/>
    <m/>
    <m/>
    <m/>
    <m/>
    <d v="2018-04-05T00:00:00"/>
    <s v="Yes"/>
    <s v="Yes"/>
    <x v="0"/>
    <m/>
    <m/>
  </r>
  <r>
    <x v="0"/>
    <s v="BASRTL239"/>
    <m/>
    <x v="2"/>
    <s v="PCIe"/>
    <s v="SN3299595"/>
    <s v="R14/4"/>
    <x v="2"/>
    <x v="0"/>
    <x v="0"/>
    <x v="0"/>
    <x v="5"/>
    <s v="No"/>
    <s v="No"/>
    <m/>
    <m/>
    <x v="13"/>
    <m/>
    <m/>
    <n v="7625047638"/>
    <m/>
    <m/>
    <m/>
    <m/>
    <s v="Yes"/>
    <s v="Yes"/>
    <x v="0"/>
    <m/>
    <m/>
  </r>
  <r>
    <x v="0"/>
    <s v="BASRTL238"/>
    <m/>
    <x v="2"/>
    <s v="PCIe"/>
    <s v="SN3299555"/>
    <s v="R14/5"/>
    <x v="2"/>
    <x v="0"/>
    <x v="0"/>
    <x v="0"/>
    <x v="5"/>
    <s v="No"/>
    <s v="No"/>
    <m/>
    <m/>
    <x v="13"/>
    <m/>
    <m/>
    <n v="7625047652"/>
    <m/>
    <m/>
    <m/>
    <m/>
    <s v="Yes"/>
    <s v="Yes"/>
    <x v="0"/>
    <m/>
    <m/>
  </r>
  <r>
    <x v="0"/>
    <s v="BASRTW073"/>
    <m/>
    <x v="2"/>
    <s v="USB"/>
    <s v="SGH327T461"/>
    <s v="R14/6"/>
    <x v="4"/>
    <x v="0"/>
    <x v="2"/>
    <x v="2"/>
    <x v="5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070"/>
    <m/>
    <x v="2"/>
    <s v="USB"/>
    <s v="SGH037TY9W"/>
    <s v="R14/3"/>
    <x v="4"/>
    <x v="0"/>
    <x v="2"/>
    <x v="2"/>
    <x v="2"/>
    <s v="No"/>
    <s v="No"/>
    <m/>
    <m/>
    <x v="13"/>
    <m/>
    <m/>
    <m/>
    <m/>
    <m/>
    <m/>
    <d v="2018-04-06T00:00:00"/>
    <s v="No"/>
    <s v="No"/>
    <x v="1"/>
    <m/>
    <s v="sim removed for IBIS"/>
  </r>
  <r>
    <x v="0"/>
    <s v="BASRTL281"/>
    <m/>
    <x v="2"/>
    <s v="PCIe"/>
    <s v="SN3633153"/>
    <s v="R14/4"/>
    <x v="2"/>
    <x v="0"/>
    <x v="0"/>
    <x v="0"/>
    <x v="6"/>
    <s v="No"/>
    <s v="No"/>
    <m/>
    <m/>
    <x v="13"/>
    <m/>
    <m/>
    <n v="9108443042"/>
    <m/>
    <m/>
    <m/>
    <m/>
    <s v="Yes"/>
    <s v="Yes"/>
    <x v="0"/>
    <m/>
    <m/>
  </r>
  <r>
    <x v="0"/>
    <s v="BASRTW074"/>
    <m/>
    <x v="2"/>
    <s v="USB"/>
    <s v="SGH037TY9R"/>
    <s v="R15/1"/>
    <x v="4"/>
    <x v="0"/>
    <x v="0"/>
    <x v="0"/>
    <x v="5"/>
    <s v="No"/>
    <s v="No"/>
    <m/>
    <m/>
    <x v="13"/>
    <m/>
    <m/>
    <m/>
    <m/>
    <m/>
    <m/>
    <d v="2018-04-06T00:00:00"/>
    <s v="No"/>
    <s v="No"/>
    <x v="1"/>
    <m/>
    <s v="sim removed for IBIS"/>
  </r>
  <r>
    <x v="0"/>
    <s v="BASRTW075"/>
    <m/>
    <x v="2"/>
    <s v="USB"/>
    <s v="SGH327T45V"/>
    <s v="R15/2"/>
    <x v="4"/>
    <x v="0"/>
    <x v="0"/>
    <x v="0"/>
    <x v="2"/>
    <s v="No"/>
    <s v="No"/>
    <m/>
    <m/>
    <x v="13"/>
    <m/>
    <m/>
    <m/>
    <m/>
    <m/>
    <m/>
    <d v="2018-04-06T00:00:00"/>
    <s v="No"/>
    <s v="No"/>
    <x v="1"/>
    <m/>
    <s v="sim removed for IBIS"/>
  </r>
  <r>
    <x v="0"/>
    <s v="BASRTW076"/>
    <m/>
    <x v="2"/>
    <s v="USB"/>
    <s v="SGH151SS8L"/>
    <s v="R15/3"/>
    <x v="4"/>
    <x v="0"/>
    <x v="0"/>
    <x v="0"/>
    <x v="3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077"/>
    <m/>
    <x v="2"/>
    <s v="USB"/>
    <s v="SGH327T45K"/>
    <s v="R15/4"/>
    <x v="4"/>
    <x v="0"/>
    <x v="0"/>
    <x v="0"/>
    <x v="5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078"/>
    <m/>
    <x v="2"/>
    <s v="USB"/>
    <s v="SGH037TVTH"/>
    <s v="R15/5"/>
    <x v="4"/>
    <x v="0"/>
    <x v="0"/>
    <x v="0"/>
    <x v="5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079"/>
    <m/>
    <x v="2"/>
    <s v="USB"/>
    <s v="SGH151SS84"/>
    <s v="R15/6"/>
    <x v="4"/>
    <x v="0"/>
    <x v="0"/>
    <x v="0"/>
    <x v="5"/>
    <s v="No"/>
    <s v="No"/>
    <m/>
    <m/>
    <x v="13"/>
    <m/>
    <m/>
    <m/>
    <m/>
    <m/>
    <m/>
    <d v="2018-04-06T00:00:00"/>
    <s v="No"/>
    <s v="No"/>
    <x v="1"/>
    <m/>
    <s v="sim removed for IBIS"/>
  </r>
  <r>
    <x v="0"/>
    <s v="BASRTL241"/>
    <m/>
    <x v="2"/>
    <s v="PCIe"/>
    <s v="SN3299455"/>
    <s v="R16/1"/>
    <x v="2"/>
    <x v="0"/>
    <x v="2"/>
    <x v="2"/>
    <x v="6"/>
    <s v="No"/>
    <s v="No"/>
    <m/>
    <m/>
    <x v="13"/>
    <m/>
    <m/>
    <m/>
    <m/>
    <m/>
    <m/>
    <m/>
    <s v="Yes"/>
    <s v="Yes"/>
    <x v="0"/>
    <m/>
    <m/>
  </r>
  <r>
    <x v="0"/>
    <s v="BASRTL118"/>
    <m/>
    <x v="2"/>
    <s v="PCIe"/>
    <s v="SN2794401"/>
    <s v="R16/6"/>
    <x v="4"/>
    <x v="0"/>
    <x v="2"/>
    <x v="2"/>
    <x v="5"/>
    <s v="No"/>
    <s v="No"/>
    <m/>
    <m/>
    <x v="13"/>
    <m/>
    <m/>
    <m/>
    <m/>
    <m/>
    <m/>
    <m/>
    <s v="No"/>
    <s v="No"/>
    <x v="1"/>
    <m/>
    <s v="removed from rack"/>
  </r>
  <r>
    <x v="0"/>
    <s v="BASRTL126"/>
    <m/>
    <x v="2"/>
    <s v="PCIe"/>
    <s v="SN2794377"/>
    <s v="R16/3"/>
    <x v="4"/>
    <x v="0"/>
    <x v="0"/>
    <x v="0"/>
    <x v="5"/>
    <s v="No"/>
    <s v="No"/>
    <m/>
    <m/>
    <x v="13"/>
    <m/>
    <m/>
    <n v="7349781105"/>
    <m/>
    <m/>
    <m/>
    <m/>
    <s v="Yes"/>
    <s v="Yes"/>
    <x v="0"/>
    <m/>
    <m/>
  </r>
  <r>
    <x v="0"/>
    <s v="BASRTL133"/>
    <m/>
    <x v="2"/>
    <s v="PCIe"/>
    <s v="SN2388891"/>
    <s v="R16/4"/>
    <x v="4"/>
    <x v="0"/>
    <x v="2"/>
    <x v="2"/>
    <x v="5"/>
    <s v="No"/>
    <s v="No"/>
    <m/>
    <m/>
    <x v="13"/>
    <m/>
    <m/>
    <m/>
    <m/>
    <m/>
    <m/>
    <m/>
    <s v="No"/>
    <s v="No"/>
    <x v="1"/>
    <m/>
    <s v="removed from rack"/>
  </r>
  <r>
    <x v="0"/>
    <s v="BASRTL208"/>
    <m/>
    <x v="2"/>
    <s v="PCIe"/>
    <s v="SN3219620"/>
    <s v="R16/5"/>
    <x v="2"/>
    <x v="0"/>
    <x v="0"/>
    <x v="0"/>
    <x v="5"/>
    <s v="No"/>
    <s v="No"/>
    <m/>
    <m/>
    <x v="13"/>
    <m/>
    <m/>
    <n v="7349781132"/>
    <m/>
    <m/>
    <m/>
    <m/>
    <s v="Yes"/>
    <s v="Yes"/>
    <x v="0"/>
    <m/>
    <m/>
  </r>
  <r>
    <x v="0"/>
    <s v="BASRTW081"/>
    <m/>
    <x v="2"/>
    <s v="USB"/>
    <s v="SGH151SS7H"/>
    <s v="R17/1"/>
    <x v="4"/>
    <x v="0"/>
    <x v="2"/>
    <x v="2"/>
    <x v="5"/>
    <s v="No"/>
    <s v="No"/>
    <m/>
    <m/>
    <x v="13"/>
    <m/>
    <m/>
    <m/>
    <m/>
    <m/>
    <m/>
    <d v="2018-04-06T00:00:00"/>
    <s v="No"/>
    <s v="No"/>
    <x v="1"/>
    <m/>
    <s v="sim removed for Lakefield"/>
  </r>
  <r>
    <x v="0"/>
    <s v="BASRTW099"/>
    <m/>
    <x v="2"/>
    <s v="USB"/>
    <s v="SGH327T455"/>
    <s v="R17/2"/>
    <x v="4"/>
    <x v="0"/>
    <x v="2"/>
    <x v="2"/>
    <x v="5"/>
    <s v="No"/>
    <s v="No"/>
    <m/>
    <m/>
    <x v="13"/>
    <m/>
    <m/>
    <m/>
    <m/>
    <m/>
    <m/>
    <d v="2018-04-06T00:00:00"/>
    <s v="Yes"/>
    <s v="Yes"/>
    <x v="0"/>
    <m/>
    <m/>
  </r>
  <r>
    <x v="0"/>
    <s v="BASRTL121"/>
    <m/>
    <x v="2"/>
    <s v="PCIe"/>
    <s v="SN2794368"/>
    <s v="R17/3"/>
    <x v="4"/>
    <x v="0"/>
    <x v="2"/>
    <x v="2"/>
    <x v="5"/>
    <s v="No"/>
    <s v="No"/>
    <m/>
    <m/>
    <x v="13"/>
    <m/>
    <m/>
    <m/>
    <m/>
    <m/>
    <m/>
    <m/>
    <s v="Yes"/>
    <s v="Yes"/>
    <x v="0"/>
    <m/>
    <m/>
  </r>
  <r>
    <x v="0"/>
    <s v="BASRTL232"/>
    <s v="No"/>
    <x v="2"/>
    <s v="PCIe"/>
    <s v="SN3316735"/>
    <s v="R17/5"/>
    <x v="0"/>
    <x v="1"/>
    <x v="7"/>
    <x v="7"/>
    <x v="2"/>
    <s v="No"/>
    <s v="No"/>
    <m/>
    <m/>
    <x v="69"/>
    <m/>
    <m/>
    <n v="8095012789"/>
    <m/>
    <m/>
    <m/>
    <d v="2018-04-05T00:00:00"/>
    <s v="Yes"/>
    <s v="Yes"/>
    <x v="0"/>
    <m/>
    <s v="Aravind Setup"/>
  </r>
  <r>
    <x v="0"/>
    <s v="BASRTL123"/>
    <m/>
    <x v="2"/>
    <s v="PCIe"/>
    <s v="SN2250543"/>
    <s v="R17/6"/>
    <x v="4"/>
    <x v="0"/>
    <x v="0"/>
    <x v="0"/>
    <x v="5"/>
    <s v="No"/>
    <s v="No"/>
    <m/>
    <m/>
    <x v="13"/>
    <m/>
    <m/>
    <n v="9108443047"/>
    <m/>
    <m/>
    <m/>
    <m/>
    <s v="Yes"/>
    <s v="Yes"/>
    <x v="0"/>
    <m/>
    <m/>
  </r>
  <r>
    <x v="0"/>
    <s v="BASRTW094"/>
    <m/>
    <x v="2"/>
    <s v="USB"/>
    <s v="SGH219R5BD"/>
    <s v="R18/2"/>
    <x v="4"/>
    <x v="0"/>
    <x v="0"/>
    <x v="0"/>
    <x v="3"/>
    <s v="No"/>
    <s v="No"/>
    <m/>
    <m/>
    <x v="13"/>
    <m/>
    <m/>
    <m/>
    <m/>
    <m/>
    <m/>
    <d v="2018-04-06T00:00:00"/>
    <s v="No"/>
    <s v="No"/>
    <x v="1"/>
    <m/>
    <s v="Taken down to Stock"/>
  </r>
  <r>
    <x v="0"/>
    <s v="BASRTW095"/>
    <m/>
    <x v="2"/>
    <s v="USB"/>
    <s v="SGH151SS7R"/>
    <s v="R18/6"/>
    <x v="4"/>
    <x v="0"/>
    <x v="0"/>
    <x v="0"/>
    <x v="3"/>
    <s v="No"/>
    <s v="No"/>
    <m/>
    <m/>
    <x v="13"/>
    <m/>
    <m/>
    <m/>
    <m/>
    <m/>
    <m/>
    <d v="2018-04-06T00:00:00"/>
    <s v="No"/>
    <s v="No"/>
    <x v="1"/>
    <m/>
    <s v="Taken down to Stock"/>
  </r>
  <r>
    <x v="0"/>
    <s v="BASRTW093"/>
    <m/>
    <x v="2"/>
    <s v="USB"/>
    <s v="SGH042SY68"/>
    <s v="R21/1"/>
    <x v="3"/>
    <x v="0"/>
    <x v="2"/>
    <x v="2"/>
    <x v="3"/>
    <s v="No"/>
    <s v="No"/>
    <m/>
    <m/>
    <x v="13"/>
    <m/>
    <m/>
    <m/>
    <m/>
    <m/>
    <m/>
    <m/>
    <s v="No"/>
    <s v="No"/>
    <x v="1"/>
    <m/>
    <s v="Taken down to Stock"/>
  </r>
  <r>
    <x v="0"/>
    <s v="BASRTW062"/>
    <m/>
    <x v="2"/>
    <s v="USB"/>
    <s v="SGH327T45B"/>
    <s v="R21/2"/>
    <x v="4"/>
    <x v="0"/>
    <x v="0"/>
    <x v="0"/>
    <x v="5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L164"/>
    <m/>
    <x v="2"/>
    <s v="PCIe"/>
    <s v="SN3219989"/>
    <s v="R26/5"/>
    <x v="3"/>
    <x v="2"/>
    <x v="0"/>
    <x v="2"/>
    <x v="5"/>
    <s v="No"/>
    <s v="No"/>
    <m/>
    <m/>
    <x v="13"/>
    <m/>
    <m/>
    <n v="7349781093"/>
    <m/>
    <m/>
    <m/>
    <m/>
    <s v="Yes"/>
    <s v="Yes"/>
    <x v="0"/>
    <m/>
    <m/>
  </r>
  <r>
    <x v="0"/>
    <s v="BASRTL161"/>
    <m/>
    <x v="2"/>
    <s v="PCIe"/>
    <s v="SN3219927"/>
    <s v="R26/6"/>
    <x v="3"/>
    <x v="2"/>
    <x v="0"/>
    <x v="2"/>
    <x v="7"/>
    <s v="No"/>
    <s v="No"/>
    <m/>
    <m/>
    <x v="13"/>
    <m/>
    <m/>
    <n v="7899715582"/>
    <m/>
    <m/>
    <m/>
    <m/>
    <s v="Yes"/>
    <s v="Yes"/>
    <x v="1"/>
    <m/>
    <s v="With Script Team "/>
  </r>
  <r>
    <x v="0"/>
    <s v="BASRTL247"/>
    <m/>
    <x v="2"/>
    <s v="PCIe"/>
    <s v="SN3299379"/>
    <s v="R23/04"/>
    <x v="2"/>
    <x v="0"/>
    <x v="2"/>
    <x v="2"/>
    <x v="5"/>
    <s v="No"/>
    <s v="No"/>
    <m/>
    <m/>
    <x v="13"/>
    <m/>
    <m/>
    <m/>
    <m/>
    <m/>
    <m/>
    <m/>
    <s v="Yes"/>
    <s v="Yes"/>
    <x v="0"/>
    <m/>
    <m/>
  </r>
  <r>
    <x v="0"/>
    <s v="BASRTW104"/>
    <m/>
    <x v="2"/>
    <s v="USB"/>
    <s v="SGH327T45Z"/>
    <s v="R23/1"/>
    <x v="4"/>
    <x v="0"/>
    <x v="0"/>
    <x v="0"/>
    <x v="2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105"/>
    <m/>
    <x v="2"/>
    <s v="USB"/>
    <s v="JPA0340K4Y"/>
    <s v="R23/2"/>
    <x v="4"/>
    <x v="0"/>
    <x v="0"/>
    <x v="0"/>
    <x v="5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097"/>
    <m/>
    <x v="2"/>
    <s v="USB"/>
    <s v="SGH305RTRM"/>
    <s v="R22/1"/>
    <x v="4"/>
    <x v="0"/>
    <x v="0"/>
    <x v="0"/>
    <x v="2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098"/>
    <m/>
    <x v="2"/>
    <s v="USB"/>
    <s v="SGH305RTRV"/>
    <s v="R22/2"/>
    <x v="4"/>
    <x v="0"/>
    <x v="0"/>
    <x v="0"/>
    <x v="2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092"/>
    <m/>
    <x v="2"/>
    <s v="USB"/>
    <s v="JPA0340K54"/>
    <s v="R22/3"/>
    <x v="4"/>
    <x v="0"/>
    <x v="0"/>
    <x v="0"/>
    <x v="2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100"/>
    <m/>
    <x v="2"/>
    <s v="USB"/>
    <s v="SGH327T459"/>
    <s v="R22/4"/>
    <x v="4"/>
    <x v="0"/>
    <x v="0"/>
    <x v="0"/>
    <x v="2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101"/>
    <m/>
    <x v="2"/>
    <s v="USB"/>
    <s v="JPA0340K53"/>
    <s v="R22/5"/>
    <x v="4"/>
    <x v="0"/>
    <x v="0"/>
    <x v="0"/>
    <x v="2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102"/>
    <m/>
    <x v="2"/>
    <s v="USB"/>
    <s v="ITP305BPD24"/>
    <s v="R22/6"/>
    <x v="4"/>
    <x v="0"/>
    <x v="0"/>
    <x v="0"/>
    <x v="2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W103"/>
    <m/>
    <x v="2"/>
    <s v="USB"/>
    <s v="SGH305RTRG"/>
    <s v="R22/7"/>
    <x v="4"/>
    <x v="0"/>
    <x v="0"/>
    <x v="0"/>
    <x v="2"/>
    <s v="No"/>
    <s v="No"/>
    <m/>
    <m/>
    <x v="13"/>
    <m/>
    <m/>
    <m/>
    <m/>
    <m/>
    <m/>
    <d v="2018-04-06T00:00:00"/>
    <s v="No"/>
    <s v="No"/>
    <x v="1"/>
    <m/>
    <s v="ramped down"/>
  </r>
  <r>
    <x v="0"/>
    <s v="BASRTL283"/>
    <m/>
    <x v="2"/>
    <s v="PCIe"/>
    <s v="SN3633150"/>
    <s v="R13"/>
    <x v="2"/>
    <x v="0"/>
    <x v="0"/>
    <x v="0"/>
    <x v="6"/>
    <s v="No"/>
    <s v="No"/>
    <m/>
    <m/>
    <x v="13"/>
    <m/>
    <m/>
    <m/>
    <m/>
    <m/>
    <m/>
    <d v="2018-03-20T00:00:00"/>
    <s v="Yes"/>
    <s v="Yes"/>
    <x v="0"/>
    <m/>
    <m/>
  </r>
  <r>
    <x v="0"/>
    <s v="BASRTL284"/>
    <m/>
    <x v="2"/>
    <s v="PCIe"/>
    <s v="SN3633147"/>
    <s v="R7 "/>
    <x v="2"/>
    <x v="0"/>
    <x v="0"/>
    <x v="0"/>
    <x v="6"/>
    <s v="No"/>
    <s v="No"/>
    <m/>
    <m/>
    <x v="13"/>
    <m/>
    <m/>
    <m/>
    <m/>
    <m/>
    <m/>
    <d v="2018-03-20T00:00:00"/>
    <s v="Yes"/>
    <s v="Yes"/>
    <x v="0"/>
    <m/>
    <m/>
  </r>
  <r>
    <x v="0"/>
    <s v="BASRTL285"/>
    <m/>
    <x v="2"/>
    <s v="PCIe"/>
    <s v="SN3633188"/>
    <s v="R13"/>
    <x v="2"/>
    <x v="0"/>
    <x v="0"/>
    <x v="0"/>
    <x v="6"/>
    <s v="No"/>
    <s v="No"/>
    <m/>
    <m/>
    <x v="13"/>
    <m/>
    <m/>
    <m/>
    <m/>
    <m/>
    <m/>
    <d v="2018-03-20T00:00:00"/>
    <s v="Yes"/>
    <s v="Yes"/>
    <x v="0"/>
    <m/>
    <m/>
  </r>
  <r>
    <x v="0"/>
    <s v="BASRTL286"/>
    <m/>
    <x v="2"/>
    <s v="PCIe"/>
    <s v="SN3633146"/>
    <s v="R13"/>
    <x v="2"/>
    <x v="0"/>
    <x v="0"/>
    <x v="0"/>
    <x v="6"/>
    <s v="No"/>
    <s v="No"/>
    <m/>
    <m/>
    <x v="13"/>
    <m/>
    <m/>
    <m/>
    <m/>
    <m/>
    <m/>
    <d v="2018-03-20T00:00:00"/>
    <s v="Yes"/>
    <s v="Yes"/>
    <x v="0"/>
    <m/>
    <m/>
  </r>
  <r>
    <x v="0"/>
    <s v="BASRTL287"/>
    <m/>
    <x v="2"/>
    <s v="PCIe"/>
    <s v="SN3633190"/>
    <s v="R3 "/>
    <x v="2"/>
    <x v="0"/>
    <x v="0"/>
    <x v="0"/>
    <x v="6"/>
    <s v="No"/>
    <s v="No"/>
    <m/>
    <m/>
    <x v="13"/>
    <m/>
    <m/>
    <m/>
    <m/>
    <m/>
    <m/>
    <d v="2018-03-20T00:00:00"/>
    <s v="Yes"/>
    <s v="Yes"/>
    <x v="0"/>
    <m/>
    <m/>
  </r>
  <r>
    <x v="0"/>
    <s v="BASRTL258"/>
    <s v="Yes"/>
    <x v="3"/>
    <s v="PCIe"/>
    <s v="SN3633201"/>
    <s v="R20/1"/>
    <x v="0"/>
    <x v="1"/>
    <x v="7"/>
    <x v="7"/>
    <x v="1"/>
    <s v="No"/>
    <s v="No"/>
    <s v="4x"/>
    <m/>
    <x v="77"/>
    <m/>
    <m/>
    <m/>
    <m/>
    <m/>
    <m/>
    <d v="2018-04-05T00:00:00"/>
    <s v="Yes"/>
    <s v="Yes"/>
    <x v="0"/>
    <m/>
    <m/>
  </r>
  <r>
    <x v="0"/>
    <s v="BASRTL259"/>
    <s v="Yes"/>
    <x v="3"/>
    <s v="PCIe"/>
    <s v="SN3220249"/>
    <s v="R20/2"/>
    <x v="0"/>
    <x v="1"/>
    <x v="3"/>
    <x v="3"/>
    <x v="1"/>
    <s v="No"/>
    <s v="No"/>
    <m/>
    <m/>
    <x v="78"/>
    <m/>
    <m/>
    <m/>
    <m/>
    <m/>
    <m/>
    <d v="2018-04-05T00:00:00"/>
    <s v="Yes"/>
    <s v="Yes"/>
    <x v="0"/>
    <m/>
    <m/>
  </r>
  <r>
    <x v="0"/>
    <s v="BASRTL260"/>
    <s v="No"/>
    <x v="3"/>
    <s v="PCIe"/>
    <s v="SN3633211"/>
    <s v="R20/3"/>
    <x v="0"/>
    <x v="1"/>
    <x v="9"/>
    <x v="3"/>
    <x v="1"/>
    <s v="No"/>
    <s v="No"/>
    <m/>
    <m/>
    <x v="79"/>
    <m/>
    <m/>
    <m/>
    <m/>
    <m/>
    <m/>
    <d v="2018-04-05T00:00:00"/>
    <s v="Yes"/>
    <s v="Yes"/>
    <x v="0"/>
    <m/>
    <s v="Given to FT"/>
  </r>
  <r>
    <x v="0"/>
    <s v="BASRTL261"/>
    <s v="Yes"/>
    <x v="3"/>
    <s v="PCIe"/>
    <s v="SN3633185"/>
    <s v="R20/4"/>
    <x v="0"/>
    <x v="1"/>
    <x v="7"/>
    <x v="8"/>
    <x v="1"/>
    <s v="No"/>
    <s v="No"/>
    <m/>
    <m/>
    <x v="80"/>
    <m/>
    <m/>
    <m/>
    <m/>
    <m/>
    <m/>
    <d v="2018-04-05T00:00:00"/>
    <s v="Yes"/>
    <s v="Yes"/>
    <x v="0"/>
    <m/>
    <m/>
  </r>
  <r>
    <x v="0"/>
    <s v="BASRTL262"/>
    <s v="No"/>
    <x v="3"/>
    <s v="PCIe"/>
    <s v="SN3633236"/>
    <s v="R20/5"/>
    <x v="0"/>
    <x v="1"/>
    <x v="7"/>
    <x v="7"/>
    <x v="1"/>
    <s v="No"/>
    <s v="No"/>
    <s v="4x"/>
    <m/>
    <x v="81"/>
    <m/>
    <m/>
    <m/>
    <m/>
    <m/>
    <m/>
    <d v="2018-04-05T00:00:00"/>
    <s v="Yes"/>
    <s v="Yes"/>
    <x v="0"/>
    <m/>
    <s v="Given to Anand"/>
  </r>
  <r>
    <x v="0"/>
    <s v="BASRTL263"/>
    <s v="Yes"/>
    <x v="3"/>
    <s v="PCIe"/>
    <s v="SN3633219"/>
    <s v="R20/6"/>
    <x v="0"/>
    <x v="1"/>
    <x v="7"/>
    <x v="7"/>
    <x v="1"/>
    <s v="No"/>
    <s v="No"/>
    <s v="4x"/>
    <m/>
    <x v="82"/>
    <m/>
    <m/>
    <m/>
    <m/>
    <m/>
    <m/>
    <d v="2018-04-05T00:00:00"/>
    <s v="Yes"/>
    <s v="Yes"/>
    <x v="0"/>
    <m/>
    <m/>
  </r>
  <r>
    <x v="0"/>
    <s v="BASRTL264"/>
    <s v="Yes"/>
    <x v="3"/>
    <s v="PCIe"/>
    <s v="SN3633204"/>
    <s v="R20/7"/>
    <x v="0"/>
    <x v="1"/>
    <x v="7"/>
    <x v="7"/>
    <x v="1"/>
    <s v="No"/>
    <s v="No"/>
    <s v="4x"/>
    <m/>
    <x v="83"/>
    <m/>
    <m/>
    <m/>
    <m/>
    <m/>
    <m/>
    <d v="2018-04-05T00:00:00"/>
    <s v="Yes"/>
    <s v="Yes"/>
    <x v="0"/>
    <m/>
    <m/>
  </r>
  <r>
    <x v="0"/>
    <s v="BASRTL265"/>
    <s v="Yes"/>
    <x v="3"/>
    <s v="PCIe"/>
    <s v="SN3633193"/>
    <s v="R24/4"/>
    <x v="0"/>
    <x v="1"/>
    <x v="1"/>
    <x v="1"/>
    <x v="1"/>
    <s v="No"/>
    <s v="No"/>
    <m/>
    <m/>
    <x v="84"/>
    <m/>
    <m/>
    <m/>
    <m/>
    <m/>
    <m/>
    <d v="2018-04-05T00:00:00"/>
    <s v="Yes"/>
    <s v="Yes"/>
    <x v="0"/>
    <m/>
    <m/>
  </r>
  <r>
    <x v="0"/>
    <s v="BASRTL266"/>
    <s v="Yes"/>
    <x v="3"/>
    <s v="PCIe"/>
    <s v="SN3633164"/>
    <s v="R25/5"/>
    <x v="0"/>
    <x v="1"/>
    <x v="7"/>
    <x v="7"/>
    <x v="1"/>
    <s v="No"/>
    <s v="No"/>
    <s v="4x"/>
    <m/>
    <x v="85"/>
    <m/>
    <m/>
    <m/>
    <m/>
    <m/>
    <m/>
    <d v="2018-04-05T00:00:00"/>
    <s v="Yes"/>
    <s v="Yes"/>
    <x v="0"/>
    <m/>
    <m/>
  </r>
  <r>
    <x v="0"/>
    <s v="BASRTL267"/>
    <s v="Yes"/>
    <x v="3"/>
    <s v="PCIe"/>
    <s v="SN3633166"/>
    <s v="R11/5"/>
    <x v="0"/>
    <x v="1"/>
    <x v="9"/>
    <x v="8"/>
    <x v="1"/>
    <s v="No"/>
    <s v="No"/>
    <m/>
    <m/>
    <x v="86"/>
    <m/>
    <m/>
    <m/>
    <m/>
    <m/>
    <m/>
    <d v="2018-04-05T00:00:00"/>
    <s v="Yes"/>
    <s v="Yes"/>
    <x v="0"/>
    <m/>
    <m/>
  </r>
  <r>
    <x v="0"/>
    <s v="BASRTL268"/>
    <s v="Yes"/>
    <x v="3"/>
    <s v="PCIe"/>
    <s v="SN3516441"/>
    <s v="R1/5"/>
    <x v="0"/>
    <x v="1"/>
    <x v="6"/>
    <x v="1"/>
    <x v="1"/>
    <s v="No"/>
    <s v="No"/>
    <m/>
    <m/>
    <x v="87"/>
    <m/>
    <m/>
    <m/>
    <m/>
    <m/>
    <m/>
    <d v="2018-04-05T00:00:00"/>
    <s v="Yes"/>
    <s v="Yes"/>
    <x v="0"/>
    <m/>
    <m/>
  </r>
  <r>
    <x v="0"/>
    <s v="BASRTL269"/>
    <s v="Yes"/>
    <x v="3"/>
    <s v="PCIe"/>
    <s v="SN3516399"/>
    <s v="R4/1"/>
    <x v="0"/>
    <x v="1"/>
    <x v="7"/>
    <x v="8"/>
    <x v="1"/>
    <s v="No"/>
    <s v="No"/>
    <m/>
    <m/>
    <x v="76"/>
    <m/>
    <m/>
    <m/>
    <m/>
    <m/>
    <m/>
    <d v="2018-04-05T00:00:00"/>
    <s v="Yes"/>
    <s v="Yes"/>
    <x v="0"/>
    <m/>
    <m/>
  </r>
  <r>
    <x v="0"/>
    <s v="BASRTL270"/>
    <s v="Yes"/>
    <x v="3"/>
    <s v="PCIe"/>
    <s v="SN3316748"/>
    <s v="R7/6"/>
    <x v="0"/>
    <x v="1"/>
    <x v="7"/>
    <x v="8"/>
    <x v="1"/>
    <s v="No"/>
    <s v="No"/>
    <m/>
    <m/>
    <x v="88"/>
    <m/>
    <m/>
    <m/>
    <m/>
    <m/>
    <m/>
    <d v="2018-04-05T00:00:00"/>
    <s v="Yes"/>
    <s v="Yes"/>
    <x v="0"/>
    <m/>
    <m/>
  </r>
  <r>
    <x v="0"/>
    <s v="BASRTL271"/>
    <s v="Yes"/>
    <x v="3"/>
    <s v="PCIe"/>
    <s v="SN3516404"/>
    <s v="R1/4"/>
    <x v="0"/>
    <x v="1"/>
    <x v="9"/>
    <x v="3"/>
    <x v="1"/>
    <s v="No"/>
    <s v="No"/>
    <m/>
    <m/>
    <x v="89"/>
    <m/>
    <m/>
    <m/>
    <m/>
    <m/>
    <m/>
    <d v="2018-04-05T00:00:00"/>
    <s v="Yes"/>
    <s v="Yes"/>
    <x v="0"/>
    <m/>
    <m/>
  </r>
  <r>
    <x v="0"/>
    <s v="BASRTL272"/>
    <s v="Yes"/>
    <x v="3"/>
    <s v="PCIe"/>
    <s v="SN3316788"/>
    <s v="R5/1"/>
    <x v="0"/>
    <x v="1"/>
    <x v="7"/>
    <x v="7"/>
    <x v="1"/>
    <s v="No"/>
    <s v="No"/>
    <s v="4x"/>
    <m/>
    <x v="90"/>
    <m/>
    <m/>
    <m/>
    <m/>
    <m/>
    <m/>
    <d v="2018-04-05T00:00:00"/>
    <s v="Yes"/>
    <s v="Yes"/>
    <x v="0"/>
    <m/>
    <m/>
  </r>
  <r>
    <x v="0"/>
    <s v="BASRTL273"/>
    <s v="Yes"/>
    <x v="3"/>
    <s v="PCIe"/>
    <s v="SN3516432"/>
    <s v="R5/1"/>
    <x v="0"/>
    <x v="1"/>
    <x v="7"/>
    <x v="8"/>
    <x v="1"/>
    <s v="No"/>
    <s v="No"/>
    <m/>
    <m/>
    <x v="91"/>
    <m/>
    <m/>
    <m/>
    <m/>
    <m/>
    <m/>
    <d v="2018-04-05T00:00:00"/>
    <s v="Yes"/>
    <s v="Yes"/>
    <x v="0"/>
    <m/>
    <m/>
  </r>
  <r>
    <x v="0"/>
    <s v="BASRTL274"/>
    <s v="Yes"/>
    <x v="3"/>
    <s v="PCIe"/>
    <s v="SN3516438"/>
    <m/>
    <x v="0"/>
    <x v="1"/>
    <x v="7"/>
    <x v="8"/>
    <x v="1"/>
    <s v="No"/>
    <s v="No"/>
    <m/>
    <m/>
    <x v="92"/>
    <m/>
    <m/>
    <m/>
    <m/>
    <m/>
    <m/>
    <d v="2018-04-05T00:00:00"/>
    <s v="Yes"/>
    <s v="Yes"/>
    <x v="0"/>
    <m/>
    <m/>
  </r>
  <r>
    <x v="0"/>
    <s v="BASRTL275"/>
    <s v="No"/>
    <x v="3"/>
    <s v="PCIe"/>
    <s v="SN3299774"/>
    <s v="R23/3"/>
    <x v="0"/>
    <x v="1"/>
    <x v="2"/>
    <x v="2"/>
    <x v="1"/>
    <s v="No"/>
    <s v="No"/>
    <m/>
    <m/>
    <x v="93"/>
    <m/>
    <m/>
    <m/>
    <m/>
    <m/>
    <m/>
    <d v="2018-04-05T00:00:00"/>
    <s v="Yes"/>
    <s v="Yes"/>
    <x v="4"/>
    <m/>
    <s v="Faulty "/>
  </r>
  <r>
    <x v="0"/>
    <s v="BASRTL276"/>
    <s v="Yes"/>
    <x v="3"/>
    <s v="PCIe"/>
    <s v="SN3516443"/>
    <s v="R23/6"/>
    <x v="0"/>
    <x v="1"/>
    <x v="7"/>
    <x v="8"/>
    <x v="1"/>
    <s v="No"/>
    <s v="No"/>
    <m/>
    <m/>
    <x v="94"/>
    <m/>
    <m/>
    <m/>
    <m/>
    <m/>
    <m/>
    <d v="2018-04-05T00:00:00"/>
    <s v="Yes"/>
    <s v="Yes"/>
    <x v="0"/>
    <m/>
    <m/>
  </r>
  <r>
    <x v="0"/>
    <s v="BASRTL277"/>
    <s v="Yes"/>
    <x v="3"/>
    <s v="PCIe"/>
    <s v="SN3316692"/>
    <s v="R23/7"/>
    <x v="0"/>
    <x v="1"/>
    <x v="6"/>
    <x v="1"/>
    <x v="1"/>
    <s v="No"/>
    <s v="No"/>
    <m/>
    <m/>
    <x v="95"/>
    <m/>
    <m/>
    <m/>
    <m/>
    <m/>
    <m/>
    <d v="2018-04-05T00:00:00"/>
    <s v="Yes"/>
    <s v="Yes"/>
    <x v="0"/>
    <m/>
    <m/>
  </r>
  <r>
    <x v="0"/>
    <s v="BASRTL290"/>
    <s v="Yes"/>
    <x v="3"/>
    <s v="PCIe"/>
    <s v="SN3633231"/>
    <s v="R10/5"/>
    <x v="0"/>
    <x v="1"/>
    <x v="6"/>
    <x v="1"/>
    <x v="1"/>
    <s v="No"/>
    <s v="No"/>
    <m/>
    <m/>
    <x v="96"/>
    <m/>
    <m/>
    <m/>
    <m/>
    <m/>
    <m/>
    <d v="2018-04-05T00:00:00"/>
    <s v="Yes"/>
    <s v="Yes"/>
    <x v="0"/>
    <m/>
    <m/>
  </r>
  <r>
    <x v="0"/>
    <s v="BASRTL291"/>
    <s v="No"/>
    <x v="2"/>
    <s v="PCIe"/>
    <s v="SN3633222"/>
    <m/>
    <x v="0"/>
    <x v="1"/>
    <x v="2"/>
    <x v="2"/>
    <x v="1"/>
    <s v="No"/>
    <s v="No"/>
    <m/>
    <m/>
    <x v="97"/>
    <m/>
    <m/>
    <m/>
    <m/>
    <m/>
    <m/>
    <d v="2018-04-05T00:00:00"/>
    <s v="Yes"/>
    <s v="Yes"/>
    <x v="1"/>
    <s v="Broken"/>
    <s v="Power Is not coming"/>
  </r>
  <r>
    <x v="0"/>
    <s v="BASRTL292"/>
    <s v="Yes"/>
    <x v="3"/>
    <s v="PCIe"/>
    <s v="SN3633235"/>
    <s v="R10/2"/>
    <x v="0"/>
    <x v="1"/>
    <x v="7"/>
    <x v="8"/>
    <x v="1"/>
    <s v="No"/>
    <s v="No"/>
    <m/>
    <m/>
    <x v="98"/>
    <m/>
    <m/>
    <m/>
    <m/>
    <m/>
    <m/>
    <d v="2018-04-05T00:00:00"/>
    <s v="Yes"/>
    <s v="Yes"/>
    <x v="0"/>
    <m/>
    <m/>
  </r>
  <r>
    <x v="0"/>
    <s v="BASRTL293"/>
    <s v="Yes"/>
    <x v="3"/>
    <s v="PCIe"/>
    <s v="SN3633162"/>
    <m/>
    <x v="0"/>
    <x v="1"/>
    <x v="1"/>
    <x v="1"/>
    <x v="1"/>
    <s v="No"/>
    <s v="No"/>
    <m/>
    <m/>
    <x v="99"/>
    <m/>
    <m/>
    <m/>
    <m/>
    <m/>
    <m/>
    <d v="2018-04-05T00:00:00"/>
    <s v="Yes"/>
    <s v="Yes"/>
    <x v="0"/>
    <m/>
    <m/>
  </r>
  <r>
    <x v="0"/>
    <s v="BASRTL294"/>
    <s v="Yes"/>
    <x v="3"/>
    <s v="PCIe"/>
    <s v="SN3633225"/>
    <s v="R1/2"/>
    <x v="0"/>
    <x v="1"/>
    <x v="9"/>
    <x v="3"/>
    <x v="1"/>
    <s v="No"/>
    <s v="No"/>
    <m/>
    <m/>
    <x v="100"/>
    <m/>
    <m/>
    <m/>
    <m/>
    <m/>
    <m/>
    <d v="2018-04-05T00:00:00"/>
    <s v="Yes"/>
    <s v="Yes"/>
    <x v="0"/>
    <m/>
    <m/>
  </r>
  <r>
    <x v="0"/>
    <s v="BASRTL295"/>
    <s v="Yes"/>
    <x v="1"/>
    <s v="PCIe"/>
    <s v="SN3633149"/>
    <s v="R6/2"/>
    <x v="0"/>
    <x v="1"/>
    <x v="6"/>
    <x v="1"/>
    <x v="1"/>
    <s v="No"/>
    <s v="No"/>
    <s v="4x"/>
    <m/>
    <x v="101"/>
    <m/>
    <m/>
    <m/>
    <m/>
    <m/>
    <m/>
    <d v="2018-04-05T00:00:00"/>
    <s v="Yes"/>
    <s v="Yes"/>
    <x v="0"/>
    <m/>
    <m/>
  </r>
  <r>
    <x v="0"/>
    <s v="BASRTL296"/>
    <s v="Yes"/>
    <x v="3"/>
    <s v="PCIe"/>
    <s v="SN3633208"/>
    <s v="R25/3"/>
    <x v="0"/>
    <x v="1"/>
    <x v="9"/>
    <x v="3"/>
    <x v="1"/>
    <s v="No"/>
    <s v="No"/>
    <m/>
    <m/>
    <x v="102"/>
    <m/>
    <m/>
    <m/>
    <m/>
    <m/>
    <m/>
    <d v="2018-04-05T00:00:00"/>
    <s v="Yes"/>
    <s v="Yes"/>
    <x v="0"/>
    <m/>
    <m/>
  </r>
  <r>
    <x v="0"/>
    <s v="BASRTL297"/>
    <s v="Yes"/>
    <x v="3"/>
    <s v="PCIe"/>
    <s v="SN3633200"/>
    <s v="R6/2"/>
    <x v="0"/>
    <x v="1"/>
    <x v="6"/>
    <x v="1"/>
    <x v="1"/>
    <s v="No"/>
    <s v="No"/>
    <m/>
    <m/>
    <x v="103"/>
    <m/>
    <m/>
    <m/>
    <m/>
    <m/>
    <m/>
    <d v="2018-04-05T00:00:00"/>
    <s v="Yes"/>
    <s v="Yes"/>
    <x v="0"/>
    <m/>
    <m/>
  </r>
  <r>
    <x v="0"/>
    <s v="BASRTL298"/>
    <s v="Yes"/>
    <x v="3"/>
    <s v="PCIe"/>
    <s v="SN3633141"/>
    <s v="R9/1"/>
    <x v="0"/>
    <x v="1"/>
    <x v="9"/>
    <x v="8"/>
    <x v="1"/>
    <s v="No"/>
    <s v="No"/>
    <m/>
    <m/>
    <x v="104"/>
    <m/>
    <m/>
    <m/>
    <m/>
    <m/>
    <m/>
    <d v="2018-04-05T00:00:00"/>
    <s v="Yes"/>
    <s v="Yes"/>
    <x v="0"/>
    <m/>
    <m/>
  </r>
  <r>
    <x v="0"/>
    <s v="BASRTL299"/>
    <s v="Yes"/>
    <x v="3"/>
    <s v="PCIe"/>
    <s v="SN3633181"/>
    <s v="R4/2"/>
    <x v="0"/>
    <x v="1"/>
    <x v="9"/>
    <x v="3"/>
    <x v="1"/>
    <s v="No"/>
    <s v="No"/>
    <m/>
    <m/>
    <x v="105"/>
    <m/>
    <m/>
    <m/>
    <m/>
    <m/>
    <m/>
    <d v="2018-04-05T00:00:00"/>
    <s v="Yes"/>
    <s v="Yes"/>
    <x v="0"/>
    <m/>
    <m/>
  </r>
  <r>
    <x v="0"/>
    <s v="BASRTL300"/>
    <m/>
    <x v="2"/>
    <s v="PCIe"/>
    <s v="SN2983399 "/>
    <s v="R7/3"/>
    <x v="2"/>
    <x v="0"/>
    <x v="0"/>
    <x v="0"/>
    <x v="6"/>
    <s v="No"/>
    <s v="No"/>
    <m/>
    <m/>
    <x v="106"/>
    <m/>
    <m/>
    <n v="9972094924"/>
    <n v="354999010649999"/>
    <n v="354999010649999"/>
    <n v="7349781108"/>
    <d v="2018-03-20T00:00:00"/>
    <s v="Yes"/>
    <s v="Yes"/>
    <x v="0"/>
    <m/>
    <m/>
  </r>
  <r>
    <x v="0"/>
    <s v="BASRTL301"/>
    <s v="Yes"/>
    <x v="3"/>
    <s v="PCIe"/>
    <s v="SN3220127"/>
    <m/>
    <x v="0"/>
    <x v="1"/>
    <x v="12"/>
    <x v="3"/>
    <x v="1"/>
    <s v="No"/>
    <s v="No"/>
    <m/>
    <m/>
    <x v="107"/>
    <m/>
    <m/>
    <n v="7625047621"/>
    <n v="440152248605"/>
    <n v="440152253605"/>
    <n v="9513421187"/>
    <d v="2018-04-05T00:00:00"/>
    <s v="Yes"/>
    <s v="Yes"/>
    <x v="0"/>
    <m/>
    <m/>
  </r>
  <r>
    <x v="0"/>
    <s v="BASRTL302"/>
    <s v="Yes"/>
    <x v="1"/>
    <s v="PCIe"/>
    <s v="SN3648530"/>
    <s v="R8/4"/>
    <x v="0"/>
    <x v="0"/>
    <x v="5"/>
    <x v="0"/>
    <x v="1"/>
    <s v="No"/>
    <s v="No"/>
    <s v="4x"/>
    <m/>
    <x v="108"/>
    <m/>
    <m/>
    <n v="7625047670"/>
    <n v="440152238940"/>
    <n v="440152238940"/>
    <n v="7349781108"/>
    <d v="2018-04-05T00:00:00"/>
    <s v="Yes"/>
    <s v="Yes"/>
    <x v="0"/>
    <m/>
    <m/>
  </r>
  <r>
    <x v="0"/>
    <s v="BASRTL303"/>
    <s v="Yes"/>
    <x v="1"/>
    <s v="PCIe"/>
    <s v="SN3648250"/>
    <m/>
    <x v="0"/>
    <x v="0"/>
    <x v="0"/>
    <x v="0"/>
    <x v="1"/>
    <s v="No"/>
    <s v="No"/>
    <m/>
    <m/>
    <x v="109"/>
    <m/>
    <m/>
    <n v="9148086641"/>
    <n v="440152254864"/>
    <n v="440152254864"/>
    <n v="7349781108"/>
    <d v="2018-04-05T00:00:00"/>
    <s v="Yes"/>
    <s v="Yes"/>
    <x v="0"/>
    <m/>
    <m/>
  </r>
  <r>
    <x v="0"/>
    <s v="BASRTL304"/>
    <s v="Yes"/>
    <x v="1"/>
    <s v="PCIe"/>
    <s v="SN3648208"/>
    <s v="r8/4"/>
    <x v="0"/>
    <x v="0"/>
    <x v="0"/>
    <x v="0"/>
    <x v="1"/>
    <s v="No"/>
    <s v="No"/>
    <s v="4x"/>
    <m/>
    <x v="110"/>
    <m/>
    <m/>
    <n v="7625046432"/>
    <n v="440152248584"/>
    <n v="440152253584"/>
    <n v="7349781108"/>
    <d v="2018-04-05T00:00:00"/>
    <s v="Yes"/>
    <s v="Yes"/>
    <x v="0"/>
    <m/>
    <m/>
  </r>
  <r>
    <x v="0"/>
    <s v="BASRTL305"/>
    <s v="Yes"/>
    <x v="1"/>
    <s v="PCIe"/>
    <s v="SN3648360"/>
    <s v="R16"/>
    <x v="0"/>
    <x v="0"/>
    <x v="0"/>
    <x v="0"/>
    <x v="1"/>
    <s v="No"/>
    <s v="No"/>
    <s v="4x"/>
    <m/>
    <x v="111"/>
    <m/>
    <m/>
    <n v="9148086646"/>
    <n v="440152249876"/>
    <n v="440152254876"/>
    <n v="7349781108"/>
    <d v="2018-04-05T00:00:00"/>
    <s v="Yes"/>
    <s v="Yes"/>
    <x v="0"/>
    <m/>
    <m/>
  </r>
  <r>
    <x v="0"/>
    <s v="BASRTL306"/>
    <s v="Yes"/>
    <x v="1"/>
    <s v="PCIe"/>
    <s v="SN3648537 "/>
    <s v="R16"/>
    <x v="0"/>
    <x v="0"/>
    <x v="0"/>
    <x v="0"/>
    <x v="1"/>
    <s v="No"/>
    <s v="No"/>
    <s v="4x"/>
    <m/>
    <x v="112"/>
    <m/>
    <m/>
    <n v="9148086643"/>
    <n v="440152248557"/>
    <n v="440152253557"/>
    <n v="7349781108"/>
    <d v="2018-04-05T00:00:00"/>
    <s v="Yes"/>
    <s v="Yes"/>
    <x v="0"/>
    <m/>
    <m/>
  </r>
  <r>
    <x v="0"/>
    <s v="BASRTL307"/>
    <s v="No"/>
    <x v="1"/>
    <s v="PCIe"/>
    <s v="SN3648457"/>
    <s v="R18"/>
    <x v="1"/>
    <x v="1"/>
    <x v="4"/>
    <x v="4"/>
    <x v="2"/>
    <s v="No"/>
    <s v="No"/>
    <s v="4x"/>
    <m/>
    <x v="113"/>
    <m/>
    <m/>
    <n v="9513388114"/>
    <n v="440152254839"/>
    <n v="440152254839"/>
    <n v="8660690664"/>
    <d v="2018-04-05T00:00:00"/>
    <s v="Yes"/>
    <s v="Yes"/>
    <x v="0"/>
    <m/>
    <s v="2 Jan: Added In One Note_x000a_31 DEC: Sanity Passed 5hrs 0C 0R _x000a_31 DEC: Replace ICE18 HW  to MK4 Sanity ongoing _x000a_SIT team test run"/>
  </r>
  <r>
    <x v="0"/>
    <s v="BASRTL308"/>
    <s v="Yes"/>
    <x v="4"/>
    <s v="PCIe"/>
    <s v="SN3648447"/>
    <s v="R22"/>
    <x v="1"/>
    <x v="1"/>
    <x v="10"/>
    <x v="9"/>
    <x v="4"/>
    <s v="No"/>
    <s v="No"/>
    <s v="4x"/>
    <m/>
    <x v="114"/>
    <m/>
    <m/>
    <n v="9513388114"/>
    <n v="440152258339"/>
    <n v="440152258339"/>
    <n v="8660690664"/>
    <d v="2018-04-05T00:00:00"/>
    <s v="Yes"/>
    <s v="Yes"/>
    <x v="0"/>
    <m/>
    <s v="_x000a_JAN 3: Sanity Passed in SSIM_x000a_JAN 2: Recalibrated on 1901DB01 with 1851.01 Cal Tool Sanity Ongoing"/>
  </r>
  <r>
    <x v="0"/>
    <s v="BASRTL309"/>
    <s v="No"/>
    <x v="4"/>
    <s v="PCIe"/>
    <s v="SN3633284"/>
    <m/>
    <x v="0"/>
    <x v="1"/>
    <x v="6"/>
    <x v="1"/>
    <x v="1"/>
    <s v="No"/>
    <s v="No"/>
    <m/>
    <m/>
    <x v="115"/>
    <m/>
    <m/>
    <n v="9513388114"/>
    <n v="440152254847"/>
    <n v="440152254847"/>
    <n v="8660690664"/>
    <d v="2018-04-05T00:00:00"/>
    <s v="Yes"/>
    <s v="Yes"/>
    <x v="4"/>
    <m/>
    <s v="congatec is faulty"/>
  </r>
  <r>
    <x v="0"/>
    <s v="BASRTL310"/>
    <s v="No"/>
    <x v="3"/>
    <s v="PCIe"/>
    <s v="SN3633291"/>
    <m/>
    <x v="0"/>
    <x v="1"/>
    <x v="6"/>
    <x v="1"/>
    <x v="1"/>
    <s v="No"/>
    <s v="No"/>
    <m/>
    <m/>
    <x v="116"/>
    <m/>
    <m/>
    <n v="9513388114"/>
    <n v="440152249849"/>
    <n v="440152254849"/>
    <n v="8660690664"/>
    <d v="2018-04-05T00:00:00"/>
    <s v="Yes"/>
    <s v="Yes"/>
    <x v="4"/>
    <m/>
    <s v="congatec is faulty"/>
  </r>
  <r>
    <x v="0"/>
    <s v="BASRTL311"/>
    <s v="Yes"/>
    <x v="3"/>
    <s v="PCIe"/>
    <s v="SN3633183"/>
    <s v="R18"/>
    <x v="0"/>
    <x v="1"/>
    <x v="6"/>
    <x v="1"/>
    <x v="1"/>
    <s v="No"/>
    <s v="No"/>
    <m/>
    <m/>
    <x v="117"/>
    <m/>
    <m/>
    <n v="9513388114"/>
    <n v="440152255343"/>
    <n v="440152258343"/>
    <n v="8660690664"/>
    <d v="2018-04-05T00:00:00"/>
    <s v="Yes"/>
    <s v="Yes"/>
    <x v="0"/>
    <m/>
    <m/>
  </r>
  <r>
    <x v="0"/>
    <s v="BASRTL312"/>
    <s v="Yes"/>
    <x v="3"/>
    <s v="PCIe"/>
    <s v="SN3633186"/>
    <s v="R15"/>
    <x v="0"/>
    <x v="1"/>
    <x v="6"/>
    <x v="1"/>
    <x v="1"/>
    <s v="No"/>
    <s v="No"/>
    <m/>
    <m/>
    <x v="118"/>
    <m/>
    <m/>
    <n v="9513388114"/>
    <n v="440152254841"/>
    <n v="440152254841"/>
    <n v="8660690664"/>
    <d v="2018-04-05T00:00:00"/>
    <s v="Yes"/>
    <s v="Yes"/>
    <x v="0"/>
    <m/>
    <m/>
  </r>
  <r>
    <x v="0"/>
    <s v="BASRTL313"/>
    <s v="Yes"/>
    <x v="1"/>
    <s v="PCIe"/>
    <s v="SN3633144"/>
    <s v="R22"/>
    <x v="1"/>
    <x v="0"/>
    <x v="4"/>
    <x v="4"/>
    <x v="4"/>
    <s v="No"/>
    <s v="No"/>
    <s v="4x"/>
    <m/>
    <x v="119"/>
    <m/>
    <m/>
    <m/>
    <m/>
    <m/>
    <m/>
    <d v="2018-04-05T00:00:00"/>
    <s v="Yes"/>
    <s v="Yes"/>
    <x v="0"/>
    <m/>
    <s v="_x000a_JAN 3: Sanity Passed_x000a_JAN 2: Recalibartion On going on 1901DB01 with 1851.01 Cal Tool (Calibartion Failng)"/>
  </r>
  <r>
    <x v="0"/>
    <s v="BASRTL314"/>
    <s v="Yes"/>
    <x v="3"/>
    <s v="PCIe"/>
    <s v="SN3633148"/>
    <m/>
    <x v="0"/>
    <x v="1"/>
    <x v="6"/>
    <x v="1"/>
    <x v="1"/>
    <s v="No"/>
    <s v="No"/>
    <m/>
    <m/>
    <x v="120"/>
    <m/>
    <m/>
    <m/>
    <m/>
    <m/>
    <m/>
    <d v="2018-04-05T00:00:00"/>
    <s v="Yes"/>
    <s v="Yes"/>
    <x v="0"/>
    <m/>
    <m/>
  </r>
  <r>
    <x v="0"/>
    <s v="BASRTL315"/>
    <s v="Yes"/>
    <x v="3"/>
    <s v="PCIe"/>
    <s v="SN3633216"/>
    <s v="R23"/>
    <x v="0"/>
    <x v="1"/>
    <x v="6"/>
    <x v="1"/>
    <x v="1"/>
    <s v="No"/>
    <s v="No"/>
    <m/>
    <m/>
    <x v="121"/>
    <m/>
    <m/>
    <m/>
    <m/>
    <m/>
    <m/>
    <d v="2018-04-05T00:00:00"/>
    <s v="Yes"/>
    <s v="Yes"/>
    <x v="0"/>
    <m/>
    <m/>
  </r>
  <r>
    <x v="0"/>
    <s v="BASRTL316"/>
    <s v="Yes"/>
    <x v="3"/>
    <s v="PCIe"/>
    <s v="SN3633187"/>
    <s v="R23"/>
    <x v="0"/>
    <x v="1"/>
    <x v="1"/>
    <x v="1"/>
    <x v="1"/>
    <s v="No"/>
    <s v="No"/>
    <m/>
    <m/>
    <x v="122"/>
    <m/>
    <m/>
    <m/>
    <m/>
    <m/>
    <m/>
    <d v="2018-04-05T00:00:00"/>
    <s v="Yes"/>
    <s v="Yes"/>
    <x v="0"/>
    <m/>
    <m/>
  </r>
  <r>
    <x v="0"/>
    <s v="BASRTL317"/>
    <s v="No"/>
    <x v="3"/>
    <s v="PCIe"/>
    <s v="SN3633160"/>
    <m/>
    <x v="0"/>
    <x v="1"/>
    <x v="6"/>
    <x v="1"/>
    <x v="1"/>
    <s v="No"/>
    <s v="No"/>
    <m/>
    <m/>
    <x v="123"/>
    <m/>
    <m/>
    <m/>
    <m/>
    <m/>
    <m/>
    <d v="2018-04-05T00:00:00"/>
    <s v="Yes"/>
    <s v="Yes"/>
    <x v="0"/>
    <m/>
    <s v="SIT Team test run"/>
  </r>
  <r>
    <x v="0"/>
    <s v="BASRTL318"/>
    <s v="No"/>
    <x v="3"/>
    <s v="PCIe"/>
    <s v="SN3633234"/>
    <s v="R22"/>
    <x v="0"/>
    <x v="1"/>
    <x v="6"/>
    <x v="1"/>
    <x v="1"/>
    <s v="No"/>
    <s v="No"/>
    <m/>
    <m/>
    <x v="124"/>
    <m/>
    <m/>
    <n v="9513388114"/>
    <n v="440152254844"/>
    <n v="440152254844"/>
    <n v="8660690664"/>
    <d v="2018-04-05T00:00:00"/>
    <s v="Yes"/>
    <s v="Yes"/>
    <x v="0"/>
    <m/>
    <s v="SIT Team test run"/>
  </r>
  <r>
    <x v="0"/>
    <s v="BASRTL319"/>
    <s v="Yes"/>
    <x v="1"/>
    <s v="PCIe"/>
    <s v="SN3633192"/>
    <s v="R22"/>
    <x v="0"/>
    <x v="1"/>
    <x v="6"/>
    <x v="1"/>
    <x v="1"/>
    <s v="No"/>
    <s v="No"/>
    <s v="4x"/>
    <m/>
    <x v="125"/>
    <m/>
    <m/>
    <n v="9513388114"/>
    <n v="440152254849"/>
    <n v="440152254849"/>
    <n v="8660690664"/>
    <d v="2018-04-05T00:00:00"/>
    <s v="Yes"/>
    <s v="Yes"/>
    <x v="0"/>
    <m/>
    <m/>
  </r>
  <r>
    <x v="0"/>
    <s v="BASRTL320"/>
    <s v="Yes"/>
    <x v="1"/>
    <s v="PCIe"/>
    <s v="SN3633165"/>
    <s v="R5"/>
    <x v="0"/>
    <x v="1"/>
    <x v="6"/>
    <x v="1"/>
    <x v="1"/>
    <s v="No"/>
    <s v="No"/>
    <s v="4x"/>
    <m/>
    <x v="126"/>
    <m/>
    <m/>
    <n v="9513388114"/>
    <n v="440152254849"/>
    <n v="440152254849"/>
    <n v="8660690664"/>
    <d v="2018-04-05T00:00:00"/>
    <s v="Yes"/>
    <s v="Yes"/>
    <x v="0"/>
    <m/>
    <m/>
  </r>
  <r>
    <x v="0"/>
    <s v="BASRTL321"/>
    <s v="Yes"/>
    <x v="4"/>
    <s v="PCIe"/>
    <s v="SN3633184"/>
    <s v="R22"/>
    <x v="0"/>
    <x v="1"/>
    <x v="6"/>
    <x v="1"/>
    <x v="1"/>
    <s v="No"/>
    <s v="No"/>
    <s v="4x"/>
    <m/>
    <x v="127"/>
    <m/>
    <m/>
    <n v="9916333126"/>
    <n v="440152254835"/>
    <n v="440152254835"/>
    <n v="8660691493"/>
    <d v="2018-04-05T00:00:00"/>
    <s v="Yes"/>
    <s v="Yes"/>
    <x v="0"/>
    <m/>
    <m/>
  </r>
  <r>
    <x v="0"/>
    <s v="BASRTL322"/>
    <s v="Yes"/>
    <x v="1"/>
    <s v="PCIe"/>
    <s v="SN3633244"/>
    <s v="R22"/>
    <x v="0"/>
    <x v="1"/>
    <x v="6"/>
    <x v="1"/>
    <x v="1"/>
    <s v="No"/>
    <s v="No"/>
    <s v="4x"/>
    <m/>
    <x v="128"/>
    <m/>
    <m/>
    <m/>
    <m/>
    <m/>
    <m/>
    <d v="2018-04-05T00:00:00"/>
    <s v="Yes"/>
    <s v="Yes"/>
    <x v="0"/>
    <m/>
    <m/>
  </r>
  <r>
    <x v="0"/>
    <s v="BASRTL323"/>
    <s v="Yes"/>
    <x v="4"/>
    <s v="PCIe"/>
    <s v="SN3633246"/>
    <s v="R5"/>
    <x v="1"/>
    <x v="1"/>
    <x v="10"/>
    <x v="9"/>
    <x v="4"/>
    <s v="No"/>
    <s v="No"/>
    <s v="4x"/>
    <m/>
    <x v="129"/>
    <m/>
    <m/>
    <m/>
    <m/>
    <m/>
    <m/>
    <d v="2018-04-05T00:00:00"/>
    <s v="Yes"/>
    <s v="Yes"/>
    <x v="0"/>
    <m/>
    <s v="_x000a_JAN 3: Sanity Passed in SSIM Test_x000a_JAN 3: Recalibarted on XMM7660_01.1902_DB07__Bender167766.2__SMS32806219 Sanity Ongoing_x000a_JAN 2: Recalibartion On going on 1901DB01 with 1851.01 Cal Tool (Calibartion Failng)"/>
  </r>
  <r>
    <x v="0"/>
    <s v="BASRTL324"/>
    <s v="Yes"/>
    <x v="3"/>
    <s v="PCIe"/>
    <s v="SN3633157"/>
    <s v="R15"/>
    <x v="0"/>
    <x v="1"/>
    <x v="6"/>
    <x v="1"/>
    <x v="1"/>
    <s v="No"/>
    <s v="No"/>
    <m/>
    <m/>
    <x v="130"/>
    <m/>
    <m/>
    <m/>
    <m/>
    <m/>
    <m/>
    <d v="2018-04-05T00:00:00"/>
    <s v="Yes"/>
    <s v="Yes"/>
    <x v="0"/>
    <m/>
    <m/>
  </r>
  <r>
    <x v="0"/>
    <s v="BASRTL325"/>
    <s v="No"/>
    <x v="1"/>
    <s v="PCIe"/>
    <s v="SN3633174"/>
    <s v="R25"/>
    <x v="0"/>
    <x v="1"/>
    <x v="6"/>
    <x v="1"/>
    <x v="1"/>
    <s v="No"/>
    <s v="No"/>
    <s v="4x"/>
    <m/>
    <x v="131"/>
    <m/>
    <m/>
    <m/>
    <m/>
    <m/>
    <m/>
    <d v="2018-04-05T00:00:00"/>
    <s v="Yes"/>
    <s v="Yes"/>
    <x v="0"/>
    <m/>
    <s v="Device with other team "/>
  </r>
  <r>
    <x v="0"/>
    <s v="BASRTL326"/>
    <s v="Yes"/>
    <x v="3"/>
    <s v="PCIe"/>
    <s v="SN3633223"/>
    <s v="R26"/>
    <x v="0"/>
    <x v="1"/>
    <x v="12"/>
    <x v="3"/>
    <x v="1"/>
    <s v="No"/>
    <s v="No"/>
    <m/>
    <m/>
    <x v="132"/>
    <m/>
    <m/>
    <m/>
    <m/>
    <m/>
    <m/>
    <d v="2018-04-05T00:00:00"/>
    <s v="Yes"/>
    <s v="Yes"/>
    <x v="0"/>
    <m/>
    <m/>
  </r>
  <r>
    <x v="0"/>
    <s v="BASRTL288"/>
    <s v="No"/>
    <x v="2"/>
    <s v="PCIe"/>
    <s v="SN2510799"/>
    <m/>
    <x v="3"/>
    <x v="2"/>
    <x v="2"/>
    <x v="2"/>
    <x v="1"/>
    <s v="No"/>
    <s v="No"/>
    <m/>
    <m/>
    <x v="133"/>
    <m/>
    <m/>
    <m/>
    <m/>
    <m/>
    <m/>
    <d v="2018-04-26T00:00:00"/>
    <s v="Yes"/>
    <s v="Yes"/>
    <x v="0"/>
    <m/>
    <m/>
  </r>
  <r>
    <x v="0"/>
    <s v="BASRTL137"/>
    <m/>
    <x v="2"/>
    <s v="PCIe"/>
    <s v="SN2510541"/>
    <m/>
    <x v="2"/>
    <x v="0"/>
    <x v="0"/>
    <x v="0"/>
    <x v="6"/>
    <s v="No"/>
    <s v="No"/>
    <m/>
    <m/>
    <x v="13"/>
    <m/>
    <m/>
    <m/>
    <m/>
    <m/>
    <m/>
    <d v="2018-05-04T00:00:00"/>
    <s v="Yes"/>
    <s v="Yes"/>
    <x v="0"/>
    <m/>
    <m/>
  </r>
  <r>
    <x v="0"/>
    <s v="BASRTL164"/>
    <m/>
    <x v="2"/>
    <s v="PCIe"/>
    <s v="SN3219989"/>
    <m/>
    <x v="2"/>
    <x v="0"/>
    <x v="0"/>
    <x v="0"/>
    <x v="7"/>
    <s v="No"/>
    <s v="No"/>
    <m/>
    <m/>
    <x v="13"/>
    <m/>
    <m/>
    <m/>
    <m/>
    <m/>
    <m/>
    <d v="2018-05-04T00:00:00"/>
    <s v="Yes"/>
    <s v="Yes"/>
    <x v="0"/>
    <m/>
    <m/>
  </r>
  <r>
    <x v="0"/>
    <s v="BASRTL209"/>
    <m/>
    <x v="2"/>
    <s v="PCIe"/>
    <s v="SN3219619"/>
    <m/>
    <x v="2"/>
    <x v="0"/>
    <x v="0"/>
    <x v="0"/>
    <x v="6"/>
    <s v="No"/>
    <s v="No"/>
    <m/>
    <m/>
    <x v="13"/>
    <m/>
    <m/>
    <m/>
    <m/>
    <m/>
    <m/>
    <d v="2018-05-04T00:00:00"/>
    <s v="Yes"/>
    <s v="Yes"/>
    <x v="0"/>
    <m/>
    <m/>
  </r>
  <r>
    <x v="0"/>
    <s v="BASRTL212"/>
    <m/>
    <x v="2"/>
    <s v="PCIe"/>
    <s v="SN3299763"/>
    <m/>
    <x v="2"/>
    <x v="0"/>
    <x v="0"/>
    <x v="0"/>
    <x v="6"/>
    <s v="No"/>
    <s v="No"/>
    <m/>
    <m/>
    <x v="13"/>
    <m/>
    <m/>
    <m/>
    <m/>
    <m/>
    <m/>
    <d v="2018-05-04T00:00:00"/>
    <s v="Yes"/>
    <s v="Yes"/>
    <x v="0"/>
    <m/>
    <m/>
  </r>
  <r>
    <x v="0"/>
    <s v="BASRTL238"/>
    <m/>
    <x v="2"/>
    <s v="PCIe"/>
    <s v="SN3299555"/>
    <m/>
    <x v="2"/>
    <x v="0"/>
    <x v="0"/>
    <x v="0"/>
    <x v="6"/>
    <s v="No"/>
    <s v="No"/>
    <m/>
    <m/>
    <x v="13"/>
    <m/>
    <m/>
    <m/>
    <m/>
    <m/>
    <m/>
    <d v="2018-05-04T00:00:00"/>
    <s v="Yes"/>
    <s v="Yes"/>
    <x v="0"/>
    <m/>
    <m/>
  </r>
  <r>
    <x v="0"/>
    <s v="BASRTL239"/>
    <m/>
    <x v="2"/>
    <s v="PCIe"/>
    <s v="SN3299595"/>
    <m/>
    <x v="2"/>
    <x v="0"/>
    <x v="0"/>
    <x v="0"/>
    <x v="6"/>
    <s v="No"/>
    <s v="No"/>
    <m/>
    <m/>
    <x v="13"/>
    <m/>
    <m/>
    <m/>
    <m/>
    <m/>
    <m/>
    <d v="2018-05-04T00:00:00"/>
    <s v="Yes"/>
    <s v="Yes"/>
    <x v="0"/>
    <m/>
    <m/>
  </r>
  <r>
    <x v="0"/>
    <s v="BASRTL240"/>
    <m/>
    <x v="2"/>
    <s v="PCIe"/>
    <s v="SN3299701"/>
    <m/>
    <x v="2"/>
    <x v="0"/>
    <x v="0"/>
    <x v="0"/>
    <x v="6"/>
    <s v="No"/>
    <s v="No"/>
    <m/>
    <m/>
    <x v="13"/>
    <m/>
    <m/>
    <m/>
    <m/>
    <m/>
    <m/>
    <d v="2018-05-04T00:00:00"/>
    <s v="Yes"/>
    <s v="Yes"/>
    <x v="0"/>
    <m/>
    <m/>
  </r>
  <r>
    <x v="0"/>
    <s v="BASRTL246"/>
    <m/>
    <x v="2"/>
    <s v="PCIe"/>
    <s v="SN3299395"/>
    <m/>
    <x v="2"/>
    <x v="0"/>
    <x v="0"/>
    <x v="0"/>
    <x v="6"/>
    <s v="No"/>
    <s v="No"/>
    <m/>
    <m/>
    <x v="13"/>
    <m/>
    <m/>
    <m/>
    <m/>
    <m/>
    <m/>
    <d v="2018-05-04T00:00:00"/>
    <s v="Yes"/>
    <s v="Yes"/>
    <x v="0"/>
    <m/>
    <m/>
  </r>
  <r>
    <x v="0"/>
    <s v="BASRTL161"/>
    <m/>
    <x v="2"/>
    <s v="PCIe"/>
    <s v="SN3219927"/>
    <m/>
    <x v="2"/>
    <x v="0"/>
    <x v="0"/>
    <x v="0"/>
    <x v="7"/>
    <s v="No"/>
    <s v="No"/>
    <m/>
    <m/>
    <x v="13"/>
    <m/>
    <m/>
    <m/>
    <m/>
    <m/>
    <m/>
    <d v="2018-05-04T00:00:00"/>
    <s v="Yes"/>
    <s v="Yes"/>
    <x v="0"/>
    <m/>
    <s v="Script Team Setup"/>
  </r>
  <r>
    <x v="0"/>
    <s v="BASRTW069"/>
    <m/>
    <x v="2"/>
    <s v="USB"/>
    <m/>
    <m/>
    <x v="4"/>
    <x v="0"/>
    <x v="0"/>
    <x v="0"/>
    <x v="2"/>
    <s v="No"/>
    <s v="No"/>
    <m/>
    <m/>
    <x v="13"/>
    <m/>
    <m/>
    <m/>
    <m/>
    <m/>
    <m/>
    <d v="2018-04-06T00:00:00"/>
    <s v="Yes"/>
    <s v="Yes"/>
    <x v="0"/>
    <m/>
    <m/>
  </r>
  <r>
    <x v="0"/>
    <s v="BASRTL333"/>
    <s v="Yes"/>
    <x v="1"/>
    <s v="PCIe"/>
    <s v="SN3648289"/>
    <m/>
    <x v="0"/>
    <x v="1"/>
    <x v="12"/>
    <x v="3"/>
    <x v="1"/>
    <s v="No"/>
    <s v="No"/>
    <m/>
    <m/>
    <x v="134"/>
    <m/>
    <m/>
    <m/>
    <m/>
    <m/>
    <m/>
    <d v="2018-04-12T00:00:00"/>
    <s v="Yes"/>
    <s v="Yes"/>
    <x v="0"/>
    <m/>
    <m/>
  </r>
  <r>
    <x v="0"/>
    <s v="BASRTL334"/>
    <s v="Yes"/>
    <x v="1"/>
    <s v="PCIe"/>
    <s v="SN3633156"/>
    <m/>
    <x v="0"/>
    <x v="1"/>
    <x v="12"/>
    <x v="3"/>
    <x v="1"/>
    <s v="No"/>
    <s v="No"/>
    <m/>
    <m/>
    <x v="135"/>
    <m/>
    <m/>
    <n v="8660691471"/>
    <n v="440152254859"/>
    <n v="440152254859"/>
    <n v="7349334917"/>
    <d v="2018-04-12T00:00:00"/>
    <s v="Yes"/>
    <s v="Yes"/>
    <x v="0"/>
    <m/>
    <m/>
  </r>
  <r>
    <x v="0"/>
    <s v="BASRTL335"/>
    <s v="Yes"/>
    <x v="3"/>
    <s v="PCIe"/>
    <s v="SN3648217"/>
    <m/>
    <x v="0"/>
    <x v="1"/>
    <x v="12"/>
    <x v="3"/>
    <x v="1"/>
    <s v="No"/>
    <s v="No"/>
    <m/>
    <m/>
    <x v="136"/>
    <m/>
    <m/>
    <n v="8660691472"/>
    <n v="440152253598"/>
    <n v="440152253598"/>
    <n v="7349353440"/>
    <d v="2018-04-12T00:00:00"/>
    <s v="Yes"/>
    <s v="Yes"/>
    <x v="0"/>
    <m/>
    <m/>
  </r>
  <r>
    <x v="0"/>
    <s v="BASRTL336"/>
    <s v="Yes"/>
    <x v="1"/>
    <s v="PCIe"/>
    <s v="SN3648442"/>
    <m/>
    <x v="0"/>
    <x v="1"/>
    <x v="12"/>
    <x v="3"/>
    <x v="1"/>
    <s v="No"/>
    <s v="No"/>
    <s v="4x"/>
    <m/>
    <x v="137"/>
    <m/>
    <m/>
    <n v="8660690671"/>
    <n v="440152262526"/>
    <n v="440152262526"/>
    <n v="9945617840"/>
    <d v="2018-04-12T00:00:00"/>
    <s v="Yes"/>
    <s v="Yes"/>
    <x v="0"/>
    <m/>
    <m/>
  </r>
  <r>
    <x v="0"/>
    <s v="BASRTL337"/>
    <s v="Yes"/>
    <x v="3"/>
    <s v="PCIe"/>
    <s v="SN3648423"/>
    <m/>
    <x v="0"/>
    <x v="1"/>
    <x v="12"/>
    <x v="3"/>
    <x v="1"/>
    <s v="No"/>
    <s v="No"/>
    <m/>
    <m/>
    <x v="138"/>
    <m/>
    <m/>
    <n v="6361753254"/>
    <n v="440152249862"/>
    <n v="440152249862"/>
    <n v="9148086634"/>
    <d v="2018-04-09T00:00:00"/>
    <s v="Yes"/>
    <s v="Yes"/>
    <x v="0"/>
    <m/>
    <m/>
  </r>
  <r>
    <x v="0"/>
    <s v="BASRTL338"/>
    <s v="Yes"/>
    <x v="3"/>
    <s v="PCIe"/>
    <s v="SN3648260"/>
    <m/>
    <x v="0"/>
    <x v="1"/>
    <x v="12"/>
    <x v="3"/>
    <x v="1"/>
    <s v="No"/>
    <s v="No"/>
    <m/>
    <m/>
    <x v="139"/>
    <m/>
    <m/>
    <n v="6361753217"/>
    <n v="440152253587"/>
    <n v="440152253587"/>
    <n v="7349353996"/>
    <d v="2018-04-09T00:00:00"/>
    <s v="Yes"/>
    <s v="Yes"/>
    <x v="0"/>
    <m/>
    <m/>
  </r>
  <r>
    <x v="0"/>
    <s v="BASRTL339"/>
    <s v="Yes"/>
    <x v="4"/>
    <s v="PCIe"/>
    <s v="SN3648355"/>
    <m/>
    <x v="0"/>
    <x v="1"/>
    <x v="12"/>
    <x v="3"/>
    <x v="1"/>
    <s v="No"/>
    <s v="No"/>
    <s v="4x"/>
    <m/>
    <x v="140"/>
    <m/>
    <m/>
    <n v="6361753248"/>
    <n v="440152253585"/>
    <n v="440152253585"/>
    <n v="9513309335"/>
    <d v="2018-04-12T00:00:00"/>
    <s v="Yes"/>
    <s v="Yes"/>
    <x v="0"/>
    <m/>
    <m/>
  </r>
  <r>
    <x v="0"/>
    <s v="BASRTL340"/>
    <s v="Yes"/>
    <x v="3"/>
    <s v="PCIe"/>
    <s v="SN3633230"/>
    <m/>
    <x v="0"/>
    <x v="1"/>
    <x v="12"/>
    <x v="3"/>
    <x v="1"/>
    <s v="No"/>
    <s v="No"/>
    <m/>
    <m/>
    <x v="141"/>
    <m/>
    <m/>
    <n v="6361753216"/>
    <n v="440152254863"/>
    <n v="440152254863"/>
    <n v="9148086499"/>
    <d v="2018-04-09T00:00:00"/>
    <s v="Yes"/>
    <s v="Yes"/>
    <x v="0"/>
    <m/>
    <m/>
  </r>
  <r>
    <x v="0"/>
    <s v="BASRTL341"/>
    <s v="Yes"/>
    <x v="3"/>
    <s v="PCIe"/>
    <s v="SN3648277"/>
    <m/>
    <x v="0"/>
    <x v="1"/>
    <x v="12"/>
    <x v="3"/>
    <x v="1"/>
    <s v="No"/>
    <s v="No"/>
    <m/>
    <m/>
    <x v="142"/>
    <m/>
    <m/>
    <n v="6361753215"/>
    <n v="440152253600"/>
    <n v="440152253600"/>
    <n v="9148086492"/>
    <d v="2018-04-09T00:00:00"/>
    <s v="Yes"/>
    <s v="Yes"/>
    <x v="0"/>
    <m/>
    <m/>
  </r>
  <r>
    <x v="0"/>
    <s v="BASRTL342"/>
    <s v="Yes"/>
    <x v="3"/>
    <s v="PCIe"/>
    <s v="SN3648308"/>
    <m/>
    <x v="0"/>
    <x v="1"/>
    <x v="12"/>
    <x v="3"/>
    <x v="1"/>
    <s v="No"/>
    <s v="No"/>
    <m/>
    <m/>
    <x v="143"/>
    <m/>
    <m/>
    <n v="6361753218"/>
    <n v="440152254851"/>
    <n v="440152254851"/>
    <n v="9148086491"/>
    <d v="2018-04-09T00:00:00"/>
    <s v="Yes"/>
    <s v="Yes"/>
    <x v="0"/>
    <m/>
    <m/>
  </r>
  <r>
    <x v="0"/>
    <s v="BASRTL343"/>
    <s v="Yes"/>
    <x v="4"/>
    <s v="PCIe"/>
    <s v="SN3648269"/>
    <m/>
    <x v="1"/>
    <x v="0"/>
    <x v="4"/>
    <x v="4"/>
    <x v="4"/>
    <s v="No"/>
    <s v="No"/>
    <m/>
    <m/>
    <x v="144"/>
    <m/>
    <m/>
    <n v="6361753232"/>
    <n v="440152254848"/>
    <n v="440152254848"/>
    <n v="7625046455"/>
    <d v="2018-04-09T00:00:00"/>
    <s v="Yes"/>
    <s v="Yes"/>
    <x v="0"/>
    <m/>
    <s v="_x000a_JAN 3: Sanity Passed_x000a_JAN 3: Recalibarted on XMM7660_01.1902_DB07__Bender167766.2__SMS32806219 Sanity Ongoing_x000a_JAN 2: Recalibartion On going on 1901DB01 with 1851.01 Cal Tool (Calibartion Failng)"/>
  </r>
  <r>
    <x v="0"/>
    <s v="BASRTL344"/>
    <s v="Yes"/>
    <x v="1"/>
    <s v="PCIe"/>
    <s v="SN3648359"/>
    <m/>
    <x v="0"/>
    <x v="1"/>
    <x v="12"/>
    <x v="3"/>
    <x v="1"/>
    <s v="No"/>
    <s v="No"/>
    <s v="4x"/>
    <m/>
    <x v="145"/>
    <m/>
    <m/>
    <n v="6361753223"/>
    <n v="440152254881"/>
    <n v="440152254881"/>
    <n v="9148086493"/>
    <d v="2018-04-09T00:00:00"/>
    <s v="Yes"/>
    <s v="Yes"/>
    <x v="0"/>
    <m/>
    <m/>
  </r>
  <r>
    <x v="0"/>
    <s v="BASRTL345"/>
    <s v="Yes"/>
    <x v="4"/>
    <s v="PCIe"/>
    <s v="SN3648254"/>
    <m/>
    <x v="0"/>
    <x v="1"/>
    <x v="12"/>
    <x v="3"/>
    <x v="1"/>
    <s v="No"/>
    <s v="No"/>
    <s v="4x"/>
    <m/>
    <x v="146"/>
    <m/>
    <m/>
    <n v="6361753236"/>
    <n v="440152258340"/>
    <n v="440152258340"/>
    <n v="9148086498"/>
    <d v="2018-04-09T00:00:00"/>
    <s v="Yes"/>
    <s v="Yes"/>
    <x v="0"/>
    <m/>
    <m/>
  </r>
  <r>
    <x v="0"/>
    <s v="BASRTL346"/>
    <s v="Yes"/>
    <x v="3"/>
    <s v="PCIe"/>
    <s v="SN3648544"/>
    <m/>
    <x v="0"/>
    <x v="1"/>
    <x v="12"/>
    <x v="3"/>
    <x v="1"/>
    <s v="No"/>
    <s v="No"/>
    <m/>
    <m/>
    <x v="147"/>
    <m/>
    <m/>
    <n v="6361753253"/>
    <n v="440152249816"/>
    <n v="440152249816"/>
    <n v="9148086632"/>
    <d v="2018-04-09T00:00:00"/>
    <s v="Yes"/>
    <s v="Yes"/>
    <x v="0"/>
    <m/>
    <m/>
  </r>
  <r>
    <x v="0"/>
    <s v="BASRTL347"/>
    <s v="Yes"/>
    <x v="3"/>
    <s v="PCIe"/>
    <s v="SN3648412"/>
    <m/>
    <x v="0"/>
    <x v="1"/>
    <x v="12"/>
    <x v="3"/>
    <x v="1"/>
    <s v="No"/>
    <s v="No"/>
    <m/>
    <m/>
    <x v="148"/>
    <m/>
    <m/>
    <n v="6361753214"/>
    <n v="440152249860"/>
    <n v="440152249860"/>
    <n v="9148086494"/>
    <d v="2018-04-09T00:00:00"/>
    <s v="Yes"/>
    <s v="Yes"/>
    <x v="0"/>
    <m/>
    <m/>
  </r>
  <r>
    <x v="0"/>
    <s v="BASRTL348"/>
    <s v="Yes"/>
    <x v="1"/>
    <s v="PCIe"/>
    <s v="SN3648286"/>
    <m/>
    <x v="0"/>
    <x v="1"/>
    <x v="12"/>
    <x v="3"/>
    <x v="1"/>
    <s v="No"/>
    <s v="No"/>
    <s v="4x"/>
    <m/>
    <x v="149"/>
    <m/>
    <m/>
    <n v="6361753224"/>
    <n v="440152249880"/>
    <n v="440152254880"/>
    <n v="9148086496"/>
    <d v="2018-04-09T00:00:00"/>
    <s v="Yes"/>
    <s v="Yes"/>
    <x v="0"/>
    <m/>
    <m/>
  </r>
  <r>
    <x v="0"/>
    <s v="BASRTL349"/>
    <s v="Yes"/>
    <x v="4"/>
    <s v="PCIe"/>
    <s v="SN3648455"/>
    <m/>
    <x v="1"/>
    <x v="1"/>
    <x v="13"/>
    <x v="9"/>
    <x v="4"/>
    <s v="No"/>
    <s v="No"/>
    <s v="4x"/>
    <m/>
    <x v="150"/>
    <m/>
    <m/>
    <m/>
    <m/>
    <m/>
    <m/>
    <d v="2018-04-09T00:00:00"/>
    <s v="Yes"/>
    <s v="Yes"/>
    <x v="0"/>
    <m/>
    <s v="_x000a_JAN 3: Sanity Passed in SSIM Test_x000a_JAN 2: Recalibrated on 1901DB01 with 1851.01 Cal Tool Sanity Ongoing"/>
  </r>
  <r>
    <x v="0"/>
    <s v="BASRTL350"/>
    <s v="Yes"/>
    <x v="4"/>
    <s v="PCIe"/>
    <s v="SN3648257"/>
    <m/>
    <x v="0"/>
    <x v="1"/>
    <x v="12"/>
    <x v="3"/>
    <x v="1"/>
    <s v="No"/>
    <s v="No"/>
    <m/>
    <m/>
    <x v="151"/>
    <m/>
    <m/>
    <n v="6361753219"/>
    <n v="440152249874"/>
    <n v="440152254874"/>
    <n v="7349781098"/>
    <d v="2018-04-09T00:00:00"/>
    <s v="Yes"/>
    <s v="Yes"/>
    <x v="0"/>
    <m/>
    <m/>
  </r>
  <r>
    <x v="0"/>
    <s v="BASRTL331"/>
    <s v="Yes"/>
    <x v="4"/>
    <s v="PCIe"/>
    <s v="SN3648467"/>
    <m/>
    <x v="1"/>
    <x v="0"/>
    <x v="0"/>
    <x v="10"/>
    <x v="8"/>
    <s v="No"/>
    <m/>
    <m/>
    <m/>
    <x v="13"/>
    <m/>
    <m/>
    <m/>
    <m/>
    <m/>
    <m/>
    <m/>
    <s v="Yes"/>
    <s v="Yes"/>
    <x v="0"/>
    <m/>
    <s v="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   LTE CEB"/>
  </r>
  <r>
    <x v="0"/>
    <s v="BASRTL351"/>
    <s v="Yes"/>
    <x v="1"/>
    <s v="PCIe"/>
    <s v="SN3648243"/>
    <m/>
    <x v="1"/>
    <x v="0"/>
    <x v="4"/>
    <x v="4"/>
    <x v="8"/>
    <s v="No"/>
    <m/>
    <m/>
    <m/>
    <x v="13"/>
    <m/>
    <m/>
    <m/>
    <m/>
    <m/>
    <m/>
    <d v="2018-04-09T00:00:00"/>
    <s v="Yes"/>
    <s v="Yes"/>
    <x v="0"/>
    <m/>
    <m/>
  </r>
  <r>
    <x v="0"/>
    <s v="BASRTL352"/>
    <s v="Yes"/>
    <x v="1"/>
    <s v="PCIe"/>
    <s v="SN3648388"/>
    <m/>
    <x v="1"/>
    <x v="0"/>
    <x v="4"/>
    <x v="4"/>
    <x v="4"/>
    <s v="No"/>
    <s v="No"/>
    <m/>
    <m/>
    <x v="152"/>
    <m/>
    <m/>
    <n v="6361753220"/>
    <n v="440152249873"/>
    <n v="440152254873"/>
    <n v="9148086497"/>
    <d v="2018-04-09T00:00:00"/>
    <s v="Yes"/>
    <s v="Yes"/>
    <x v="0"/>
    <m/>
    <s v="_x000a_JAN 3: Sanity Passed _x000a_JAN 2: Recalibrated on 1901DB01 with 1851.01 Cal Tool Sanity Ongoing"/>
  </r>
  <r>
    <x v="0"/>
    <s v="BASRTL353"/>
    <s v="No"/>
    <x v="2"/>
    <s v="PCIe"/>
    <s v="SN3648476"/>
    <m/>
    <x v="0"/>
    <x v="1"/>
    <x v="2"/>
    <x v="2"/>
    <x v="1"/>
    <s v="No"/>
    <s v="No"/>
    <m/>
    <m/>
    <x v="153"/>
    <m/>
    <m/>
    <m/>
    <m/>
    <m/>
    <m/>
    <d v="2018-04-09T00:00:00"/>
    <s v="Yes"/>
    <s v="No"/>
    <x v="1"/>
    <m/>
    <s v="Waiting for Accessories"/>
  </r>
  <r>
    <x v="1"/>
    <s v="MUCSRTL005"/>
    <s v="Yes"/>
    <x v="0"/>
    <s v="PCIe"/>
    <s v="SN2794396"/>
    <s v="11.1.268 ICER1/1"/>
    <x v="0"/>
    <x v="0"/>
    <x v="14"/>
    <x v="6"/>
    <x v="1"/>
    <s v="No"/>
    <s v="No"/>
    <s v="No"/>
    <m/>
    <x v="154"/>
    <m/>
    <m/>
    <n v="15904263195"/>
    <n v="440152237231"/>
    <m/>
    <m/>
    <d v="2018-04-04T00:00:00"/>
    <s v="Yes"/>
    <s v="Yes"/>
    <x v="0"/>
    <m/>
    <m/>
  </r>
  <r>
    <x v="1"/>
    <s v="MUCSRTL006"/>
    <s v="Yes"/>
    <x v="0"/>
    <s v="PCIe"/>
    <s v="SN2388941"/>
    <s v="11.1.268 ICER1/1"/>
    <x v="0"/>
    <x v="0"/>
    <x v="15"/>
    <x v="5"/>
    <x v="1"/>
    <s v="No"/>
    <s v="No"/>
    <s v="No"/>
    <m/>
    <x v="155"/>
    <m/>
    <m/>
    <s v="491755815399"/>
    <n v="440152237245"/>
    <m/>
    <m/>
    <d v="2018-04-09T00:00:00"/>
    <s v="Yes"/>
    <s v="Yes"/>
    <x v="0"/>
    <m/>
    <m/>
  </r>
  <r>
    <x v="1"/>
    <s v="MUCSRTL007"/>
    <s v="No"/>
    <x v="2"/>
    <s v="PCIe"/>
    <s v="SN2794229"/>
    <s v="11.1.268 ICER1/4"/>
    <x v="0"/>
    <x v="0"/>
    <x v="14"/>
    <x v="4"/>
    <x v="1"/>
    <s v="No"/>
    <s v="No"/>
    <s v="No"/>
    <m/>
    <x v="156"/>
    <m/>
    <m/>
    <n v="17610563407"/>
    <n v="440152238744"/>
    <m/>
    <m/>
    <d v="2018-05-02T00:00:00"/>
    <s v="Yes"/>
    <s v="Yes"/>
    <x v="3"/>
    <s v="Debug Needed"/>
    <s v="Ticket opened for Devops"/>
  </r>
  <r>
    <x v="1"/>
    <s v="MUCSRTL008"/>
    <s v="Yes"/>
    <x v="4"/>
    <s v="PCIe"/>
    <s v="SN2794344"/>
    <s v="11.1.268 ICER1/4"/>
    <x v="0"/>
    <x v="0"/>
    <x v="15"/>
    <x v="6"/>
    <x v="0"/>
    <s v="No"/>
    <s v="No"/>
    <s v="No"/>
    <m/>
    <x v="156"/>
    <m/>
    <m/>
    <n v="4915142647256"/>
    <n v="440152048209"/>
    <m/>
    <m/>
    <d v="2018-04-04T00:00:00"/>
    <s v="Yes"/>
    <s v="Yes"/>
    <x v="0"/>
    <m/>
    <m/>
  </r>
  <r>
    <x v="1"/>
    <s v="MUCSRTL009"/>
    <s v="Yes"/>
    <x v="1"/>
    <s v="PCIe"/>
    <s v="SN2794272"/>
    <s v="11.1.371 R5/1"/>
    <x v="0"/>
    <x v="0"/>
    <x v="15"/>
    <x v="6"/>
    <x v="1"/>
    <s v="No"/>
    <s v="No"/>
    <s v="No"/>
    <m/>
    <x v="156"/>
    <m/>
    <m/>
    <n v="491605111593"/>
    <n v="440152218154"/>
    <m/>
    <m/>
    <d v="2018-04-04T00:00:00"/>
    <s v="Yes"/>
    <s v="Yes"/>
    <x v="0"/>
    <m/>
    <m/>
  </r>
  <r>
    <x v="1"/>
    <s v="MUCSRTL010"/>
    <s v="Yes"/>
    <x v="1"/>
    <s v="PCIe"/>
    <s v="SN2794271"/>
    <s v="11.1.268 ICER1/7"/>
    <x v="0"/>
    <x v="0"/>
    <x v="15"/>
    <x v="11"/>
    <x v="1"/>
    <s v="No"/>
    <s v="No"/>
    <s v="No"/>
    <m/>
    <x v="156"/>
    <m/>
    <m/>
    <n v="491605101703"/>
    <n v="440152238946"/>
    <m/>
    <m/>
    <d v="2018-04-09T00:00:00"/>
    <s v="Yes"/>
    <s v="Yes"/>
    <x v="0"/>
    <m/>
    <m/>
  </r>
  <r>
    <x v="1"/>
    <s v="MUCSRTL011"/>
    <s v="Yes"/>
    <x v="5"/>
    <s v="PCIe"/>
    <s v="SN2794233"/>
    <s v="11.1.268 ICER1/7"/>
    <x v="0"/>
    <x v="0"/>
    <x v="15"/>
    <x v="6"/>
    <x v="0"/>
    <s v="No"/>
    <s v="No"/>
    <s v="No"/>
    <m/>
    <x v="156"/>
    <m/>
    <m/>
    <n v="1605111219"/>
    <n v="440152056422"/>
    <m/>
    <m/>
    <d v="2018-04-04T00:00:00"/>
    <s v="Yes"/>
    <s v="Yes"/>
    <x v="0"/>
    <m/>
    <m/>
  </r>
  <r>
    <x v="1"/>
    <s v="MUCSRTL012"/>
    <s v="Yes"/>
    <x v="3"/>
    <s v="PCIe"/>
    <s v="SN2794392"/>
    <s v="11.1.268 ICER1/5"/>
    <x v="0"/>
    <x v="0"/>
    <x v="15"/>
    <x v="5"/>
    <x v="1"/>
    <s v="No"/>
    <s v="No"/>
    <s v="No"/>
    <m/>
    <x v="157"/>
    <m/>
    <m/>
    <s v="491722561308"/>
    <n v="440152237241"/>
    <m/>
    <m/>
    <d v="2018-04-04T00:00:00"/>
    <s v="Yes"/>
    <s v="Yes"/>
    <x v="0"/>
    <m/>
    <m/>
  </r>
  <r>
    <x v="1"/>
    <s v="MUCSRTL013"/>
    <s v="Yes"/>
    <x v="0"/>
    <s v="PCIe"/>
    <s v="SN2794237"/>
    <s v="11.1.268 ICER1/5"/>
    <x v="0"/>
    <x v="0"/>
    <x v="15"/>
    <x v="5"/>
    <x v="1"/>
    <s v="No"/>
    <s v="No"/>
    <s v="No"/>
    <m/>
    <x v="158"/>
    <m/>
    <m/>
    <s v="491605101703"/>
    <n v="440152056645"/>
    <m/>
    <m/>
    <d v="2018-04-04T00:00:00"/>
    <s v="Yes"/>
    <s v="Yes"/>
    <x v="0"/>
    <m/>
    <m/>
  </r>
  <r>
    <x v="1"/>
    <s v="MUCSRTL014"/>
    <s v="Yes"/>
    <x v="0"/>
    <s v="PCIe"/>
    <s v="SN2794276"/>
    <s v="11.1.268 ICER1/6"/>
    <x v="0"/>
    <x v="0"/>
    <x v="15"/>
    <x v="4"/>
    <x v="1"/>
    <s v="No"/>
    <s v="No"/>
    <s v="No"/>
    <m/>
    <x v="159"/>
    <m/>
    <m/>
    <n v="491605104651"/>
    <n v="440152237248"/>
    <m/>
    <m/>
    <d v="2018-04-04T00:00:00"/>
    <s v="Yes"/>
    <s v="Yes"/>
    <x v="0"/>
    <m/>
    <m/>
  </r>
  <r>
    <x v="1"/>
    <s v="MUCSRTL023"/>
    <s v="Yes"/>
    <x v="1"/>
    <s v="PCIe"/>
    <s v="SN3219551"/>
    <s v="11.1.268 ICER3/1"/>
    <x v="0"/>
    <x v="0"/>
    <x v="14"/>
    <x v="5"/>
    <x v="1"/>
    <s v="No"/>
    <s v="No"/>
    <s v="No"/>
    <m/>
    <x v="156"/>
    <m/>
    <m/>
    <n v="4917610563440"/>
    <n v="440152238951"/>
    <m/>
    <m/>
    <d v="2018-04-04T00:00:00"/>
    <s v="Yes"/>
    <s v="Yes"/>
    <x v="0"/>
    <m/>
    <m/>
  </r>
  <r>
    <x v="1"/>
    <s v="MUCSRTL024"/>
    <s v="Yes"/>
    <x v="3"/>
    <s v="PCIe"/>
    <s v="SN3219616"/>
    <s v="11.1.268 ICER3/1"/>
    <x v="0"/>
    <x v="0"/>
    <x v="14"/>
    <x v="5"/>
    <x v="1"/>
    <s v="No"/>
    <s v="No"/>
    <s v="No"/>
    <m/>
    <x v="160"/>
    <m/>
    <m/>
    <s v="4917610506587"/>
    <n v="440152237238"/>
    <m/>
    <m/>
    <d v="2018-04-04T00:00:00"/>
    <s v="Yes"/>
    <s v="Yes"/>
    <x v="0"/>
    <m/>
    <m/>
  </r>
  <r>
    <x v="1"/>
    <s v="MUCSRTL025"/>
    <s v="Yes"/>
    <x v="0"/>
    <s v="PCIe"/>
    <s v="SN3120221"/>
    <s v="11.1.268 R1/3"/>
    <x v="0"/>
    <x v="0"/>
    <x v="14"/>
    <x v="5"/>
    <x v="1"/>
    <s v="No"/>
    <s v="No"/>
    <s v="No"/>
    <m/>
    <x v="161"/>
    <m/>
    <m/>
    <n v="4917610506569"/>
    <n v="440152239336"/>
    <m/>
    <m/>
    <d v="2018-04-04T00:00:00"/>
    <s v="Yes"/>
    <s v="Yes"/>
    <x v="0"/>
    <m/>
    <m/>
  </r>
  <r>
    <x v="1"/>
    <s v="MUCSRTL026"/>
    <s v="Yes"/>
    <x v="0"/>
    <s v="PCIe"/>
    <s v="SN3219560"/>
    <s v="11.1.268 R1/1"/>
    <x v="0"/>
    <x v="0"/>
    <x v="14"/>
    <x v="5"/>
    <x v="1"/>
    <s v="No"/>
    <s v="No"/>
    <s v="No"/>
    <m/>
    <x v="162"/>
    <m/>
    <m/>
    <s v="4917619020192"/>
    <n v="440152237254"/>
    <m/>
    <m/>
    <d v="2018-04-04T00:00:00"/>
    <s v="Yes"/>
    <s v="Yes"/>
    <x v="0"/>
    <m/>
    <m/>
  </r>
  <r>
    <x v="1"/>
    <s v="MUCSRTL027"/>
    <s v="Yes"/>
    <x v="0"/>
    <s v="PCIe"/>
    <s v="SN3219554"/>
    <s v="11.1.268 R2/5"/>
    <x v="0"/>
    <x v="0"/>
    <x v="15"/>
    <x v="5"/>
    <x v="1"/>
    <s v="No"/>
    <s v="No"/>
    <s v="No"/>
    <m/>
    <x v="163"/>
    <m/>
    <m/>
    <n v="4915117966989"/>
    <n v="440152238943"/>
    <m/>
    <m/>
    <d v="2018-04-04T00:00:00"/>
    <s v="Yes"/>
    <s v="Yes"/>
    <x v="0"/>
    <m/>
    <m/>
  </r>
  <r>
    <x v="1"/>
    <s v="MUCSRTL028"/>
    <s v="Yes"/>
    <x v="0"/>
    <s v="PCIe"/>
    <s v="SN3219563"/>
    <s v="11.1.268 R1/5"/>
    <x v="0"/>
    <x v="0"/>
    <x v="14"/>
    <x v="6"/>
    <x v="1"/>
    <s v="No"/>
    <s v="No"/>
    <s v="No"/>
    <m/>
    <x v="164"/>
    <m/>
    <m/>
    <s v="4917610506583"/>
    <n v="440152213644"/>
    <m/>
    <m/>
    <d v="2018-04-04T00:00:00"/>
    <s v="Yes"/>
    <s v="Yes"/>
    <x v="0"/>
    <m/>
    <m/>
  </r>
  <r>
    <x v="1"/>
    <s v="MUCSRTL029"/>
    <s v="Yes"/>
    <x v="5"/>
    <s v="PCIe"/>
    <s v="SN3219582"/>
    <s v="11.1.268 R2/3"/>
    <x v="0"/>
    <x v="0"/>
    <x v="14"/>
    <x v="5"/>
    <x v="1"/>
    <s v="No"/>
    <s v="No"/>
    <s v="No"/>
    <m/>
    <x v="165"/>
    <m/>
    <m/>
    <n v="4917610506581"/>
    <n v="440152237226"/>
    <m/>
    <m/>
    <d v="2018-04-04T00:00:00"/>
    <s v="Yes"/>
    <s v="Yes"/>
    <x v="0"/>
    <m/>
    <m/>
  </r>
  <r>
    <x v="1"/>
    <s v="MUCSRTL031"/>
    <s v="Yes"/>
    <x v="3"/>
    <s v="PCIe"/>
    <s v="SN3219632"/>
    <s v="11.1.371 R5/1"/>
    <x v="0"/>
    <x v="0"/>
    <x v="15"/>
    <x v="6"/>
    <x v="1"/>
    <s v="No"/>
    <s v="No"/>
    <s v="No"/>
    <m/>
    <x v="166"/>
    <m/>
    <m/>
    <s v="491605103513"/>
    <n v="440152237234"/>
    <m/>
    <m/>
    <d v="2018-04-04T00:00:00"/>
    <s v="Yes"/>
    <s v="Yes"/>
    <x v="0"/>
    <m/>
    <m/>
  </r>
  <r>
    <x v="1"/>
    <s v="MUCSRTL032"/>
    <s v="Yes"/>
    <x v="0"/>
    <s v="PCIe"/>
    <s v="SN3219597"/>
    <s v="11.1.268 ICER1/6"/>
    <x v="0"/>
    <x v="0"/>
    <x v="14"/>
    <x v="6"/>
    <x v="1"/>
    <s v="No"/>
    <s v="No"/>
    <s v="No"/>
    <m/>
    <x v="167"/>
    <m/>
    <m/>
    <n v="4917610056913"/>
    <n v="440152237225"/>
    <m/>
    <m/>
    <d v="2018-04-04T00:00:00"/>
    <s v="Yes"/>
    <s v="Yes"/>
    <x v="0"/>
    <m/>
    <m/>
  </r>
  <r>
    <x v="1"/>
    <s v="MUCSRTL033"/>
    <s v="Yes"/>
    <x v="3"/>
    <s v="PCIe"/>
    <s v="SN3219956"/>
    <s v="11.1.371 R5/2"/>
    <x v="0"/>
    <x v="0"/>
    <x v="14"/>
    <x v="4"/>
    <x v="1"/>
    <s v="No"/>
    <s v="No"/>
    <s v="No"/>
    <m/>
    <x v="168"/>
    <m/>
    <m/>
    <s v="4915904545569"/>
    <n v="440152238950"/>
    <m/>
    <m/>
    <d v="2018-04-04T00:00:00"/>
    <s v="Yes"/>
    <s v="Yes"/>
    <x v="0"/>
    <m/>
    <m/>
  </r>
  <r>
    <x v="1"/>
    <s v="MUCSRTL034"/>
    <s v="Yes"/>
    <x v="3"/>
    <s v="PCIe"/>
    <s v="SN3220080"/>
    <s v="11.1.268 RDSR2/2"/>
    <x v="0"/>
    <x v="0"/>
    <x v="15"/>
    <x v="5"/>
    <x v="1"/>
    <s v="No"/>
    <s v="No"/>
    <s v="No"/>
    <m/>
    <x v="169"/>
    <m/>
    <m/>
    <s v="491755869283"/>
    <n v="440152237251"/>
    <m/>
    <m/>
    <d v="2018-04-04T00:00:00"/>
    <s v="Yes"/>
    <s v="Yes"/>
    <x v="0"/>
    <m/>
    <m/>
  </r>
  <r>
    <x v="1"/>
    <s v="MUCSRTL035"/>
    <s v="Yes"/>
    <x v="0"/>
    <s v="PCIe"/>
    <s v="SN3219992"/>
    <s v="11.1.371 R1/2"/>
    <x v="0"/>
    <x v="0"/>
    <x v="15"/>
    <x v="5"/>
    <x v="1"/>
    <s v="No"/>
    <s v="No"/>
    <s v="No"/>
    <m/>
    <x v="170"/>
    <m/>
    <m/>
    <s v="491706842108"/>
    <n v="440152237224"/>
    <m/>
    <m/>
    <d v="2018-04-04T00:00:00"/>
    <s v="Yes"/>
    <s v="Yes"/>
    <x v="0"/>
    <m/>
    <m/>
  </r>
  <r>
    <x v="1"/>
    <s v="MUCSRTL036"/>
    <s v="Yes"/>
    <x v="1"/>
    <s v="PCIe"/>
    <s v="SN3219705"/>
    <s v="11.1.371 R10/3"/>
    <x v="0"/>
    <x v="0"/>
    <x v="14"/>
    <x v="5"/>
    <x v="1"/>
    <s v="No"/>
    <s v="No"/>
    <s v="No"/>
    <m/>
    <x v="171"/>
    <m/>
    <m/>
    <n v="4915904545567"/>
    <n v="440152237228"/>
    <m/>
    <m/>
    <d v="2018-04-04T00:00:00"/>
    <s v="Yes"/>
    <s v="Yes"/>
    <x v="0"/>
    <m/>
    <m/>
  </r>
  <r>
    <x v="1"/>
    <s v="MUCSRTL037"/>
    <s v="Yes"/>
    <x v="0"/>
    <s v="PCIe"/>
    <s v="SN3219867"/>
    <s v="11.1.371 R10/3"/>
    <x v="0"/>
    <x v="0"/>
    <x v="15"/>
    <x v="5"/>
    <x v="1"/>
    <s v="No"/>
    <s v="No"/>
    <s v="No"/>
    <m/>
    <x v="172"/>
    <m/>
    <m/>
    <s v="491706228088"/>
    <n v="440152237256"/>
    <m/>
    <m/>
    <d v="2018-04-04T00:00:00"/>
    <s v="Yes"/>
    <s v="Yes"/>
    <x v="0"/>
    <m/>
    <m/>
  </r>
  <r>
    <x v="1"/>
    <s v="MUCSRTL038"/>
    <s v="Yes"/>
    <x v="1"/>
    <s v="PCIe"/>
    <s v="SN3220058"/>
    <s v="11.1.268 R3/2"/>
    <x v="0"/>
    <x v="0"/>
    <x v="14"/>
    <x v="5"/>
    <x v="1"/>
    <s v="No"/>
    <s v="No"/>
    <s v="No"/>
    <m/>
    <x v="156"/>
    <m/>
    <m/>
    <n v="4915904263196"/>
    <n v="440152213453"/>
    <m/>
    <m/>
    <d v="2018-04-09T00:00:00"/>
    <s v="Yes"/>
    <s v="Yes"/>
    <x v="0"/>
    <m/>
    <m/>
  </r>
  <r>
    <x v="1"/>
    <s v="MUCSRTL039"/>
    <s v="Yes"/>
    <x v="0"/>
    <s v="PCIe"/>
    <s v="SN3219545"/>
    <s v="11.1.268 R3/2"/>
    <x v="0"/>
    <x v="0"/>
    <x v="14"/>
    <x v="6"/>
    <x v="1"/>
    <s v="No"/>
    <s v="No"/>
    <s v="No"/>
    <m/>
    <x v="173"/>
    <m/>
    <m/>
    <n v="4915904545557"/>
    <n v="440152219777"/>
    <m/>
    <m/>
    <d v="2018-04-04T00:00:00"/>
    <s v="Yes"/>
    <s v="Yes"/>
    <x v="0"/>
    <m/>
    <m/>
  </r>
  <r>
    <x v="1"/>
    <s v="MUCSRTL040"/>
    <s v="No"/>
    <x v="2"/>
    <s v="PCIe"/>
    <s v="SN3220051"/>
    <s v="11.1.268 ICER2/3"/>
    <x v="0"/>
    <x v="0"/>
    <x v="2"/>
    <x v="5"/>
    <x v="3"/>
    <s v="No"/>
    <s v="No"/>
    <s v="No"/>
    <m/>
    <x v="156"/>
    <m/>
    <m/>
    <m/>
    <m/>
    <m/>
    <m/>
    <d v="2018-04-04T00:00:00"/>
    <s v="Yes"/>
    <s v="Yes"/>
    <x v="4"/>
    <m/>
    <s v="Congatec is not booting"/>
  </r>
  <r>
    <x v="1"/>
    <s v="MUCSRTL041"/>
    <s v="Yes"/>
    <x v="3"/>
    <s v="PCIe"/>
    <s v="SN3219877"/>
    <s v="11.1.371 Rack 9/1"/>
    <x v="1"/>
    <x v="0"/>
    <x v="14"/>
    <x v="6"/>
    <x v="8"/>
    <s v="No"/>
    <s v="No"/>
    <s v="4x"/>
    <s v="MUCSRTMAC127.imu.intel.com"/>
    <x v="174"/>
    <s v="481000795A800D00FFFFFFFF"/>
    <s v="C03816108301369BU"/>
    <s v="4917610506582"/>
    <n v="440152236943"/>
    <m/>
    <m/>
    <d v="2018-04-04T00:00:00"/>
    <s v="Yes"/>
    <s v="Yes"/>
    <x v="0"/>
    <m/>
    <m/>
  </r>
  <r>
    <x v="1"/>
    <s v="MUCSRTL030"/>
    <s v="Yes"/>
    <x v="1"/>
    <s v="PCIe"/>
    <s v="SN3219696"/>
    <s v="11.1.371 R2/1"/>
    <x v="0"/>
    <x v="0"/>
    <x v="14"/>
    <x v="6"/>
    <x v="1"/>
    <s v="No"/>
    <s v="No"/>
    <s v="No"/>
    <m/>
    <x v="156"/>
    <m/>
    <m/>
    <n v="4917610056933"/>
    <n v="440152237252"/>
    <m/>
    <m/>
    <d v="2018-04-04T00:00:00"/>
    <s v="Yes"/>
    <s v="Yes"/>
    <x v="0"/>
    <m/>
    <m/>
  </r>
  <r>
    <x v="1"/>
    <s v="MUCSRTL044"/>
    <s v="Yes"/>
    <x v="6"/>
    <s v="PCIe"/>
    <s v="SN3219958"/>
    <s v="11.1.371 R3/2"/>
    <x v="0"/>
    <x v="0"/>
    <x v="14"/>
    <x v="6"/>
    <x v="1"/>
    <s v="No"/>
    <s v="No"/>
    <s v="No"/>
    <m/>
    <x v="175"/>
    <m/>
    <m/>
    <s v="4917610506581"/>
    <n v="440152237246"/>
    <m/>
    <m/>
    <d v="2018-04-04T00:00:00"/>
    <s v="Yes"/>
    <s v="Yes"/>
    <x v="0"/>
    <m/>
    <m/>
  </r>
  <r>
    <x v="1"/>
    <s v="MUCSRTL045"/>
    <s v="Yes"/>
    <x v="3"/>
    <s v="PCIe"/>
    <s v="SN3219740"/>
    <s v="11.1.371 R3/2"/>
    <x v="0"/>
    <x v="0"/>
    <x v="14"/>
    <x v="4"/>
    <x v="1"/>
    <s v="No"/>
    <s v="No"/>
    <s v="No"/>
    <m/>
    <x v="176"/>
    <m/>
    <m/>
    <s v="4917610259174"/>
    <n v="440152237244"/>
    <m/>
    <m/>
    <d v="2018-04-04T00:00:00"/>
    <s v="Yes"/>
    <s v="Yes"/>
    <x v="0"/>
    <m/>
    <m/>
  </r>
  <r>
    <x v="1"/>
    <s v="MUCSRTL046"/>
    <s v="Yes"/>
    <x v="4"/>
    <s v="PCIe"/>
    <s v="SN3219832"/>
    <s v="11.1.268 RDSR2/1"/>
    <x v="0"/>
    <x v="0"/>
    <x v="14"/>
    <x v="6"/>
    <x v="0"/>
    <s v="No"/>
    <s v="No"/>
    <s v="No"/>
    <m/>
    <x v="156"/>
    <m/>
    <m/>
    <n v="4915904545560"/>
    <n v="440152219806"/>
    <m/>
    <m/>
    <d v="2018-04-04T00:00:00"/>
    <s v="Yes"/>
    <s v="Yes"/>
    <x v="0"/>
    <m/>
    <m/>
  </r>
  <r>
    <x v="1"/>
    <s v="MUCSRTL047"/>
    <s v="Yes"/>
    <x v="6"/>
    <s v="PCIe"/>
    <s v="SN3219737"/>
    <s v="11.1.268 RDSR2/1"/>
    <x v="0"/>
    <x v="0"/>
    <x v="14"/>
    <x v="5"/>
    <x v="1"/>
    <s v="No"/>
    <s v="No"/>
    <s v="No"/>
    <m/>
    <x v="177"/>
    <m/>
    <m/>
    <s v="4917610563401"/>
    <n v="440152237232"/>
    <m/>
    <m/>
    <d v="2018-04-04T00:00:00"/>
    <s v="Yes"/>
    <s v="Yes"/>
    <x v="0"/>
    <m/>
    <m/>
  </r>
  <r>
    <x v="1"/>
    <s v="MUCSRTL048"/>
    <s v="Yes"/>
    <x v="4"/>
    <s v="PCIe"/>
    <s v="SN3220055"/>
    <s v="11.1.268 RDSR2/3"/>
    <x v="0"/>
    <x v="0"/>
    <x v="15"/>
    <x v="4"/>
    <x v="0"/>
    <s v="No"/>
    <s v="No"/>
    <s v="No"/>
    <m/>
    <x v="156"/>
    <m/>
    <m/>
    <n v="491605102237"/>
    <n v="440152216697"/>
    <m/>
    <m/>
    <d v="2018-04-04T00:00:00"/>
    <s v="Yes"/>
    <s v="Yes"/>
    <x v="0"/>
    <m/>
    <m/>
  </r>
  <r>
    <x v="1"/>
    <s v="MUCSRTL049"/>
    <s v="Yes"/>
    <x v="4"/>
    <s v="PCIe"/>
    <s v="SN3219886"/>
    <s v="11.1.268 RDSR2/3"/>
    <x v="0"/>
    <x v="0"/>
    <x v="15"/>
    <x v="5"/>
    <x v="0"/>
    <s v="No"/>
    <s v="No"/>
    <s v="No"/>
    <m/>
    <x v="156"/>
    <m/>
    <m/>
    <n v="491707979764"/>
    <n v="440152217720"/>
    <m/>
    <m/>
    <d v="2018-04-04T00:00:00"/>
    <s v="Yes"/>
    <s v="Yes"/>
    <x v="0"/>
    <m/>
    <m/>
  </r>
  <r>
    <x v="1"/>
    <s v="MUCSRTL050"/>
    <m/>
    <x v="2"/>
    <s v="PCIe"/>
    <s v="SN3219943"/>
    <s v="11.1.268 ICER2/3"/>
    <x v="2"/>
    <x v="0"/>
    <x v="2"/>
    <x v="2"/>
    <x v="3"/>
    <m/>
    <m/>
    <m/>
    <m/>
    <x v="13"/>
    <m/>
    <m/>
    <m/>
    <m/>
    <m/>
    <m/>
    <m/>
    <s v="Yes"/>
    <s v="Yes"/>
    <x v="4"/>
    <m/>
    <m/>
  </r>
  <r>
    <x v="1"/>
    <s v="MUCSRTL051"/>
    <s v="Yes"/>
    <x v="1"/>
    <s v="PCIe"/>
    <s v="SN3219896"/>
    <s v="11.1.371 R5/3"/>
    <x v="0"/>
    <x v="0"/>
    <x v="14"/>
    <x v="5"/>
    <x v="0"/>
    <s v="No"/>
    <s v="No"/>
    <s v="No"/>
    <m/>
    <x v="156"/>
    <m/>
    <m/>
    <n v="4915904545563"/>
    <n v="440152217721"/>
    <m/>
    <m/>
    <d v="2018-04-04T00:00:00"/>
    <s v="Yes"/>
    <s v="Yes"/>
    <x v="0"/>
    <m/>
    <m/>
  </r>
  <r>
    <x v="1"/>
    <s v="MUCSRTL052"/>
    <s v="Yes"/>
    <x v="3"/>
    <s v="BlackRay"/>
    <s v="SN3219643"/>
    <s v="11.1.371 Rack 5/5"/>
    <x v="1"/>
    <x v="1"/>
    <x v="16"/>
    <x v="12"/>
    <x v="2"/>
    <s v="No"/>
    <s v="No"/>
    <s v="4x"/>
    <s v="MUCSRTMAC129.imu.intel.com"/>
    <x v="178"/>
    <s v="280300795A800D00FFFFFFFF"/>
    <s v="C03816108401369BR"/>
    <s v="4917610056922"/>
    <n v="440152236952"/>
    <m/>
    <m/>
    <d v="2018-04-04T00:00:00"/>
    <s v="Yes"/>
    <s v="Yes"/>
    <x v="1"/>
    <m/>
    <s v="19 DEC: Hw moved to 172 for reset cable trials"/>
  </r>
  <r>
    <x v="1"/>
    <s v="MUCSRTL053"/>
    <s v="Yes"/>
    <x v="0"/>
    <s v="PCIe"/>
    <s v="SN3219685"/>
    <s v="11.1.371 R4/1"/>
    <x v="0"/>
    <x v="0"/>
    <x v="15"/>
    <x v="4"/>
    <x v="1"/>
    <s v="No"/>
    <s v="No"/>
    <s v="No"/>
    <m/>
    <x v="179"/>
    <m/>
    <m/>
    <s v="491605316012"/>
    <n v="440152237242"/>
    <m/>
    <m/>
    <d v="2018-04-04T00:00:00"/>
    <s v="Yes"/>
    <s v="Yes"/>
    <x v="0"/>
    <m/>
    <m/>
  </r>
  <r>
    <x v="1"/>
    <s v="MUCSRTL054"/>
    <s v="Yes"/>
    <x v="3"/>
    <s v="PCIe"/>
    <s v="SN3219700"/>
    <s v="11.1.371 Rack 4/3"/>
    <x v="1"/>
    <x v="0"/>
    <x v="15"/>
    <x v="4"/>
    <x v="8"/>
    <s v="No"/>
    <s v="No"/>
    <s v="4x"/>
    <s v="MUCSRTMAC129.imu.intel.com"/>
    <x v="180"/>
    <s v="721100795A800D00FFFFFFFF"/>
    <s v="C03816108381369BL"/>
    <n v="491755812732"/>
    <n v="440152236947"/>
    <m/>
    <m/>
    <d v="2018-04-04T00:00:00"/>
    <s v="Yes"/>
    <s v="Yes"/>
    <x v="0"/>
    <m/>
    <m/>
  </r>
  <r>
    <x v="1"/>
    <s v="MUCSRTL055"/>
    <s v="Yes"/>
    <x v="0"/>
    <s v="PCIe"/>
    <s v="SN3219936"/>
    <s v="11.1.371 R4/4"/>
    <x v="0"/>
    <x v="0"/>
    <x v="15"/>
    <x v="5"/>
    <x v="1"/>
    <s v="No"/>
    <s v="No"/>
    <s v="No"/>
    <m/>
    <x v="181"/>
    <m/>
    <m/>
    <s v="491605106636"/>
    <n v="440152237253"/>
    <m/>
    <m/>
    <d v="2018-04-04T00:00:00"/>
    <s v="Yes"/>
    <s v="Yes"/>
    <x v="0"/>
    <m/>
    <m/>
  </r>
  <r>
    <x v="1"/>
    <s v="MUCSRTL056"/>
    <s v="Yes"/>
    <x v="4"/>
    <s v="PCIe"/>
    <s v="SN3219887"/>
    <s v="11.1.371 R10/1"/>
    <x v="0"/>
    <x v="0"/>
    <x v="15"/>
    <x v="5"/>
    <x v="0"/>
    <s v="No"/>
    <s v="No"/>
    <s v="No"/>
    <m/>
    <x v="156"/>
    <m/>
    <m/>
    <n v="4915114539175"/>
    <n v="440152217728"/>
    <m/>
    <m/>
    <d v="2018-04-04T00:00:00"/>
    <s v="Yes"/>
    <s v="Yes"/>
    <x v="0"/>
    <m/>
    <m/>
  </r>
  <r>
    <x v="1"/>
    <s v="MUCSRTL057"/>
    <s v="Yes"/>
    <x v="1"/>
    <s v="PCIe"/>
    <s v="SN3219830"/>
    <s v="11.1.371 R8/5"/>
    <x v="0"/>
    <x v="0"/>
    <x v="15"/>
    <x v="5"/>
    <x v="1"/>
    <s v="No"/>
    <s v="No"/>
    <s v="No"/>
    <m/>
    <x v="156"/>
    <m/>
    <m/>
    <n v="491754979604"/>
    <n v="440152237233"/>
    <m/>
    <m/>
    <d v="2018-04-09T00:00:00"/>
    <s v="Yes"/>
    <s v="Yes"/>
    <x v="0"/>
    <m/>
    <m/>
  </r>
  <r>
    <x v="1"/>
    <s v="MUCSRTL058"/>
    <s v="Yes"/>
    <x v="4"/>
    <s v="PCIe"/>
    <s v="SN3219960"/>
    <s v="11.1.371 R10/1"/>
    <x v="0"/>
    <x v="0"/>
    <x v="14"/>
    <x v="5"/>
    <x v="0"/>
    <s v="No"/>
    <s v="No"/>
    <s v="No"/>
    <m/>
    <x v="156"/>
    <m/>
    <m/>
    <n v="4917610563404"/>
    <n v="440152217718"/>
    <m/>
    <m/>
    <d v="2018-04-04T00:00:00"/>
    <s v="Yes"/>
    <s v="Yes"/>
    <x v="0"/>
    <m/>
    <m/>
  </r>
  <r>
    <x v="1"/>
    <s v="MUCSRTL064"/>
    <s v="Yes"/>
    <x v="0"/>
    <s v="PCIe"/>
    <s v="SN3219920"/>
    <s v="NBG"/>
    <x v="0"/>
    <x v="0"/>
    <x v="14"/>
    <x v="4"/>
    <x v="0"/>
    <s v="No"/>
    <s v="No"/>
    <s v="No"/>
    <m/>
    <x v="156"/>
    <m/>
    <m/>
    <n v="491723440046"/>
    <n v="440152219765"/>
    <m/>
    <m/>
    <d v="2018-04-04T00:00:00"/>
    <s v="Yes"/>
    <s v="Yes"/>
    <x v="0"/>
    <m/>
    <m/>
  </r>
  <r>
    <x v="1"/>
    <s v="MUCSRTL065"/>
    <s v="Yes"/>
    <x v="6"/>
    <s v="PCIe"/>
    <s v="SN3219954"/>
    <s v="11.1.371 R10/5"/>
    <x v="0"/>
    <x v="0"/>
    <x v="14"/>
    <x v="5"/>
    <x v="1"/>
    <s v="No"/>
    <s v="No"/>
    <s v="No"/>
    <m/>
    <x v="182"/>
    <m/>
    <m/>
    <s v="4915904280592"/>
    <n v="440152237247"/>
    <m/>
    <m/>
    <d v="2018-04-04T00:00:00"/>
    <s v="Yes"/>
    <s v="Yes"/>
    <x v="0"/>
    <m/>
    <m/>
  </r>
  <r>
    <x v="1"/>
    <s v="MUCSRTL066"/>
    <s v="Yes"/>
    <x v="4"/>
    <s v="PCIe"/>
    <s v="SN3219657"/>
    <s v="11.1.371 R10/5"/>
    <x v="0"/>
    <x v="0"/>
    <x v="14"/>
    <x v="4"/>
    <x v="0"/>
    <s v="No"/>
    <s v="No"/>
    <s v="No"/>
    <m/>
    <x v="156"/>
    <m/>
    <m/>
    <n v="4915904272980"/>
    <n v="440152219806"/>
    <m/>
    <m/>
    <d v="2018-04-04T00:00:00"/>
    <s v="Yes"/>
    <s v="Yes"/>
    <x v="0"/>
    <m/>
    <m/>
  </r>
  <r>
    <x v="1"/>
    <s v="MUCSRTL067"/>
    <s v="Yes"/>
    <x v="5"/>
    <s v="PCIe"/>
    <s v="SN3219565"/>
    <s v="11.1.371 R3/3"/>
    <x v="0"/>
    <x v="0"/>
    <x v="14"/>
    <x v="4"/>
    <x v="0"/>
    <s v="No"/>
    <s v="No"/>
    <s v="No"/>
    <m/>
    <x v="156"/>
    <m/>
    <m/>
    <n v="4917610057074"/>
    <n v="440152219814"/>
    <m/>
    <m/>
    <d v="2018-04-04T00:00:00"/>
    <s v="Yes"/>
    <s v="Yes"/>
    <x v="0"/>
    <m/>
    <m/>
  </r>
  <r>
    <x v="1"/>
    <s v="MUCSRTL068"/>
    <s v="Yes"/>
    <x v="0"/>
    <s v="PCIe"/>
    <s v="SN3120178"/>
    <s v="11.1.371 R1/4"/>
    <x v="0"/>
    <x v="0"/>
    <x v="14"/>
    <x v="4"/>
    <x v="1"/>
    <s v="No"/>
    <s v="No"/>
    <s v="No"/>
    <m/>
    <x v="183"/>
    <m/>
    <m/>
    <s v="4915904273019"/>
    <n v="440152238746"/>
    <m/>
    <m/>
    <d v="2018-04-04T00:00:00"/>
    <s v="Yes"/>
    <s v="Yes"/>
    <x v="0"/>
    <m/>
    <m/>
  </r>
  <r>
    <x v="1"/>
    <s v="MUCSRTL069"/>
    <s v="Yes"/>
    <x v="6"/>
    <s v="PCIe"/>
    <s v="SN3219913"/>
    <s v="11.1.371 R1/4"/>
    <x v="0"/>
    <x v="0"/>
    <x v="15"/>
    <x v="6"/>
    <x v="1"/>
    <s v="No"/>
    <s v="No"/>
    <s v="No"/>
    <m/>
    <x v="184"/>
    <m/>
    <m/>
    <s v="491724736869"/>
    <n v="440152237247"/>
    <m/>
    <m/>
    <d v="2018-04-04T00:00:00"/>
    <s v="Yes"/>
    <s v="Yes"/>
    <x v="0"/>
    <m/>
    <m/>
  </r>
  <r>
    <x v="1"/>
    <s v="MUCSRTL070"/>
    <s v="Yes"/>
    <x v="0"/>
    <s v="PCIe"/>
    <s v="SN3220329"/>
    <s v="11.1.371 HartR15/6"/>
    <x v="0"/>
    <x v="0"/>
    <x v="15"/>
    <x v="4"/>
    <x v="1"/>
    <s v="No"/>
    <s v="No"/>
    <s v="No"/>
    <m/>
    <x v="156"/>
    <m/>
    <m/>
    <n v="491605107062"/>
    <n v="440152237258"/>
    <m/>
    <m/>
    <d v="2018-04-04T00:00:00"/>
    <s v="Yes"/>
    <s v="Yes"/>
    <x v="0"/>
    <m/>
    <m/>
  </r>
  <r>
    <x v="1"/>
    <s v="MUCSRTL071"/>
    <s v="Yes"/>
    <x v="1"/>
    <s v="PCIe"/>
    <s v="SN3220149"/>
    <s v="11.1.268 ICER1/3"/>
    <x v="0"/>
    <x v="0"/>
    <x v="14"/>
    <x v="4"/>
    <x v="1"/>
    <s v="No"/>
    <s v="No"/>
    <s v="No"/>
    <m/>
    <x v="156"/>
    <m/>
    <m/>
    <n v="4915904285613"/>
    <n v="440152237249"/>
    <m/>
    <m/>
    <d v="2018-04-04T00:00:00"/>
    <s v="Yes"/>
    <s v="Yes"/>
    <x v="0"/>
    <m/>
    <m/>
  </r>
  <r>
    <x v="1"/>
    <s v="MUCSRTL072"/>
    <s v="Yes"/>
    <x v="3"/>
    <s v="PCIe"/>
    <s v="SN3219817"/>
    <s v="11.1.371 R4/1"/>
    <x v="0"/>
    <x v="0"/>
    <x v="14"/>
    <x v="5"/>
    <x v="1"/>
    <s v="No"/>
    <s v="No"/>
    <s v="No"/>
    <m/>
    <x v="185"/>
    <m/>
    <m/>
    <s v="4915904263210"/>
    <n v="440152237220"/>
    <m/>
    <m/>
    <d v="2018-04-04T00:00:00"/>
    <s v="Yes"/>
    <s v="Yes"/>
    <x v="0"/>
    <m/>
    <m/>
  </r>
  <r>
    <x v="1"/>
    <s v="MUCSRTL073"/>
    <s v="Yes"/>
    <x v="5"/>
    <s v="PCIe"/>
    <s v="SN3219818"/>
    <s v="11.1.268 R1/4"/>
    <x v="0"/>
    <x v="0"/>
    <x v="14"/>
    <x v="5"/>
    <x v="1"/>
    <s v="No"/>
    <s v="No"/>
    <s v="No"/>
    <m/>
    <x v="156"/>
    <m/>
    <m/>
    <n v="4915904272977"/>
    <n v="440152214081"/>
    <m/>
    <m/>
    <d v="2018-04-04T00:00:00"/>
    <s v="Yes"/>
    <s v="Yes"/>
    <x v="0"/>
    <m/>
    <m/>
  </r>
  <r>
    <x v="1"/>
    <s v="MUCSRTL074"/>
    <s v="Yes"/>
    <x v="0"/>
    <s v="PCIe"/>
    <s v="SN3219805"/>
    <s v="11.1.371 HartR15/6"/>
    <x v="0"/>
    <x v="0"/>
    <x v="14"/>
    <x v="4"/>
    <x v="1"/>
    <s v="No"/>
    <s v="No"/>
    <s v="No"/>
    <m/>
    <x v="156"/>
    <m/>
    <m/>
    <n v="4915904272975"/>
    <n v="440152237250"/>
    <m/>
    <m/>
    <d v="2018-04-04T00:00:00"/>
    <s v="Yes"/>
    <s v="Yes"/>
    <x v="0"/>
    <m/>
    <m/>
  </r>
  <r>
    <x v="1"/>
    <s v="MUCSRTL075"/>
    <s v="Yes"/>
    <x v="4"/>
    <s v="PCIe"/>
    <s v="SN3219973"/>
    <s v="11.1.371 R3/1"/>
    <x v="0"/>
    <x v="0"/>
    <x v="14"/>
    <x v="5"/>
    <x v="0"/>
    <s v="No"/>
    <s v="No"/>
    <s v="No"/>
    <m/>
    <x v="156"/>
    <m/>
    <m/>
    <n v="4915904273133"/>
    <n v="440152219752"/>
    <m/>
    <m/>
    <d v="2018-04-04T00:00:00"/>
    <s v="Yes"/>
    <s v="Yes"/>
    <x v="0"/>
    <m/>
    <m/>
  </r>
  <r>
    <x v="1"/>
    <s v="MUCSRTL076"/>
    <s v="Yes"/>
    <x v="1"/>
    <s v="PCIe"/>
    <s v="SN3220325"/>
    <s v="11.1.268 R2/1"/>
    <x v="0"/>
    <x v="0"/>
    <x v="14"/>
    <x v="4"/>
    <x v="1"/>
    <s v="No"/>
    <s v="No"/>
    <s v="No"/>
    <m/>
    <x v="186"/>
    <m/>
    <m/>
    <n v="4917610563402"/>
    <n v="440152219815"/>
    <m/>
    <m/>
    <d v="2018-04-04T00:00:00"/>
    <s v="Yes"/>
    <s v="Yes"/>
    <x v="0"/>
    <m/>
    <m/>
  </r>
  <r>
    <x v="1"/>
    <s v="MUCSRTL077"/>
    <s v="Yes"/>
    <x v="3"/>
    <s v="PCIe"/>
    <s v="SN3220294"/>
    <s v="11.1.268 Rack 9/3"/>
    <x v="1"/>
    <x v="0"/>
    <x v="15"/>
    <x v="5"/>
    <x v="8"/>
    <s v="No"/>
    <s v="No"/>
    <s v="4x"/>
    <s v="MUCSRTMAC130.imu.intel.com"/>
    <x v="178"/>
    <s v="C019DA08D052CBCFFFFFFFFF"/>
    <s v="C07826400QMX1R36"/>
    <n v="491604873107"/>
    <n v="440152245980"/>
    <m/>
    <m/>
    <d v="2018-04-09T00:00:00"/>
    <s v="Yes"/>
    <s v="Yes"/>
    <x v="0"/>
    <m/>
    <m/>
  </r>
  <r>
    <x v="1"/>
    <s v="MUCSRTL078"/>
    <s v="Yes"/>
    <x v="0"/>
    <s v="PCIe"/>
    <s v="SN3219965"/>
    <s v="11.1.268 R1/2"/>
    <x v="0"/>
    <x v="0"/>
    <x v="14"/>
    <x v="4"/>
    <x v="1"/>
    <s v="No"/>
    <s v="No"/>
    <s v="No"/>
    <m/>
    <x v="187"/>
    <m/>
    <m/>
    <s v="4917610506588"/>
    <n v="440152237365"/>
    <m/>
    <m/>
    <d v="2018-04-04T00:00:00"/>
    <s v="Yes"/>
    <s v="Yes"/>
    <x v="0"/>
    <m/>
    <m/>
  </r>
  <r>
    <x v="1"/>
    <s v="MUCSRTL079"/>
    <s v="Yes"/>
    <x v="1"/>
    <s v="PCIe"/>
    <s v="SN3220183"/>
    <s v="11.1.371 R3/3"/>
    <x v="0"/>
    <x v="0"/>
    <x v="14"/>
    <x v="4"/>
    <x v="1"/>
    <s v="No"/>
    <s v="No"/>
    <s v="No"/>
    <m/>
    <x v="156"/>
    <m/>
    <m/>
    <n v="4917610056921"/>
    <n v="440152237257"/>
    <m/>
    <m/>
    <d v="2018-04-09T00:00:00"/>
    <s v="Yes"/>
    <s v="Yes"/>
    <x v="0"/>
    <m/>
    <m/>
  </r>
  <r>
    <x v="1"/>
    <s v="MUCSRTL080"/>
    <s v="Yes"/>
    <x v="3"/>
    <s v="PCIe"/>
    <s v="SN3120176"/>
    <s v="11.1371 Rack 6/2"/>
    <x v="1"/>
    <x v="0"/>
    <x v="15"/>
    <x v="4"/>
    <x v="8"/>
    <s v="No"/>
    <s v="No"/>
    <s v="4x"/>
    <s v="MUCSRTMAC129.imu.intel.com"/>
    <x v="188"/>
    <s v="A070F37F3C27AE9CFFFFFFFF"/>
    <s v="C07826400T6X1R36"/>
    <n v="4916096925805"/>
    <n v="440152214471"/>
    <m/>
    <m/>
    <m/>
    <s v="Yes"/>
    <s v="Yes"/>
    <x v="0"/>
    <m/>
    <m/>
  </r>
  <r>
    <x v="1"/>
    <s v="MUCSRTL081"/>
    <s v="Yes"/>
    <x v="0"/>
    <s v="PCIe"/>
    <s v="SN3219985"/>
    <s v="11.1.268 R1/4"/>
    <x v="0"/>
    <x v="0"/>
    <x v="15"/>
    <x v="4"/>
    <x v="1"/>
    <s v="No"/>
    <s v="No"/>
    <s v="No"/>
    <m/>
    <x v="189"/>
    <m/>
    <m/>
    <s v="4915117968298"/>
    <n v="440152237229"/>
    <m/>
    <m/>
    <d v="2018-04-04T00:00:00"/>
    <s v="Yes"/>
    <s v="Yes"/>
    <x v="0"/>
    <m/>
    <m/>
  </r>
  <r>
    <x v="1"/>
    <s v="MUCSRTL098"/>
    <s v="Yes"/>
    <x v="1"/>
    <s v="PCIe"/>
    <s v="SN3220070"/>
    <s v="11.1.371 R8/2"/>
    <x v="0"/>
    <x v="0"/>
    <x v="15"/>
    <x v="4"/>
    <x v="1"/>
    <s v="No"/>
    <s v="No"/>
    <s v="No"/>
    <m/>
    <x v="156"/>
    <m/>
    <m/>
    <n v="491608473107"/>
    <n v="440152238945"/>
    <m/>
    <m/>
    <d v="2018-04-09T00:00:00"/>
    <s v="Yes"/>
    <s v="Yes"/>
    <x v="0"/>
    <m/>
    <m/>
  </r>
  <r>
    <x v="1"/>
    <s v="MUCSRTL099"/>
    <s v="Yes"/>
    <x v="1"/>
    <s v="PCIe"/>
    <s v="SN3220162 "/>
    <s v="11.1.371 R8/2"/>
    <x v="0"/>
    <x v="0"/>
    <x v="15"/>
    <x v="4"/>
    <x v="1"/>
    <s v="No"/>
    <s v="No"/>
    <s v="No"/>
    <m/>
    <x v="190"/>
    <m/>
    <m/>
    <n v="491608452963"/>
    <n v="440152238945"/>
    <m/>
    <m/>
    <d v="2018-04-04T00:00:00"/>
    <s v="Yes"/>
    <s v="Yes"/>
    <x v="0"/>
    <m/>
    <m/>
  </r>
  <r>
    <x v="1"/>
    <s v="MUCSRTL100"/>
    <s v="Yes"/>
    <x v="1"/>
    <s v="PCIe"/>
    <s v="SN3220246 "/>
    <s v="11.1.371 R6/1"/>
    <x v="0"/>
    <x v="0"/>
    <x v="15"/>
    <x v="4"/>
    <x v="1"/>
    <s v="No"/>
    <s v="No"/>
    <s v="No"/>
    <m/>
    <x v="156"/>
    <m/>
    <m/>
    <n v="491706818065"/>
    <n v="440152238956"/>
    <m/>
    <m/>
    <d v="2018-04-09T00:00:00"/>
    <s v="Yes"/>
    <s v="Yes"/>
    <x v="0"/>
    <m/>
    <m/>
  </r>
  <r>
    <x v="1"/>
    <s v="MUCSRTL101"/>
    <s v="Yes"/>
    <x v="1"/>
    <s v="PCIe"/>
    <s v="SN3299675 "/>
    <s v="11.1.371 R6/1"/>
    <x v="0"/>
    <x v="0"/>
    <x v="15"/>
    <x v="4"/>
    <x v="1"/>
    <s v="No"/>
    <s v="No"/>
    <s v="No"/>
    <m/>
    <x v="191"/>
    <m/>
    <m/>
    <n v="491608472773"/>
    <n v="440152238964"/>
    <m/>
    <m/>
    <d v="2018-04-04T00:00:00"/>
    <s v="Yes"/>
    <s v="Yes"/>
    <x v="0"/>
    <m/>
    <m/>
  </r>
  <r>
    <x v="1"/>
    <s v="MUCSRTL102"/>
    <s v="Yes"/>
    <x v="1"/>
    <s v="PCIe"/>
    <s v="SN3299464 "/>
    <s v="11.1.371 R9/1"/>
    <x v="0"/>
    <x v="0"/>
    <x v="15"/>
    <x v="4"/>
    <x v="1"/>
    <s v="No"/>
    <s v="No"/>
    <s v="No"/>
    <m/>
    <x v="156"/>
    <m/>
    <m/>
    <n v="491754337713"/>
    <n v="440152238745"/>
    <m/>
    <m/>
    <d v="2018-04-04T00:00:00"/>
    <s v="Yes"/>
    <s v="Yes"/>
    <x v="0"/>
    <m/>
    <m/>
  </r>
  <r>
    <x v="1"/>
    <s v="MUCSRTL103"/>
    <s v="Yes"/>
    <x v="2"/>
    <s v="PCIe"/>
    <s v="SN3299475 "/>
    <s v="11.1.371 R3/1"/>
    <x v="0"/>
    <x v="0"/>
    <x v="17"/>
    <x v="2"/>
    <x v="1"/>
    <s v="No"/>
    <s v="No"/>
    <s v="No"/>
    <m/>
    <x v="156"/>
    <m/>
    <m/>
    <n v="33662201571"/>
    <n v="440152238948"/>
    <m/>
    <m/>
    <d v="2018-04-04T00:00:00"/>
    <s v="Yes"/>
    <s v="Yes"/>
    <x v="0"/>
    <m/>
    <m/>
  </r>
  <r>
    <x v="1"/>
    <s v="MUCSRTL104"/>
    <s v="Yes"/>
    <x v="2"/>
    <s v="PCIe"/>
    <s v="SN3299430 "/>
    <s v="11.1.371 R3/4"/>
    <x v="0"/>
    <x v="0"/>
    <x v="17"/>
    <x v="2"/>
    <x v="1"/>
    <s v="No"/>
    <s v="No"/>
    <s v="No"/>
    <m/>
    <x v="156"/>
    <m/>
    <m/>
    <n v="33662201526"/>
    <n v="440152238947"/>
    <m/>
    <m/>
    <d v="2018-04-04T00:00:00"/>
    <s v="Yes"/>
    <s v="Yes"/>
    <x v="0"/>
    <m/>
    <m/>
  </r>
  <r>
    <x v="1"/>
    <s v="MUCSRTL136"/>
    <m/>
    <x v="2"/>
    <s v="PCIe"/>
    <s v="SN2510407"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SRTL137"/>
    <m/>
    <x v="2"/>
    <s v="PCIe"/>
    <s v="SN2510780"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SRTL138"/>
    <m/>
    <x v="2"/>
    <s v="PCIe"/>
    <s v="SN2510731"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SRTL139"/>
    <m/>
    <x v="2"/>
    <s v="PCIe"/>
    <s v="SN2510525"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SRTL140"/>
    <m/>
    <x v="2"/>
    <s v="PCIe"/>
    <s v="SN2250476"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SRTL141"/>
    <m/>
    <x v="2"/>
    <s v="PCIe"/>
    <s v="SN2510793"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SRTL142"/>
    <s v="No"/>
    <x v="2"/>
    <s v="PCIe"/>
    <s v="SN2511034"/>
    <m/>
    <x v="1"/>
    <x v="0"/>
    <x v="2"/>
    <x v="2"/>
    <x v="3"/>
    <m/>
    <m/>
    <m/>
    <m/>
    <x v="13"/>
    <m/>
    <m/>
    <m/>
    <m/>
    <m/>
    <m/>
    <m/>
    <s v="No"/>
    <s v="No"/>
    <x v="1"/>
    <m/>
    <m/>
  </r>
  <r>
    <x v="1"/>
    <s v="MUCSRTL131"/>
    <m/>
    <x v="2"/>
    <s v="PCIe"/>
    <s v="SN2794399"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3237N8D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4482XZS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2216H38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3237N7V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3186B5L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4482XZP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3242CVG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53028GY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3186B5J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4482Y04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3237N7Z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2216H2M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53028H7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4482XZJ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21653XL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4482XZZ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21653XQ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53028GR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3242CVJ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53028GL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2216H39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53028GV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ZC2216H3L"/>
    <m/>
    <x v="2"/>
    <s v="USB"/>
    <m/>
    <m/>
    <x v="4"/>
    <x v="0"/>
    <x v="2"/>
    <x v="2"/>
    <x v="3"/>
    <m/>
    <m/>
    <m/>
    <m/>
    <x v="13"/>
    <m/>
    <m/>
    <m/>
    <m/>
    <m/>
    <m/>
    <m/>
    <m/>
    <m/>
    <x v="2"/>
    <m/>
    <m/>
  </r>
  <r>
    <x v="1"/>
    <s v="MUCSRTL004 "/>
    <m/>
    <x v="2"/>
    <s v="PCIe"/>
    <s v="SN2511043"/>
    <m/>
    <x v="2"/>
    <x v="0"/>
    <x v="15"/>
    <x v="2"/>
    <x v="5"/>
    <s v="No"/>
    <s v="No"/>
    <s v="No"/>
    <m/>
    <x v="156"/>
    <m/>
    <m/>
    <m/>
    <m/>
    <m/>
    <m/>
    <d v="2018-04-05T00:00:00"/>
    <s v="Yes"/>
    <s v="Yes"/>
    <x v="0"/>
    <m/>
    <m/>
  </r>
  <r>
    <x v="1"/>
    <s v="MUCSRTL059"/>
    <m/>
    <x v="2"/>
    <s v="PCIe"/>
    <s v="SN3219824 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061"/>
    <m/>
    <x v="2"/>
    <s v="PCIe"/>
    <s v="SN3219872 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062"/>
    <m/>
    <x v="2"/>
    <s v="PCIe"/>
    <s v="SN3219885  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063"/>
    <m/>
    <x v="2"/>
    <s v="PCIe"/>
    <s v="SN3219829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082"/>
    <m/>
    <x v="2"/>
    <s v="PCIe"/>
    <s v="SN3219987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084"/>
    <m/>
    <x v="2"/>
    <s v="PCIe"/>
    <s v="SN3219881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085"/>
    <m/>
    <x v="2"/>
    <s v="PCIe"/>
    <s v="SN3299560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086"/>
    <m/>
    <x v="2"/>
    <s v="PCIe"/>
    <s v="SN3299505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087"/>
    <m/>
    <x v="2"/>
    <s v="PCIe"/>
    <s v="SN3299585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089"/>
    <m/>
    <x v="2"/>
    <s v="PCIe"/>
    <s v="SN3299760"/>
    <m/>
    <x v="2"/>
    <x v="0"/>
    <x v="15"/>
    <x v="2"/>
    <x v="6"/>
    <s v="No"/>
    <s v="No"/>
    <s v="No"/>
    <m/>
    <x v="163"/>
    <m/>
    <m/>
    <m/>
    <m/>
    <m/>
    <m/>
    <d v="2018-04-05T00:00:00"/>
    <s v="Yes"/>
    <s v="Yes"/>
    <x v="0"/>
    <m/>
    <m/>
  </r>
  <r>
    <x v="1"/>
    <s v="MUCSRTL105"/>
    <m/>
    <x v="2"/>
    <s v="PCIe"/>
    <s v="SN3299589"/>
    <m/>
    <x v="2"/>
    <x v="0"/>
    <x v="14"/>
    <x v="2"/>
    <x v="6"/>
    <s v="No"/>
    <s v="No"/>
    <s v="No"/>
    <m/>
    <x v="163"/>
    <m/>
    <m/>
    <m/>
    <m/>
    <m/>
    <m/>
    <d v="2018-04-05T00:00:00"/>
    <s v="Yes"/>
    <s v="Yes"/>
    <x v="0"/>
    <m/>
    <m/>
  </r>
  <r>
    <x v="1"/>
    <s v="MUCSRTL106"/>
    <m/>
    <x v="2"/>
    <s v="PCIe"/>
    <s v="SN3299798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07"/>
    <m/>
    <x v="2"/>
    <s v="PCIe"/>
    <s v="SN3299717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08"/>
    <m/>
    <x v="2"/>
    <s v="PCIe"/>
    <s v="SN3299693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09"/>
    <m/>
    <x v="2"/>
    <s v="PCIe"/>
    <s v="SN3299573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10"/>
    <m/>
    <x v="2"/>
    <s v="PCIe"/>
    <s v="SN3299579"/>
    <m/>
    <x v="2"/>
    <x v="0"/>
    <x v="14"/>
    <x v="2"/>
    <x v="6"/>
    <s v="No"/>
    <s v="No"/>
    <s v="No"/>
    <m/>
    <x v="163"/>
    <m/>
    <m/>
    <m/>
    <m/>
    <m/>
    <m/>
    <d v="2018-04-05T00:00:00"/>
    <s v="Yes"/>
    <s v="Yes"/>
    <x v="0"/>
    <m/>
    <m/>
  </r>
  <r>
    <x v="1"/>
    <s v="MUCSRTL111"/>
    <m/>
    <x v="2"/>
    <s v="PCIe"/>
    <s v="SN3299405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12"/>
    <m/>
    <x v="2"/>
    <s v="PCIe"/>
    <s v="SN3299677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13"/>
    <m/>
    <x v="2"/>
    <s v="PCIe"/>
    <s v="SN3299337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15"/>
    <m/>
    <x v="2"/>
    <s v="PCIe"/>
    <s v="SN2510976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16"/>
    <m/>
    <x v="2"/>
    <s v="PCIe"/>
    <s v="SN3299668"/>
    <m/>
    <x v="2"/>
    <x v="0"/>
    <x v="14"/>
    <x v="2"/>
    <x v="5"/>
    <s v="No"/>
    <s v="No"/>
    <s v="No"/>
    <m/>
    <x v="156"/>
    <m/>
    <m/>
    <m/>
    <m/>
    <m/>
    <m/>
    <d v="2018-04-05T00:00:00"/>
    <s v="Yes"/>
    <s v="Yes"/>
    <x v="0"/>
    <m/>
    <m/>
  </r>
  <r>
    <x v="1"/>
    <s v="MUCSRTL117"/>
    <m/>
    <x v="2"/>
    <s v="PCIe"/>
    <s v="SN3299392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18"/>
    <m/>
    <x v="2"/>
    <s v="PCIe"/>
    <s v="SN3299519"/>
    <m/>
    <x v="2"/>
    <x v="0"/>
    <x v="14"/>
    <x v="2"/>
    <x v="5"/>
    <s v="No"/>
    <s v="No"/>
    <s v="No"/>
    <m/>
    <x v="156"/>
    <m/>
    <m/>
    <m/>
    <m/>
    <m/>
    <m/>
    <d v="2018-04-05T00:00:00"/>
    <s v="Yes"/>
    <s v="Yes"/>
    <x v="0"/>
    <m/>
    <m/>
  </r>
  <r>
    <x v="1"/>
    <s v="MUCSRTL119"/>
    <m/>
    <x v="2"/>
    <s v="PCIe"/>
    <s v="SN3299678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20"/>
    <m/>
    <x v="2"/>
    <s v="PCIe"/>
    <s v="SN3299514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21"/>
    <m/>
    <x v="2"/>
    <s v="PCIe"/>
    <s v="SN3299414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22"/>
    <m/>
    <x v="2"/>
    <s v="PCIe"/>
    <s v="SN3299561"/>
    <m/>
    <x v="2"/>
    <x v="0"/>
    <x v="18"/>
    <x v="2"/>
    <x v="6"/>
    <s v="No"/>
    <s v="No"/>
    <s v="SUS"/>
    <m/>
    <x v="156"/>
    <m/>
    <m/>
    <m/>
    <m/>
    <m/>
    <m/>
    <d v="2018-04-05T00:00:00"/>
    <s v="Yes"/>
    <s v="Yes"/>
    <x v="0"/>
    <m/>
    <m/>
  </r>
  <r>
    <x v="1"/>
    <s v="MUCSRTL123"/>
    <m/>
    <x v="2"/>
    <s v="PCIe"/>
    <s v="SN3299510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24"/>
    <m/>
    <x v="2"/>
    <s v="PCIe"/>
    <s v="SN3299636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25"/>
    <m/>
    <x v="2"/>
    <s v="PCIe"/>
    <s v="SN3299440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32"/>
    <m/>
    <x v="2"/>
    <s v="PCIe"/>
    <s v="SN2388868"/>
    <m/>
    <x v="2"/>
    <x v="0"/>
    <x v="15"/>
    <x v="2"/>
    <x v="5"/>
    <s v="No"/>
    <s v="No"/>
    <s v="No"/>
    <m/>
    <x v="156"/>
    <m/>
    <m/>
    <m/>
    <m/>
    <m/>
    <m/>
    <d v="2018-04-05T00:00:00"/>
    <s v="Yes"/>
    <s v="Yes"/>
    <x v="0"/>
    <m/>
    <m/>
  </r>
  <r>
    <x v="1"/>
    <s v="MUCSRTL133"/>
    <m/>
    <x v="2"/>
    <s v="PCIe"/>
    <s v="SN2388888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34"/>
    <m/>
    <x v="2"/>
    <s v="PCIe"/>
    <s v="SN2388861"/>
    <m/>
    <x v="2"/>
    <x v="0"/>
    <x v="15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CSRTL135"/>
    <m/>
    <x v="2"/>
    <s v="PCIe"/>
    <s v="SN2388886"/>
    <m/>
    <x v="2"/>
    <x v="0"/>
    <x v="14"/>
    <x v="2"/>
    <x v="6"/>
    <s v="No"/>
    <s v="No"/>
    <s v="No"/>
    <m/>
    <x v="156"/>
    <m/>
    <m/>
    <m/>
    <m/>
    <m/>
    <m/>
    <d v="2018-04-05T00:00:00"/>
    <s v="Yes"/>
    <s v="Yes"/>
    <x v="0"/>
    <m/>
    <m/>
  </r>
  <r>
    <x v="1"/>
    <s v="MU000002388880"/>
    <m/>
    <x v="2"/>
    <s v="PCIe"/>
    <s v="MU000002388880"/>
    <s v="GBR"/>
    <x v="5"/>
    <x v="0"/>
    <x v="14"/>
    <x v="2"/>
    <x v="1"/>
    <s v="No"/>
    <s v="No"/>
    <s v="No"/>
    <m/>
    <x v="156"/>
    <m/>
    <m/>
    <n v="4915904263207"/>
    <n v="4999010640000"/>
    <m/>
    <m/>
    <d v="2018-04-06T00:00:00"/>
    <m/>
    <m/>
    <x v="2"/>
    <m/>
    <m/>
  </r>
  <r>
    <x v="1"/>
    <s v="MU000002388885"/>
    <m/>
    <x v="2"/>
    <s v="PCIe"/>
    <s v="MU000002388885"/>
    <s v="GBR"/>
    <x v="5"/>
    <x v="0"/>
    <x v="14"/>
    <x v="2"/>
    <x v="1"/>
    <s v="No"/>
    <s v="No"/>
    <s v="No"/>
    <m/>
    <x v="156"/>
    <m/>
    <m/>
    <n v="4917610506580"/>
    <n v="4999010640000"/>
    <m/>
    <m/>
    <d v="2018-04-06T00:00:00"/>
    <m/>
    <m/>
    <x v="2"/>
    <m/>
    <m/>
  </r>
  <r>
    <x v="1"/>
    <s v="MU000002388877"/>
    <m/>
    <x v="2"/>
    <s v="PCIe"/>
    <s v="MU000002388877"/>
    <s v="GBR"/>
    <x v="5"/>
    <x v="0"/>
    <x v="15"/>
    <x v="2"/>
    <x v="1"/>
    <s v="No"/>
    <s v="No"/>
    <s v="No"/>
    <m/>
    <x v="156"/>
    <m/>
    <m/>
    <n v="491608455796"/>
    <n v="4999010640000"/>
    <m/>
    <m/>
    <d v="2018-04-06T00:00:00"/>
    <m/>
    <m/>
    <x v="2"/>
    <m/>
    <m/>
  </r>
  <r>
    <x v="1"/>
    <s v="MU000002388931"/>
    <m/>
    <x v="2"/>
    <s v="PCIe"/>
    <s v="MU000002388931"/>
    <s v="GBR"/>
    <x v="5"/>
    <x v="0"/>
    <x v="15"/>
    <x v="2"/>
    <x v="1"/>
    <s v="No"/>
    <s v="No"/>
    <s v="No"/>
    <m/>
    <x v="156"/>
    <m/>
    <m/>
    <n v="491608442079"/>
    <n v="4999010640000"/>
    <m/>
    <m/>
    <d v="2018-04-06T00:00:00"/>
    <m/>
    <m/>
    <x v="2"/>
    <m/>
    <m/>
  </r>
  <r>
    <x v="1"/>
    <s v="MU000002388873"/>
    <m/>
    <x v="2"/>
    <s v="PCIe"/>
    <s v="MU000002388873"/>
    <s v="GBR"/>
    <x v="5"/>
    <x v="0"/>
    <x v="14"/>
    <x v="2"/>
    <x v="1"/>
    <s v="No"/>
    <s v="No"/>
    <s v="No"/>
    <m/>
    <x v="156"/>
    <m/>
    <m/>
    <n v="4915904263204"/>
    <n v="4999010640000"/>
    <m/>
    <m/>
    <d v="2018-04-06T00:00:00"/>
    <m/>
    <m/>
    <x v="2"/>
    <m/>
    <m/>
  </r>
  <r>
    <x v="1"/>
    <s v="MU000002388847"/>
    <m/>
    <x v="2"/>
    <s v="PCIe"/>
    <s v="MU000002388847"/>
    <s v="GBR"/>
    <x v="5"/>
    <x v="0"/>
    <x v="15"/>
    <x v="2"/>
    <x v="1"/>
    <s v="No"/>
    <s v="No"/>
    <s v="No"/>
    <m/>
    <x v="156"/>
    <m/>
    <m/>
    <m/>
    <n v="4999010640000"/>
    <m/>
    <m/>
    <d v="2018-04-06T00:00:00"/>
    <m/>
    <m/>
    <x v="2"/>
    <m/>
    <m/>
  </r>
  <r>
    <x v="1"/>
    <s v="MU000002388908"/>
    <m/>
    <x v="2"/>
    <s v="PCIe"/>
    <s v="MU000002388908"/>
    <s v="GBR"/>
    <x v="5"/>
    <x v="0"/>
    <x v="15"/>
    <x v="2"/>
    <x v="1"/>
    <s v="No"/>
    <s v="No"/>
    <s v="No"/>
    <m/>
    <x v="156"/>
    <m/>
    <m/>
    <n v="491706820352"/>
    <n v="4999010640000"/>
    <m/>
    <m/>
    <d v="2018-04-06T00:00:00"/>
    <m/>
    <m/>
    <x v="2"/>
    <m/>
    <m/>
  </r>
  <r>
    <x v="1"/>
    <s v="MUCSRTL015"/>
    <m/>
    <x v="2"/>
    <s v="PCIe"/>
    <s v="MUCSRTL015"/>
    <s v="ICE RACK 02"/>
    <x v="5"/>
    <x v="0"/>
    <x v="15"/>
    <x v="2"/>
    <x v="1"/>
    <s v="No"/>
    <s v="No"/>
    <s v="No"/>
    <m/>
    <x v="156"/>
    <m/>
    <m/>
    <n v="1608495226"/>
    <n v="440152048071"/>
    <m/>
    <m/>
    <d v="2018-04-06T00:00:00"/>
    <m/>
    <m/>
    <x v="2"/>
    <m/>
    <m/>
  </r>
  <r>
    <x v="1"/>
    <s v="MUCSRTL016"/>
    <m/>
    <x v="2"/>
    <s v="PCIe"/>
    <n v="2794239"/>
    <s v="ICE RACK 02"/>
    <x v="5"/>
    <x v="0"/>
    <x v="14"/>
    <x v="2"/>
    <x v="1"/>
    <s v="No"/>
    <s v="No"/>
    <s v="No"/>
    <m/>
    <x v="156"/>
    <m/>
    <m/>
    <n v="17610506589"/>
    <n v="440152047700"/>
    <m/>
    <m/>
    <d v="2018-04-06T00:00:00"/>
    <m/>
    <m/>
    <x v="2"/>
    <m/>
    <m/>
  </r>
  <r>
    <x v="2"/>
    <s v="SDSRTL026"/>
    <m/>
    <x v="2"/>
    <s v="PCIe"/>
    <n v="3220196"/>
    <m/>
    <x v="2"/>
    <x v="0"/>
    <x v="19"/>
    <x v="4"/>
    <x v="5"/>
    <s v="No"/>
    <s v="No"/>
    <m/>
    <m/>
    <x v="13"/>
    <m/>
    <m/>
    <m/>
    <m/>
    <m/>
    <m/>
    <m/>
    <s v="Yes"/>
    <s v="Yes"/>
    <x v="2"/>
    <m/>
    <m/>
  </r>
  <r>
    <x v="2"/>
    <s v="SDSRTL037"/>
    <m/>
    <x v="2"/>
    <s v="PCIe"/>
    <n v="3299768"/>
    <m/>
    <x v="2"/>
    <x v="0"/>
    <x v="19"/>
    <x v="4"/>
    <x v="5"/>
    <s v="No"/>
    <s v="No"/>
    <m/>
    <m/>
    <x v="13"/>
    <m/>
    <m/>
    <m/>
    <m/>
    <m/>
    <m/>
    <m/>
    <s v="Yes"/>
    <s v="Yes"/>
    <x v="2"/>
    <m/>
    <m/>
  </r>
  <r>
    <x v="2"/>
    <s v="SDSRTL048"/>
    <m/>
    <x v="2"/>
    <s v="PCIe"/>
    <n v="2510913"/>
    <m/>
    <x v="2"/>
    <x v="0"/>
    <x v="19"/>
    <x v="4"/>
    <x v="5"/>
    <s v="No"/>
    <s v="No"/>
    <m/>
    <m/>
    <x v="13"/>
    <m/>
    <m/>
    <m/>
    <m/>
    <m/>
    <m/>
    <m/>
    <s v="Yes"/>
    <s v="Yes"/>
    <x v="2"/>
    <m/>
    <m/>
  </r>
  <r>
    <x v="2"/>
    <s v="SDSRTL051"/>
    <m/>
    <x v="2"/>
    <s v="PCIe"/>
    <n v="3219975"/>
    <m/>
    <x v="2"/>
    <x v="0"/>
    <x v="20"/>
    <x v="4"/>
    <x v="5"/>
    <s v="No"/>
    <s v="No"/>
    <m/>
    <m/>
    <x v="13"/>
    <m/>
    <m/>
    <m/>
    <m/>
    <m/>
    <m/>
    <m/>
    <s v="Yes"/>
    <s v="Yes"/>
    <x v="2"/>
    <m/>
    <m/>
  </r>
  <r>
    <x v="2"/>
    <s v="SDSRTL055"/>
    <m/>
    <x v="2"/>
    <s v="PCIe"/>
    <n v="3299649"/>
    <m/>
    <x v="2"/>
    <x v="0"/>
    <x v="20"/>
    <x v="4"/>
    <x v="5"/>
    <s v="No"/>
    <s v="No"/>
    <m/>
    <m/>
    <x v="13"/>
    <m/>
    <m/>
    <m/>
    <m/>
    <m/>
    <m/>
    <m/>
    <s v="In progress"/>
    <s v="No"/>
    <x v="2"/>
    <m/>
    <m/>
  </r>
  <r>
    <x v="2"/>
    <s v="SDSRTL068"/>
    <m/>
    <x v="2"/>
    <s v="PCIe"/>
    <n v="3299426"/>
    <m/>
    <x v="2"/>
    <x v="0"/>
    <x v="21"/>
    <x v="5"/>
    <x v="5"/>
    <s v="No"/>
    <s v="No"/>
    <m/>
    <m/>
    <x v="13"/>
    <m/>
    <m/>
    <m/>
    <m/>
    <m/>
    <m/>
    <m/>
    <s v="Yes"/>
    <s v="Yes"/>
    <x v="2"/>
    <m/>
    <m/>
  </r>
  <r>
    <x v="2"/>
    <s v="SDSRTL066"/>
    <m/>
    <x v="2"/>
    <s v="PCIe"/>
    <n v="3299342"/>
    <m/>
    <x v="2"/>
    <x v="0"/>
    <x v="2"/>
    <x v="2"/>
    <x v="5"/>
    <s v="No"/>
    <s v="No"/>
    <m/>
    <m/>
    <x v="13"/>
    <m/>
    <m/>
    <m/>
    <m/>
    <m/>
    <m/>
    <m/>
    <s v="In progress"/>
    <s v="No"/>
    <x v="2"/>
    <m/>
    <m/>
  </r>
  <r>
    <x v="2"/>
    <s v="SDSRTL069"/>
    <m/>
    <x v="2"/>
    <s v="PCIe"/>
    <n v="3299461"/>
    <m/>
    <x v="2"/>
    <x v="0"/>
    <x v="19"/>
    <x v="4"/>
    <x v="5"/>
    <s v="No"/>
    <s v="No"/>
    <m/>
    <m/>
    <x v="13"/>
    <m/>
    <m/>
    <m/>
    <m/>
    <m/>
    <m/>
    <m/>
    <s v="Yes"/>
    <s v="Yes"/>
    <x v="2"/>
    <m/>
    <m/>
  </r>
  <r>
    <x v="2"/>
    <s v="SDSRTL067"/>
    <m/>
    <x v="2"/>
    <s v="PCIe"/>
    <n v="3299469"/>
    <m/>
    <x v="2"/>
    <x v="0"/>
    <x v="19"/>
    <x v="4"/>
    <x v="5"/>
    <s v="No"/>
    <s v="No"/>
    <m/>
    <m/>
    <x v="13"/>
    <m/>
    <m/>
    <m/>
    <m/>
    <m/>
    <m/>
    <m/>
    <s v="Yes"/>
    <s v="Yes"/>
    <x v="2"/>
    <m/>
    <m/>
  </r>
  <r>
    <x v="2"/>
    <s v="SDSRTL036"/>
    <m/>
    <x v="2"/>
    <s v="PCIe"/>
    <n v="3299603"/>
    <m/>
    <x v="2"/>
    <x v="0"/>
    <x v="20"/>
    <x v="4"/>
    <x v="5"/>
    <s v="No"/>
    <s v="No"/>
    <m/>
    <m/>
    <x v="13"/>
    <m/>
    <m/>
    <m/>
    <m/>
    <m/>
    <m/>
    <m/>
    <s v="Yes"/>
    <s v="Yes"/>
    <x v="2"/>
    <m/>
    <m/>
  </r>
  <r>
    <x v="2"/>
    <s v="SDSRTL038"/>
    <m/>
    <x v="2"/>
    <s v="PCIe"/>
    <n v="3299818"/>
    <m/>
    <x v="2"/>
    <x v="0"/>
    <x v="20"/>
    <x v="4"/>
    <x v="5"/>
    <s v="No"/>
    <s v="No"/>
    <m/>
    <m/>
    <x v="13"/>
    <m/>
    <m/>
    <m/>
    <m/>
    <m/>
    <m/>
    <m/>
    <s v="In progress"/>
    <s v="No"/>
    <x v="2"/>
    <m/>
    <m/>
  </r>
  <r>
    <x v="2"/>
    <s v="SDSRTL053"/>
    <m/>
    <x v="2"/>
    <s v="PCIe"/>
    <n v="3316764"/>
    <m/>
    <x v="2"/>
    <x v="0"/>
    <x v="20"/>
    <x v="4"/>
    <x v="5"/>
    <s v="No"/>
    <s v="No"/>
    <m/>
    <m/>
    <x v="13"/>
    <m/>
    <m/>
    <m/>
    <m/>
    <m/>
    <m/>
    <m/>
    <s v="Yes"/>
    <s v="Yes"/>
    <x v="2"/>
    <m/>
    <m/>
  </r>
  <r>
    <x v="2"/>
    <s v="SDSRTL039"/>
    <m/>
    <x v="2"/>
    <s v="PCIe"/>
    <n v="3220115"/>
    <m/>
    <x v="2"/>
    <x v="0"/>
    <x v="21"/>
    <x v="4"/>
    <x v="5"/>
    <s v="No"/>
    <s v="No"/>
    <m/>
    <m/>
    <x v="13"/>
    <m/>
    <m/>
    <m/>
    <m/>
    <m/>
    <m/>
    <m/>
    <s v="Yes"/>
    <s v="Yes"/>
    <x v="2"/>
    <m/>
    <m/>
  </r>
  <r>
    <x v="2"/>
    <s v="SDSRTL049"/>
    <m/>
    <x v="2"/>
    <s v="PCIe"/>
    <n v="3299713"/>
    <m/>
    <x v="2"/>
    <x v="0"/>
    <x v="21"/>
    <x v="4"/>
    <x v="5"/>
    <s v="No"/>
    <s v="No"/>
    <m/>
    <m/>
    <x v="13"/>
    <m/>
    <m/>
    <m/>
    <m/>
    <m/>
    <m/>
    <m/>
    <s v="Yes"/>
    <s v="Yes"/>
    <x v="2"/>
    <m/>
    <m/>
  </r>
  <r>
    <x v="2"/>
    <s v="SDSRTL065"/>
    <m/>
    <x v="2"/>
    <s v="PCIe"/>
    <n v="3299527"/>
    <m/>
    <x v="2"/>
    <x v="0"/>
    <x v="21"/>
    <x v="4"/>
    <x v="5"/>
    <s v="No"/>
    <s v="No"/>
    <m/>
    <m/>
    <x v="13"/>
    <m/>
    <m/>
    <m/>
    <m/>
    <m/>
    <m/>
    <m/>
    <s v="Yes"/>
    <s v="Yes"/>
    <x v="2"/>
    <m/>
    <m/>
  </r>
  <r>
    <x v="2"/>
    <s v="SDSRTL070"/>
    <m/>
    <x v="2"/>
    <s v="PCIe"/>
    <n v="3299582"/>
    <m/>
    <x v="2"/>
    <x v="0"/>
    <x v="19"/>
    <x v="4"/>
    <x v="5"/>
    <s v="No"/>
    <s v="No"/>
    <m/>
    <m/>
    <x v="13"/>
    <m/>
    <m/>
    <m/>
    <m/>
    <m/>
    <m/>
    <m/>
    <s v="Yes"/>
    <s v="Yes"/>
    <x v="2"/>
    <m/>
    <m/>
  </r>
  <r>
    <x v="2"/>
    <s v="SDSRTL020"/>
    <m/>
    <x v="2"/>
    <s v="PCIe"/>
    <n v="3219834"/>
    <m/>
    <x v="2"/>
    <x v="0"/>
    <x v="19"/>
    <x v="4"/>
    <x v="5"/>
    <s v="No"/>
    <s v="No"/>
    <m/>
    <m/>
    <x v="13"/>
    <m/>
    <m/>
    <m/>
    <m/>
    <m/>
    <m/>
    <m/>
    <s v="Yes"/>
    <s v="Yes"/>
    <x v="2"/>
    <m/>
    <m/>
  </r>
  <r>
    <x v="2"/>
    <s v="SDSRTL021"/>
    <m/>
    <x v="2"/>
    <s v="PCIe"/>
    <n v="3219902"/>
    <m/>
    <x v="2"/>
    <x v="0"/>
    <x v="19"/>
    <x v="4"/>
    <x v="5"/>
    <s v="No"/>
    <s v="No"/>
    <m/>
    <m/>
    <x v="13"/>
    <m/>
    <m/>
    <m/>
    <m/>
    <m/>
    <m/>
    <m/>
    <s v="Yes"/>
    <s v="Yes"/>
    <x v="2"/>
    <m/>
    <m/>
  </r>
  <r>
    <x v="2"/>
    <s v="SDSRTL052"/>
    <m/>
    <x v="2"/>
    <s v="PCIe"/>
    <n v="3299765"/>
    <m/>
    <x v="2"/>
    <x v="0"/>
    <x v="19"/>
    <x v="4"/>
    <x v="5"/>
    <s v="No"/>
    <s v="No"/>
    <m/>
    <m/>
    <x v="13"/>
    <m/>
    <m/>
    <m/>
    <m/>
    <m/>
    <m/>
    <m/>
    <s v="Yes"/>
    <s v="Yes"/>
    <x v="2"/>
    <m/>
    <m/>
  </r>
  <r>
    <x v="2"/>
    <s v="SDSRTL027"/>
    <m/>
    <x v="2"/>
    <s v="PCIe"/>
    <n v="3220083"/>
    <m/>
    <x v="2"/>
    <x v="0"/>
    <x v="20"/>
    <x v="5"/>
    <x v="5"/>
    <s v="No"/>
    <s v="No"/>
    <m/>
    <m/>
    <x v="13"/>
    <m/>
    <m/>
    <m/>
    <m/>
    <m/>
    <m/>
    <m/>
    <s v="Yes"/>
    <s v="Yes"/>
    <x v="2"/>
    <m/>
    <m/>
  </r>
  <r>
    <x v="2"/>
    <s v="SDSRTL028"/>
    <m/>
    <x v="2"/>
    <s v="PCIe"/>
    <n v="3220110"/>
    <m/>
    <x v="2"/>
    <x v="0"/>
    <x v="20"/>
    <x v="4"/>
    <x v="5"/>
    <s v="No"/>
    <s v="No"/>
    <m/>
    <m/>
    <x v="13"/>
    <m/>
    <m/>
    <m/>
    <m/>
    <m/>
    <m/>
    <m/>
    <s v="Yes"/>
    <s v="Yes"/>
    <x v="2"/>
    <m/>
    <m/>
  </r>
  <r>
    <x v="2"/>
    <s v="SDSRTL050"/>
    <m/>
    <x v="2"/>
    <s v="PCIe"/>
    <n v="3299614"/>
    <m/>
    <x v="2"/>
    <x v="0"/>
    <x v="20"/>
    <x v="4"/>
    <x v="5"/>
    <s v="No"/>
    <s v="No"/>
    <m/>
    <m/>
    <x v="13"/>
    <m/>
    <m/>
    <m/>
    <m/>
    <m/>
    <m/>
    <m/>
    <s v="Yes"/>
    <s v="Yes"/>
    <x v="2"/>
    <m/>
    <m/>
  </r>
  <r>
    <x v="2"/>
    <s v="SDSRTL054"/>
    <m/>
    <x v="2"/>
    <s v="PCIe"/>
    <n v="3299569"/>
    <m/>
    <x v="2"/>
    <x v="0"/>
    <x v="20"/>
    <x v="5"/>
    <x v="5"/>
    <s v="No"/>
    <s v="No"/>
    <m/>
    <m/>
    <x v="13"/>
    <m/>
    <m/>
    <m/>
    <m/>
    <m/>
    <m/>
    <m/>
    <s v="Yes"/>
    <s v="Yes"/>
    <x v="2"/>
    <m/>
    <m/>
  </r>
  <r>
    <x v="2"/>
    <s v="SDSRTL057"/>
    <m/>
    <x v="2"/>
    <s v="PCIe"/>
    <n v="3299443"/>
    <m/>
    <x v="2"/>
    <x v="0"/>
    <x v="20"/>
    <x v="5"/>
    <x v="5"/>
    <s v="No"/>
    <s v="No"/>
    <m/>
    <m/>
    <x v="13"/>
    <m/>
    <m/>
    <m/>
    <m/>
    <m/>
    <m/>
    <m/>
    <s v="Yes"/>
    <s v="Yes"/>
    <x v="2"/>
    <m/>
    <m/>
  </r>
  <r>
    <x v="2"/>
    <s v="SDSRTL040"/>
    <m/>
    <x v="2"/>
    <s v="PCIe"/>
    <n v="3299597"/>
    <m/>
    <x v="2"/>
    <x v="0"/>
    <x v="21"/>
    <x v="5"/>
    <x v="5"/>
    <s v="No"/>
    <s v="No"/>
    <m/>
    <m/>
    <x v="13"/>
    <m/>
    <m/>
    <m/>
    <m/>
    <m/>
    <m/>
    <m/>
    <s v="Yes"/>
    <s v="Yes"/>
    <x v="2"/>
    <m/>
    <m/>
  </r>
  <r>
    <x v="2"/>
    <s v="SDSRTL041"/>
    <m/>
    <x v="2"/>
    <s v="PCIe"/>
    <n v="3299821"/>
    <m/>
    <x v="2"/>
    <x v="0"/>
    <x v="21"/>
    <x v="4"/>
    <x v="5"/>
    <s v="No"/>
    <s v="No"/>
    <m/>
    <m/>
    <x v="13"/>
    <m/>
    <m/>
    <m/>
    <m/>
    <m/>
    <m/>
    <m/>
    <s v="Yes"/>
    <s v="Yes"/>
    <x v="2"/>
    <m/>
    <m/>
  </r>
  <r>
    <x v="2"/>
    <s v="SDSRTL042"/>
    <m/>
    <x v="2"/>
    <s v="PCIe"/>
    <n v="3299703"/>
    <m/>
    <x v="2"/>
    <x v="0"/>
    <x v="21"/>
    <x v="4"/>
    <x v="5"/>
    <s v="No"/>
    <s v="No"/>
    <m/>
    <m/>
    <x v="13"/>
    <m/>
    <m/>
    <m/>
    <m/>
    <m/>
    <m/>
    <m/>
    <s v="Yes"/>
    <s v="Yes"/>
    <x v="2"/>
    <m/>
    <m/>
  </r>
  <r>
    <x v="2"/>
    <s v="SDSRTL043"/>
    <m/>
    <x v="2"/>
    <s v="PCIe"/>
    <n v="3299382"/>
    <m/>
    <x v="2"/>
    <x v="0"/>
    <x v="21"/>
    <x v="4"/>
    <x v="5"/>
    <s v="No"/>
    <s v="No"/>
    <m/>
    <m/>
    <x v="13"/>
    <m/>
    <m/>
    <m/>
    <m/>
    <m/>
    <m/>
    <m/>
    <s v="Yes"/>
    <s v="Yes"/>
    <x v="2"/>
    <m/>
    <m/>
  </r>
  <r>
    <x v="2"/>
    <s v="SDSRTL056"/>
    <m/>
    <x v="2"/>
    <s v="PCIe"/>
    <n v="3299611"/>
    <m/>
    <x v="2"/>
    <x v="0"/>
    <x v="21"/>
    <x v="4"/>
    <x v="5"/>
    <s v="No"/>
    <s v="No"/>
    <m/>
    <m/>
    <x v="13"/>
    <m/>
    <m/>
    <m/>
    <m/>
    <m/>
    <m/>
    <m/>
    <s v="Yes"/>
    <s v="Yes"/>
    <x v="2"/>
    <m/>
    <m/>
  </r>
  <r>
    <x v="2"/>
    <s v="SDSRTL058"/>
    <m/>
    <x v="2"/>
    <s v="PCIe"/>
    <n v="3299432"/>
    <m/>
    <x v="2"/>
    <x v="0"/>
    <x v="21"/>
    <x v="4"/>
    <x v="5"/>
    <s v="No"/>
    <s v="No"/>
    <m/>
    <m/>
    <x v="13"/>
    <m/>
    <m/>
    <m/>
    <m/>
    <m/>
    <m/>
    <m/>
    <s v="Yes"/>
    <s v="Yes"/>
    <x v="2"/>
    <m/>
    <m/>
  </r>
  <r>
    <x v="2"/>
    <s v="SDSRTL081"/>
    <m/>
    <x v="2"/>
    <s v="PCIe"/>
    <n v="3516418"/>
    <m/>
    <x v="2"/>
    <x v="0"/>
    <x v="19"/>
    <x v="4"/>
    <x v="5"/>
    <s v="No"/>
    <s v="No"/>
    <m/>
    <m/>
    <x v="13"/>
    <m/>
    <m/>
    <m/>
    <m/>
    <m/>
    <m/>
    <m/>
    <s v="Yes"/>
    <s v="Yes"/>
    <x v="2"/>
    <m/>
    <m/>
  </r>
  <r>
    <x v="2"/>
    <s v="SDSRTL082"/>
    <m/>
    <x v="2"/>
    <s v="PCIe"/>
    <n v="3516433"/>
    <m/>
    <x v="2"/>
    <x v="0"/>
    <x v="20"/>
    <x v="4"/>
    <x v="5"/>
    <s v="No"/>
    <s v="No"/>
    <m/>
    <m/>
    <x v="13"/>
    <m/>
    <m/>
    <m/>
    <m/>
    <m/>
    <m/>
    <m/>
    <s v="Yes"/>
    <s v="Yes"/>
    <x v="2"/>
    <m/>
    <m/>
  </r>
  <r>
    <x v="2"/>
    <s v="SDSRTL006"/>
    <s v="Yes"/>
    <x v="7"/>
    <s v="PCIe"/>
    <n v="2511046"/>
    <m/>
    <x v="0"/>
    <x v="0"/>
    <x v="20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08"/>
    <s v="Yes"/>
    <x v="7"/>
    <s v="PCIe"/>
    <n v="2510990"/>
    <m/>
    <x v="0"/>
    <x v="0"/>
    <x v="20"/>
    <x v="4"/>
    <x v="1"/>
    <s v="No"/>
    <s v="No"/>
    <s v="4x"/>
    <m/>
    <x v="13"/>
    <m/>
    <m/>
    <m/>
    <m/>
    <m/>
    <m/>
    <m/>
    <s v="Yes"/>
    <s v="Yes"/>
    <x v="0"/>
    <m/>
    <m/>
  </r>
  <r>
    <x v="2"/>
    <s v="SDSRTL009"/>
    <s v="Yes"/>
    <x v="1"/>
    <s v="PCIe"/>
    <n v="2510450"/>
    <m/>
    <x v="0"/>
    <x v="0"/>
    <x v="21"/>
    <x v="4"/>
    <x v="9"/>
    <s v="No"/>
    <s v="No"/>
    <s v="No"/>
    <m/>
    <x v="13"/>
    <m/>
    <m/>
    <m/>
    <m/>
    <m/>
    <m/>
    <m/>
    <s v="Yes"/>
    <s v="Yes"/>
    <x v="0"/>
    <m/>
    <m/>
  </r>
  <r>
    <x v="2"/>
    <s v="SDSRTL010"/>
    <s v="Yes"/>
    <x v="6"/>
    <s v="PCIe"/>
    <n v="2510464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11"/>
    <s v="Yes"/>
    <x v="8"/>
    <s v="PCIe"/>
    <n v="3219923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12"/>
    <s v="Yes"/>
    <x v="6"/>
    <s v="PCIe"/>
    <n v="3219935"/>
    <m/>
    <x v="0"/>
    <x v="0"/>
    <x v="20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13"/>
    <s v="Yes"/>
    <x v="4"/>
    <s v="PCIe"/>
    <n v="3219988"/>
    <m/>
    <x v="0"/>
    <x v="0"/>
    <x v="21"/>
    <x v="4"/>
    <x v="1"/>
    <s v="No"/>
    <s v="No"/>
    <s v="4x"/>
    <m/>
    <x v="13"/>
    <m/>
    <m/>
    <m/>
    <m/>
    <m/>
    <m/>
    <m/>
    <s v="Yes"/>
    <s v="Yes"/>
    <x v="0"/>
    <m/>
    <m/>
  </r>
  <r>
    <x v="2"/>
    <s v="SDSRTL014"/>
    <s v="Yes"/>
    <x v="6"/>
    <s v="PCIe"/>
    <n v="3219860"/>
    <m/>
    <x v="0"/>
    <x v="0"/>
    <x v="21"/>
    <x v="4"/>
    <x v="1"/>
    <s v="No"/>
    <s v="No"/>
    <s v="4x"/>
    <m/>
    <x v="13"/>
    <m/>
    <m/>
    <m/>
    <m/>
    <m/>
    <m/>
    <m/>
    <s v="Yes"/>
    <s v="Yes"/>
    <x v="0"/>
    <m/>
    <m/>
  </r>
  <r>
    <x v="2"/>
    <s v="SDSRTL016"/>
    <s v="Yes"/>
    <x v="6"/>
    <s v="PCIe"/>
    <n v="3219878"/>
    <m/>
    <x v="0"/>
    <x v="0"/>
    <x v="20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17"/>
    <s v="Yes"/>
    <x v="8"/>
    <s v="PCIe"/>
    <n v="3220046"/>
    <m/>
    <x v="0"/>
    <x v="0"/>
    <x v="21"/>
    <x v="6"/>
    <x v="1"/>
    <s v="No"/>
    <s v="No"/>
    <s v="No"/>
    <m/>
    <x v="13"/>
    <m/>
    <m/>
    <m/>
    <m/>
    <m/>
    <m/>
    <m/>
    <s v="Yes"/>
    <s v="Yes"/>
    <x v="0"/>
    <m/>
    <m/>
  </r>
  <r>
    <x v="2"/>
    <s v="SDSRTL018"/>
    <s v="Yes"/>
    <x v="1"/>
    <s v="PCIe"/>
    <n v="3220059"/>
    <m/>
    <x v="0"/>
    <x v="0"/>
    <x v="21"/>
    <x v="4"/>
    <x v="9"/>
    <s v="No"/>
    <s v="No"/>
    <s v="No"/>
    <m/>
    <x v="13"/>
    <m/>
    <m/>
    <m/>
    <m/>
    <m/>
    <m/>
    <m/>
    <s v="Yes"/>
    <s v="Yes"/>
    <x v="0"/>
    <m/>
    <m/>
  </r>
  <r>
    <x v="2"/>
    <s v="SDSRTL019"/>
    <s v="Yes"/>
    <x v="6"/>
    <s v="PCIe"/>
    <n v="3219884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022"/>
    <s v="Yes"/>
    <x v="4"/>
    <s v="PCIe"/>
    <n v="3219970"/>
    <m/>
    <x v="0"/>
    <x v="0"/>
    <x v="21"/>
    <x v="4"/>
    <x v="1"/>
    <s v="No"/>
    <s v="No"/>
    <s v="4x"/>
    <m/>
    <x v="13"/>
    <m/>
    <m/>
    <m/>
    <m/>
    <m/>
    <m/>
    <m/>
    <s v="Yes"/>
    <s v="Yes"/>
    <x v="0"/>
    <m/>
    <m/>
  </r>
  <r>
    <x v="2"/>
    <s v="SDSRTL023"/>
    <s v="Yes"/>
    <x v="1"/>
    <s v="PCIe"/>
    <n v="3219891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24"/>
    <s v="Yes"/>
    <x v="6"/>
    <s v="PCIe"/>
    <n v="3219919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025"/>
    <s v="Yes"/>
    <x v="4"/>
    <s v="PCIe"/>
    <n v="3219938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29"/>
    <s v="Yes"/>
    <x v="4"/>
    <s v="PCIe"/>
    <n v="3220093"/>
    <m/>
    <x v="0"/>
    <x v="0"/>
    <x v="21"/>
    <x v="4"/>
    <x v="1"/>
    <s v="No"/>
    <s v="No"/>
    <s v="4x"/>
    <m/>
    <x v="13"/>
    <m/>
    <m/>
    <m/>
    <m/>
    <m/>
    <m/>
    <m/>
    <s v="Yes"/>
    <s v="Yes"/>
    <x v="0"/>
    <m/>
    <m/>
  </r>
  <r>
    <x v="2"/>
    <s v="SDSRTL031"/>
    <s v="Yes"/>
    <x v="6"/>
    <s v="PCIe"/>
    <n v="3220292"/>
    <m/>
    <x v="0"/>
    <x v="0"/>
    <x v="21"/>
    <x v="6"/>
    <x v="1"/>
    <s v="No"/>
    <s v="No"/>
    <s v="No"/>
    <m/>
    <x v="13"/>
    <m/>
    <m/>
    <m/>
    <m/>
    <m/>
    <m/>
    <m/>
    <s v="Yes"/>
    <s v="Yes"/>
    <x v="0"/>
    <m/>
    <m/>
  </r>
  <r>
    <x v="2"/>
    <s v="SDSRTL032"/>
    <s v="Yes"/>
    <x v="8"/>
    <s v="PCIe"/>
    <n v="3220092"/>
    <m/>
    <x v="0"/>
    <x v="0"/>
    <x v="20"/>
    <x v="5"/>
    <x v="1"/>
    <s v="No"/>
    <s v="No"/>
    <s v="No"/>
    <m/>
    <x v="13"/>
    <m/>
    <m/>
    <m/>
    <m/>
    <m/>
    <m/>
    <m/>
    <s v="Yes"/>
    <s v="Yes"/>
    <x v="0"/>
    <m/>
    <m/>
  </r>
  <r>
    <x v="2"/>
    <s v="SDSRTL033"/>
    <s v="Yes"/>
    <x v="6"/>
    <s v="PCIe"/>
    <n v="3220178"/>
    <m/>
    <x v="0"/>
    <x v="0"/>
    <x v="20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34"/>
    <s v="Yes"/>
    <x v="8"/>
    <s v="PCIe"/>
    <n v="3220085"/>
    <m/>
    <x v="0"/>
    <x v="0"/>
    <x v="20"/>
    <x v="5"/>
    <x v="1"/>
    <s v="No"/>
    <s v="No"/>
    <s v="No"/>
    <m/>
    <x v="13"/>
    <m/>
    <m/>
    <m/>
    <m/>
    <m/>
    <m/>
    <m/>
    <s v="Yes"/>
    <s v="Yes"/>
    <x v="0"/>
    <m/>
    <m/>
  </r>
  <r>
    <x v="2"/>
    <s v="SDSRTL035"/>
    <s v="Yes"/>
    <x v="4"/>
    <s v="PCIe"/>
    <n v="3299726"/>
    <m/>
    <x v="0"/>
    <x v="0"/>
    <x v="21"/>
    <x v="5"/>
    <x v="1"/>
    <s v="No"/>
    <s v="No"/>
    <s v="No"/>
    <m/>
    <x v="13"/>
    <m/>
    <m/>
    <m/>
    <m/>
    <m/>
    <m/>
    <m/>
    <s v="Yes"/>
    <s v="Yes"/>
    <x v="0"/>
    <m/>
    <m/>
  </r>
  <r>
    <x v="2"/>
    <s v="SDSRTL044"/>
    <s v="Yes"/>
    <x v="1"/>
    <s v="PCIe"/>
    <n v="3299340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45"/>
    <s v="Yes"/>
    <x v="4"/>
    <s v="PCIe"/>
    <n v="3299437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46"/>
    <s v="Yes"/>
    <x v="6"/>
    <s v="PCIe"/>
    <n v="3299802"/>
    <m/>
    <x v="0"/>
    <x v="0"/>
    <x v="21"/>
    <x v="6"/>
    <x v="1"/>
    <s v="No"/>
    <s v="No"/>
    <s v="No"/>
    <m/>
    <x v="13"/>
    <m/>
    <m/>
    <m/>
    <m/>
    <m/>
    <m/>
    <m/>
    <s v="Yes"/>
    <s v="Yes"/>
    <x v="0"/>
    <m/>
    <m/>
  </r>
  <r>
    <x v="2"/>
    <s v="SDSRTL047"/>
    <s v="Yes"/>
    <x v="7"/>
    <s v="PCIe"/>
    <n v="3299676"/>
    <m/>
    <x v="0"/>
    <x v="0"/>
    <x v="21"/>
    <x v="6"/>
    <x v="1"/>
    <s v="No"/>
    <s v="No"/>
    <s v="No"/>
    <m/>
    <x v="13"/>
    <m/>
    <m/>
    <m/>
    <m/>
    <m/>
    <m/>
    <m/>
    <s v="Yes"/>
    <s v="Yes"/>
    <x v="0"/>
    <m/>
    <m/>
  </r>
  <r>
    <x v="2"/>
    <s v="SDSRTL060"/>
    <s v="Yes"/>
    <x v="7"/>
    <s v="PCIe"/>
    <n v="3299759"/>
    <m/>
    <x v="0"/>
    <x v="0"/>
    <x v="20"/>
    <x v="5"/>
    <x v="1"/>
    <s v="No"/>
    <s v="No"/>
    <s v="No"/>
    <m/>
    <x v="13"/>
    <m/>
    <m/>
    <m/>
    <m/>
    <m/>
    <m/>
    <m/>
    <s v="Yes"/>
    <s v="Yes"/>
    <x v="0"/>
    <m/>
    <m/>
  </r>
  <r>
    <x v="2"/>
    <s v="SDSRTL061"/>
    <s v="Yes"/>
    <x v="6"/>
    <s v="PCIe"/>
    <n v="3299653"/>
    <m/>
    <x v="0"/>
    <x v="0"/>
    <x v="20"/>
    <x v="5"/>
    <x v="1"/>
    <s v="No"/>
    <s v="No"/>
    <s v="No"/>
    <m/>
    <x v="13"/>
    <m/>
    <m/>
    <m/>
    <m/>
    <m/>
    <m/>
    <m/>
    <s v="Yes"/>
    <s v="Yes"/>
    <x v="0"/>
    <m/>
    <m/>
  </r>
  <r>
    <x v="2"/>
    <s v="SDSRTL062"/>
    <s v="Yes"/>
    <x v="7"/>
    <s v="PCIe"/>
    <n v="3299409"/>
    <m/>
    <x v="0"/>
    <x v="0"/>
    <x v="22"/>
    <x v="14"/>
    <x v="1"/>
    <s v="No"/>
    <s v="Yes"/>
    <s v="4x"/>
    <m/>
    <x v="13"/>
    <m/>
    <m/>
    <m/>
    <m/>
    <m/>
    <m/>
    <m/>
    <s v="Yes"/>
    <s v="Yes"/>
    <x v="0"/>
    <m/>
    <m/>
  </r>
  <r>
    <x v="2"/>
    <s v="SDSRTL064"/>
    <s v="Yes"/>
    <x v="4"/>
    <s v="PCIe"/>
    <n v="3299634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075"/>
    <s v="Yes"/>
    <x v="6"/>
    <s v="PCIe"/>
    <n v="3299563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077"/>
    <s v="Yes"/>
    <x v="6"/>
    <s v="PCIe"/>
    <n v="3299785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078"/>
    <s v="Yes"/>
    <x v="6"/>
    <s v="PCIe"/>
    <n v="2510795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079"/>
    <s v="Yes"/>
    <x v="6"/>
    <s v="PCIe"/>
    <n v="3299831"/>
    <m/>
    <x v="0"/>
    <x v="0"/>
    <x v="19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080"/>
    <s v="Yes"/>
    <x v="8"/>
    <s v="PCIe"/>
    <n v="3299452"/>
    <m/>
    <x v="0"/>
    <x v="0"/>
    <x v="19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083"/>
    <s v="Yes"/>
    <x v="1"/>
    <s v="PCIe"/>
    <n v="3516395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084"/>
    <s v="Yes"/>
    <x v="8"/>
    <s v="PCIe"/>
    <n v="3219839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085"/>
    <s v="Yes"/>
    <x v="6"/>
    <s v="PCIe"/>
    <n v="3219874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086"/>
    <s v="Yes"/>
    <x v="8"/>
    <s v="PCIe"/>
    <n v="3219972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087"/>
    <s v="Yes"/>
    <x v="8"/>
    <s v="PCIe"/>
    <n v="2794293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088"/>
    <s v="Yes"/>
    <x v="1"/>
    <s v="PCIe"/>
    <n v="3516408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089"/>
    <s v="Yes"/>
    <x v="6"/>
    <s v="PCIe"/>
    <n v="3516368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090"/>
    <s v="Yes"/>
    <x v="4"/>
    <s v="PCIe"/>
    <n v="3516385"/>
    <m/>
    <x v="0"/>
    <x v="0"/>
    <x v="22"/>
    <x v="14"/>
    <x v="1"/>
    <s v="No"/>
    <s v="Yes"/>
    <s v="4x"/>
    <m/>
    <x v="13"/>
    <m/>
    <m/>
    <m/>
    <m/>
    <m/>
    <m/>
    <m/>
    <s v="Yes"/>
    <s v="Yes"/>
    <x v="0"/>
    <m/>
    <m/>
  </r>
  <r>
    <x v="2"/>
    <s v="SDSRTL091"/>
    <s v="Yes"/>
    <x v="9"/>
    <s v="PCIe"/>
    <n v="3516388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092"/>
    <s v="Yes"/>
    <x v="4"/>
    <s v="PCIe"/>
    <n v="3516434"/>
    <m/>
    <x v="0"/>
    <x v="0"/>
    <x v="22"/>
    <x v="14"/>
    <x v="1"/>
    <s v="No"/>
    <s v="Yes"/>
    <s v="4x"/>
    <m/>
    <x v="13"/>
    <m/>
    <m/>
    <m/>
    <m/>
    <m/>
    <m/>
    <m/>
    <s v="Yes"/>
    <s v="Yes"/>
    <x v="0"/>
    <m/>
    <m/>
  </r>
  <r>
    <x v="2"/>
    <s v="SDSRTL093"/>
    <s v="Yes"/>
    <x v="9"/>
    <s v="PCIe"/>
    <n v="3516431"/>
    <m/>
    <x v="0"/>
    <x v="0"/>
    <x v="22"/>
    <x v="13"/>
    <x v="1"/>
    <s v="No"/>
    <s v="Yes"/>
    <s v="4x"/>
    <m/>
    <x v="13"/>
    <m/>
    <m/>
    <m/>
    <m/>
    <m/>
    <m/>
    <m/>
    <s v="Yes"/>
    <s v="Yes"/>
    <x v="1"/>
    <s v="Debug Needed"/>
    <s v="Will fix asap /Shehryar 02/24"/>
  </r>
  <r>
    <x v="2"/>
    <s v="SDSRTL094"/>
    <s v="Yes"/>
    <x v="1"/>
    <s v="PCIe"/>
    <n v="3516369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104"/>
    <s v="Yes"/>
    <x v="1"/>
    <s v="PCIe"/>
    <n v="2510760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105"/>
    <s v="Yes"/>
    <x v="1"/>
    <s v="PCIe"/>
    <n v="2511064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106"/>
    <s v="Yes"/>
    <x v="9"/>
    <s v="PCIe"/>
    <n v="2510972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107"/>
    <s v="Yes"/>
    <x v="1"/>
    <s v="PCIe"/>
    <n v="2510460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108"/>
    <s v="Yes"/>
    <x v="7"/>
    <s v="PCIe"/>
    <n v="2250508"/>
    <m/>
    <x v="0"/>
    <x v="0"/>
    <x v="19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109"/>
    <s v="Yes"/>
    <x v="8"/>
    <s v="PCIe"/>
    <n v="2511000"/>
    <m/>
    <x v="0"/>
    <x v="0"/>
    <x v="19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110"/>
    <s v="Yes"/>
    <x v="4"/>
    <s v="PCIe"/>
    <n v="3648534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111"/>
    <s v="Yes"/>
    <x v="4"/>
    <s v="PCIe"/>
    <n v="3648327"/>
    <m/>
    <x v="0"/>
    <x v="0"/>
    <x v="21"/>
    <x v="5"/>
    <x v="1"/>
    <s v="No"/>
    <s v="No"/>
    <s v="No"/>
    <m/>
    <x v="13"/>
    <m/>
    <m/>
    <m/>
    <m/>
    <m/>
    <m/>
    <m/>
    <s v="Yes"/>
    <s v="Yes"/>
    <x v="0"/>
    <m/>
    <m/>
  </r>
  <r>
    <x v="2"/>
    <s v="SDSRTL112"/>
    <s v="Yes"/>
    <x v="6"/>
    <s v="PCIe"/>
    <n v="3648206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113"/>
    <s v="Yes"/>
    <x v="1"/>
    <s v="PCIe"/>
    <n v="3648270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114"/>
    <s v="Yes"/>
    <x v="4"/>
    <s v="PCIe"/>
    <n v="3648549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115"/>
    <s v="Yes"/>
    <x v="1"/>
    <s v="PCIe"/>
    <n v="3633233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116"/>
    <s v="Yes"/>
    <x v="1"/>
    <s v="PCIe"/>
    <n v="3648450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117"/>
    <s v="Yes"/>
    <x v="1"/>
    <s v="PCIe"/>
    <n v="3648256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118"/>
    <s v="Yes"/>
    <x v="4"/>
    <s v="PCIe"/>
    <n v="3648443"/>
    <m/>
    <x v="0"/>
    <x v="0"/>
    <x v="21"/>
    <x v="4"/>
    <x v="1"/>
    <s v="No"/>
    <s v="Yes"/>
    <s v="No"/>
    <m/>
    <x v="13"/>
    <m/>
    <m/>
    <m/>
    <m/>
    <m/>
    <m/>
    <m/>
    <s v="Yes"/>
    <s v="Yes"/>
    <x v="0"/>
    <m/>
    <m/>
  </r>
  <r>
    <x v="2"/>
    <s v="SDSRTL119"/>
    <s v="Yes"/>
    <x v="1"/>
    <s v="PCIe"/>
    <n v="3648399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120"/>
    <s v="Yes"/>
    <x v="1"/>
    <s v="PCIe"/>
    <n v="3648253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121"/>
    <s v="Yes"/>
    <x v="1"/>
    <s v="PCIe"/>
    <n v="3648266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122"/>
    <s v="Yes"/>
    <x v="4"/>
    <s v="PCIe"/>
    <n v="3648273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123"/>
    <s v="Yes"/>
    <x v="1"/>
    <s v="PCIe"/>
    <n v="3648458"/>
    <m/>
    <x v="0"/>
    <x v="0"/>
    <x v="22"/>
    <x v="14"/>
    <x v="1"/>
    <s v="No"/>
    <s v="Yes"/>
    <s v="No"/>
    <m/>
    <x v="13"/>
    <m/>
    <m/>
    <m/>
    <m/>
    <m/>
    <m/>
    <m/>
    <s v="Yes"/>
    <s v="Yes"/>
    <x v="0"/>
    <m/>
    <m/>
  </r>
  <r>
    <x v="2"/>
    <s v="SDSRTL124"/>
    <s v="Yes"/>
    <x v="4"/>
    <s v="PCIe"/>
    <n v="3648542"/>
    <m/>
    <x v="0"/>
    <x v="0"/>
    <x v="22"/>
    <x v="13"/>
    <x v="1"/>
    <s v="No"/>
    <s v="Yes"/>
    <s v="No"/>
    <m/>
    <x v="13"/>
    <m/>
    <m/>
    <m/>
    <m/>
    <m/>
    <m/>
    <m/>
    <s v="Yes"/>
    <s v="Yes"/>
    <x v="0"/>
    <m/>
    <m/>
  </r>
  <r>
    <x v="2"/>
    <s v="SDSRTL125"/>
    <s v="Yes"/>
    <x v="4"/>
    <s v="PCIe"/>
    <n v="3648333"/>
    <m/>
    <x v="0"/>
    <x v="0"/>
    <x v="22"/>
    <x v="13"/>
    <x v="1"/>
    <s v="No"/>
    <s v="Yes"/>
    <s v="No"/>
    <m/>
    <x v="13"/>
    <m/>
    <m/>
    <m/>
    <m/>
    <m/>
    <m/>
    <d v="2018-03-28T00:00:00"/>
    <s v="Yes"/>
    <s v="Yes"/>
    <x v="0"/>
    <m/>
    <m/>
  </r>
  <r>
    <x v="2"/>
    <s v="SDSRTL126"/>
    <s v="Yes"/>
    <x v="1"/>
    <s v="PCIe"/>
    <n v="3648229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128"/>
    <s v="Yes"/>
    <x v="8"/>
    <s v="PCIe"/>
    <n v="3648456"/>
    <m/>
    <x v="0"/>
    <x v="0"/>
    <x v="20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139"/>
    <s v="Yes"/>
    <x v="9"/>
    <s v="PCIe"/>
    <n v="3648478"/>
    <m/>
    <x v="0"/>
    <x v="0"/>
    <x v="2"/>
    <x v="4"/>
    <x v="1"/>
    <s v="No"/>
    <s v="No"/>
    <s v="SUS"/>
    <m/>
    <x v="13"/>
    <m/>
    <m/>
    <m/>
    <m/>
    <m/>
    <m/>
    <m/>
    <s v="Yes"/>
    <s v="Yes"/>
    <x v="0"/>
    <m/>
    <m/>
  </r>
  <r>
    <x v="2"/>
    <s v="SDSRTL140"/>
    <s v="Yes"/>
    <x v="4"/>
    <s v="PCIe"/>
    <n v="3648446"/>
    <m/>
    <x v="0"/>
    <x v="0"/>
    <x v="21"/>
    <x v="4"/>
    <x v="1"/>
    <s v="No"/>
    <s v="No"/>
    <s v="4x"/>
    <m/>
    <x v="13"/>
    <m/>
    <m/>
    <m/>
    <m/>
    <m/>
    <m/>
    <m/>
    <s v="Yes"/>
    <s v="Yes"/>
    <x v="0"/>
    <m/>
    <m/>
  </r>
  <r>
    <x v="2"/>
    <s v="SDSRTL141"/>
    <s v="Yes"/>
    <x v="1"/>
    <s v="PCIe"/>
    <n v="3648292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2"/>
    <s v="SDSRTL142"/>
    <s v="Yes"/>
    <x v="1"/>
    <s v="PCIe"/>
    <n v="3648475"/>
    <m/>
    <x v="0"/>
    <x v="0"/>
    <x v="21"/>
    <x v="4"/>
    <x v="1"/>
    <s v="No"/>
    <s v="No"/>
    <s v="No"/>
    <m/>
    <x v="13"/>
    <m/>
    <m/>
    <m/>
    <m/>
    <m/>
    <m/>
    <m/>
    <s v="Yes"/>
    <s v="Yes"/>
    <x v="0"/>
    <m/>
    <m/>
  </r>
  <r>
    <x v="3"/>
    <s v="HILSRTL002"/>
    <s v="Yes"/>
    <x v="1"/>
    <s v="PCIe"/>
    <s v="SN2250522"/>
    <m/>
    <x v="0"/>
    <x v="0"/>
    <x v="21"/>
    <x v="4"/>
    <x v="1"/>
    <s v="No"/>
    <s v="No"/>
    <s v="4x"/>
    <s v="HILSRTM004sMini.hf.intel.com"/>
    <x v="192"/>
    <m/>
    <s v="C7H741200EUHXNKG9"/>
    <n v="4846495811"/>
    <n v="440152238700"/>
    <m/>
    <m/>
    <n v="43168"/>
    <s v="Yes"/>
    <s v="Yes"/>
    <x v="0"/>
    <m/>
    <m/>
  </r>
  <r>
    <x v="3"/>
    <s v="HILSRTL003"/>
    <s v="Yes"/>
    <x v="1"/>
    <s v="PCIe"/>
    <s v="SN2510491"/>
    <m/>
    <x v="0"/>
    <x v="0"/>
    <x v="19"/>
    <x v="14"/>
    <x v="1"/>
    <s v="No"/>
    <s v="Yes"/>
    <s v="4x"/>
    <s v="HILSRTL006sMini.hf.intel.com"/>
    <x v="193"/>
    <m/>
    <s v="C7H750600E8HXNKKJ"/>
    <n v="440152249345"/>
    <n v="440152249345"/>
    <m/>
    <m/>
    <m/>
    <s v="Yes"/>
    <s v="Yes"/>
    <x v="0"/>
    <m/>
    <m/>
  </r>
  <r>
    <x v="3"/>
    <s v="HILSRTL004"/>
    <s v="Yes"/>
    <x v="1"/>
    <s v="PCIe"/>
    <s v="SN2361030"/>
    <m/>
    <x v="0"/>
    <x v="0"/>
    <x v="20"/>
    <x v="4"/>
    <x v="1"/>
    <s v="No"/>
    <s v="No"/>
    <s v="4x"/>
    <s v="HILSRTMAC003.hf.intel.com"/>
    <x v="194"/>
    <m/>
    <s v="C7H741200EKHXNKGJ"/>
    <n v="4845158223"/>
    <n v="440152238689"/>
    <m/>
    <m/>
    <m/>
    <s v="Yes"/>
    <s v="Yes"/>
    <x v="0"/>
    <m/>
    <m/>
  </r>
  <r>
    <x v="3"/>
    <s v="HILSRTL005"/>
    <s v="No"/>
    <x v="1"/>
    <s v="PCIe"/>
    <s v="SN2361026"/>
    <m/>
    <x v="0"/>
    <x v="0"/>
    <x v="20"/>
    <x v="4"/>
    <x v="9"/>
    <s v="No"/>
    <s v="Yes"/>
    <s v="4x"/>
    <s v="HILSRTM005sMini.hf.intel.com"/>
    <x v="194"/>
    <m/>
    <s v="C7H750600BVHXNKK6"/>
    <n v="9717277633"/>
    <n v="440152249238"/>
    <m/>
    <m/>
    <m/>
    <s v="Yes"/>
    <s v="Yes"/>
    <x v="0"/>
    <m/>
    <m/>
  </r>
  <r>
    <x v="3"/>
    <s v="HILSRTL006"/>
    <s v="Yes"/>
    <x v="4"/>
    <s v="PCIe"/>
    <s v="SN2299806"/>
    <m/>
    <x v="0"/>
    <x v="0"/>
    <x v="21"/>
    <x v="4"/>
    <x v="1"/>
    <s v="No"/>
    <s v="No"/>
    <s v="4x"/>
    <s v="HILSRTM004sMini.hf.intel.com"/>
    <x v="194"/>
    <m/>
    <s v="C7H74120062HXNKGR"/>
    <n v="5034427037"/>
    <n v="440152239030"/>
    <m/>
    <m/>
    <m/>
    <s v="Yes"/>
    <s v="Yes"/>
    <x v="0"/>
    <m/>
    <m/>
  </r>
  <r>
    <x v="3"/>
    <s v="HILSRTL007"/>
    <s v="Yes"/>
    <x v="0"/>
    <s v="PCIe"/>
    <s v="SN2510843"/>
    <m/>
    <x v="0"/>
    <x v="1"/>
    <x v="23"/>
    <x v="1"/>
    <x v="1"/>
    <s v="No"/>
    <s v="No"/>
    <s v="4x"/>
    <s v="HILSRTMAC003.hf.intel.com"/>
    <x v="194"/>
    <m/>
    <s v="C7H7412003YHXNKG4"/>
    <n v="5034443872"/>
    <n v="440152239034"/>
    <m/>
    <m/>
    <m/>
    <s v="Yes"/>
    <s v="Yes"/>
    <x v="0"/>
    <m/>
    <m/>
  </r>
  <r>
    <x v="3"/>
    <s v="HILSRTL009"/>
    <s v="Yes"/>
    <x v="1"/>
    <s v="PCIe"/>
    <s v="SN2361081"/>
    <m/>
    <x v="0"/>
    <x v="0"/>
    <x v="20"/>
    <x v="4"/>
    <x v="1"/>
    <s v="No"/>
    <s v="No"/>
    <s v="4x"/>
    <s v="HILSRTMAC003.hf.intel.com"/>
    <x v="194"/>
    <m/>
    <s v="C7H74120083HXNKGJ"/>
    <n v="4084768449"/>
    <n v="440152239035"/>
    <m/>
    <m/>
    <m/>
    <s v="Yes"/>
    <s v="Yes"/>
    <x v="0"/>
    <m/>
    <m/>
  </r>
  <r>
    <x v="3"/>
    <s v="HILSRTL010"/>
    <s v="Yes"/>
    <x v="2"/>
    <s v="PCIe"/>
    <s v="SN3220214"/>
    <m/>
    <x v="0"/>
    <x v="0"/>
    <x v="21"/>
    <x v="4"/>
    <x v="1"/>
    <s v="No"/>
    <s v="No"/>
    <m/>
    <m/>
    <x v="194"/>
    <m/>
    <s v="C7H741200C2HXNKG7"/>
    <n v="5033804525"/>
    <n v="440152238690"/>
    <m/>
    <m/>
    <m/>
    <s v="Yes"/>
    <s v="Yes"/>
    <x v="1"/>
    <s v="Lend to Script"/>
    <s v="Chandan is using "/>
  </r>
  <r>
    <x v="3"/>
    <s v="HILSRTL011"/>
    <s v="Yes"/>
    <x v="1"/>
    <s v="PCIe"/>
    <s v="SN3219932"/>
    <m/>
    <x v="0"/>
    <x v="0"/>
    <x v="21"/>
    <x v="4"/>
    <x v="1"/>
    <s v="No"/>
    <s v="No"/>
    <s v="4x"/>
    <s v="HILSRTM004sMini.hf.intel.com"/>
    <x v="194"/>
    <m/>
    <s v="C7H7412007THXNKGX"/>
    <n v="6105704834"/>
    <n v="440152239031"/>
    <m/>
    <m/>
    <m/>
    <s v="Yes"/>
    <s v="Yes"/>
    <x v="0"/>
    <m/>
    <m/>
  </r>
  <r>
    <x v="3"/>
    <s v="HILSRTL012"/>
    <s v="Yes"/>
    <x v="1"/>
    <s v="PCIe"/>
    <s v="SN3219873"/>
    <m/>
    <x v="0"/>
    <x v="0"/>
    <x v="20"/>
    <x v="4"/>
    <x v="1"/>
    <s v="No"/>
    <s v="No"/>
    <s v="4x"/>
    <s v="HILSRTMAC003.hf.intel.com"/>
    <x v="194"/>
    <m/>
    <s v="C7H741200EJHXNKGK"/>
    <n v="4843755068"/>
    <n v="440152238686"/>
    <m/>
    <m/>
    <m/>
    <s v="Yes"/>
    <s v="Yes"/>
    <x v="0"/>
    <m/>
    <m/>
  </r>
  <r>
    <x v="3"/>
    <s v="HILSRTL013"/>
    <s v="Yes"/>
    <x v="4"/>
    <s v="PCIe"/>
    <s v="SN3219859"/>
    <m/>
    <x v="0"/>
    <x v="0"/>
    <x v="19"/>
    <x v="14"/>
    <x v="1"/>
    <s v="No"/>
    <s v="Yes"/>
    <s v="4x"/>
    <s v="HILSRTL006sMini.hf.intel.com"/>
    <x v="194"/>
    <m/>
    <s v="C7H750600DCHXNKKH"/>
    <n v="4087617688"/>
    <n v="440152249322"/>
    <m/>
    <m/>
    <m/>
    <s v="Yes"/>
    <s v="Yes"/>
    <x v="0"/>
    <m/>
    <m/>
  </r>
  <r>
    <x v="3"/>
    <s v="HILSRTL014"/>
    <s v="Yes"/>
    <x v="0"/>
    <s v="PCIe"/>
    <s v="SN3219576"/>
    <m/>
    <x v="0"/>
    <x v="0"/>
    <x v="21"/>
    <x v="4"/>
    <x v="1"/>
    <s v="No"/>
    <s v="No"/>
    <s v="4x"/>
    <s v="ReplicantsMini2.hf.intel.com"/>
    <x v="194"/>
    <m/>
    <s v="C7H750600FDHXNKKA"/>
    <n v="5035160031"/>
    <n v="440152249253"/>
    <m/>
    <m/>
    <m/>
    <s v="Yes"/>
    <s v="Yes"/>
    <x v="0"/>
    <m/>
    <m/>
  </r>
  <r>
    <x v="3"/>
    <s v="HILSRTL016"/>
    <s v="Yes"/>
    <x v="0"/>
    <s v="PCIe"/>
    <s v="SN3219577"/>
    <m/>
    <x v="0"/>
    <x v="0"/>
    <x v="20"/>
    <x v="4"/>
    <x v="1"/>
    <s v="No"/>
    <s v="No"/>
    <s v="4x"/>
    <s v="HILSRTMAC003.hf.intel.com"/>
    <x v="194"/>
    <m/>
    <s v="C7H741200DXHXNKG9"/>
    <n v="4084398108"/>
    <n v="440152238702"/>
    <m/>
    <m/>
    <m/>
    <s v="Yes"/>
    <s v="Yes"/>
    <x v="0"/>
    <m/>
    <m/>
  </r>
  <r>
    <x v="3"/>
    <s v="HILSRTL017"/>
    <s v="Yes"/>
    <x v="3"/>
    <s v="PCIe"/>
    <s v="SN3120196"/>
    <m/>
    <x v="0"/>
    <x v="0"/>
    <x v="21"/>
    <x v="4"/>
    <x v="1"/>
    <s v="No"/>
    <s v="No"/>
    <s v="4x"/>
    <s v="HILSRTM004sMini.hf.intel.com"/>
    <x v="194"/>
    <m/>
    <s v="C7H741200G8HXNKGP"/>
    <n v="5038518687"/>
    <n v="440152238683"/>
    <m/>
    <m/>
    <m/>
    <s v="Yes"/>
    <s v="Yes"/>
    <x v="0"/>
    <m/>
    <m/>
  </r>
  <r>
    <x v="3"/>
    <s v="HILSRTL018"/>
    <s v="Yes"/>
    <x v="1"/>
    <s v="PCIe"/>
    <s v="SN2510971"/>
    <m/>
    <x v="0"/>
    <x v="0"/>
    <x v="21"/>
    <x v="4"/>
    <x v="1"/>
    <s v="No"/>
    <s v="No"/>
    <s v="4x"/>
    <s v="HILSRTM004sMini.hf.intel.com"/>
    <x v="194"/>
    <m/>
    <s v="C7H74120059HXNKGM"/>
    <n v="4843409040"/>
    <n v="440152239032"/>
    <m/>
    <m/>
    <m/>
    <s v="Yes"/>
    <s v="Yes"/>
    <x v="0"/>
    <m/>
    <m/>
  </r>
  <r>
    <x v="3"/>
    <s v="HILSRTL019"/>
    <s v="Yes"/>
    <x v="1"/>
    <s v="PCIe"/>
    <s v="SN3219773"/>
    <m/>
    <x v="0"/>
    <x v="0"/>
    <x v="19"/>
    <x v="13"/>
    <x v="1"/>
    <s v="No"/>
    <s v="Yes"/>
    <s v="4x"/>
    <s v="HILSRTL006sMini.hf.intel.com"/>
    <x v="194"/>
    <m/>
    <s v="C7H741200DTHXNKGD"/>
    <n v="9717088358"/>
    <n v="440152238696"/>
    <m/>
    <m/>
    <m/>
    <s v="Yes"/>
    <s v="Yes"/>
    <x v="0"/>
    <m/>
    <m/>
  </r>
  <r>
    <x v="3"/>
    <s v="HILSRTL020"/>
    <s v="Yes"/>
    <x v="4"/>
    <s v="PCIe"/>
    <s v="SN3219967"/>
    <m/>
    <x v="0"/>
    <x v="0"/>
    <x v="20"/>
    <x v="4"/>
    <x v="1"/>
    <s v="No"/>
    <s v="No"/>
    <s v="4x"/>
    <s v="HILSRTM004sMini.hf.intel.com"/>
    <x v="194"/>
    <m/>
    <s v="C7H741200BEHXNKGY"/>
    <n v="9713305230"/>
    <n v="440152238644"/>
    <m/>
    <m/>
    <m/>
    <s v="Yes"/>
    <s v="Yes"/>
    <x v="0"/>
    <m/>
    <m/>
  </r>
  <r>
    <x v="3"/>
    <s v="HILSRTL021"/>
    <s v="Yes"/>
    <x v="1"/>
    <s v="PCIe"/>
    <s v="SN3219962"/>
    <m/>
    <x v="0"/>
    <x v="0"/>
    <x v="20"/>
    <x v="4"/>
    <x v="1"/>
    <s v="No"/>
    <s v="No"/>
    <s v="4x"/>
    <s v="HILSRTM005sMini.hf.intel.com"/>
    <x v="194"/>
    <m/>
    <s v="C7H750600DRHXNKK4"/>
    <n v="4845228082"/>
    <n v="440152249237"/>
    <m/>
    <m/>
    <m/>
    <s v="Yes"/>
    <s v="Yes"/>
    <x v="0"/>
    <m/>
    <m/>
  </r>
  <r>
    <x v="3"/>
    <s v="HILSRTL022"/>
    <s v="Yes"/>
    <x v="4"/>
    <s v="PCIe"/>
    <s v="SN3220053"/>
    <m/>
    <x v="0"/>
    <x v="0"/>
    <x v="20"/>
    <x v="4"/>
    <x v="1"/>
    <s v="No"/>
    <s v="No"/>
    <s v="4x"/>
    <s v="HILSRTMAC003.hf.intel.com"/>
    <x v="194"/>
    <m/>
    <s v="C7H750600CDHXNKKK"/>
    <n v="6103908910"/>
    <n v="440152249319"/>
    <m/>
    <m/>
    <d v="2018-02-23T00:00:00"/>
    <s v="Yes"/>
    <s v="Yes"/>
    <x v="0"/>
    <m/>
    <m/>
  </r>
  <r>
    <x v="3"/>
    <s v="HILSRTL023"/>
    <s v="Yes"/>
    <x v="1"/>
    <s v="PCIe"/>
    <s v="SN3219683"/>
    <m/>
    <x v="0"/>
    <x v="0"/>
    <x v="21"/>
    <x v="4"/>
    <x v="1"/>
    <s v="No"/>
    <s v="No"/>
    <s v="4x"/>
    <s v="HILSRTM004sMini.hf.intel.com"/>
    <x v="194"/>
    <m/>
    <s v="C7H7393001NHXNKGW"/>
    <n v="6109695907"/>
    <n v="440152238179"/>
    <m/>
    <m/>
    <m/>
    <s v="Yes"/>
    <s v="Yes"/>
    <x v="0"/>
    <m/>
    <m/>
  </r>
  <r>
    <x v="3"/>
    <s v="HILSRTL024"/>
    <s v="Yes"/>
    <x v="1"/>
    <s v="PCIe"/>
    <s v="SN3219736"/>
    <m/>
    <x v="0"/>
    <x v="0"/>
    <x v="20"/>
    <x v="4"/>
    <x v="1"/>
    <s v="No"/>
    <s v="No"/>
    <s v="4x"/>
    <s v="HILSRTMAC003.hf.intel.com"/>
    <x v="194"/>
    <m/>
    <s v="C7H750600G2HXNKKJ"/>
    <n v="4842688854"/>
    <n v="440152249234"/>
    <m/>
    <m/>
    <m/>
    <s v="Yes"/>
    <s v="Yes"/>
    <x v="0"/>
    <m/>
    <m/>
  </r>
  <r>
    <x v="3"/>
    <s v="HILSRTL025"/>
    <s v="Yes"/>
    <x v="0"/>
    <s v="PCIe"/>
    <s v="SN3220064"/>
    <m/>
    <x v="0"/>
    <x v="0"/>
    <x v="21"/>
    <x v="4"/>
    <x v="1"/>
    <s v="No"/>
    <s v="No"/>
    <s v="4x"/>
    <s v="Replicants-Mini.hf.intel.com"/>
    <x v="194"/>
    <m/>
    <s v="C7H7412002CHXNKGT"/>
    <n v="4846495812"/>
    <n v="440152239014"/>
    <m/>
    <m/>
    <m/>
    <s v="Yes"/>
    <s v="Yes"/>
    <x v="0"/>
    <m/>
    <m/>
  </r>
  <r>
    <x v="3"/>
    <s v="HILSRTL026"/>
    <s v="Yes"/>
    <x v="10"/>
    <s v="PCIe"/>
    <s v="SN3220040"/>
    <m/>
    <x v="0"/>
    <x v="1"/>
    <x v="20"/>
    <x v="4"/>
    <x v="1"/>
    <s v="No"/>
    <s v="No"/>
    <s v="4x"/>
    <s v="HILSRTL006sMini.hf.intel.com"/>
    <x v="194"/>
    <m/>
    <s v="C7H741200BBHXNKG1"/>
    <n v="9717082984"/>
    <n v="440152238641"/>
    <m/>
    <m/>
    <m/>
    <s v="Yes"/>
    <s v="Yes"/>
    <x v="0"/>
    <m/>
    <m/>
  </r>
  <r>
    <x v="3"/>
    <s v="HILSRTL027"/>
    <s v="Yes"/>
    <x v="6"/>
    <s v="PCIe"/>
    <s v="SN3219836"/>
    <m/>
    <x v="0"/>
    <x v="1"/>
    <x v="20"/>
    <x v="4"/>
    <x v="1"/>
    <s v="No"/>
    <s v="No"/>
    <s v="4x"/>
    <s v="Replicants-Mini.hf.intel.com"/>
    <x v="194"/>
    <m/>
    <s v="C7H741200B1HXNKGB"/>
    <n v="9717246941"/>
    <n v="440152238645"/>
    <m/>
    <m/>
    <m/>
    <s v="Yes"/>
    <s v="Yes"/>
    <x v="0"/>
    <m/>
    <m/>
  </r>
  <r>
    <x v="3"/>
    <s v="HILSRTL028"/>
    <s v="Yes"/>
    <x v="6"/>
    <s v="PCIe"/>
    <s v="SN3220043"/>
    <m/>
    <x v="0"/>
    <x v="0"/>
    <x v="20"/>
    <x v="4"/>
    <x v="1"/>
    <s v="No"/>
    <s v="No"/>
    <s v="4x"/>
    <s v="HILSRTM011sMini.hf.intel.com"/>
    <x v="194"/>
    <m/>
    <s v="C7H741200G4HXNKGT"/>
    <n v="9717083189"/>
    <n v="440152238684"/>
    <m/>
    <m/>
    <m/>
    <s v="Yes"/>
    <s v="Yes"/>
    <x v="0"/>
    <m/>
    <m/>
  </r>
  <r>
    <x v="3"/>
    <s v="HILSRTL029"/>
    <s v="Yes"/>
    <x v="6"/>
    <s v="PCIe"/>
    <s v="SN3219825"/>
    <m/>
    <x v="0"/>
    <x v="0"/>
    <x v="19"/>
    <x v="4"/>
    <x v="1"/>
    <s v="Yes"/>
    <s v="No"/>
    <s v="4x"/>
    <s v="Replicants-Mini.hf.intel.com"/>
    <x v="194"/>
    <m/>
    <s v="C7H741200AJHXNKGX"/>
    <n v="9712711124"/>
    <n v="440152238632"/>
    <m/>
    <m/>
    <m/>
    <s v="Yes"/>
    <s v="Yes"/>
    <x v="0"/>
    <m/>
    <m/>
  </r>
  <r>
    <x v="3"/>
    <s v="HILSRTL030"/>
    <s v="Yes"/>
    <x v="4"/>
    <s v="PCIe"/>
    <s v="SN3219810"/>
    <m/>
    <x v="0"/>
    <x v="0"/>
    <x v="21"/>
    <x v="4"/>
    <x v="1"/>
    <s v="No"/>
    <s v="No"/>
    <s v="4x"/>
    <s v="HILSRTM004sMini.hf.intel.com"/>
    <x v="194"/>
    <m/>
    <s v="C7H741200JTHXNKGY"/>
    <n v="5033809878"/>
    <n v="440152239516"/>
    <m/>
    <m/>
    <m/>
    <s v="Yes"/>
    <s v="Yes"/>
    <x v="0"/>
    <m/>
    <m/>
  </r>
  <r>
    <x v="3"/>
    <s v="HILSRTL031"/>
    <s v="Yes"/>
    <x v="11"/>
    <s v="PCIe"/>
    <s v="SN2510914"/>
    <m/>
    <x v="0"/>
    <x v="1"/>
    <x v="24"/>
    <x v="4"/>
    <x v="1"/>
    <s v="No"/>
    <s v="No"/>
    <m/>
    <s v="HILSRTL006sMini.hf.intel.com"/>
    <x v="194"/>
    <m/>
    <s v="C7H7412005ZHXNKGX"/>
    <n v="5036869214"/>
    <n v="440152239021"/>
    <m/>
    <m/>
    <m/>
    <s v="Yes"/>
    <s v="Yes"/>
    <x v="0"/>
    <m/>
    <s v="Lent to script team"/>
  </r>
  <r>
    <x v="3"/>
    <s v="HILSRTL032"/>
    <s v="Yes"/>
    <x v="4"/>
    <s v="PCIe"/>
    <s v="SN3220328"/>
    <m/>
    <x v="0"/>
    <x v="0"/>
    <x v="20"/>
    <x v="4"/>
    <x v="1"/>
    <s v="No"/>
    <s v="No"/>
    <s v="4x"/>
    <s v="HILSRTMAC003.hf.intel.com"/>
    <x v="194"/>
    <m/>
    <s v="C7H741200EMHXNKGG"/>
    <n v="5034438815"/>
    <n v="440152238681"/>
    <m/>
    <m/>
    <m/>
    <s v="Yes"/>
    <s v="Yes"/>
    <x v="0"/>
    <m/>
    <m/>
  </r>
  <r>
    <x v="3"/>
    <s v="HILSRTL033"/>
    <s v="Yes"/>
    <x v="10"/>
    <s v="PCIe"/>
    <s v="SN3220231"/>
    <m/>
    <x v="0"/>
    <x v="1"/>
    <x v="20"/>
    <x v="4"/>
    <x v="1"/>
    <s v="No"/>
    <s v="No"/>
    <s v="4x"/>
    <s v="HILSRTMAC003.hf.intel.com"/>
    <x v="194"/>
    <m/>
    <s v="C7H74120058HXNKGN"/>
    <n v="9717083913"/>
    <n v="440152239024"/>
    <m/>
    <m/>
    <m/>
    <s v="Yes"/>
    <s v="Yes"/>
    <x v="0"/>
    <m/>
    <m/>
  </r>
  <r>
    <x v="3"/>
    <s v="HILSRTL034"/>
    <s v="Yes"/>
    <x v="4"/>
    <s v="PCIe"/>
    <s v="SN3220193"/>
    <m/>
    <x v="0"/>
    <x v="0"/>
    <x v="21"/>
    <x v="4"/>
    <x v="1"/>
    <s v="No"/>
    <s v="No"/>
    <s v="4x"/>
    <s v="HILSRTM004sMini.hf.intel.com"/>
    <x v="194"/>
    <m/>
    <s v="C7H741200LVHXNKGQ"/>
    <n v="5034385789"/>
    <n v="440152239515"/>
    <m/>
    <m/>
    <m/>
    <s v="Yes"/>
    <s v="Yes"/>
    <x v="0"/>
    <m/>
    <m/>
  </r>
  <r>
    <x v="3"/>
    <s v="HILSRTL035"/>
    <s v="Yes"/>
    <x v="6"/>
    <s v="PCIe"/>
    <s v="SN3220250"/>
    <m/>
    <x v="0"/>
    <x v="0"/>
    <x v="21"/>
    <x v="4"/>
    <x v="1"/>
    <s v="No"/>
    <s v="No"/>
    <s v="4x"/>
    <s v="Replicants-Mini.hf.intel.com"/>
    <x v="194"/>
    <m/>
    <s v="C7H74120060HXNKGT"/>
    <n v="5034810875"/>
    <n v="440152239017"/>
    <m/>
    <m/>
    <m/>
    <s v="Yes"/>
    <s v="Yes"/>
    <x v="0"/>
    <m/>
    <m/>
  </r>
  <r>
    <x v="3"/>
    <s v="HILSRTL036"/>
    <s v="Yes"/>
    <x v="6"/>
    <s v="PCIe"/>
    <s v="SN3219689"/>
    <m/>
    <x v="0"/>
    <x v="0"/>
    <x v="20"/>
    <x v="4"/>
    <x v="1"/>
    <s v="No"/>
    <s v="No"/>
    <s v="4x"/>
    <s v="HILSRTM009sMini.hf.intel.com"/>
    <x v="194"/>
    <m/>
    <s v="C7H741200LRHXNKGU"/>
    <n v="9714705860"/>
    <n v="440152239510"/>
    <m/>
    <m/>
    <m/>
    <s v="Yes"/>
    <s v="Yes"/>
    <x v="0"/>
    <m/>
    <m/>
  </r>
  <r>
    <x v="3"/>
    <s v="HILSRTL035"/>
    <s v="Yes"/>
    <x v="6"/>
    <s v="PCIe"/>
    <s v="SN3219803"/>
    <m/>
    <x v="0"/>
    <x v="0"/>
    <x v="20"/>
    <x v="4"/>
    <x v="1"/>
    <s v="No"/>
    <s v="No"/>
    <s v="4x"/>
    <s v="Replicants-Mini.hf.intel.com"/>
    <x v="194"/>
    <m/>
    <s v="C7H74120021HXNKG4"/>
    <n v="5032689984"/>
    <n v="440152239018"/>
    <m/>
    <m/>
    <m/>
    <s v="Yes"/>
    <s v="Yes"/>
    <x v="0"/>
    <m/>
    <m/>
  </r>
  <r>
    <x v="3"/>
    <s v="HILSRTL038"/>
    <s v="Yes"/>
    <x v="6"/>
    <s v="PCIe"/>
    <s v="SN3220075"/>
    <m/>
    <x v="0"/>
    <x v="0"/>
    <x v="22"/>
    <x v="13"/>
    <x v="1"/>
    <s v="No"/>
    <s v="Yes"/>
    <s v="4x"/>
    <s v="HILSRTM005sMini.hf.intel.com"/>
    <x v="194"/>
    <m/>
    <s v="C7H750600ECHXNKKE"/>
    <n v="9135269047"/>
    <n v="440152249323"/>
    <m/>
    <m/>
    <m/>
    <s v="Yes"/>
    <s v="Yes"/>
    <x v="0"/>
    <m/>
    <m/>
  </r>
  <r>
    <x v="3"/>
    <s v="HILSRTL039"/>
    <s v="Yes"/>
    <x v="4"/>
    <s v="PCIe"/>
    <s v="SN3219744"/>
    <m/>
    <x v="0"/>
    <x v="0"/>
    <x v="20"/>
    <x v="13"/>
    <x v="1"/>
    <s v="No"/>
    <s v="No"/>
    <s v="4x"/>
    <s v="HILSRTMAC003.hf.intel.com"/>
    <x v="194"/>
    <m/>
    <s v="C7H74120020HXNKG5"/>
    <n v="5032708800"/>
    <n v="440152239016"/>
    <m/>
    <m/>
    <m/>
    <s v="Yes"/>
    <s v="Yes"/>
    <x v="0"/>
    <m/>
    <m/>
  </r>
  <r>
    <x v="3"/>
    <s v="HILSRTL040"/>
    <s v="Yes"/>
    <x v="6"/>
    <s v="PCIe"/>
    <s v="SN3220177"/>
    <m/>
    <x v="0"/>
    <x v="0"/>
    <x v="20"/>
    <x v="13"/>
    <x v="1"/>
    <s v="No"/>
    <s v="No"/>
    <s v="4x"/>
    <s v="HILSRTMAC003.hf.intel.com"/>
    <x v="194"/>
    <m/>
    <s v="Need Feb Time sheet by EOD tomorrow (6 Mar) "/>
    <n v="9717083913"/>
    <n v="440152239023"/>
    <m/>
    <m/>
    <m/>
    <s v="Yes"/>
    <s v="Yes"/>
    <x v="0"/>
    <m/>
    <m/>
  </r>
  <r>
    <x v="3"/>
    <s v="HILSRTL041"/>
    <s v="Yes"/>
    <x v="6"/>
    <s v="PCIe"/>
    <s v="SN3220190"/>
    <m/>
    <x v="0"/>
    <x v="0"/>
    <x v="21"/>
    <x v="13"/>
    <x v="1"/>
    <s v="No"/>
    <s v="No"/>
    <s v="4x"/>
    <s v="HILSRTMAC003.hf.intel.com"/>
    <x v="194"/>
    <m/>
    <s v="C7H7412003BHXNKGR"/>
    <m/>
    <n v="440152239020"/>
    <m/>
    <m/>
    <m/>
    <s v="Yes"/>
    <s v="Yes"/>
    <x v="0"/>
    <m/>
    <m/>
  </r>
  <r>
    <x v="3"/>
    <s v="HILSRTL042"/>
    <s v="Yes"/>
    <x v="1"/>
    <s v="PCIe"/>
    <s v="SN3220237"/>
    <m/>
    <x v="0"/>
    <x v="0"/>
    <x v="21"/>
    <x v="13"/>
    <x v="1"/>
    <s v="No"/>
    <s v="No"/>
    <s v="4x"/>
    <s v="HILSRTM004sMini.hf.intel.com"/>
    <x v="194"/>
    <m/>
    <s v="C7H750600G0HXNKKL"/>
    <n v="6109695975"/>
    <n v="440152249235"/>
    <m/>
    <m/>
    <m/>
    <s v="Yes"/>
    <s v="Yes"/>
    <x v="0"/>
    <m/>
    <m/>
  </r>
  <r>
    <x v="3"/>
    <s v="HILSRTL043"/>
    <s v="Yes"/>
    <x v="10"/>
    <s v="PCIe"/>
    <s v="SN3220263"/>
    <m/>
    <x v="0"/>
    <x v="1"/>
    <x v="22"/>
    <x v="13"/>
    <x v="1"/>
    <s v="Yes"/>
    <s v="No"/>
    <s v="4x"/>
    <s v="ReplicantsMini2.hf.intel.com"/>
    <x v="194"/>
    <m/>
    <s v="C7H741200ALHXNKGV"/>
    <n v="9135268081"/>
    <n v="4401522390182"/>
    <m/>
    <m/>
    <m/>
    <s v="Yes"/>
    <s v="Yes"/>
    <x v="0"/>
    <m/>
    <m/>
  </r>
  <r>
    <x v="3"/>
    <s v="HILSRTL044"/>
    <s v="Yes"/>
    <x v="10"/>
    <s v="PCIe"/>
    <s v="SN3220255"/>
    <m/>
    <x v="0"/>
    <x v="1"/>
    <x v="21"/>
    <x v="13"/>
    <x v="1"/>
    <s v="No"/>
    <s v="No"/>
    <s v="4x"/>
    <s v="HILSRTM008sMini.hf.intel.com"/>
    <x v="194"/>
    <m/>
    <s v="C7H7412001AHXNKGY"/>
    <m/>
    <n v="440152239027"/>
    <m/>
    <m/>
    <m/>
    <s v="Yes"/>
    <s v="Yes"/>
    <x v="0"/>
    <m/>
    <m/>
  </r>
  <r>
    <x v="3"/>
    <s v="HILSRTL045"/>
    <s v="Yes"/>
    <x v="6"/>
    <s v="PCIe"/>
    <s v="SN3220238"/>
    <m/>
    <x v="0"/>
    <x v="0"/>
    <x v="21"/>
    <x v="13"/>
    <x v="1"/>
    <s v="No"/>
    <s v="No"/>
    <s v="4x"/>
    <s v="ReplicantsMini2.hf.intel.com"/>
    <x v="194"/>
    <m/>
    <s v="C7H741200AZHXNKGG"/>
    <m/>
    <n v="440152238643"/>
    <m/>
    <m/>
    <m/>
    <s v="Yes"/>
    <s v="Yes"/>
    <x v="0"/>
    <m/>
    <m/>
  </r>
  <r>
    <x v="3"/>
    <s v="HILSRTL046"/>
    <s v="Yes"/>
    <x v="1"/>
    <s v="PCIe"/>
    <s v="SN3220234"/>
    <m/>
    <x v="0"/>
    <x v="0"/>
    <x v="20"/>
    <x v="13"/>
    <x v="1"/>
    <s v="No"/>
    <s v="No"/>
    <s v="4x"/>
    <s v="HILSRTMAC003.hf.intel.com"/>
    <x v="194"/>
    <m/>
    <s v="C7H7412006BHXNKGG"/>
    <m/>
    <n v="440152239026"/>
    <m/>
    <m/>
    <m/>
    <s v="Yes"/>
    <s v="Yes"/>
    <x v="0"/>
    <m/>
    <m/>
  </r>
  <r>
    <x v="3"/>
    <s v="HILSRTL047"/>
    <s v="Yes"/>
    <x v="1"/>
    <s v="PCIe"/>
    <s v="SN3220217"/>
    <m/>
    <x v="0"/>
    <x v="0"/>
    <x v="20"/>
    <x v="13"/>
    <x v="1"/>
    <s v="No"/>
    <s v="No"/>
    <s v="4x"/>
    <s v="Replicants-Mini.hf.intel.com"/>
    <x v="194"/>
    <m/>
    <s v="C7H750600CFHXNKKH"/>
    <m/>
    <n v="440152249321"/>
    <m/>
    <m/>
    <m/>
    <s v="Yes"/>
    <s v="Yes"/>
    <x v="0"/>
    <m/>
    <m/>
  </r>
  <r>
    <x v="3"/>
    <s v="HILSRTL052"/>
    <s v="Yes"/>
    <x v="6"/>
    <s v="PCIe"/>
    <s v="SN3219871"/>
    <m/>
    <x v="0"/>
    <x v="0"/>
    <x v="21"/>
    <x v="13"/>
    <x v="1"/>
    <s v="No"/>
    <s v="No"/>
    <s v="4x"/>
    <s v="HILSRTM010sMini.hf.intel.com"/>
    <x v="194"/>
    <m/>
    <s v="C7H7412002VHXNKGA"/>
    <m/>
    <n v="440152239037"/>
    <m/>
    <m/>
    <m/>
    <s v="Yes"/>
    <s v="Yes"/>
    <x v="0"/>
    <m/>
    <m/>
  </r>
  <r>
    <x v="3"/>
    <s v="HILSRTL069"/>
    <s v="Yes"/>
    <x v="6"/>
    <s v="PCIe"/>
    <s v="SN3299707"/>
    <m/>
    <x v="0"/>
    <x v="0"/>
    <x v="21"/>
    <x v="13"/>
    <x v="1"/>
    <s v="No"/>
    <s v="No"/>
    <s v="4x"/>
    <s v="HILSRTM004sMini.hf.intel.com"/>
    <x v="194"/>
    <m/>
    <s v="C7H741200AHHXNKGY"/>
    <m/>
    <n v="440152238697"/>
    <m/>
    <m/>
    <m/>
    <s v="Yes"/>
    <s v="Yes"/>
    <x v="0"/>
    <m/>
    <m/>
  </r>
  <r>
    <x v="3"/>
    <s v="HILSRTL070"/>
    <s v="Yes"/>
    <x v="3"/>
    <s v="PCIe"/>
    <s v="SN3299531"/>
    <m/>
    <x v="0"/>
    <x v="0"/>
    <x v="21"/>
    <x v="13"/>
    <x v="1"/>
    <s v="No"/>
    <s v="No"/>
    <s v="4x"/>
    <s v="Replicants-Mini.hf.intel.com"/>
    <x v="194"/>
    <m/>
    <s v="C7H7412005BHXNKGK"/>
    <m/>
    <n v="440152239019"/>
    <m/>
    <m/>
    <m/>
    <s v="Yes"/>
    <s v="Yes"/>
    <x v="0"/>
    <m/>
    <m/>
  </r>
  <r>
    <x v="3"/>
    <s v="HILSRTL071"/>
    <s v="Yes"/>
    <x v="4"/>
    <s v="PCIe"/>
    <s v="SN3299667"/>
    <m/>
    <x v="0"/>
    <x v="0"/>
    <x v="20"/>
    <x v="13"/>
    <x v="1"/>
    <s v="No"/>
    <s v="No"/>
    <s v="4x"/>
    <s v="HILSRTMAC003.hf.intel.com"/>
    <x v="194"/>
    <m/>
    <m/>
    <m/>
    <m/>
    <m/>
    <m/>
    <m/>
    <s v="Yes"/>
    <s v="Yes"/>
    <x v="0"/>
    <m/>
    <m/>
  </r>
  <r>
    <x v="3"/>
    <s v="HILSRTL072"/>
    <s v="No"/>
    <x v="10"/>
    <s v="PCIe"/>
    <s v="SN3299627"/>
    <m/>
    <x v="0"/>
    <x v="0"/>
    <x v="20"/>
    <x v="13"/>
    <x v="1"/>
    <s v="No"/>
    <s v="No"/>
    <s v="4x"/>
    <s v="Replicants-Mini.hf.intel.com"/>
    <x v="194"/>
    <m/>
    <m/>
    <m/>
    <m/>
    <m/>
    <m/>
    <m/>
    <s v="Yes"/>
    <s v="Yes"/>
    <x v="3"/>
    <s v="Debug Needed"/>
    <s v="PCIE CABLE SHORTING THE BOARD- Debugging to be Done"/>
  </r>
  <r>
    <x v="3"/>
    <s v="HILSRTL073"/>
    <s v="Yes"/>
    <x v="6"/>
    <s v="PCIe"/>
    <s v="SN3299538"/>
    <m/>
    <x v="0"/>
    <x v="0"/>
    <x v="22"/>
    <x v="13"/>
    <x v="1"/>
    <s v="No"/>
    <s v="No"/>
    <s v="4x"/>
    <s v="ReplicantsMini2.hf.intel.com"/>
    <x v="194"/>
    <m/>
    <m/>
    <m/>
    <m/>
    <m/>
    <m/>
    <m/>
    <s v="Yes"/>
    <s v="Yes"/>
    <x v="0"/>
    <m/>
    <m/>
  </r>
  <r>
    <x v="3"/>
    <s v="HILSRTL074"/>
    <s v="Yes"/>
    <x v="6"/>
    <s v="PCIe"/>
    <s v="SN3299583"/>
    <m/>
    <x v="0"/>
    <x v="0"/>
    <x v="19"/>
    <x v="13"/>
    <x v="1"/>
    <s v="No"/>
    <s v="No"/>
    <s v="4x"/>
    <s v="HILSRTL006sMini.hf.intel.com"/>
    <x v="194"/>
    <m/>
    <m/>
    <m/>
    <m/>
    <m/>
    <m/>
    <m/>
    <s v="Yes"/>
    <s v="Yes"/>
    <x v="0"/>
    <m/>
    <m/>
  </r>
  <r>
    <x v="3"/>
    <s v="HILSRTL075"/>
    <s v="Yes"/>
    <x v="3"/>
    <s v="PCIe"/>
    <s v="SN3299672"/>
    <m/>
    <x v="0"/>
    <x v="0"/>
    <x v="22"/>
    <x v="13"/>
    <x v="1"/>
    <s v="No"/>
    <s v="No"/>
    <s v="4x"/>
    <s v="ReplicantsMini2.hf.intel.com"/>
    <x v="194"/>
    <m/>
    <m/>
    <m/>
    <m/>
    <m/>
    <m/>
    <m/>
    <s v="Yes"/>
    <s v="Yes"/>
    <x v="0"/>
    <m/>
    <m/>
  </r>
  <r>
    <x v="3"/>
    <s v="HILSRTL076"/>
    <s v="Yes"/>
    <x v="4"/>
    <s v="PCIe"/>
    <s v="SN3299783"/>
    <m/>
    <x v="0"/>
    <x v="0"/>
    <x v="19"/>
    <x v="13"/>
    <x v="1"/>
    <s v="No"/>
    <s v="No"/>
    <s v="4x"/>
    <s v="HILSRTL006sMini.hf.intel.com"/>
    <x v="194"/>
    <m/>
    <m/>
    <m/>
    <m/>
    <m/>
    <m/>
    <m/>
    <s v="Yes"/>
    <s v="Yes"/>
    <x v="0"/>
    <m/>
    <m/>
  </r>
  <r>
    <x v="3"/>
    <s v="HILSRTL077"/>
    <s v="Yes"/>
    <x v="3"/>
    <s v="PCIe"/>
    <s v="SN3299516"/>
    <m/>
    <x v="0"/>
    <x v="0"/>
    <x v="19"/>
    <x v="13"/>
    <x v="1"/>
    <s v="No"/>
    <s v="No"/>
    <s v="4x"/>
    <s v="Replicants-Mini.hf.intel.com"/>
    <x v="194"/>
    <m/>
    <m/>
    <m/>
    <m/>
    <m/>
    <m/>
    <m/>
    <s v="Yes"/>
    <s v="Yes"/>
    <x v="0"/>
    <m/>
    <m/>
  </r>
  <r>
    <x v="3"/>
    <s v="HILSRTL078"/>
    <s v="Yes"/>
    <x v="10"/>
    <s v="PCIe"/>
    <s v="SN3299522"/>
    <m/>
    <x v="0"/>
    <x v="1"/>
    <x v="19"/>
    <x v="13"/>
    <x v="1"/>
    <s v="No"/>
    <s v="No"/>
    <s v="4x"/>
    <s v="HILSRTM007sMini.hf.intel.com"/>
    <x v="194"/>
    <m/>
    <m/>
    <m/>
    <m/>
    <m/>
    <m/>
    <m/>
    <s v="Yes"/>
    <s v="Yes"/>
    <x v="0"/>
    <m/>
    <m/>
  </r>
  <r>
    <x v="3"/>
    <s v="HILSRTL079"/>
    <s v="No"/>
    <x v="10"/>
    <s v="PCIe"/>
    <m/>
    <m/>
    <x v="3"/>
    <x v="2"/>
    <x v="2"/>
    <x v="13"/>
    <x v="1"/>
    <s v="No"/>
    <s v="No"/>
    <s v="4x"/>
    <m/>
    <x v="194"/>
    <m/>
    <m/>
    <m/>
    <m/>
    <m/>
    <m/>
    <m/>
    <s v="Yes"/>
    <s v="Yes"/>
    <x v="4"/>
    <m/>
    <s v="Congatec is dead"/>
  </r>
  <r>
    <x v="3"/>
    <s v="HILSRTL080"/>
    <s v="Yes"/>
    <x v="3"/>
    <s v="PCIe"/>
    <s v="SN3299433"/>
    <m/>
    <x v="0"/>
    <x v="0"/>
    <x v="19"/>
    <x v="13"/>
    <x v="1"/>
    <s v="No"/>
    <s v="Yes"/>
    <s v="4x"/>
    <s v="HILSRTM005sMini.hf.intel.com"/>
    <x v="194"/>
    <m/>
    <m/>
    <m/>
    <m/>
    <m/>
    <m/>
    <m/>
    <s v="Yes"/>
    <s v="Yes"/>
    <x v="0"/>
    <m/>
    <m/>
  </r>
  <r>
    <x v="3"/>
    <s v="HILSRTL116"/>
    <s v="Yes"/>
    <x v="0"/>
    <s v="PCIe"/>
    <s v="SN2794342"/>
    <m/>
    <x v="0"/>
    <x v="1"/>
    <x v="24"/>
    <x v="15"/>
    <x v="1"/>
    <s v="No"/>
    <s v="Yes"/>
    <s v="4x"/>
    <s v="HILSRTM005sMini.hf.intel.com"/>
    <x v="194"/>
    <m/>
    <m/>
    <m/>
    <m/>
    <m/>
    <m/>
    <m/>
    <s v="Yes"/>
    <s v="Yes"/>
    <x v="0"/>
    <m/>
    <m/>
  </r>
  <r>
    <x v="3"/>
    <s v="HILSRTL117"/>
    <s v="Yes"/>
    <x v="4"/>
    <s v="PCIe"/>
    <s v="SN2510778"/>
    <m/>
    <x v="0"/>
    <x v="0"/>
    <x v="19"/>
    <x v="13"/>
    <x v="1"/>
    <s v="No"/>
    <s v="Yes"/>
    <s v="4x"/>
    <s v="HILSRTL006sMini.hf.intel.com"/>
    <x v="194"/>
    <m/>
    <m/>
    <m/>
    <m/>
    <m/>
    <m/>
    <m/>
    <s v="Yes"/>
    <s v="Yes"/>
    <x v="0"/>
    <m/>
    <m/>
  </r>
  <r>
    <x v="3"/>
    <s v="HILSRTL118"/>
    <s v="Yes"/>
    <x v="6"/>
    <s v="PCIe"/>
    <s v="SN2510434"/>
    <m/>
    <x v="0"/>
    <x v="0"/>
    <x v="19"/>
    <x v="13"/>
    <x v="1"/>
    <s v="No"/>
    <s v="Yes"/>
    <s v="4x"/>
    <s v="HILSRTM005sMini.hf.intel.com"/>
    <x v="194"/>
    <m/>
    <m/>
    <m/>
    <m/>
    <m/>
    <m/>
    <m/>
    <s v="Yes"/>
    <s v="Yes"/>
    <x v="0"/>
    <m/>
    <m/>
  </r>
  <r>
    <x v="3"/>
    <s v="HILSRTL131"/>
    <s v="Yes"/>
    <x v="10"/>
    <s v="PCIe"/>
    <s v="SN3516415"/>
    <m/>
    <x v="0"/>
    <x v="1"/>
    <x v="19"/>
    <x v="13"/>
    <x v="1"/>
    <s v="No"/>
    <s v="Yes"/>
    <s v="4x"/>
    <s v="HILSRTM009sMini.hf.intel.com"/>
    <x v="194"/>
    <m/>
    <s v="C7H750600D1HXNKKU"/>
    <n v="4087610356"/>
    <n v="440152249318"/>
    <m/>
    <m/>
    <d v="2018-02-20T00:00:00"/>
    <s v="Yes"/>
    <s v="Yes"/>
    <x v="0"/>
    <m/>
    <m/>
  </r>
  <r>
    <x v="3"/>
    <s v="HILSRTL132"/>
    <s v="Yes"/>
    <x v="4"/>
    <s v="PCIe"/>
    <s v="SN3516416"/>
    <m/>
    <x v="0"/>
    <x v="0"/>
    <x v="19"/>
    <x v="13"/>
    <x v="1"/>
    <s v="No"/>
    <s v="Yes"/>
    <s v="4x"/>
    <s v="HILSRTL006sMini.hf.intel.com"/>
    <x v="194"/>
    <m/>
    <s v="C7H750600CHHXNKKF"/>
    <n v="5038670752"/>
    <n v="440152249320"/>
    <m/>
    <m/>
    <d v="2018-02-20T00:00:00"/>
    <s v="Yes"/>
    <s v="Yes"/>
    <x v="0"/>
    <m/>
    <m/>
  </r>
  <r>
    <x v="3"/>
    <s v="HILSRTL133"/>
    <s v="Yes"/>
    <x v="6"/>
    <s v="PCIe"/>
    <s v="SN3516384"/>
    <m/>
    <x v="0"/>
    <x v="0"/>
    <x v="19"/>
    <x v="13"/>
    <x v="1"/>
    <s v="No"/>
    <s v="Yes"/>
    <s v="4x"/>
    <s v="ReplicantsMini2.hf.intel.com"/>
    <x v="194"/>
    <m/>
    <s v="C7H750600CKHXNKKD"/>
    <n v="9712913192"/>
    <n v="440152249324"/>
    <m/>
    <m/>
    <d v="2018-03-01T00:00:00"/>
    <s v="Yes"/>
    <s v="Yes"/>
    <x v="0"/>
    <m/>
    <m/>
  </r>
  <r>
    <x v="3"/>
    <s v="HILSRTL134"/>
    <s v="Yes"/>
    <x v="10"/>
    <s v="PCIe"/>
    <s v="SN3516440"/>
    <m/>
    <x v="0"/>
    <x v="1"/>
    <x v="19"/>
    <x v="13"/>
    <x v="1"/>
    <s v="No"/>
    <s v="Yes"/>
    <s v="4x"/>
    <s v="HILSRTM005sMini.hf.intel.com"/>
    <x v="194"/>
    <m/>
    <m/>
    <m/>
    <m/>
    <m/>
    <m/>
    <m/>
    <s v="Yes"/>
    <s v="Yes"/>
    <x v="0"/>
    <m/>
    <m/>
  </r>
  <r>
    <x v="3"/>
    <s v="HILSRTL135"/>
    <s v="Yes"/>
    <x v="0"/>
    <s v="PCIe"/>
    <s v="SN3516743"/>
    <m/>
    <x v="0"/>
    <x v="0"/>
    <x v="19"/>
    <x v="13"/>
    <x v="1"/>
    <s v="No"/>
    <s v="Yes"/>
    <s v="4x"/>
    <s v="HILSRTM005sMini.hf.intel.com"/>
    <x v="194"/>
    <m/>
    <s v="C7H750600DAHXNKKK"/>
    <n v="5037292826"/>
    <n v="440152249245"/>
    <m/>
    <m/>
    <d v="2018-02-16T00:00:00"/>
    <s v="Yes"/>
    <s v="Yes"/>
    <x v="0"/>
    <m/>
    <m/>
  </r>
  <r>
    <x v="3"/>
    <s v="HILSRTL136"/>
    <s v="Yes"/>
    <x v="6"/>
    <s v="PCIe"/>
    <s v="SN3299438"/>
    <m/>
    <x v="0"/>
    <x v="0"/>
    <x v="19"/>
    <x v="13"/>
    <x v="1"/>
    <s v="No"/>
    <s v="Yes"/>
    <s v="4x"/>
    <s v="HILSRTM005sMini.hf.intel.com"/>
    <x v="194"/>
    <m/>
    <s v="C7H750600BXHXNKK4"/>
    <n v="4087610432"/>
    <n v="440152249240"/>
    <m/>
    <m/>
    <d v="2018-02-14T00:00:00"/>
    <s v="Yes"/>
    <s v="Yes"/>
    <x v="0"/>
    <m/>
    <m/>
  </r>
  <r>
    <x v="3"/>
    <s v="HILSRTL137"/>
    <s v="Yes"/>
    <x v="6"/>
    <s v="PCIe"/>
    <s v="SN3299358"/>
    <m/>
    <x v="0"/>
    <x v="0"/>
    <x v="19"/>
    <x v="13"/>
    <x v="1"/>
    <s v="No"/>
    <s v="Yes"/>
    <s v="4x"/>
    <s v="HILSRTM005sMini.hf.intel.com"/>
    <x v="194"/>
    <m/>
    <s v="C7H750600DDHXNKKG"/>
    <n v="9712913190"/>
    <n v="440152249325"/>
    <m/>
    <m/>
    <d v="2018-03-01T00:00:00"/>
    <s v="Yes"/>
    <s v="Yes"/>
    <x v="0"/>
    <m/>
    <m/>
  </r>
  <r>
    <x v="3"/>
    <s v="HILSRTL138"/>
    <s v="Yes"/>
    <x v="10"/>
    <s v="PCIe"/>
    <s v="SN3516415"/>
    <m/>
    <x v="0"/>
    <x v="1"/>
    <x v="19"/>
    <x v="13"/>
    <x v="1"/>
    <s v="No"/>
    <s v="Yes"/>
    <s v="4x"/>
    <s v="HILSRTM009sMini.hf.intel.com"/>
    <x v="194"/>
    <m/>
    <s v="C7H750600EWHXNKKW"/>
    <n v="4087612745"/>
    <n v="440152249241"/>
    <m/>
    <m/>
    <d v="2018-02-14T00:00:00"/>
    <s v="Yes"/>
    <s v="Yes"/>
    <x v="0"/>
    <m/>
    <m/>
  </r>
  <r>
    <x v="3"/>
    <s v="HILSRTL139"/>
    <s v="Yes"/>
    <x v="0"/>
    <s v="PCIe"/>
    <s v="SN3299417"/>
    <m/>
    <x v="0"/>
    <x v="0"/>
    <x v="19"/>
    <x v="13"/>
    <x v="1"/>
    <s v="No"/>
    <s v="Yes"/>
    <s v="4x"/>
    <s v="HILSRTM005sMini.hf.intel.com"/>
    <x v="194"/>
    <m/>
    <s v="C7H750600G1HXNKKK"/>
    <n v="4087613620"/>
    <n v="440152249243"/>
    <m/>
    <m/>
    <d v="2018-02-14T00:00:00"/>
    <s v="Yes"/>
    <s v="Yes"/>
    <x v="0"/>
    <m/>
    <m/>
  </r>
  <r>
    <x v="3"/>
    <s v="HILSRTL140"/>
    <s v="Yes"/>
    <x v="0"/>
    <s v="PCIe"/>
    <s v="SN3516390"/>
    <m/>
    <x v="0"/>
    <x v="0"/>
    <x v="22"/>
    <x v="13"/>
    <x v="1"/>
    <s v="No"/>
    <s v="Yes"/>
    <s v="4x"/>
    <s v="ReplicantsMini2.hf.intel.com"/>
    <x v="194"/>
    <m/>
    <s v="C7H750600FJHXNKK5"/>
    <m/>
    <n v="440152249236"/>
    <m/>
    <m/>
    <d v="2018-02-14T00:00:00"/>
    <s v="Yes"/>
    <s v="Yes"/>
    <x v="0"/>
    <m/>
    <m/>
  </r>
  <r>
    <x v="3"/>
    <s v="HILSRTL141"/>
    <s v="Yes"/>
    <x v="10"/>
    <s v="PCIe"/>
    <s v="SN3516355"/>
    <m/>
    <x v="0"/>
    <x v="1"/>
    <x v="19"/>
    <x v="13"/>
    <x v="1"/>
    <s v="No"/>
    <s v="Yes"/>
    <s v="4x"/>
    <s v="HILSRTM005sMini.hf.intel.com"/>
    <x v="194"/>
    <m/>
    <s v="C7H750600F2HXNKKM"/>
    <n v="4087612499"/>
    <n v="440152249249"/>
    <m/>
    <m/>
    <d v="2018-02-14T00:00:00"/>
    <s v="Yes"/>
    <s v="Yes"/>
    <x v="0"/>
    <m/>
    <m/>
  </r>
  <r>
    <x v="3"/>
    <s v="HILSRTL142"/>
    <s v="Yes"/>
    <x v="3"/>
    <s v="PCIe"/>
    <s v="SN3516437"/>
    <m/>
    <x v="0"/>
    <x v="0"/>
    <x v="19"/>
    <x v="13"/>
    <x v="1"/>
    <s v="No"/>
    <s v="Yes"/>
    <s v="4x"/>
    <s v="HILSRTM005sMini.hf.intel.com"/>
    <x v="194"/>
    <m/>
    <s v="C7H750600FTHXNKKW"/>
    <n v="4087612499"/>
    <n v="440152249242"/>
    <m/>
    <m/>
    <d v="2018-02-14T00:00:00"/>
    <s v="Yes"/>
    <s v="Yes"/>
    <x v="0"/>
    <m/>
    <m/>
  </r>
  <r>
    <x v="3"/>
    <s v="HILSRTL346"/>
    <s v="Yes"/>
    <x v="4"/>
    <s v="PCIe"/>
    <s v="SN3516415"/>
    <m/>
    <x v="0"/>
    <x v="0"/>
    <x v="19"/>
    <x v="13"/>
    <x v="1"/>
    <s v="No"/>
    <s v="Yes"/>
    <s v="4x"/>
    <s v="HILSRTM005sMini.hf.intel.com"/>
    <x v="194"/>
    <m/>
    <s v="C7H750600CMHXNKKB"/>
    <n v="9714132781"/>
    <n v="440152249329"/>
    <m/>
    <m/>
    <d v="2018-03-02T00:00:00"/>
    <s v="Yes"/>
    <s v="Yes"/>
    <x v="0"/>
    <m/>
    <m/>
  </r>
  <r>
    <x v="3"/>
    <s v="HILSRTL567"/>
    <s v="Yes"/>
    <x v="6"/>
    <s v="PCIe"/>
    <s v="SN3516415"/>
    <m/>
    <x v="0"/>
    <x v="0"/>
    <x v="19"/>
    <x v="13"/>
    <x v="1"/>
    <s v="No"/>
    <s v="No"/>
    <s v="4x"/>
    <s v="Replicants-Mini.hf.intel.com"/>
    <x v="194"/>
    <m/>
    <m/>
    <m/>
    <m/>
    <m/>
    <m/>
    <m/>
    <s v="Yes"/>
    <s v="Yes"/>
    <x v="0"/>
    <m/>
    <m/>
  </r>
  <r>
    <x v="3"/>
    <s v="HILSRTL143"/>
    <s v="Yes"/>
    <x v="4"/>
    <s v="PCIe"/>
    <s v="SN2794331"/>
    <m/>
    <x v="0"/>
    <x v="0"/>
    <x v="19"/>
    <x v="13"/>
    <x v="1"/>
    <s v="No"/>
    <s v="Yes"/>
    <s v="4x"/>
    <s v="HILSRTL006sMini.hf.intel.com"/>
    <x v="194"/>
    <m/>
    <s v="C7H750600CGHXNKKG"/>
    <n v="9712913187"/>
    <n v="440152249308"/>
    <m/>
    <m/>
    <m/>
    <s v="Yes"/>
    <s v="Yes"/>
    <x v="0"/>
    <m/>
    <m/>
  </r>
  <r>
    <x v="3"/>
    <s v="HILSRTL144"/>
    <s v="Yes"/>
    <x v="1"/>
    <s v="PCIe"/>
    <s v="SN2510444"/>
    <m/>
    <x v="0"/>
    <x v="0"/>
    <x v="19"/>
    <x v="13"/>
    <x v="1"/>
    <s v="No"/>
    <s v="Yes"/>
    <s v="4x"/>
    <s v="HILSRTM005sMini.hf.intel.com"/>
    <x v="194"/>
    <m/>
    <m/>
    <m/>
    <m/>
    <m/>
    <m/>
    <m/>
    <s v="Yes"/>
    <s v="Yes"/>
    <x v="0"/>
    <m/>
    <m/>
  </r>
  <r>
    <x v="3"/>
    <s v="HILSRTL145"/>
    <s v="Yes"/>
    <x v="4"/>
    <s v="PCIe"/>
    <s v="SN3219969"/>
    <m/>
    <x v="0"/>
    <x v="1"/>
    <x v="19"/>
    <x v="13"/>
    <x v="1"/>
    <s v="No"/>
    <s v="Yes"/>
    <s v="4x"/>
    <s v="HILSRTL006sMini.hf.intel.com"/>
    <x v="194"/>
    <m/>
    <s v="C7H750600EPHXNKK3"/>
    <n v="9712913185"/>
    <n v="440152249314"/>
    <m/>
    <m/>
    <m/>
    <s v="Yes"/>
    <s v="Yes"/>
    <x v="0"/>
    <m/>
    <m/>
  </r>
  <r>
    <x v="3"/>
    <s v="HILSRTL146"/>
    <s v="Yes"/>
    <x v="4"/>
    <s v="PCIe"/>
    <s v="SN2510977"/>
    <m/>
    <x v="0"/>
    <x v="0"/>
    <x v="19"/>
    <x v="13"/>
    <x v="1"/>
    <s v="No"/>
    <s v="Yes"/>
    <s v="4x"/>
    <s v="HILSRTM005sMini.hf.intel.com"/>
    <x v="194"/>
    <m/>
    <m/>
    <m/>
    <m/>
    <m/>
    <m/>
    <m/>
    <s v="Yes"/>
    <s v="Yes"/>
    <x v="0"/>
    <m/>
    <m/>
  </r>
  <r>
    <x v="3"/>
    <s v="HILSRTL157"/>
    <s v="Yes"/>
    <x v="1"/>
    <s v="PCIe"/>
    <s v="SN2794331"/>
    <m/>
    <x v="0"/>
    <x v="0"/>
    <x v="19"/>
    <x v="13"/>
    <x v="1"/>
    <s v="No"/>
    <s v="Yes"/>
    <s v="4x"/>
    <s v="HILSRTM007sMini.hf.intel.com"/>
    <x v="194"/>
    <m/>
    <s v="C7H750600C3HXNKKV"/>
    <n v="9712913191"/>
    <n v="440152249343"/>
    <m/>
    <m/>
    <m/>
    <s v="Yes"/>
    <s v="Yes"/>
    <x v="0"/>
    <m/>
    <m/>
  </r>
  <r>
    <x v="3"/>
    <s v="HILSRTL159"/>
    <s v="Yes"/>
    <x v="4"/>
    <s v="PCIe"/>
    <s v="SN2794279"/>
    <m/>
    <x v="0"/>
    <x v="0"/>
    <x v="19"/>
    <x v="13"/>
    <x v="1"/>
    <s v="No"/>
    <s v="Yes"/>
    <s v="4x"/>
    <s v="HILSRTL006sMini.hf.intel.com"/>
    <x v="194"/>
    <m/>
    <s v="C7H750600E2HXNKKQ"/>
    <n v="9712913183"/>
    <n v="440152249311"/>
    <m/>
    <m/>
    <d v="2018-03-21T00:00:00"/>
    <s v="Yes"/>
    <s v="Yes"/>
    <x v="0"/>
    <m/>
    <m/>
  </r>
  <r>
    <x v="3"/>
    <s v="HILSRTL161"/>
    <s v="Yes"/>
    <x v="3"/>
    <s v="PCIe"/>
    <s v="SN2794366"/>
    <m/>
    <x v="0"/>
    <x v="0"/>
    <x v="19"/>
    <x v="13"/>
    <x v="1"/>
    <s v="No"/>
    <s v="No"/>
    <s v="4x"/>
    <s v="HILSRTM005sMini.hf.intel.com"/>
    <x v="194"/>
    <m/>
    <m/>
    <m/>
    <m/>
    <m/>
    <m/>
    <d v="2018-03-21T00:00:00"/>
    <s v="Yes"/>
    <s v="Yes"/>
    <x v="0"/>
    <m/>
    <s v="IMPLEMENTATION OF IDC WORK IN SR"/>
  </r>
  <r>
    <x v="3"/>
    <s v="HILSRTL162"/>
    <s v="Yes"/>
    <x v="6"/>
    <s v="PCIe"/>
    <s v="SN2510942"/>
    <m/>
    <x v="0"/>
    <x v="0"/>
    <x v="19"/>
    <x v="13"/>
    <x v="1"/>
    <s v="No"/>
    <s v="Yes"/>
    <s v="4x"/>
    <s v="HILSRTM005sMini.hf.intel.com"/>
    <x v="194"/>
    <m/>
    <m/>
    <m/>
    <m/>
    <m/>
    <m/>
    <d v="2018-03-21T00:00:00"/>
    <s v="Yes"/>
    <s v="Yes"/>
    <x v="0"/>
    <m/>
    <m/>
  </r>
  <r>
    <x v="3"/>
    <s v="HILSRTL163"/>
    <s v="Yes"/>
    <x v="1"/>
    <s v="PCIe"/>
    <s v="SN2510560"/>
    <m/>
    <x v="0"/>
    <x v="0"/>
    <x v="19"/>
    <x v="13"/>
    <x v="1"/>
    <s v="No"/>
    <s v="Yes"/>
    <s v="4x"/>
    <s v="HILSRTM005sMini.hf.intel.com"/>
    <x v="194"/>
    <m/>
    <m/>
    <m/>
    <m/>
    <m/>
    <m/>
    <d v="2018-03-21T00:00:00"/>
    <s v="Yes"/>
    <s v="Yes"/>
    <x v="0"/>
    <m/>
    <m/>
  </r>
  <r>
    <x v="3"/>
    <s v="HILSRTL169"/>
    <s v="Yes"/>
    <x v="1"/>
    <s v="PCIe"/>
    <s v="SN2794411"/>
    <m/>
    <x v="0"/>
    <x v="0"/>
    <x v="19"/>
    <x v="13"/>
    <x v="1"/>
    <s v="No"/>
    <s v="Yes"/>
    <s v="4x"/>
    <s v="HILSRTL006sMini.hf.intel.com"/>
    <x v="194"/>
    <m/>
    <s v="C7H750600ETHXNKKZ"/>
    <n v="9717277497"/>
    <n v="4401522493459"/>
    <m/>
    <m/>
    <d v="2018-03-21T00:00:00"/>
    <s v="Yes"/>
    <s v="Yes"/>
    <x v="0"/>
    <m/>
    <m/>
  </r>
  <r>
    <x v="3"/>
    <s v="HILSRTL170"/>
    <s v="Yes"/>
    <x v="1"/>
    <s v="PCIe"/>
    <s v="SN2510563"/>
    <m/>
    <x v="0"/>
    <x v="0"/>
    <x v="19"/>
    <x v="13"/>
    <x v="1"/>
    <s v="No"/>
    <s v="Yes"/>
    <s v="4x"/>
    <s v="HILSRTM007sMini.hf.intel.com"/>
    <x v="194"/>
    <m/>
    <s v="C7H750600CAHXNKKN"/>
    <n v="9717274291"/>
    <n v="440152249351"/>
    <m/>
    <m/>
    <d v="2018-03-21T00:00:00"/>
    <s v="Yes"/>
    <s v="Yes"/>
    <x v="0"/>
    <m/>
    <m/>
  </r>
  <r>
    <x v="3"/>
    <s v="HILSRTL172"/>
    <s v="Yes"/>
    <x v="1"/>
    <s v="PCIe"/>
    <s v="SN2794292"/>
    <m/>
    <x v="0"/>
    <x v="0"/>
    <x v="19"/>
    <x v="13"/>
    <x v="1"/>
    <s v="No"/>
    <s v="Yes"/>
    <s v="4x"/>
    <s v="HILSRTL006sMini.hf.intel.com"/>
    <x v="194"/>
    <m/>
    <s v="C7H750600DGHXNKKD"/>
    <n v="9717277295"/>
    <n v="440152249353"/>
    <m/>
    <m/>
    <d v="2018-03-21T00:00:00"/>
    <s v="Yes"/>
    <s v="Yes"/>
    <x v="0"/>
    <m/>
    <m/>
  </r>
  <r>
    <x v="3"/>
    <s v="HILSRTL173"/>
    <s v="Yes"/>
    <x v="1"/>
    <s v="PCIe"/>
    <s v="SN2794382"/>
    <m/>
    <x v="0"/>
    <x v="0"/>
    <x v="19"/>
    <x v="13"/>
    <x v="1"/>
    <s v="No"/>
    <s v="Yes"/>
    <s v="4x"/>
    <s v="HILSRTL006sMini.hf.intel.com"/>
    <x v="194"/>
    <m/>
    <s v="C7H750600E7HXNKKK"/>
    <n v="9717277292"/>
    <n v="440152249347"/>
    <m/>
    <m/>
    <d v="2018-03-21T00:00:00"/>
    <s v="Yes"/>
    <s v="Yes"/>
    <x v="0"/>
    <m/>
    <m/>
  </r>
  <r>
    <x v="3"/>
    <s v="HILSRTL174"/>
    <s v="Yes"/>
    <x v="0"/>
    <s v="PCIe"/>
    <s v="SN2510761"/>
    <m/>
    <x v="0"/>
    <x v="0"/>
    <x v="19"/>
    <x v="13"/>
    <x v="1"/>
    <s v="No"/>
    <s v="Yes"/>
    <s v="4x"/>
    <s v="HILSRTM004sMini.hf.intel.com"/>
    <x v="194"/>
    <m/>
    <s v="C7H750600EQHXNKK2"/>
    <n v="9717276967"/>
    <n v="440152249348"/>
    <m/>
    <m/>
    <d v="2018-03-21T00:00:00"/>
    <s v="Yes"/>
    <s v="Yes"/>
    <x v="0"/>
    <m/>
    <m/>
  </r>
  <r>
    <x v="3"/>
    <s v="HILSRTL175"/>
    <s v="Yes"/>
    <x v="1"/>
    <s v="PCIe"/>
    <s v="SN2510492"/>
    <m/>
    <x v="0"/>
    <x v="0"/>
    <x v="19"/>
    <x v="13"/>
    <x v="1"/>
    <s v="No"/>
    <s v="Yes"/>
    <s v="4x"/>
    <s v="HILSRTL006sMini.hf.intel.com"/>
    <x v="194"/>
    <m/>
    <s v="C7H750600E6HXNKKL"/>
    <n v="5037184985"/>
    <n v="440152249346"/>
    <m/>
    <m/>
    <d v="2018-03-26T00:00:00"/>
    <s v="Yes"/>
    <s v="Yes"/>
    <x v="0"/>
    <m/>
    <m/>
  </r>
  <r>
    <x v="3"/>
    <s v="HILSRTL176"/>
    <s v="Yes"/>
    <x v="1"/>
    <s v="PCIe"/>
    <s v="SN2510595"/>
    <m/>
    <x v="0"/>
    <x v="0"/>
    <x v="19"/>
    <x v="14"/>
    <x v="1"/>
    <s v="No"/>
    <s v="Yes"/>
    <s v="4x"/>
    <m/>
    <x v="194"/>
    <m/>
    <s v="C7H750600DKHXNKKA"/>
    <n v="971727403"/>
    <n v="440152249352"/>
    <m/>
    <m/>
    <d v="2018-03-26T00:00:00"/>
    <s v="Yes"/>
    <s v="Yes"/>
    <x v="0"/>
    <m/>
    <m/>
  </r>
  <r>
    <x v="3"/>
    <s v="HILSRTL171"/>
    <s v="Yes"/>
    <x v="4"/>
    <s v="PCIe"/>
    <m/>
    <m/>
    <x v="0"/>
    <x v="0"/>
    <x v="19"/>
    <x v="14"/>
    <x v="1"/>
    <s v="No"/>
    <s v="Yes"/>
    <s v="4x"/>
    <s v="HILSRTM007sMini.hf.intel.com"/>
    <x v="194"/>
    <m/>
    <s v="C7H750600DKHXNKKA"/>
    <n v="971727403"/>
    <n v="440152249352"/>
    <m/>
    <m/>
    <d v="2018-03-26T00:00:00"/>
    <s v="Yes"/>
    <s v="Yes"/>
    <x v="0"/>
    <m/>
    <m/>
  </r>
  <r>
    <x v="3"/>
    <s v="HILSRTL182"/>
    <s v="Yes"/>
    <x v="1"/>
    <s v="PCIe"/>
    <s v="SN3633313"/>
    <m/>
    <x v="0"/>
    <x v="0"/>
    <x v="19"/>
    <x v="14"/>
    <x v="1"/>
    <s v="No"/>
    <s v="Yes"/>
    <s v="4x"/>
    <s v="HILSRTM007sMini.hf.intel.com"/>
    <x v="194"/>
    <m/>
    <s v="C7H750600DKHXNKKA"/>
    <n v="971727403"/>
    <n v="440152249352"/>
    <m/>
    <m/>
    <d v="2018-03-26T00:00:00"/>
    <s v="Yes"/>
    <s v="Yes"/>
    <x v="0"/>
    <m/>
    <m/>
  </r>
  <r>
    <x v="4"/>
    <s v="BEJSRTL101"/>
    <s v="Yes"/>
    <x v="10"/>
    <s v="PCIe"/>
    <n v="2510408"/>
    <s v="459/R42/7"/>
    <x v="0"/>
    <x v="1"/>
    <x v="25"/>
    <x v="16"/>
    <x v="1"/>
    <s v="No"/>
    <s v="Yes"/>
    <s v="4x"/>
    <s v="bejsrtm008smini.bj.intel.com"/>
    <x v="195"/>
    <s v="E1DFEAA217040300FFFFFFFF"/>
    <s v="C7H7513007THXNKKL"/>
    <n v="13910404844"/>
    <s v="00440152217931"/>
    <s v="00440152218831"/>
    <n v="18911034661"/>
    <d v="2018-07-20T00:00:00"/>
    <s v="Yes"/>
    <s v="Yes"/>
    <x v="0"/>
    <s v="REGULAR TEST"/>
    <m/>
  </r>
  <r>
    <x v="4"/>
    <s v="BEJSRTL102"/>
    <s v="Yes"/>
    <x v="12"/>
    <s v="PCIe"/>
    <n v="2510479"/>
    <s v="439/R10/5"/>
    <x v="0"/>
    <x v="0"/>
    <x v="26"/>
    <x v="14"/>
    <x v="1"/>
    <s v="No"/>
    <s v="Yes"/>
    <s v="4x"/>
    <s v="bejsrtm007smini.bj.intel.com"/>
    <x v="196"/>
    <s v="E15F09F3944D0800FFFFFFFF"/>
    <s v="C7H752300BQHXNKK8"/>
    <n v="15321617389"/>
    <s v="00440152217745"/>
    <s v="00440152218645"/>
    <m/>
    <d v="2018-06-01T00:00:00"/>
    <s v="Yes"/>
    <s v="Yes"/>
    <x v="0"/>
    <s v="REGULAR TEST"/>
    <m/>
  </r>
  <r>
    <x v="4"/>
    <s v="BEJSRTL103"/>
    <s v="Yes"/>
    <x v="6"/>
    <s v="PCIe"/>
    <n v="2250585"/>
    <s v="439/R15/5"/>
    <x v="0"/>
    <x v="1"/>
    <x v="27"/>
    <x v="17"/>
    <x v="1"/>
    <s v="No"/>
    <s v="No"/>
    <s v="4x"/>
    <s v="bijsrtm012smini.bj.intel.com"/>
    <x v="197"/>
    <s v="E1DF19D2B7790800FFFFFFFF"/>
    <s v="C7H75130199HXNKKX"/>
    <n v="13910409924"/>
    <s v="00440152218006"/>
    <s v="00440152218906"/>
    <n v="13810859312"/>
    <d v="2018-04-10T00:00:00"/>
    <s v="Yes"/>
    <s v="Yes"/>
    <x v="0"/>
    <s v="REGULAR TEST"/>
    <m/>
  </r>
  <r>
    <x v="4"/>
    <s v="BEJSRTL104"/>
    <s v="Yes"/>
    <x v="6"/>
    <s v="PCIe"/>
    <n v="2510712"/>
    <s v="439/R33/1"/>
    <x v="0"/>
    <x v="1"/>
    <x v="28"/>
    <x v="18"/>
    <x v="1"/>
    <s v="No"/>
    <s v="No"/>
    <s v="Yes"/>
    <s v="bejsrtm010smini.bj.intel.com"/>
    <x v="198"/>
    <s v="E1DFBA42C52E0B00FFFFFFFF"/>
    <s v="C7H7513008EHXNKKW"/>
    <n v="13800001332"/>
    <s v="00440152219524"/>
    <s v="00440152264314"/>
    <n v="13800001333"/>
    <d v="2018-07-09T00:00:00"/>
    <s v="Yes"/>
    <s v="Yes"/>
    <x v="0"/>
    <s v="REGULAR TEST"/>
    <m/>
  </r>
  <r>
    <x v="4"/>
    <s v="BEJSRTL105"/>
    <s v="Yes"/>
    <x v="10"/>
    <s v="PCIe"/>
    <n v="2510554"/>
    <s v="439/R10/8"/>
    <x v="0"/>
    <x v="1"/>
    <x v="29"/>
    <x v="19"/>
    <x v="1"/>
    <s v="No"/>
    <s v="Yes"/>
    <s v="4x"/>
    <s v="bejsrtm009smini.bj.intel.com"/>
    <x v="199"/>
    <s v="E15FF9F2C8820A00FFFFFFFF"/>
    <s v="C7H752300C8HXNKKM"/>
    <n v="18911034663"/>
    <s v="00440152218007"/>
    <s v="00440152218907"/>
    <n v="13810331714"/>
    <d v="2018-04-25T00:00:00"/>
    <s v="Yes"/>
    <s v="Yes"/>
    <x v="0"/>
    <s v="REGULAR TEST"/>
    <m/>
  </r>
  <r>
    <x v="4"/>
    <s v="BEJSRTL106"/>
    <s v="Yes"/>
    <x v="12"/>
    <s v="PCIe"/>
    <n v="2510721"/>
    <s v="439/R10/6"/>
    <x v="0"/>
    <x v="0"/>
    <x v="26"/>
    <x v="14"/>
    <x v="1"/>
    <s v="No"/>
    <s v="Yes"/>
    <s v="4x"/>
    <s v="7560utt235smini.bj.intel.com"/>
    <x v="200"/>
    <s v="E15FD8BC5A1C0500FFFFFFFF"/>
    <s v="C7H749700DGHXNKKL"/>
    <n v="18911473170"/>
    <s v="00440152218008"/>
    <s v="00440152218908"/>
    <m/>
    <d v="2018-04-27T00:00:00"/>
    <s v="Yes"/>
    <s v="Yes"/>
    <x v="0"/>
    <s v="REGULAR TEST"/>
    <m/>
  </r>
  <r>
    <x v="4"/>
    <s v="BEJSRTL107"/>
    <s v="Yes"/>
    <x v="6"/>
    <s v="PCIe"/>
    <n v="2510498"/>
    <s v="439/R10/6"/>
    <x v="0"/>
    <x v="1"/>
    <x v="30"/>
    <x v="20"/>
    <x v="1"/>
    <s v="No"/>
    <s v="No"/>
    <s v="4x"/>
    <s v="7560utt236smini.bj.intel.com"/>
    <x v="201"/>
    <s v="E1DFBA0E45190F00FFFFFFFF"/>
    <s v="C7H75130129HXNKKJ"/>
    <n v="18618480753"/>
    <s v="00440152218026"/>
    <s v="00440152218926"/>
    <n v="13810711215"/>
    <d v="2018-04-24T00:00:00"/>
    <s v="Yes"/>
    <s v="Yes"/>
    <x v="0"/>
    <s v="REGULAR TEST"/>
    <m/>
  </r>
  <r>
    <x v="4"/>
    <s v="BEJSRTL108"/>
    <s v="Yes"/>
    <x v="6"/>
    <s v="PCIe"/>
    <n v="2510929"/>
    <s v="439/R1/2"/>
    <x v="0"/>
    <x v="0"/>
    <x v="26"/>
    <x v="13"/>
    <x v="1"/>
    <s v="No"/>
    <s v="Yes"/>
    <s v="4x"/>
    <s v="7560utt235smini.bj.intel.com"/>
    <x v="202"/>
    <s v="E1DF09B23C570800FFFFFFFF"/>
    <s v="C7H752300DRHXNKK1"/>
    <n v="18911473504"/>
    <s v="00440152262030"/>
    <s v="00440152262232"/>
    <m/>
    <d v="2018-04-27T00:00:00"/>
    <s v="Yes"/>
    <s v="Yes"/>
    <x v="0"/>
    <s v="REGULAR TEST"/>
    <m/>
  </r>
  <r>
    <x v="4"/>
    <s v="BEJSRTL110"/>
    <s v="Yes"/>
    <x v="10"/>
    <s v="PCIe"/>
    <n v="2510954"/>
    <s v="439/R1/4"/>
    <x v="0"/>
    <x v="0"/>
    <x v="31"/>
    <x v="0"/>
    <x v="1"/>
    <s v="No"/>
    <s v="No"/>
    <s v="4x"/>
    <s v="bejsrtm005smini.bj.intel.com"/>
    <x v="203"/>
    <s v="E15F09B7529B0A00FFFFFFFF"/>
    <s v="C7H752300CBHXNKKJ"/>
    <n v="13811653692"/>
    <s v="00440152219585"/>
    <s v="00440152264375"/>
    <m/>
    <d v="2018-04-23T00:00:00"/>
    <s v="Yes"/>
    <s v="Yes"/>
    <x v="0"/>
    <s v="REGULAR TEST"/>
    <m/>
  </r>
  <r>
    <x v="4"/>
    <s v="BEJSRTL111"/>
    <s v="Yes"/>
    <x v="6"/>
    <s v="PCIe"/>
    <n v="2510582"/>
    <s v="439/R1/3"/>
    <x v="0"/>
    <x v="1"/>
    <x v="32"/>
    <x v="21"/>
    <x v="1"/>
    <s v="No"/>
    <s v="No"/>
    <s v="4x"/>
    <s v="7560utt243smini.bj.intel.com"/>
    <x v="204"/>
    <s v="E1DFAA3A2C520C00FFFFFFFF"/>
    <s v="C7H75130095HXNKK2"/>
    <n v="13811021282"/>
    <s v="00440152218032"/>
    <s v="00440152218932"/>
    <n v="13051119001"/>
    <d v="2018-04-24T00:00:00"/>
    <s v="Yes"/>
    <s v="Yes"/>
    <x v="0"/>
    <s v="REGULAR TEST"/>
    <m/>
  </r>
  <r>
    <x v="4"/>
    <s v="BEJSRTL112"/>
    <s v="Yes"/>
    <x v="12"/>
    <s v="PCIe"/>
    <n v="2511059"/>
    <s v="439/R1/1"/>
    <x v="0"/>
    <x v="1"/>
    <x v="25"/>
    <x v="16"/>
    <x v="1"/>
    <s v="No"/>
    <s v="Yes"/>
    <s v="4x"/>
    <s v="bijsrtm012smini.bj.intel.com"/>
    <x v="205"/>
    <s v="E1DF5A9F1C950500FFFFFFFF"/>
    <s v="C7H751300C5HXNKKT"/>
    <n v="13810018074"/>
    <s v="00440452217936"/>
    <s v="00440152218836"/>
    <n v="18911124235"/>
    <d v="2018-04-24T00:00:00"/>
    <s v="Yes"/>
    <s v="Yes"/>
    <x v="0"/>
    <s v="REGULAR TEST"/>
    <m/>
  </r>
  <r>
    <x v="4"/>
    <s v="BEJSRTL115"/>
    <s v="Yes"/>
    <x v="12"/>
    <s v="PCIe"/>
    <n v="2250577"/>
    <s v="439/R6/2"/>
    <x v="0"/>
    <x v="1"/>
    <x v="33"/>
    <x v="1"/>
    <x v="1"/>
    <s v="No"/>
    <s v="No"/>
    <s v="4x"/>
    <s v="7560utt127smini.bj.intel.com"/>
    <x v="206"/>
    <s v="E15F590F0EE20A00FFFFFFFF"/>
    <s v="C7H751301CCHXNKKK"/>
    <n v="13121819332"/>
    <s v="00440152218087"/>
    <s v="00440152218987"/>
    <n v="18501967551"/>
    <d v="2018-08-22T00:00:00"/>
    <s v="Yes"/>
    <s v="Yes"/>
    <x v="0"/>
    <s v="REGULAR TEST"/>
    <m/>
  </r>
  <r>
    <x v="4"/>
    <s v="BEJSRTL118"/>
    <s v="Yes"/>
    <x v="10"/>
    <s v="PCIe"/>
    <n v="2250566"/>
    <s v="439/R2/4"/>
    <x v="0"/>
    <x v="1"/>
    <x v="30"/>
    <x v="20"/>
    <x v="1"/>
    <s v="No"/>
    <s v="No"/>
    <s v="4x"/>
    <s v="7560utt241smini.bj.intel.com"/>
    <x v="207"/>
    <s v="E1DFAAD84C140F00FFFFFFFF"/>
    <s v="C7H7513009VHXNKKC"/>
    <n v="15600242251"/>
    <s v="00440152218088"/>
    <s v="00440152218988"/>
    <n v="13810832971"/>
    <d v="2018-08-22T00:00:00"/>
    <s v="Yes"/>
    <s v="Yes"/>
    <x v="0"/>
    <s v="REGULAR TEST"/>
    <m/>
  </r>
  <r>
    <x v="4"/>
    <s v="BEJSRTL119"/>
    <s v="Yes"/>
    <x v="10"/>
    <s v="PCIe"/>
    <n v="2510734"/>
    <s v="439/R6/3"/>
    <x v="0"/>
    <x v="0"/>
    <x v="26"/>
    <x v="13"/>
    <x v="1"/>
    <s v="No"/>
    <s v="Yes"/>
    <s v="4x"/>
    <s v="bejsrtm005smini.bj.intel.com"/>
    <x v="208"/>
    <s v="E15FE9B2E5380800FFFFFFFF"/>
    <s v="C7H752300D0HXNKKS"/>
    <n v="15321837105"/>
    <s v="00440152219497"/>
    <s v="00440152264287"/>
    <m/>
    <d v="2018-04-23T00:00:00"/>
    <s v="Yes"/>
    <s v="Yes"/>
    <x v="0"/>
    <s v="REGULAR TEST"/>
    <m/>
  </r>
  <r>
    <x v="4"/>
    <s v="BEJSRTL121"/>
    <s v="Yes"/>
    <x v="10"/>
    <s v="PCIe"/>
    <n v="2510896"/>
    <s v="439/R1/8"/>
    <x v="0"/>
    <x v="1"/>
    <x v="32"/>
    <x v="21"/>
    <x v="1"/>
    <s v="No"/>
    <s v="No"/>
    <s v="4x"/>
    <s v="bejsrtm009smini.bj.intel.com"/>
    <x v="209"/>
    <s v="E15FC84A99020B00FFFFFFFF"/>
    <s v="C7H749700D7HXNKKV"/>
    <n v="13810274084"/>
    <s v="00440152218117"/>
    <s v="00440152219017"/>
    <n v="18514727175"/>
    <d v="2018-07-20T00:00:00"/>
    <s v="Yes"/>
    <s v="Yes"/>
    <x v="0"/>
    <s v="REGULAR TEST"/>
    <m/>
  </r>
  <r>
    <x v="4"/>
    <s v="BEJSRTL122"/>
    <s v="No"/>
    <x v="12"/>
    <s v="PCIe"/>
    <n v="2510856"/>
    <s v="439/R18/2"/>
    <x v="0"/>
    <x v="1"/>
    <x v="25"/>
    <x v="16"/>
    <x v="1"/>
    <s v="No"/>
    <s v="Yes"/>
    <s v="NA"/>
    <s v="bejsrtm002smini.bj.intel.com"/>
    <x v="210"/>
    <s v="E15F59C1ED480800FFFFFFFF"/>
    <s v="C7H751301BAHXNKKQ"/>
    <n v="13810719763"/>
    <s v="00440152218134"/>
    <s v="00440152219034"/>
    <n v="18911175845"/>
    <d v="2018-08-22T00:00:00"/>
    <s v="Yes"/>
    <s v="Yes"/>
    <x v="0"/>
    <s v="REGULAR TEST"/>
    <m/>
  </r>
  <r>
    <x v="4"/>
    <s v="BEJSRTL123"/>
    <s v="Yes"/>
    <x v="10"/>
    <s v="PCIe"/>
    <n v="2510566"/>
    <s v="439/R1/5"/>
    <x v="0"/>
    <x v="0"/>
    <x v="26"/>
    <x v="13"/>
    <x v="1"/>
    <s v="No"/>
    <s v="Yes"/>
    <s v="4x"/>
    <s v="bejsrtm006smini.bj.intel.com"/>
    <x v="211"/>
    <s v="E15F5933AEFB0A00FFFFFFFF"/>
    <s v="C7H7523009HHXNKKM"/>
    <n v="18911473634"/>
    <s v="00440152219511"/>
    <s v="00440152264301"/>
    <m/>
    <m/>
    <s v="Yes"/>
    <s v="Yes"/>
    <x v="0"/>
    <s v="REGULAR TEST"/>
    <m/>
  </r>
  <r>
    <x v="4"/>
    <s v="BEJSRTL125"/>
    <s v="Yes"/>
    <x v="6"/>
    <s v="PCIe"/>
    <n v="2794259"/>
    <s v="439/R3/4"/>
    <x v="0"/>
    <x v="0"/>
    <x v="31"/>
    <x v="6"/>
    <x v="1"/>
    <s v="No"/>
    <s v="No"/>
    <s v="4x"/>
    <s v="bejsrtm004smini.bj.intel.com"/>
    <x v="212"/>
    <s v="E15FB804E20B0B00FFFFFFFF"/>
    <s v="C7H749700AQHXNKKM"/>
    <n v="13810419362"/>
    <s v="00440152218090"/>
    <s v="00440152218990"/>
    <m/>
    <d v="2018-04-25T00:00:00"/>
    <s v="Yes"/>
    <s v="Yes"/>
    <x v="0"/>
    <s v="REGULAR TEST"/>
    <m/>
  </r>
  <r>
    <x v="4"/>
    <s v="BEJSRTL127"/>
    <s v="Yes"/>
    <x v="6"/>
    <s v="PCIe"/>
    <n v="2794278"/>
    <s v="439/R3/1"/>
    <x v="0"/>
    <x v="0"/>
    <x v="31"/>
    <x v="22"/>
    <x v="1"/>
    <s v="No"/>
    <s v="No"/>
    <s v="4x"/>
    <s v="7560utt235smini.bj.intel.com"/>
    <x v="213"/>
    <s v="E15FD804E27A0500FFFFFFFF"/>
    <s v="C7H749700DHHXNKKK"/>
    <n v="13810917290"/>
    <s v="00440152219605"/>
    <s v="00440152264395"/>
    <m/>
    <d v="2018-04-27T00:00:00"/>
    <s v="Yes"/>
    <s v="Yes"/>
    <x v="0"/>
    <s v="REGULAR TEST"/>
    <m/>
  </r>
  <r>
    <x v="4"/>
    <s v="BEJSRTL131"/>
    <s v="Yes"/>
    <x v="12"/>
    <s v="PCIe"/>
    <n v="2510449"/>
    <s v="459/R34/4"/>
    <x v="0"/>
    <x v="0"/>
    <x v="26"/>
    <x v="14"/>
    <x v="1"/>
    <s v="No"/>
    <s v="Yes"/>
    <s v="4x"/>
    <s v="7560utt235smini.bj.intel.com"/>
    <x v="214"/>
    <s v="E15F39F7B1300F00FFFFFFFF"/>
    <s v="C7H751301AEHXNKKP"/>
    <n v="13381264089"/>
    <s v="00440152217712"/>
    <s v="00440152218612"/>
    <m/>
    <m/>
    <s v="Yes"/>
    <s v="Yes"/>
    <x v="0"/>
    <s v="REGULAR TEST"/>
    <m/>
  </r>
  <r>
    <x v="4"/>
    <s v="BEJSRTL134"/>
    <s v="Yes"/>
    <x v="12"/>
    <s v="PCIe"/>
    <n v="2510472"/>
    <s v="459/R39/5"/>
    <x v="0"/>
    <x v="0"/>
    <x v="26"/>
    <x v="14"/>
    <x v="1"/>
    <s v="No"/>
    <s v="Yes"/>
    <s v="4x"/>
    <s v="bejsrtm007smini.bj.intel.com"/>
    <x v="215"/>
    <s v="E1DF5A5FE3C20500FFFFFFFF"/>
    <s v="C7H7513006THXNKKP"/>
    <n v="15321700580"/>
    <s v="00440152218139"/>
    <s v="00440152219039"/>
    <m/>
    <d v="2018-06-01T00:00:00"/>
    <s v="Yes"/>
    <s v="Yes"/>
    <x v="0"/>
    <s v="REGULAR TEST"/>
    <m/>
  </r>
  <r>
    <x v="4"/>
    <s v="BEJSRTL135"/>
    <s v="Yes"/>
    <x v="6"/>
    <s v="PCIe"/>
    <n v="2794351"/>
    <s v="439/R3/4"/>
    <x v="0"/>
    <x v="0"/>
    <x v="31"/>
    <x v="0"/>
    <x v="1"/>
    <s v="No"/>
    <s v="No"/>
    <s v="4x"/>
    <s v="bejsrtm008smini.bj.intel.com"/>
    <x v="216"/>
    <s v="E1DF5A53278C0700FFFFFFFF"/>
    <s v="C7H751300AQHXNKKE"/>
    <n v="13811053671"/>
    <s v="00440152219471"/>
    <s v="00440152264261"/>
    <m/>
    <d v="2018-04-23T00:00:00"/>
    <s v="Yes"/>
    <s v="Yes"/>
    <x v="0"/>
    <s v="REGULAR TEST"/>
    <m/>
  </r>
  <r>
    <x v="4"/>
    <s v="BEJSRTL136"/>
    <s v="Yes"/>
    <x v="6"/>
    <s v="PCIe"/>
    <n v="2794261"/>
    <s v="439/R3/3"/>
    <x v="0"/>
    <x v="0"/>
    <x v="34"/>
    <x v="4"/>
    <x v="1"/>
    <s v="No"/>
    <s v="No"/>
    <s v="4x"/>
    <s v="bejsrtm004smini.bj.intel.com"/>
    <x v="217"/>
    <s v="E15FD902092C0800FFFFFFFF"/>
    <s v="C7H752300DGHXNKKA"/>
    <n v="13121815027"/>
    <s v="00440152218144"/>
    <s v="00440152219044"/>
    <m/>
    <d v="2018-04-27T00:00:00"/>
    <s v="Yes"/>
    <s v="Yes"/>
    <x v="0"/>
    <s v="REGULAR TEST"/>
    <m/>
  </r>
  <r>
    <x v="4"/>
    <s v="BEJSRTL137"/>
    <s v="Yes"/>
    <x v="6"/>
    <s v="PCIe"/>
    <n v="2794238"/>
    <s v="439/R4/2"/>
    <x v="0"/>
    <x v="1"/>
    <x v="32"/>
    <x v="9"/>
    <x v="1"/>
    <s v="No"/>
    <s v="No"/>
    <s v="4x"/>
    <s v="7560utt236smini.bj.intel.com"/>
    <x v="218"/>
    <s v="E15F295F7C340F00FFFFFFFF"/>
    <s v="C7H752300CQHXNKK5"/>
    <n v="13810421462"/>
    <s v="00440152218148"/>
    <s v="00440152219048"/>
    <n v="18611415619"/>
    <d v="2018-04-25T00:00:00"/>
    <s v="Yes"/>
    <s v="Yes"/>
    <x v="0"/>
    <s v="REGULAR TEST"/>
    <m/>
  </r>
  <r>
    <x v="4"/>
    <s v="BEJSRTL138"/>
    <s v="Yes"/>
    <x v="6"/>
    <s v="PCIe"/>
    <n v="2794254"/>
    <s v="439/R3/7"/>
    <x v="0"/>
    <x v="0"/>
    <x v="31"/>
    <x v="0"/>
    <x v="1"/>
    <s v="No"/>
    <s v="No"/>
    <s v="4x"/>
    <s v="bejsrtm007smini.bj.intel.com"/>
    <x v="219"/>
    <s v="E1DFCA3EDD060C00FFFFFFFF"/>
    <s v="C7H7513008RHXNKKK"/>
    <n v="13810012874"/>
    <s v="00440152219594"/>
    <s v="00440152264384"/>
    <m/>
    <d v="2018-04-24T00:00:00"/>
    <s v="Yes"/>
    <s v="Yes"/>
    <x v="0"/>
    <s v="REGULAR TEST"/>
    <m/>
  </r>
  <r>
    <x v="4"/>
    <s v="BEJSRTL139"/>
    <s v="Yes"/>
    <x v="12"/>
    <s v="PCIe"/>
    <n v="2510508"/>
    <s v="439/R11/5"/>
    <x v="0"/>
    <x v="1"/>
    <x v="30"/>
    <x v="20"/>
    <x v="1"/>
    <s v="No"/>
    <s v="No"/>
    <s v="4x"/>
    <s v="bijsrtm012smini.bj.intel.com"/>
    <x v="220"/>
    <s v="E15F295BA5300500FFFFFFFF"/>
    <s v="C7H752300BYHXNKK0"/>
    <n v="13240004792"/>
    <s v="00440152218133"/>
    <s v="00440152219033"/>
    <n v="13810014974"/>
    <d v="2018-08-22T00:00:00"/>
    <s v="Yes"/>
    <s v="Yes"/>
    <x v="0"/>
    <s v="REGULAR TEST"/>
    <m/>
  </r>
  <r>
    <x v="4"/>
    <s v="BEJSRTL140"/>
    <s v="Yes"/>
    <x v="12"/>
    <s v="PCIe"/>
    <n v="2794335"/>
    <s v="439/R4/6"/>
    <x v="0"/>
    <x v="1"/>
    <x v="32"/>
    <x v="23"/>
    <x v="1"/>
    <s v="No"/>
    <s v="No"/>
    <s v="4x"/>
    <s v="7560utt236smini.bj.intel.com"/>
    <x v="221"/>
    <s v="E15F492BC6B40500FFFFFFFF"/>
    <s v="C7H751301B8HXNKKS"/>
    <n v="13810737621"/>
    <s v="00440152219586"/>
    <s v="00440152264376"/>
    <n v="13021924290"/>
    <d v="2018-06-01T00:00:00"/>
    <s v="Yes"/>
    <s v="Yes"/>
    <x v="0"/>
    <s v="REGULAR TEST"/>
    <m/>
  </r>
  <r>
    <x v="4"/>
    <s v="BEJSRTL141"/>
    <s v="Yes"/>
    <x v="6"/>
    <s v="PCIe"/>
    <n v="2510665"/>
    <s v="439/R4/4"/>
    <x v="0"/>
    <x v="1"/>
    <x v="35"/>
    <x v="15"/>
    <x v="1"/>
    <s v="No"/>
    <s v="Yes"/>
    <s v="4x"/>
    <s v="bijsrtm012smini.bj.intel.com"/>
    <x v="222"/>
    <s v="E15FE954919D0A00FFFFFFFF"/>
    <s v="C7H752300CZHXNKKW"/>
    <n v="18911124173"/>
    <s v="00440152219587"/>
    <s v="00440152264377"/>
    <n v="15510204789"/>
    <d v="2018-04-25T00:00:00"/>
    <s v="Yes"/>
    <s v="Yes"/>
    <x v="0"/>
    <s v="REGULAR TEST"/>
    <m/>
  </r>
  <r>
    <x v="4"/>
    <s v="BEJSRTL142"/>
    <s v="Yes"/>
    <x v="12"/>
    <s v="PCIe"/>
    <n v="2794266"/>
    <s v="439/R3/5"/>
    <x v="0"/>
    <x v="1"/>
    <x v="32"/>
    <x v="9"/>
    <x v="1"/>
    <s v="No"/>
    <s v="No"/>
    <s v="4x"/>
    <s v="bejsrtm009smini.bj.intel.com"/>
    <x v="223"/>
    <s v="E15F09E170870A00FFFFFFFF"/>
    <s v="C7H752300CCHXNKKH"/>
    <n v="13810503615"/>
    <s v="00440152219593"/>
    <s v="00440152264383"/>
    <n v="13269092273"/>
    <d v="2018-08-11T00:00:00"/>
    <s v="Yes"/>
    <s v="Yes"/>
    <x v="0"/>
    <s v="REGULAR TEST"/>
    <m/>
  </r>
  <r>
    <x v="4"/>
    <s v="BEJSRTL143"/>
    <s v="Yes"/>
    <x v="13"/>
    <s v="PCIe"/>
    <n v="2510403"/>
    <s v="439/R3/1"/>
    <x v="0"/>
    <x v="0"/>
    <x v="26"/>
    <x v="13"/>
    <x v="1"/>
    <s v="No"/>
    <s v="Yes"/>
    <s v="4x"/>
    <s v="7560utt275smini.bj.intel.com"/>
    <x v="224"/>
    <s v="E15F091349CD0A00FFFFFFFF"/>
    <s v="C7H752300ASHXNKK9"/>
    <n v="13381264192"/>
    <s v="00440152218107"/>
    <s v="00440152219007"/>
    <m/>
    <d v="2018-04-26T00:00:00"/>
    <s v="Yes"/>
    <s v="Yes"/>
    <x v="0"/>
    <s v="REGULAR TEST"/>
    <m/>
  </r>
  <r>
    <x v="4"/>
    <s v="BEJSRTL144"/>
    <s v="Yes"/>
    <x v="10"/>
    <s v="PCIe"/>
    <n v="2794316"/>
    <s v="439/R16/7"/>
    <x v="0"/>
    <x v="1"/>
    <x v="30"/>
    <x v="20"/>
    <x v="1"/>
    <s v="No"/>
    <s v="No"/>
    <s v="4x"/>
    <s v="7560utt243smini.bj.intel.com"/>
    <x v="225"/>
    <s v="E1DFAAD2F9280300FFFFFFFF"/>
    <s v="C7H7513006KHXNKKX"/>
    <n v="13121817129"/>
    <s v="00440152219493"/>
    <s v="00440152264283"/>
    <n v="13811271442"/>
    <d v="2018-08-22T00:00:00"/>
    <s v="Yes"/>
    <s v="Yes"/>
    <x v="0"/>
    <s v="REGULAR TEST"/>
    <m/>
  </r>
  <r>
    <x v="4"/>
    <s v="BEJSRTL145"/>
    <s v="Yes"/>
    <x v="10"/>
    <s v="PCIe"/>
    <n v="2794256"/>
    <s v="439/R2/5"/>
    <x v="0"/>
    <x v="1"/>
    <x v="29"/>
    <x v="19"/>
    <x v="1"/>
    <s v="No"/>
    <s v="Yes"/>
    <s v="4x"/>
    <s v="bejsrtm011smini.bj.intel.com"/>
    <x v="226"/>
    <s v="E15FD80CF7581000FFFFFFFF"/>
    <s v="C7H749700BPHXNKKK"/>
    <n v="13331048816"/>
    <s v="00440152219494"/>
    <s v="00440152264284"/>
    <n v="13811021750"/>
    <d v="2018-04-24T00:00:00"/>
    <s v="Yes"/>
    <s v="Yes"/>
    <x v="0"/>
    <s v="REGULAR TEST"/>
    <m/>
  </r>
  <r>
    <x v="4"/>
    <s v="BEJSRTL146"/>
    <s v="Yes"/>
    <x v="6"/>
    <s v="PCIe"/>
    <n v="2794216"/>
    <s v="459/R39/6"/>
    <x v="0"/>
    <x v="0"/>
    <x v="31"/>
    <x v="0"/>
    <x v="1"/>
    <s v="No"/>
    <s v="No"/>
    <s v="4x"/>
    <s v="bejsrtm004smini.bj.intel.com"/>
    <x v="227"/>
    <s v="E1DFCA944DC30A00FFFFFFFF"/>
    <s v="C7H7513012RHXNKK2"/>
    <n v="13810431494"/>
    <s v="00440152219478"/>
    <s v="00440152264268"/>
    <m/>
    <m/>
    <s v="Yes"/>
    <s v="Yes"/>
    <x v="0"/>
    <s v="REGULAR TEST"/>
    <m/>
  </r>
  <r>
    <x v="4"/>
    <s v="BEJSRTL147"/>
    <s v="Yes"/>
    <x v="10"/>
    <s v="PCIe"/>
    <n v="2794405"/>
    <s v="439/R3/2"/>
    <x v="0"/>
    <x v="0"/>
    <x v="26"/>
    <x v="14"/>
    <x v="1"/>
    <s v="No"/>
    <s v="Yes"/>
    <s v="4x"/>
    <s v="bejsrtm006smini.bj.intel.com"/>
    <x v="228"/>
    <s v="E1DFDA0EE4740C00FFFFFFFF"/>
    <s v="C7H751300BBHXNKKQ"/>
    <n v="13381264659"/>
    <s v="00440152219513"/>
    <s v="00440152264303"/>
    <m/>
    <d v="2018-04-24T00:00:00"/>
    <s v="Yes"/>
    <s v="Yes"/>
    <x v="0"/>
    <s v="REGULAR TEST"/>
    <m/>
  </r>
  <r>
    <x v="4"/>
    <s v="BEJSRTL148"/>
    <s v="Yes"/>
    <x v="12"/>
    <s v="PCIe"/>
    <n v="2794343"/>
    <s v="439/R4/3"/>
    <x v="0"/>
    <x v="0"/>
    <x v="26"/>
    <x v="13"/>
    <x v="1"/>
    <s v="No"/>
    <s v="Yes"/>
    <s v="4x"/>
    <s v="7560utt235smini.bj.intel.com"/>
    <x v="9"/>
    <s v="E15FB872183C0500FFFFFFFF"/>
    <s v="C7H749700FJHXNKKC"/>
    <n v="15321726283"/>
    <s v="00440152218149"/>
    <s v="00440152219049"/>
    <m/>
    <d v="2018-04-27T00:00:00"/>
    <s v="Yes"/>
    <s v="Yes"/>
    <x v="0"/>
    <s v="REGULAR TEST"/>
    <m/>
  </r>
  <r>
    <x v="4"/>
    <s v="BEJSRTL149"/>
    <s v="Yes"/>
    <x v="6"/>
    <s v="PCIe"/>
    <n v="2794264"/>
    <s v="439/R3/3"/>
    <x v="0"/>
    <x v="0"/>
    <x v="31"/>
    <x v="0"/>
    <x v="1"/>
    <s v="No"/>
    <s v="No"/>
    <s v="4x"/>
    <s v="bejsrtm006smini.bj.intel.com"/>
    <x v="229"/>
    <s v="E15F29B5F62E0E00FFFFFFFF"/>
    <s v="C7H7523009BHXNKKT"/>
    <n v="13811021052"/>
    <s v="00440152218030"/>
    <s v="00440152218930"/>
    <m/>
    <m/>
    <s v="Yes"/>
    <s v="Yes"/>
    <x v="0"/>
    <s v="REGULAR TEST"/>
    <m/>
  </r>
  <r>
    <x v="4"/>
    <s v="BEJSRTL151"/>
    <s v="Yes"/>
    <x v="10"/>
    <s v="PCIe"/>
    <n v="2794281"/>
    <s v="439/R6/5"/>
    <x v="0"/>
    <x v="1"/>
    <x v="29"/>
    <x v="19"/>
    <x v="1"/>
    <s v="No"/>
    <s v="Yes"/>
    <s v="4x"/>
    <s v="7560utt009smini.bj.intel.com"/>
    <x v="230"/>
    <s v="E28F79C9611D1300FFFFFFFF"/>
    <s v="C7H81030033HXNKXQ"/>
    <n v="17310575392"/>
    <s v="00440152219488"/>
    <s v="00440152264278"/>
    <n v="13810274748"/>
    <m/>
    <s v="Yes"/>
    <s v="Yes"/>
    <x v="0"/>
    <s v="REGULAR TEST"/>
    <m/>
  </r>
  <r>
    <x v="4"/>
    <s v="BEJSRTL152"/>
    <s v="Yes"/>
    <x v="12"/>
    <s v="PCIe"/>
    <n v="2794270"/>
    <s v="439/R33/2"/>
    <x v="0"/>
    <x v="0"/>
    <x v="36"/>
    <x v="14"/>
    <x v="1"/>
    <s v="No"/>
    <s v="No"/>
    <s v="Yes"/>
    <s v="7560utt277smini.bj.intel.com"/>
    <x v="231"/>
    <s v="E15F798158E20A00FFFFFFFF"/>
    <s v="C7H751301BEHXNKKL"/>
    <n v="18900670335"/>
    <s v="00440152219581"/>
    <s v="00440152264371"/>
    <m/>
    <m/>
    <s v="Yes"/>
    <s v="Yes"/>
    <x v="0"/>
    <s v="REGULAR TEST"/>
    <m/>
  </r>
  <r>
    <x v="4"/>
    <s v="BEJSRTL153"/>
    <s v="No"/>
    <x v="12"/>
    <s v="PCIe"/>
    <n v="2794423"/>
    <s v="459/R42/1"/>
    <x v="0"/>
    <x v="1"/>
    <x v="25"/>
    <x v="16"/>
    <x v="1"/>
    <s v="No"/>
    <s v="Yes"/>
    <s v="NA"/>
    <s v="bejsrtm002smini.bj.intel.com"/>
    <x v="232"/>
    <s v="E15F795DF8060800FFFFFFFF"/>
    <s v="C7H7523008CHXNKKV"/>
    <n v="13810309107"/>
    <s v="00440152219583"/>
    <s v="00440152264373"/>
    <n v="18010341439"/>
    <d v="2018-08-22T00:00:00"/>
    <s v="Yes"/>
    <s v="Yes"/>
    <x v="0"/>
    <s v="REGULAR TEST"/>
    <m/>
  </r>
  <r>
    <x v="4"/>
    <s v="BEJSRTL154"/>
    <s v="Yes"/>
    <x v="12"/>
    <s v="PCIe"/>
    <n v="2794218"/>
    <s v="439/R16/6"/>
    <x v="0"/>
    <x v="1"/>
    <x v="35"/>
    <x v="15"/>
    <x v="1"/>
    <s v="No"/>
    <s v="Yes"/>
    <s v="4x"/>
    <s v="7560utt127smini.bj.intel.com"/>
    <x v="233"/>
    <s v="E1DF394CA6E30A00FFFFFFFF"/>
    <s v="C7H751301B2HXNKKY"/>
    <n v="18910224067"/>
    <s v="00440152219575"/>
    <s v="00440152264365"/>
    <n v="18611422157"/>
    <d v="2018-03-31T00:00:00"/>
    <s v="Yes"/>
    <s v="Yes"/>
    <x v="0"/>
    <s v="REGULAR TEST"/>
    <m/>
  </r>
  <r>
    <x v="4"/>
    <s v="BEJSRTL155"/>
    <s v="Yes"/>
    <x v="6"/>
    <s v="PCIe"/>
    <n v="2794297"/>
    <s v="439/R5/3"/>
    <x v="0"/>
    <x v="0"/>
    <x v="34"/>
    <x v="5"/>
    <x v="1"/>
    <s v="No"/>
    <s v="No"/>
    <s v="4x"/>
    <s v="bejsrtm004smini.bj.intel.com"/>
    <x v="234"/>
    <s v="E15FB98EF3A10A00FFFFFFFF"/>
    <s v="C7H7513017PHXNKKP"/>
    <n v="13121817832"/>
    <s v="00440152217744"/>
    <s v="00440152218644"/>
    <m/>
    <m/>
    <s v="Yes"/>
    <s v="Yes"/>
    <x v="0"/>
    <s v="REGULAR TEST"/>
    <m/>
  </r>
  <r>
    <x v="4"/>
    <s v="BEJSRTL156"/>
    <s v="Yes"/>
    <x v="6"/>
    <s v="PCIe"/>
    <n v="2794395"/>
    <s v="459/R42/5"/>
    <x v="0"/>
    <x v="0"/>
    <x v="31"/>
    <x v="0"/>
    <x v="1"/>
    <s v="No"/>
    <s v="No"/>
    <s v="4x"/>
    <s v="7560utt235smini.bj.intel.com"/>
    <x v="235"/>
    <s v="E15F090DD4320800FFFFFFFF"/>
    <s v="C7H752300DTHXNKKZ"/>
    <n v="13810673179"/>
    <s v="00440152217717"/>
    <s v="00440152218617"/>
    <m/>
    <d v="2018-04-27T00:00:00"/>
    <s v="Yes"/>
    <s v="Yes"/>
    <x v="0"/>
    <s v="REGULAR TEST"/>
    <m/>
  </r>
  <r>
    <x v="4"/>
    <s v="BEJSRTL157"/>
    <s v="No"/>
    <x v="12"/>
    <s v="PCIe"/>
    <n v="2794284"/>
    <s v="439/R19/6"/>
    <x v="0"/>
    <x v="1"/>
    <x v="29"/>
    <x v="19"/>
    <x v="1"/>
    <s v="No"/>
    <s v="Yes"/>
    <s v="NA"/>
    <s v="bejsrtm001smini.bj.intel.com"/>
    <x v="236"/>
    <s v="E1DF295E6D690800FFFFFFFF"/>
    <s v="C7H751301A5HXNKKY"/>
    <n v="18911034659"/>
    <s v="00440152219632"/>
    <s v="00440152264422"/>
    <n v="13810278704"/>
    <d v="2018-08-22T00:00:00"/>
    <s v="Yes"/>
    <s v="Yes"/>
    <x v="0"/>
    <s v="REGULAR TEST"/>
    <m/>
  </r>
  <r>
    <x v="4"/>
    <s v="BEJSRTL158"/>
    <s v="Yes"/>
    <x v="10"/>
    <s v="PCIe"/>
    <n v="2511031"/>
    <s v="439/R5/2"/>
    <x v="0"/>
    <x v="1"/>
    <x v="25"/>
    <x v="16"/>
    <x v="1"/>
    <s v="No"/>
    <s v="Yes"/>
    <s v="4x"/>
    <s v="bejsrtm008smini.bj.intel.com"/>
    <x v="237"/>
    <s v="E15FA91CE2110800FFFFFFFF"/>
    <s v="C7H7513018MHXNKKN"/>
    <n v="13910624014"/>
    <s v="00440152219595"/>
    <s v="00440152264385"/>
    <n v="13381264126"/>
    <d v="2018-04-10T00:00:00"/>
    <s v="Yes"/>
    <s v="Yes"/>
    <x v="0"/>
    <s v="REGULAR TEST"/>
    <m/>
  </r>
  <r>
    <x v="4"/>
    <s v="BEJSRTL160"/>
    <s v="Yes"/>
    <x v="13"/>
    <s v="PCIe"/>
    <n v="2794217"/>
    <s v="439/R5/3"/>
    <x v="0"/>
    <x v="0"/>
    <x v="31"/>
    <x v="0"/>
    <x v="1"/>
    <s v="No"/>
    <s v="No"/>
    <s v="4x"/>
    <s v="bejsrtm007smini.bj.intel.com"/>
    <x v="238"/>
    <s v="E15FD9BE68100800FFFFFFFF"/>
    <s v="C7H752300BSHXNKK6"/>
    <n v="13810746302"/>
    <s v="00440152219650"/>
    <s v="00440152264440"/>
    <m/>
    <d v="2018-06-01T00:00:00"/>
    <s v="Yes"/>
    <s v="Yes"/>
    <x v="0"/>
    <s v="REGULAR TEST"/>
    <m/>
  </r>
  <r>
    <x v="4"/>
    <s v="BEJSRTL161"/>
    <s v="Yes"/>
    <x v="12"/>
    <s v="PCIe"/>
    <n v="2794274"/>
    <s v="439/R4/7"/>
    <x v="0"/>
    <x v="1"/>
    <x v="33"/>
    <x v="1"/>
    <x v="1"/>
    <s v="No"/>
    <s v="No"/>
    <s v="4x"/>
    <s v="7560utt127smini.bj.intel.com"/>
    <x v="239"/>
    <s v="E15FF9ECC9A50A00FFFFFFFF"/>
    <s v="C7H752300C9HXNKKL"/>
    <n v="18618442550"/>
    <s v="00440152217743"/>
    <s v="00440152218643"/>
    <n v="13051113736"/>
    <d v="2018-08-22T00:00:00"/>
    <s v="Yes"/>
    <s v="Yes"/>
    <x v="0"/>
    <s v="REGULAR TEST"/>
    <m/>
  </r>
  <r>
    <x v="4"/>
    <s v="BEJSRTL162"/>
    <s v="No"/>
    <x v="12"/>
    <s v="PCIe"/>
    <n v="2794252"/>
    <s v="439/R4/7"/>
    <x v="0"/>
    <x v="1"/>
    <x v="29"/>
    <x v="19"/>
    <x v="1"/>
    <s v="No"/>
    <s v="Yes"/>
    <s v="NA"/>
    <s v="7560utt243smini.bj.intel.com"/>
    <x v="240"/>
    <s v="E15F599361A50500FFFFFFFF"/>
    <s v="C7H7523008THXNKKE"/>
    <n v="17310163142"/>
    <s v="00440152219738"/>
    <s v="00440152264528"/>
    <n v="13810021134"/>
    <d v="2018-08-22T00:00:00"/>
    <s v="Yes"/>
    <s v="Yes"/>
    <x v="0"/>
    <s v="REGULAR TEST"/>
    <m/>
  </r>
  <r>
    <x v="4"/>
    <s v="BEJSRTL163"/>
    <s v="Yes"/>
    <x v="12"/>
    <s v="PCIe"/>
    <n v="2794280"/>
    <s v="459/R41/2"/>
    <x v="0"/>
    <x v="1"/>
    <x v="32"/>
    <x v="23"/>
    <x v="1"/>
    <s v="No"/>
    <s v="No"/>
    <s v="4x"/>
    <s v="bijsrtm012smini.bj.intel.com"/>
    <x v="241"/>
    <s v="E15F294941020E00FFFFFFFF"/>
    <s v="C7H75230080HXNKK7"/>
    <n v="13810023914"/>
    <s v="00440152218033"/>
    <s v="00440152218933"/>
    <n v="13146394285"/>
    <d v="2018-06-01T00:00:00"/>
    <s v="Yes"/>
    <s v="Yes"/>
    <x v="0"/>
    <s v="REGULAR TEST"/>
    <m/>
  </r>
  <r>
    <x v="4"/>
    <s v="BEJSRTL164"/>
    <s v="No"/>
    <x v="12"/>
    <s v="PCIe"/>
    <n v="2794385"/>
    <s v="439/R4/8"/>
    <x v="0"/>
    <x v="1"/>
    <x v="29"/>
    <x v="19"/>
    <x v="1"/>
    <s v="No"/>
    <s v="Yes"/>
    <s v="NA"/>
    <s v="7560utt236smini.bj.intel.com"/>
    <x v="242"/>
    <s v="E15FB9821D5D0800FFFFFFFF"/>
    <s v="C7H7513018NHXNKKM"/>
    <n v="18911124236"/>
    <s v="00440152219822"/>
    <s v="00440152264612"/>
    <n v="13810018964"/>
    <d v="2018-08-22T00:00:00"/>
    <s v="Yes"/>
    <s v="Yes"/>
    <x v="0"/>
    <s v="REGULAR TEST"/>
    <m/>
  </r>
  <r>
    <x v="4"/>
    <s v="BEJSRTL165"/>
    <s v="Yes"/>
    <x v="6"/>
    <s v="PCIe"/>
    <n v="2794242"/>
    <s v="439/R5/1"/>
    <x v="0"/>
    <x v="0"/>
    <x v="34"/>
    <x v="4"/>
    <x v="1"/>
    <s v="No"/>
    <s v="No"/>
    <s v="4x"/>
    <s v="bejsrtm004smini.bj.intel.com"/>
    <x v="243"/>
    <s v="E15FB82A1C0E0B00FFFFFFFF"/>
    <s v="C7H749700BLHXNKKN"/>
    <n v="18611413035"/>
    <s v="00440152219834"/>
    <s v="00440152264624"/>
    <m/>
    <d v="2018-04-27T00:00:00"/>
    <s v="Yes"/>
    <s v="Yes"/>
    <x v="0"/>
    <s v="REGULAR TEST"/>
    <m/>
  </r>
  <r>
    <x v="4"/>
    <s v="BEJSRTL166"/>
    <s v="Yes"/>
    <x v="10"/>
    <s v="PCIe"/>
    <n v="2794313"/>
    <s v="439/R5/1"/>
    <x v="0"/>
    <x v="1"/>
    <x v="30"/>
    <x v="24"/>
    <x v="1"/>
    <s v="No"/>
    <s v="No"/>
    <s v="4x"/>
    <s v="bejsrtm009smini.bj.intel.com"/>
    <x v="244"/>
    <s v="E15FF9A40FD00A00FFFFFFFF"/>
    <s v="C7H752300DJHXNKK8"/>
    <n v="13021026457"/>
    <s v="00440152262000"/>
    <s v="00440152262202"/>
    <n v="13810065574"/>
    <d v="2018-04-26T00:00:00"/>
    <s v="Yes"/>
    <s v="Yes"/>
    <x v="0"/>
    <s v="REGULAR TEST"/>
    <m/>
  </r>
  <r>
    <x v="4"/>
    <s v="BEJSRTL167"/>
    <s v="No"/>
    <x v="12"/>
    <s v="PCIe"/>
    <n v="2794243"/>
    <s v="439/R5/4"/>
    <x v="0"/>
    <x v="1"/>
    <x v="25"/>
    <x v="16"/>
    <x v="1"/>
    <s v="No"/>
    <s v="Yes"/>
    <s v="NA"/>
    <s v="bejsrtm002smini.bj.intel.com"/>
    <x v="245"/>
    <s v="E1DFEA36A4040300FFFFFFFF"/>
    <s v="C7H751300AYHXNKK6"/>
    <n v="13810069147"/>
    <s v="00440152262001"/>
    <s v="00440152262203"/>
    <n v="18911175674"/>
    <d v="2018-08-22T00:00:00"/>
    <s v="Yes"/>
    <s v="Yes"/>
    <x v="0"/>
    <s v="REGULAR TEST"/>
    <m/>
  </r>
  <r>
    <x v="4"/>
    <s v="BEJSRTL168"/>
    <s v="No"/>
    <x v="12"/>
    <s v="PCIe"/>
    <n v="2794410"/>
    <s v="439/R5/2"/>
    <x v="0"/>
    <x v="1"/>
    <x v="25"/>
    <x v="16"/>
    <x v="1"/>
    <s v="No"/>
    <s v="Yes"/>
    <s v="NA"/>
    <s v="bejsrtm002smini.bj.intel.com"/>
    <x v="246"/>
    <s v="E15FD9B2C44E0800FFFFFFFF"/>
    <s v="C7H752300C6HXNKKP"/>
    <n v="13810713965"/>
    <s v="00440152218056"/>
    <s v="00440152218956"/>
    <n v="18911034613"/>
    <d v="2018-08-22T00:00:00"/>
    <s v="Yes"/>
    <s v="Yes"/>
    <x v="0"/>
    <s v="REGULAR TEST"/>
    <m/>
  </r>
  <r>
    <x v="4"/>
    <s v="BEJSRTL169"/>
    <s v="Yes"/>
    <x v="13"/>
    <s v="PCIe"/>
    <n v="2510413"/>
    <s v="459/R40/4"/>
    <x v="0"/>
    <x v="0"/>
    <x v="31"/>
    <x v="0"/>
    <x v="1"/>
    <s v="No"/>
    <s v="No"/>
    <s v="4x"/>
    <s v="bejsrtm007smini.bj.intel.com"/>
    <x v="247"/>
    <s v="E15FD912F8B40A00FFFFFFFF"/>
    <s v="C7H752300C5HXNKKQ"/>
    <n v="13810278443"/>
    <s v="00440152218091"/>
    <s v="00440152218991"/>
    <m/>
    <d v="2018-04-23T00:00:00"/>
    <s v="Yes"/>
    <s v="Yes"/>
    <x v="0"/>
    <s v="REGULAR TEST"/>
    <m/>
  </r>
  <r>
    <x v="4"/>
    <s v="BEJSRTL170"/>
    <s v="Yes"/>
    <x v="10"/>
    <s v="PCIe"/>
    <n v="2510493"/>
    <s v="459/R40/1"/>
    <x v="0"/>
    <x v="1"/>
    <x v="29"/>
    <x v="19"/>
    <x v="1"/>
    <s v="No"/>
    <s v="Yes"/>
    <s v="4x"/>
    <s v="bejsrtm009smini.bj.intel.com"/>
    <x v="248"/>
    <s v="E1DFCA167D3D0B00FFFFFFFF"/>
    <s v="C7H7513008ZHXNKKB"/>
    <n v="18911124221"/>
    <s v="00440152217713"/>
    <s v="00440152218613"/>
    <n v="13810017734"/>
    <m/>
    <s v="Yes"/>
    <s v="Yes"/>
    <x v="0"/>
    <s v="REGULAR TEST"/>
    <m/>
  </r>
  <r>
    <x v="4"/>
    <s v="BEJSRTL171"/>
    <s v="Yes"/>
    <x v="10"/>
    <s v="PCIe"/>
    <n v="2794325"/>
    <s v="439/R5/4"/>
    <x v="0"/>
    <x v="1"/>
    <x v="32"/>
    <x v="9"/>
    <x v="1"/>
    <s v="No"/>
    <s v="No"/>
    <s v="4x"/>
    <s v="bejsrtm008smini.bj.intel.com"/>
    <x v="249"/>
    <s v="E15FD9D6E9760800FFFFFFFF"/>
    <s v="C7H752300BTHXNKK5"/>
    <n v="13810012943"/>
    <s v="00440152219659"/>
    <s v="00440152264449"/>
    <n v="18610416471"/>
    <d v="2018-08-22T00:00:00"/>
    <s v="Yes"/>
    <s v="Yes"/>
    <x v="0"/>
    <s v="REGULAR TEST"/>
    <m/>
  </r>
  <r>
    <x v="4"/>
    <s v="BEJSRTL172"/>
    <s v="Yes"/>
    <x v="6"/>
    <s v="PCIe"/>
    <n v="2794222"/>
    <s v="439/R12/2"/>
    <x v="0"/>
    <x v="1"/>
    <x v="29"/>
    <x v="19"/>
    <x v="1"/>
    <s v="Yes"/>
    <s v="Yes"/>
    <s v="No"/>
    <e v="#N/A"/>
    <x v="13"/>
    <s v="E20F1A887C1F1300FFFFFFFF"/>
    <s v="C7H81030029HXNKXM"/>
    <n v="18911175040"/>
    <s v="00440152219709"/>
    <s v="00440152264499"/>
    <n v="13810760572"/>
    <d v="2018-04-25T00:00:00"/>
    <s v="Yes"/>
    <s v="Yes"/>
    <x v="0"/>
    <s v="REGULAR TEST"/>
    <m/>
  </r>
  <r>
    <x v="4"/>
    <s v="BEJSRTL174"/>
    <s v="Yes"/>
    <x v="10"/>
    <s v="PCIe"/>
    <n v="3220130"/>
    <s v="439/R9/4"/>
    <x v="0"/>
    <x v="1"/>
    <x v="32"/>
    <x v="9"/>
    <x v="1"/>
    <s v="No"/>
    <s v="No"/>
    <s v="4x"/>
    <s v="7560utt243smini.bj.intel.com"/>
    <x v="250"/>
    <s v="E15F1919B32A0800FFFFFFFF"/>
    <s v="C7H7523007XHXNKKD"/>
    <n v="13810769681"/>
    <s v="00440152218040"/>
    <s v="00440152218940"/>
    <n v="13167589227"/>
    <d v="2018-08-22T00:00:00"/>
    <s v="Yes"/>
    <s v="Yes"/>
    <x v="0"/>
    <s v="REGULAR TEST"/>
    <m/>
  </r>
  <r>
    <x v="4"/>
    <s v="BEJSRTL175"/>
    <s v="Yes"/>
    <x v="6"/>
    <s v="PCIe"/>
    <n v="3220102"/>
    <s v="459/R39/1"/>
    <x v="0"/>
    <x v="0"/>
    <x v="26"/>
    <x v="13"/>
    <x v="1"/>
    <s v="No"/>
    <s v="Yes"/>
    <s v="4x"/>
    <s v="7560utt235smini.bj.intel.com"/>
    <x v="251"/>
    <s v="E15FB8BAD32B1000FFFFFFFF"/>
    <s v="C7H749700BDHXNKKV"/>
    <n v="17310344182"/>
    <s v="00440152219774"/>
    <s v="00440152264564"/>
    <m/>
    <d v="2018-04-27T00:00:00"/>
    <s v="Yes"/>
    <s v="Yes"/>
    <x v="0"/>
    <s v="REGULAR TEST"/>
    <m/>
  </r>
  <r>
    <x v="4"/>
    <s v="BEJSRTL176"/>
    <s v="Yes"/>
    <x v="12"/>
    <s v="PCIe"/>
    <n v="2510744"/>
    <s v="439/R5/6"/>
    <x v="0"/>
    <x v="1"/>
    <x v="30"/>
    <x v="20"/>
    <x v="1"/>
    <s v="No"/>
    <s v="No"/>
    <s v="4x"/>
    <s v="bejsrtm011smini.bj.intel.com"/>
    <x v="252"/>
    <s v="E15F394F85730800FFFFFFFF"/>
    <s v="C7H7523008UHXNKKD"/>
    <n v="18511270971"/>
    <s v="00440152218113"/>
    <s v="00440152219013"/>
    <n v="13810331542"/>
    <d v="2018-08-11T00:00:00"/>
    <s v="Yes"/>
    <s v="Yes"/>
    <x v="0"/>
    <s v="REGULAR TEST"/>
    <m/>
  </r>
  <r>
    <x v="4"/>
    <s v="BEJSRTL177"/>
    <s v="Yes"/>
    <x v="6"/>
    <s v="PCIe"/>
    <n v="2510979"/>
    <s v="439/R9/1"/>
    <x v="0"/>
    <x v="0"/>
    <x v="34"/>
    <x v="5"/>
    <x v="1"/>
    <s v="No"/>
    <s v="No"/>
    <s v="4x"/>
    <s v="bejsrtm004smini.bj.intel.com"/>
    <x v="253"/>
    <s v="E15FD8F6B13A0B00FFFFFFFF"/>
    <s v="C7H749700FUHXNKK2"/>
    <n v="18611415722"/>
    <s v="00440152262002"/>
    <s v="00440152262204"/>
    <m/>
    <d v="2018-04-27T00:00:00"/>
    <s v="Yes"/>
    <s v="Yes"/>
    <x v="0"/>
    <s v="REGULAR TEST"/>
    <m/>
  </r>
  <r>
    <x v="4"/>
    <s v="BEJSRTL178"/>
    <s v="Yes"/>
    <x v="10"/>
    <s v="PCIe"/>
    <n v="3220240"/>
    <s v="439/R9/5"/>
    <x v="0"/>
    <x v="1"/>
    <x v="32"/>
    <x v="9"/>
    <x v="1"/>
    <s v="No"/>
    <s v="No"/>
    <s v="4x"/>
    <s v="bijsrtm012smini.bj.intel.com"/>
    <x v="254"/>
    <s v="E15FD9863BEB0A00FFFFFFFF"/>
    <s v="C7H752300BMHXNKKB"/>
    <n v="13810503772"/>
    <s v="00440152262003"/>
    <s v="00440152262205"/>
    <n v="13260159171"/>
    <d v="2018-08-22T00:00:00"/>
    <s v="Yes"/>
    <s v="Yes"/>
    <x v="0"/>
    <s v="REGULAR TEST"/>
    <m/>
  </r>
  <r>
    <x v="4"/>
    <s v="BEJSRTL179"/>
    <s v="Yes"/>
    <x v="6"/>
    <s v="PCIe"/>
    <n v="3220100"/>
    <s v="439/R9/7"/>
    <x v="0"/>
    <x v="1"/>
    <x v="32"/>
    <x v="21"/>
    <x v="1"/>
    <s v="No"/>
    <s v="No"/>
    <s v="4x"/>
    <s v="7560utt243smini.bj.intel.com"/>
    <x v="255"/>
    <s v="E15F79D199680800FFFFFFFF"/>
    <s v="C7H751301CEHXNKKH"/>
    <n v="13810797353"/>
    <s v="00440152262004"/>
    <s v="00440152262206"/>
    <n v="15600127804"/>
    <d v="2018-08-22T00:00:00"/>
    <s v="Yes"/>
    <s v="Yes"/>
    <x v="0"/>
    <s v="REGULAR TEST"/>
    <m/>
  </r>
  <r>
    <x v="4"/>
    <s v="BEJSRTL180"/>
    <s v="Yes"/>
    <x v="10"/>
    <s v="PCIe"/>
    <n v="3220223"/>
    <s v="439/R11/7"/>
    <x v="0"/>
    <x v="1"/>
    <x v="27"/>
    <x v="17"/>
    <x v="1"/>
    <s v="No"/>
    <s v="No"/>
    <s v="4x"/>
    <s v="bejsrtm009smini.bj.intel.com"/>
    <x v="256"/>
    <s v="E1DFEAB8EE1D0C00FFFFFFFF"/>
    <s v="C7H7513008THXNKKH"/>
    <n v="13810069341"/>
    <s v="00440152262005"/>
    <s v="00440152262207"/>
    <n v="13910636724"/>
    <d v="2018-08-11T00:00:00"/>
    <s v="Yes"/>
    <s v="Yes"/>
    <x v="0"/>
    <s v="REGULAR TEST"/>
    <m/>
  </r>
  <r>
    <x v="4"/>
    <s v="BEJSRTL181"/>
    <s v="Yes"/>
    <x v="10"/>
    <s v="PCIe"/>
    <n v="3220107"/>
    <s v="439/R11/3"/>
    <x v="0"/>
    <x v="1"/>
    <x v="32"/>
    <x v="21"/>
    <x v="1"/>
    <s v="No"/>
    <s v="No"/>
    <s v="4x"/>
    <s v="bejsrtm010smini.bj.intel.com"/>
    <x v="257"/>
    <s v="E1DFDA0679580300FFFFFFFF"/>
    <s v="C7H75130092HXNKK5"/>
    <n v="13810420435"/>
    <s v="00440152218150"/>
    <s v="00440152219050"/>
    <n v="13120044507"/>
    <d v="2018-07-20T00:00:00"/>
    <s v="Yes"/>
    <s v="Yes"/>
    <x v="0"/>
    <s v="REGULAR TEST"/>
    <m/>
  </r>
  <r>
    <x v="4"/>
    <s v="BEJSRTL182"/>
    <s v="Yes"/>
    <x v="6"/>
    <s v="PCIe"/>
    <n v="3220086"/>
    <s v="439/R11/3"/>
    <x v="0"/>
    <x v="0"/>
    <x v="36"/>
    <x v="14"/>
    <x v="1"/>
    <s v="No"/>
    <s v="No"/>
    <s v="Yes"/>
    <s v="7560utt277smini.bj.intel.com"/>
    <x v="258"/>
    <s v="E1DFAA5481780C00FFFFFFFF"/>
    <s v="C7H75130128HXNKKK"/>
    <n v="18900670341"/>
    <s v="00440152219589"/>
    <s v="00440152264379"/>
    <m/>
    <m/>
    <s v="Yes"/>
    <s v="Yes"/>
    <x v="0"/>
    <s v="REGULAR TEST"/>
    <m/>
  </r>
  <r>
    <x v="4"/>
    <s v="BEJSRTL184"/>
    <s v="Yes"/>
    <x v="10"/>
    <s v="PCIe"/>
    <n v="3220194"/>
    <s v="439/R9/3"/>
    <x v="0"/>
    <x v="0"/>
    <x v="31"/>
    <x v="0"/>
    <x v="1"/>
    <s v="No"/>
    <s v="No"/>
    <s v="4x"/>
    <s v="bejsrtm007smini.bj.intel.com"/>
    <x v="259"/>
    <s v="E15FF942D17C0800FFFFFFFF"/>
    <s v="C7H752300CAHXNKKK"/>
    <n v="13810616327"/>
    <s v="00440152218145"/>
    <s v="00440152219045"/>
    <m/>
    <d v="2018-07-20T00:00:00"/>
    <s v="Yes"/>
    <s v="Yes"/>
    <x v="0"/>
    <s v="REGULAR TEST"/>
    <m/>
  </r>
  <r>
    <x v="4"/>
    <s v="BEJSRTL273"/>
    <s v="Yes"/>
    <x v="13"/>
    <s v="PCIe"/>
    <n v="3220215"/>
    <s v="439/R11/8"/>
    <x v="0"/>
    <x v="0"/>
    <x v="31"/>
    <x v="22"/>
    <x v="1"/>
    <s v="No"/>
    <s v="No"/>
    <s v="4x"/>
    <s v="7560utt275smini.bj.intel.com"/>
    <x v="260"/>
    <s v="E15FF80A39380500FFFFFFFF"/>
    <s v="C7H749700DVHXNKK7"/>
    <n v="13811090671"/>
    <s v="00440152218031"/>
    <s v="00440152218931"/>
    <m/>
    <d v="2018-04-26T00:00:00"/>
    <s v="Yes"/>
    <s v="Yes"/>
    <x v="0"/>
    <s v="REGULAR TEST"/>
    <m/>
  </r>
  <r>
    <x v="4"/>
    <s v="BEJSRTL186"/>
    <s v="Yes"/>
    <x v="6"/>
    <s v="PCIe"/>
    <n v="3220213"/>
    <s v="439/R11/2"/>
    <x v="0"/>
    <x v="0"/>
    <x v="26"/>
    <x v="13"/>
    <x v="1"/>
    <s v="No"/>
    <s v="Yes"/>
    <s v="4x"/>
    <s v="7560utt275smini.bj.intel.com"/>
    <x v="261"/>
    <s v="E1DF6A17B7B80500FFFFFFFF"/>
    <s v="C7H7513006MHXNKKV"/>
    <n v="17316073679"/>
    <s v="00440152262006"/>
    <s v="00440152262208"/>
    <m/>
    <m/>
    <s v="Yes"/>
    <s v="Yes"/>
    <x v="0"/>
    <s v="REGULAR TEST"/>
    <m/>
  </r>
  <r>
    <x v="4"/>
    <s v="BEJSRTL187"/>
    <s v="Yes"/>
    <x v="12"/>
    <s v="PCIe"/>
    <n v="3220108"/>
    <s v="459/R39/1"/>
    <x v="0"/>
    <x v="0"/>
    <x v="31"/>
    <x v="6"/>
    <x v="1"/>
    <s v="No"/>
    <s v="No"/>
    <s v="4x"/>
    <s v="7560utt235smini.bj.intel.com"/>
    <x v="262"/>
    <s v="E15FC8147B6D1000FFFFFFFF"/>
    <s v="C7H749700B4HXNKK4"/>
    <n v="13810465496"/>
    <s v="00440152262007"/>
    <s v="00440152262209"/>
    <m/>
    <d v="2018-04-27T00:00:00"/>
    <s v="Yes"/>
    <s v="Yes"/>
    <x v="0"/>
    <s v="REGULAR TEST"/>
    <m/>
  </r>
  <r>
    <x v="4"/>
    <s v="BEJSRTL188"/>
    <s v="Yes"/>
    <x v="10"/>
    <s v="PCIe"/>
    <n v="3220084"/>
    <s v="439/R18/7"/>
    <x v="0"/>
    <x v="1"/>
    <x v="32"/>
    <x v="21"/>
    <x v="1"/>
    <s v="No"/>
    <s v="No"/>
    <s v="4x"/>
    <s v="bejsrtm009smini.bj.intel.com"/>
    <x v="263"/>
    <s v="E1DFBA6A81260B00FFFFFFFF"/>
    <s v="C7H75130080HXNKKA"/>
    <n v="13811264942"/>
    <s v="00440152262008"/>
    <s v="00440152262210"/>
    <n v="18518928551"/>
    <d v="2018-07-20T00:00:00"/>
    <s v="Yes"/>
    <s v="Yes"/>
    <x v="0"/>
    <s v="REGULAR TEST"/>
    <m/>
  </r>
  <r>
    <x v="4"/>
    <s v="BEJSRTL189"/>
    <s v="Yes"/>
    <x v="12"/>
    <s v="PCIe"/>
    <n v="3220101"/>
    <s v="459/R41/5"/>
    <x v="0"/>
    <x v="1"/>
    <x v="32"/>
    <x v="21"/>
    <x v="1"/>
    <s v="No"/>
    <s v="No"/>
    <s v="4x"/>
    <s v="7560utt236smini.bj.intel.com"/>
    <x v="264"/>
    <s v="E15FF99E2F910A00FFFFFFFF"/>
    <s v="C7H752300CGHXNKKD"/>
    <n v="13810018984"/>
    <s v="00440152262009"/>
    <s v="00440152262211"/>
    <n v="13011842454"/>
    <d v="2018-04-25T00:00:00"/>
    <s v="Yes"/>
    <s v="Yes"/>
    <x v="0"/>
    <s v="REGULAR TEST"/>
    <m/>
  </r>
  <r>
    <x v="4"/>
    <s v="BEJSRTL190"/>
    <s v="No"/>
    <x v="12"/>
    <s v="PCIe"/>
    <n v="3220242"/>
    <s v="459/R42/1"/>
    <x v="0"/>
    <x v="1"/>
    <x v="25"/>
    <x v="16"/>
    <x v="1"/>
    <s v="No"/>
    <s v="Yes"/>
    <s v="NA"/>
    <s v="bejsrtm003smini.bj.intel.com"/>
    <x v="265"/>
    <s v="E15F09DBB0E90A00FFFFFFFF"/>
    <s v="C7H752300BCHXNKKL"/>
    <n v="13810659173"/>
    <s v="00440152262010"/>
    <s v="00440152262212"/>
    <n v="18911034373"/>
    <d v="2018-08-22T00:00:00"/>
    <s v="Yes"/>
    <s v="Yes"/>
    <x v="0"/>
    <s v="REGULAR TEST"/>
    <m/>
  </r>
  <r>
    <x v="4"/>
    <s v="BEJSRTL191"/>
    <s v="Yes"/>
    <x v="10"/>
    <s v="PCIe"/>
    <n v="3220103"/>
    <s v="439/R11/2"/>
    <x v="0"/>
    <x v="1"/>
    <x v="29"/>
    <x v="19"/>
    <x v="1"/>
    <s v="No"/>
    <s v="Yes"/>
    <s v="4x"/>
    <s v="bejsrtm009smini.bj.intel.com"/>
    <x v="266"/>
    <s v="E15FF948CF5F0800FFFFFFFF"/>
    <s v="C7H752300AMHXNKKE"/>
    <n v="18911034675"/>
    <s v="00440152262011"/>
    <s v="00440152262213"/>
    <n v="13810990395"/>
    <d v="2018-04-26T00:00:00"/>
    <s v="Yes"/>
    <s v="Yes"/>
    <x v="0"/>
    <s v="REGULAR TEST"/>
    <m/>
  </r>
  <r>
    <x v="4"/>
    <s v="BEJSRTL193"/>
    <s v="Yes"/>
    <x v="12"/>
    <s v="PCIe"/>
    <n v="3120168"/>
    <s v="439/R11/6"/>
    <x v="0"/>
    <x v="0"/>
    <x v="34"/>
    <x v="25"/>
    <x v="1"/>
    <s v="No"/>
    <s v="No"/>
    <s v="4x"/>
    <s v="bejsrtm004smini.bj.intel.com"/>
    <x v="267"/>
    <s v="E15FB884AB5C0D00FFFFFFFF"/>
    <s v="C7H749700DRHXNKKB"/>
    <n v="13051118707"/>
    <s v="00440152218191"/>
    <s v="00440152219091"/>
    <m/>
    <d v="2018-04-27T00:00:00"/>
    <s v="Yes"/>
    <s v="Yes"/>
    <x v="0"/>
    <s v="REGULAR TEST"/>
    <m/>
  </r>
  <r>
    <x v="4"/>
    <s v="BEJSRTL194"/>
    <s v="Yes"/>
    <x v="6"/>
    <s v="PCIe"/>
    <n v="3219625"/>
    <s v="439/R12/4"/>
    <x v="0"/>
    <x v="0"/>
    <x v="26"/>
    <x v="14"/>
    <x v="1"/>
    <s v="No"/>
    <s v="Yes"/>
    <s v="4x"/>
    <s v="7560utt175smini.bj.intel.com"/>
    <x v="268"/>
    <s v="E15FF84C8D140500FFFFFFFF"/>
    <s v="C7H749700EDHXNKKL"/>
    <n v="18911474307"/>
    <s v="00440152219611"/>
    <s v="00440152264401"/>
    <m/>
    <d v="2018-04-25T00:00:00"/>
    <s v="Yes"/>
    <s v="Yes"/>
    <x v="0"/>
    <s v="REGULAR TEST"/>
    <m/>
  </r>
  <r>
    <x v="4"/>
    <s v="BEJSRTL195"/>
    <s v="Yes"/>
    <x v="12"/>
    <s v="PCIe"/>
    <n v="3219547"/>
    <s v="439/R11/1"/>
    <x v="0"/>
    <x v="1"/>
    <x v="32"/>
    <x v="9"/>
    <x v="1"/>
    <s v="No"/>
    <s v="No"/>
    <s v="4x"/>
    <s v="7560utt236smini.bj.intel.com"/>
    <x v="269"/>
    <s v="E15F59C7D10D0300FFFFFFFF"/>
    <s v="C7H751301B7HXNKKT"/>
    <n v="13810767912"/>
    <s v="00440152219519"/>
    <s v="00440152264309"/>
    <n v="18518914875"/>
    <d v="2018-08-11T00:00:00"/>
    <s v="Yes"/>
    <s v="Yes"/>
    <x v="0"/>
    <s v="REGULAR TEST"/>
    <m/>
  </r>
  <r>
    <x v="4"/>
    <s v="BEJSRTL196"/>
    <s v="Yes"/>
    <x v="12"/>
    <s v="PCIe"/>
    <n v="3220302"/>
    <s v="459/R39/6"/>
    <x v="0"/>
    <x v="0"/>
    <x v="26"/>
    <x v="13"/>
    <x v="1"/>
    <s v="No"/>
    <s v="Yes"/>
    <s v="4x"/>
    <s v="bejsrtm007smini.bj.intel.com"/>
    <x v="270"/>
    <s v="E15FE9989DF00A00FFFFFFFF"/>
    <s v="C7H752300BPHXNKK9"/>
    <n v="18910224650"/>
    <s v="00440152218118"/>
    <s v="00440152219018"/>
    <m/>
    <d v="2018-06-01T00:00:00"/>
    <s v="Yes"/>
    <s v="Yes"/>
    <x v="0"/>
    <s v="REGULAR TEST"/>
    <m/>
  </r>
  <r>
    <x v="4"/>
    <s v="BEJSRTL197"/>
    <s v="Yes"/>
    <x v="6"/>
    <s v="PCIe"/>
    <n v="3220324"/>
    <s v="439/R11/1"/>
    <x v="0"/>
    <x v="0"/>
    <x v="26"/>
    <x v="13"/>
    <x v="1"/>
    <s v="No"/>
    <s v="Yes"/>
    <s v="4x"/>
    <s v="7560utt175smini.bj.intel.com"/>
    <x v="271"/>
    <s v="E15FC88ED53C1000FFFFFFFF"/>
    <s v="C7H749700BNHXNKKL"/>
    <n v="17310344509"/>
    <s v="00440152262012"/>
    <s v="00440152262214"/>
    <m/>
    <d v="2018-04-27T00:00:00"/>
    <s v="Yes"/>
    <s v="Yes"/>
    <x v="0"/>
    <s v="REGULAR TEST"/>
    <m/>
  </r>
  <r>
    <x v="4"/>
    <s v="BEJSRTL198"/>
    <s v="Yes"/>
    <x v="6"/>
    <s v="PCIe"/>
    <n v="3220259"/>
    <s v="439/R12/1"/>
    <x v="0"/>
    <x v="1"/>
    <x v="29"/>
    <x v="19"/>
    <x v="1"/>
    <s v="Yes"/>
    <s v="Yes"/>
    <s v="No"/>
    <e v="#N/A"/>
    <x v="13"/>
    <s v="E28F59217B241300FFFFFFFF"/>
    <s v="C7H8103001NHXNKXB"/>
    <n v="13381264736"/>
    <s v="00440152218012"/>
    <s v="00440152218912"/>
    <n v="13810224127"/>
    <d v="2018-04-25T00:00:00"/>
    <s v="Yes"/>
    <s v="Yes"/>
    <x v="0"/>
    <s v="REGULAR TEST"/>
    <m/>
  </r>
  <r>
    <x v="4"/>
    <s v="BEJSRTL203"/>
    <s v="Yes"/>
    <x v="6"/>
    <s v="PCIe"/>
    <n v="3219917"/>
    <s v="439/R13/4"/>
    <x v="0"/>
    <x v="0"/>
    <x v="26"/>
    <x v="14"/>
    <x v="1"/>
    <s v="Yes"/>
    <s v="Yes"/>
    <s v="No"/>
    <e v="#N/A"/>
    <x v="13"/>
    <s v="E1DF5A3FF29C0700FFFFFFFF"/>
    <s v="C7H7513007VHXNKKJ"/>
    <n v="17310461939"/>
    <s v="00440152219755"/>
    <s v="00440152264545"/>
    <m/>
    <d v="2018-05-17T00:00:00"/>
    <s v="Yes"/>
    <s v="Yes"/>
    <x v="0"/>
    <s v="REGULAR TEST"/>
    <m/>
  </r>
  <r>
    <x v="4"/>
    <s v="BEJSRTL204"/>
    <s v="Yes"/>
    <x v="6"/>
    <s v="PCIe"/>
    <n v="3219953"/>
    <s v="439/R13/2"/>
    <x v="0"/>
    <x v="1"/>
    <x v="29"/>
    <x v="19"/>
    <x v="9"/>
    <s v="Yes"/>
    <s v="Yes"/>
    <s v="No"/>
    <e v="#N/A"/>
    <x v="13"/>
    <s v="E20F0AEA4DE90000FFFFFFFF"/>
    <s v="C7H8103001JHXNKXF"/>
    <n v="18911034676"/>
    <s v="00440152219763"/>
    <s v="00440152264553"/>
    <n v="13910433130"/>
    <d v="2018-04-24T00:00:00"/>
    <s v="Yes"/>
    <s v="Yes"/>
    <x v="0"/>
    <s v="REGULAR TEST"/>
    <m/>
  </r>
  <r>
    <x v="4"/>
    <s v="BEJSRTL205"/>
    <s v="Yes"/>
    <x v="13"/>
    <s v="PCIe"/>
    <n v="3219865"/>
    <s v="439/R13/5"/>
    <x v="0"/>
    <x v="0"/>
    <x v="31"/>
    <x v="0"/>
    <x v="1"/>
    <s v="No"/>
    <s v="No"/>
    <s v="4x"/>
    <s v="7560utt275smini.bj.intel.com"/>
    <x v="272"/>
    <s v="E15FA854B04F0D00FFFFFFFF"/>
    <s v="C7H749700DLHXNKKG"/>
    <n v="13810573975"/>
    <s v="00440152217746"/>
    <s v="00440152218646"/>
    <m/>
    <d v="2018-04-26T00:00:00"/>
    <s v="Yes"/>
    <s v="Yes"/>
    <x v="0"/>
    <s v="REGULAR TEST"/>
    <m/>
  </r>
  <r>
    <x v="4"/>
    <s v="BEJSRTL207"/>
    <s v="No"/>
    <x v="12"/>
    <s v="PCIe"/>
    <n v="3219897"/>
    <s v="439/R14/3"/>
    <x v="0"/>
    <x v="1"/>
    <x v="25"/>
    <x v="16"/>
    <x v="1"/>
    <s v="No"/>
    <s v="Yes"/>
    <s v="NA"/>
    <s v="7560utt243smini.bj.intel.com"/>
    <x v="273"/>
    <s v="E1DF394A5B770800FFFFFFFF"/>
    <s v="C7H75130197HXNKKZ"/>
    <n v="13810010194"/>
    <s v="00440152262014"/>
    <s v="00440152262216"/>
    <n v="18911175464"/>
    <d v="2018-08-22T00:00:00"/>
    <s v="Yes"/>
    <s v="Yes"/>
    <x v="0"/>
    <s v="REGULAR TEST"/>
    <m/>
  </r>
  <r>
    <x v="4"/>
    <s v="BEJSRTL208"/>
    <s v="Yes"/>
    <x v="10"/>
    <s v="PCIe"/>
    <n v="3219866"/>
    <s v="439/R14/6"/>
    <x v="0"/>
    <x v="0"/>
    <x v="26"/>
    <x v="13"/>
    <x v="1"/>
    <s v="No"/>
    <s v="Yes"/>
    <s v="4x"/>
    <s v="bejsrtm006smini.bj.intel.com"/>
    <x v="274"/>
    <s v="E15FD9C48A650800FFFFFFFF"/>
    <s v="C7H752300AQHXNKKB"/>
    <n v="18911473782"/>
    <s v="00440152218142"/>
    <s v="00440152219042"/>
    <m/>
    <d v="2018-04-26T00:00:00"/>
    <s v="Yes"/>
    <s v="Yes"/>
    <x v="0"/>
    <s v="REGULAR TEST"/>
    <m/>
  </r>
  <r>
    <x v="4"/>
    <s v="BEJSRTL209"/>
    <s v="Yes"/>
    <x v="6"/>
    <s v="PCIe"/>
    <n v="3219820"/>
    <s v="439/R14/2"/>
    <x v="0"/>
    <x v="1"/>
    <x v="32"/>
    <x v="21"/>
    <x v="1"/>
    <s v="No"/>
    <s v="No"/>
    <s v="4x"/>
    <s v="7560utt243smini.bj.intel.com"/>
    <x v="275"/>
    <s v="E1DFBA0281640B00FFFFFFFF"/>
    <s v="C7H7513006VHXNKKM"/>
    <n v="13810430494"/>
    <s v="00440152217710"/>
    <s v="00440152218610"/>
    <n v="13260055830"/>
    <d v="2018-08-22T00:00:00"/>
    <s v="Yes"/>
    <s v="Yes"/>
    <x v="0"/>
    <s v="REGULAR TEST"/>
    <m/>
  </r>
  <r>
    <x v="4"/>
    <s v="BEJSRTL210"/>
    <s v="Yes"/>
    <x v="6"/>
    <s v="PCIe"/>
    <n v="3219555"/>
    <s v="439/R8/1"/>
    <x v="0"/>
    <x v="1"/>
    <x v="35"/>
    <x v="15"/>
    <x v="1"/>
    <s v="No"/>
    <s v="Yes"/>
    <s v="4x"/>
    <s v="bijsrtm012smini.bj.intel.com"/>
    <x v="276"/>
    <s v="E1DF5A5909840700FFFFFFFF"/>
    <s v="C7H751300BDHXNKKN"/>
    <n v="18911124191"/>
    <s v="00440152262015"/>
    <s v="00440152262217"/>
    <n v="13167579171"/>
    <d v="2018-04-24T00:00:00"/>
    <s v="Yes"/>
    <s v="Yes"/>
    <x v="0"/>
    <s v="REGULAR TEST"/>
    <m/>
  </r>
  <r>
    <x v="4"/>
    <s v="BEJSRTL211"/>
    <s v="Yes"/>
    <x v="6"/>
    <s v="PCIe"/>
    <n v="3219816"/>
    <s v="439/R14/6"/>
    <x v="0"/>
    <x v="0"/>
    <x v="26"/>
    <x v="14"/>
    <x v="1"/>
    <s v="No"/>
    <s v="Yes"/>
    <s v="4x"/>
    <s v="7560utt235smini.bj.intel.com"/>
    <x v="277"/>
    <s v="E15FC9A6A6500800FFFFFFFF"/>
    <s v="C7H752300DMHXNKK5"/>
    <n v="18911477914"/>
    <s v="00440152262016"/>
    <s v="00440152262218"/>
    <m/>
    <d v="2018-04-27T00:00:00"/>
    <s v="Yes"/>
    <s v="Yes"/>
    <x v="0"/>
    <s v="REGULAR TEST"/>
    <m/>
  </r>
  <r>
    <x v="4"/>
    <s v="BEJSRTL212"/>
    <s v="Yes"/>
    <x v="6"/>
    <s v="PCIe"/>
    <n v="3219925"/>
    <s v="459/R42/8"/>
    <x v="0"/>
    <x v="0"/>
    <x v="31"/>
    <x v="6"/>
    <x v="1"/>
    <s v="No"/>
    <s v="No"/>
    <s v="4x"/>
    <s v="7560utt175smini.bj.intel.com"/>
    <x v="278"/>
    <s v="E15FB96E02E10A00FFFFFFFF"/>
    <s v="C7H751301AGHXNKKM"/>
    <n v="13810872517"/>
    <s v="00440152262017"/>
    <s v="00440152262219"/>
    <m/>
    <d v="2018-03-28T00:00:00"/>
    <s v="Yes"/>
    <s v="Yes"/>
    <x v="0"/>
    <s v="REGULAR TEST"/>
    <m/>
  </r>
  <r>
    <x v="4"/>
    <s v="BEJSRTL213"/>
    <s v="Yes"/>
    <x v="6"/>
    <s v="PCIe"/>
    <n v="3219814"/>
    <s v="439/R32/3"/>
    <x v="0"/>
    <x v="1"/>
    <x v="28"/>
    <x v="18"/>
    <x v="1"/>
    <s v="No"/>
    <s v="No"/>
    <s v="Yes"/>
    <s v="bejsrtm009smini.bj.intel.com"/>
    <x v="279"/>
    <s v="E15FF95ACF360800FFFFFFFF"/>
    <s v="C7H752300C0HXNKKV"/>
    <n v="13800001335"/>
    <s v="00440152219468"/>
    <s v="00440152264258"/>
    <n v="13800001331"/>
    <d v="2018-07-06T00:00:00"/>
    <s v="Yes"/>
    <s v="Yes"/>
    <x v="0"/>
    <s v="REGULAR TEST"/>
    <m/>
  </r>
  <r>
    <x v="4"/>
    <s v="BEJSRTL214"/>
    <s v="Yes"/>
    <x v="10"/>
    <s v="PCIe"/>
    <n v="3219857"/>
    <s v="439/R14/1"/>
    <x v="0"/>
    <x v="0"/>
    <x v="31"/>
    <x v="0"/>
    <x v="1"/>
    <s v="No"/>
    <s v="No"/>
    <s v="4x"/>
    <s v="bejsrtm005smini.bj.intel.com"/>
    <x v="280"/>
    <s v="E15FE9B679F50A00FFFFFFFF"/>
    <s v="C7H752300CPHXNKK6"/>
    <n v="13800001326"/>
    <s v="00440152218015"/>
    <s v="00440152218915"/>
    <m/>
    <d v="2018-04-25T00:00:00"/>
    <s v="Yes"/>
    <s v="Yes"/>
    <x v="0"/>
    <s v="REGULAR TEST"/>
    <m/>
  </r>
  <r>
    <x v="4"/>
    <s v="BEJSRTL215"/>
    <s v="Yes"/>
    <x v="12"/>
    <s v="PCIe"/>
    <n v="3219808"/>
    <s v="459/R36/4"/>
    <x v="0"/>
    <x v="0"/>
    <x v="31"/>
    <x v="0"/>
    <x v="1"/>
    <s v="No"/>
    <s v="No"/>
    <s v="4x"/>
    <s v="7560utt175smini.bj.intel.com"/>
    <x v="281"/>
    <s v="E15FE962051E0F00FFFFFFFF"/>
    <s v="C7H75130191HXNKK5"/>
    <n v="13810286441"/>
    <s v="00440152262018"/>
    <s v="00440152262220"/>
    <m/>
    <d v="2018-03-28T00:00:00"/>
    <s v="Yes"/>
    <s v="Yes"/>
    <x v="0"/>
    <s v="REGULAR TEST"/>
    <m/>
  </r>
  <r>
    <x v="4"/>
    <s v="BEJSRTL216"/>
    <s v="Yes"/>
    <x v="12"/>
    <s v="PCIe"/>
    <n v="2794224"/>
    <s v="439/R14/5"/>
    <x v="0"/>
    <x v="1"/>
    <x v="29"/>
    <x v="19"/>
    <x v="1"/>
    <s v="No"/>
    <s v="Yes"/>
    <s v="4x"/>
    <s v="bejsrtm001smini.bj.intel.com"/>
    <x v="282"/>
    <s v="E15F49B5F60D0800FFFFFFFF"/>
    <s v="C7H751301B9HXNKKR"/>
    <n v="18010341443"/>
    <s v="00440152218011"/>
    <s v="00440152218911"/>
    <n v="13910409544"/>
    <m/>
    <s v="Yes"/>
    <s v="Yes"/>
    <x v="0"/>
    <s v="REGULAR TEST"/>
    <m/>
  </r>
  <r>
    <x v="4"/>
    <s v="BEJSRTL217"/>
    <s v="Yes"/>
    <x v="6"/>
    <s v="PCIe"/>
    <n v="3219852"/>
    <s v="439/R13/2"/>
    <x v="0"/>
    <x v="0"/>
    <x v="26"/>
    <x v="14"/>
    <x v="1"/>
    <s v="Yes"/>
    <s v="Yes"/>
    <s v="No"/>
    <e v="#N/A"/>
    <x v="13"/>
    <s v="E1DF6A9FC0840500FFFFFFFF"/>
    <s v="C7H75130067HXNKK9"/>
    <n v="17310493075"/>
    <s v="00440152218140"/>
    <s v="00440152219040"/>
    <m/>
    <d v="2018-05-17T00:00:00"/>
    <s v="Yes"/>
    <s v="Yes"/>
    <x v="0"/>
    <s v="REGULAR TEST"/>
    <m/>
  </r>
  <r>
    <x v="4"/>
    <s v="BEJSRTL218"/>
    <s v="Yes"/>
    <x v="12"/>
    <s v="PCIe"/>
    <n v="3219847"/>
    <s v="439/R8/4"/>
    <x v="0"/>
    <x v="0"/>
    <x v="36"/>
    <x v="14"/>
    <x v="1"/>
    <s v="No"/>
    <s v="No"/>
    <s v="Yes"/>
    <s v="7560utt277smini.bj.intel.com"/>
    <x v="283"/>
    <s v="E1DFAA5E3A080300FFFFFFFF"/>
    <s v="C7H7513012AHXNKKH"/>
    <n v="18900670336"/>
    <s v="00440152219596"/>
    <s v="00440152264386"/>
    <m/>
    <m/>
    <s v="Yes"/>
    <s v="Yes"/>
    <x v="0"/>
    <s v="REGULAR TEST"/>
    <m/>
  </r>
  <r>
    <x v="4"/>
    <s v="BEJSRTL219"/>
    <s v="Yes"/>
    <x v="12"/>
    <s v="PCIe"/>
    <n v="3220060"/>
    <s v="439/R28/4"/>
    <x v="0"/>
    <x v="1"/>
    <x v="37"/>
    <x v="19"/>
    <x v="1"/>
    <s v="No"/>
    <s v="No"/>
    <s v="Yes"/>
    <s v="7560utt277smini.bj.intel.com"/>
    <x v="284"/>
    <s v="E15FE938476A0800FFFFFFFF"/>
    <s v="C7H752300AUHXNKK7"/>
    <n v="18900670307"/>
    <s v="00440152219655"/>
    <s v="00440152264445"/>
    <n v="13800001326"/>
    <d v="2018-07-06T00:00:00"/>
    <s v="Yes"/>
    <s v="Yes"/>
    <x v="0"/>
    <s v="REGULAR TEST"/>
    <m/>
  </r>
  <r>
    <x v="4"/>
    <s v="BEJSRTL220"/>
    <s v="Yes"/>
    <x v="14"/>
    <s v="PCIe"/>
    <n v="3220048"/>
    <s v="459/R39/7"/>
    <x v="0"/>
    <x v="0"/>
    <x v="31"/>
    <x v="0"/>
    <x v="1"/>
    <s v="No"/>
    <s v="No"/>
    <s v="4x"/>
    <s v="bejsrtm007smini.bj.intel.com"/>
    <x v="285"/>
    <s v="E15F29B106470F00FFFFFFFF"/>
    <s v="C7H752300B7HXNKKR"/>
    <n v="13911711495"/>
    <s v="00440152218060"/>
    <s v="00440152218960"/>
    <m/>
    <d v="2018-04-26T00:00:00"/>
    <s v="Yes"/>
    <s v="Yes"/>
    <x v="0"/>
    <s v="REGULAR TEST"/>
    <m/>
  </r>
  <r>
    <x v="4"/>
    <s v="BEJSRTL221"/>
    <s v="Yes"/>
    <x v="10"/>
    <s v="PCIe"/>
    <n v="2794226"/>
    <s v="439/R13/6"/>
    <x v="0"/>
    <x v="0"/>
    <x v="31"/>
    <x v="0"/>
    <x v="1"/>
    <s v="No"/>
    <s v="No"/>
    <s v="4x"/>
    <s v="bejsrtm007smini.bj.intel.com"/>
    <x v="286"/>
    <s v="E1DF3A5955860700FFFFFFFF"/>
    <s v="C7H7513008QHXNKKL"/>
    <n v="13810561823"/>
    <s v="00440152219654"/>
    <s v="00440152264444"/>
    <m/>
    <d v="2018-04-24T00:00:00"/>
    <s v="Yes"/>
    <s v="Yes"/>
    <x v="0"/>
    <s v="REGULAR TEST"/>
    <m/>
  </r>
  <r>
    <x v="4"/>
    <s v="BEJSRTL222"/>
    <s v="Yes"/>
    <x v="6"/>
    <s v="PCIe"/>
    <n v="2794386"/>
    <s v="439/R13/4"/>
    <x v="0"/>
    <x v="0"/>
    <x v="31"/>
    <x v="0"/>
    <x v="1"/>
    <s v="Yes"/>
    <s v="No"/>
    <s v="4x"/>
    <e v="#N/A"/>
    <x v="13"/>
    <s v="E1DFCA96F6550F00FFFFFFFF"/>
    <s v="C7H751300A6HXNKKY"/>
    <n v="13810788923"/>
    <m/>
    <m/>
    <m/>
    <d v="2018-05-17T00:00:00"/>
    <s v="Yes"/>
    <s v="Yes"/>
    <x v="0"/>
    <s v="DEBUG TEST"/>
    <m/>
  </r>
  <r>
    <x v="4"/>
    <s v="BEJSRTL224"/>
    <s v="Yes"/>
    <x v="10"/>
    <s v="PCIe"/>
    <n v="3219754"/>
    <s v="439/R13/6"/>
    <x v="0"/>
    <x v="1"/>
    <x v="32"/>
    <x v="9"/>
    <x v="1"/>
    <s v="No"/>
    <s v="No"/>
    <s v="4x"/>
    <s v="bejsrtm010smini.bj.intel.com"/>
    <x v="287"/>
    <s v="E1DFCA80771E0C00FFFFFFFF"/>
    <s v="C7H7513007UHXNKKK"/>
    <n v="13811080285"/>
    <s v="00440152219597"/>
    <s v="00440152264387"/>
    <n v="13260033301"/>
    <d v="2018-08-11T00:00:00"/>
    <s v="Yes"/>
    <s v="Yes"/>
    <x v="0"/>
    <s v="REGULAR TEST"/>
    <m/>
  </r>
  <r>
    <x v="4"/>
    <s v="BEJSRTL225"/>
    <s v="Yes"/>
    <x v="12"/>
    <s v="PCIe"/>
    <n v="3219697"/>
    <s v="439/R13/5"/>
    <x v="0"/>
    <x v="1"/>
    <x v="29"/>
    <x v="19"/>
    <x v="1"/>
    <s v="No"/>
    <s v="Yes"/>
    <s v="4x"/>
    <s v="bejsrtm001smini.bj.intel.com"/>
    <x v="288"/>
    <s v="E1DF2A7541710C00FFFFFFFF"/>
    <s v="C7H75130156HXNKKC"/>
    <n v="18010341445"/>
    <s v="00440152262020"/>
    <s v="00440152262222"/>
    <n v="13810595890"/>
    <d v="2018-04-07T00:00:00"/>
    <s v="Yes"/>
    <s v="Yes"/>
    <x v="0"/>
    <s v="REGULAR TEST"/>
    <m/>
  </r>
  <r>
    <x v="4"/>
    <s v="BEJSRTL226"/>
    <s v="Yes"/>
    <x v="6"/>
    <s v="PCIe"/>
    <n v="3219869"/>
    <s v="439/R12/2"/>
    <x v="0"/>
    <x v="0"/>
    <x v="31"/>
    <x v="0"/>
    <x v="9"/>
    <s v="Yes"/>
    <s v="No"/>
    <s v="4x"/>
    <e v="#N/A"/>
    <x v="13"/>
    <s v="E1DF7A9F563B0E00FFFFFFFF"/>
    <s v="C7H7513006EHXNKK2"/>
    <n v="13811021835"/>
    <s v="00440152218093"/>
    <s v="00440152218993"/>
    <m/>
    <d v="2018-05-17T00:00:00"/>
    <s v="Yes"/>
    <s v="Yes"/>
    <x v="0"/>
    <s v="REGULAR TEST"/>
    <m/>
  </r>
  <r>
    <x v="4"/>
    <s v="BEJSRTL382"/>
    <s v="Yes"/>
    <x v="13"/>
    <s v="PCIe"/>
    <n v="3220317"/>
    <s v="439/R2/2"/>
    <x v="0"/>
    <x v="0"/>
    <x v="34"/>
    <x v="4"/>
    <x v="1"/>
    <s v="No"/>
    <s v="No"/>
    <s v="4x"/>
    <s v="7560utt275smini.bj.intel.com"/>
    <x v="289"/>
    <s v="E15FD8F69B0C1000FFFFFFFF"/>
    <s v="C7H749700BFHXNKKT"/>
    <n v="18612498409"/>
    <s v="00440152262021"/>
    <s v="00440152262223"/>
    <m/>
    <d v="2018-04-26T00:00:00"/>
    <s v="Yes"/>
    <s v="Yes"/>
    <x v="0"/>
    <s v="REGULAR TEST"/>
    <m/>
  </r>
  <r>
    <x v="4"/>
    <s v="BEJSRTL228"/>
    <s v="Yes"/>
    <x v="10"/>
    <s v="PCIe"/>
    <n v="3220309"/>
    <s v="439/R6/1"/>
    <x v="0"/>
    <x v="0"/>
    <x v="31"/>
    <x v="0"/>
    <x v="1"/>
    <s v="No"/>
    <s v="No"/>
    <s v="4x"/>
    <s v="bejsrtm005smini.bj.intel.com"/>
    <x v="290"/>
    <s v="E15FF9CE0D030800FFFFFFFF"/>
    <s v="C7H752300CUHXNKK1"/>
    <n v="13810396281"/>
    <s v="00440152262022"/>
    <s v="00440152262224"/>
    <m/>
    <d v="2018-04-23T00:00:00"/>
    <s v="Yes"/>
    <s v="Yes"/>
    <x v="0"/>
    <s v="REGULAR TEST"/>
    <m/>
  </r>
  <r>
    <x v="4"/>
    <s v="BEJSRTL229"/>
    <s v="Yes"/>
    <x v="10"/>
    <s v="PCIe"/>
    <n v="3220229"/>
    <s v="459/R42/3"/>
    <x v="0"/>
    <x v="1"/>
    <x v="32"/>
    <x v="9"/>
    <x v="1"/>
    <s v="No"/>
    <s v="No"/>
    <s v="4x"/>
    <s v="7560utt243smini.bj.intel.com"/>
    <x v="291"/>
    <s v="E15F2981A5E40A00FFFFFFFF"/>
    <s v="C7H7523008RHXNKKG"/>
    <n v="13810825702"/>
    <s v="00440152262023"/>
    <s v="00440152262225"/>
    <n v="13121576971"/>
    <d v="2018-08-22T00:00:00"/>
    <s v="Yes"/>
    <s v="Yes"/>
    <x v="0"/>
    <s v="REGULAR TEST"/>
    <m/>
  </r>
  <r>
    <x v="4"/>
    <s v="BEJSRTL230"/>
    <s v="No"/>
    <x v="12"/>
    <s v="PCIe"/>
    <n v="3220166"/>
    <s v="439/R11/4"/>
    <x v="0"/>
    <x v="1"/>
    <x v="29"/>
    <x v="19"/>
    <x v="1"/>
    <s v="No"/>
    <s v="Yes"/>
    <s v="NA"/>
    <s v="bejsrtm001smini.bj.intel.com"/>
    <x v="292"/>
    <s v="E1DF1970BABC0A00FFFFFFFF"/>
    <s v="C7H75130171HXNKKB"/>
    <n v="18010341446"/>
    <s v="00440152262024"/>
    <s v="00440152262226"/>
    <n v="13810670535"/>
    <d v="2018-08-22T00:00:00"/>
    <s v="Yes"/>
    <s v="Yes"/>
    <x v="0"/>
    <s v="REGULAR TEST"/>
    <m/>
  </r>
  <r>
    <x v="4"/>
    <s v="BEJSRTL231"/>
    <s v="Yes"/>
    <x v="12"/>
    <s v="PCIe"/>
    <n v="3220151"/>
    <s v="439/R28/1"/>
    <x v="0"/>
    <x v="0"/>
    <x v="36"/>
    <x v="13"/>
    <x v="1"/>
    <s v="No"/>
    <s v="No"/>
    <s v="Yes"/>
    <s v="7560utt277smini.bj.intel.com"/>
    <x v="293"/>
    <s v="E1DFCA223D210B00FFFFFFFF"/>
    <s v="C7H751300ARHXNKKD"/>
    <n v="18900670344"/>
    <s v="00440152262025"/>
    <s v="00440152262227"/>
    <m/>
    <d v="2018-04-24T00:00:00"/>
    <s v="Yes"/>
    <s v="Yes"/>
    <x v="0"/>
    <s v="REGULAR TEST"/>
    <m/>
  </r>
  <r>
    <x v="4"/>
    <s v="BEJSRTL232"/>
    <s v="Yes"/>
    <x v="12"/>
    <s v="PCIe"/>
    <n v="3220239"/>
    <s v="439/R2/2"/>
    <x v="0"/>
    <x v="0"/>
    <x v="26"/>
    <x v="14"/>
    <x v="1"/>
    <s v="No"/>
    <s v="Yes"/>
    <s v="4x"/>
    <s v="bejsrtm007smini.bj.intel.com"/>
    <x v="294"/>
    <s v="E1DFDA10AB310B00FFFFFFFF"/>
    <s v="C7H7513008YHXNKKC"/>
    <n v="13381264537"/>
    <s v="00440152262026"/>
    <s v="00440152262228"/>
    <m/>
    <d v="2018-06-01T00:00:00"/>
    <s v="Yes"/>
    <s v="Yes"/>
    <x v="0"/>
    <s v="REGULAR TEST"/>
    <m/>
  </r>
  <r>
    <x v="4"/>
    <s v="BEJSRTL233"/>
    <s v="Yes"/>
    <x v="12"/>
    <s v="PCIe"/>
    <n v="3220235"/>
    <s v="439/R8/2"/>
    <x v="0"/>
    <x v="1"/>
    <x v="29"/>
    <x v="26"/>
    <x v="1"/>
    <s v="No"/>
    <s v="Yes"/>
    <s v="4x"/>
    <s v="bejsrtm001smini.bj.intel.com"/>
    <x v="295"/>
    <s v="E1DF39D828960A00FFFFFFFF"/>
    <s v="C7H75130187HXNKK2"/>
    <n v="18010341440"/>
    <s v="00440152262027"/>
    <s v="00440152262229"/>
    <n v="13810723193"/>
    <m/>
    <s v="Yes"/>
    <s v="Yes"/>
    <x v="0"/>
    <s v="REGULAR TEST"/>
    <m/>
  </r>
  <r>
    <x v="4"/>
    <s v="BEJSRTL234"/>
    <s v="Yes"/>
    <x v="10"/>
    <s v="PCIe"/>
    <n v="3219794"/>
    <s v="439/R8/2"/>
    <x v="0"/>
    <x v="0"/>
    <x v="31"/>
    <x v="0"/>
    <x v="1"/>
    <s v="No"/>
    <s v="No"/>
    <s v="4x"/>
    <s v="7560utt276smini.bj.intel.com"/>
    <x v="296"/>
    <s v="E1DF2A0D377B0400FFFFFFFF"/>
    <s v="C7H751300BFHXNKKL"/>
    <n v="13810420937"/>
    <s v="00440152219693"/>
    <s v="00440152264483"/>
    <m/>
    <d v="2018-06-01T00:00:00"/>
    <s v="Yes"/>
    <s v="Yes"/>
    <x v="0"/>
    <s v="REGULAR TEST"/>
    <m/>
  </r>
  <r>
    <x v="4"/>
    <s v="BEJSRTL235"/>
    <s v="Yes"/>
    <x v="6"/>
    <s v="PCIe"/>
    <n v="3219971"/>
    <s v="439/R15/1"/>
    <x v="0"/>
    <x v="0"/>
    <x v="31"/>
    <x v="0"/>
    <x v="1"/>
    <s v="No"/>
    <s v="No"/>
    <s v="4x"/>
    <s v="7560utt235smini.bj.intel.com"/>
    <x v="297"/>
    <s v="E15FE85016300D00FFFFFFFF"/>
    <s v="C7H749700FLHXNKKA"/>
    <n v="13911453146"/>
    <s v="00440152280443"/>
    <s v="00440152262406"/>
    <m/>
    <d v="2018-04-25T00:00:00"/>
    <s v="Yes"/>
    <s v="Yes"/>
    <x v="0"/>
    <s v="REGULAR TEST"/>
    <m/>
  </r>
  <r>
    <x v="4"/>
    <s v="BEJSRTL236"/>
    <s v="Yes"/>
    <x v="12"/>
    <s v="PCIe"/>
    <n v="3220116"/>
    <s v="439/R15/3"/>
    <x v="0"/>
    <x v="0"/>
    <x v="31"/>
    <x v="0"/>
    <x v="1"/>
    <s v="No"/>
    <s v="No"/>
    <s v="4x"/>
    <s v="7560utt235smini.bj.intel.com"/>
    <x v="298"/>
    <s v="E15FC890A5730B00FFFFFFFF"/>
    <s v="C7H749700CGHXNKKP"/>
    <n v="13810503573"/>
    <s v="00440152262028"/>
    <s v="00440152262230"/>
    <m/>
    <d v="2018-04-27T00:00:00"/>
    <s v="Yes"/>
    <s v="Yes"/>
    <x v="0"/>
    <s v="REGULAR TEST"/>
    <m/>
  </r>
  <r>
    <x v="4"/>
    <s v="BEJSRTL237"/>
    <s v="Yes"/>
    <x v="6"/>
    <s v="PCIe"/>
    <n v="3220274"/>
    <s v="439/R10/1"/>
    <x v="0"/>
    <x v="1"/>
    <x v="32"/>
    <x v="9"/>
    <x v="1"/>
    <s v="No"/>
    <s v="No"/>
    <s v="4x"/>
    <s v="7560utt127smini.bj.intel.com"/>
    <x v="299"/>
    <s v="E15F29936C1F0F00FFFFFFFF"/>
    <s v="C7H752300CXHXNKKY"/>
    <n v="13810010441"/>
    <s v="00440152262029"/>
    <s v="00440152262231"/>
    <n v="13269667764"/>
    <d v="2018-04-25T00:00:00"/>
    <s v="Yes"/>
    <s v="Yes"/>
    <x v="0"/>
    <s v="REGULAR TEST"/>
    <m/>
  </r>
  <r>
    <x v="4"/>
    <s v="BEJSRTL238"/>
    <s v="Yes"/>
    <x v="12"/>
    <s v="PCIe"/>
    <n v="3219846"/>
    <s v="439/R1/6"/>
    <x v="0"/>
    <x v="1"/>
    <x v="30"/>
    <x v="24"/>
    <x v="1"/>
    <s v="No"/>
    <s v="No"/>
    <s v="4x"/>
    <s v="bijsrtm012smini.bj.intel.com"/>
    <x v="300"/>
    <s v="E15F190770B20A00FFFFFFFF"/>
    <s v="C7H752300BEHXNKKJ"/>
    <n v="18515563967"/>
    <s v="00440152262031"/>
    <s v="00440152262233"/>
    <n v="13810830353"/>
    <d v="2018-04-23T00:00:00"/>
    <s v="Yes"/>
    <s v="Yes"/>
    <x v="0"/>
    <s v="REGULAR TEST"/>
    <m/>
  </r>
  <r>
    <x v="4"/>
    <s v="BEJSRTL239"/>
    <s v="Yes"/>
    <x v="12"/>
    <s v="PCIe"/>
    <n v="3219861"/>
    <s v="439/R12/6"/>
    <x v="0"/>
    <x v="0"/>
    <x v="36"/>
    <x v="13"/>
    <x v="1"/>
    <s v="No"/>
    <s v="No"/>
    <s v="Yes"/>
    <s v="7560utt277smini.bj.intel.com"/>
    <x v="301"/>
    <s v="E1DFCAAACC3B0400FFFFFFFF"/>
    <s v="C7H751300ZFHXNKKN"/>
    <n v="18900670337"/>
    <s v="00440152262032"/>
    <s v="00440152262234"/>
    <m/>
    <m/>
    <s v="Yes"/>
    <s v="Yes"/>
    <x v="0"/>
    <s v="REGULAR TEST"/>
    <m/>
  </r>
  <r>
    <x v="4"/>
    <s v="BEJSRTL240"/>
    <s v="Yes"/>
    <x v="10"/>
    <s v="PCIe"/>
    <n v="3219739"/>
    <s v="459/R42/5"/>
    <x v="0"/>
    <x v="0"/>
    <x v="31"/>
    <x v="0"/>
    <x v="1"/>
    <s v="No"/>
    <s v="No"/>
    <s v="4x"/>
    <s v="bejsrtm008smini.bj.intel.com"/>
    <x v="302"/>
    <s v="E1DFAAA843020B00FFFFFFFF"/>
    <s v="C7H751300B9HXNKKS"/>
    <n v="13811294872"/>
    <s v="00440152262033"/>
    <s v="00440152262235"/>
    <m/>
    <d v="2018-04-23T00:00:00"/>
    <s v="Yes"/>
    <s v="Yes"/>
    <x v="0"/>
    <s v="REGULAR TEST"/>
    <m/>
  </r>
  <r>
    <x v="4"/>
    <s v="BEJSRTL241"/>
    <s v="Yes"/>
    <x v="12"/>
    <s v="PCIe"/>
    <n v="3219747"/>
    <s v="439/R12/4"/>
    <x v="0"/>
    <x v="0"/>
    <x v="26"/>
    <x v="13"/>
    <x v="1"/>
    <s v="No"/>
    <s v="Yes"/>
    <s v="4x"/>
    <s v="7560utt235smini.bj.intel.com"/>
    <x v="303"/>
    <s v="E15FB8A8632A1000FFFFFFFF"/>
    <s v="C7H749700FVHXNKK1"/>
    <n v="18911474634"/>
    <s v="00440152218115"/>
    <s v="00440152219015"/>
    <m/>
    <d v="2018-04-27T00:00:00"/>
    <s v="Yes"/>
    <s v="Yes"/>
    <x v="0"/>
    <s v="REGULAR TEST"/>
    <m/>
  </r>
  <r>
    <x v="4"/>
    <s v="BEJSRTL242"/>
    <s v="Yes"/>
    <x v="10"/>
    <s v="PCIe"/>
    <n v="3219966"/>
    <s v="439/R8/5"/>
    <x v="0"/>
    <x v="0"/>
    <x v="31"/>
    <x v="0"/>
    <x v="1"/>
    <s v="No"/>
    <s v="No"/>
    <s v="4x"/>
    <s v="bejsrtm007smini.bj.intel.com"/>
    <x v="304"/>
    <s v="E1DFEA6AD0690300FFFFFFFF"/>
    <s v="C7H751300BCHXNKKP"/>
    <n v="13810339102"/>
    <s v="00440152262034"/>
    <s v="00440152262236"/>
    <m/>
    <d v="2018-04-25T00:00:00"/>
    <s v="Yes"/>
    <s v="Yes"/>
    <x v="0"/>
    <s v="REGULAR TEST"/>
    <m/>
  </r>
  <r>
    <x v="4"/>
    <s v="BEJSRTL244"/>
    <s v="Yes"/>
    <x v="10"/>
    <s v="PCIe"/>
    <n v="3220091"/>
    <s v="439/R13/3"/>
    <x v="0"/>
    <x v="1"/>
    <x v="27"/>
    <x v="17"/>
    <x v="1"/>
    <s v="No"/>
    <s v="No"/>
    <s v="4x"/>
    <s v="bejsrtm014smini.bj.intel.com"/>
    <x v="305"/>
    <s v="E15FE938FDD60D00FFFFFFFF"/>
    <s v="C7H7523008WHXNKKB"/>
    <n v="13811593751"/>
    <s v="00440152219460"/>
    <s v="00440152264250"/>
    <n v="13810012904"/>
    <d v="2018-08-22T00:00:00"/>
    <s v="Yes"/>
    <s v="Yes"/>
    <x v="0"/>
    <s v="REGULAR TEST"/>
    <m/>
  </r>
  <r>
    <x v="4"/>
    <s v="BEJSRTL246"/>
    <s v="Yes"/>
    <x v="13"/>
    <s v="PCIe"/>
    <n v="3220198"/>
    <s v="439/R8/6"/>
    <x v="0"/>
    <x v="0"/>
    <x v="34"/>
    <x v="5"/>
    <x v="1"/>
    <s v="No"/>
    <s v="No"/>
    <s v="4x"/>
    <s v="bejsrtm004smini.bj.intel.com"/>
    <x v="306"/>
    <s v="E15FE912DCF50A00FFFFFFFF"/>
    <s v="C7H752300AXHXNKK4"/>
    <n v="13121810391"/>
    <s v="00440152262035"/>
    <s v="00440152262237"/>
    <m/>
    <d v="2018-04-26T00:00:00"/>
    <s v="Yes"/>
    <s v="Yes"/>
    <x v="0"/>
    <s v="REGULAR TEST"/>
    <m/>
  </r>
  <r>
    <x v="4"/>
    <s v="BEJSRTL247"/>
    <s v="Yes"/>
    <x v="10"/>
    <s v="PCIe"/>
    <n v="3219890"/>
    <s v="459/R40/5"/>
    <x v="0"/>
    <x v="0"/>
    <x v="31"/>
    <x v="0"/>
    <x v="1"/>
    <s v="No"/>
    <s v="No"/>
    <s v="4x"/>
    <s v="bejsrtm007smini.bj.intel.com"/>
    <x v="307"/>
    <s v="E15F396575100F00FFFFFFFF"/>
    <s v="C7H752300CSHXNKK3"/>
    <n v="13810419470"/>
    <s v="00440152262036"/>
    <s v="00440152262238"/>
    <m/>
    <d v="2018-04-23T00:00:00"/>
    <s v="Yes"/>
    <s v="Yes"/>
    <x v="0"/>
    <s v="REGULAR TEST"/>
    <m/>
  </r>
  <r>
    <x v="4"/>
    <s v="BEJSRTL248"/>
    <s v="Yes"/>
    <x v="12"/>
    <s v="PCIe"/>
    <n v="3219928"/>
    <s v="439/R10/2"/>
    <x v="0"/>
    <x v="1"/>
    <x v="29"/>
    <x v="26"/>
    <x v="1"/>
    <s v="No"/>
    <s v="Yes"/>
    <s v="4x"/>
    <s v="bejsrtm001smini.bj.intel.com"/>
    <x v="308"/>
    <s v="E15FD9CE6EC50A00FFFFFFFF"/>
    <s v="C7H752300B1HXNKKX"/>
    <n v="18910224601"/>
    <s v="00440152280445"/>
    <s v="00440152262420"/>
    <n v="13811011967"/>
    <d v="2018-04-24T00:00:00"/>
    <s v="Yes"/>
    <s v="Yes"/>
    <x v="0"/>
    <s v="REGULAR TEST"/>
    <m/>
  </r>
  <r>
    <x v="4"/>
    <s v="BEJSRTL249"/>
    <s v="No"/>
    <x v="12"/>
    <s v="PCIe"/>
    <n v="3220330"/>
    <s v="439/R9/5"/>
    <x v="0"/>
    <x v="1"/>
    <x v="25"/>
    <x v="16"/>
    <x v="1"/>
    <s v="No"/>
    <s v="Yes"/>
    <s v="NA"/>
    <s v="bejsrtm002smini.bj.intel.com"/>
    <x v="309"/>
    <s v="E1DF299CEA050800FFFFFFFF"/>
    <s v="C7H751301AYHXNKK5"/>
    <n v="13810076614"/>
    <s v="00440152262037"/>
    <s v="00440152262239"/>
    <n v="18911175647"/>
    <d v="2018-08-22T00:00:00"/>
    <s v="Yes"/>
    <s v="Yes"/>
    <x v="0"/>
    <s v="REGULAR TEST"/>
    <m/>
  </r>
  <r>
    <x v="4"/>
    <s v="BEJSRTL250"/>
    <s v="Yes"/>
    <x v="6"/>
    <s v="PCIe"/>
    <n v="3219995"/>
    <s v="439/R18/4"/>
    <x v="0"/>
    <x v="0"/>
    <x v="31"/>
    <x v="0"/>
    <x v="1"/>
    <s v="No"/>
    <s v="No"/>
    <s v="4x"/>
    <s v="bejsrtm004smini.bj.intel.com"/>
    <x v="310"/>
    <s v="E15FE9DC81070800FFFFFFFF"/>
    <s v="C7H752300CFHXNKKE"/>
    <n v="13910626914"/>
    <s v="00440152262038"/>
    <s v="00440152262240"/>
    <m/>
    <d v="2018-04-25T00:00:00"/>
    <s v="Yes"/>
    <s v="Yes"/>
    <x v="0"/>
    <s v="REGULAR TEST"/>
    <m/>
  </r>
  <r>
    <x v="4"/>
    <s v="BEJSRTL251"/>
    <s v="Yes"/>
    <x v="10"/>
    <s v="PCIe"/>
    <n v="3219826"/>
    <s v="439/R4/6"/>
    <x v="0"/>
    <x v="1"/>
    <x v="32"/>
    <x v="9"/>
    <x v="1"/>
    <s v="No"/>
    <s v="No"/>
    <s v="4x"/>
    <s v="7560utt127smini.bj.intel.com"/>
    <x v="311"/>
    <s v="E15FE94296F60A00FFFFFFFF"/>
    <s v="C7H752300CEHXNKKF"/>
    <n v="13810500253"/>
    <s v="00440152262039"/>
    <s v="00440152262241"/>
    <n v="18514731180"/>
    <d v="2018-08-22T00:00:00"/>
    <s v="Yes"/>
    <s v="Yes"/>
    <x v="0"/>
    <s v="REGULAR TEST"/>
    <m/>
  </r>
  <r>
    <x v="4"/>
    <s v="BEJSRTL252"/>
    <s v="Yes"/>
    <x v="12"/>
    <s v="PCIe"/>
    <n v="3219854"/>
    <s v="439/R11/6"/>
    <x v="0"/>
    <x v="1"/>
    <x v="33"/>
    <x v="1"/>
    <x v="1"/>
    <s v="No"/>
    <s v="No"/>
    <s v="4x"/>
    <s v="bijsrtm012smini.bj.intel.com"/>
    <x v="312"/>
    <s v="E15F29EDA43F0E00FFFFFFFF"/>
    <s v="C7H75230098HXNKKW"/>
    <n v="18612650843"/>
    <s v="00440152262040"/>
    <s v="00440152262242"/>
    <n v="18611412875"/>
    <d v="2018-08-22T00:00:00"/>
    <s v="Yes"/>
    <s v="Yes"/>
    <x v="0"/>
    <s v="REGULAR TEST"/>
    <m/>
  </r>
  <r>
    <x v="4"/>
    <s v="BEJSRTL253"/>
    <s v="Yes"/>
    <x v="10"/>
    <s v="PCIe"/>
    <n v="3120169"/>
    <s v="439/R15/6"/>
    <x v="0"/>
    <x v="0"/>
    <x v="31"/>
    <x v="0"/>
    <x v="1"/>
    <s v="No"/>
    <s v="No"/>
    <s v="4x"/>
    <s v="bejsrtm006smini.bj.intel.com"/>
    <x v="313"/>
    <s v="E1DF091EAEE40A00FFFFFFFF"/>
    <s v="C7H7513018RHXNKKJ"/>
    <n v="13811021597"/>
    <s v="00440152262041"/>
    <s v="00440152262243"/>
    <m/>
    <m/>
    <s v="Yes"/>
    <s v="Yes"/>
    <x v="0"/>
    <s v="REGULAR TEST"/>
    <m/>
  </r>
  <r>
    <x v="4"/>
    <s v="BEJSRTL254"/>
    <s v="Yes"/>
    <x v="6"/>
    <s v="PCIe"/>
    <n v="3219797"/>
    <s v="439/R15/5"/>
    <x v="0"/>
    <x v="1"/>
    <x v="35"/>
    <x v="15"/>
    <x v="1"/>
    <s v="No"/>
    <s v="Yes"/>
    <s v="4x"/>
    <s v="7560utt243smini.bj.intel.com"/>
    <x v="314"/>
    <s v="E15FE956684A0F00FFFFFFFF"/>
    <s v="C7H75230085HXNKK2"/>
    <n v="18911124257"/>
    <s v="00440152262042"/>
    <s v="00440152262244"/>
    <n v="17601642057"/>
    <m/>
    <s v="Yes"/>
    <s v="Yes"/>
    <x v="0"/>
    <s v="REGULAR TEST"/>
    <m/>
  </r>
  <r>
    <x v="4"/>
    <s v="BEJSRTL255"/>
    <s v="Yes"/>
    <x v="10"/>
    <s v="PCIe"/>
    <n v="3219848"/>
    <s v="439/R15/3"/>
    <x v="0"/>
    <x v="0"/>
    <x v="31"/>
    <x v="0"/>
    <x v="1"/>
    <s v="No"/>
    <s v="No"/>
    <s v="4x"/>
    <s v="bejsrtm007smini.bj.intel.com"/>
    <x v="315"/>
    <s v="E1DF5AB9EAA90500FFFFFFFF"/>
    <s v="C7H75130091HXNKK6"/>
    <n v="13810419375"/>
    <s v="00440152218065"/>
    <s v="00440152218965"/>
    <m/>
    <d v="2018-04-24T00:00:00"/>
    <s v="Yes"/>
    <s v="Yes"/>
    <x v="0"/>
    <s v="REGULAR TEST"/>
    <m/>
  </r>
  <r>
    <x v="4"/>
    <s v="BEJSRTL256"/>
    <s v="Yes"/>
    <x v="10"/>
    <s v="PCIe"/>
    <n v="3219959"/>
    <s v="439/R15/6"/>
    <x v="0"/>
    <x v="0"/>
    <x v="31"/>
    <x v="0"/>
    <x v="1"/>
    <s v="No"/>
    <s v="No"/>
    <s v="4x"/>
    <s v="bejsrtm007smini.bj.intel.com"/>
    <x v="316"/>
    <s v="E15F1981D5380800FFFFFFFF"/>
    <s v="C7H752300B6HXNKKS"/>
    <n v="13810419731"/>
    <s v="00440152262052"/>
    <s v="00440152262254"/>
    <m/>
    <d v="2018-06-01T00:00:00"/>
    <s v="Yes"/>
    <s v="Yes"/>
    <x v="0"/>
    <s v="REGULAR TEST"/>
    <m/>
  </r>
  <r>
    <x v="4"/>
    <s v="BEJSRTL257"/>
    <s v="Yes"/>
    <x v="13"/>
    <s v="PCIe"/>
    <n v="3219882"/>
    <s v="439/R2/8"/>
    <x v="0"/>
    <x v="0"/>
    <x v="31"/>
    <x v="6"/>
    <x v="1"/>
    <s v="No"/>
    <s v="No"/>
    <s v="4x"/>
    <s v="7560utt275smini.bj.intel.com"/>
    <x v="317"/>
    <s v="E15FB808043B1000FFFFFFFF"/>
    <s v="C7H749700FTHXNKK3"/>
    <n v="13810863571"/>
    <s v="00440152218137"/>
    <s v="00440152219037"/>
    <m/>
    <d v="2018-04-26T00:00:00"/>
    <s v="Yes"/>
    <s v="Yes"/>
    <x v="0"/>
    <s v="REGULAR TEST"/>
    <m/>
  </r>
  <r>
    <x v="4"/>
    <s v="BEJSRTL258"/>
    <s v="Yes"/>
    <x v="6"/>
    <s v="PCIe"/>
    <n v="3299697"/>
    <s v="439/R10/7"/>
    <x v="0"/>
    <x v="1"/>
    <x v="30"/>
    <x v="24"/>
    <x v="1"/>
    <s v="No"/>
    <s v="No"/>
    <s v="4x"/>
    <s v="7560utt127smini.bj.intel.com"/>
    <x v="318"/>
    <s v="E1DF39AE41570800FFFFFFFF"/>
    <s v="C7H75130194HXNKK2"/>
    <n v="18519336220"/>
    <s v="00440152262043"/>
    <s v="00440152262245"/>
    <n v="13811927923"/>
    <d v="2018-08-22T00:00:00"/>
    <s v="Yes"/>
    <s v="Yes"/>
    <x v="0"/>
    <s v="REGULAR TEST"/>
    <m/>
  </r>
  <r>
    <x v="4"/>
    <s v="BEJSRTL259"/>
    <s v="Yes"/>
    <x v="13"/>
    <s v="PCIe"/>
    <n v="3219895"/>
    <s v="439/R15/2"/>
    <x v="0"/>
    <x v="0"/>
    <x v="31"/>
    <x v="0"/>
    <x v="1"/>
    <s v="No"/>
    <s v="No"/>
    <s v="4x"/>
    <s v="7560utt275smini.bj.intel.com"/>
    <x v="319"/>
    <s v="E15FA876653C0D00FFFFFFFF"/>
    <s v="C7H749700DMHXNKKF"/>
    <n v="13810273942"/>
    <s v="00440152262044"/>
    <s v="00440152262246"/>
    <m/>
    <d v="2018-04-26T00:00:00"/>
    <s v="Yes"/>
    <s v="Yes"/>
    <x v="0"/>
    <s v="REGULAR TEST"/>
    <m/>
  </r>
  <r>
    <x v="4"/>
    <s v="BEJSRTL260"/>
    <s v="Yes"/>
    <x v="10"/>
    <s v="PCIe"/>
    <n v="3120183"/>
    <s v="439/R10/7"/>
    <x v="0"/>
    <x v="1"/>
    <x v="29"/>
    <x v="19"/>
    <x v="1"/>
    <s v="No"/>
    <s v="Yes"/>
    <s v="4x"/>
    <s v="bejsrtm009smini.bj.intel.com"/>
    <x v="320"/>
    <s v="E15FC99E38C60A00FFFFFFFF"/>
    <s v="C7H752300B8HXNKKQ"/>
    <n v="13381264081"/>
    <s v="00440152262045"/>
    <s v="00440152262247"/>
    <n v="13810174249"/>
    <d v="2018-04-25T00:00:00"/>
    <s v="Yes"/>
    <s v="Yes"/>
    <x v="0"/>
    <s v="REGULAR TEST"/>
    <m/>
  </r>
  <r>
    <x v="4"/>
    <s v="BEJSRTL261"/>
    <s v="Yes"/>
    <x v="10"/>
    <s v="PCIe"/>
    <n v="3299571"/>
    <s v="439/R15/1"/>
    <x v="0"/>
    <x v="1"/>
    <x v="32"/>
    <x v="21"/>
    <x v="1"/>
    <s v="No"/>
    <s v="No"/>
    <s v="4x"/>
    <s v="bejsrtm010smini.bj.intel.com"/>
    <x v="321"/>
    <s v="E15FC84A03581000FFFFFFFF"/>
    <s v="C7H749700BSHXNKKG"/>
    <n v="13810284045"/>
    <s v="00440152262046"/>
    <s v="00440152262248"/>
    <n v="13240180795"/>
    <d v="2018-04-26T00:00:00"/>
    <s v="Yes"/>
    <s v="Yes"/>
    <x v="0"/>
    <s v="REGULAR TEST"/>
    <m/>
  </r>
  <r>
    <x v="4"/>
    <s v="BEJSRTL262"/>
    <s v="Yes"/>
    <x v="12"/>
    <s v="PCIe"/>
    <n v="3219955"/>
    <s v="439/R19/5"/>
    <x v="0"/>
    <x v="0"/>
    <x v="31"/>
    <x v="22"/>
    <x v="1"/>
    <s v="No"/>
    <s v="No"/>
    <s v="4x"/>
    <s v="7560utt235smini.bj.intel.com"/>
    <x v="322"/>
    <s v="E15F78BCCF0F0400FFFFFFFF"/>
    <s v="C7H749700CFHXNKKQ"/>
    <n v="13810432240"/>
    <s v="00440152262047"/>
    <s v="00440152262249"/>
    <m/>
    <d v="2018-04-27T00:00:00"/>
    <s v="Yes"/>
    <s v="Yes"/>
    <x v="0"/>
    <s v="REGULAR TEST"/>
    <m/>
  </r>
  <r>
    <x v="4"/>
    <s v="BEJSRTL263"/>
    <s v="Yes"/>
    <x v="10"/>
    <s v="PCIe"/>
    <n v="3299368"/>
    <s v="439/R4/2"/>
    <x v="0"/>
    <x v="0"/>
    <x v="31"/>
    <x v="0"/>
    <x v="1"/>
    <s v="No"/>
    <s v="No"/>
    <s v="4x"/>
    <s v="bejsrtm007smini.bj.intel.com"/>
    <x v="323"/>
    <s v="E1DFCADC52401000FFFFFFFF"/>
    <s v="C7H7513012KHXNKK8"/>
    <n v="13810837135"/>
    <s v="00440152262048"/>
    <s v="00440152262250"/>
    <m/>
    <m/>
    <s v="Yes"/>
    <s v="Yes"/>
    <x v="0"/>
    <s v="REGULAR TEST"/>
    <m/>
  </r>
  <r>
    <x v="4"/>
    <s v="BEJSRTL264"/>
    <s v="Yes"/>
    <x v="10"/>
    <s v="PCIe"/>
    <n v="3299380"/>
    <s v="439/R15/2"/>
    <x v="0"/>
    <x v="1"/>
    <x v="32"/>
    <x v="9"/>
    <x v="1"/>
    <s v="No"/>
    <s v="No"/>
    <s v="4x"/>
    <s v="7560utt236smini.bj.intel.com"/>
    <x v="324"/>
    <s v="E15F59652C530800FFFFFFFF"/>
    <s v="C7H7523007YHXNKKC"/>
    <n v="13810019974"/>
    <s v="00440152262049"/>
    <s v="00440152262251"/>
    <n v="18514507141"/>
    <d v="2018-08-22T00:00:00"/>
    <s v="Yes"/>
    <s v="Yes"/>
    <x v="0"/>
    <s v="REGULAR TEST"/>
    <m/>
  </r>
  <r>
    <x v="4"/>
    <s v="BEJSRTL265"/>
    <s v="Yes"/>
    <x v="10"/>
    <s v="PCIe"/>
    <n v="3219841"/>
    <s v="439/R11/7"/>
    <x v="0"/>
    <x v="0"/>
    <x v="31"/>
    <x v="0"/>
    <x v="1"/>
    <s v="No"/>
    <s v="No"/>
    <s v="4x"/>
    <s v="bejsrtm005smini.bj.intel.com"/>
    <x v="325"/>
    <s v="E15FB85AAF2F0B00FFFFFFFF"/>
    <s v="C7H749700BHHXNKKR"/>
    <n v="13910697346"/>
    <s v="00440152262050"/>
    <s v="00440152262252"/>
    <m/>
    <d v="2018-06-01T00:00:00"/>
    <s v="Yes"/>
    <s v="Yes"/>
    <x v="0"/>
    <s v="REGULAR TEST"/>
    <m/>
  </r>
  <r>
    <x v="4"/>
    <s v="BEJSRTL266"/>
    <s v="Yes"/>
    <x v="6"/>
    <s v="PCIe"/>
    <n v="3219976"/>
    <s v="439/R10/1"/>
    <x v="0"/>
    <x v="1"/>
    <x v="32"/>
    <x v="9"/>
    <x v="1"/>
    <s v="No"/>
    <s v="No"/>
    <s v="4x"/>
    <s v="bejsrtm010smini.bj.intel.com"/>
    <x v="326"/>
    <s v="E1DFAA600C6D0B00FFFFFFFF"/>
    <s v="C7H751300BGHXNKKK"/>
    <n v="13810465739"/>
    <s v="00440152262051"/>
    <s v="00440152262253"/>
    <n v="13121662781"/>
    <d v="2018-08-11T00:00:00"/>
    <s v="Yes"/>
    <s v="Yes"/>
    <x v="0"/>
    <s v="REGULAR TEST"/>
    <m/>
  </r>
  <r>
    <x v="4"/>
    <s v="BEJSRTL267"/>
    <s v="Yes"/>
    <x v="13"/>
    <s v="PCIe"/>
    <n v="3219979"/>
    <s v="439/R11/8"/>
    <x v="0"/>
    <x v="0"/>
    <x v="26"/>
    <x v="14"/>
    <x v="1"/>
    <s v="No"/>
    <s v="Yes"/>
    <s v="4x"/>
    <s v="7560utt275smini.bj.intel.com"/>
    <x v="327"/>
    <s v="E1DF39226FFC0A00FFFFFFFF"/>
    <s v="C7H751301BNHXNKKC"/>
    <n v="18910548934"/>
    <s v="00440152280423"/>
    <s v="00440152262408"/>
    <m/>
    <d v="2018-04-09T00:00:00"/>
    <s v="Yes"/>
    <s v="Yes"/>
    <x v="0"/>
    <s v="REGULAR TEST"/>
    <m/>
  </r>
  <r>
    <x v="4"/>
    <s v="BEJSRTL268"/>
    <s v="Yes"/>
    <x v="10"/>
    <s v="PCIe"/>
    <n v="3219868"/>
    <s v="439/R16/3"/>
    <x v="0"/>
    <x v="0"/>
    <x v="26"/>
    <x v="13"/>
    <x v="1"/>
    <s v="No"/>
    <s v="Yes"/>
    <s v="4x"/>
    <s v="bejsrtm006smini.bj.intel.com"/>
    <x v="328"/>
    <s v="E1DFCA8222090300FFFFFFFF"/>
    <s v="C7H751300BNHXNKKD"/>
    <n v="18910224170"/>
    <s v="00440152262053"/>
    <s v="00440152262255"/>
    <m/>
    <d v="2018-06-01T00:00:00"/>
    <s v="Yes"/>
    <s v="Yes"/>
    <x v="0"/>
    <s v="REGULAR TEST"/>
    <m/>
  </r>
  <r>
    <x v="4"/>
    <s v="BEJSRTL270"/>
    <s v="Yes"/>
    <x v="10"/>
    <s v="PCIe"/>
    <n v="3120210"/>
    <s v="439/R6/3"/>
    <x v="0"/>
    <x v="0"/>
    <x v="26"/>
    <x v="13"/>
    <x v="1"/>
    <s v="No"/>
    <s v="Yes"/>
    <s v="4x"/>
    <s v="bejsrtm006smini.bj.intel.com"/>
    <x v="329"/>
    <s v="E15FC9E63A9D0A00FFFFFFFF"/>
    <s v="C7H752300C3HXNKKS"/>
    <n v="13381264913"/>
    <s v="00440152262055"/>
    <s v="00440152262257"/>
    <m/>
    <d v="2018-06-01T00:00:00"/>
    <s v="Yes"/>
    <s v="Yes"/>
    <x v="0"/>
    <s v="REGULAR TEST"/>
    <m/>
  </r>
  <r>
    <x v="4"/>
    <s v="BEJSRTL514"/>
    <s v="Yes"/>
    <x v="10"/>
    <s v="PCIe"/>
    <n v="3219964"/>
    <s v="459/R36/2"/>
    <x v="0"/>
    <x v="1"/>
    <x v="30"/>
    <x v="24"/>
    <x v="1"/>
    <s v="No"/>
    <s v="No"/>
    <s v="4x"/>
    <s v="bejsrtm009smini.bj.intel.com"/>
    <x v="330"/>
    <s v="E15FF93077080800FFFFFFFF"/>
    <s v="C7H752300BLHXNKKC"/>
    <n v="13051118761"/>
    <s v="00440152262056"/>
    <s v="00440152262258"/>
    <n v="13810857535"/>
    <d v="2018-04-25T00:00:00"/>
    <s v="Yes"/>
    <s v="Yes"/>
    <x v="0"/>
    <s v="REGULAR TEST"/>
    <m/>
  </r>
  <r>
    <x v="4"/>
    <s v="BEJSRTL272"/>
    <s v="Yes"/>
    <x v="6"/>
    <s v="PCIe"/>
    <n v="3219994"/>
    <s v="439/R8/3"/>
    <x v="0"/>
    <x v="0"/>
    <x v="26"/>
    <x v="14"/>
    <x v="1"/>
    <s v="No"/>
    <s v="Yes"/>
    <s v="4x"/>
    <s v="7560utt175smini.bj.intel.com"/>
    <x v="331"/>
    <s v="E1DFEAC4920E0C00FFFFFFFF"/>
    <s v="C7H751300B4HXNKKX"/>
    <n v="18911473640"/>
    <s v="00440152262057"/>
    <s v="00440152262259"/>
    <m/>
    <d v="2018-04-28T00:00:00"/>
    <s v="Yes"/>
    <s v="Yes"/>
    <x v="0"/>
    <s v="REGULAR TEST"/>
    <m/>
  </r>
  <r>
    <x v="4"/>
    <s v="BEJSRTL274"/>
    <s v="Yes"/>
    <x v="10"/>
    <s v="PCIe"/>
    <n v="3219851"/>
    <s v="439/R8/3"/>
    <x v="0"/>
    <x v="0"/>
    <x v="26"/>
    <x v="14"/>
    <x v="1"/>
    <s v="No"/>
    <s v="Yes"/>
    <s v="4x"/>
    <s v="bejsrtm005smini.bj.intel.com"/>
    <x v="332"/>
    <s v="E15FF99E58060800FFFFFFFF"/>
    <s v="C7H752300D1HXNKKR"/>
    <n v="13381264389"/>
    <s v="00440152262059"/>
    <s v="00440152262261"/>
    <m/>
    <d v="2018-04-24T00:00:00"/>
    <s v="Yes"/>
    <s v="Yes"/>
    <x v="0"/>
    <s v="REGULAR TEST"/>
    <m/>
  </r>
  <r>
    <x v="4"/>
    <s v="BEJSRTL275"/>
    <s v="No"/>
    <x v="2"/>
    <s v="PCIe"/>
    <n v="3219691"/>
    <s v="439/R5/7"/>
    <x v="0"/>
    <x v="0"/>
    <x v="26"/>
    <x v="14"/>
    <x v="2"/>
    <s v="No"/>
    <s v="Yes"/>
    <s v="4x"/>
    <s v="7560utt275smini.bj.intel.com"/>
    <x v="333"/>
    <s v="E157F3C267D40400FFFFFFFF"/>
    <s v="C7H741200JSHXNKGZ"/>
    <m/>
    <s v="00440152262060"/>
    <s v="00440152262262"/>
    <m/>
    <m/>
    <s v="Yes"/>
    <s v="Yes"/>
    <x v="0"/>
    <s v="DEBUG TEST"/>
    <m/>
  </r>
  <r>
    <x v="4"/>
    <s v="BEJSRTL276"/>
    <s v="Yes"/>
    <x v="6"/>
    <s v="PCIe"/>
    <n v="3219963"/>
    <s v="439/R8/5"/>
    <x v="0"/>
    <x v="0"/>
    <x v="26"/>
    <x v="13"/>
    <x v="1"/>
    <s v="No"/>
    <s v="Yes"/>
    <s v="4x"/>
    <s v="7560utt175smini.bj.intel.com"/>
    <x v="334"/>
    <s v="E157F3C267D40400FFFFFFFF"/>
    <s v="C7H749700BPHXNKKK"/>
    <n v="13381264552"/>
    <s v="00440152262061"/>
    <s v="00440152262263"/>
    <m/>
    <d v="2018-04-28T00:00:00"/>
    <s v="Yes"/>
    <s v="Yes"/>
    <x v="0"/>
    <s v="REGULAR TEST"/>
    <m/>
  </r>
  <r>
    <x v="4"/>
    <s v="BEJSRTL277"/>
    <s v="Yes"/>
    <x v="6"/>
    <s v="PCIe"/>
    <n v="3219845"/>
    <s v="439/R28/3"/>
    <x v="0"/>
    <x v="0"/>
    <x v="36"/>
    <x v="13"/>
    <x v="1"/>
    <s v="No"/>
    <s v="No"/>
    <s v="Yes"/>
    <s v="7560utt277smini.bj.intel.com"/>
    <x v="335"/>
    <s v="E15F0967319B0A00FFFFFFFF"/>
    <s v="C7H752300BRHXNKK7"/>
    <n v="18900670343"/>
    <s v="00440152262062"/>
    <s v="00440152262264"/>
    <m/>
    <m/>
    <s v="Yes"/>
    <s v="Yes"/>
    <x v="0"/>
    <s v="Lend to Script"/>
    <m/>
  </r>
  <r>
    <x v="4"/>
    <s v="BEJSRTL278"/>
    <s v="Yes"/>
    <x v="13"/>
    <s v="PCIe"/>
    <n v="3299364"/>
    <s v="439/R28/5"/>
    <x v="0"/>
    <x v="0"/>
    <x v="36"/>
    <x v="13"/>
    <x v="1"/>
    <s v="No"/>
    <s v="No"/>
    <s v="Yes"/>
    <s v="7560utt277smini.bj.intel.com"/>
    <x v="336"/>
    <s v="E15F88449BD00D00FFFFFFFF"/>
    <s v="C7H749700CTHXNKKC"/>
    <n v="18900670342"/>
    <s v="00440152262063"/>
    <s v="00440152262265"/>
    <m/>
    <m/>
    <s v="Yes"/>
    <s v="Yes"/>
    <x v="0"/>
    <s v="DEBUG TEST"/>
    <m/>
  </r>
  <r>
    <x v="4"/>
    <s v="BEJSRTL279"/>
    <s v="Yes"/>
    <x v="10"/>
    <s v="PCIe"/>
    <n v="3299485"/>
    <s v="439/R13/3"/>
    <x v="0"/>
    <x v="1"/>
    <x v="30"/>
    <x v="20"/>
    <x v="1"/>
    <s v="No"/>
    <s v="No"/>
    <s v="4x"/>
    <s v="7560utt276smini.bj.intel.com"/>
    <x v="337"/>
    <s v="E1DFDACE6C650200FFFFFFFF"/>
    <s v="C7H7513012BHXNKKG"/>
    <n v="13001925784"/>
    <s v="00440152280441"/>
    <s v="00440152262418"/>
    <n v="13810012946"/>
    <d v="2018-08-11T00:00:00"/>
    <s v="Yes"/>
    <s v="Yes"/>
    <x v="0"/>
    <s v="REGULAR TEST"/>
    <m/>
  </r>
  <r>
    <x v="4"/>
    <s v="BEJSRTL280"/>
    <s v="Yes"/>
    <x v="12"/>
    <s v="PCIe"/>
    <n v="3299639"/>
    <s v="439/R10/3"/>
    <x v="0"/>
    <x v="0"/>
    <x v="26"/>
    <x v="14"/>
    <x v="1"/>
    <s v="No"/>
    <s v="Yes"/>
    <s v="4x"/>
    <s v="7560utt175smini.bj.intel.com"/>
    <x v="338"/>
    <s v="E15FE9CA78BD0D00FFFFFFFF"/>
    <s v="C7H751301BBHXNKKP"/>
    <n v="13381264271"/>
    <s v="00440152262064"/>
    <s v="00440152262266"/>
    <m/>
    <d v="2018-04-13T00:00:00"/>
    <s v="Yes"/>
    <s v="Yes"/>
    <x v="0"/>
    <s v="REGULAR TEST"/>
    <m/>
  </r>
  <r>
    <x v="4"/>
    <s v="BEJSRTL281"/>
    <s v="Yes"/>
    <x v="10"/>
    <s v="PCIe"/>
    <n v="3299564"/>
    <s v="439/R10/3"/>
    <x v="0"/>
    <x v="0"/>
    <x v="26"/>
    <x v="14"/>
    <x v="1"/>
    <s v="No"/>
    <s v="Yes"/>
    <s v="4x"/>
    <s v="bejsrtm008smini.bj.intel.com"/>
    <x v="339"/>
    <s v="E15F09B1B0F70A00FFFFFFFF"/>
    <s v="C7H752300ANHXNKKD"/>
    <n v="13381264632"/>
    <s v="00440152262065"/>
    <s v="00440152262267"/>
    <m/>
    <d v="2018-04-23T00:00:00"/>
    <s v="Yes"/>
    <s v="Yes"/>
    <x v="0"/>
    <s v="REGULAR TEST"/>
    <m/>
  </r>
  <r>
    <x v="4"/>
    <s v="BEJSRTL282"/>
    <s v="Yes"/>
    <x v="10"/>
    <s v="PCIe"/>
    <n v="3299766"/>
    <s v="439/R11/4"/>
    <x v="0"/>
    <x v="1"/>
    <x v="32"/>
    <x v="9"/>
    <x v="1"/>
    <s v="No"/>
    <s v="No"/>
    <s v="4x"/>
    <s v="bejsrtm008smini.bj.intel.com"/>
    <x v="340"/>
    <s v="E15FF9B64DDB0A00FFFFFFFF"/>
    <s v="C7H752300AYHXNKK3"/>
    <n v="13810019404"/>
    <s v="00440152262066"/>
    <s v="00440152262268"/>
    <n v="18519397649"/>
    <d v="2018-08-22T00:00:00"/>
    <s v="Yes"/>
    <s v="Yes"/>
    <x v="0"/>
    <s v="REGULAR TEST"/>
    <m/>
  </r>
  <r>
    <x v="4"/>
    <s v="BEJSRTL283"/>
    <s v="Yes"/>
    <x v="12"/>
    <s v="PCIe"/>
    <n v="3299586"/>
    <s v="459/R40/4"/>
    <x v="0"/>
    <x v="1"/>
    <x v="29"/>
    <x v="26"/>
    <x v="1"/>
    <s v="No"/>
    <s v="Yes"/>
    <s v="4x"/>
    <s v="bejsrtm001smini.bj.intel.com"/>
    <x v="341"/>
    <s v="E15FC90848030800FFFFFFFF"/>
    <s v="C7H752300D2HXNKKQ"/>
    <n v="13381264962"/>
    <s v="00440152219578"/>
    <s v="00440152264368"/>
    <n v="13911453623"/>
    <d v="2018-04-25T00:00:00"/>
    <s v="Yes"/>
    <s v="Yes"/>
    <x v="0"/>
    <s v="REGULAR TEST"/>
    <m/>
  </r>
  <r>
    <x v="4"/>
    <s v="BEJSRTL284"/>
    <s v="Yes"/>
    <x v="10"/>
    <s v="PCIe"/>
    <n v="3299479"/>
    <s v="439/R2/7"/>
    <x v="0"/>
    <x v="1"/>
    <x v="27"/>
    <x v="17"/>
    <x v="1"/>
    <s v="No"/>
    <s v="No"/>
    <s v="4x"/>
    <s v="7560utt241smini.bj.intel.com"/>
    <x v="342"/>
    <s v="E15FE9F2FD660800FFFFFFFF"/>
    <s v="C7H752300CYHXNKKX"/>
    <n v="13811738780"/>
    <s v="00440152262067"/>
    <s v="00440152262269"/>
    <n v="13810147274"/>
    <d v="2018-08-22T00:00:00"/>
    <s v="Yes"/>
    <s v="Yes"/>
    <x v="0"/>
    <s v="REGULAR TEST"/>
    <m/>
  </r>
  <r>
    <x v="4"/>
    <s v="BEJSRTL285"/>
    <s v="Yes"/>
    <x v="13"/>
    <s v="PCIe"/>
    <n v="3299803"/>
    <s v="439/R15/4"/>
    <x v="0"/>
    <x v="0"/>
    <x v="26"/>
    <x v="13"/>
    <x v="1"/>
    <s v="No"/>
    <s v="Yes"/>
    <s v="4x"/>
    <s v="7560utt275smini.bj.intel.com"/>
    <x v="343"/>
    <s v="E15FD9A0470E0800FFFFFFFF"/>
    <s v="C7H752300DVHXNKKX"/>
    <n v="13381264890"/>
    <s v="00440152262068"/>
    <s v="00440152262270"/>
    <m/>
    <d v="2018-04-26T00:00:00"/>
    <s v="Yes"/>
    <s v="Yes"/>
    <x v="0"/>
    <s v="REGULAR TEST"/>
    <m/>
  </r>
  <r>
    <x v="4"/>
    <s v="BEJSRTL286"/>
    <s v="Yes"/>
    <x v="10"/>
    <s v="PCIe"/>
    <n v="3299530"/>
    <s v="439/R15/4"/>
    <x v="0"/>
    <x v="0"/>
    <x v="26"/>
    <x v="13"/>
    <x v="1"/>
    <s v="No"/>
    <s v="Yes"/>
    <s v="4x"/>
    <s v="bejsrtm005smini.bj.intel.com"/>
    <x v="344"/>
    <s v="E15FD9C2EEAD0A00FFFFFFFF"/>
    <s v="C7H752300BXHXNKK1"/>
    <n v="13381264315"/>
    <s v="00440152262069"/>
    <s v="00440152262271"/>
    <m/>
    <d v="2018-06-01T00:00:00"/>
    <s v="Yes"/>
    <s v="Yes"/>
    <x v="0"/>
    <s v="REGULAR TEST"/>
    <m/>
  </r>
  <r>
    <x v="4"/>
    <s v="BEJSRTL287"/>
    <s v="Yes"/>
    <x v="6"/>
    <s v="PCIe"/>
    <n v="3299539"/>
    <s v="439/R14/4"/>
    <x v="0"/>
    <x v="0"/>
    <x v="26"/>
    <x v="13"/>
    <x v="1"/>
    <s v="No"/>
    <s v="Yes"/>
    <s v="4x"/>
    <s v="7560utt175smini.bj.intel.com"/>
    <x v="345"/>
    <s v="E15FB8A412100D00FFFFFFFF"/>
    <s v="C7H749700E1HXNKKY"/>
    <n v="13381264916"/>
    <s v="00440152262070"/>
    <s v="00440152262272"/>
    <m/>
    <d v="2018-04-25T00:00:00"/>
    <s v="Yes"/>
    <s v="Yes"/>
    <x v="0"/>
    <s v="REGULAR TEST"/>
    <m/>
  </r>
  <r>
    <x v="4"/>
    <s v="BEJSRTL288"/>
    <s v="No"/>
    <x v="2"/>
    <s v="PCIe"/>
    <n v="3299341"/>
    <s v="439/R14/4"/>
    <x v="0"/>
    <x v="1"/>
    <x v="32"/>
    <x v="9"/>
    <x v="1"/>
    <s v="No"/>
    <s v="No"/>
    <s v="4x"/>
    <e v="#N/A"/>
    <x v="346"/>
    <s v="E1DF1A57E0190C00FFFFFFFF"/>
    <s v="C7H7513013GHXNKK8"/>
    <n v="13810976225"/>
    <s v="00440152262071"/>
    <s v="00440152262273"/>
    <n v="18611978470"/>
    <m/>
    <s v="Yes"/>
    <s v="Yes"/>
    <x v="0"/>
    <s v="REGULAR TEST"/>
    <m/>
  </r>
  <r>
    <x v="4"/>
    <s v="BEJSRTL289"/>
    <s v="Yes"/>
    <x v="10"/>
    <s v="PCIe"/>
    <n v="3299491"/>
    <s v="439/R11/9"/>
    <x v="0"/>
    <x v="0"/>
    <x v="31"/>
    <x v="0"/>
    <x v="1"/>
    <s v="No"/>
    <s v="No"/>
    <s v="4x"/>
    <s v="7560utt276smini.bj.intel.com"/>
    <x v="347"/>
    <s v="E1DFAA2847740300FFFFFFFF"/>
    <s v="C7H7513007XHXNKKG"/>
    <n v="13810018247"/>
    <s v="00440152262072"/>
    <s v="00440152262274"/>
    <m/>
    <m/>
    <s v="Yes"/>
    <s v="Yes"/>
    <x v="0"/>
    <s v="REGULAR TEST"/>
    <m/>
  </r>
  <r>
    <x v="4"/>
    <s v="BEJSRTL290"/>
    <s v="No"/>
    <x v="12"/>
    <s v="PCIe"/>
    <n v="3299808"/>
    <s v="439/R11/9"/>
    <x v="0"/>
    <x v="1"/>
    <x v="29"/>
    <x v="19"/>
    <x v="1"/>
    <s v="No"/>
    <s v="Yes"/>
    <s v="NA"/>
    <s v="bejsrtm001smini.bj.intel.com"/>
    <x v="348"/>
    <s v="E1DF5A4BBCDC0700FFFFFFFF"/>
    <s v="C7H75130081HXNKK9"/>
    <n v="18010341442"/>
    <s v="00440152219699"/>
    <s v="00440152264489"/>
    <n v="13810697732"/>
    <d v="2018-08-22T00:00:00"/>
    <s v="Yes"/>
    <s v="Yes"/>
    <x v="0"/>
    <s v="Lend to Script"/>
    <m/>
  </r>
  <r>
    <x v="4"/>
    <s v="BEJSRTL291"/>
    <s v="Yes"/>
    <x v="6"/>
    <s v="PCIe"/>
    <n v="3299494"/>
    <s v="439/R9/8"/>
    <x v="0"/>
    <x v="0"/>
    <x v="31"/>
    <x v="6"/>
    <x v="1"/>
    <s v="No"/>
    <s v="No"/>
    <s v="4x"/>
    <s v="7560utt275smini.bj.intel.com"/>
    <x v="349"/>
    <s v="E15FF9CEE9FC0A00FFFFFFFF"/>
    <s v="C7H752300BZHXNKKZ"/>
    <n v="13810224073"/>
    <s v="00440152262073"/>
    <s v="00440152262275"/>
    <m/>
    <d v="2018-04-27T00:00:00"/>
    <s v="Yes"/>
    <s v="Yes"/>
    <x v="0"/>
    <s v="REGULAR TEST"/>
    <m/>
  </r>
  <r>
    <x v="4"/>
    <s v="BEJSRTL292"/>
    <s v="Yes"/>
    <x v="12"/>
    <s v="PCIe"/>
    <n v="3299355"/>
    <s v="439/R1/6"/>
    <x v="0"/>
    <x v="0"/>
    <x v="26"/>
    <x v="13"/>
    <x v="1"/>
    <s v="No"/>
    <s v="Yes"/>
    <s v="4x"/>
    <s v="7560utt175smini.bj.intel.com"/>
    <x v="350"/>
    <s v="E15F689DE33F0D00FFFFFFFF"/>
    <s v="C7H749700B1HXNKK7"/>
    <n v="18910548747"/>
    <s v="00440152262074"/>
    <s v="00440152262276"/>
    <m/>
    <d v="2018-04-27T00:00:00"/>
    <s v="Yes"/>
    <s v="Yes"/>
    <x v="0"/>
    <s v="REGULAR TEST"/>
    <m/>
  </r>
  <r>
    <x v="4"/>
    <s v="BEJSRTL293"/>
    <s v="Yes"/>
    <x v="12"/>
    <s v="PCIe"/>
    <n v="3299652"/>
    <s v="459/R40/5"/>
    <x v="0"/>
    <x v="0"/>
    <x v="31"/>
    <x v="22"/>
    <x v="1"/>
    <s v="No"/>
    <s v="No"/>
    <s v="4x"/>
    <s v="7560utt235smini.bj.intel.com"/>
    <x v="351"/>
    <s v="E15FD8F06E701000FFFFFFFF"/>
    <s v="C7H749700BAHXNKKY"/>
    <n v="13810589105"/>
    <s v="00440152262075"/>
    <s v="00440152262277"/>
    <m/>
    <d v="2018-04-27T00:00:00"/>
    <s v="Yes"/>
    <s v="Yes"/>
    <x v="0"/>
    <s v="REGULAR TEST"/>
    <m/>
  </r>
  <r>
    <x v="4"/>
    <s v="BEJSRTL294"/>
    <s v="Yes"/>
    <x v="12"/>
    <s v="PCIe"/>
    <n v="3299810"/>
    <s v="439/R10/9"/>
    <x v="0"/>
    <x v="1"/>
    <x v="25"/>
    <x v="16"/>
    <x v="1"/>
    <s v="No"/>
    <s v="Yes"/>
    <s v="4x"/>
    <s v="7560utt243smini.bj.intel.com"/>
    <x v="352"/>
    <s v="E1DF6A179D8B0700FFFFFFFF"/>
    <s v="C7H751300AMHXNKKH"/>
    <n v="13810719187"/>
    <s v="00440152262076"/>
    <s v="00440152262278"/>
    <n v="18911034609"/>
    <d v="2018-04-24T00:00:00"/>
    <s v="Yes"/>
    <s v="Yes"/>
    <x v="0"/>
    <s v="REGULAR TEST"/>
    <m/>
  </r>
  <r>
    <x v="4"/>
    <s v="BEJSRTL295"/>
    <s v="Yes"/>
    <x v="12"/>
    <s v="PCIe"/>
    <n v="3299523"/>
    <s v="439/R10/9"/>
    <x v="0"/>
    <x v="1"/>
    <x v="30"/>
    <x v="24"/>
    <x v="1"/>
    <s v="No"/>
    <s v="No"/>
    <s v="4x"/>
    <s v="7560utt127smini.bj.intel.com"/>
    <x v="353"/>
    <s v="E15FF99099540900FFFFFFFF"/>
    <s v="C7H7523009UHXNKKA"/>
    <n v="18614045493"/>
    <s v="00440152262077"/>
    <s v="00440152262279"/>
    <n v="13911725424"/>
    <d v="2018-04-07T00:00:00"/>
    <s v="Yes"/>
    <s v="Yes"/>
    <x v="0"/>
    <s v="REGULAR TEST"/>
    <m/>
  </r>
  <r>
    <x v="4"/>
    <s v="BEJSRTL296"/>
    <s v="Yes"/>
    <x v="10"/>
    <s v="PCIe"/>
    <n v="3299600"/>
    <s v="439/R2/5"/>
    <x v="0"/>
    <x v="1"/>
    <x v="25"/>
    <x v="16"/>
    <x v="1"/>
    <s v="No"/>
    <s v="Yes"/>
    <s v="4x"/>
    <s v="bejsrtm008smini.bj.intel.com"/>
    <x v="354"/>
    <s v="E1DF3AD34CDD0700FFFFFFFF"/>
    <s v="C7H7513006XHXNKKK"/>
    <n v="15901036991"/>
    <s v="00440152262078"/>
    <s v="00440152262280"/>
    <n v="18910548547"/>
    <d v="2018-04-25T00:00:00"/>
    <s v="Yes"/>
    <s v="Yes"/>
    <x v="0"/>
    <s v="REGULAR TEST"/>
    <m/>
  </r>
  <r>
    <x v="4"/>
    <s v="BEJSRTL301"/>
    <s v="Yes"/>
    <x v="10"/>
    <s v="PCIe"/>
    <n v="3299741"/>
    <s v="459/R39/5"/>
    <x v="0"/>
    <x v="1"/>
    <x v="29"/>
    <x v="19"/>
    <x v="1"/>
    <s v="No"/>
    <s v="Yes"/>
    <s v="4x"/>
    <e v="#N/A"/>
    <x v="355"/>
    <s v="E15FE92ADBEF0A00FFFFFFFF"/>
    <s v="C7H752300CDHXNKKG"/>
    <n v="13381264920"/>
    <s v="00440152262058"/>
    <s v="00440152262260"/>
    <n v="13810075346"/>
    <d v="2018-04-25T00:00:00"/>
    <s v="Yes"/>
    <s v="Yes"/>
    <x v="0"/>
    <s v="REGULAR TEST"/>
    <m/>
  </r>
  <r>
    <x v="4"/>
    <s v="BEJSRTL302"/>
    <s v="Yes"/>
    <x v="10"/>
    <s v="PCIe"/>
    <n v="3299477"/>
    <s v="439/R10/2"/>
    <x v="0"/>
    <x v="1"/>
    <x v="30"/>
    <x v="20"/>
    <x v="1"/>
    <s v="No"/>
    <s v="No"/>
    <s v="4x"/>
    <s v="7560utt276smini.bj.intel.com"/>
    <x v="356"/>
    <s v="E15FC9E01BAB0A00FFFFFFFF"/>
    <s v="C7H752300BNHXNKKA"/>
    <n v="13124779284"/>
    <s v="00440152262080"/>
    <s v="00440152262282"/>
    <n v="13810717857"/>
    <d v="2018-08-22T00:00:00"/>
    <s v="Yes"/>
    <s v="Yes"/>
    <x v="0"/>
    <s v="REGULAR TEST"/>
    <m/>
  </r>
  <r>
    <x v="4"/>
    <s v="BEJSRTL303"/>
    <s v="Yes"/>
    <x v="10"/>
    <s v="PCIe"/>
    <n v="3299756"/>
    <s v="439/R11/5"/>
    <x v="0"/>
    <x v="0"/>
    <x v="26"/>
    <x v="14"/>
    <x v="1"/>
    <s v="No"/>
    <s v="Yes"/>
    <s v="4x"/>
    <s v="bejsrtm006smini.bj.intel.com"/>
    <x v="357"/>
    <s v="E1DF39AE41570800FFFFFFFF"/>
    <s v="C7H75130194HXNKK2"/>
    <n v="18910224372"/>
    <s v="00440152262081"/>
    <s v="00440152262283"/>
    <m/>
    <m/>
    <s v="Yes"/>
    <s v="Yes"/>
    <x v="0"/>
    <s v="REGULAR TEST"/>
    <m/>
  </r>
  <r>
    <x v="4"/>
    <s v="BEJSRTL304"/>
    <s v="Yes"/>
    <x v="6"/>
    <s v="PCIe"/>
    <n v="3299795"/>
    <s v="2F/R47/3"/>
    <x v="0"/>
    <x v="0"/>
    <x v="31"/>
    <x v="0"/>
    <x v="1"/>
    <s v="No"/>
    <s v="No"/>
    <s v="4x"/>
    <s v="7560utt175smini.bj.intel.com"/>
    <x v="358"/>
    <s v="E1DF09062FCA0A00FFFFFFFF"/>
    <s v="C7H751301CBHXNKKL"/>
    <n v="13810928672"/>
    <s v="00440152218005"/>
    <s v="00440152218905"/>
    <m/>
    <d v="2018-04-10T00:00:00"/>
    <s v="Yes"/>
    <s v="Yes"/>
    <x v="0"/>
    <s v="REGULAR TEST"/>
    <m/>
  </r>
  <r>
    <x v="4"/>
    <s v="BEJSRTL305"/>
    <s v="Yes"/>
    <x v="13"/>
    <s v="PCIe"/>
    <n v="3299472"/>
    <s v="439/R3/6"/>
    <x v="0"/>
    <x v="0"/>
    <x v="26"/>
    <x v="14"/>
    <x v="1"/>
    <s v="No"/>
    <s v="Yes"/>
    <s v="4x"/>
    <s v="7560utt275smini.bj.intel.com"/>
    <x v="359"/>
    <s v="E15FF9B6343F0800FFFFFFFF"/>
    <s v="C7H752300DFHXNKKB"/>
    <n v="18911175646"/>
    <s v="00440152217748"/>
    <s v="00440152218648"/>
    <m/>
    <d v="2018-04-26T00:00:00"/>
    <s v="Yes"/>
    <s v="Yes"/>
    <x v="0"/>
    <s v="REGULAR TEST"/>
    <m/>
  </r>
  <r>
    <x v="4"/>
    <s v="BEJSRTL306"/>
    <s v="Yes"/>
    <x v="10"/>
    <s v="PCIe"/>
    <n v="3299767"/>
    <s v="439/R4/5"/>
    <x v="0"/>
    <x v="1"/>
    <x v="30"/>
    <x v="20"/>
    <x v="1"/>
    <s v="No"/>
    <s v="No"/>
    <s v="4x"/>
    <s v="bejsrtm006smini.bj.intel.com"/>
    <x v="360"/>
    <s v="E15F49A9A2E50A00FFFFFFFF"/>
    <s v="C7H751301BVHXNKK5"/>
    <n v="13269005510"/>
    <s v="00440152262082"/>
    <s v="00440152262284"/>
    <n v="13810560252"/>
    <d v="2018-08-22T00:00:00"/>
    <s v="Yes"/>
    <s v="Yes"/>
    <x v="0"/>
    <s v="REGULAR TEST"/>
    <m/>
  </r>
  <r>
    <x v="4"/>
    <s v="BEJSRTL307"/>
    <s v="Yes"/>
    <x v="10"/>
    <s v="PCIe"/>
    <n v="3299809"/>
    <s v="459/R39/4"/>
    <x v="0"/>
    <x v="1"/>
    <x v="25"/>
    <x v="16"/>
    <x v="1"/>
    <s v="No"/>
    <s v="Yes"/>
    <s v="4x"/>
    <s v="bejsrtm008smini.bj.intel.com"/>
    <x v="361"/>
    <s v="E15F59D7D08C0A00FFFFFFFF"/>
    <s v="C7H75230093HXNKK1"/>
    <n v="13810573825"/>
    <s v="00440152262083"/>
    <s v="00440152262285"/>
    <n v="13331048796"/>
    <d v="2018-04-11T00:00:00"/>
    <s v="Yes"/>
    <s v="Yes"/>
    <x v="0"/>
    <s v="REGULAR TEST"/>
    <m/>
  </r>
  <r>
    <x v="4"/>
    <s v="BEJSRTL308"/>
    <s v="Yes"/>
    <x v="10"/>
    <s v="PCIe"/>
    <n v="3299824"/>
    <s v="459/R39/7"/>
    <x v="0"/>
    <x v="1"/>
    <x v="32"/>
    <x v="21"/>
    <x v="1"/>
    <s v="No"/>
    <s v="No"/>
    <s v="4x"/>
    <s v="bejsrtm009smini.bj.intel.com"/>
    <x v="362"/>
    <s v="E15FE9A0C72A0800FFFFFFFF"/>
    <s v="C7H752300B2HXNKKW"/>
    <n v="13810224637"/>
    <s v="00440152262084"/>
    <s v="00440152262286"/>
    <n v="13146613092"/>
    <m/>
    <s v="Yes"/>
    <s v="Yes"/>
    <x v="0"/>
    <s v="REGULAR TEST"/>
    <m/>
  </r>
  <r>
    <x v="4"/>
    <s v="BEJSRTL310"/>
    <s v="Yes"/>
    <x v="10"/>
    <s v="PCIe"/>
    <n v="2510468"/>
    <s v="439/R4/4"/>
    <x v="0"/>
    <x v="1"/>
    <x v="25"/>
    <x v="16"/>
    <x v="1"/>
    <s v="No"/>
    <s v="Yes"/>
    <s v="4x"/>
    <s v="bejsrtm008smini.bj.intel.com"/>
    <x v="363"/>
    <s v="E1DF5AAD6FA60700FFFFFFFF"/>
    <s v="C7H7513008PHXNKKM"/>
    <n v="13910782847"/>
    <s v="00440152262085"/>
    <s v="00440152262287"/>
    <n v="18910548846"/>
    <d v="2018-04-11T00:00:00"/>
    <s v="Yes"/>
    <s v="Yes"/>
    <x v="0"/>
    <s v="REGULAR TEST"/>
    <m/>
  </r>
  <r>
    <x v="4"/>
    <s v="BEJSRTL311"/>
    <s v="Yes"/>
    <x v="10"/>
    <s v="PCIe"/>
    <n v="2510484"/>
    <s v="439/R16/7"/>
    <x v="0"/>
    <x v="0"/>
    <x v="26"/>
    <x v="13"/>
    <x v="1"/>
    <s v="No"/>
    <s v="Yes"/>
    <s v="4x"/>
    <s v="bejsrtm006smini.bj.intel.com"/>
    <x v="364"/>
    <s v="E15FC9BC1B800A00FFFFFFFF"/>
    <s v="C7H752300C4HXNKKR"/>
    <n v="18910224636"/>
    <s v="00440152262086"/>
    <s v="00440152262288"/>
    <m/>
    <d v="2018-06-01T00:00:00"/>
    <s v="Yes"/>
    <s v="Yes"/>
    <x v="0"/>
    <s v="REGULAR TEST"/>
    <m/>
  </r>
  <r>
    <x v="4"/>
    <s v="BEJSRTL313"/>
    <s v="Yes"/>
    <x v="6"/>
    <s v="PCIe"/>
    <n v="2510952"/>
    <s v="439/R16/4"/>
    <x v="0"/>
    <x v="1"/>
    <x v="25"/>
    <x v="16"/>
    <x v="1"/>
    <s v="No"/>
    <s v="Yes"/>
    <s v="4x"/>
    <s v="bejsrtm003smini.bj.intel.com"/>
    <x v="365"/>
    <s v="E1DFCAAE7C340B00FFFFFFFF"/>
    <s v="C7H7513008BHXNKKZ"/>
    <n v="13910781547"/>
    <s v="00440152262087"/>
    <s v="00440152262289"/>
    <n v="18910224657"/>
    <d v="2018-04-10T00:00:00"/>
    <s v="Yes"/>
    <s v="Yes"/>
    <x v="0"/>
    <s v="REGULAR TEST"/>
    <m/>
  </r>
  <r>
    <x v="4"/>
    <s v="BEJSRTL314"/>
    <s v="Yes"/>
    <x v="6"/>
    <s v="PCIe"/>
    <n v="2510790"/>
    <s v="439/R16/3"/>
    <x v="0"/>
    <x v="1"/>
    <x v="25"/>
    <x v="16"/>
    <x v="1"/>
    <s v="No"/>
    <s v="Yes"/>
    <s v="4x"/>
    <s v="bijsrtm012smini.bj.intel.com"/>
    <x v="366"/>
    <s v="E1DFAA1AFA680B00FFFFFFFF"/>
    <s v="C7H7513007FHXNKKY"/>
    <n v="13810607162"/>
    <s v="00440152262088"/>
    <s v="00440152262290"/>
    <n v="18910224263"/>
    <d v="2018-04-24T00:00:00"/>
    <s v="Yes"/>
    <s v="Yes"/>
    <x v="0"/>
    <s v="REGULAR TEST"/>
    <m/>
  </r>
  <r>
    <x v="4"/>
    <s v="BEJSRTL315"/>
    <s v="Yes"/>
    <x v="6"/>
    <s v="PCIe"/>
    <n v="2510784"/>
    <s v="439/R16/5"/>
    <x v="0"/>
    <x v="1"/>
    <x v="25"/>
    <x v="16"/>
    <x v="1"/>
    <s v="No"/>
    <s v="Yes"/>
    <s v="4x"/>
    <s v="bejsrtm003smini.bj.intel.com"/>
    <x v="367"/>
    <s v="E1DF6A2568CA0700FFFFFFFF"/>
    <s v="C7H7513008AHXNKK0"/>
    <n v="13810274143"/>
    <s v="00440152262089"/>
    <s v="00440152262291"/>
    <n v="18910224076"/>
    <d v="2018-06-01T00:00:00"/>
    <s v="Yes"/>
    <s v="Yes"/>
    <x v="0"/>
    <s v="REGULAR TEST"/>
    <m/>
  </r>
  <r>
    <x v="4"/>
    <s v="BEJSRTL316"/>
    <s v="Yes"/>
    <x v="10"/>
    <s v="PCIe"/>
    <n v="2510868"/>
    <s v="439/R17/1"/>
    <x v="0"/>
    <x v="1"/>
    <x v="30"/>
    <x v="20"/>
    <x v="1"/>
    <s v="No"/>
    <s v="No"/>
    <s v="4x"/>
    <s v="7560utt127smini.bj.intel.com"/>
    <x v="368"/>
    <s v="E15FE91E7CD10A00FFFFFFFF"/>
    <s v="C7H752300BGHXNKKG"/>
    <n v="18519337841"/>
    <s v="00440152219506"/>
    <s v="00440152264296"/>
    <n v="13810017934"/>
    <d v="2018-08-22T00:00:00"/>
    <s v="Yes"/>
    <s v="Yes"/>
    <x v="0"/>
    <s v="REGULAR TEST"/>
    <m/>
  </r>
  <r>
    <x v="4"/>
    <s v="BEJSRTL318"/>
    <s v="Yes"/>
    <x v="10"/>
    <s v="PCIe"/>
    <n v="2510597"/>
    <s v="439/R16/2"/>
    <x v="0"/>
    <x v="1"/>
    <x v="27"/>
    <x v="17"/>
    <x v="1"/>
    <s v="No"/>
    <s v="No"/>
    <s v="4x"/>
    <s v="7560utt241smini.bj.intel.com"/>
    <x v="369"/>
    <s v="E1DF1AE7AF810300FFFFFFFF"/>
    <s v="C7H7513015EHXNKK4"/>
    <n v="13810019947"/>
    <s v="00440152262090"/>
    <s v="00440152262292"/>
    <n v="13810021154"/>
    <d v="2018-08-22T00:00:00"/>
    <s v="Yes"/>
    <s v="Yes"/>
    <x v="0"/>
    <s v="REGULAR TEST"/>
    <m/>
  </r>
  <r>
    <x v="4"/>
    <s v="BEJSRTL319"/>
    <s v="Yes"/>
    <x v="6"/>
    <s v="PCIe"/>
    <n v="2510613"/>
    <s v="459/R41/2"/>
    <x v="0"/>
    <x v="1"/>
    <x v="35"/>
    <x v="15"/>
    <x v="1"/>
    <s v="No"/>
    <s v="Yes"/>
    <s v="4x"/>
    <s v="7560utt243smini.bj.intel.com"/>
    <x v="370"/>
    <s v="E15FF98823260F00FFFFFFFF"/>
    <s v="C7H752300A1HXNKK0"/>
    <n v="17310742415"/>
    <s v="00440152262091"/>
    <s v="00440152262293"/>
    <n v="13263474146"/>
    <d v="2018-06-01T00:00:00"/>
    <s v="Yes"/>
    <s v="Yes"/>
    <x v="0"/>
    <s v="REGULAR TEST"/>
    <m/>
  </r>
  <r>
    <x v="4"/>
    <s v="BEJSRTL321"/>
    <s v="Yes"/>
    <x v="10"/>
    <s v="PCIe"/>
    <n v="2510655"/>
    <s v="459/R41/3"/>
    <x v="0"/>
    <x v="1"/>
    <x v="32"/>
    <x v="9"/>
    <x v="1"/>
    <s v="No"/>
    <s v="No"/>
    <s v="4x"/>
    <s v="bijsrtm012smini.bj.intel.com"/>
    <x v="371"/>
    <s v="E1DFBA8437D70A00FFFFFFFF"/>
    <s v="C7H7513014HHXNKK4"/>
    <n v="13810830751"/>
    <s v="00440152262092"/>
    <s v="00440152262294"/>
    <n v="13264213427"/>
    <d v="2018-08-22T00:00:00"/>
    <s v="Yes"/>
    <s v="Yes"/>
    <x v="0"/>
    <s v="REGULAR TEST"/>
    <m/>
  </r>
  <r>
    <x v="4"/>
    <s v="BEJSRTL322"/>
    <s v="No"/>
    <x v="12"/>
    <s v="PCIe"/>
    <n v="2511033"/>
    <s v="439/R16/4"/>
    <x v="0"/>
    <x v="1"/>
    <x v="29"/>
    <x v="19"/>
    <x v="1"/>
    <s v="No"/>
    <s v="Yes"/>
    <s v="NA"/>
    <s v="bijsrtm012smini.bj.intel.com"/>
    <x v="372"/>
    <s v="E1DFAA62AB571000FFFFFFFF"/>
    <s v="C7H7513012CHXNKKF"/>
    <n v="18911124192"/>
    <s v="00440152262093"/>
    <s v="00440152262295"/>
    <n v="13810018814"/>
    <d v="2018-08-22T00:00:00"/>
    <s v="Yes"/>
    <s v="Yes"/>
    <x v="0"/>
    <s v="REGULAR TEST"/>
    <m/>
  </r>
  <r>
    <x v="4"/>
    <s v="BEJSRTL323"/>
    <s v="Yes"/>
    <x v="6"/>
    <s v="PCIe"/>
    <n v="2510962"/>
    <s v="439/R9/7"/>
    <x v="0"/>
    <x v="1"/>
    <x v="25"/>
    <x v="16"/>
    <x v="1"/>
    <s v="No"/>
    <s v="Yes"/>
    <s v="4x"/>
    <s v="bejsrtm003smini.bj.intel.com"/>
    <x v="373"/>
    <s v="E1DF4A6754C60700FFFFFFFF"/>
    <s v="C7H7513006DHXNKK3"/>
    <n v="13810016794"/>
    <s v="00440152262094"/>
    <s v="00440152262296"/>
    <n v="18911124276"/>
    <d v="2018-03-31T00:00:00"/>
    <s v="Yes"/>
    <s v="Yes"/>
    <x v="0"/>
    <s v="REGULAR TEST"/>
    <m/>
  </r>
  <r>
    <x v="4"/>
    <s v="BEJSRTL324"/>
    <s v="No"/>
    <x v="12"/>
    <s v="PCIe"/>
    <n v="2510812"/>
    <s v="439/R17/2"/>
    <x v="0"/>
    <x v="1"/>
    <x v="29"/>
    <x v="19"/>
    <x v="1"/>
    <s v="No"/>
    <s v="Yes"/>
    <s v="NA"/>
    <s v="bejsrtm001smini.bj.intel.com"/>
    <x v="374"/>
    <s v="E15FF9B00EE80A00FFFFFFFF"/>
    <s v="C7H752300BWHXNKK2"/>
    <n v="18911124283"/>
    <s v="00440152219495"/>
    <s v="00440152264285"/>
    <n v="13810020154"/>
    <d v="2018-08-22T00:00:00"/>
    <s v="Yes"/>
    <s v="Yes"/>
    <x v="0"/>
    <s v="REGULAR TEST"/>
    <m/>
  </r>
  <r>
    <x v="4"/>
    <s v="BEJSRTL325"/>
    <s v="Yes"/>
    <x v="10"/>
    <s v="PCIe"/>
    <n v="2510838"/>
    <s v="439/R16/5"/>
    <x v="0"/>
    <x v="1"/>
    <x v="30"/>
    <x v="20"/>
    <x v="1"/>
    <s v="No"/>
    <s v="No"/>
    <s v="4x"/>
    <s v="7560utt127smini.bj.intel.com"/>
    <x v="375"/>
    <s v="E15FD9DA56980A00FFFFFFFF"/>
    <s v="C7H752300CNHXNKK7"/>
    <n v="18519337027"/>
    <s v="00440152218114"/>
    <s v="00440152219014"/>
    <n v="13810717051"/>
    <d v="2018-08-22T00:00:00"/>
    <s v="Yes"/>
    <s v="Yes"/>
    <x v="0"/>
    <s v="REGULAR TEST"/>
    <m/>
  </r>
  <r>
    <x v="4"/>
    <s v="BEJSRTL326"/>
    <s v="Yes"/>
    <x v="6"/>
    <s v="PCIe"/>
    <n v="2510670"/>
    <s v="439/R16/1"/>
    <x v="0"/>
    <x v="1"/>
    <x v="30"/>
    <x v="20"/>
    <x v="1"/>
    <s v="No"/>
    <s v="No"/>
    <s v="4x"/>
    <s v="7560utt127smini.bj.intel.com"/>
    <x v="376"/>
    <s v="E15F09C9391A0800FFFFFFFF"/>
    <s v="C7H752300CVHXNKK0"/>
    <n v="13263275812"/>
    <s v="00440152262095"/>
    <s v="00440152262297"/>
    <n v="13811081035"/>
    <d v="2018-08-22T00:00:00"/>
    <s v="Yes"/>
    <s v="Yes"/>
    <x v="0"/>
    <s v="REGULAR TEST"/>
    <m/>
  </r>
  <r>
    <x v="4"/>
    <s v="BEJSRTL327"/>
    <s v="No"/>
    <x v="12"/>
    <s v="PCIe"/>
    <n v="2510716"/>
    <s v="439/R16/1"/>
    <x v="0"/>
    <x v="1"/>
    <x v="29"/>
    <x v="19"/>
    <x v="1"/>
    <s v="No"/>
    <s v="Yes"/>
    <s v="NA"/>
    <s v="7560utt127smini.bj.intel.com"/>
    <x v="377"/>
    <s v="E15F98A4AF110500FFFFFFFF"/>
    <s v="C7H749700DPHXNKKD"/>
    <n v="18911124287"/>
    <s v="00440152262096"/>
    <s v="00440152262298"/>
    <n v="13810019704"/>
    <d v="2018-08-22T00:00:00"/>
    <s v="Yes"/>
    <s v="Yes"/>
    <x v="0"/>
    <s v="REGULAR TEST"/>
    <m/>
  </r>
  <r>
    <x v="4"/>
    <s v="BEJSRTL328"/>
    <s v="Yes"/>
    <x v="10"/>
    <s v="PCIe"/>
    <n v="2510863"/>
    <s v="439/R16/6"/>
    <x v="0"/>
    <x v="1"/>
    <x v="27"/>
    <x v="17"/>
    <x v="1"/>
    <s v="No"/>
    <s v="No"/>
    <s v="4x"/>
    <s v="bejsrtm009smini.bj.intel.com"/>
    <x v="378"/>
    <s v="E1DFCA08E46C0300FFFFFFFF"/>
    <s v="C7H751300AWHXNKK8"/>
    <n v="13810618197"/>
    <s v="00440152262097"/>
    <s v="00440152262299"/>
    <n v="13810702951"/>
    <d v="2018-08-16T00:00:00"/>
    <s v="Yes"/>
    <s v="Yes"/>
    <x v="0"/>
    <s v="REGULAR TEST"/>
    <m/>
  </r>
  <r>
    <x v="4"/>
    <s v="BEJSRTL329"/>
    <s v="Yes"/>
    <x v="6"/>
    <s v="PCIe"/>
    <n v="2510864"/>
    <s v="439/R16/2"/>
    <x v="0"/>
    <x v="1"/>
    <x v="30"/>
    <x v="24"/>
    <x v="1"/>
    <s v="No"/>
    <s v="No"/>
    <s v="4x"/>
    <s v="7560utt241smini.bj.intel.com"/>
    <x v="379"/>
    <s v="E1DF4A4FE6800700FFFFFFFF"/>
    <s v="C7H7513009CHXNKKV"/>
    <n v="18516913746"/>
    <s v="00440152218075"/>
    <s v="00440152218975"/>
    <n v="13810021354"/>
    <d v="2018-04-24T00:00:00"/>
    <s v="Yes"/>
    <s v="Yes"/>
    <x v="0"/>
    <s v="REGULAR TEST"/>
    <m/>
  </r>
  <r>
    <x v="4"/>
    <s v="BEJSRTL330"/>
    <s v="Yes"/>
    <x v="6"/>
    <s v="PCIe"/>
    <n v="2510540"/>
    <s v="439/R8/1"/>
    <x v="0"/>
    <x v="1"/>
    <x v="30"/>
    <x v="24"/>
    <x v="1"/>
    <s v="No"/>
    <s v="No"/>
    <s v="4x"/>
    <s v="7560utt241smini.bj.intel.com"/>
    <x v="380"/>
    <s v="E15F39F7D61F0500FFFFFFFF"/>
    <s v="C7H75130161HXNKKE"/>
    <n v="13124703554"/>
    <s v="00440152218067"/>
    <s v="00440152218967"/>
    <n v="13810024174"/>
    <d v="2018-08-22T00:00:00"/>
    <s v="Yes"/>
    <s v="Yes"/>
    <x v="0"/>
    <s v="REGULAR TEST"/>
    <m/>
  </r>
  <r>
    <x v="4"/>
    <s v="BEJSRTL331"/>
    <s v="No"/>
    <x v="12"/>
    <s v="PCIe"/>
    <n v="2510837"/>
    <s v="459/R36/2"/>
    <x v="0"/>
    <x v="1"/>
    <x v="25"/>
    <x v="16"/>
    <x v="1"/>
    <s v="No"/>
    <s v="Yes"/>
    <s v="NA"/>
    <s v="7560utt127smini.bj.intel.com"/>
    <x v="381"/>
    <s v="E15F59A14E8F0A00FFFFFFFF"/>
    <s v="C7H751301AQHXNKKD"/>
    <n v="13810715530"/>
    <s v="00440152262098"/>
    <s v="00440152262300"/>
    <n v="18010341436"/>
    <d v="2018-08-22T00:00:00"/>
    <s v="Yes"/>
    <s v="Yes"/>
    <x v="0"/>
    <s v="REGULAR TEST"/>
    <m/>
  </r>
  <r>
    <x v="4"/>
    <s v="BEJSRTL332"/>
    <s v="Yes"/>
    <x v="6"/>
    <s v="PCIe"/>
    <n v="2250558"/>
    <s v="459/R40/6"/>
    <x v="0"/>
    <x v="1"/>
    <x v="29"/>
    <x v="19"/>
    <x v="1"/>
    <s v="No"/>
    <s v="Yes"/>
    <s v="4x"/>
    <s v="bejsrtm001smini.bj.intel.com"/>
    <x v="382"/>
    <s v="E15F79DB95F00A00FFFFFFFF"/>
    <s v="C7H7523009THXNKKB"/>
    <n v="18911124202"/>
    <s v="00440152262099"/>
    <s v="00440152262301"/>
    <n v="13810023894"/>
    <m/>
    <s v="Yes"/>
    <s v="Yes"/>
    <x v="0"/>
    <s v="REGULAR TEST"/>
    <m/>
  </r>
  <r>
    <x v="4"/>
    <s v="BEJSRTL333"/>
    <s v="No"/>
    <x v="12"/>
    <s v="PCIe"/>
    <n v="2510546"/>
    <s v="459/R40/3"/>
    <x v="0"/>
    <x v="1"/>
    <x v="29"/>
    <x v="19"/>
    <x v="1"/>
    <s v="No"/>
    <s v="Yes"/>
    <s v="NA"/>
    <s v="7560utt236smini.bj.intel.com"/>
    <x v="383"/>
    <s v="E1DF3A1B48251000FFFFFFFF"/>
    <s v="C7H751300A0HXNKK4"/>
    <n v="18911124185"/>
    <s v="00440152262100"/>
    <s v="00440152262302"/>
    <n v="13810833935"/>
    <d v="2018-08-22T00:00:00"/>
    <s v="Yes"/>
    <s v="Yes"/>
    <x v="0"/>
    <s v="REGULAR TEST"/>
    <m/>
  </r>
  <r>
    <x v="4"/>
    <s v="BEJSRTL334"/>
    <s v="Yes"/>
    <x v="6"/>
    <s v="PCIe"/>
    <n v="2510747"/>
    <s v="459/R40/3"/>
    <x v="0"/>
    <x v="1"/>
    <x v="32"/>
    <x v="21"/>
    <x v="1"/>
    <s v="No"/>
    <s v="No"/>
    <s v="4x"/>
    <s v="7560utt243smini.bj.intel.com"/>
    <x v="384"/>
    <s v="E15F79D747E80F00FFFFFFFF"/>
    <s v="C7H7523008QHXNKKH"/>
    <n v="13810471639"/>
    <s v="00440152262101"/>
    <s v="00440152262303"/>
    <n v="18601041402"/>
    <m/>
    <s v="Yes"/>
    <s v="Yes"/>
    <x v="0"/>
    <s v="REGULAR TEST"/>
    <m/>
  </r>
  <r>
    <x v="4"/>
    <s v="BEJSRTL337"/>
    <s v="Yes"/>
    <x v="6"/>
    <s v="PCIe"/>
    <n v="2510677"/>
    <s v="459/R41/3"/>
    <x v="0"/>
    <x v="1"/>
    <x v="29"/>
    <x v="19"/>
    <x v="1"/>
    <s v="No"/>
    <s v="Yes"/>
    <s v="4x"/>
    <s v="bijsrtm012smini.bj.intel.com"/>
    <x v="385"/>
    <s v="E1DF19DEDDB90A00FFFFFFFF"/>
    <s v="C7H7513017BHXNKK1"/>
    <n v="17310351349"/>
    <s v="00440152219768"/>
    <s v="00440152264558"/>
    <n v="13810021284"/>
    <d v="2018-04-07T00:00:00"/>
    <s v="Yes"/>
    <s v="Yes"/>
    <x v="0"/>
    <s v="REGULAR TEST"/>
    <m/>
  </r>
  <r>
    <x v="4"/>
    <s v="BEJSRTL338"/>
    <s v="Yes"/>
    <x v="6"/>
    <s v="PCIe"/>
    <n v="2510599"/>
    <s v="459/R40/2"/>
    <x v="0"/>
    <x v="1"/>
    <x v="32"/>
    <x v="21"/>
    <x v="1"/>
    <s v="No"/>
    <s v="No"/>
    <s v="4x"/>
    <s v="7560utt236smini.bj.intel.com"/>
    <x v="386"/>
    <s v="E1DFCA7479580B00FFFFFFFF"/>
    <s v="C7H7513007ZHXNKKE"/>
    <n v="13810639771"/>
    <s v="00440152262102"/>
    <s v="00440152262304"/>
    <n v="13263323831"/>
    <d v="2018-04-24T00:00:00"/>
    <s v="Yes"/>
    <s v="Yes"/>
    <x v="0"/>
    <s v="REGULAR TEST"/>
    <m/>
  </r>
  <r>
    <x v="4"/>
    <s v="BEJSRTL339"/>
    <s v="Yes"/>
    <x v="12"/>
    <s v="PCIe"/>
    <n v="2510844"/>
    <s v="459/R40/6"/>
    <x v="0"/>
    <x v="1"/>
    <x v="29"/>
    <x v="27"/>
    <x v="1"/>
    <s v="No"/>
    <s v="Yes"/>
    <s v="4x"/>
    <s v="bejsrtm001smini.bj.intel.com"/>
    <x v="387"/>
    <s v="E1DFDA8861070C00FFFFFFFF"/>
    <s v="C7H7513008UHXNKKG"/>
    <n v="18911473219"/>
    <s v="00440152219598"/>
    <s v="00440152264388"/>
    <n v="13810419657"/>
    <d v="2018-04-24T00:00:00"/>
    <s v="Yes"/>
    <s v="Yes"/>
    <x v="0"/>
    <s v="REGULAR TEST"/>
    <m/>
  </r>
  <r>
    <x v="4"/>
    <s v="BEJSRTL340"/>
    <s v="Yes"/>
    <x v="6"/>
    <s v="PCIe"/>
    <n v="2510694"/>
    <s v="459/R39/2"/>
    <x v="0"/>
    <x v="1"/>
    <x v="25"/>
    <x v="16"/>
    <x v="1"/>
    <s v="No"/>
    <s v="Yes"/>
    <s v="4x"/>
    <s v="bejsrtm003smini.bj.intel.com"/>
    <x v="388"/>
    <s v="E15F49A3F42C0500FFFFFFFF"/>
    <s v="C7H751301BLHXNKKE"/>
    <n v="13810021745"/>
    <s v="00440152262103"/>
    <s v="00440152262305"/>
    <n v="18911124295"/>
    <d v="2018-06-01T00:00:00"/>
    <s v="Yes"/>
    <s v="Yes"/>
    <x v="0"/>
    <s v="REGULAR TEST"/>
    <m/>
  </r>
  <r>
    <x v="4"/>
    <s v="BEJSRTL341"/>
    <s v="Yes"/>
    <x v="10"/>
    <s v="PCIe"/>
    <n v="2510748"/>
    <s v="459/R39/2"/>
    <x v="0"/>
    <x v="1"/>
    <x v="25"/>
    <x v="16"/>
    <x v="1"/>
    <s v="No"/>
    <s v="Yes"/>
    <s v="4x"/>
    <s v="7560utt276smini.bj.intel.com"/>
    <x v="389"/>
    <s v="E15F494538DA0A00FFFFFFFF"/>
    <s v="C7H752300DSHXNKK0"/>
    <n v="13810599702"/>
    <s v="00440152218082"/>
    <s v="00440152218982"/>
    <n v="18911124251"/>
    <d v="2018-04-26T00:00:00"/>
    <s v="Yes"/>
    <s v="Yes"/>
    <x v="0"/>
    <s v="REGULAR TEST"/>
    <m/>
  </r>
  <r>
    <x v="4"/>
    <s v="BEJSRTL345"/>
    <s v="Yes"/>
    <x v="6"/>
    <s v="PCIe"/>
    <n v="2510713"/>
    <s v="439/R13/1"/>
    <x v="0"/>
    <x v="1"/>
    <x v="25"/>
    <x v="16"/>
    <x v="9"/>
    <s v="Yes"/>
    <s v="Yes"/>
    <s v="4x"/>
    <e v="#N/A"/>
    <x v="13"/>
    <s v="E20F0A0C69151300FFFFFFFF"/>
    <s v="C7H8103002LHXNKXA"/>
    <n v="13810826170"/>
    <s v="00440152217742"/>
    <s v="00440152218642"/>
    <n v="13381264225"/>
    <d v="2018-04-25T00:00:00"/>
    <s v="Yes"/>
    <s v="Yes"/>
    <x v="0"/>
    <s v="REGULAR TEST"/>
    <m/>
  </r>
  <r>
    <x v="4"/>
    <s v="BEJSRTL346"/>
    <s v="Yes"/>
    <x v="6"/>
    <s v="PCIe"/>
    <n v="2510883"/>
    <s v="459/R40/2"/>
    <x v="0"/>
    <x v="1"/>
    <x v="27"/>
    <x v="17"/>
    <x v="1"/>
    <s v="No"/>
    <s v="No"/>
    <s v="4x"/>
    <s v="bejsrtm011smini.bj.intel.com"/>
    <x v="390"/>
    <s v="E15FF9084D950D00FFFFFFFF"/>
    <s v="C7H7523008VHXNKKC"/>
    <n v="13810419753"/>
    <s v="00440152219522"/>
    <s v="00440152264312"/>
    <n v="13810618773"/>
    <d v="2018-08-16T00:00:00"/>
    <s v="Yes"/>
    <s v="Yes"/>
    <x v="0"/>
    <s v="REGULAR TEST"/>
    <m/>
  </r>
  <r>
    <x v="4"/>
    <s v="BEJSRTL348"/>
    <s v="Yes"/>
    <x v="10"/>
    <s v="PCIe"/>
    <n v="2510775"/>
    <s v="459/R42/4"/>
    <x v="0"/>
    <x v="1"/>
    <x v="30"/>
    <x v="20"/>
    <x v="1"/>
    <s v="No"/>
    <s v="No"/>
    <s v="4x"/>
    <s v="bijsrtm012smini.bj.intel.com"/>
    <x v="391"/>
    <s v="E15FE9E2C2080800FFFFFFFF"/>
    <s v="C7H752300CMHXNKK8"/>
    <n v="18614269145"/>
    <s v="00440152262104"/>
    <s v="00440152262306"/>
    <n v="13810831760"/>
    <d v="2018-08-22T00:00:00"/>
    <s v="Yes"/>
    <s v="Yes"/>
    <x v="0"/>
    <s v="REGULAR TEST"/>
    <m/>
  </r>
  <r>
    <x v="4"/>
    <s v="BEJSRTL350"/>
    <s v="Yes"/>
    <x v="6"/>
    <s v="PCIe"/>
    <n v="2510860"/>
    <s v="439/R18/2"/>
    <x v="0"/>
    <x v="1"/>
    <x v="25"/>
    <x v="16"/>
    <x v="1"/>
    <s v="No"/>
    <s v="Yes"/>
    <s v="4x"/>
    <s v="7560utt243smini.bj.intel.com"/>
    <x v="392"/>
    <s v="E15FA97435BE0A00FFFFFFFF"/>
    <s v="C7H751301A7HXNKKW"/>
    <n v="13810695923"/>
    <s v="00440152218077"/>
    <s v="00440152218977"/>
    <n v="18911034305"/>
    <m/>
    <s v="Yes"/>
    <s v="Yes"/>
    <x v="0"/>
    <s v="REGULAR TEST"/>
    <m/>
  </r>
  <r>
    <x v="4"/>
    <s v="BEJSRTL354"/>
    <s v="Yes"/>
    <x v="6"/>
    <s v="PCIe"/>
    <n v="3516426"/>
    <s v="439/R33/1"/>
    <x v="0"/>
    <x v="1"/>
    <x v="28"/>
    <x v="17"/>
    <x v="1"/>
    <s v="No"/>
    <s v="No"/>
    <s v="Yes"/>
    <s v="7560utt277smini.bj.intel.com"/>
    <x v="393"/>
    <s v="E1DF2A1311F10700FFFFFFFF"/>
    <s v="C7H7513006GHXNKK0"/>
    <n v="13800001334"/>
    <s v="00440152262134"/>
    <s v="00440152262336"/>
    <n v="13800001326"/>
    <d v="2018-07-06T00:00:00"/>
    <s v="Yes"/>
    <s v="Yes"/>
    <x v="0"/>
    <s v="REGULAR TEST"/>
    <m/>
  </r>
  <r>
    <x v="4"/>
    <s v="BEJSRTL356"/>
    <s v="Yes"/>
    <x v="6"/>
    <s v="PCIe"/>
    <n v="3316676"/>
    <s v="439/R3/8"/>
    <x v="0"/>
    <x v="1"/>
    <x v="25"/>
    <x v="16"/>
    <x v="1"/>
    <s v="No"/>
    <s v="Yes"/>
    <s v="4x"/>
    <s v="bejsrtm003smini.bj.intel.com"/>
    <x v="394"/>
    <s v="E15FB9BECAD10A00FFFFFFFF"/>
    <s v="C7H751301A1HXNKK2"/>
    <n v="13810420587"/>
    <s v="00440152218078"/>
    <s v="00440152218978"/>
    <n v="18911034357"/>
    <m/>
    <s v="Yes"/>
    <s v="Yes"/>
    <x v="0"/>
    <s v="REGULAR TEST"/>
    <m/>
  </r>
  <r>
    <x v="4"/>
    <s v="BEJSRTL357"/>
    <s v="Yes"/>
    <x v="6"/>
    <s v="PCIe"/>
    <n v="3316702"/>
    <s v="439/R19/7"/>
    <x v="0"/>
    <x v="1"/>
    <x v="32"/>
    <x v="21"/>
    <x v="1"/>
    <s v="No"/>
    <s v="No"/>
    <s v="4x"/>
    <s v="7560utt243smini.bj.intel.com"/>
    <x v="395"/>
    <s v="E15F79B93B5F0800FFFFFFFF"/>
    <s v="C7H7513018THXNKKG"/>
    <n v="13810991205"/>
    <s v="00440152280425"/>
    <s v="00440152262410"/>
    <n v="18501960583"/>
    <d v="2018-06-01T00:00:00"/>
    <s v="Yes"/>
    <s v="Yes"/>
    <x v="0"/>
    <s v="REGULAR TEST"/>
    <m/>
  </r>
  <r>
    <x v="4"/>
    <s v="BEJSRTL359"/>
    <s v="Yes"/>
    <x v="12"/>
    <s v="PCIe"/>
    <n v="3316767"/>
    <s v="439/R4/3"/>
    <x v="0"/>
    <x v="0"/>
    <x v="31"/>
    <x v="6"/>
    <x v="1"/>
    <s v="No"/>
    <s v="No"/>
    <s v="4x"/>
    <s v="7560utt175smini.bj.intel.com"/>
    <x v="396"/>
    <s v="E15FF8D455420D00FFFFFFFF"/>
    <s v="C7H749700FNHXNKK8"/>
    <n v="13810500381"/>
    <s v="00440152219820"/>
    <s v="00440152264610"/>
    <m/>
    <d v="2018-04-27T00:00:00"/>
    <s v="Yes"/>
    <s v="Yes"/>
    <x v="0"/>
    <s v="REGULAR TEST"/>
    <m/>
  </r>
  <r>
    <x v="4"/>
    <s v="BEJSRTL360"/>
    <s v="Yes"/>
    <x v="12"/>
    <s v="PCIe"/>
    <n v="3316669"/>
    <s v="2F/R50/2"/>
    <x v="0"/>
    <x v="0"/>
    <x v="31"/>
    <x v="22"/>
    <x v="1"/>
    <s v="No"/>
    <s v="No"/>
    <s v="4x"/>
    <s v="bejsrtm014smini.bj.intel.com"/>
    <x v="397"/>
    <s v="E1DF2A53CAD50700FFFFFFFF"/>
    <s v="C7H75130082HXNKK8"/>
    <n v="13810013042"/>
    <s v="00440152262144"/>
    <s v="00440152262346"/>
    <m/>
    <d v="2018-06-04T00:00:00"/>
    <s v="Yes"/>
    <s v="Yes"/>
    <x v="0"/>
    <s v="REGULAR TEST"/>
    <m/>
  </r>
  <r>
    <x v="4"/>
    <s v="BEJSRTL362"/>
    <s v="Yes"/>
    <x v="6"/>
    <s v="PCIe"/>
    <n v="3299834"/>
    <s v="439/R2/3"/>
    <x v="0"/>
    <x v="1"/>
    <x v="27"/>
    <x v="17"/>
    <x v="1"/>
    <s v="No"/>
    <s v="No"/>
    <s v="4x"/>
    <s v="bejsrtm011smini.bj.intel.com"/>
    <x v="398"/>
    <s v="E15FB9D073260800FFFFFFFF"/>
    <s v="C7H75130178HXNKK4"/>
    <n v="13810545738"/>
    <s v="00440152262105"/>
    <s v="00440152262307"/>
    <n v="13810019564"/>
    <d v="2018-08-11T00:00:00"/>
    <s v="Yes"/>
    <s v="Yes"/>
    <x v="0"/>
    <s v="REGULAR TEST"/>
    <m/>
  </r>
  <r>
    <x v="4"/>
    <s v="BEJSRTL363"/>
    <s v="Yes"/>
    <x v="6"/>
    <s v="PCIe"/>
    <n v="3516348"/>
    <s v="439/R6/6"/>
    <x v="0"/>
    <x v="1"/>
    <x v="30"/>
    <x v="20"/>
    <x v="1"/>
    <s v="No"/>
    <s v="No"/>
    <s v="4x"/>
    <s v="7560utt241smini.bj.intel.com"/>
    <x v="399"/>
    <s v="E15F5915CFA60A00FFFFFFFF"/>
    <s v="C7H751301ARHXNKKC"/>
    <n v="13167378873"/>
    <s v="00440152262106"/>
    <s v="00440152262308"/>
    <n v="13810672895"/>
    <m/>
    <s v="Yes"/>
    <s v="Yes"/>
    <x v="0"/>
    <s v="REGULAR TEST"/>
    <m/>
  </r>
  <r>
    <x v="4"/>
    <s v="BEJSRTL364"/>
    <s v="Yes"/>
    <x v="10"/>
    <s v="PCIe"/>
    <n v="3316648"/>
    <s v="439/R5/5"/>
    <x v="0"/>
    <x v="1"/>
    <x v="27"/>
    <x v="17"/>
    <x v="1"/>
    <s v="No"/>
    <s v="No"/>
    <s v="4x"/>
    <s v="7560utt241smini.bj.intel.com"/>
    <x v="400"/>
    <s v="E1DFDA4EEAF40A00FFFFFFFF"/>
    <s v="C7H751300ZEHXNKKP"/>
    <n v="13810771157"/>
    <s v="00440152262107"/>
    <s v="00440152262309"/>
    <n v="13810773160"/>
    <d v="2018-08-22T00:00:00"/>
    <s v="Yes"/>
    <s v="Yes"/>
    <x v="0"/>
    <s v="REGULAR TEST"/>
    <m/>
  </r>
  <r>
    <x v="4"/>
    <s v="BEJSRTL365"/>
    <s v="No"/>
    <x v="12"/>
    <s v="PCIe"/>
    <n v="3316799"/>
    <s v="439/R18/5"/>
    <x v="0"/>
    <x v="1"/>
    <x v="25"/>
    <x v="16"/>
    <x v="1"/>
    <s v="No"/>
    <s v="Yes"/>
    <s v="NA"/>
    <s v="7560utt127smini.bj.intel.com"/>
    <x v="401"/>
    <s v="E1DF09AA0CBE0A00FFFFFFFF"/>
    <s v="C7H751301CDHXNKKJ"/>
    <n v="13910449749"/>
    <s v="00440152217715"/>
    <s v="00440152218615"/>
    <n v="18911175846"/>
    <d v="2018-08-22T00:00:00"/>
    <s v="Yes"/>
    <s v="Yes"/>
    <x v="0"/>
    <s v="REGULAR TEST"/>
    <m/>
  </r>
  <r>
    <x v="4"/>
    <s v="BEJSRTL366"/>
    <s v="Yes"/>
    <x v="10"/>
    <s v="PCIe"/>
    <n v="3316814"/>
    <s v="439/R18/6"/>
    <x v="0"/>
    <x v="1"/>
    <x v="32"/>
    <x v="21"/>
    <x v="1"/>
    <s v="No"/>
    <s v="No"/>
    <s v="4x"/>
    <s v="bejsrtm010smini.bj.intel.com"/>
    <x v="402"/>
    <s v="E15FF9F23B720900FFFFFFFF"/>
    <s v="C7H751301CPHXNKK8"/>
    <n v="13810154346"/>
    <s v="00440152262108"/>
    <s v="00440152262310"/>
    <n v="15501061879"/>
    <m/>
    <s v="Yes"/>
    <s v="Yes"/>
    <x v="0"/>
    <s v="REGULAR TEST"/>
    <m/>
  </r>
  <r>
    <x v="4"/>
    <s v="BEJSRTL367"/>
    <s v="Yes"/>
    <x v="6"/>
    <s v="PCIe"/>
    <n v="2250567"/>
    <s v="439/R3/7"/>
    <x v="0"/>
    <x v="1"/>
    <x v="30"/>
    <x v="20"/>
    <x v="1"/>
    <s v="No"/>
    <s v="No"/>
    <s v="4x"/>
    <s v="bejsrtm010smini.bj.intel.com"/>
    <x v="403"/>
    <s v="E15F699527E50A00FFFFFFFF"/>
    <s v="C7H7513018YHXNKKB"/>
    <n v="18519332575"/>
    <s v="00440152262109"/>
    <s v="00440152262311"/>
    <n v="13810331604"/>
    <d v="2018-08-11T00:00:00"/>
    <s v="Yes"/>
    <s v="Yes"/>
    <x v="0"/>
    <s v="REGULAR TEST"/>
    <m/>
  </r>
  <r>
    <x v="4"/>
    <s v="BEJSRTL368"/>
    <s v="Yes"/>
    <x v="6"/>
    <s v="PCIe"/>
    <n v="3516354"/>
    <s v="439/R2/3"/>
    <x v="0"/>
    <x v="1"/>
    <x v="29"/>
    <x v="27"/>
    <x v="1"/>
    <s v="No"/>
    <s v="Yes"/>
    <s v="4x"/>
    <s v="bejsrtm001smini.bj.intel.com"/>
    <x v="404"/>
    <s v="E1DF39BE1B370800FFFFFFFF"/>
    <s v="C7H7513019ZHXNKK7"/>
    <n v="18010341447"/>
    <s v="00440152262110"/>
    <s v="00440152262312"/>
    <n v="13810609301"/>
    <m/>
    <s v="Yes"/>
    <s v="Yes"/>
    <x v="0"/>
    <s v="REGULAR TEST"/>
    <m/>
  </r>
  <r>
    <x v="4"/>
    <s v="BEJSRTL369"/>
    <s v="Yes"/>
    <x v="6"/>
    <s v="PCIe"/>
    <n v="3516386"/>
    <s v="439/R2/4"/>
    <x v="0"/>
    <x v="1"/>
    <x v="32"/>
    <x v="21"/>
    <x v="1"/>
    <s v="No"/>
    <s v="No"/>
    <s v="4x"/>
    <s v="7560utt243smini.bj.intel.com"/>
    <x v="405"/>
    <s v="E15F490BC4F40A00FFFFFFFF"/>
    <s v="C7H751301CQHXNKK7"/>
    <n v="13810012748"/>
    <s v="00440152262111"/>
    <s v="00440152262313"/>
    <n v="15652478763"/>
    <d v="2018-04-07T00:00:00"/>
    <s v="Yes"/>
    <s v="Yes"/>
    <x v="0"/>
    <s v="REGULAR TEST"/>
    <m/>
  </r>
  <r>
    <x v="4"/>
    <s v="BEJSRTL370"/>
    <s v="Yes"/>
    <x v="6"/>
    <s v="PCIe"/>
    <n v="3516401"/>
    <s v="439/R18/4"/>
    <x v="0"/>
    <x v="1"/>
    <x v="25"/>
    <x v="16"/>
    <x v="1"/>
    <s v="No"/>
    <s v="Yes"/>
    <s v="4x"/>
    <s v="bijsrtm012smini.bj.intel.com"/>
    <x v="406"/>
    <s v="E15F198B93350F00FFFFFFFF"/>
    <s v="C7H7513018SHXNKKH"/>
    <n v="13810269346"/>
    <s v="00440152219490"/>
    <s v="00440152264280"/>
    <n v="18911124216"/>
    <d v="2018-06-01T00:00:00"/>
    <s v="Yes"/>
    <s v="Yes"/>
    <x v="0"/>
    <s v="REGULAR TEST"/>
    <m/>
  </r>
  <r>
    <x v="4"/>
    <s v="BEJSRTL371"/>
    <s v="Yes"/>
    <x v="6"/>
    <s v="PCIe"/>
    <n v="3299557"/>
    <s v="459/R37/1"/>
    <x v="0"/>
    <x v="1"/>
    <x v="29"/>
    <x v="19"/>
    <x v="1"/>
    <s v="No"/>
    <s v="Yes"/>
    <s v="4x"/>
    <s v="bejsrtm014smini.bj.intel.com"/>
    <x v="407"/>
    <s v="E15FB9143A020800FFFFFFFF"/>
    <s v="C7H7513018KHXNKKQ"/>
    <n v="18911034315"/>
    <s v="00440152262112"/>
    <s v="00440152262314"/>
    <n v="13810753202"/>
    <d v="2018-04-10T00:00:00"/>
    <s v="Yes"/>
    <s v="Yes"/>
    <x v="0"/>
    <s v="REGULAR TEST"/>
    <m/>
  </r>
  <r>
    <x v="4"/>
    <s v="BEJSRTL372"/>
    <s v="Yes"/>
    <x v="6"/>
    <s v="PCIe"/>
    <n v="3516435"/>
    <s v="459/R37/1"/>
    <x v="0"/>
    <x v="1"/>
    <x v="29"/>
    <x v="19"/>
    <x v="1"/>
    <s v="No"/>
    <s v="Yes"/>
    <s v="4x"/>
    <s v="bijsrtm012smini.bj.intel.com"/>
    <x v="408"/>
    <s v="E1DF39A8223C0800FFFFFFFF"/>
    <s v="C7H751301BKHXNKKF"/>
    <n v="18010341437"/>
    <s v="00440152219590"/>
    <s v="00440152264380"/>
    <n v="13810163971"/>
    <d v="2018-04-10T00:00:00"/>
    <s v="Yes"/>
    <s v="Yes"/>
    <x v="0"/>
    <s v="REGULAR TEST"/>
    <m/>
  </r>
  <r>
    <x v="4"/>
    <s v="BEJSRTL373"/>
    <s v="Yes"/>
    <x v="13"/>
    <s v="PCIe"/>
    <n v="3516394"/>
    <s v="439/R33/3"/>
    <x v="0"/>
    <x v="0"/>
    <x v="36"/>
    <x v="14"/>
    <x v="1"/>
    <s v="No"/>
    <s v="No"/>
    <s v="Yes"/>
    <s v="7560utt277smini.bj.intel.com"/>
    <x v="409"/>
    <s v="E1DF2A8D73740200FFFFFFFF"/>
    <s v="C7H751300AAHXNKKU"/>
    <n v="18900670333"/>
    <s v="00440152262113"/>
    <s v="00440152262315"/>
    <m/>
    <m/>
    <s v="Yes"/>
    <s v="Yes"/>
    <x v="0"/>
    <s v="DEBUG TEST"/>
    <m/>
  </r>
  <r>
    <x v="4"/>
    <s v="BEJSRTL375"/>
    <s v="No"/>
    <x v="10"/>
    <s v="PCIe"/>
    <n v="3316661"/>
    <s v="459/R42/2"/>
    <x v="0"/>
    <x v="1"/>
    <x v="25"/>
    <x v="16"/>
    <x v="1"/>
    <s v="No"/>
    <s v="Yes"/>
    <s v="NA"/>
    <s v="bejsrtm008smini.bj.intel.com"/>
    <x v="410"/>
    <s v="E15F0999A8A00A00FFFFFFFF"/>
    <s v="C7H752300BVHXNKK3"/>
    <n v="13810274074"/>
    <s v="00440152262114"/>
    <s v="00440152262316"/>
    <n v="18911034365"/>
    <d v="2018-08-22T00:00:00"/>
    <s v="Yes"/>
    <s v="Yes"/>
    <x v="0"/>
    <s v="REGULAR TEST"/>
    <m/>
  </r>
  <r>
    <x v="4"/>
    <s v="BEJSRTL376"/>
    <s v="Yes"/>
    <x v="12"/>
    <s v="PCIe"/>
    <n v="3299695"/>
    <s v="2F/R50/2"/>
    <x v="0"/>
    <x v="0"/>
    <x v="31"/>
    <x v="22"/>
    <x v="1"/>
    <s v="No"/>
    <s v="No"/>
    <s v="4x"/>
    <s v="bejsrtm014smini.bj.intel.com"/>
    <x v="411"/>
    <s v="E1DF5AF759C80700FFFFFFFF"/>
    <s v="C7H75130079HXNKK4"/>
    <n v="13810013224"/>
    <s v="00440152262145"/>
    <s v="00440152262347"/>
    <m/>
    <d v="2018-06-04T00:00:00"/>
    <s v="Yes"/>
    <s v="Yes"/>
    <x v="0"/>
    <s v="REGULAR TEST"/>
    <m/>
  </r>
  <r>
    <x v="4"/>
    <s v="BEJSRTL513"/>
    <s v="Yes"/>
    <x v="6"/>
    <s v="PCIe"/>
    <n v="2510671"/>
    <s v="439/R12/3"/>
    <x v="0"/>
    <x v="0"/>
    <x v="26"/>
    <x v="14"/>
    <x v="9"/>
    <s v="Yes"/>
    <s v="Yes"/>
    <s v="4x"/>
    <e v="#N/A"/>
    <x v="13"/>
    <s v="E20F2A8499090700FFFFFFFF"/>
    <s v="C7H8103001QHXNKX9"/>
    <n v="18101234774"/>
    <s v="00440152218057"/>
    <s v="00440152218957"/>
    <m/>
    <d v="2018-05-04T00:00:00"/>
    <s v="Yes"/>
    <s v="Yes"/>
    <x v="0"/>
    <s v="REGULAR TEST"/>
    <m/>
  </r>
  <r>
    <x v="4"/>
    <s v="BEJSRTL378"/>
    <s v="Yes"/>
    <x v="6"/>
    <s v="PCIe"/>
    <n v="3299704"/>
    <s v="439/R6/6"/>
    <x v="0"/>
    <x v="1"/>
    <x v="27"/>
    <x v="17"/>
    <x v="1"/>
    <s v="No"/>
    <s v="No"/>
    <s v="4x"/>
    <s v="bejsrtm011smini.bj.intel.com"/>
    <x v="412"/>
    <s v="E1DF398A57E60A00FFFFFFFF"/>
    <s v="C7H751301A3HXNKK0"/>
    <n v="13910438667"/>
    <s v="00440152262115"/>
    <s v="00440152262317"/>
    <n v="13810024314"/>
    <d v="2018-08-16T00:00:00"/>
    <s v="Yes"/>
    <s v="Yes"/>
    <x v="0"/>
    <s v="REGULAR TEST"/>
    <m/>
  </r>
  <r>
    <x v="4"/>
    <s v="BEJSRTL379"/>
    <s v="Yes"/>
    <x v="10"/>
    <s v="PCIe"/>
    <n v="2510699"/>
    <s v="439/R3/8"/>
    <x v="0"/>
    <x v="1"/>
    <x v="29"/>
    <x v="19"/>
    <x v="1"/>
    <s v="No"/>
    <s v="Yes"/>
    <s v="4x"/>
    <s v="bejsrtm011smini.bj.intel.com"/>
    <x v="413"/>
    <s v="E15FB93ED6100800FFFFFFFF"/>
    <s v="C7H751301A4HXNKKZ"/>
    <n v="18911034363"/>
    <s v="00440152218076"/>
    <s v="00440152218976"/>
    <n v="13811077820"/>
    <d v="2018-06-12T00:00:00"/>
    <s v="Yes"/>
    <s v="Yes"/>
    <x v="0"/>
    <s v="REGULAR TEST"/>
    <m/>
  </r>
  <r>
    <x v="4"/>
    <s v="BEJSRTL381"/>
    <s v="Yes"/>
    <x v="10"/>
    <s v="PCIe"/>
    <n v="2510679"/>
    <s v="439/R8/6"/>
    <x v="0"/>
    <x v="1"/>
    <x v="32"/>
    <x v="9"/>
    <x v="1"/>
    <s v="No"/>
    <s v="No"/>
    <s v="4x"/>
    <s v="bejsrtm010smini.bj.intel.com"/>
    <x v="414"/>
    <s v="E1DF9A68A3310F00FFFFFFFF"/>
    <s v="C7H751300YJHXNKKN"/>
    <n v="13810503592"/>
    <s v="00440152219704"/>
    <s v="00440152264494"/>
    <n v="13220103536"/>
    <d v="2018-08-22T00:00:00"/>
    <s v="Yes"/>
    <s v="Yes"/>
    <x v="0"/>
    <s v="REGULAR TEST"/>
    <m/>
  </r>
  <r>
    <x v="4"/>
    <s v="BEJSRTL385"/>
    <s v="Yes"/>
    <x v="6"/>
    <s v="PCIe"/>
    <n v="2510809"/>
    <s v="459/R42/8"/>
    <x v="0"/>
    <x v="1"/>
    <x v="30"/>
    <x v="24"/>
    <x v="1"/>
    <s v="No"/>
    <s v="No"/>
    <s v="4x"/>
    <s v="7560utt241smini.bj.intel.com"/>
    <x v="415"/>
    <s v="E15F097754700F00FFFFFFFF"/>
    <s v="C7H75230082HXNKK5"/>
    <n v="15652449018"/>
    <s v="00440152218037"/>
    <s v="00440152218937"/>
    <n v="13810147974"/>
    <d v="2018-04-07T00:00:00"/>
    <s v="Yes"/>
    <s v="Yes"/>
    <x v="0"/>
    <s v="REGULAR TEST"/>
    <m/>
  </r>
  <r>
    <x v="4"/>
    <s v="BEJSRTL386"/>
    <s v="Yes"/>
    <x v="6"/>
    <s v="PCIe"/>
    <n v="2510861"/>
    <s v="439/R18/1"/>
    <x v="0"/>
    <x v="1"/>
    <x v="32"/>
    <x v="21"/>
    <x v="1"/>
    <s v="No"/>
    <s v="No"/>
    <s v="4x"/>
    <s v="7560utt236smini.bj.intel.com"/>
    <x v="416"/>
    <s v="E1DFBA5458391000FFFFFFFF"/>
    <s v="C7H7513012MHXNKK6"/>
    <n v="13810857613"/>
    <s v="00440152219466"/>
    <s v="00440152264256"/>
    <n v="18519789075"/>
    <d v="2018-06-01T00:00:00"/>
    <s v="Yes"/>
    <s v="Yes"/>
    <x v="0"/>
    <s v="REGULAR TEST"/>
    <m/>
  </r>
  <r>
    <x v="4"/>
    <s v="BEJSRTL388"/>
    <s v="Yes"/>
    <x v="10"/>
    <s v="PCIe"/>
    <n v="2510905"/>
    <s v="439/R3/6"/>
    <x v="0"/>
    <x v="1"/>
    <x v="25"/>
    <x v="16"/>
    <x v="1"/>
    <s v="No"/>
    <s v="Yes"/>
    <s v="4x"/>
    <s v="bejsrtm011smini.bj.intel.com"/>
    <x v="417"/>
    <s v="E15F69A7A6B00A00FFFFFFFF"/>
    <s v="C7H7523007VHXNKKF"/>
    <n v="13810259675"/>
    <s v="00440152262116"/>
    <s v="00440152262318"/>
    <n v="13331048797"/>
    <d v="2018-04-10T00:00:00"/>
    <s v="Yes"/>
    <s v="Yes"/>
    <x v="0"/>
    <s v="REGULAR TEST"/>
    <m/>
  </r>
  <r>
    <x v="4"/>
    <s v="BEJSRTL390"/>
    <s v="Yes"/>
    <x v="6"/>
    <s v="PCIe"/>
    <n v="2510845"/>
    <s v="439/R12/6"/>
    <x v="0"/>
    <x v="1"/>
    <x v="30"/>
    <x v="20"/>
    <x v="1"/>
    <s v="No"/>
    <s v="No"/>
    <s v="4x"/>
    <s v="bejsrtm010smini.bj.intel.com"/>
    <x v="418"/>
    <s v="E1DFBA8CFC060200FFFFFFFF"/>
    <s v="C7H751300ZHHXNKKL"/>
    <n v="18518946562"/>
    <s v="00440152217944"/>
    <s v="00440152218844"/>
    <n v="13810282494"/>
    <d v="2018-08-11T00:00:00"/>
    <s v="Yes"/>
    <s v="Yes"/>
    <x v="0"/>
    <s v="REGULAR TEST"/>
    <m/>
  </r>
  <r>
    <x v="4"/>
    <s v="BEJSRTL392"/>
    <s v="No"/>
    <x v="6"/>
    <s v="PCIe"/>
    <n v="2510807"/>
    <s v="2F/R43/5"/>
    <x v="0"/>
    <x v="1"/>
    <x v="32"/>
    <x v="21"/>
    <x v="1"/>
    <s v="No"/>
    <s v="No"/>
    <s v="4x"/>
    <s v="7560utt236smini.bj.intel.com"/>
    <x v="419"/>
    <s v="E15F692DE5BE0A00FFFFFFFF"/>
    <s v="C7H7523007UHXNKKG"/>
    <n v="13810069194"/>
    <s v="00440152262117"/>
    <s v="00440152262319"/>
    <n v="13164299413"/>
    <m/>
    <s v="Yes"/>
    <s v="Yes"/>
    <x v="0"/>
    <s v="REGULAR TEST"/>
    <m/>
  </r>
  <r>
    <x v="4"/>
    <s v="BEJSRTL393"/>
    <s v="Yes"/>
    <x v="6"/>
    <s v="PCIe"/>
    <n v="2510719"/>
    <s v="2F/R43/1"/>
    <x v="0"/>
    <x v="1"/>
    <x v="29"/>
    <x v="19"/>
    <x v="1"/>
    <s v="No"/>
    <s v="Yes"/>
    <s v="4x"/>
    <s v="7560utt236smini.bj.intel.com"/>
    <x v="420"/>
    <s v="E15F490586FB0A00FFFFFFFF"/>
    <s v="C7H75230084HXNKK3"/>
    <n v="18911175941"/>
    <s v="00440152218085"/>
    <s v="00440152218985"/>
    <n v="13810144648"/>
    <m/>
    <s v="Yes"/>
    <s v="Yes"/>
    <x v="0"/>
    <s v="REGULAR TEST"/>
    <m/>
  </r>
  <r>
    <x v="4"/>
    <s v="BEJSRTL394"/>
    <s v="Yes"/>
    <x v="6"/>
    <s v="PCIe"/>
    <n v="2250547"/>
    <s v="439/R6/7"/>
    <x v="0"/>
    <x v="1"/>
    <x v="29"/>
    <x v="19"/>
    <x v="1"/>
    <s v="No"/>
    <s v="Yes"/>
    <s v="4x"/>
    <s v="7560utt236smini.bj.intel.com"/>
    <x v="421"/>
    <s v="E15F09EF66620900FFFFFFFF"/>
    <s v="C7H7523007THXNKKH"/>
    <n v="18911175844"/>
    <s v="00440152262118"/>
    <s v="00440152262320"/>
    <n v="13810419451"/>
    <d v="2018-03-08T00:00:00"/>
    <s v="Yes"/>
    <s v="Yes"/>
    <x v="0"/>
    <s v="REGULAR TEST"/>
    <m/>
  </r>
  <r>
    <x v="4"/>
    <s v="BEJSRTL395"/>
    <s v="Yes"/>
    <x v="6"/>
    <s v="PCIe"/>
    <n v="3516393"/>
    <s v="439/R6/4"/>
    <x v="0"/>
    <x v="1"/>
    <x v="30"/>
    <x v="24"/>
    <x v="1"/>
    <s v="No"/>
    <s v="No"/>
    <s v="4x"/>
    <s v="7560utt241smini.bj.intel.com"/>
    <x v="422"/>
    <s v="E1DF195A61CE0A00FFFFFFFF"/>
    <s v="C7H751301AWHXNKK7"/>
    <n v="13011829457"/>
    <s v="00440152218061"/>
    <s v="00440152218961"/>
    <n v="13910436925"/>
    <d v="2018-04-07T00:00:00"/>
    <s v="Yes"/>
    <s v="Yes"/>
    <x v="0"/>
    <s v="DEBUG TEST"/>
    <m/>
  </r>
  <r>
    <x v="4"/>
    <s v="BEJSRTL396"/>
    <s v="Yes"/>
    <x v="12"/>
    <s v="PCIe"/>
    <n v="3516376"/>
    <s v="459/R42/7"/>
    <x v="0"/>
    <x v="1"/>
    <x v="27"/>
    <x v="17"/>
    <x v="1"/>
    <s v="No"/>
    <s v="No"/>
    <s v="4x"/>
    <s v="bejsrtm011smini.bj.intel.com"/>
    <x v="423"/>
    <s v="E1DF19063AC80A00FFFFFFFF"/>
    <s v="C7H751301CRHXNKK6"/>
    <n v="13810573781"/>
    <s v="00440152219651"/>
    <s v="00440152264441"/>
    <n v="13810020441"/>
    <d v="2018-08-16T00:00:00"/>
    <s v="Yes"/>
    <s v="Yes"/>
    <x v="0"/>
    <s v="REGULAR TEST"/>
    <m/>
  </r>
  <r>
    <x v="4"/>
    <s v="BEJSRTL397"/>
    <s v="Yes"/>
    <x v="6"/>
    <s v="PCIe"/>
    <n v="3516380"/>
    <s v="439/R6/7"/>
    <x v="0"/>
    <x v="1"/>
    <x v="29"/>
    <x v="19"/>
    <x v="1"/>
    <s v="No"/>
    <s v="Yes"/>
    <s v="4x"/>
    <s v="bejsrtm001smini.bj.intel.com"/>
    <x v="424"/>
    <s v="E15F59970E380800FFFFFFFF"/>
    <s v="C7H7523008ZHXNKK8"/>
    <n v="18911175542"/>
    <s v="00440152262119"/>
    <s v="00440152262321"/>
    <n v="13810286245"/>
    <d v="2018-06-01T00:00:00"/>
    <s v="Yes"/>
    <s v="Yes"/>
    <x v="0"/>
    <s v="REGULAR TEST"/>
    <m/>
  </r>
  <r>
    <x v="4"/>
    <s v="BEJSRTL398"/>
    <s v="No"/>
    <x v="12"/>
    <s v="PCIe"/>
    <n v="3316803"/>
    <s v="439/R6/4"/>
    <x v="0"/>
    <x v="1"/>
    <x v="25"/>
    <x v="16"/>
    <x v="1"/>
    <s v="No"/>
    <s v="Yes"/>
    <s v="NA"/>
    <s v="bejsrtm003smini.bj.intel.com"/>
    <x v="425"/>
    <s v="E15F783641AE0D00FFFFFFFF"/>
    <s v="C7H749700CUHXNKKB"/>
    <n v="13810137974"/>
    <s v="00440152262120"/>
    <s v="00440152262322"/>
    <n v="18101234764"/>
    <d v="2018-08-22T00:00:00"/>
    <s v="Yes"/>
    <s v="Yes"/>
    <x v="0"/>
    <s v="REGULAR TEST"/>
    <m/>
  </r>
  <r>
    <x v="4"/>
    <s v="BEJSRTL399"/>
    <s v="Yes"/>
    <x v="6"/>
    <s v="PCIe"/>
    <n v="3516361"/>
    <s v="439/R6/5"/>
    <x v="0"/>
    <x v="1"/>
    <x v="27"/>
    <x v="17"/>
    <x v="1"/>
    <s v="No"/>
    <s v="No"/>
    <s v="4x"/>
    <s v="bejsrtm011smini.bj.intel.com"/>
    <x v="426"/>
    <s v="E15FE9B82C780F00FFFFFFFF"/>
    <s v="C7H752300AKHXNKKG"/>
    <n v="13810420673"/>
    <s v="00440152262121"/>
    <s v="00440152262323"/>
    <n v="13810171523"/>
    <d v="2018-08-11T00:00:00"/>
    <s v="Yes"/>
    <s v="Yes"/>
    <x v="0"/>
    <s v="REGULAR TEST"/>
    <m/>
  </r>
  <r>
    <x v="4"/>
    <s v="BEJSRTL400"/>
    <s v="Yes"/>
    <x v="6"/>
    <s v="PCIe"/>
    <n v="3516445"/>
    <s v="439/R1/1"/>
    <x v="0"/>
    <x v="1"/>
    <x v="27"/>
    <x v="17"/>
    <x v="1"/>
    <s v="No"/>
    <s v="No"/>
    <s v="4x"/>
    <s v="bejsrtm011smini.bj.intel.com"/>
    <x v="427"/>
    <s v="E1DF1AEB27D90600FFFFFFFF"/>
    <s v="C7H751300YMHXNKKK"/>
    <n v="13811815477"/>
    <s v="00440152218071"/>
    <s v="00440152218971"/>
    <n v="13910673247"/>
    <d v="2018-08-11T00:00:00"/>
    <s v="Yes"/>
    <s v="Yes"/>
    <x v="0"/>
    <s v="REGULAR TEST"/>
    <m/>
  </r>
  <r>
    <x v="4"/>
    <s v="BEJSRTL401"/>
    <s v="No"/>
    <x v="10"/>
    <s v="PCIe"/>
    <n v="2510456"/>
    <s v="439/R5/7"/>
    <x v="0"/>
    <x v="1"/>
    <x v="25"/>
    <x v="16"/>
    <x v="1"/>
    <s v="No"/>
    <s v="Yes"/>
    <s v="NA"/>
    <s v="bejsrtm011smini.bj.intel.com"/>
    <x v="428"/>
    <s v="E15F69EDD7E40A00FFFFFFFF"/>
    <s v="C7H7523007ZHXNKKB"/>
    <n v="13811080351"/>
    <s v="00440152218073"/>
    <s v="00440152218973"/>
    <n v="18911175584"/>
    <d v="2018-08-22T00:00:00"/>
    <s v="Yes"/>
    <s v="Yes"/>
    <x v="0"/>
    <s v="REGULAR TEST"/>
    <m/>
  </r>
  <r>
    <x v="4"/>
    <s v="BEJSRTL402"/>
    <s v="Yes"/>
    <x v="6"/>
    <s v="PCIe"/>
    <n v="2510422"/>
    <s v="439/R5/5"/>
    <x v="0"/>
    <x v="1"/>
    <x v="27"/>
    <x v="17"/>
    <x v="1"/>
    <s v="No"/>
    <s v="No"/>
    <s v="4x"/>
    <s v="bejsrtm011smini.bj.intel.com"/>
    <x v="429"/>
    <s v="E1DF2A93C3741000FFFFFFFF"/>
    <s v="C7H751300Y0HXNKK6"/>
    <n v="13810559861"/>
    <s v="00440152262122"/>
    <s v="00440152262324"/>
    <n v="13810593751"/>
    <d v="2018-08-11T00:00:00"/>
    <s v="Yes"/>
    <s v="Yes"/>
    <x v="0"/>
    <s v="REGULAR TEST"/>
    <m/>
  </r>
  <r>
    <x v="4"/>
    <s v="BEJSRTL404"/>
    <s v="Yes"/>
    <x v="10"/>
    <s v="PCIe"/>
    <n v="2250546"/>
    <s v="2F/R50/3"/>
    <x v="0"/>
    <x v="0"/>
    <x v="31"/>
    <x v="22"/>
    <x v="1"/>
    <s v="No"/>
    <s v="No"/>
    <s v="4x"/>
    <s v="bejsrtm014smini.bj.intel.com"/>
    <x v="430"/>
    <s v="E1DFDAB61D020400FFFFFFFF"/>
    <s v="C7H7513009PHXNKKJ"/>
    <n v="13810013243"/>
    <s v="00440152262143"/>
    <s v="00440152262345"/>
    <m/>
    <d v="2018-06-14T00:00:00"/>
    <s v="Yes"/>
    <s v="Yes"/>
    <x v="0"/>
    <s v="REGULAR TEST"/>
    <m/>
  </r>
  <r>
    <x v="4"/>
    <s v="BEJSRTL405"/>
    <s v="Yes"/>
    <x v="10"/>
    <s v="PCIe"/>
    <n v="2510548"/>
    <s v="439/R1/4"/>
    <x v="0"/>
    <x v="1"/>
    <x v="25"/>
    <x v="16"/>
    <x v="1"/>
    <s v="No"/>
    <s v="Yes"/>
    <s v="4x"/>
    <s v="bejsrtm011smini.bj.intel.com"/>
    <x v="431"/>
    <s v="E1DF4A87320B1000FFFFFFFF"/>
    <s v="C7H7513012QHXNKK3"/>
    <n v="13910643947"/>
    <s v="00440152262123"/>
    <s v="00440152262325"/>
    <n v="13331048802"/>
    <d v="2018-04-11T00:00:00"/>
    <s v="Yes"/>
    <s v="Yes"/>
    <x v="0"/>
    <s v="REGULAR TEST"/>
    <m/>
  </r>
  <r>
    <x v="4"/>
    <s v="BEJSRTL406"/>
    <s v="Yes"/>
    <x v="6"/>
    <s v="PCIe"/>
    <n v="2250559"/>
    <s v="459/R42/3"/>
    <x v="0"/>
    <x v="1"/>
    <x v="35"/>
    <x v="15"/>
    <x v="1"/>
    <s v="No"/>
    <s v="Yes"/>
    <s v="4x"/>
    <s v="bejsrtm002smini.bj.intel.com"/>
    <x v="432"/>
    <s v="E1DFEA002C320C00FFFFFFFF"/>
    <s v="C7H751300BEHXNKKM"/>
    <n v="18911034562"/>
    <s v="00440152218116"/>
    <s v="00440152219016"/>
    <n v="15510093952"/>
    <d v="2018-06-14T00:00:00"/>
    <s v="Yes"/>
    <s v="Yes"/>
    <x v="0"/>
    <s v="REGULAR TEST"/>
    <m/>
  </r>
  <r>
    <x v="4"/>
    <s v="BEJSRTL408"/>
    <s v="Yes"/>
    <x v="6"/>
    <s v="PCIe"/>
    <n v="2510615"/>
    <s v="439/R9/6"/>
    <x v="0"/>
    <x v="1"/>
    <x v="30"/>
    <x v="24"/>
    <x v="1"/>
    <s v="No"/>
    <s v="No"/>
    <s v="4x"/>
    <s v="7560utt241smini.bj.intel.com"/>
    <x v="433"/>
    <s v="E1DF3A13BB810700FFFFFFFF"/>
    <s v="C7H75130070HXNKKD  "/>
    <n v="18519359248"/>
    <s v="00440152262124"/>
    <s v="00440152262326"/>
    <n v="13811011003"/>
    <d v="2018-04-07T00:00:00"/>
    <s v="Yes"/>
    <s v="Yes"/>
    <x v="0"/>
    <s v="REGULAR TEST"/>
    <m/>
  </r>
  <r>
    <x v="4"/>
    <s v="BEJSRTL409"/>
    <s v="No"/>
    <x v="12"/>
    <s v="PCIe"/>
    <n v="2510686"/>
    <s v="439/R4/8"/>
    <x v="0"/>
    <x v="1"/>
    <x v="2"/>
    <x v="2"/>
    <x v="1"/>
    <s v="No"/>
    <s v="No"/>
    <s v="NA"/>
    <s v="7560utt241smini.bj.intel.com"/>
    <x v="434"/>
    <s v="E1DF2ACD6F551000FFFFFFFF"/>
    <s v="C7H7513009UHXNKKD"/>
    <m/>
    <s v="00440152218136"/>
    <s v="00440152219036"/>
    <m/>
    <d v="2018-08-22T00:00:00"/>
    <s v="Yes"/>
    <s v="Yes"/>
    <x v="0"/>
    <s v="REGULAR TEST"/>
    <m/>
  </r>
  <r>
    <x v="4"/>
    <s v="BEJSRTL420"/>
    <s v="Yes"/>
    <x v="10"/>
    <s v="PCIe"/>
    <n v="2983375"/>
    <s v="439/R1/2"/>
    <x v="0"/>
    <x v="1"/>
    <x v="25"/>
    <x v="16"/>
    <x v="1"/>
    <s v="No"/>
    <s v="Yes"/>
    <s v="4x"/>
    <s v="bejsrtm011smini.bj.intel.com"/>
    <x v="435"/>
    <s v="E1DFEA9E39270C00FFFFFFFF"/>
    <s v="C7H7513012PHXNKK4"/>
    <n v="13810145154"/>
    <s v="00440152219658"/>
    <s v="00440152264448"/>
    <n v="13331048803"/>
    <d v="2018-04-10T00:00:00"/>
    <s v="Yes"/>
    <s v="Yes"/>
    <x v="0"/>
    <s v="REGULAR TEST"/>
    <m/>
  </r>
  <r>
    <x v="4"/>
    <s v="BEJSRTL421"/>
    <s v="Yes"/>
    <x v="12"/>
    <s v="PCIe"/>
    <n v="3516370"/>
    <s v="439/R5/7"/>
    <x v="0"/>
    <x v="1"/>
    <x v="29"/>
    <x v="28"/>
    <x v="1"/>
    <s v="No"/>
    <s v="Yes"/>
    <s v="4x"/>
    <s v="bejsrtm002smini.bj.intel.com"/>
    <x v="436"/>
    <s v="E15F59B934FB0A00FFFFFFFF"/>
    <s v="C7H75230096HXNKKY"/>
    <n v="18911175841"/>
    <s v="00440152219499"/>
    <s v="00440152264289"/>
    <n v="13810068254"/>
    <m/>
    <s v="Yes"/>
    <s v="Yes"/>
    <x v="0"/>
    <s v="REGULAR TEST"/>
    <m/>
  </r>
  <r>
    <x v="4"/>
    <s v="BEJSRTL422"/>
    <s v="Yes"/>
    <x v="10"/>
    <s v="PCIe"/>
    <n v="3633215"/>
    <s v="439/R9/6"/>
    <x v="0"/>
    <x v="1"/>
    <x v="29"/>
    <x v="19"/>
    <x v="1"/>
    <s v="No"/>
    <s v="Yes"/>
    <s v="4x"/>
    <s v="bejsrtm009smini.bj.intel.com"/>
    <x v="437"/>
    <s v="E1DF4A5508950700FFFFFFFF"/>
    <s v="C7H751300B0HXNKK1"/>
    <n v="18910548489"/>
    <s v="00440152262079"/>
    <s v="00440152262281"/>
    <n v="13810252248"/>
    <d v="2018-04-26T00:00:00"/>
    <s v="Yes"/>
    <s v="Yes"/>
    <x v="0"/>
    <s v="REGULAR TEST"/>
    <m/>
  </r>
  <r>
    <x v="4"/>
    <s v="BEJSRTL423"/>
    <s v="Yes"/>
    <x v="10"/>
    <s v="PCIe"/>
    <n v="3516371"/>
    <s v="459/R40/1"/>
    <x v="0"/>
    <x v="1"/>
    <x v="32"/>
    <x v="21"/>
    <x v="1"/>
    <s v="No"/>
    <s v="No"/>
    <s v="4x"/>
    <s v="bejsrtm010smini.bj.intel.com"/>
    <x v="438"/>
    <s v="E1DFBAF2A4450F00FFFFFFFF"/>
    <s v="C7H7513012LHXNKK7"/>
    <n v="13810072841"/>
    <s v="00440152262125"/>
    <s v="00440152262327"/>
    <n v="18511891450"/>
    <m/>
    <s v="Yes"/>
    <s v="Yes"/>
    <x v="0"/>
    <s v="REGULAR TEST"/>
    <m/>
  </r>
  <r>
    <x v="4"/>
    <s v="BEJSRTL424"/>
    <s v="Yes"/>
    <x v="6"/>
    <s v="PCIe"/>
    <n v="3516359"/>
    <s v="459/R36/1"/>
    <x v="0"/>
    <x v="1"/>
    <x v="29"/>
    <x v="19"/>
    <x v="1"/>
    <s v="No"/>
    <s v="Yes"/>
    <s v="4x"/>
    <s v="7560utt236smini.bj.intel.com"/>
    <x v="439"/>
    <s v="E15FB926D1D80A00FFFFFFFF"/>
    <s v="C7H7513017MHXNKKR"/>
    <n v="18911175814"/>
    <s v="00400152217714"/>
    <s v="00440152218614"/>
    <n v="13810077934"/>
    <d v="2018-06-01T00:00:00"/>
    <s v="Yes"/>
    <s v="Yes"/>
    <x v="0"/>
    <s v="REGULAR TEST"/>
    <m/>
  </r>
  <r>
    <x v="4"/>
    <s v="BEJSRTL425"/>
    <s v="Yes"/>
    <x v="14"/>
    <s v="PCIe"/>
    <n v="3220222"/>
    <s v="2F/R43/7"/>
    <x v="0"/>
    <x v="0"/>
    <x v="31"/>
    <x v="0"/>
    <x v="1"/>
    <s v="No"/>
    <s v="No"/>
    <s v="4x"/>
    <s v="bejsrtm005smini.bj.intel.com"/>
    <x v="440"/>
    <s v="E1DFDAEE926A0300FFFFFFFF"/>
    <s v="C7H75130094HXNKK3"/>
    <n v="13911713141"/>
    <s v="00440152219516"/>
    <s v="00440152264306"/>
    <m/>
    <d v="2018-04-03T00:00:00"/>
    <s v="Yes"/>
    <s v="Yes"/>
    <x v="0"/>
    <s v="REGULAR TEST"/>
    <m/>
  </r>
  <r>
    <x v="4"/>
    <s v="BEJSRTL426"/>
    <s v="Yes"/>
    <x v="6"/>
    <s v="PCIe"/>
    <n v="3633247"/>
    <s v="2F/R45/7"/>
    <x v="0"/>
    <x v="1"/>
    <x v="38"/>
    <x v="29"/>
    <x v="1"/>
    <s v="No"/>
    <s v="Yes"/>
    <s v="4x"/>
    <s v="7560utt241smini.bj.intel.com"/>
    <x v="441"/>
    <s v="E15F695B19FA0A00FFFFFFFF"/>
    <s v="C7H75130190HXNKK6"/>
    <n v="18516976471"/>
    <s v="00440152219604"/>
    <s v="00440152264394"/>
    <n v="18910826413"/>
    <d v="2018-04-08T00:00:00"/>
    <s v="Yes"/>
    <s v="Yes"/>
    <x v="0"/>
    <s v="REGULAR TEST"/>
    <m/>
  </r>
  <r>
    <x v="4"/>
    <s v="BEJSRTL427"/>
    <s v="Yes"/>
    <x v="12"/>
    <s v="PCIe"/>
    <n v="3633152"/>
    <s v="439/R17/1"/>
    <x v="0"/>
    <x v="1"/>
    <x v="38"/>
    <x v="29"/>
    <x v="1"/>
    <s v="No"/>
    <s v="Yes"/>
    <s v="4x"/>
    <s v="bejsrtm002smini.bj.intel.com"/>
    <x v="442"/>
    <s v="E1DFCABE80530F00FFFFFFFF"/>
    <s v="C7H7513012NHXNKK5"/>
    <n v="13260033179"/>
    <s v="00440152262126"/>
    <s v="00440152262328"/>
    <n v="18911175564"/>
    <d v="2018-04-09T00:00:00"/>
    <s v="Yes"/>
    <s v="Yes"/>
    <x v="0"/>
    <s v="DEBUG TEST"/>
    <m/>
  </r>
  <r>
    <x v="4"/>
    <s v="BEJSRTL428"/>
    <s v="Yes"/>
    <x v="6"/>
    <s v="PCIe"/>
    <n v="3633224"/>
    <s v="439/R6/1"/>
    <x v="0"/>
    <x v="1"/>
    <x v="38"/>
    <x v="29"/>
    <x v="1"/>
    <s v="No"/>
    <s v="Yes"/>
    <s v="4x"/>
    <s v="bejsrtm002smini.bj.intel.com"/>
    <x v="443"/>
    <s v="E1DF3A2156531000FFFFFFFF"/>
    <s v="C7H751300ZZHXNKK4"/>
    <n v="18519264772"/>
    <s v="00440152219473"/>
    <s v="00440152264263"/>
    <n v="18911175634"/>
    <d v="2018-04-09T00:00:00"/>
    <s v="Yes"/>
    <s v="Yes"/>
    <x v="0"/>
    <s v="REGULAR TEST"/>
    <m/>
  </r>
  <r>
    <x v="4"/>
    <s v="BEJSRTL429"/>
    <s v="Yes"/>
    <x v="6"/>
    <s v="PCIe"/>
    <n v="3648251"/>
    <s v="439/R1/3"/>
    <x v="0"/>
    <x v="1"/>
    <x v="30"/>
    <x v="24"/>
    <x v="1"/>
    <s v="No"/>
    <s v="No"/>
    <s v="4x"/>
    <s v="7560utt236smini.bj.intel.com"/>
    <x v="444"/>
    <s v="E1DF2A4741CE0700FFFFFFFF"/>
    <s v="C7H7513008CHXNKKY"/>
    <n v="13141364077"/>
    <s v="00440152262127"/>
    <s v="00440152262329"/>
    <n v="13910617462"/>
    <d v="2018-03-20T00:00:00"/>
    <s v="Yes"/>
    <s v="Yes"/>
    <x v="0"/>
    <s v="REGULAR TEST"/>
    <m/>
  </r>
  <r>
    <x v="4"/>
    <s v="BEJSRTL430"/>
    <s v="Yes"/>
    <x v="6"/>
    <s v="PCIe"/>
    <n v="3648215"/>
    <s v="2F/R44/ 5"/>
    <x v="0"/>
    <x v="1"/>
    <x v="38"/>
    <x v="29"/>
    <x v="1"/>
    <s v="No"/>
    <s v="Yes"/>
    <s v="4x"/>
    <s v="bejsrtm002smini.bj.intel.com"/>
    <x v="445"/>
    <s v="E15FE94A0B0D0F00FFFFFFFF"/>
    <s v="C7H7523008LHXNKKM"/>
    <n v="13263416594"/>
    <s v="00440152262128"/>
    <s v="00440152262330"/>
    <n v="13331048805"/>
    <d v="2018-04-09T00:00:00"/>
    <s v="Yes"/>
    <s v="Yes"/>
    <x v="0"/>
    <s v="REGULAR TEST"/>
    <m/>
  </r>
  <r>
    <x v="4"/>
    <s v="BEJSRTL431"/>
    <s v="Yes"/>
    <x v="10"/>
    <s v="PCIe"/>
    <n v="3648232"/>
    <s v="2F/R44/ 2"/>
    <x v="0"/>
    <x v="0"/>
    <x v="26"/>
    <x v="13"/>
    <x v="1"/>
    <s v="No"/>
    <s v="Yes"/>
    <s v="4x"/>
    <s v="bejsrtm005smini.bj.intel.com"/>
    <x v="446"/>
    <s v="E15F393B53890A00FFFFFFFF"/>
    <s v="C7H7523009RHXNKKD"/>
    <n v="13331048806"/>
    <s v="00440152218147"/>
    <s v="00440152219047"/>
    <m/>
    <d v="2018-04-06T00:00:00"/>
    <s v="Yes"/>
    <s v="Yes"/>
    <x v="0"/>
    <s v="REGULAR TEST"/>
    <m/>
  </r>
  <r>
    <x v="4"/>
    <s v="BEJSRTL432"/>
    <s v="Yes"/>
    <x v="6"/>
    <s v="PCIe"/>
    <n v="3648384"/>
    <s v="439/R2/1"/>
    <x v="0"/>
    <x v="1"/>
    <x v="38"/>
    <x v="29"/>
    <x v="1"/>
    <s v="No"/>
    <s v="Yes"/>
    <s v="4x"/>
    <s v="bejsrtm001smini.bj.intel.com"/>
    <x v="447"/>
    <s v="E1DFAA40D4470C00FFFFFFFF"/>
    <s v="C7H751300ZXHXNKK6"/>
    <n v="18519784971"/>
    <s v="00440152262129"/>
    <s v="00440152262331"/>
    <n v="18911175554"/>
    <d v="2018-04-09T00:00:00"/>
    <s v="Yes"/>
    <s v="Yes"/>
    <x v="0"/>
    <s v="REGULAR TEST"/>
    <m/>
  </r>
  <r>
    <x v="4"/>
    <s v="BEJSRTL433"/>
    <s v="Yes"/>
    <x v="14"/>
    <s v="PCIe"/>
    <n v="3648408"/>
    <s v="2F/R43/6"/>
    <x v="0"/>
    <x v="0"/>
    <x v="31"/>
    <x v="0"/>
    <x v="1"/>
    <s v="No"/>
    <s v="No"/>
    <s v="4x"/>
    <s v="bejsrtm005smini.bj.intel.com"/>
    <x v="448"/>
    <s v="E15F1909980C0900FFFFFFFF"/>
    <s v="C7H75230086HXNKK1"/>
    <n v="13911453476"/>
    <s v="00440152218131"/>
    <s v="00440152219031"/>
    <m/>
    <d v="2018-04-03T00:00:00"/>
    <s v="Yes"/>
    <s v="Yes"/>
    <x v="0"/>
    <s v="REGULAR TEST"/>
    <m/>
  </r>
  <r>
    <x v="4"/>
    <s v="BEJSRTL434"/>
    <s v="Yes"/>
    <x v="10"/>
    <s v="PCIe"/>
    <n v="3648462"/>
    <s v="2F/R43/2"/>
    <x v="0"/>
    <x v="0"/>
    <x v="31"/>
    <x v="0"/>
    <x v="1"/>
    <s v="No"/>
    <s v="No"/>
    <s v="4x"/>
    <s v="bejsrtm005smini.bj.intel.com"/>
    <x v="449"/>
    <s v="E15FE9DC264B0F00FFFFFFFF"/>
    <s v="C7H752300A8HXNKKT"/>
    <n v="13911725844"/>
    <s v="00440152219470"/>
    <s v="00440152264260"/>
    <m/>
    <d v="2018-04-03T00:00:00"/>
    <s v="Yes"/>
    <s v="Yes"/>
    <x v="0"/>
    <s v="REGULAR TEST"/>
    <m/>
  </r>
  <r>
    <x v="4"/>
    <s v="BEJSRTL435"/>
    <s v="Yes"/>
    <x v="13"/>
    <s v="PCIe"/>
    <n v="3648240"/>
    <s v="459/R41/5"/>
    <x v="0"/>
    <x v="0"/>
    <x v="31"/>
    <x v="22"/>
    <x v="1"/>
    <s v="No"/>
    <s v="No"/>
    <s v="4x"/>
    <s v="7560utt275smini.bj.intel.com"/>
    <x v="450"/>
    <s v="E15FA9AE625B0800FFFFFFFF"/>
    <s v="C7H7513019FHXNKKR"/>
    <n v="13810736781"/>
    <s v="00440152262130"/>
    <s v="00440152262332"/>
    <m/>
    <d v="2018-03-28T00:00:00"/>
    <s v="Yes"/>
    <s v="Yes"/>
    <x v="0"/>
    <s v="DEBUG TEST"/>
    <m/>
  </r>
  <r>
    <x v="4"/>
    <s v="BEJSRTL436"/>
    <s v="Yes"/>
    <x v="10"/>
    <s v="PCIe"/>
    <n v="3648214"/>
    <s v="2F/R43/7"/>
    <x v="0"/>
    <x v="1"/>
    <x v="30"/>
    <x v="20"/>
    <x v="1"/>
    <s v="No"/>
    <s v="No"/>
    <s v="4x"/>
    <s v="bejsrtm002smini.bj.intel.com"/>
    <x v="451"/>
    <s v="E15F792BD88C0A00FFFFFFFF"/>
    <s v="C7H7523009PHXNKKF"/>
    <n v="13269732038"/>
    <s v="00440152262131"/>
    <s v="00440152262333"/>
    <n v="13810732503"/>
    <d v="2018-08-22T00:00:00"/>
    <s v="Yes"/>
    <s v="Yes"/>
    <x v="0"/>
    <s v="DEBUG TEST"/>
    <m/>
  </r>
  <r>
    <x v="4"/>
    <s v="BEJSRTL437"/>
    <s v="Yes"/>
    <x v="10"/>
    <s v="PCIe"/>
    <n v="3648303"/>
    <s v="2F/R46/1"/>
    <x v="0"/>
    <x v="1"/>
    <x v="27"/>
    <x v="17"/>
    <x v="1"/>
    <s v="No"/>
    <s v="No"/>
    <s v="4x"/>
    <s v="7560utt241smini.bj.intel.com"/>
    <x v="452"/>
    <s v="E1DF09A63A780800FFFFFFFF"/>
    <s v="C7H7523008EHXNKKT"/>
    <n v="13911725495"/>
    <s v="00440152219479"/>
    <s v="00440152264259"/>
    <n v="13810419537"/>
    <d v="2018-08-22T00:00:00"/>
    <s v="Yes"/>
    <s v="Yes"/>
    <x v="0"/>
    <s v="REGULAR TEST"/>
    <m/>
  </r>
  <r>
    <x v="4"/>
    <s v="BEJSRTL438"/>
    <s v="Yes"/>
    <x v="10"/>
    <s v="PCIe"/>
    <n v="3648404"/>
    <s v="2F/R46/2"/>
    <x v="0"/>
    <x v="1"/>
    <x v="27"/>
    <x v="17"/>
    <x v="1"/>
    <s v="No"/>
    <s v="No"/>
    <s v="4x"/>
    <s v="7560utt241smini.bj.intel.com"/>
    <x v="453"/>
    <s v="E15F496395810A00FFFFFFFF"/>
    <s v="C7H752300A2HXNKKZ"/>
    <n v="13910632574"/>
    <s v="00440152217934"/>
    <s v="00440152218834"/>
    <n v="13810909937"/>
    <d v="2018-08-22T00:00:00"/>
    <s v="Yes"/>
    <s v="Yes"/>
    <x v="0"/>
    <s v="REGULAR TEST"/>
    <m/>
  </r>
  <r>
    <x v="4"/>
    <s v="BEJSRTL439"/>
    <s v="Yes"/>
    <x v="6"/>
    <s v="PCIe"/>
    <n v="3648460"/>
    <s v="439/R4/1"/>
    <x v="0"/>
    <x v="1"/>
    <x v="38"/>
    <x v="29"/>
    <x v="1"/>
    <s v="No"/>
    <s v="Yes"/>
    <s v="4x"/>
    <s v="bejsrtm002smini.bj.intel.com"/>
    <x v="454"/>
    <s v="E15F7925F7D80A00FFFFFFFF"/>
    <s v="C7H751301ALHXNKKH"/>
    <n v="18518617394"/>
    <s v="00440152218089"/>
    <s v="00440152218989"/>
    <n v="18911175574"/>
    <d v="2018-04-09T00:00:00"/>
    <s v="Yes"/>
    <s v="Yes"/>
    <x v="0"/>
    <s v="REGULAR TEST"/>
    <m/>
  </r>
  <r>
    <x v="4"/>
    <s v="BEJSRTL440"/>
    <s v="Yes"/>
    <x v="6"/>
    <s v="PCIe"/>
    <n v="3648300"/>
    <s v="459/R42/4"/>
    <x v="0"/>
    <x v="0"/>
    <x v="31"/>
    <x v="22"/>
    <x v="1"/>
    <s v="No"/>
    <s v="No"/>
    <s v="4x"/>
    <s v="7560utt275smini.bj.intel.com"/>
    <x v="455"/>
    <s v="E15F29078D300800FFFFFFFF"/>
    <s v="C7H751301CMHXNKKA"/>
    <n v="13810601732"/>
    <s v="00440152262132"/>
    <s v="00440152262334"/>
    <m/>
    <d v="2018-03-28T00:00:00"/>
    <s v="Yes"/>
    <s v="Yes"/>
    <x v="0"/>
    <s v="REGULAR TEST"/>
    <m/>
  </r>
  <r>
    <x v="4"/>
    <s v="BEJSRTL441"/>
    <s v="Yes"/>
    <x v="6"/>
    <s v="PCIe"/>
    <n v="3648287"/>
    <s v="2F/R43/4"/>
    <x v="0"/>
    <x v="1"/>
    <x v="30"/>
    <x v="20"/>
    <x v="1"/>
    <s v="No"/>
    <s v="No"/>
    <s v="4x"/>
    <s v="bejsrtm011smini.bj.intel.com"/>
    <x v="456"/>
    <s v="E15F09E559730F00FFFFFFFF"/>
    <s v="C7H7523009MHXNKKH"/>
    <n v="18511274375"/>
    <s v="00440152262133"/>
    <s v="00440152262335"/>
    <n v="13810486051"/>
    <d v="2018-08-21T00:00:00"/>
    <s v="Yes"/>
    <s v="Yes"/>
    <x v="0"/>
    <s v="REGULAR TEST"/>
    <m/>
  </r>
  <r>
    <x v="4"/>
    <s v="BEJSRTL442"/>
    <s v="No"/>
    <x v="12"/>
    <s v="PCIe"/>
    <n v="3648477"/>
    <s v="2F/R45/6"/>
    <x v="0"/>
    <x v="1"/>
    <x v="2"/>
    <x v="2"/>
    <x v="1"/>
    <s v="No"/>
    <s v="No"/>
    <s v="NA"/>
    <s v="7560utt241smini.bj.intel.com"/>
    <x v="457"/>
    <s v="E15FB932F46D0800FFFFFFFF"/>
    <s v="C7H751301A9HXNKKU"/>
    <m/>
    <s v="00440152219608"/>
    <s v="00440152264398"/>
    <m/>
    <d v="2018-08-22T00:00:00"/>
    <s v="Yes"/>
    <s v="Yes"/>
    <x v="0"/>
    <s v="REGULAR TEST"/>
    <m/>
  </r>
  <r>
    <x v="4"/>
    <s v="BEJSRTL443"/>
    <s v="Yes"/>
    <x v="6"/>
    <s v="PCIe"/>
    <n v="3648350"/>
    <s v="2F/R45/4"/>
    <x v="0"/>
    <x v="1"/>
    <x v="35"/>
    <x v="15"/>
    <x v="1"/>
    <s v="No"/>
    <s v="Yes"/>
    <s v="4x"/>
    <s v="bejsrtm004smini.bj.intel.com"/>
    <x v="458"/>
    <s v="E15FA922A5570800FFFFFFFF"/>
    <s v="C7H751301BZHXNKK1"/>
    <n v="13331048823"/>
    <s v="00440152218192"/>
    <s v="00440152219092"/>
    <n v="18612327143"/>
    <d v="2018-04-12T00:00:00"/>
    <s v="Yes"/>
    <s v="Yes"/>
    <x v="0"/>
    <s v="REGULAR TEST"/>
    <m/>
  </r>
  <r>
    <x v="4"/>
    <s v="BEJSRTL444"/>
    <s v="No"/>
    <x v="12"/>
    <s v="PCIe"/>
    <n v="3648414"/>
    <s v="2F/R43/6"/>
    <x v="0"/>
    <x v="1"/>
    <x v="35"/>
    <x v="15"/>
    <x v="1"/>
    <s v="No"/>
    <s v="Yes"/>
    <s v="4x"/>
    <s v="bejsrtm002smini.bj.intel.com"/>
    <x v="459"/>
    <s v="E15F69F3778F0A00FFFFFFFF"/>
    <s v="C7H7523009ZHXNKK5"/>
    <n v="18911175594"/>
    <s v="00440152262135"/>
    <s v="00440152262337"/>
    <n v="18510546189"/>
    <d v="2018-04-10T00:00:00"/>
    <s v="Yes"/>
    <s v="Yes"/>
    <x v="0"/>
    <s v="REGULAR TEST"/>
    <m/>
  </r>
  <r>
    <x v="4"/>
    <s v="BEJSRTL445"/>
    <s v="No"/>
    <x v="2"/>
    <s v="PCIe"/>
    <n v="3648258"/>
    <s v="2F/R44/ 6"/>
    <x v="0"/>
    <x v="1"/>
    <x v="2"/>
    <x v="2"/>
    <x v="1"/>
    <s v="No"/>
    <s v="No"/>
    <s v="NA"/>
    <s v="bejsrtm008smini.bj.intel.com"/>
    <x v="460"/>
    <s v="E15FE93401CE0D00FFFFFFFF"/>
    <s v="C7H752300AGHXNKKK"/>
    <m/>
    <s v="00440152218097"/>
    <s v="00440152218997"/>
    <m/>
    <d v="2018-08-14T00:00:00"/>
    <s v="Yes"/>
    <s v="Yes"/>
    <x v="0"/>
    <s v="REGULAR TEST"/>
    <m/>
  </r>
  <r>
    <x v="4"/>
    <s v="BEJSRTL446"/>
    <s v="Yes"/>
    <x v="12"/>
    <s v="PCIe"/>
    <n v="3648246"/>
    <s v="439/R33/4"/>
    <x v="0"/>
    <x v="1"/>
    <x v="37"/>
    <x v="19"/>
    <x v="1"/>
    <s v="No"/>
    <s v="No"/>
    <s v="Yes"/>
    <s v="bejsrtm011smini.bj.intel.com"/>
    <x v="461"/>
    <s v="E1DFCAC692440300FFFFFFFF"/>
    <s v="C7H751300BYHXNKK3"/>
    <n v="18900670308"/>
    <s v="00440152262136"/>
    <s v="00440152262338"/>
    <n v="13800001330"/>
    <d v="2018-04-06T00:00:00"/>
    <s v="Yes"/>
    <s v="Yes"/>
    <x v="0"/>
    <s v="REGULAR TEST"/>
    <m/>
  </r>
  <r>
    <x v="4"/>
    <s v="BEJSRTL447"/>
    <s v="Yes"/>
    <x v="6"/>
    <s v="PCIe"/>
    <n v="3648326"/>
    <s v="2F/R43/3"/>
    <x v="0"/>
    <x v="1"/>
    <x v="32"/>
    <x v="9"/>
    <x v="1"/>
    <s v="No"/>
    <s v="No"/>
    <s v="4x"/>
    <s v="bejsrtm003smini.bj.intel.com"/>
    <x v="462"/>
    <s v="E15FE91A716F0F00FFFFFFFF"/>
    <s v="C7H752300A9HXNKKS"/>
    <n v="13810016594"/>
    <s v="00440152219498"/>
    <s v="00440152264288"/>
    <n v="18610808439"/>
    <d v="2018-08-11T00:00:00"/>
    <s v="Yes"/>
    <s v="Yes"/>
    <x v="0"/>
    <s v="REGULAR TEST"/>
    <m/>
  </r>
  <r>
    <x v="4"/>
    <s v="BEJSRTL448"/>
    <s v="Yes"/>
    <x v="12"/>
    <s v="PCIe"/>
    <n v="3648524"/>
    <s v="2F/R45/1"/>
    <x v="0"/>
    <x v="1"/>
    <x v="35"/>
    <x v="15"/>
    <x v="1"/>
    <s v="No"/>
    <s v="Yes"/>
    <s v="4x"/>
    <s v="7560utt127smini.bj.intel.com"/>
    <x v="463"/>
    <s v="E1DF09C0BC6F0E00FFFFFFFF"/>
    <s v="C7H75230089HXNKKY"/>
    <n v="17310163475"/>
    <s v="00440152219588"/>
    <s v="00440152264378"/>
    <n v="18511956143"/>
    <d v="2018-04-08T00:00:00"/>
    <s v="Yes"/>
    <s v="Yes"/>
    <x v="0"/>
    <s v="REGULAR TEST"/>
    <m/>
  </r>
  <r>
    <x v="4"/>
    <s v="BEJSRTL449"/>
    <s v="Yes"/>
    <x v="6"/>
    <s v="PCIe"/>
    <n v="3648409"/>
    <s v="459/R42/2"/>
    <x v="0"/>
    <x v="0"/>
    <x v="31"/>
    <x v="22"/>
    <x v="1"/>
    <s v="No"/>
    <s v="No"/>
    <s v="4x"/>
    <s v="7560utt275smini.bj.intel.com"/>
    <x v="464"/>
    <s v="E1DFAAF2150B0B00FFFFFFFF"/>
    <s v="C7H75130083HXNKK7"/>
    <n v="13810721920"/>
    <s v="00440152219803"/>
    <s v="00440152264593"/>
    <m/>
    <d v="2018-03-28T00:00:00"/>
    <s v="Yes"/>
    <s v="Yes"/>
    <x v="0"/>
    <s v="REGULAR TEST"/>
    <m/>
  </r>
  <r>
    <x v="4"/>
    <s v="BEJSRTL450"/>
    <s v="Yes"/>
    <x v="6"/>
    <s v="PCIe"/>
    <n v="3648510"/>
    <s v="2F/R43/5"/>
    <x v="0"/>
    <x v="1"/>
    <x v="32"/>
    <x v="9"/>
    <x v="1"/>
    <s v="No"/>
    <s v="No"/>
    <s v="4x"/>
    <s v="bejsrtm003smini.bj.intel.com"/>
    <x v="465"/>
    <s v="E15F595FAE5A0800FFFFFFFF"/>
    <s v="C7H752300A7HXNKKU"/>
    <n v="13810280448"/>
    <s v="00440152218081"/>
    <s v="00440152218981"/>
    <n v="13051110361"/>
    <d v="2018-08-11T00:00:00"/>
    <s v="Yes"/>
    <s v="Yes"/>
    <x v="0"/>
    <s v="REGULAR TEST"/>
    <m/>
  </r>
  <r>
    <x v="4"/>
    <s v="BEJSRTL451"/>
    <s v="Yes"/>
    <x v="10"/>
    <s v="PCIe"/>
    <n v="3648209"/>
    <s v="2F/R44/ 4"/>
    <x v="0"/>
    <x v="0"/>
    <x v="26"/>
    <x v="14"/>
    <x v="1"/>
    <s v="No"/>
    <s v="Yes"/>
    <s v="4x"/>
    <s v="bejsrtm005smini.bj.intel.com"/>
    <x v="466"/>
    <s v="E15F794978AD0A00FFFFFFFF"/>
    <s v="C7H752300AHHXNKKJ"/>
    <n v="13331048812"/>
    <s v="00440152219515"/>
    <s v="00440152264305"/>
    <m/>
    <d v="2018-06-01T00:00:00"/>
    <s v="Yes"/>
    <s v="Yes"/>
    <x v="0"/>
    <s v="REGULAR TEST"/>
    <m/>
  </r>
  <r>
    <x v="4"/>
    <s v="BEJSRTL452"/>
    <s v="Yes"/>
    <x v="12"/>
    <s v="PCIe"/>
    <n v="3648317"/>
    <s v="2F/R45/ 3 "/>
    <x v="0"/>
    <x v="1"/>
    <x v="27"/>
    <x v="17"/>
    <x v="1"/>
    <s v="No"/>
    <s v="No"/>
    <s v="4x"/>
    <s v="bejsrtm008smini.bj.intel.com"/>
    <x v="467"/>
    <s v="E15F6929861D0800FFFFFFFF"/>
    <s v="C7H7523008AHXNKKX"/>
    <n v="13810462637"/>
    <s v="00440152219510"/>
    <s v="00440152264300"/>
    <n v="13910407834"/>
    <d v="2018-08-16T00:00:00"/>
    <s v="Yes"/>
    <s v="Yes"/>
    <x v="0"/>
    <s v="REGULAR TEST"/>
    <m/>
  </r>
  <r>
    <x v="4"/>
    <s v="BEJSRTL453"/>
    <s v="Yes"/>
    <x v="10"/>
    <s v="PCIe"/>
    <n v="3648222"/>
    <s v="2F/R44/ 7"/>
    <x v="0"/>
    <x v="1"/>
    <x v="32"/>
    <x v="21"/>
    <x v="1"/>
    <s v="No"/>
    <s v="No"/>
    <s v="4x"/>
    <s v="7560utt276smini.bj.intel.com"/>
    <x v="468"/>
    <s v="E15F59E34F970A00FFFFFFFF"/>
    <s v="C7H752300A6HXNKKV"/>
    <n v="13810221452"/>
    <s v="00440152219649"/>
    <s v="00440152264439"/>
    <n v="15611594814"/>
    <d v="2018-04-09T00:00:00"/>
    <s v="Yes"/>
    <s v="Yes"/>
    <x v="0"/>
    <s v="REGULAR TEST"/>
    <m/>
  </r>
  <r>
    <x v="4"/>
    <s v="BEJSRTL454"/>
    <s v="Yes"/>
    <x v="6"/>
    <s v="PCIe"/>
    <n v="3648394"/>
    <s v="2F/R45/ 2"/>
    <x v="0"/>
    <x v="1"/>
    <x v="32"/>
    <x v="9"/>
    <x v="1"/>
    <s v="No"/>
    <s v="No"/>
    <s v="4x"/>
    <s v="bejsrtm010smini.bj.intel.com"/>
    <x v="469"/>
    <s v="E15F0971751A0F00FFFFFFFF"/>
    <s v="C7H7523008GHXNKKR"/>
    <n v="13810364043"/>
    <s v="00440152219496"/>
    <s v="00440152264286"/>
    <n v="18515697901"/>
    <d v="2018-08-11T00:00:00"/>
    <s v="Yes"/>
    <s v="Yes"/>
    <x v="0"/>
    <s v="REGULAR TEST"/>
    <m/>
  </r>
  <r>
    <x v="4"/>
    <s v="BEJSRTL455"/>
    <s v="Yes"/>
    <x v="6"/>
    <s v="PCIe"/>
    <n v="3648281"/>
    <s v="2F/R43/3"/>
    <x v="0"/>
    <x v="1"/>
    <x v="32"/>
    <x v="9"/>
    <x v="1"/>
    <s v="No"/>
    <s v="No"/>
    <s v="4x"/>
    <s v="bejsrtm003smini.bj.intel.com"/>
    <x v="470"/>
    <s v="E15F791FF6A80A00FFFFFFFF"/>
    <s v="C7H7523009YHXNKK6"/>
    <n v="13810280494"/>
    <s v="00440152219500"/>
    <s v="00440152264290"/>
    <n v="18612029422"/>
    <d v="2018-08-22T00:00:00"/>
    <s v="Yes"/>
    <s v="Yes"/>
    <x v="0"/>
    <s v="REGULAR TEST"/>
    <m/>
  </r>
  <r>
    <x v="4"/>
    <s v="BEJSRTL456"/>
    <s v="Yes"/>
    <x v="10"/>
    <s v="PCIe"/>
    <n v="3648422"/>
    <s v="2F/R43/2"/>
    <x v="0"/>
    <x v="0"/>
    <x v="26"/>
    <x v="14"/>
    <x v="1"/>
    <s v="No"/>
    <s v="Yes"/>
    <s v="4x"/>
    <s v="bejsrtm006smini.bj.intel.com"/>
    <x v="471"/>
    <s v="E15F79B3FD0E0800FFFFFFFF"/>
    <s v="C7H7523008DHXNKKU"/>
    <n v="13331048817"/>
    <s v="00440152219656"/>
    <s v="00440152264446"/>
    <m/>
    <d v="2018-04-06T00:00:00"/>
    <s v="Yes"/>
    <s v="Yes"/>
    <x v="0"/>
    <s v="REGULAR TEST"/>
    <m/>
  </r>
  <r>
    <x v="4"/>
    <s v="BEJSRTL457"/>
    <s v="No"/>
    <x v="12"/>
    <s v="PCIe"/>
    <n v="3648242"/>
    <s v="2F/R44/1"/>
    <x v="0"/>
    <x v="1"/>
    <x v="2"/>
    <x v="2"/>
    <x v="1"/>
    <s v="No"/>
    <s v="No"/>
    <s v="NA"/>
    <s v="bejsrtm002smini.bj.intel.com"/>
    <x v="472"/>
    <s v="E1DF090EDB080800FFFFFFFF"/>
    <s v="C7H7523009XHXNKK7"/>
    <m/>
    <s v="00440152218070"/>
    <s v="00440152218970"/>
    <m/>
    <d v="2018-08-22T00:00:00"/>
    <s v="Yes"/>
    <s v="Yes"/>
    <x v="0"/>
    <s v="REGULAR TEST"/>
    <m/>
  </r>
  <r>
    <x v="4"/>
    <s v="BEJSRTL458"/>
    <s v="Yes"/>
    <x v="6"/>
    <s v="PCIe"/>
    <n v="3648249"/>
    <s v="459/R39/4"/>
    <x v="0"/>
    <x v="0"/>
    <x v="26"/>
    <x v="14"/>
    <x v="1"/>
    <s v="No"/>
    <s v="Yes"/>
    <s v="4x"/>
    <s v="7560utt175smini.bj.intel.com"/>
    <x v="473"/>
    <s v="E15F497131290800FFFFFFFF"/>
    <s v="C7H752300AFHXNKKL"/>
    <n v="17310496476"/>
    <s v="00440152219492"/>
    <s v="00440152264282"/>
    <m/>
    <m/>
    <s v="Yes"/>
    <s v="Yes"/>
    <x v="0"/>
    <s v="REGULAR TEST"/>
    <m/>
  </r>
  <r>
    <x v="4"/>
    <s v="BEJSRTL459"/>
    <s v="Yes"/>
    <x v="6"/>
    <s v="PCIe"/>
    <n v="3648265"/>
    <s v="439/R14/3"/>
    <x v="0"/>
    <x v="0"/>
    <x v="31"/>
    <x v="22"/>
    <x v="1"/>
    <s v="No"/>
    <s v="No"/>
    <s v="4x"/>
    <s v="bejsrtm004smini.bj.intel.com"/>
    <x v="474"/>
    <s v="E15F882C2AC70D00FFFFFFFF"/>
    <s v="C7H749700FMHXNKK9"/>
    <n v="13810928530"/>
    <s v="00440152219607"/>
    <s v="00440152264397"/>
    <m/>
    <d v="2018-04-25T00:00:00"/>
    <s v="Yes"/>
    <s v="Yes"/>
    <x v="0"/>
    <s v="REGULAR TEST"/>
    <m/>
  </r>
  <r>
    <x v="4"/>
    <s v="BEJSRTL460"/>
    <s v="Yes"/>
    <x v="13"/>
    <s v="PCIe"/>
    <n v="3648211"/>
    <s v="2F/R47/3"/>
    <x v="0"/>
    <x v="0"/>
    <x v="31"/>
    <x v="22"/>
    <x v="1"/>
    <s v="No"/>
    <s v="No"/>
    <s v="4x"/>
    <s v="7560utt175smini.bj.intel.com"/>
    <x v="475"/>
    <s v="E15F79ED11900A00FFFFFFFF"/>
    <s v="C7H751301BCHXNKKN"/>
    <n v="13810772825"/>
    <s v="00440152262137"/>
    <s v="00440152262339"/>
    <m/>
    <d v="2018-04-10T00:00:00"/>
    <s v="Yes"/>
    <s v="Yes"/>
    <x v="0"/>
    <s v="REGULAR TEST"/>
    <m/>
  </r>
  <r>
    <x v="4"/>
    <s v="BEJSRTL461"/>
    <s v="Yes"/>
    <x v="12"/>
    <s v="PCIe"/>
    <n v="3648311"/>
    <s v="2F/R44/ 3"/>
    <x v="0"/>
    <x v="1"/>
    <x v="38"/>
    <x v="29"/>
    <x v="1"/>
    <s v="No"/>
    <s v="Yes"/>
    <s v="4x"/>
    <s v="bejsrtm002smini.bj.intel.com"/>
    <x v="476"/>
    <s v="E15F4941F4610800FFFFFFFF"/>
    <s v="C7H752300ACHXNKKP"/>
    <s v="18516808495"/>
    <s v="00440152262138"/>
    <s v="00440152262340"/>
    <n v="13331048820"/>
    <d v="2018-04-09T00:00:00"/>
    <s v="Yes"/>
    <s v="Yes"/>
    <x v="0"/>
    <s v="REGULAR TEST"/>
    <m/>
  </r>
  <r>
    <x v="4"/>
    <s v="BEJSRTL463"/>
    <s v="Yes"/>
    <x v="6"/>
    <s v="PCIe"/>
    <n v="3648330"/>
    <s v="2F/R45/5"/>
    <x v="0"/>
    <x v="1"/>
    <x v="38"/>
    <x v="29"/>
    <x v="1"/>
    <s v="No"/>
    <s v="Yes"/>
    <s v="4x"/>
    <s v="bejsrtm001smini.bj.intel.com"/>
    <x v="477"/>
    <s v="E1DF0914FA030800FFFFFFFF"/>
    <s v="C7H7513018VHXNKKE"/>
    <n v="18519712497"/>
    <s v="00440152262139"/>
    <s v="00440152262341"/>
    <n v="18911124296"/>
    <d v="2018-04-08T00:00:00"/>
    <s v="Yes"/>
    <s v="Yes"/>
    <x v="0"/>
    <s v="REGULAR TEST"/>
    <m/>
  </r>
  <r>
    <x v="4"/>
    <s v="BEJSRTL464"/>
    <s v="Yes"/>
    <x v="6"/>
    <s v="PCIe"/>
    <n v="3648548"/>
    <s v="2F/R43/1"/>
    <x v="0"/>
    <x v="1"/>
    <x v="30"/>
    <x v="20"/>
    <x v="1"/>
    <s v="No"/>
    <s v="No"/>
    <s v="4x"/>
    <s v="bejsrtm010smini.bj.intel.com"/>
    <x v="478"/>
    <s v="E15F79A3204D0800FFFFFFFF"/>
    <s v="C7H7523009LHXNKKJ"/>
    <n v="18614084369"/>
    <s v="00440152217711"/>
    <s v="00440152218611"/>
    <n v="13810016924"/>
    <d v="2018-08-11T00:00:00"/>
    <s v="Yes"/>
    <s v="Yes"/>
    <x v="0"/>
    <s v="REGULAR TEST"/>
    <m/>
  </r>
  <r>
    <x v="4"/>
    <s v="BEJSRTL467"/>
    <s v="Yes"/>
    <x v="10"/>
    <s v="PCIe"/>
    <n v="3648416"/>
    <s v="2F/R47/ 2"/>
    <x v="0"/>
    <x v="0"/>
    <x v="26"/>
    <x v="14"/>
    <x v="1"/>
    <s v="No"/>
    <s v="Yes"/>
    <s v="4x"/>
    <s v="bejsrtm006smini.bj.intel.com"/>
    <x v="479"/>
    <s v="E15FB9C44A9A0A00FFFFFFFF"/>
    <s v="C7H751301BMHXNKKD"/>
    <n v="18911034603"/>
    <s v="00440152219523"/>
    <s v="00440152264313"/>
    <m/>
    <d v="2018-04-11T00:00:00"/>
    <s v="Yes"/>
    <s v="Yes"/>
    <x v="0"/>
    <s v="REGULAR TEST"/>
    <m/>
  </r>
  <r>
    <x v="4"/>
    <s v="BEJSRTL468"/>
    <s v="Yes"/>
    <x v="5"/>
    <s v="PCIe"/>
    <n v="3648247"/>
    <s v="2F/R48/6"/>
    <x v="0"/>
    <x v="0"/>
    <x v="34"/>
    <x v="5"/>
    <x v="1"/>
    <s v="No"/>
    <s v="No"/>
    <s v="4x"/>
    <s v="bejsrtm010smini.bj.intel.com"/>
    <x v="480"/>
    <s v="E15F799181470800FFFFFFFF"/>
    <s v="C7H7523008SHXNKKF"/>
    <n v="18519747298"/>
    <s v="00440152262140"/>
    <s v="00440152262342"/>
    <m/>
    <d v="2018-08-22T00:00:00"/>
    <s v="Yes"/>
    <s v="Yes"/>
    <x v="0"/>
    <s v="REGULAR TEST"/>
    <m/>
  </r>
  <r>
    <x v="4"/>
    <s v="BEJSRTL469"/>
    <s v="Yes"/>
    <x v="10"/>
    <s v="PCIe"/>
    <n v="3648430"/>
    <s v="2F/R48/2"/>
    <x v="0"/>
    <x v="1"/>
    <x v="30"/>
    <x v="24"/>
    <x v="1"/>
    <s v="No"/>
    <s v="No"/>
    <s v="4x"/>
    <s v="bejsrtm010smini.bj.intel.com"/>
    <x v="481"/>
    <s v="E15F5911F03E0800FFFFFFFF"/>
    <s v="C7H752300A5HXNKKW"/>
    <n v="18618497590"/>
    <s v="00440152262141"/>
    <s v="00440152262343"/>
    <n v="13810798137"/>
    <d v="2018-04-10T00:00:00"/>
    <s v="Yes"/>
    <s v="Yes"/>
    <x v="0"/>
    <s v="REGULAR TEST"/>
    <m/>
  </r>
  <r>
    <x v="4"/>
    <s v="BEJSRTL470"/>
    <s v="Yes"/>
    <x v="5"/>
    <s v="PCIe"/>
    <n v="3648526"/>
    <s v="2F/R48/4"/>
    <x v="0"/>
    <x v="0"/>
    <x v="34"/>
    <x v="5"/>
    <x v="1"/>
    <s v="No"/>
    <s v="No"/>
    <s v="4x"/>
    <s v="bejsrtm010smini.bj.intel.com"/>
    <x v="482"/>
    <s v="E15F794315E00A00FFFFFFFF"/>
    <s v="C7H7523008PHXNKKJ"/>
    <n v="18519359542"/>
    <s v="00440152218143"/>
    <s v="00440152219043"/>
    <m/>
    <d v="2018-08-22T00:00:00"/>
    <s v="Yes"/>
    <s v="Yes"/>
    <x v="0"/>
    <s v="REGULAR TEST"/>
    <m/>
  </r>
  <r>
    <x v="4"/>
    <s v="BEJSRTL471"/>
    <s v="Yes"/>
    <x v="10"/>
    <s v="PCIe"/>
    <n v="3648514"/>
    <s v="2F/R48/1"/>
    <x v="0"/>
    <x v="1"/>
    <x v="27"/>
    <x v="17"/>
    <x v="1"/>
    <s v="No"/>
    <s v="No"/>
    <s v="4x"/>
    <s v="bejsrtm003smini.bj.intel.com"/>
    <x v="483"/>
    <s v="E15FA95676B20A00FFFFFFFF"/>
    <s v="C7H7513018PHXNKKL"/>
    <n v="13810480261"/>
    <s v="00440152280438"/>
    <s v="00440152262412"/>
    <n v="13910473448"/>
    <d v="2018-08-22T00:00:00"/>
    <s v="Yes"/>
    <s v="Yes"/>
    <x v="0"/>
    <s v="REGULAR TEST"/>
    <m/>
  </r>
  <r>
    <x v="4"/>
    <s v="BEJSRTL472"/>
    <s v="Yes"/>
    <x v="10"/>
    <s v="PCIe"/>
    <n v="3648484"/>
    <s v="2F/R48/7"/>
    <x v="0"/>
    <x v="0"/>
    <x v="26"/>
    <x v="14"/>
    <x v="1"/>
    <s v="No"/>
    <s v="Yes"/>
    <s v="4x"/>
    <s v="bejsrtm006smini.bj.intel.com"/>
    <x v="484"/>
    <s v="E15FE9A090680F00FFFFFFFF"/>
    <s v="C7H7523009CHXNKKS"/>
    <n v="13331048821"/>
    <s v="00440152219526"/>
    <s v="00440152264316"/>
    <m/>
    <d v="2018-04-12T00:00:00"/>
    <s v="Yes"/>
    <s v="Yes"/>
    <x v="0"/>
    <s v="REGULAR TEST"/>
    <m/>
  </r>
  <r>
    <x v="4"/>
    <s v="BEJSRTL473"/>
    <s v="Yes"/>
    <x v="10"/>
    <s v="PCIe"/>
    <n v="3648356"/>
    <s v="2F/R48/3"/>
    <x v="0"/>
    <x v="1"/>
    <x v="30"/>
    <x v="24"/>
    <x v="1"/>
    <s v="No"/>
    <s v="No"/>
    <s v="4x"/>
    <s v="bejsrtm010smini.bj.intel.com"/>
    <x v="485"/>
    <s v="E1DF4984E2D80A00FFFFFFFF"/>
    <s v="C7H7513019BHXNKKV"/>
    <n v="18515814057"/>
    <s v="00440152219518"/>
    <s v="00440152264308"/>
    <n v="13810018254"/>
    <d v="2018-04-10T00:00:00"/>
    <s v="Yes"/>
    <s v="Yes"/>
    <x v="0"/>
    <s v="REGULAR TEST"/>
    <m/>
  </r>
  <r>
    <x v="4"/>
    <s v="BEJSRTL474"/>
    <s v="Yes"/>
    <x v="10"/>
    <s v="PCIe"/>
    <n v="3648314"/>
    <s v="2F/R46/7"/>
    <x v="0"/>
    <x v="1"/>
    <x v="27"/>
    <x v="17"/>
    <x v="1"/>
    <s v="No"/>
    <s v="No"/>
    <s v="4x"/>
    <s v="bejsrtm003smini.bj.intel.com"/>
    <x v="486"/>
    <s v="E15F1997936D0F00FFFFFFFF"/>
    <s v="C7H752300A0HXNKK1"/>
    <n v="13810305494"/>
    <s v="00440152219601"/>
    <s v="00440152264391"/>
    <n v="13810291057"/>
    <d v="2018-08-22T00:00:00"/>
    <s v="Yes"/>
    <s v="Yes"/>
    <x v="0"/>
    <s v="REGULAR TEST"/>
    <m/>
  </r>
  <r>
    <x v="4"/>
    <s v="BEJSRTL475"/>
    <s v="Yes"/>
    <x v="10"/>
    <s v="PCIe"/>
    <n v="3648377"/>
    <s v="2F/R47/1"/>
    <x v="0"/>
    <x v="1"/>
    <x v="27"/>
    <x v="17"/>
    <x v="1"/>
    <s v="No"/>
    <s v="No"/>
    <s v="4x"/>
    <s v="7560utt276smini.bj.intel.com"/>
    <x v="487"/>
    <s v="E15F690B264D0800FFFFFFFF"/>
    <s v="C7H7523009DHXNKKR"/>
    <n v="13810780267"/>
    <s v="00440152219509"/>
    <s v="00440152264299"/>
    <n v="13810420761"/>
    <d v="2018-08-16T00:00:00"/>
    <s v="Yes"/>
    <s v="Yes"/>
    <x v="0"/>
    <s v="REGULAR TEST"/>
    <m/>
  </r>
  <r>
    <x v="4"/>
    <s v="BEJSRTL476"/>
    <s v="Yes"/>
    <x v="10"/>
    <s v="PCIe"/>
    <n v="3648337"/>
    <s v="2F/R46/4"/>
    <x v="0"/>
    <x v="1"/>
    <x v="27"/>
    <x v="17"/>
    <x v="1"/>
    <s v="No"/>
    <s v="No"/>
    <s v="4x"/>
    <s v="bejsrtm003smini.bj.intel.com"/>
    <x v="488"/>
    <s v="E15F69E7659E0F00FFFFFFFF"/>
    <s v="C7H7523009GHXNKKN"/>
    <n v="13810395872"/>
    <s v="00440152217937"/>
    <s v="00440152218837"/>
    <n v="13810271654"/>
    <d v="2018-08-22T00:00:00"/>
    <s v="Yes"/>
    <s v="Yes"/>
    <x v="0"/>
    <s v="REGULAR TEST"/>
    <m/>
  </r>
  <r>
    <x v="4"/>
    <s v="BEJSRTL477"/>
    <s v="Yes"/>
    <x v="10"/>
    <s v="PCIe"/>
    <n v="3648235"/>
    <s v="2F/R48/5"/>
    <x v="0"/>
    <x v="1"/>
    <x v="30"/>
    <x v="24"/>
    <x v="1"/>
    <s v="No"/>
    <s v="No"/>
    <s v="4x"/>
    <s v="7560utt276smini.bj.intel.com"/>
    <x v="489"/>
    <s v="E15F499D56370800FFFFFFFF"/>
    <s v="C7H75230097HXNKKX"/>
    <n v="18510014772"/>
    <s v="00440152219472"/>
    <s v="00440152264262"/>
    <n v="13910780247"/>
    <d v="2018-04-10T00:00:00"/>
    <s v="Yes"/>
    <s v="Yes"/>
    <x v="0"/>
    <s v="REGULAR TEST"/>
    <m/>
  </r>
  <r>
    <x v="4"/>
    <s v="BEJSRTL478"/>
    <s v="Yes"/>
    <x v="6"/>
    <s v="PCIe"/>
    <n v="3648221"/>
    <s v="439/R12/5"/>
    <x v="0"/>
    <x v="0"/>
    <x v="31"/>
    <x v="6"/>
    <x v="1"/>
    <s v="No"/>
    <s v="No"/>
    <s v="4x"/>
    <s v="7560utt009smini.bj.intel.com"/>
    <x v="490"/>
    <s v="E1DFAA3A4E360B00FFFFFFFF"/>
    <s v="C7H75130099HXNKKY"/>
    <n v="13810421702"/>
    <s v="00440152217919"/>
    <s v="00440152218819"/>
    <m/>
    <d v="2018-05-08T00:00:00"/>
    <s v="Yes"/>
    <s v="Yes"/>
    <x v="0"/>
    <s v="REGULAR TEST"/>
    <m/>
  </r>
  <r>
    <x v="4"/>
    <s v="BEJSRTL479"/>
    <s v="Yes"/>
    <x v="10"/>
    <s v="PCIe"/>
    <n v="3648348"/>
    <s v="2F/R46/6"/>
    <x v="0"/>
    <x v="1"/>
    <x v="27"/>
    <x v="17"/>
    <x v="1"/>
    <s v="No"/>
    <s v="No"/>
    <s v="4x"/>
    <s v="bejsrtm003smini.bj.intel.com"/>
    <x v="491"/>
    <s v="E1DF098CEDF60A00FFFFFFFF"/>
    <s v="C7H7523008FHXNKKS"/>
    <n v="13810021364"/>
    <s v="00440152219618"/>
    <s v="00440152264408"/>
    <n v="13810017049"/>
    <d v="2018-08-22T00:00:00"/>
    <s v="Yes"/>
    <s v="Yes"/>
    <x v="0"/>
    <s v="REGULAR TEST"/>
    <m/>
  </r>
  <r>
    <x v="4"/>
    <s v="BEJSRTL480"/>
    <s v="Yes"/>
    <x v="6"/>
    <s v="PCIe"/>
    <n v="3648406"/>
    <s v="2F/R46/3"/>
    <x v="0"/>
    <x v="1"/>
    <x v="27"/>
    <x v="17"/>
    <x v="1"/>
    <s v="No"/>
    <s v="No"/>
    <s v="4x"/>
    <s v="bejsrtm004smini.bj.intel.com"/>
    <x v="492"/>
    <s v="E1DF29F04A090800FFFFFFFF"/>
    <s v="C7H751301BPHXNKKB"/>
    <n v="13811090657"/>
    <s v="00440152219491"/>
    <s v="00440152264281"/>
    <n v="13810363424"/>
    <d v="2018-04-12T00:00:00"/>
    <s v="Yes"/>
    <s v="Yes"/>
    <x v="0"/>
    <s v="REGULAR TEST"/>
    <m/>
  </r>
  <r>
    <x v="4"/>
    <s v="BEJSRTL481"/>
    <s v="Yes"/>
    <x v="10"/>
    <s v="PCIe"/>
    <n v="3648418"/>
    <s v="2F/R47/2"/>
    <x v="0"/>
    <x v="0"/>
    <x v="31"/>
    <x v="0"/>
    <x v="1"/>
    <s v="No"/>
    <s v="No"/>
    <s v="4x"/>
    <s v="bejsrtm006smini.bj.intel.com"/>
    <x v="493"/>
    <s v="E1DF1928D9E80A00FFFFFFFF"/>
    <s v="C7H751301BQHXNKKA"/>
    <n v="13811090127"/>
    <s v="00440152280442"/>
    <s v="00440152262414"/>
    <m/>
    <d v="2018-04-12T00:00:00"/>
    <s v="Yes"/>
    <s v="Yes"/>
    <x v="0"/>
    <s v="REGULAR TEST"/>
    <m/>
  </r>
  <r>
    <x v="4"/>
    <s v="BEJSRTL482"/>
    <s v="Yes"/>
    <x v="10"/>
    <s v="PCIe"/>
    <n v="3633322"/>
    <s v="2F/R47/1"/>
    <x v="0"/>
    <x v="1"/>
    <x v="27"/>
    <x v="17"/>
    <x v="1"/>
    <s v="No"/>
    <s v="No"/>
    <s v="4x"/>
    <s v="bejsrtm008smini.bj.intel.com"/>
    <x v="494"/>
    <s v="E1DF29CCB7C80A00FFFFFFFF"/>
    <s v="C7H7513018QHXNKKK"/>
    <n v="13810268994"/>
    <s v="00440152262142"/>
    <s v="00440152262344"/>
    <n v="13810331242"/>
    <d v="2018-08-16T00:00:00"/>
    <s v="Yes"/>
    <s v="Yes"/>
    <x v="0"/>
    <s v="REGULAR TEST"/>
    <m/>
  </r>
  <r>
    <x v="4"/>
    <s v="BEJSRTL483"/>
    <s v="Yes"/>
    <x v="12"/>
    <s v="PCIe"/>
    <n v="3648420"/>
    <s v="2F/R48/6"/>
    <x v="0"/>
    <x v="1"/>
    <x v="29"/>
    <x v="26"/>
    <x v="1"/>
    <s v="No"/>
    <s v="Yes"/>
    <s v="4x"/>
    <s v="bejsrtm004smini.bj.intel.com"/>
    <x v="495"/>
    <s v="E15F4917B2620500FFFFFFFF"/>
    <s v="C7H75130198HXNKKY"/>
    <n v="15321689937"/>
    <s v="00440152219591"/>
    <s v="00440152264381"/>
    <n v="13810284274"/>
    <d v="2018-04-12T00:00:00"/>
    <s v="Yes"/>
    <s v="Yes"/>
    <x v="0"/>
    <s v="REGULAR TEST"/>
    <m/>
  </r>
  <r>
    <x v="4"/>
    <s v="BEJSRTL484"/>
    <s v="Yes"/>
    <x v="6"/>
    <s v="PCIe"/>
    <n v="3648262"/>
    <s v="2F/R46/3"/>
    <x v="0"/>
    <x v="1"/>
    <x v="32"/>
    <x v="9"/>
    <x v="1"/>
    <s v="No"/>
    <s v="No"/>
    <s v="4x"/>
    <s v="bejsrtm003smini.bj.intel.com"/>
    <x v="496"/>
    <s v="E1DF19C07CB20A00FFFFFFFF"/>
    <s v="C7H7513019CHXNKKU"/>
    <n v="13810154043"/>
    <s v="00440152219507"/>
    <s v="00440152264297"/>
    <n v="13264379164"/>
    <d v="2018-08-11T00:00:00"/>
    <s v="Yes"/>
    <s v="Yes"/>
    <x v="0"/>
    <s v="REGULAR TEST"/>
    <m/>
  </r>
  <r>
    <x v="4"/>
    <s v="BEJSRTL485"/>
    <s v="Yes"/>
    <x v="10"/>
    <s v="PCIe"/>
    <n v="3648381"/>
    <s v="2F/R47/6"/>
    <x v="0"/>
    <x v="1"/>
    <x v="25"/>
    <x v="16"/>
    <x v="9"/>
    <s v="No"/>
    <s v="Yes"/>
    <s v="4x"/>
    <s v="7560utt009smini.bj.intel.com"/>
    <x v="497"/>
    <s v="E28F69B9AAA80500FFFFFFFF"/>
    <s v="C7H809500BRHXNKXJ"/>
    <n v="13810715135"/>
    <s v="00440152219592"/>
    <s v="00440152264382"/>
    <n v="17310253945"/>
    <d v="2018-04-19T00:00:00"/>
    <s v="Yes"/>
    <s v="Yes"/>
    <x v="0"/>
    <s v="REGULAR TEST"/>
    <m/>
  </r>
  <r>
    <x v="4"/>
    <s v="BEJSRTL486"/>
    <s v="Yes"/>
    <x v="10"/>
    <s v="PCIe"/>
    <n v="3648531"/>
    <s v="2F/R47/6"/>
    <x v="0"/>
    <x v="0"/>
    <x v="31"/>
    <x v="0"/>
    <x v="9"/>
    <s v="No"/>
    <s v="No"/>
    <s v="4x"/>
    <s v="7560utt009smini.bj.intel.com"/>
    <x v="498"/>
    <s v="E28F6983543C1200FFFFFFFF"/>
    <s v="C7H809500FVHXNKX2"/>
    <n v="13810771775"/>
    <s v="00440152219606"/>
    <s v="00440152264396"/>
    <m/>
    <d v="2018-04-19T00:00:00"/>
    <s v="Yes"/>
    <s v="Yes"/>
    <x v="0"/>
    <s v="REGULAR TEST"/>
    <m/>
  </r>
  <r>
    <x v="4"/>
    <s v="BEJSRTL487"/>
    <s v="No"/>
    <x v="2"/>
    <s v="PCIe"/>
    <n v="3633170"/>
    <s v="2F/R47/5"/>
    <x v="0"/>
    <x v="1"/>
    <x v="2"/>
    <x v="2"/>
    <x v="9"/>
    <s v="No"/>
    <s v="No"/>
    <s v="NA"/>
    <s v="7560utt014smini.bj.intel.com"/>
    <x v="499"/>
    <s v="E1DF5A4BB7D20500FFFFFFFF"/>
    <s v="C7H75130093HXNKK4"/>
    <m/>
    <s v="00440152280444"/>
    <s v="00440152262416"/>
    <m/>
    <d v="2018-08-14T00:00:00"/>
    <s v="Yes"/>
    <s v="Yes"/>
    <x v="0"/>
    <s v="REGULAR TEST"/>
    <m/>
  </r>
  <r>
    <x v="4"/>
    <s v="BEJSRTL489"/>
    <s v="Yes"/>
    <x v="10"/>
    <s v="PCIe"/>
    <n v="3633318"/>
    <s v="2F/R47/5"/>
    <x v="0"/>
    <x v="1"/>
    <x v="30"/>
    <x v="24"/>
    <x v="9"/>
    <s v="No"/>
    <s v="No"/>
    <s v="4x"/>
    <s v="7560utt009smini.bj.intel.com"/>
    <x v="500"/>
    <s v="E28F59DDA1820300FFFFFFFF"/>
    <s v="C7H809500CXHXNKX9"/>
    <n v="13041046044"/>
    <s v="00440152218143"/>
    <s v="00440152219043"/>
    <n v="13810776903"/>
    <d v="2018-04-19T00:00:00"/>
    <s v="Yes"/>
    <s v="Yes"/>
    <x v="0"/>
    <s v="REGULAR TEST"/>
    <m/>
  </r>
  <r>
    <x v="4"/>
    <s v="BEJSRTL491"/>
    <s v="Yes"/>
    <x v="6"/>
    <s v="PCIe"/>
    <n v="3648541"/>
    <s v="2F/R49/1"/>
    <x v="0"/>
    <x v="0"/>
    <x v="31"/>
    <x v="22"/>
    <x v="1"/>
    <s v="No"/>
    <s v="No"/>
    <s v="4x"/>
    <s v="7560utt009smini.bj.intel.com"/>
    <x v="501"/>
    <s v="E15F29B5F3460300FFFFFFFF"/>
    <s v="C7H752300CHHXNKKC"/>
    <n v="13911712455"/>
    <s v="00440152219526"/>
    <s v="00440152264316"/>
    <m/>
    <d v="2018-05-03T00:00:00"/>
    <s v="Yes"/>
    <s v="Yes"/>
    <x v="0"/>
    <s v="REGULAR TEST"/>
    <m/>
  </r>
  <r>
    <x v="4"/>
    <s v="BEJSRTL492"/>
    <s v="Yes"/>
    <x v="6"/>
    <s v="PCIe"/>
    <n v="3648398"/>
    <s v="2F/R49/1"/>
    <x v="0"/>
    <x v="0"/>
    <x v="31"/>
    <x v="22"/>
    <x v="1"/>
    <s v="No"/>
    <s v="No"/>
    <s v="4x"/>
    <s v="7560utt009smini.bj.intel.com"/>
    <x v="502"/>
    <s v="E15F296BFC250500FFFFFFFF"/>
    <s v="C7H752300DKHXNKK7"/>
    <n v="13810114527"/>
    <s v="00440152219518"/>
    <s v="00440152264308"/>
    <m/>
    <d v="2018-05-03T00:00:00"/>
    <s v="Yes"/>
    <s v="Yes"/>
    <x v="0"/>
    <s v="REGULAR TEST"/>
    <m/>
  </r>
  <r>
    <x v="4"/>
    <s v="BEJSRTL493"/>
    <s v="Yes"/>
    <x v="6"/>
    <s v="PCIe"/>
    <n v="3633159"/>
    <s v="2F/R49/2"/>
    <x v="0"/>
    <x v="0"/>
    <x v="31"/>
    <x v="6"/>
    <x v="1"/>
    <s v="No"/>
    <s v="No"/>
    <s v="4x"/>
    <s v="7560utt009smini.bj.intel.com"/>
    <x v="503"/>
    <s v="E15FF960EE0F0800FFFFFFFF"/>
    <s v="C7H752300DUHXNKKY"/>
    <n v="13810114265"/>
    <s v="00440152219601"/>
    <s v="00440152264391"/>
    <m/>
    <d v="2018-05-03T00:00:00"/>
    <s v="Yes"/>
    <s v="Yes"/>
    <x v="0"/>
    <s v="REGULAR TEST"/>
    <m/>
  </r>
  <r>
    <x v="4"/>
    <s v="BEJSRTL494"/>
    <s v="Yes"/>
    <x v="6"/>
    <s v="PCIe"/>
    <n v="3648453"/>
    <s v="2F/R49/2"/>
    <x v="0"/>
    <x v="0"/>
    <x v="31"/>
    <x v="6"/>
    <x v="1"/>
    <s v="No"/>
    <s v="No"/>
    <s v="4x"/>
    <s v="7560utt009smini.bj.intel.com"/>
    <x v="504"/>
    <s v="E15FD924B49E0A00FFFFFFFF"/>
    <s v="C7H752300APHXNKKC"/>
    <n v="13811683073"/>
    <s v="00440152219509"/>
    <s v="00440152264299"/>
    <m/>
    <d v="2018-05-03T00:00:00"/>
    <s v="Yes"/>
    <s v="Yes"/>
    <x v="0"/>
    <s v="REGULAR TEST"/>
    <m/>
  </r>
  <r>
    <x v="4"/>
    <s v="BEJSRTL495"/>
    <s v="Yes"/>
    <x v="12"/>
    <s v="PCIe"/>
    <n v="3633253"/>
    <s v="2F/R49/3"/>
    <x v="0"/>
    <x v="1"/>
    <x v="27"/>
    <x v="18"/>
    <x v="1"/>
    <s v="No"/>
    <s v="No"/>
    <s v="4x"/>
    <s v="7560utt009smini.bj.intel.com"/>
    <x v="505"/>
    <s v="E15F98848F5B0900FFFFFFFF"/>
    <s v="C7H749700B8HXNKK0"/>
    <n v="13811689013"/>
    <s v="00440152217937"/>
    <s v="00440152218837"/>
    <n v="13811603792"/>
    <d v="2018-08-22T00:00:00"/>
    <s v="Yes"/>
    <s v="Yes"/>
    <x v="0"/>
    <s v="REGULAR TEST"/>
    <m/>
  </r>
  <r>
    <x v="4"/>
    <s v="BEJSRTL496"/>
    <s v="Yes"/>
    <x v="6"/>
    <s v="PCIe"/>
    <n v="3633197"/>
    <s v="2F/R49/3"/>
    <x v="0"/>
    <x v="1"/>
    <x v="30"/>
    <x v="24"/>
    <x v="1"/>
    <s v="No"/>
    <s v="No"/>
    <s v="4x"/>
    <s v="7560utt009smini.bj.intel.com"/>
    <x v="506"/>
    <s v="E15FB8A4F6290B00FFFFFFFF"/>
    <s v="C7H749700BGHXNKKS"/>
    <n v="18511273048"/>
    <s v="00440152219472"/>
    <s v="00440152264262"/>
    <n v="13811517285"/>
    <d v="2018-08-22T00:00:00"/>
    <s v="Yes"/>
    <s v="Yes"/>
    <x v="0"/>
    <s v="REGULAR TEST"/>
    <m/>
  </r>
  <r>
    <x v="4"/>
    <s v="BEJSRTL497"/>
    <s v="Yes"/>
    <x v="10"/>
    <s v="PCIe"/>
    <n v="3633189"/>
    <s v="2F/R49/4"/>
    <x v="0"/>
    <x v="0"/>
    <x v="31"/>
    <x v="0"/>
    <x v="9"/>
    <s v="No"/>
    <s v="No"/>
    <s v="4x"/>
    <s v="7560utt009smini.bj.intel.com"/>
    <x v="507"/>
    <s v="E20F0A9837350700FFFFFFFF"/>
    <s v="C7H8103001THXNKX6"/>
    <n v="13811686732"/>
    <s v="00440152219620"/>
    <s v="00440152264410"/>
    <m/>
    <d v="2018-05-03T00:00:00"/>
    <s v="Yes"/>
    <s v="Yes"/>
    <x v="0"/>
    <s v="REGULAR TEST"/>
    <m/>
  </r>
  <r>
    <x v="4"/>
    <s v="BEJSRTL498"/>
    <s v="Yes"/>
    <x v="10"/>
    <s v="PCIe"/>
    <n v="3299689"/>
    <s v="2F/R49/4"/>
    <x v="0"/>
    <x v="0"/>
    <x v="31"/>
    <x v="0"/>
    <x v="9"/>
    <s v="No"/>
    <s v="No"/>
    <s v="4x"/>
    <s v="7560utt009smini.bj.intel.com"/>
    <x v="508"/>
    <s v="E28F69B35A641300FFFFFFFF"/>
    <s v="C7H8103001PHXNKXA"/>
    <n v="13811685301"/>
    <s v="00440152219618"/>
    <s v="00440152264408"/>
    <m/>
    <d v="2018-05-17T00:00:00"/>
    <s v="Yes"/>
    <s v="Yes"/>
    <x v="0"/>
    <s v="REGULAR TEST"/>
    <m/>
  </r>
  <r>
    <x v="4"/>
    <s v="BEJSRTL499"/>
    <s v="Yes"/>
    <x v="10"/>
    <s v="PCIe"/>
    <n v="3316729"/>
    <s v="2F/R49/5"/>
    <x v="0"/>
    <x v="1"/>
    <x v="32"/>
    <x v="21"/>
    <x v="9"/>
    <s v="No"/>
    <s v="No"/>
    <s v="4x"/>
    <s v="7560utt009smini.bj.intel.com"/>
    <x v="509"/>
    <s v="E28F69E380091300FFFFFFFF"/>
    <s v="C7H81030027HXNKXP"/>
    <n v="13810500951"/>
    <s v="00440152219491"/>
    <s v="00440152264281"/>
    <n v="18511270837"/>
    <d v="2018-05-17T00:00:00"/>
    <s v="Yes"/>
    <s v="Yes"/>
    <x v="0"/>
    <s v="REGULAR TEST"/>
    <m/>
  </r>
  <r>
    <x v="4"/>
    <s v="BEJSRTL500"/>
    <s v="Yes"/>
    <x v="10"/>
    <s v="PCIe"/>
    <n v="3633182"/>
    <s v="2F/R49/5"/>
    <x v="0"/>
    <x v="0"/>
    <x v="26"/>
    <x v="14"/>
    <x v="9"/>
    <s v="No"/>
    <s v="Yes"/>
    <s v="4x"/>
    <s v="7560utt009smini.bj.intel.com"/>
    <x v="510"/>
    <s v="E28F69E958AB0000FFFFFFFF"/>
    <s v="C7H8103002EHXNKXG"/>
    <n v="15321682041"/>
    <s v="00440152264283"/>
    <s v="00440152219493"/>
    <m/>
    <d v="2018-05-03T00:00:00"/>
    <s v="Yes"/>
    <s v="Yes"/>
    <x v="0"/>
    <s v="REGULAR TEST"/>
    <m/>
  </r>
  <r>
    <x v="4"/>
    <s v="BEJSRTL501"/>
    <s v="Yes"/>
    <x v="6"/>
    <s v="PCIe"/>
    <n v="3633270"/>
    <s v="439/R12/3"/>
    <x v="0"/>
    <x v="1"/>
    <x v="25"/>
    <x v="16"/>
    <x v="1"/>
    <s v="Yes"/>
    <s v="Yes"/>
    <s v="4x"/>
    <n v="4"/>
    <x v="13"/>
    <s v="E15FC8DC9AB40A00FFFFFFFF"/>
    <s v="C7H749700FPHXNKK7"/>
    <n v="13811620335"/>
    <s v="00440152280442"/>
    <s v="00440152262414"/>
    <n v="18101234834"/>
    <d v="2018-05-17T00:00:00"/>
    <s v="Yes"/>
    <s v="Yes"/>
    <x v="0"/>
    <s v="REGULAR TEST"/>
    <m/>
  </r>
  <r>
    <x v="4"/>
    <s v="BEJSRTL502"/>
    <s v="Yes"/>
    <x v="10"/>
    <s v="PCIe"/>
    <n v="3633218"/>
    <s v="2F/R49/6"/>
    <x v="0"/>
    <x v="0"/>
    <x v="26"/>
    <x v="13"/>
    <x v="9"/>
    <s v="No"/>
    <s v="Yes"/>
    <s v="4x"/>
    <s v="bejsrtm014smini.bj.intel.com"/>
    <x v="511"/>
    <s v="E28F59C32CE40000FFFFFFFF"/>
    <s v="C7H8103002ZHXNKXX"/>
    <n v="17310524405"/>
    <s v="00440152219578"/>
    <m/>
    <m/>
    <d v="2018-05-17T00:00:00"/>
    <s v="Yes"/>
    <s v="Yes"/>
    <x v="0"/>
    <s v="REGULAR TEST"/>
    <m/>
  </r>
  <r>
    <x v="4"/>
    <s v="BEJSRTL503"/>
    <s v="Yes"/>
    <x v="12"/>
    <s v="PCIe"/>
    <n v="3633145"/>
    <s v="2F/R49/6"/>
    <x v="0"/>
    <x v="1"/>
    <x v="29"/>
    <x v="28"/>
    <x v="1"/>
    <s v="No"/>
    <s v="Yes"/>
    <s v="4x"/>
    <s v="bejsrtm014smini.bj.intel.com"/>
    <x v="512"/>
    <s v="E15F68A03D2E0400FFFFFFFF"/>
    <s v="C7H749700CNHXNKKH"/>
    <n v="17310344976"/>
    <s v="00440152219591"/>
    <s v="00440152264381"/>
    <n v="13811653293"/>
    <d v="2018-05-04T00:00:00"/>
    <s v="Yes"/>
    <s v="Yes"/>
    <x v="0"/>
    <s v="REGULAR TEST"/>
    <m/>
  </r>
  <r>
    <x v="4"/>
    <s v="BEJSRTL504"/>
    <s v="No"/>
    <x v="12"/>
    <s v="PCIe"/>
    <n v="3633137"/>
    <s v="2F/R49/7"/>
    <x v="0"/>
    <x v="1"/>
    <x v="29"/>
    <x v="19"/>
    <x v="1"/>
    <s v="No"/>
    <s v="Yes"/>
    <s v="NA"/>
    <s v="bejsrtm014smini.bj.intel.com"/>
    <x v="513"/>
    <s v="E15FC8CECD4D0500FFFFFFFF"/>
    <s v="C7H749700ECHXNKKM"/>
    <n v="17310496184"/>
    <s v="00440152262615"/>
    <s v="00440152262616"/>
    <n v="13811201627"/>
    <d v="2018-08-22T00:00:00"/>
    <s v="Yes"/>
    <s v="Yes"/>
    <x v="0"/>
    <s v="REGULAR TEST"/>
    <m/>
  </r>
  <r>
    <x v="4"/>
    <s v="BEJSRTL505"/>
    <s v="Yes"/>
    <x v="12"/>
    <s v="PCIe"/>
    <n v="3633155"/>
    <s v="2F/R49/7"/>
    <x v="0"/>
    <x v="1"/>
    <x v="32"/>
    <x v="21"/>
    <x v="1"/>
    <s v="No"/>
    <s v="No"/>
    <s v="4x"/>
    <s v="bejsrtm014smini.bj.intel.com"/>
    <x v="514"/>
    <s v="E15FE80CB5681000FFFFFFFF"/>
    <s v="C7H749700B7HXNKK1"/>
    <n v="13811515392"/>
    <s v="00440152219507"/>
    <s v="00440152264297"/>
    <n v="18511273358"/>
    <d v="2018-05-04T00:00:00"/>
    <s v="Yes"/>
    <s v="Yes"/>
    <x v="0"/>
    <s v="REGULAR TEST"/>
    <m/>
  </r>
  <r>
    <x v="4"/>
    <s v="BEJSRTL506"/>
    <s v="Yes"/>
    <x v="10"/>
    <s v="PCIe"/>
    <n v="3633168"/>
    <s v="2F/R50/1"/>
    <x v="0"/>
    <x v="1"/>
    <x v="30"/>
    <x v="24"/>
    <x v="1"/>
    <s v="No"/>
    <s v="No"/>
    <s v="4x"/>
    <s v="bejsrtm014smini.bj.intel.com"/>
    <x v="515"/>
    <s v="E15F783C6B9D0D00FFFFFFFF"/>
    <s v="C7H749700CRHXNKKE"/>
    <n v="18511279291"/>
    <s v="00440152219592"/>
    <s v="00440152264382"/>
    <n v="13811306507"/>
    <d v="2018-05-04T00:00:00"/>
    <s v="Yes"/>
    <s v="Yes"/>
    <x v="0"/>
    <s v="REGULAR TEST"/>
    <m/>
  </r>
  <r>
    <x v="4"/>
    <s v="BEJSRTL507"/>
    <s v="Yes"/>
    <x v="6"/>
    <s v="PCIe"/>
    <n v="3633287"/>
    <s v="2F/R50/1"/>
    <x v="0"/>
    <x v="1"/>
    <x v="30"/>
    <x v="20"/>
    <x v="1"/>
    <s v="No"/>
    <s v="No"/>
    <s v="4x"/>
    <s v="bejsrtm014smini.bj.intel.com"/>
    <x v="516"/>
    <s v="E15FC8F208050B00FFFFFFFF"/>
    <s v="C7H749700AXHXNKKE"/>
    <n v="18511279122"/>
    <s v="00440152219606"/>
    <s v="00440152264396"/>
    <n v="13811683562"/>
    <d v="2018-08-11T00:00:00"/>
    <s v="Yes"/>
    <s v="Yes"/>
    <x v="0"/>
    <s v="REGULAR TEST"/>
    <m/>
  </r>
  <r>
    <x v="4"/>
    <s v="BEJSRTL508"/>
    <s v="Yes"/>
    <x v="6"/>
    <s v="PCIe"/>
    <n v="3633296"/>
    <s v="439/R12/5"/>
    <x v="0"/>
    <x v="1"/>
    <x v="25"/>
    <x v="16"/>
    <x v="1"/>
    <s v="Yes"/>
    <s v="Yes"/>
    <s v="4x"/>
    <e v="#N/A"/>
    <x v="13"/>
    <s v="E1DF5A3343D70500FFFFFFFF"/>
    <s v="C7H751300ADHXNKKR"/>
    <n v="13811682190"/>
    <s v="00440152280444"/>
    <s v="00440152262416"/>
    <n v="18101234840"/>
    <d v="2018-05-04T00:00:00"/>
    <s v="Yes"/>
    <s v="Yes"/>
    <x v="0"/>
    <s v="REGULAR TEST"/>
    <m/>
  </r>
  <r>
    <x v="4"/>
    <s v="BEJSRTL509"/>
    <s v="Yes"/>
    <x v="12"/>
    <s v="PCIe"/>
    <n v="3299832"/>
    <s v="439/R33/1"/>
    <x v="0"/>
    <x v="1"/>
    <x v="28"/>
    <x v="18"/>
    <x v="1"/>
    <s v="No"/>
    <s v="No"/>
    <s v="Yes"/>
    <s v="7560utt277smini.bj.intel.com"/>
    <x v="517"/>
    <s v="E1DFBA3C694A0300FFFFFFFF"/>
    <s v="C7H751300A8HXNKKW"/>
    <n v="13800001344"/>
    <s v="00440152219620"/>
    <s v="00440152264410"/>
    <n v="13800001329"/>
    <d v="2018-07-06T00:00:00"/>
    <s v="Yes"/>
    <s v="Yes"/>
    <x v="0"/>
    <s v="REGULAR TEST"/>
    <m/>
  </r>
  <r>
    <x v="4"/>
    <s v="BEJSRTL510"/>
    <s v="Yes"/>
    <x v="6"/>
    <s v="PCIe"/>
    <n v="2510953"/>
    <s v="439/R33/1"/>
    <x v="0"/>
    <x v="1"/>
    <x v="28"/>
    <x v="17"/>
    <x v="1"/>
    <s v="No"/>
    <s v="No"/>
    <s v="Yes"/>
    <s v="7560utt277smini.bj.intel.com"/>
    <x v="518"/>
    <s v="E1DFAA14D8170300FFFFFFFF"/>
    <s v="C7H751300ATHXNKKB"/>
    <n v="13800001336"/>
    <s v="00440152262146"/>
    <s v="00440152262348"/>
    <n v="13800001337"/>
    <d v="2018-07-10T00:00:00"/>
    <s v="Yes"/>
    <s v="Yes"/>
    <x v="0"/>
    <s v="REGULAR TEST"/>
    <m/>
  </r>
  <r>
    <x v="4"/>
    <s v="BEJSRTL419"/>
    <s v="Yes"/>
    <x v="6"/>
    <s v="PCIe"/>
    <n v="2510630"/>
    <s v="439/R33/1"/>
    <x v="0"/>
    <x v="1"/>
    <x v="37"/>
    <x v="19"/>
    <x v="1"/>
    <s v="No"/>
    <s v="No"/>
    <s v="Yes"/>
    <s v="7560utt277smini.bj.intel.com"/>
    <x v="519"/>
    <s v="E1DFAA88860C0C00FFFFFFFF"/>
    <s v="C7H751300BKHXNKKG"/>
    <n v="18900670309"/>
    <s v="00440152262147"/>
    <s v="00440152262349"/>
    <n v="13800001341"/>
    <d v="2018-07-13T00:00:00"/>
    <s v="Yes"/>
    <s v="Yes"/>
    <x v="0"/>
    <s v="REGULAR TEST"/>
    <m/>
  </r>
  <r>
    <x v="4"/>
    <s v="BEJSRTL511"/>
    <s v="Yes"/>
    <x v="6"/>
    <s v="PCIe"/>
    <n v="2510858"/>
    <s v="439/R33/1"/>
    <x v="0"/>
    <x v="1"/>
    <x v="37"/>
    <x v="19"/>
    <x v="1"/>
    <s v="No"/>
    <s v="No"/>
    <s v="Yes"/>
    <s v="7560utt277smini.bj.intel.com"/>
    <x v="520"/>
    <s v="E1DF1A4330E70600FFFFFFFF"/>
    <s v="C7H7513009WHXNKKB"/>
    <n v="18900670311"/>
    <s v="00440152262148"/>
    <s v="00440152262350"/>
    <n v="13800001339"/>
    <d v="2018-07-13T00:00:00"/>
    <s v="Yes"/>
    <s v="Yes"/>
    <x v="0"/>
    <s v="REGULAR TEST"/>
    <m/>
  </r>
  <r>
    <x v="4"/>
    <s v="bejsrtl047"/>
    <m/>
    <x v="2"/>
    <s v="PCIe"/>
    <n v="3316739"/>
    <s v="R24/7"/>
    <x v="2"/>
    <x v="0"/>
    <x v="34"/>
    <x v="2"/>
    <x v="5"/>
    <s v="No"/>
    <s v="No"/>
    <m/>
    <m/>
    <x v="13"/>
    <m/>
    <s v="C0374720762T379B1"/>
    <n v="18548907901"/>
    <s v="00440152211047"/>
    <m/>
    <m/>
    <d v="2018-03-13T00:00:00"/>
    <s v="Yes"/>
    <s v="Yes"/>
    <x v="0"/>
    <m/>
    <m/>
  </r>
  <r>
    <x v="4"/>
    <s v="bejsrtl048"/>
    <m/>
    <x v="2"/>
    <s v="PCIe"/>
    <n v="3316786"/>
    <s v="R24/8"/>
    <x v="2"/>
    <x v="0"/>
    <x v="34"/>
    <x v="2"/>
    <x v="5"/>
    <s v="No"/>
    <s v="No"/>
    <m/>
    <m/>
    <x v="13"/>
    <m/>
    <s v="C0374721195T379BS"/>
    <n v="13021983072"/>
    <s v="00440152211048"/>
    <m/>
    <m/>
    <d v="2018-03-13T00:00:00"/>
    <s v="Yes"/>
    <s v="Yes"/>
    <x v="0"/>
    <m/>
    <m/>
  </r>
  <r>
    <x v="4"/>
    <s v="bejsrtl049"/>
    <m/>
    <x v="2"/>
    <s v="PCIe"/>
    <n v="3316760"/>
    <s v="R24/9"/>
    <x v="2"/>
    <x v="0"/>
    <x v="31"/>
    <x v="2"/>
    <x v="5"/>
    <s v="No"/>
    <s v="No"/>
    <m/>
    <m/>
    <x v="13"/>
    <m/>
    <s v="C0374720964T379BX"/>
    <n v="13811090671"/>
    <s v="00440152211049"/>
    <m/>
    <m/>
    <d v="2018-03-13T00:00:00"/>
    <s v="Yes"/>
    <s v="Yes"/>
    <x v="0"/>
    <m/>
    <m/>
  </r>
  <r>
    <x v="4"/>
    <s v="bejsrtl052"/>
    <m/>
    <x v="2"/>
    <s v="PCIe"/>
    <n v="3220270"/>
    <s v="R23/3"/>
    <x v="2"/>
    <x v="0"/>
    <x v="34"/>
    <x v="2"/>
    <x v="5"/>
    <s v="No"/>
    <s v="No"/>
    <m/>
    <m/>
    <x v="13"/>
    <m/>
    <s v="C0374720808T379BC"/>
    <n v="13121817216"/>
    <s v="00440152211052"/>
    <m/>
    <m/>
    <d v="2018-03-13T00:00:00"/>
    <s v="Yes"/>
    <s v="Yes"/>
    <x v="0"/>
    <m/>
    <m/>
  </r>
  <r>
    <x v="4"/>
    <s v="bejsrtl053"/>
    <m/>
    <x v="2"/>
    <s v="PCIe"/>
    <n v="3219566"/>
    <s v="R23/4"/>
    <x v="2"/>
    <x v="0"/>
    <x v="34"/>
    <x v="2"/>
    <x v="5"/>
    <s v="No"/>
    <s v="No"/>
    <m/>
    <m/>
    <x v="13"/>
    <m/>
    <s v="C0374720807T379BD"/>
    <n v="13051117912"/>
    <s v="00440152211053"/>
    <m/>
    <m/>
    <d v="2018-03-13T00:00:00"/>
    <s v="Yes"/>
    <s v="Yes"/>
    <x v="0"/>
    <m/>
    <m/>
  </r>
  <r>
    <x v="4"/>
    <s v="bejsrtl054"/>
    <m/>
    <x v="2"/>
    <s v="PCIe"/>
    <n v="3220175"/>
    <s v="R23/5"/>
    <x v="2"/>
    <x v="0"/>
    <x v="34"/>
    <x v="2"/>
    <x v="5"/>
    <s v="No"/>
    <s v="No"/>
    <m/>
    <m/>
    <x v="13"/>
    <m/>
    <s v="C0374721169T379BX"/>
    <n v="15601278446"/>
    <s v="00440152211054"/>
    <m/>
    <m/>
    <d v="2018-03-13T00:00:00"/>
    <s v="Yes"/>
    <s v="Yes"/>
    <x v="0"/>
    <m/>
    <m/>
  </r>
  <r>
    <x v="4"/>
    <s v="bejsrtl055"/>
    <m/>
    <x v="2"/>
    <s v="PCIe"/>
    <n v="3220230"/>
    <s v="R23/6"/>
    <x v="2"/>
    <x v="0"/>
    <x v="34"/>
    <x v="2"/>
    <x v="5"/>
    <s v="No"/>
    <s v="No"/>
    <m/>
    <m/>
    <x v="13"/>
    <m/>
    <s v="C0374721181T379BZ"/>
    <n v="18600423378"/>
    <s v="00440152211055"/>
    <m/>
    <m/>
    <d v="2018-03-13T00:00:00"/>
    <s v="Yes"/>
    <s v="Yes"/>
    <x v="0"/>
    <m/>
    <m/>
  </r>
  <r>
    <x v="4"/>
    <s v="bejsrtl056"/>
    <m/>
    <x v="2"/>
    <s v="PCIe"/>
    <n v="3220154"/>
    <s v="R23/7"/>
    <x v="2"/>
    <x v="0"/>
    <x v="31"/>
    <x v="2"/>
    <x v="5"/>
    <s v="No"/>
    <s v="No"/>
    <m/>
    <m/>
    <x v="13"/>
    <m/>
    <m/>
    <n v="13910406817"/>
    <s v="00440152211056"/>
    <m/>
    <m/>
    <d v="2018-03-18T00:00:00"/>
    <s v="Yes"/>
    <s v="Yes"/>
    <x v="0"/>
    <m/>
    <m/>
  </r>
  <r>
    <x v="4"/>
    <s v="bejsrtl057"/>
    <m/>
    <x v="2"/>
    <s v="PCIe"/>
    <n v="3220164"/>
    <s v="R23/8"/>
    <x v="2"/>
    <x v="0"/>
    <x v="31"/>
    <x v="2"/>
    <x v="6"/>
    <s v="No"/>
    <s v="No"/>
    <m/>
    <m/>
    <x v="13"/>
    <m/>
    <s v="C0380740175T379ER"/>
    <n v="13810283494"/>
    <s v="00440152211057"/>
    <m/>
    <m/>
    <d v="2018-03-18T00:00:00"/>
    <s v="Yes"/>
    <s v="Yes"/>
    <x v="0"/>
    <m/>
    <m/>
  </r>
  <r>
    <x v="4"/>
    <s v="bejsrtl058"/>
    <m/>
    <x v="2"/>
    <s v="PCIe"/>
    <n v="3220327"/>
    <s v="R23/2"/>
    <x v="2"/>
    <x v="0"/>
    <x v="31"/>
    <x v="2"/>
    <x v="6"/>
    <s v="No"/>
    <s v="No"/>
    <m/>
    <m/>
    <x v="13"/>
    <m/>
    <s v=" C0380740192T379EN   "/>
    <n v="13810465796"/>
    <s v="00440152211058"/>
    <m/>
    <m/>
    <d v="2018-03-18T00:00:00"/>
    <s v="Yes"/>
    <s v="Yes"/>
    <x v="0"/>
    <m/>
    <m/>
  </r>
  <r>
    <x v="4"/>
    <s v="bejsrtl059"/>
    <m/>
    <x v="2"/>
    <s v="PCIe"/>
    <n v="3220311"/>
    <s v="R23/1"/>
    <x v="2"/>
    <x v="0"/>
    <x v="31"/>
    <x v="2"/>
    <x v="5"/>
    <s v="No"/>
    <s v="No"/>
    <m/>
    <m/>
    <x v="13"/>
    <m/>
    <s v="C0374721003T379BN"/>
    <n v="13811233652"/>
    <s v="00440152211059"/>
    <m/>
    <m/>
    <d v="2018-03-13T00:00:00"/>
    <s v="Yes"/>
    <s v="Yes"/>
    <x v="0"/>
    <m/>
    <m/>
  </r>
  <r>
    <x v="4"/>
    <s v="bejsrtl060"/>
    <m/>
    <x v="2"/>
    <s v="PCIe"/>
    <n v="3220245"/>
    <s v="R22/1"/>
    <x v="2"/>
    <x v="0"/>
    <x v="31"/>
    <x v="2"/>
    <x v="5"/>
    <s v="No"/>
    <s v="No"/>
    <m/>
    <m/>
    <x v="13"/>
    <m/>
    <s v="C0374720927T379B6"/>
    <n v="13810364724"/>
    <s v="00440152211060"/>
    <m/>
    <m/>
    <d v="2018-03-13T00:00:00"/>
    <s v="Yes"/>
    <s v="Yes"/>
    <x v="0"/>
    <m/>
    <m/>
  </r>
  <r>
    <x v="4"/>
    <s v="bejsrtl061"/>
    <m/>
    <x v="2"/>
    <s v="PCIe"/>
    <n v="3219768"/>
    <s v="R22/2"/>
    <x v="2"/>
    <x v="0"/>
    <x v="31"/>
    <x v="2"/>
    <x v="6"/>
    <s v="No"/>
    <s v="No"/>
    <m/>
    <m/>
    <x v="13"/>
    <m/>
    <s v="C0380740165T379EU"/>
    <n v="13910436476"/>
    <s v="00440152211061"/>
    <m/>
    <m/>
    <d v="2018-03-13T00:00:00"/>
    <s v="Yes"/>
    <s v="Yes"/>
    <x v="0"/>
    <m/>
    <m/>
  </r>
  <r>
    <x v="4"/>
    <s v="bejsrtl062"/>
    <m/>
    <x v="2"/>
    <s v="PCIe"/>
    <n v="3219715"/>
    <s v="R22/2"/>
    <x v="2"/>
    <x v="0"/>
    <x v="31"/>
    <x v="2"/>
    <x v="6"/>
    <s v="No"/>
    <s v="No"/>
    <m/>
    <m/>
    <x v="13"/>
    <m/>
    <s v="C0380740033T379E6"/>
    <n v="13810274784"/>
    <s v="00440152211062"/>
    <m/>
    <m/>
    <d v="2018-03-13T00:00:00"/>
    <s v="Yes"/>
    <s v="Yes"/>
    <x v="0"/>
    <m/>
    <m/>
  </r>
  <r>
    <x v="4"/>
    <s v="bejsrtl063"/>
    <m/>
    <x v="2"/>
    <s v="PCIe"/>
    <n v="3219812"/>
    <s v="R22/3"/>
    <x v="2"/>
    <x v="0"/>
    <x v="31"/>
    <x v="2"/>
    <x v="6"/>
    <s v="No"/>
    <s v="No"/>
    <m/>
    <m/>
    <x v="13"/>
    <m/>
    <s v="C0380740030T379E9"/>
    <s v="13811011862"/>
    <s v="00440152211063"/>
    <m/>
    <m/>
    <d v="2018-03-13T00:00:00"/>
    <s v="Yes"/>
    <s v="Yes"/>
    <x v="0"/>
    <m/>
    <m/>
  </r>
  <r>
    <x v="4"/>
    <s v="bejsrtl064"/>
    <m/>
    <x v="2"/>
    <s v="PCIe"/>
    <n v="3219783"/>
    <s v="R22/3"/>
    <x v="2"/>
    <x v="0"/>
    <x v="31"/>
    <x v="2"/>
    <x v="5"/>
    <s v="No"/>
    <s v="No"/>
    <m/>
    <m/>
    <x v="13"/>
    <m/>
    <s v="C0374720901T379BJ"/>
    <s v="13810863052"/>
    <s v="00440152211064"/>
    <m/>
    <m/>
    <d v="2018-03-13T00:00:00"/>
    <s v="Yes"/>
    <s v="Yes"/>
    <x v="0"/>
    <m/>
    <m/>
  </r>
  <r>
    <x v="4"/>
    <s v="bejsrtl065"/>
    <m/>
    <x v="2"/>
    <s v="PCIe"/>
    <n v="3219894"/>
    <s v="R22/4"/>
    <x v="2"/>
    <x v="0"/>
    <x v="31"/>
    <x v="2"/>
    <x v="5"/>
    <s v="No"/>
    <s v="No"/>
    <m/>
    <m/>
    <x v="13"/>
    <m/>
    <s v="C0374721339T379B4"/>
    <s v="13810279504"/>
    <s v="00440152211065"/>
    <m/>
    <m/>
    <d v="2018-03-13T00:00:00"/>
    <s v="Yes"/>
    <s v="Yes"/>
    <x v="0"/>
    <m/>
    <m/>
  </r>
  <r>
    <x v="4"/>
    <s v="bejsrtl066"/>
    <m/>
    <x v="2"/>
    <s v="PCIe"/>
    <n v="3219933"/>
    <s v="R22/4"/>
    <x v="2"/>
    <x v="0"/>
    <x v="31"/>
    <x v="2"/>
    <x v="6"/>
    <s v="No"/>
    <s v="No"/>
    <m/>
    <m/>
    <x v="13"/>
    <m/>
    <s v="C0380740006T379EC"/>
    <n v="13910631084"/>
    <s v="00440152211066"/>
    <m/>
    <m/>
    <d v="2018-03-13T00:00:00"/>
    <s v="Yes"/>
    <s v="Yes"/>
    <x v="0"/>
    <m/>
    <m/>
  </r>
  <r>
    <x v="4"/>
    <s v="bejsrtl067"/>
    <m/>
    <x v="2"/>
    <s v="PCIe"/>
    <n v="3299594"/>
    <s v="R22/5"/>
    <x v="2"/>
    <x v="0"/>
    <x v="31"/>
    <x v="2"/>
    <x v="6"/>
    <s v="No"/>
    <s v="No"/>
    <m/>
    <m/>
    <x v="13"/>
    <m/>
    <s v="C0380740013T379EC"/>
    <s v="13811090670"/>
    <s v="00440152211067"/>
    <m/>
    <m/>
    <d v="2018-03-13T00:00:00"/>
    <s v="Yes"/>
    <s v="Yes"/>
    <x v="0"/>
    <m/>
    <m/>
  </r>
  <r>
    <x v="4"/>
    <s v="bejsrtl068"/>
    <m/>
    <x v="2"/>
    <s v="PCIe"/>
    <n v="3299400"/>
    <s v="R22/6"/>
    <x v="2"/>
    <x v="0"/>
    <x v="31"/>
    <x v="2"/>
    <x v="5"/>
    <s v="No"/>
    <s v="No"/>
    <m/>
    <m/>
    <x v="13"/>
    <m/>
    <s v="C0374720865T379BX"/>
    <s v="13811020730"/>
    <s v="00440152211068"/>
    <m/>
    <m/>
    <d v="2018-03-13T00:00:00"/>
    <s v="Yes"/>
    <s v="Yes"/>
    <x v="0"/>
    <m/>
    <m/>
  </r>
  <r>
    <x v="4"/>
    <s v="bejsrtl069"/>
    <m/>
    <x v="2"/>
    <s v="PCIe"/>
    <n v="3299535"/>
    <s v="R22/6"/>
    <x v="2"/>
    <x v="0"/>
    <x v="31"/>
    <x v="2"/>
    <x v="5"/>
    <s v="No"/>
    <s v="No"/>
    <m/>
    <m/>
    <x v="13"/>
    <m/>
    <s v="C0374720893T379BQ"/>
    <s v="13811020853"/>
    <s v="00440152211069"/>
    <m/>
    <m/>
    <d v="2018-03-13T00:00:00"/>
    <s v="Yes"/>
    <s v="Yes"/>
    <x v="0"/>
    <m/>
    <m/>
  </r>
  <r>
    <x v="4"/>
    <s v="bejsrtl070"/>
    <m/>
    <x v="2"/>
    <s v="PCIe"/>
    <n v="3299473"/>
    <s v="R22/7"/>
    <x v="2"/>
    <x v="0"/>
    <x v="31"/>
    <x v="2"/>
    <x v="5"/>
    <s v="No"/>
    <s v="No"/>
    <m/>
    <m/>
    <x v="13"/>
    <m/>
    <s v="C0374721223T3798E"/>
    <n v="13810618197"/>
    <s v="00440152211070"/>
    <m/>
    <m/>
    <d v="2018-03-18T00:00:00"/>
    <s v="Yes"/>
    <s v="Yes"/>
    <x v="0"/>
    <m/>
    <m/>
  </r>
  <r>
    <x v="4"/>
    <s v="bejsrtl071"/>
    <m/>
    <x v="2"/>
    <s v="PCIe"/>
    <n v="3299710"/>
    <s v="R22/7"/>
    <x v="2"/>
    <x v="0"/>
    <x v="31"/>
    <x v="2"/>
    <x v="5"/>
    <s v="No"/>
    <s v="No"/>
    <m/>
    <m/>
    <x v="13"/>
    <m/>
    <s v="C0374721002T379BP"/>
    <n v="13810262125"/>
    <s v="00440152211071"/>
    <m/>
    <m/>
    <d v="2018-03-18T00:00:00"/>
    <s v="Yes"/>
    <s v="Yes"/>
    <x v="0"/>
    <m/>
    <m/>
  </r>
  <r>
    <x v="4"/>
    <s v="bejsrtl072"/>
    <m/>
    <x v="2"/>
    <s v="PCIe"/>
    <n v="3299434"/>
    <s v="R26/1"/>
    <x v="2"/>
    <x v="0"/>
    <x v="31"/>
    <x v="2"/>
    <x v="6"/>
    <s v="No"/>
    <s v="No"/>
    <m/>
    <m/>
    <x v="13"/>
    <m/>
    <s v="C0380870599T379E5"/>
    <n v="13810431494"/>
    <s v="00440152211072"/>
    <m/>
    <m/>
    <d v="2018-03-18T00:00:00"/>
    <s v="Yes"/>
    <s v="Yes"/>
    <x v="0"/>
    <m/>
    <m/>
  </r>
  <r>
    <x v="4"/>
    <s v="bejsrtl073"/>
    <m/>
    <x v="2"/>
    <s v="PCIe"/>
    <n v="3299424"/>
    <s v="R26/2"/>
    <x v="2"/>
    <x v="0"/>
    <x v="31"/>
    <x v="2"/>
    <x v="6"/>
    <s v="No"/>
    <s v="No"/>
    <m/>
    <m/>
    <x v="13"/>
    <m/>
    <s v="C0380870964T379EF"/>
    <n v="13911711451"/>
    <s v="00440152211073"/>
    <m/>
    <m/>
    <d v="2018-03-18T00:00:00"/>
    <s v="Yes"/>
    <s v="Yes"/>
    <x v="0"/>
    <m/>
    <m/>
  </r>
  <r>
    <x v="4"/>
    <s v="bejsrtl074"/>
    <m/>
    <x v="2"/>
    <s v="PCIe"/>
    <n v="3299415"/>
    <s v="R26/2"/>
    <x v="2"/>
    <x v="0"/>
    <x v="31"/>
    <x v="2"/>
    <x v="6"/>
    <s v="No"/>
    <s v="No"/>
    <m/>
    <m/>
    <x v="13"/>
    <m/>
    <s v="C0380740243T379E1"/>
    <n v="13810669120"/>
    <s v="00440152211074"/>
    <m/>
    <m/>
    <d v="2018-03-18T00:00:00"/>
    <s v="Yes"/>
    <s v="Yes"/>
    <x v="0"/>
    <m/>
    <m/>
  </r>
  <r>
    <x v="4"/>
    <s v="bejsrtl075"/>
    <m/>
    <x v="2"/>
    <s v="PCIe"/>
    <n v="3299554"/>
    <s v="R26/3"/>
    <x v="2"/>
    <x v="0"/>
    <x v="34"/>
    <x v="2"/>
    <x v="6"/>
    <s v="No"/>
    <s v="No"/>
    <m/>
    <m/>
    <x v="13"/>
    <m/>
    <s v="C0380740117T379E7"/>
    <n v="13051116036"/>
    <s v="00440152211075"/>
    <m/>
    <m/>
    <d v="2018-03-18T00:00:00"/>
    <s v="Yes"/>
    <s v="Yes"/>
    <x v="0"/>
    <m/>
    <m/>
  </r>
  <r>
    <x v="4"/>
    <s v="bejsrtl076"/>
    <m/>
    <x v="2"/>
    <s v="PCIe"/>
    <n v="3299789"/>
    <s v="R26/3"/>
    <x v="2"/>
    <x v="0"/>
    <x v="31"/>
    <x v="2"/>
    <x v="6"/>
    <s v="No"/>
    <s v="No"/>
    <m/>
    <m/>
    <x v="13"/>
    <m/>
    <s v="C0380870593T379EB"/>
    <n v="13811090597"/>
    <s v="00440152211076"/>
    <m/>
    <m/>
    <d v="2018-03-18T00:00:00"/>
    <s v="Yes"/>
    <s v="Yes"/>
    <x v="0"/>
    <m/>
    <m/>
  </r>
  <r>
    <x v="4"/>
    <s v="bejsrtl077"/>
    <m/>
    <x v="2"/>
    <s v="PCIe"/>
    <n v="3299449"/>
    <s v="R26/4"/>
    <x v="2"/>
    <x v="0"/>
    <x v="34"/>
    <x v="2"/>
    <x v="6"/>
    <s v="No"/>
    <s v="No"/>
    <m/>
    <m/>
    <x v="13"/>
    <m/>
    <s v="C0380740163T379EW"/>
    <n v="13051115719"/>
    <s v="00440152211077"/>
    <m/>
    <m/>
    <d v="2018-03-18T00:00:00"/>
    <s v="Yes"/>
    <s v="Yes"/>
    <x v="0"/>
    <m/>
    <m/>
  </r>
  <r>
    <x v="4"/>
    <s v="bejsrtl078"/>
    <m/>
    <x v="2"/>
    <s v="PCIe"/>
    <n v="3316726"/>
    <s v="R26/5"/>
    <x v="2"/>
    <x v="0"/>
    <x v="31"/>
    <x v="2"/>
    <x v="6"/>
    <s v="No"/>
    <s v="No"/>
    <m/>
    <m/>
    <x v="13"/>
    <m/>
    <s v="C0380870960T379EK"/>
    <n v="13911721847"/>
    <s v="00440152211078"/>
    <m/>
    <m/>
    <d v="2018-03-18T00:00:00"/>
    <s v="Yes"/>
    <s v="Yes"/>
    <x v="0"/>
    <m/>
    <m/>
  </r>
  <r>
    <x v="4"/>
    <s v="bejsrtl079"/>
    <m/>
    <x v="2"/>
    <s v="PCIe"/>
    <n v="3299467"/>
    <s v="R26/6"/>
    <x v="2"/>
    <x v="0"/>
    <x v="31"/>
    <x v="2"/>
    <x v="6"/>
    <s v="No"/>
    <s v="No"/>
    <m/>
    <m/>
    <x v="13"/>
    <m/>
    <s v="C0380870418T379EX"/>
    <n v="13810339623"/>
    <s v="00440152211079"/>
    <m/>
    <m/>
    <d v="2018-03-18T00:00:00"/>
    <s v="Yes"/>
    <s v="Yes"/>
    <x v="0"/>
    <m/>
    <m/>
  </r>
  <r>
    <x v="4"/>
    <s v="bejsrtl080"/>
    <m/>
    <x v="2"/>
    <s v="PCIe"/>
    <n v="3299657"/>
    <s v="R26/7"/>
    <x v="2"/>
    <x v="0"/>
    <x v="31"/>
    <x v="2"/>
    <x v="6"/>
    <s v="No"/>
    <s v="No"/>
    <m/>
    <m/>
    <x v="13"/>
    <m/>
    <s v="C0380870492T379ED"/>
    <n v="13811056251"/>
    <s v="00440152211080"/>
    <m/>
    <m/>
    <d v="2018-03-18T00:00:00"/>
    <s v="Yes"/>
    <s v="Yes"/>
    <x v="0"/>
    <m/>
    <m/>
  </r>
  <r>
    <x v="4"/>
    <s v="bejsrtl081"/>
    <m/>
    <x v="2"/>
    <s v="PCIe"/>
    <n v="3299651"/>
    <s v="R26/8"/>
    <x v="2"/>
    <x v="0"/>
    <x v="31"/>
    <x v="2"/>
    <x v="5"/>
    <s v="No"/>
    <s v="No"/>
    <m/>
    <m/>
    <x v="13"/>
    <m/>
    <s v="C0374721001T379BQ"/>
    <n v="13811080913"/>
    <s v="00440152211081"/>
    <m/>
    <m/>
    <d v="2018-03-18T00:00:00"/>
    <s v="Yes"/>
    <s v="Yes"/>
    <x v="0"/>
    <m/>
    <m/>
  </r>
  <r>
    <x v="4"/>
    <s v="bejsrtl082"/>
    <m/>
    <x v="2"/>
    <s v="PCIe"/>
    <n v="3299728"/>
    <s v="R26/8"/>
    <x v="2"/>
    <x v="0"/>
    <x v="2"/>
    <x v="2"/>
    <x v="7"/>
    <s v="No"/>
    <s v="No"/>
    <m/>
    <m/>
    <x v="13"/>
    <m/>
    <s v="C0373440847T3798J"/>
    <m/>
    <s v="00440152211082"/>
    <m/>
    <m/>
    <d v="2018-03-18T00:00:00"/>
    <s v="Yes"/>
    <s v="Yes"/>
    <x v="0"/>
    <m/>
    <m/>
  </r>
  <r>
    <x v="4"/>
    <s v="bejsrtl083"/>
    <m/>
    <x v="2"/>
    <s v="PCIe"/>
    <n v="3299775"/>
    <s v="R26/9"/>
    <x v="2"/>
    <x v="0"/>
    <x v="2"/>
    <x v="2"/>
    <x v="5"/>
    <s v="No"/>
    <s v="No"/>
    <m/>
    <m/>
    <x v="13"/>
    <m/>
    <s v="C0374721341T379B9"/>
    <m/>
    <s v="00440152211083"/>
    <m/>
    <m/>
    <d v="2018-03-18T00:00:00"/>
    <s v="Yes"/>
    <s v="Yes"/>
    <x v="0"/>
    <m/>
    <m/>
  </r>
  <r>
    <x v="4"/>
    <s v="bejsrtl084"/>
    <m/>
    <x v="2"/>
    <s v="PCIe"/>
    <n v="3299566"/>
    <s v="R25/1"/>
    <x v="2"/>
    <x v="0"/>
    <x v="34"/>
    <x v="2"/>
    <x v="6"/>
    <s v="No"/>
    <s v="No"/>
    <m/>
    <m/>
    <x v="13"/>
    <m/>
    <s v="C0380740078T379EP"/>
    <n v="13051113538"/>
    <s v="00440152211084"/>
    <m/>
    <m/>
    <d v="2018-03-18T00:00:00"/>
    <s v="Yes"/>
    <s v="Yes"/>
    <x v="0"/>
    <m/>
    <m/>
  </r>
  <r>
    <x v="4"/>
    <s v="bejsrtl085"/>
    <m/>
    <x v="2"/>
    <s v="PCIe"/>
    <n v="3299354"/>
    <s v="R25/2"/>
    <x v="2"/>
    <x v="0"/>
    <x v="34"/>
    <x v="2"/>
    <x v="6"/>
    <s v="No"/>
    <s v="No"/>
    <m/>
    <m/>
    <x v="13"/>
    <m/>
    <s v="C0380740073T379ER"/>
    <n v="18612939847"/>
    <s v="00440152211085"/>
    <m/>
    <m/>
    <d v="2018-03-18T00:00:00"/>
    <s v="Yes"/>
    <s v="Yes"/>
    <x v="0"/>
    <m/>
    <m/>
  </r>
  <r>
    <x v="4"/>
    <s v="bejsrtl086"/>
    <m/>
    <x v="2"/>
    <s v="PCIe"/>
    <n v="3299526"/>
    <s v="R25/3"/>
    <x v="2"/>
    <x v="0"/>
    <x v="34"/>
    <x v="2"/>
    <x v="6"/>
    <s v="No"/>
    <s v="No"/>
    <m/>
    <m/>
    <x v="13"/>
    <m/>
    <s v="C0380740099T379EG"/>
    <n v="18618459257"/>
    <s v="00440152211086"/>
    <m/>
    <m/>
    <d v="2018-03-18T00:00:00"/>
    <s v="Yes"/>
    <s v="Yes"/>
    <x v="0"/>
    <m/>
    <m/>
  </r>
  <r>
    <x v="4"/>
    <s v="bejsrtl087"/>
    <m/>
    <x v="2"/>
    <s v="PCIe"/>
    <n v="3299567"/>
    <s v="R25/4"/>
    <x v="2"/>
    <x v="0"/>
    <x v="34"/>
    <x v="2"/>
    <x v="6"/>
    <s v="No"/>
    <s v="No"/>
    <m/>
    <m/>
    <x v="13"/>
    <m/>
    <s v="C0380740069T379ER"/>
    <n v="18618143487"/>
    <s v="00440152211087"/>
    <m/>
    <m/>
    <d v="2018-03-18T00:00:00"/>
    <s v="Yes"/>
    <s v="Yes"/>
    <x v="0"/>
    <m/>
    <m/>
  </r>
  <r>
    <x v="4"/>
    <s v="bejsrtl088"/>
    <m/>
    <x v="2"/>
    <s v="PCIe"/>
    <n v="3299512"/>
    <s v="R25/5"/>
    <x v="2"/>
    <x v="0"/>
    <x v="34"/>
    <x v="2"/>
    <x v="6"/>
    <s v="No"/>
    <s v="No"/>
    <m/>
    <m/>
    <x v="13"/>
    <m/>
    <s v="C0380740274T379ER"/>
    <n v="18613358214"/>
    <s v="00440152211088"/>
    <m/>
    <m/>
    <d v="2018-03-18T00:00:00"/>
    <s v="Yes"/>
    <s v="Yes"/>
    <x v="0"/>
    <m/>
    <m/>
  </r>
  <r>
    <x v="4"/>
    <s v="bejsrtl089"/>
    <m/>
    <x v="2"/>
    <s v="PCIe"/>
    <n v="3299511"/>
    <s v="R25/6"/>
    <x v="2"/>
    <x v="0"/>
    <x v="34"/>
    <x v="2"/>
    <x v="5"/>
    <s v="No"/>
    <s v="No"/>
    <m/>
    <m/>
    <x v="13"/>
    <m/>
    <s v="C0374720930T379BA"/>
    <n v="13121815792"/>
    <s v="00440152211089"/>
    <m/>
    <m/>
    <d v="2018-03-18T00:00:00"/>
    <s v="Yes"/>
    <s v="Yes"/>
    <x v="0"/>
    <m/>
    <m/>
  </r>
  <r>
    <x v="4"/>
    <s v="bejsrtl090"/>
    <m/>
    <x v="2"/>
    <s v="PCIe"/>
    <n v="3299466"/>
    <s v="R25/7"/>
    <x v="2"/>
    <x v="0"/>
    <x v="34"/>
    <x v="2"/>
    <x v="6"/>
    <s v="No"/>
    <s v="No"/>
    <m/>
    <m/>
    <x v="13"/>
    <m/>
    <s v="C0380870365T379EL"/>
    <n v="13121816092"/>
    <s v="00440152211090"/>
    <m/>
    <m/>
    <d v="2018-03-18T00:00:00"/>
    <s v="Yes"/>
    <s v="Yes"/>
    <x v="0"/>
    <m/>
    <m/>
  </r>
  <r>
    <x v="4"/>
    <s v="bejsrtl091"/>
    <m/>
    <x v="2"/>
    <s v="PCIe"/>
    <n v="3299463"/>
    <s v="R25/8"/>
    <x v="2"/>
    <x v="0"/>
    <x v="34"/>
    <x v="2"/>
    <x v="6"/>
    <s v="No"/>
    <s v="No"/>
    <m/>
    <m/>
    <x v="13"/>
    <m/>
    <s v="C0380870364T379EM"/>
    <n v="13121819387"/>
    <s v="00440152211091"/>
    <m/>
    <m/>
    <d v="2018-03-18T00:00:00"/>
    <s v="Yes"/>
    <s v="Yes"/>
    <x v="0"/>
    <m/>
    <m/>
  </r>
  <r>
    <x v="4"/>
    <s v="bejsrtl092"/>
    <m/>
    <x v="2"/>
    <s v="PCIe"/>
    <n v="3299407"/>
    <s v="R25/9"/>
    <x v="2"/>
    <x v="0"/>
    <x v="31"/>
    <x v="2"/>
    <x v="6"/>
    <s v="No"/>
    <s v="No"/>
    <m/>
    <m/>
    <x v="13"/>
    <m/>
    <s v="C0380870495T379EA"/>
    <n v="13910499847"/>
    <s v="00440152211092"/>
    <m/>
    <m/>
    <d v="2018-03-18T00:00:00"/>
    <s v="Yes"/>
    <s v="Yes"/>
    <x v="0"/>
    <m/>
    <m/>
  </r>
  <r>
    <x v="4"/>
    <s v="bejsrtl093"/>
    <m/>
    <x v="2"/>
    <s v="PCIe"/>
    <n v="3299711"/>
    <s v="R20/1"/>
    <x v="2"/>
    <x v="0"/>
    <x v="34"/>
    <x v="2"/>
    <x v="6"/>
    <s v="No"/>
    <s v="No"/>
    <m/>
    <m/>
    <x v="13"/>
    <m/>
    <s v="C0380870644T379EQ"/>
    <n v="13269433059"/>
    <s v="00440152211093"/>
    <m/>
    <m/>
    <d v="2018-03-18T00:00:00"/>
    <s v="Yes"/>
    <s v="Yes"/>
    <x v="0"/>
    <m/>
    <m/>
  </r>
  <r>
    <x v="4"/>
    <s v="bejsrtl094"/>
    <m/>
    <x v="2"/>
    <s v="PCIe"/>
    <n v="3299498"/>
    <s v="R20/2"/>
    <x v="2"/>
    <x v="0"/>
    <x v="34"/>
    <x v="2"/>
    <x v="6"/>
    <s v="No"/>
    <s v="No"/>
    <m/>
    <m/>
    <x v="13"/>
    <m/>
    <s v="C0380870582T379EF"/>
    <n v="18511190842"/>
    <s v="00440152211094"/>
    <m/>
    <m/>
    <d v="2018-03-18T00:00:00"/>
    <s v="Yes"/>
    <s v="Yes"/>
    <x v="0"/>
    <m/>
    <m/>
  </r>
  <r>
    <x v="4"/>
    <s v="bejsrtl095"/>
    <m/>
    <x v="2"/>
    <s v="PCIe"/>
    <n v="3299391"/>
    <s v="R20/3"/>
    <x v="2"/>
    <x v="0"/>
    <x v="34"/>
    <x v="2"/>
    <x v="6"/>
    <s v="No"/>
    <s v="No"/>
    <m/>
    <m/>
    <x v="13"/>
    <m/>
    <s v="C0380870662T379EL"/>
    <n v="18501935094"/>
    <s v="00440152211095"/>
    <m/>
    <m/>
    <d v="2018-03-18T00:00:00"/>
    <s v="Yes"/>
    <s v="Yes"/>
    <x v="0"/>
    <m/>
    <m/>
  </r>
  <r>
    <x v="4"/>
    <s v="bejsrtl096"/>
    <m/>
    <x v="2"/>
    <s v="PCIe"/>
    <n v="3299418"/>
    <s v="R20/4"/>
    <x v="2"/>
    <x v="0"/>
    <x v="34"/>
    <x v="2"/>
    <x v="5"/>
    <s v="No"/>
    <s v="No"/>
    <m/>
    <m/>
    <x v="13"/>
    <m/>
    <s v="C0374720741T379B8"/>
    <n v="18601984298"/>
    <s v="00440152211096"/>
    <m/>
    <m/>
    <d v="2018-03-18T00:00:00"/>
    <s v="Yes"/>
    <s v="Yes"/>
    <x v="0"/>
    <m/>
    <m/>
  </r>
  <r>
    <x v="4"/>
    <s v="bejsrtl097"/>
    <m/>
    <x v="2"/>
    <s v="PCIe"/>
    <n v="3299462"/>
    <s v="R20/5"/>
    <x v="2"/>
    <x v="0"/>
    <x v="34"/>
    <x v="2"/>
    <x v="5"/>
    <s v="No"/>
    <s v="No"/>
    <m/>
    <m/>
    <x v="13"/>
    <m/>
    <s v="C0374720716T379BC"/>
    <n v="18614019509"/>
    <s v="00440152211097"/>
    <m/>
    <m/>
    <d v="2018-03-18T00:00:00"/>
    <s v="Yes"/>
    <s v="Yes"/>
    <x v="0"/>
    <m/>
    <m/>
  </r>
  <r>
    <x v="4"/>
    <s v="bejsrtl098"/>
    <m/>
    <x v="2"/>
    <s v="PCIe"/>
    <n v="3299716"/>
    <s v="R20/6"/>
    <x v="2"/>
    <x v="0"/>
    <x v="34"/>
    <x v="2"/>
    <x v="5"/>
    <s v="No"/>
    <s v="No"/>
    <m/>
    <m/>
    <x v="13"/>
    <m/>
    <s v="C0374720944T379B3"/>
    <n v="13051115367"/>
    <s v="00440152211098"/>
    <m/>
    <m/>
    <d v="2018-03-18T00:00:00"/>
    <s v="Yes"/>
    <s v="Yes"/>
    <x v="0"/>
    <m/>
    <m/>
  </r>
  <r>
    <x v="4"/>
    <s v="bejsrtl099"/>
    <m/>
    <x v="2"/>
    <s v="PCIe"/>
    <n v="3299633"/>
    <s v="R20/7"/>
    <x v="2"/>
    <x v="0"/>
    <x v="34"/>
    <x v="2"/>
    <x v="6"/>
    <s v="No"/>
    <s v="No"/>
    <m/>
    <m/>
    <x v="13"/>
    <m/>
    <s v="C0380870655T379EL"/>
    <n v="13264286473"/>
    <s v="00440152211099"/>
    <m/>
    <m/>
    <d v="2018-03-18T00:00:00"/>
    <s v="Yes"/>
    <s v="Yes"/>
    <x v="0"/>
    <m/>
    <m/>
  </r>
  <r>
    <x v="4"/>
    <s v="bejsrtl041"/>
    <m/>
    <x v="2"/>
    <s v="PCIe"/>
    <n v="3249826"/>
    <s v="R24/1"/>
    <x v="2"/>
    <x v="0"/>
    <x v="34"/>
    <x v="2"/>
    <x v="6"/>
    <s v="No"/>
    <s v="No"/>
    <m/>
    <m/>
    <x v="13"/>
    <m/>
    <s v="C0380740110T379EE"/>
    <n v="13263362761"/>
    <s v="00440152211041"/>
    <m/>
    <m/>
    <d v="2018-03-18T00:00:00"/>
    <s v="Yes"/>
    <s v="Yes"/>
    <x v="0"/>
    <m/>
    <m/>
  </r>
  <r>
    <x v="4"/>
    <s v="bejsrtl042"/>
    <m/>
    <x v="2"/>
    <s v="PCIe"/>
    <n v="3316819"/>
    <s v="R24/2"/>
    <x v="2"/>
    <x v="0"/>
    <x v="34"/>
    <x v="2"/>
    <x v="6"/>
    <s v="No"/>
    <s v="No"/>
    <m/>
    <m/>
    <x v="13"/>
    <m/>
    <s v="C0380740046T379E0"/>
    <n v="13021044747"/>
    <s v="00440152211042"/>
    <m/>
    <m/>
    <d v="2018-03-18T00:00:00"/>
    <s v="Yes"/>
    <s v="Yes"/>
    <x v="0"/>
    <m/>
    <m/>
  </r>
  <r>
    <x v="4"/>
    <s v="bejsrtl043"/>
    <m/>
    <x v="2"/>
    <s v="PCIe"/>
    <n v="3316644"/>
    <s v="R24/3"/>
    <x v="2"/>
    <x v="0"/>
    <x v="34"/>
    <x v="2"/>
    <x v="6"/>
    <s v="No"/>
    <s v="No"/>
    <m/>
    <m/>
    <x v="13"/>
    <m/>
    <s v="C0380740143T379E2"/>
    <n v="18600587512"/>
    <s v="00440152211043"/>
    <m/>
    <m/>
    <d v="2018-03-18T00:00:00"/>
    <s v="Yes"/>
    <s v="Yes"/>
    <x v="0"/>
    <m/>
    <m/>
  </r>
  <r>
    <x v="4"/>
    <s v="bejsrtl044"/>
    <m/>
    <x v="2"/>
    <s v="PCIe"/>
    <n v="3316783"/>
    <s v="R24/4"/>
    <x v="2"/>
    <x v="0"/>
    <x v="34"/>
    <x v="2"/>
    <x v="6"/>
    <s v="No"/>
    <s v="No"/>
    <m/>
    <m/>
    <x v="13"/>
    <m/>
    <s v="C0380740247T379EX"/>
    <n v="13269329416"/>
    <s v="00440152211044"/>
    <m/>
    <m/>
    <d v="2018-03-18T00:00:00"/>
    <s v="Yes"/>
    <s v="Yes"/>
    <x v="0"/>
    <m/>
    <m/>
  </r>
  <r>
    <x v="4"/>
    <s v="bejsrtl030"/>
    <m/>
    <x v="2"/>
    <s v="PCIe"/>
    <n v="3299616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031"/>
    <m/>
    <x v="2"/>
    <s v="PCIe"/>
    <n v="3316781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032"/>
    <m/>
    <x v="2"/>
    <s v="PCIe"/>
    <n v="3299779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033"/>
    <m/>
    <x v="2"/>
    <s v="PCIe"/>
    <n v="3316795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034"/>
    <m/>
    <x v="2"/>
    <s v="PCIe"/>
    <n v="3316785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035"/>
    <m/>
    <x v="2"/>
    <s v="PCIe"/>
    <n v="3299787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036"/>
    <m/>
    <x v="2"/>
    <s v="PCIe"/>
    <n v="3299753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037"/>
    <m/>
    <x v="2"/>
    <s v="PCIe"/>
    <n v="3299720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038"/>
    <m/>
    <x v="2"/>
    <s v="PCIe"/>
    <n v="3249825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039"/>
    <m/>
    <x v="2"/>
    <s v="PCIe"/>
    <n v="3316707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040"/>
    <m/>
    <x v="2"/>
    <s v="PCIe"/>
    <n v="3249828"/>
    <s v="?"/>
    <x v="2"/>
    <x v="0"/>
    <x v="2"/>
    <x v="2"/>
    <x v="3"/>
    <s v="No"/>
    <s v="No"/>
    <m/>
    <m/>
    <x v="13"/>
    <m/>
    <m/>
    <m/>
    <m/>
    <m/>
    <m/>
    <d v="2018-03-18T00:00:00"/>
    <s v="Yes"/>
    <s v="No"/>
    <x v="1"/>
    <m/>
    <s v="just install os ,not put to the rack"/>
  </r>
  <r>
    <x v="4"/>
    <s v="bejsrtl245"/>
    <m/>
    <x v="2"/>
    <s v="PCIe"/>
    <n v="3219822"/>
    <s v="R36/6"/>
    <x v="4"/>
    <x v="0"/>
    <x v="31"/>
    <x v="30"/>
    <x v="2"/>
    <s v="No"/>
    <s v="No"/>
    <s v="No"/>
    <m/>
    <x v="156"/>
    <s v="933104298002EED1F9CED106"/>
    <s v="C0765140033OHHH1"/>
    <n v="13810633251"/>
    <n v="440152219656"/>
    <m/>
    <m/>
    <d v="2018-04-12T00:00:00"/>
    <s v="Yes"/>
    <s v="Yes"/>
    <x v="0"/>
    <m/>
    <m/>
  </r>
  <r>
    <x v="4"/>
    <s v="bejsrtl351"/>
    <m/>
    <x v="2"/>
    <s v="PCIe"/>
    <n v="3299624"/>
    <s v="R35/6"/>
    <x v="4"/>
    <x v="0"/>
    <x v="31"/>
    <x v="30"/>
    <x v="2"/>
    <s v="No"/>
    <s v="No"/>
    <s v="No"/>
    <m/>
    <x v="156"/>
    <s v="9331042980022FD1F8F83704"/>
    <s v="C076505005RH2WH1 "/>
    <n v="13810827595"/>
    <n v="440152219656"/>
    <m/>
    <m/>
    <d v="2018-04-12T00:00:00"/>
    <s v="Yes"/>
    <s v="Yes"/>
    <x v="0"/>
    <m/>
    <m/>
  </r>
  <r>
    <x v="4"/>
    <s v="bejsrtl358"/>
    <m/>
    <x v="2"/>
    <s v="PCIe"/>
    <n v="3316734"/>
    <s v="R36/3"/>
    <x v="4"/>
    <x v="0"/>
    <x v="31"/>
    <x v="6"/>
    <x v="2"/>
    <s v="No"/>
    <s v="No"/>
    <s v="No"/>
    <m/>
    <x v="156"/>
    <s v="9331042980028F81F932A386 "/>
    <s v="C07645500AWOHHH1"/>
    <n v="13811011910"/>
    <n v="440152219656"/>
    <m/>
    <m/>
    <d v="2018-04-12T00:00:00"/>
    <s v="Yes"/>
    <s v="Yes"/>
    <x v="0"/>
    <m/>
    <m/>
  </r>
  <r>
    <x v="4"/>
    <s v="bejsrtl374"/>
    <m/>
    <x v="2"/>
    <s v="PCIe"/>
    <n v="3516407"/>
    <s v="R35/8"/>
    <x v="4"/>
    <x v="0"/>
    <x v="31"/>
    <x v="6"/>
    <x v="2"/>
    <s v="No"/>
    <s v="No"/>
    <s v="No"/>
    <m/>
    <x v="156"/>
    <s v="2C330D0A0D0A2B5042524541 "/>
    <s v="C076503000KH2WH1"/>
    <n v="13811011263"/>
    <n v="440152219656"/>
    <m/>
    <m/>
    <d v="2018-04-12T00:00:00"/>
    <s v="Yes"/>
    <s v="Yes"/>
    <x v="0"/>
    <m/>
    <m/>
  </r>
  <r>
    <x v="4"/>
    <s v="bejsrtl389"/>
    <m/>
    <x v="2"/>
    <s v="PCIe"/>
    <n v="2511035"/>
    <s v="R37/7"/>
    <x v="4"/>
    <x v="0"/>
    <x v="31"/>
    <x v="30"/>
    <x v="2"/>
    <s v="No"/>
    <s v="No"/>
    <s v="No"/>
    <m/>
    <x v="156"/>
    <s v="9331042980026E61F93CE305"/>
    <s v="C0765140012OHHH1"/>
    <n v="13910407834"/>
    <n v="440152219656"/>
    <m/>
    <m/>
    <d v="2018-04-12T00:00:00"/>
    <s v="Yes"/>
    <s v="Yes"/>
    <x v="0"/>
    <m/>
    <m/>
  </r>
  <r>
    <x v="4"/>
    <s v="bejsrtl391"/>
    <m/>
    <x v="2"/>
    <s v="PCIe"/>
    <n v="2510865"/>
    <s v="R37/7"/>
    <x v="4"/>
    <x v="0"/>
    <x v="31"/>
    <x v="6"/>
    <x v="2"/>
    <s v="No"/>
    <s v="No"/>
    <s v="No"/>
    <m/>
    <x v="156"/>
    <s v="9331042980024203F90A0805"/>
    <s v="C076503003BH2WH1"/>
    <n v="13810990625"/>
    <n v="440152219656"/>
    <m/>
    <m/>
    <d v="2018-04-12T00:00:00"/>
    <s v="Yes"/>
    <s v="Yes"/>
    <x v="0"/>
    <m/>
    <m/>
  </r>
  <r>
    <x v="4"/>
    <s v="bejsrtl465"/>
    <m/>
    <x v="2"/>
    <s v="PCIe"/>
    <n v="3316810"/>
    <s v="R37/3"/>
    <x v="4"/>
    <x v="0"/>
    <x v="31"/>
    <x v="6"/>
    <x v="2"/>
    <s v="No"/>
    <s v="No"/>
    <s v="No"/>
    <m/>
    <x v="156"/>
    <s v="933104298002E351F822BA85"/>
    <s v="C0765140012OHHH1"/>
    <n v="13911453546"/>
    <n v="440152219656"/>
    <m/>
    <m/>
    <d v="2018-04-12T00:00:00"/>
    <s v="Yes"/>
    <s v="Yes"/>
    <x v="0"/>
    <m/>
    <m/>
  </r>
  <r>
    <x v="4"/>
    <s v="bejsrtl466"/>
    <m/>
    <x v="2"/>
    <s v="PCIe"/>
    <n v="3299842"/>
    <s v="R36/5"/>
    <x v="4"/>
    <x v="0"/>
    <x v="31"/>
    <x v="30"/>
    <x v="2"/>
    <s v="No"/>
    <s v="No"/>
    <s v="No"/>
    <m/>
    <x v="156"/>
    <s v="933104298002EE31F914D486"/>
    <s v="C076514002UOHHH1"/>
    <n v="13810503761"/>
    <n v="440152219656"/>
    <m/>
    <m/>
    <d v="2018-04-12T00:00:00"/>
    <s v="Yes"/>
    <s v="Yes"/>
    <x v="0"/>
    <m/>
    <m/>
  </r>
  <r>
    <x v="4"/>
    <s v="bejsrtl403"/>
    <m/>
    <x v="2"/>
    <s v="PCIe"/>
    <n v="2511022"/>
    <s v="R29/1"/>
    <x v="4"/>
    <x v="0"/>
    <x v="31"/>
    <x v="31"/>
    <x v="2"/>
    <s v="No"/>
    <s v="No"/>
    <s v="SUS"/>
    <m/>
    <x v="156"/>
    <s v="9331042980024F61F9E43104"/>
    <s v="C0765050069H2WH1"/>
    <n v="13800001338"/>
    <n v="440152219656"/>
    <m/>
    <m/>
    <d v="2018-04-12T00:00:00"/>
    <s v="Yes"/>
    <s v="Yes"/>
    <x v="0"/>
    <m/>
    <m/>
  </r>
  <r>
    <x v="3"/>
    <s v="HILSRTL183"/>
    <s v="Yes"/>
    <x v="1"/>
    <s v="PCIe"/>
    <s v="SN3633310"/>
    <m/>
    <x v="0"/>
    <x v="0"/>
    <x v="21"/>
    <x v="32"/>
    <x v="1"/>
    <s v="No"/>
    <s v="Yes"/>
    <s v="4x"/>
    <s v="HILSRTM007sMini.hf.intel.com"/>
    <x v="27"/>
    <m/>
    <s v="C7H750600DKHXNKKA"/>
    <n v="971727403"/>
    <n v="440152249352"/>
    <m/>
    <m/>
    <d v="2018-04-11T00:00:00"/>
    <s v="Yes"/>
    <s v="Yes"/>
    <x v="0"/>
    <m/>
    <m/>
  </r>
  <r>
    <x v="3"/>
    <s v="HILSRTL184"/>
    <s v="Yes"/>
    <x v="1"/>
    <s v="PCIe"/>
    <s v="SN3633290"/>
    <m/>
    <x v="0"/>
    <x v="0"/>
    <x v="21"/>
    <x v="32"/>
    <x v="1"/>
    <s v="No"/>
    <s v="Yes"/>
    <s v="4x"/>
    <s v="HILSRTM007sMini.hf.intel.com"/>
    <x v="29"/>
    <m/>
    <s v="C7H750600DKHXNKKA"/>
    <n v="971727403"/>
    <n v="440152249352"/>
    <m/>
    <m/>
    <d v="2018-04-11T00:00:00"/>
    <s v="Yes"/>
    <s v="Yes"/>
    <x v="0"/>
    <m/>
    <m/>
  </r>
  <r>
    <x v="3"/>
    <s v="HILSRTL185"/>
    <s v="Yes"/>
    <x v="1"/>
    <s v="PCIe"/>
    <s v="SN3633273"/>
    <m/>
    <x v="0"/>
    <x v="0"/>
    <x v="20"/>
    <x v="32"/>
    <x v="1"/>
    <s v="No"/>
    <s v="Yes"/>
    <s v="4x"/>
    <s v="HILSRTM007sMini.hf.intel.com"/>
    <x v="30"/>
    <m/>
    <s v="C7H750600DKHXNKKA"/>
    <n v="971727403"/>
    <n v="440152249352"/>
    <m/>
    <m/>
    <d v="2018-04-11T00:00:00"/>
    <s v="Yes"/>
    <s v="Yes"/>
    <x v="0"/>
    <m/>
    <m/>
  </r>
  <r>
    <x v="3"/>
    <s v="HILSRTL181"/>
    <s v="Yes"/>
    <x v="1"/>
    <s v="PCIe"/>
    <s v="SN3220225"/>
    <m/>
    <x v="0"/>
    <x v="0"/>
    <x v="20"/>
    <x v="32"/>
    <x v="1"/>
    <s v="No"/>
    <s v="Yes"/>
    <s v="4x"/>
    <s v="HILSRTM007sMini.hf.intel.com"/>
    <x v="26"/>
    <m/>
    <s v="C7H750600DKHXNKKA"/>
    <n v="971727403"/>
    <n v="440152249352"/>
    <m/>
    <m/>
    <d v="2018-04-11T00:00:00"/>
    <s v="Yes"/>
    <s v="Yes"/>
    <x v="0"/>
    <m/>
    <m/>
  </r>
  <r>
    <x v="3"/>
    <s v="HILSRTL186"/>
    <s v="Yes"/>
    <x v="4"/>
    <s v="PCIe"/>
    <s v="SN3633313"/>
    <m/>
    <x v="0"/>
    <x v="0"/>
    <x v="21"/>
    <x v="32"/>
    <x v="1"/>
    <s v="No"/>
    <s v="Yes"/>
    <s v="4x"/>
    <s v="HILSRTM007sMini.hf.intel.com"/>
    <x v="31"/>
    <m/>
    <s v="C7H750600DKHXNKKA"/>
    <n v="971727403"/>
    <n v="440152249352"/>
    <m/>
    <m/>
    <d v="2018-04-11T00:00:00"/>
    <s v="Yes"/>
    <s v="Yes"/>
    <x v="0"/>
    <m/>
    <m/>
  </r>
  <r>
    <x v="0"/>
    <s v="BASRTL354"/>
    <s v="Yes"/>
    <x v="3"/>
    <s v="PCIe"/>
    <s v="SN3648219"/>
    <m/>
    <x v="1"/>
    <x v="0"/>
    <x v="2"/>
    <x v="2"/>
    <x v="8"/>
    <s v="No"/>
    <m/>
    <m/>
    <m/>
    <x v="521"/>
    <m/>
    <m/>
    <m/>
    <m/>
    <m/>
    <m/>
    <d v="2018-04-17T00:00:00"/>
    <s v="Yes"/>
    <s v="Yes"/>
    <x v="1"/>
    <s v="Lend to Script"/>
    <s v="Lend to Script Team"/>
  </r>
  <r>
    <x v="0"/>
    <s v="BASRTL355"/>
    <s v="No"/>
    <x v="2"/>
    <s v="PCIe"/>
    <s v="SN3648375"/>
    <m/>
    <x v="0"/>
    <x v="1"/>
    <x v="6"/>
    <x v="1"/>
    <x v="1"/>
    <s v="No"/>
    <s v="No"/>
    <m/>
    <m/>
    <x v="522"/>
    <m/>
    <m/>
    <m/>
    <m/>
    <m/>
    <m/>
    <d v="2018-04-17T00:00:00"/>
    <s v="Yes"/>
    <s v="Yes"/>
    <x v="1"/>
    <m/>
    <s v="Waiting for Accessories &amp; Rack Installation ongoing"/>
  </r>
  <r>
    <x v="0"/>
    <s v="BASRTL356"/>
    <s v="No"/>
    <x v="2"/>
    <s v="PCIe"/>
    <s v="SN3648439"/>
    <m/>
    <x v="0"/>
    <x v="1"/>
    <x v="6"/>
    <x v="1"/>
    <x v="1"/>
    <s v="No"/>
    <s v="No"/>
    <m/>
    <m/>
    <x v="523"/>
    <m/>
    <m/>
    <m/>
    <m/>
    <m/>
    <m/>
    <d v="2018-04-17T00:00:00"/>
    <s v="Yes"/>
    <s v="Yes"/>
    <x v="1"/>
    <m/>
    <s v="Waiting for Accessories &amp; Rack Installation ongoing"/>
  </r>
  <r>
    <x v="0"/>
    <s v="BASRTL357"/>
    <s v="Yes"/>
    <x v="4"/>
    <s v="PCIe"/>
    <s v="SN3648331"/>
    <m/>
    <x v="1"/>
    <x v="0"/>
    <x v="4"/>
    <x v="4"/>
    <x v="8"/>
    <s v="No"/>
    <m/>
    <m/>
    <m/>
    <x v="524"/>
    <m/>
    <m/>
    <m/>
    <m/>
    <m/>
    <m/>
    <d v="2018-04-17T00:00:00"/>
    <s v="Yes"/>
    <s v="Yes"/>
    <x v="0"/>
    <m/>
    <m/>
  </r>
  <r>
    <x v="0"/>
    <s v="BASRTL358"/>
    <s v="Yes"/>
    <x v="3"/>
    <s v="PCIe"/>
    <s v="SN3648366"/>
    <m/>
    <x v="1"/>
    <x v="0"/>
    <x v="4"/>
    <x v="4"/>
    <x v="8"/>
    <s v="No"/>
    <m/>
    <m/>
    <m/>
    <x v="525"/>
    <m/>
    <m/>
    <m/>
    <m/>
    <m/>
    <m/>
    <d v="2018-04-17T00:00:00"/>
    <s v="Yes"/>
    <s v="Yes"/>
    <x v="0"/>
    <m/>
    <m/>
  </r>
  <r>
    <x v="0"/>
    <s v="BASRTL359"/>
    <s v="No"/>
    <x v="2"/>
    <s v="PCIe"/>
    <s v="SN3648363"/>
    <m/>
    <x v="0"/>
    <x v="1"/>
    <x v="2"/>
    <x v="2"/>
    <x v="1"/>
    <s v="No"/>
    <s v="No"/>
    <m/>
    <m/>
    <x v="526"/>
    <m/>
    <m/>
    <m/>
    <m/>
    <m/>
    <m/>
    <d v="2018-04-17T00:00:00"/>
    <s v="Yes"/>
    <s v="In progress"/>
    <x v="2"/>
    <m/>
    <s v="Waiting for Accessories &amp; Rack Installation ongoing"/>
  </r>
  <r>
    <x v="0"/>
    <s v="BASRTL360"/>
    <s v="No"/>
    <x v="2"/>
    <s v="PCIe"/>
    <s v="SN3648400"/>
    <m/>
    <x v="1"/>
    <x v="0"/>
    <x v="4"/>
    <x v="4"/>
    <x v="4"/>
    <s v="No"/>
    <s v="No"/>
    <m/>
    <m/>
    <x v="527"/>
    <m/>
    <m/>
    <m/>
    <m/>
    <m/>
    <m/>
    <d v="2018-04-17T00:00:00"/>
    <s v="Yes"/>
    <s v="Yes"/>
    <x v="0"/>
    <m/>
    <s v="_x000a_JAN 3: Sanity Passed _x000a_JAN 2: Recalibrated on 1901DB01 with 1851.01 Cal Tool Sanity Ongoing_x000a_DEC 29: Replace ICE18 HW with MK4 HW"/>
  </r>
  <r>
    <x v="0"/>
    <m/>
    <s v="No"/>
    <x v="2"/>
    <s v="PCIe"/>
    <s v="SN3648376"/>
    <m/>
    <x v="0"/>
    <x v="1"/>
    <x v="2"/>
    <x v="2"/>
    <x v="1"/>
    <s v="No"/>
    <s v="No"/>
    <m/>
    <m/>
    <x v="528"/>
    <m/>
    <m/>
    <m/>
    <m/>
    <m/>
    <m/>
    <d v="2018-04-17T00:00:00"/>
    <s v="Yes"/>
    <s v="In progress"/>
    <x v="2"/>
    <m/>
    <s v="Waiting for Accessories &amp; Rack Installation ongoing"/>
  </r>
  <r>
    <x v="1"/>
    <s v="MU000003299562"/>
    <s v="No"/>
    <x v="11"/>
    <s v="PCIe"/>
    <s v="SN3299562"/>
    <m/>
    <x v="0"/>
    <x v="2"/>
    <x v="2"/>
    <x v="2"/>
    <x v="3"/>
    <m/>
    <m/>
    <m/>
    <m/>
    <x v="13"/>
    <m/>
    <m/>
    <m/>
    <m/>
    <m/>
    <m/>
    <m/>
    <s v="Yes"/>
    <s v="Yes"/>
    <x v="1"/>
    <m/>
    <s v="Used for Boot test, if want to use need update config for normal testseup"/>
  </r>
  <r>
    <x v="1"/>
    <s v="MUCSRTL091"/>
    <s v="No"/>
    <x v="11"/>
    <s v="PCIe"/>
    <s v="SN3299694"/>
    <m/>
    <x v="0"/>
    <x v="2"/>
    <x v="2"/>
    <x v="2"/>
    <x v="1"/>
    <m/>
    <m/>
    <m/>
    <m/>
    <x v="13"/>
    <m/>
    <m/>
    <m/>
    <m/>
    <m/>
    <m/>
    <d v="2018-02-05T00:00:00"/>
    <s v="Yes"/>
    <s v="Yes"/>
    <x v="0"/>
    <s v="Lend to Boot"/>
    <s v="Used for Boot test, if want to use need update config for normal testseup"/>
  </r>
  <r>
    <x v="1"/>
    <s v="MUCSRTL090"/>
    <s v="No"/>
    <x v="11"/>
    <s v="PCIe"/>
    <s v="SN3299542"/>
    <m/>
    <x v="0"/>
    <x v="2"/>
    <x v="2"/>
    <x v="2"/>
    <x v="3"/>
    <m/>
    <m/>
    <m/>
    <m/>
    <x v="13"/>
    <m/>
    <m/>
    <m/>
    <m/>
    <m/>
    <m/>
    <m/>
    <s v="Yes"/>
    <s v="Yes"/>
    <x v="1"/>
    <m/>
    <s v="Used for Boot test, if want to use need update config for normal testseup"/>
  </r>
  <r>
    <x v="1"/>
    <s v="MUCSRTL093"/>
    <s v="No"/>
    <x v="11"/>
    <s v="PCIe"/>
    <s v="SN3299399"/>
    <m/>
    <x v="0"/>
    <x v="2"/>
    <x v="2"/>
    <x v="2"/>
    <x v="1"/>
    <m/>
    <m/>
    <m/>
    <m/>
    <x v="13"/>
    <m/>
    <m/>
    <m/>
    <m/>
    <m/>
    <m/>
    <d v="2018-02-05T00:00:00"/>
    <s v="Yes"/>
    <s v="Yes"/>
    <x v="0"/>
    <s v="Lend to Boot"/>
    <s v="Used for Boot test, if want to use need update config for normal testseup"/>
  </r>
  <r>
    <x v="1"/>
    <s v="MUCSRTL092"/>
    <s v="No"/>
    <x v="11"/>
    <s v="PCIe"/>
    <s v="SN3299813"/>
    <m/>
    <x v="0"/>
    <x v="2"/>
    <x v="2"/>
    <x v="2"/>
    <x v="3"/>
    <m/>
    <m/>
    <m/>
    <m/>
    <x v="13"/>
    <m/>
    <m/>
    <m/>
    <m/>
    <m/>
    <m/>
    <m/>
    <s v="Yes"/>
    <s v="Yes"/>
    <x v="1"/>
    <m/>
    <s v="Used for Boot test, if want to use need update config for normal testseup"/>
  </r>
  <r>
    <x v="1"/>
    <s v="MU000003299487 "/>
    <s v="No"/>
    <x v="11"/>
    <s v="PCIe"/>
    <s v="SN3299487"/>
    <m/>
    <x v="0"/>
    <x v="2"/>
    <x v="2"/>
    <x v="2"/>
    <x v="3"/>
    <m/>
    <m/>
    <m/>
    <m/>
    <x v="13"/>
    <m/>
    <m/>
    <m/>
    <m/>
    <m/>
    <m/>
    <m/>
    <s v="Yes"/>
    <s v="Yes"/>
    <x v="1"/>
    <m/>
    <s v="Used for Boot test, if want to use need update config for normal testseup"/>
  </r>
  <r>
    <x v="0"/>
    <s v="BASRTL107"/>
    <s v="Yes"/>
    <x v="3"/>
    <s v="PCIe"/>
    <s v="SN2794308"/>
    <m/>
    <x v="1"/>
    <x v="0"/>
    <x v="4"/>
    <x v="4"/>
    <x v="4"/>
    <s v="No"/>
    <m/>
    <m/>
    <s v="labuser4-mini.iind.intel.com "/>
    <x v="13"/>
    <m/>
    <m/>
    <m/>
    <m/>
    <m/>
    <m/>
    <d v="2018-05-02T00:00:00"/>
    <s v="Yes"/>
    <s v="Yes"/>
    <x v="0"/>
    <m/>
    <s v="29 DEC: Sanity Passed_x000a_28 DEC: Replace from MK3 to MK4 Sanity ongoing "/>
  </r>
  <r>
    <x v="0"/>
    <s v="BASRTL137"/>
    <s v="Yes"/>
    <x v="0"/>
    <s v="PCIe"/>
    <s v="SN2510541"/>
    <m/>
    <x v="1"/>
    <x v="1"/>
    <x v="10"/>
    <x v="33"/>
    <x v="8"/>
    <s v="No"/>
    <m/>
    <m/>
    <m/>
    <x v="13"/>
    <m/>
    <m/>
    <m/>
    <m/>
    <m/>
    <m/>
    <d v="2018-05-02T00:00:00"/>
    <s v="Yes"/>
    <s v="Yes"/>
    <x v="0"/>
    <m/>
    <m/>
  </r>
  <r>
    <x v="3"/>
    <s v="HILSRTL198"/>
    <s v="No"/>
    <x v="1"/>
    <s v="PCIe"/>
    <s v="SN3633325"/>
    <m/>
    <x v="0"/>
    <x v="0"/>
    <x v="21"/>
    <x v="32"/>
    <x v="9"/>
    <s v="No"/>
    <s v="No"/>
    <s v="4x"/>
    <s v="HILSRTM007sMini.hf.intel.com"/>
    <x v="13"/>
    <m/>
    <m/>
    <m/>
    <m/>
    <m/>
    <m/>
    <m/>
    <s v="Yes"/>
    <s v="Yes"/>
    <x v="0"/>
    <m/>
    <m/>
  </r>
  <r>
    <x v="3"/>
    <s v="HILSRTL190"/>
    <s v="Yes"/>
    <x v="6"/>
    <s v="PCIe"/>
    <s v="SN3633275"/>
    <m/>
    <x v="0"/>
    <x v="0"/>
    <x v="22"/>
    <x v="13"/>
    <x v="1"/>
    <s v="No"/>
    <s v="Yes"/>
    <s v="4x"/>
    <s v="HILSRTM009sMini.hf.intel.com"/>
    <x v="35"/>
    <m/>
    <s v="C7H750600D0HXNKKV"/>
    <n v="9135268599"/>
    <n v="4401522390166"/>
    <m/>
    <m/>
    <m/>
    <s v="Yes"/>
    <s v="Yes"/>
    <x v="0"/>
    <m/>
    <s v="HW SWAPPED WITH HILSRTL158"/>
  </r>
  <r>
    <x v="3"/>
    <s v="HILSRTL192"/>
    <s v="Yes"/>
    <x v="6"/>
    <s v="PCIe"/>
    <s v="SN3633293"/>
    <m/>
    <x v="0"/>
    <x v="1"/>
    <x v="24"/>
    <x v="34"/>
    <x v="1"/>
    <s v="No"/>
    <s v="Yes"/>
    <s v="4x"/>
    <s v="HILSRTM005sMini.hf.intel.com"/>
    <x v="529"/>
    <m/>
    <m/>
    <m/>
    <m/>
    <m/>
    <m/>
    <m/>
    <s v="Yes"/>
    <s v="Yes"/>
    <x v="0"/>
    <m/>
    <m/>
  </r>
  <r>
    <x v="3"/>
    <s v="HILSRTL193"/>
    <s v="Yes"/>
    <x v="6"/>
    <s v="PCIe"/>
    <s v="SN3633311"/>
    <m/>
    <x v="0"/>
    <x v="1"/>
    <x v="24"/>
    <x v="34"/>
    <x v="1"/>
    <s v="No"/>
    <s v="Yes"/>
    <s v="4x"/>
    <s v="HILSRTM005sMini.hf.intel.com"/>
    <x v="530"/>
    <m/>
    <m/>
    <m/>
    <m/>
    <m/>
    <m/>
    <m/>
    <s v="Yes"/>
    <s v="Yes"/>
    <x v="0"/>
    <m/>
    <m/>
  </r>
  <r>
    <x v="3"/>
    <s v="HILSRTL199"/>
    <s v="Yes"/>
    <x v="6"/>
    <s v="PCIe"/>
    <s v="SN3633326"/>
    <m/>
    <x v="0"/>
    <x v="1"/>
    <x v="24"/>
    <x v="34"/>
    <x v="9"/>
    <s v="No"/>
    <s v="Yes"/>
    <s v="4x"/>
    <s v="HILSRTM005sMini.hf.intel.com"/>
    <x v="40"/>
    <m/>
    <m/>
    <m/>
    <m/>
    <m/>
    <m/>
    <m/>
    <s v="Yes"/>
    <s v="Yes"/>
    <x v="0"/>
    <m/>
    <m/>
  </r>
  <r>
    <x v="3"/>
    <s v="HILSRTL200"/>
    <s v="Yes"/>
    <x v="6"/>
    <s v="PCIe"/>
    <s v="SN3633295"/>
    <m/>
    <x v="0"/>
    <x v="1"/>
    <x v="24"/>
    <x v="34"/>
    <x v="1"/>
    <s v="No"/>
    <s v="Yes"/>
    <s v="4x"/>
    <s v="HILSRTM009sMini.hf.intel.com"/>
    <x v="41"/>
    <m/>
    <m/>
    <m/>
    <m/>
    <m/>
    <m/>
    <m/>
    <s v="Yes"/>
    <s v="Yes"/>
    <x v="0"/>
    <m/>
    <m/>
  </r>
  <r>
    <x v="3"/>
    <s v="HILSRTL205"/>
    <s v="Yes"/>
    <x v="6"/>
    <s v="PCIe"/>
    <s v="SN3648487"/>
    <m/>
    <x v="0"/>
    <x v="1"/>
    <x v="24"/>
    <x v="34"/>
    <x v="1"/>
    <s v="No"/>
    <s v="Yes"/>
    <s v="4x"/>
    <s v="HILSRTM009sMini.hf.intel.com"/>
    <x v="45"/>
    <m/>
    <m/>
    <m/>
    <m/>
    <m/>
    <m/>
    <m/>
    <s v="Yes"/>
    <s v="Yes"/>
    <x v="0"/>
    <m/>
    <m/>
  </r>
  <r>
    <x v="3"/>
    <s v="HILSRTL206"/>
    <s v="Yes"/>
    <x v="6"/>
    <s v="PCIe"/>
    <s v="SN3648307"/>
    <m/>
    <x v="0"/>
    <x v="1"/>
    <x v="24"/>
    <x v="34"/>
    <x v="1"/>
    <s v="No"/>
    <s v="Yes"/>
    <s v="4x"/>
    <s v="HILSRTM009sMini.hf.intel.com"/>
    <x v="46"/>
    <m/>
    <m/>
    <m/>
    <m/>
    <m/>
    <m/>
    <m/>
    <s v="Yes"/>
    <s v="Yes"/>
    <x v="0"/>
    <m/>
    <m/>
  </r>
  <r>
    <x v="3"/>
    <s v="HILSRTL207"/>
    <s v="Yes"/>
    <x v="6"/>
    <s v="PCIe"/>
    <s v="SN3648213"/>
    <m/>
    <x v="0"/>
    <x v="1"/>
    <x v="24"/>
    <x v="34"/>
    <x v="1"/>
    <s v="No"/>
    <s v="Yes"/>
    <s v="4x"/>
    <s v="HILSRTM008sMini.hf.intel.com"/>
    <x v="47"/>
    <m/>
    <m/>
    <m/>
    <m/>
    <m/>
    <m/>
    <m/>
    <s v="Yes"/>
    <s v="Yes"/>
    <x v="0"/>
    <m/>
    <m/>
  </r>
  <r>
    <x v="3"/>
    <s v="HILSRTL208"/>
    <s v="Yes"/>
    <x v="6"/>
    <s v="PCIe"/>
    <s v="SN3648316"/>
    <m/>
    <x v="0"/>
    <x v="1"/>
    <x v="24"/>
    <x v="34"/>
    <x v="1"/>
    <s v="No"/>
    <s v="Yes"/>
    <s v="4x"/>
    <s v="HILSRTM008sMini.hf.intel.com"/>
    <x v="531"/>
    <m/>
    <m/>
    <m/>
    <m/>
    <m/>
    <m/>
    <m/>
    <s v="Yes"/>
    <s v="Yes"/>
    <x v="0"/>
    <m/>
    <m/>
  </r>
  <r>
    <x v="3"/>
    <s v="HILSRTL209"/>
    <s v="Yes"/>
    <x v="6"/>
    <s v="PCIe"/>
    <s v="SN3648516"/>
    <m/>
    <x v="0"/>
    <x v="1"/>
    <x v="24"/>
    <x v="34"/>
    <x v="1"/>
    <s v="No"/>
    <s v="Yes"/>
    <s v="4x"/>
    <s v="HILSRTM005sMini.hf.intel.com"/>
    <x v="532"/>
    <m/>
    <m/>
    <m/>
    <m/>
    <m/>
    <m/>
    <m/>
    <s v="Yes"/>
    <s v="Yes"/>
    <x v="0"/>
    <m/>
    <m/>
  </r>
  <r>
    <x v="3"/>
    <s v="HILSRTL240"/>
    <s v="Yes"/>
    <x v="6"/>
    <s v="PCIe"/>
    <s v="SN3648252"/>
    <m/>
    <x v="0"/>
    <x v="1"/>
    <x v="24"/>
    <x v="34"/>
    <x v="1"/>
    <s v="No"/>
    <s v="Yes"/>
    <s v="4x"/>
    <s v="HILSRTM005sMini.hf.intel.com"/>
    <x v="533"/>
    <m/>
    <m/>
    <m/>
    <m/>
    <m/>
    <m/>
    <m/>
    <s v="Yes"/>
    <s v="Yes"/>
    <x v="0"/>
    <m/>
    <m/>
  </r>
  <r>
    <x v="3"/>
    <s v="HILSRTL242"/>
    <s v="Yes"/>
    <x v="6"/>
    <s v="PCIe"/>
    <s v="SN3648427"/>
    <m/>
    <x v="0"/>
    <x v="1"/>
    <x v="24"/>
    <x v="34"/>
    <x v="1"/>
    <s v="No"/>
    <s v="Yes"/>
    <s v="4x"/>
    <s v="HILSRTM006sMini.hf.intel.com"/>
    <x v="534"/>
    <m/>
    <m/>
    <m/>
    <m/>
    <m/>
    <m/>
    <m/>
    <s v="Yes"/>
    <s v="Yes"/>
    <x v="0"/>
    <m/>
    <m/>
  </r>
  <r>
    <x v="3"/>
    <s v="HILSRTL241"/>
    <s v="Yes"/>
    <x v="6"/>
    <s v="PCIe"/>
    <s v="SN3648440"/>
    <m/>
    <x v="0"/>
    <x v="1"/>
    <x v="24"/>
    <x v="34"/>
    <x v="1"/>
    <s v="No"/>
    <s v="Yes"/>
    <s v="4x"/>
    <s v="HILSRTM009sMini.hf.intel.com"/>
    <x v="535"/>
    <m/>
    <m/>
    <m/>
    <m/>
    <m/>
    <m/>
    <m/>
    <s v="Yes"/>
    <s v="Yes"/>
    <x v="0"/>
    <m/>
    <m/>
  </r>
  <r>
    <x v="3"/>
    <s v="HILSRTL243"/>
    <s v="Yes"/>
    <x v="6"/>
    <s v="PCIe"/>
    <s v="SN3648535"/>
    <m/>
    <x v="0"/>
    <x v="1"/>
    <x v="24"/>
    <x v="34"/>
    <x v="1"/>
    <s v="No"/>
    <s v="Yes"/>
    <s v="4x"/>
    <s v="HILSRTM007sMini.hf.intel.com"/>
    <x v="13"/>
    <m/>
    <m/>
    <m/>
    <m/>
    <m/>
    <m/>
    <m/>
    <s v="Yes"/>
    <s v="Yes"/>
    <x v="0"/>
    <m/>
    <m/>
  </r>
  <r>
    <x v="3"/>
    <s v="HILSRTL196"/>
    <s v="Yes"/>
    <x v="2"/>
    <s v="PCIe"/>
    <s v="SN3648320"/>
    <m/>
    <x v="0"/>
    <x v="1"/>
    <x v="24"/>
    <x v="34"/>
    <x v="1"/>
    <s v="No"/>
    <s v="No"/>
    <s v="4x"/>
    <s v="HILSRTM009sMini.hf.intel.com"/>
    <x v="536"/>
    <m/>
    <m/>
    <m/>
    <m/>
    <m/>
    <m/>
    <m/>
    <s v="Yes"/>
    <s v="Yes"/>
    <x v="0"/>
    <m/>
    <m/>
  </r>
  <r>
    <x v="3"/>
    <s v="HILSRTL244"/>
    <s v="Yes"/>
    <x v="6"/>
    <s v="PCIe"/>
    <s v="SN3647747"/>
    <m/>
    <x v="0"/>
    <x v="1"/>
    <x v="24"/>
    <x v="34"/>
    <x v="1"/>
    <s v="No"/>
    <s v="No"/>
    <s v="4x"/>
    <s v="HILSRTM011sMini.hf.intel.com"/>
    <x v="537"/>
    <m/>
    <m/>
    <m/>
    <m/>
    <m/>
    <m/>
    <m/>
    <s v="Yes"/>
    <s v="Yes"/>
    <x v="0"/>
    <m/>
    <m/>
  </r>
  <r>
    <x v="3"/>
    <s v="HILSRTL245"/>
    <s v="Yes"/>
    <x v="6"/>
    <s v="PCIe"/>
    <s v="SN3648142"/>
    <m/>
    <x v="0"/>
    <x v="1"/>
    <x v="39"/>
    <x v="34"/>
    <x v="1"/>
    <s v="No"/>
    <s v="No"/>
    <s v="4x"/>
    <s v="HILSRTM011sMini.hf.intel.com"/>
    <x v="538"/>
    <m/>
    <m/>
    <m/>
    <m/>
    <m/>
    <m/>
    <m/>
    <s v="Yes"/>
    <s v="Yes"/>
    <x v="0"/>
    <m/>
    <m/>
  </r>
  <r>
    <x v="3"/>
    <s v="HILSRTL247"/>
    <s v="Yes"/>
    <x v="6"/>
    <s v="PCIe"/>
    <s v="SN3647643"/>
    <m/>
    <x v="0"/>
    <x v="1"/>
    <x v="39"/>
    <x v="34"/>
    <x v="1"/>
    <s v="No"/>
    <s v="No"/>
    <s v="4x"/>
    <s v="HILSRTM011sMini.hf.intel.com"/>
    <x v="539"/>
    <m/>
    <m/>
    <m/>
    <m/>
    <m/>
    <m/>
    <m/>
    <s v="Yes"/>
    <s v="Yes"/>
    <x v="0"/>
    <m/>
    <m/>
  </r>
  <r>
    <x v="3"/>
    <s v="HILSRTL248"/>
    <s v="Yes"/>
    <x v="6"/>
    <s v="PCIe"/>
    <s v="SN3647964"/>
    <m/>
    <x v="0"/>
    <x v="1"/>
    <x v="39"/>
    <x v="34"/>
    <x v="1"/>
    <s v="No"/>
    <s v="No"/>
    <s v="4x"/>
    <s v="HILSRTM011sMini.hf.intel.com"/>
    <x v="65"/>
    <m/>
    <m/>
    <m/>
    <m/>
    <m/>
    <m/>
    <m/>
    <s v="Yes"/>
    <s v="Yes"/>
    <x v="0"/>
    <m/>
    <m/>
  </r>
  <r>
    <x v="3"/>
    <s v="HILSRTL249"/>
    <s v="Yes"/>
    <x v="6"/>
    <s v="PCIe"/>
    <s v="SN3647898"/>
    <m/>
    <x v="0"/>
    <x v="1"/>
    <x v="39"/>
    <x v="34"/>
    <x v="1"/>
    <s v="No"/>
    <s v="No"/>
    <s v="4x"/>
    <s v="HILSRTM010sMini.hf.intel.com"/>
    <x v="66"/>
    <m/>
    <m/>
    <m/>
    <m/>
    <m/>
    <m/>
    <m/>
    <s v="Yes"/>
    <s v="Yes"/>
    <x v="0"/>
    <m/>
    <m/>
  </r>
  <r>
    <x v="3"/>
    <s v="HILSRTL250"/>
    <s v="Yes"/>
    <x v="6"/>
    <s v="PCIe"/>
    <s v="SN3648089"/>
    <m/>
    <x v="0"/>
    <x v="1"/>
    <x v="39"/>
    <x v="34"/>
    <x v="1"/>
    <s v="No"/>
    <s v="No"/>
    <s v="4x"/>
    <s v="HILSRTM010sMini.hf.intel.com"/>
    <x v="67"/>
    <m/>
    <m/>
    <m/>
    <m/>
    <m/>
    <m/>
    <m/>
    <s v="Yes"/>
    <s v="Yes"/>
    <x v="0"/>
    <m/>
    <m/>
  </r>
  <r>
    <x v="3"/>
    <s v="HILSRTL251"/>
    <s v="Yes"/>
    <x v="6"/>
    <s v="PCIe"/>
    <s v="SN3647847"/>
    <m/>
    <x v="0"/>
    <x v="1"/>
    <x v="39"/>
    <x v="34"/>
    <x v="1"/>
    <s v="No"/>
    <s v="No"/>
    <s v="4x"/>
    <s v="HILSRTM010sMini.hf.intel.com"/>
    <x v="68"/>
    <m/>
    <m/>
    <m/>
    <m/>
    <m/>
    <m/>
    <m/>
    <s v="Yes"/>
    <s v="Yes"/>
    <x v="0"/>
    <m/>
    <m/>
  </r>
  <r>
    <x v="3"/>
    <s v="HILSRTL252"/>
    <s v="No"/>
    <x v="6"/>
    <s v="PCIe"/>
    <s v="SN3647862"/>
    <m/>
    <x v="0"/>
    <x v="1"/>
    <x v="39"/>
    <x v="34"/>
    <x v="1"/>
    <s v="No"/>
    <s v="No"/>
    <s v="4x"/>
    <s v="HILSRTM010sMini.hf.intel.com"/>
    <x v="69"/>
    <m/>
    <m/>
    <m/>
    <m/>
    <m/>
    <m/>
    <m/>
    <s v="Yes"/>
    <s v="Yes"/>
    <x v="1"/>
    <s v="Debug Needed"/>
    <m/>
  </r>
  <r>
    <x v="3"/>
    <s v="HILSRTL253"/>
    <s v="Yes"/>
    <x v="6"/>
    <s v="PCIe"/>
    <s v="SN3647991"/>
    <m/>
    <x v="0"/>
    <x v="1"/>
    <x v="39"/>
    <x v="34"/>
    <x v="1"/>
    <s v="No"/>
    <s v="No"/>
    <s v="4x"/>
    <s v="HILSRTM010sMini.hf.intel.com"/>
    <x v="70"/>
    <m/>
    <m/>
    <m/>
    <m/>
    <m/>
    <m/>
    <m/>
    <s v="Yes"/>
    <s v="Yes"/>
    <x v="0"/>
    <m/>
    <m/>
  </r>
  <r>
    <x v="3"/>
    <s v="HILSRTL255"/>
    <s v="Yes"/>
    <x v="6"/>
    <s v="PCIe"/>
    <s v="SN3647827"/>
    <m/>
    <x v="0"/>
    <x v="1"/>
    <x v="39"/>
    <x v="34"/>
    <x v="1"/>
    <s v="No"/>
    <s v="No"/>
    <s v="4x"/>
    <s v="HILSRTM011sMini.hf.intel.com"/>
    <x v="72"/>
    <m/>
    <m/>
    <m/>
    <m/>
    <m/>
    <m/>
    <m/>
    <s v="Yes"/>
    <s v="Yes"/>
    <x v="0"/>
    <m/>
    <m/>
  </r>
  <r>
    <x v="2"/>
    <s v="SDSRTL145"/>
    <s v="Yes"/>
    <x v="6"/>
    <s v="PCIe"/>
    <n v="2299817"/>
    <m/>
    <x v="0"/>
    <x v="1"/>
    <x v="40"/>
    <x v="35"/>
    <x v="1"/>
    <s v="No"/>
    <s v="Yes"/>
    <s v="No"/>
    <m/>
    <x v="13"/>
    <m/>
    <m/>
    <m/>
    <m/>
    <m/>
    <m/>
    <m/>
    <s v="Yes"/>
    <s v="Yes"/>
    <x v="0"/>
    <m/>
    <m/>
  </r>
  <r>
    <x v="2"/>
    <s v="SDSRTL147"/>
    <s v="Yes"/>
    <x v="6"/>
    <s v="PCIe"/>
    <n v="2361016"/>
    <m/>
    <x v="0"/>
    <x v="1"/>
    <x v="40"/>
    <x v="35"/>
    <x v="1"/>
    <s v="No"/>
    <s v="Yes"/>
    <s v="No"/>
    <m/>
    <x v="13"/>
    <m/>
    <m/>
    <m/>
    <m/>
    <m/>
    <m/>
    <m/>
    <s v="Yes"/>
    <s v="Yes"/>
    <x v="0"/>
    <m/>
    <m/>
  </r>
  <r>
    <x v="2"/>
    <s v="SDSRTL150"/>
    <s v="Yes"/>
    <x v="6"/>
    <s v="PCIe"/>
    <n v="2361085"/>
    <m/>
    <x v="0"/>
    <x v="1"/>
    <x v="40"/>
    <x v="35"/>
    <x v="1"/>
    <s v="No"/>
    <s v="Yes"/>
    <s v="No"/>
    <m/>
    <x v="13"/>
    <m/>
    <m/>
    <m/>
    <m/>
    <m/>
    <m/>
    <m/>
    <s v="Yes"/>
    <s v="Yes"/>
    <x v="0"/>
    <m/>
    <m/>
  </r>
  <r>
    <x v="2"/>
    <s v="SDSRTL151"/>
    <s v="Yes"/>
    <x v="6"/>
    <s v="PCIe"/>
    <n v="3648491"/>
    <m/>
    <x v="0"/>
    <x v="1"/>
    <x v="40"/>
    <x v="35"/>
    <x v="1"/>
    <s v="No"/>
    <s v="Yes"/>
    <s v="No"/>
    <m/>
    <x v="13"/>
    <m/>
    <m/>
    <m/>
    <m/>
    <m/>
    <m/>
    <m/>
    <s v="Yes"/>
    <s v="Yes"/>
    <x v="0"/>
    <m/>
    <m/>
  </r>
  <r>
    <x v="2"/>
    <s v="SDSRTL152"/>
    <s v="Yes"/>
    <x v="6"/>
    <s v="PCIe"/>
    <n v="3648471"/>
    <m/>
    <x v="0"/>
    <x v="1"/>
    <x v="40"/>
    <x v="35"/>
    <x v="1"/>
    <s v="No"/>
    <s v="Yes"/>
    <s v="No"/>
    <m/>
    <x v="13"/>
    <m/>
    <m/>
    <m/>
    <m/>
    <m/>
    <m/>
    <m/>
    <s v="Yes"/>
    <s v="Yes"/>
    <x v="0"/>
    <m/>
    <m/>
  </r>
  <r>
    <x v="2"/>
    <s v="SDSRTL153"/>
    <s v="Yes"/>
    <x v="6"/>
    <s v="PCIe"/>
    <n v="3648361"/>
    <m/>
    <x v="0"/>
    <x v="1"/>
    <x v="40"/>
    <x v="35"/>
    <x v="1"/>
    <s v="No"/>
    <s v="Yes"/>
    <s v="No"/>
    <m/>
    <x v="13"/>
    <m/>
    <m/>
    <m/>
    <m/>
    <m/>
    <m/>
    <m/>
    <s v="Yes"/>
    <s v="Yes"/>
    <x v="0"/>
    <m/>
    <m/>
  </r>
  <r>
    <x v="2"/>
    <s v="SDSRTL154"/>
    <s v="Yes"/>
    <x v="6"/>
    <s v="PCIe"/>
    <n v="2361066"/>
    <m/>
    <x v="0"/>
    <x v="1"/>
    <x v="40"/>
    <x v="35"/>
    <x v="1"/>
    <s v="No"/>
    <s v="Yes"/>
    <s v="No"/>
    <m/>
    <x v="13"/>
    <m/>
    <m/>
    <m/>
    <m/>
    <m/>
    <m/>
    <m/>
    <s v="Yes"/>
    <s v="Yes"/>
    <x v="0"/>
    <m/>
    <m/>
  </r>
  <r>
    <x v="2"/>
    <s v="SDSRTL155"/>
    <s v="Yes"/>
    <x v="6"/>
    <s v="PCIe"/>
    <n v="3647717"/>
    <m/>
    <x v="0"/>
    <x v="1"/>
    <x v="41"/>
    <x v="35"/>
    <x v="1"/>
    <s v="No"/>
    <s v="Yes"/>
    <s v="No"/>
    <m/>
    <x v="13"/>
    <m/>
    <m/>
    <m/>
    <m/>
    <m/>
    <m/>
    <m/>
    <s v="Yes"/>
    <s v="Yes"/>
    <x v="0"/>
    <m/>
    <m/>
  </r>
  <r>
    <x v="2"/>
    <s v="SDSRTL156"/>
    <s v="Yes"/>
    <x v="6"/>
    <s v="PCIe"/>
    <n v="3374835"/>
    <m/>
    <x v="0"/>
    <x v="1"/>
    <x v="40"/>
    <x v="35"/>
    <x v="1"/>
    <s v="No"/>
    <s v="Yes"/>
    <s v="No"/>
    <m/>
    <x v="13"/>
    <m/>
    <m/>
    <m/>
    <m/>
    <m/>
    <m/>
    <m/>
    <s v="Yes"/>
    <s v="Yes"/>
    <x v="0"/>
    <m/>
    <m/>
  </r>
  <r>
    <x v="4"/>
    <s v="BEJSRTL020"/>
    <s v="Yes"/>
    <x v="0"/>
    <s v="PCIe"/>
    <n v="3316809"/>
    <s v="459/R54/4"/>
    <x v="1"/>
    <x v="0"/>
    <x v="34"/>
    <x v="4"/>
    <x v="8"/>
    <s v="No"/>
    <s v="No"/>
    <s v="No"/>
    <s v="7660utt001smini.bj.intel.com"/>
    <x v="540"/>
    <s v="FC54A4829834DE5DFFFFFFFF"/>
    <s v="C07826600Z2X1R36"/>
    <s v="18511279429"/>
    <s v="00440152289213"/>
    <s v="00440152299213"/>
    <m/>
    <m/>
    <s v="Yes"/>
    <s v="Yes"/>
    <x v="0"/>
    <s v="REGULAR TEST"/>
    <m/>
  </r>
  <r>
    <x v="4"/>
    <s v="BEJSRTL021"/>
    <s v="Yes"/>
    <x v="1"/>
    <s v="PCIe"/>
    <n v="3516352"/>
    <s v="459/R54/5"/>
    <x v="1"/>
    <x v="0"/>
    <x v="26"/>
    <x v="14"/>
    <x v="8"/>
    <s v="No"/>
    <s v="Yes"/>
    <s v="No"/>
    <s v="7660utt001smini.bj.intel.com"/>
    <x v="541"/>
    <s v="C5E5BC4F4823EF56FFFFFFFF"/>
    <s v="C07826600UEX1R36"/>
    <n v="18101234804"/>
    <s v="00440152289235"/>
    <s v="00440152299235"/>
    <m/>
    <d v="2018-09-29T00:00:00"/>
    <s v="Yes"/>
    <s v="Yes"/>
    <x v="0"/>
    <s v="REGULAR TEST"/>
    <m/>
  </r>
  <r>
    <x v="4"/>
    <s v="BEJSRTL022"/>
    <s v="Yes"/>
    <x v="3"/>
    <s v="PCIe"/>
    <n v="3299836"/>
    <s v="459/R54/7"/>
    <x v="1"/>
    <x v="0"/>
    <x v="31"/>
    <x v="0"/>
    <x v="8"/>
    <s v="No"/>
    <s v="No"/>
    <s v="No"/>
    <s v="7660utt001smini.bj.intel.com"/>
    <x v="542"/>
    <s v="434C408C2EE53F7EFFFFFFFF"/>
    <s v="C0782630048X1R36"/>
    <s v="13810019104"/>
    <s v="00440152289188"/>
    <s v="00440152299188"/>
    <m/>
    <m/>
    <s v="Yes"/>
    <s v="Yes"/>
    <x v="0"/>
    <s v="REGULAR TEST"/>
    <m/>
  </r>
  <r>
    <x v="4"/>
    <s v="BEJSRTL025"/>
    <s v="Yes"/>
    <x v="3"/>
    <s v="PCIe"/>
    <n v="3633203"/>
    <s v="459/R54/3"/>
    <x v="1"/>
    <x v="0"/>
    <x v="34"/>
    <x v="4"/>
    <x v="8"/>
    <s v="No"/>
    <s v="No"/>
    <s v="No"/>
    <s v="7660utt001smini.bj.intel.com"/>
    <x v="543"/>
    <s v="E2B77C2852E3A7B3FFFFFFFF"/>
    <s v="C078257003FX1R36"/>
    <n v="18519334565"/>
    <s v="00440152289182"/>
    <s v="00440152299182"/>
    <m/>
    <m/>
    <s v="Yes"/>
    <s v="Yes"/>
    <x v="0"/>
    <s v="REGULAR TEST"/>
    <m/>
  </r>
  <r>
    <x v="4"/>
    <s v="BEJSRTL173"/>
    <s v="Yes"/>
    <x v="3"/>
    <s v="PCIe"/>
    <n v="2794260"/>
    <s v="459/R54/6"/>
    <x v="1"/>
    <x v="0"/>
    <x v="26"/>
    <x v="13"/>
    <x v="8"/>
    <s v="No"/>
    <s v="Yes"/>
    <s v="No"/>
    <s v="7660utt001smini.bj.intel.com"/>
    <x v="544"/>
    <s v="878DFCBD6EFCE117FFFFFFFF"/>
    <s v="C0782570066X1R36"/>
    <s v="18101349360"/>
    <s v="00440152289179"/>
    <s v="00440152299179"/>
    <m/>
    <m/>
    <s v="Yes"/>
    <s v="Yes"/>
    <x v="0"/>
    <s v="REGULAR TEST"/>
    <m/>
  </r>
  <r>
    <x v="4"/>
    <s v="BEJSRTL175"/>
    <s v="No"/>
    <x v="3"/>
    <s v="PCIe"/>
    <n v="3220102"/>
    <s v="4F/R7/1"/>
    <x v="1"/>
    <x v="1"/>
    <x v="42"/>
    <x v="16"/>
    <x v="8"/>
    <s v="No"/>
    <s v="No"/>
    <s v="Yes"/>
    <s v="7560utt235smini.bj.intel.com"/>
    <x v="251"/>
    <s v="CF1E367F35121AD2FFFFFFFF"/>
    <s v="C07826600WVX1R36"/>
    <s v="13800001328"/>
    <s v="00440152289231"/>
    <s v="00440152299231"/>
    <s v="18900670334"/>
    <d v="2019-01-04T00:00:00"/>
    <s v="Yes"/>
    <s v="Yes"/>
    <x v="3"/>
    <s v="Sanity Required"/>
    <s v="RITM6947164"/>
  </r>
  <r>
    <x v="4"/>
    <s v="BEJSRTL490"/>
    <s v="No"/>
    <x v="3"/>
    <s v="PCIe"/>
    <n v="3633194"/>
    <s v="459/R12/6"/>
    <x v="1"/>
    <x v="0"/>
    <x v="31"/>
    <x v="0"/>
    <x v="8"/>
    <s v="Yes"/>
    <s v="No"/>
    <s v="No"/>
    <s v="7560utt014smini.bj.intel.com"/>
    <x v="545"/>
    <s v="06D2062701DD7BF0FFFFFFFF"/>
    <s v="C07826400K3X1R36"/>
    <s v="13810431072"/>
    <s v="00440152289205"/>
    <s v="00440152299205"/>
    <m/>
    <s v="12/18/2018"/>
    <s v="Yes"/>
    <s v="Yes"/>
    <x v="3"/>
    <s v="Sanity Required"/>
    <m/>
  </r>
  <r>
    <x v="4"/>
    <s v="BEJSRTL492"/>
    <s v="No"/>
    <x v="3"/>
    <s v="PCIe"/>
    <n v="3648398"/>
    <s v="4F/R7/1"/>
    <x v="1"/>
    <x v="1"/>
    <x v="43"/>
    <x v="9"/>
    <x v="8"/>
    <s v="No"/>
    <s v="No"/>
    <s v="Yes"/>
    <s v="7560utt009smini.bj.intel.com"/>
    <x v="502"/>
    <s v="485C13CCADA0FA5BFFFFFFFF"/>
    <s v="C078263000PX1R36"/>
    <s v="13800001326"/>
    <s v="00440152287672"/>
    <s v="00440152297672"/>
    <s v="13800461344"/>
    <s v="1/4/2019"/>
    <s v="Yes"/>
    <s v="Yes"/>
    <x v="3"/>
    <s v="Sanity Required"/>
    <s v="RITM6947164"/>
  </r>
  <r>
    <x v="4"/>
    <s v="BEJSRTL493"/>
    <s v="No"/>
    <x v="3"/>
    <s v="PCIe"/>
    <n v="3633159"/>
    <s v="4F/R7/1"/>
    <x v="1"/>
    <x v="1"/>
    <x v="44"/>
    <x v="36"/>
    <x v="8"/>
    <s v="No"/>
    <s v="No"/>
    <s v="Yes"/>
    <s v="7560utt009smini.bj.intel.com"/>
    <x v="503"/>
    <s v="0000E25E45E2C74DFFFFFFFF"/>
    <s v="C0782630014X1R36"/>
    <s v="18900670332"/>
    <s v="00440152287677"/>
    <s v="00440152297677"/>
    <s v="13800001327"/>
    <s v="1/4/2019"/>
    <s v="Yes"/>
    <s v="Yes"/>
    <x v="3"/>
    <s v="Sanity Required"/>
    <s v="RITM6947164"/>
  </r>
  <r>
    <x v="4"/>
    <s v="BEJSRTL600"/>
    <s v="No"/>
    <x v="3"/>
    <s v="PCIe"/>
    <n v="3648372"/>
    <s v="2F/R51/1"/>
    <x v="1"/>
    <x v="0"/>
    <x v="31"/>
    <x v="0"/>
    <x v="8"/>
    <s v="No"/>
    <s v="No"/>
    <s v="No"/>
    <s v="7660utt001smini.bj.intel.com"/>
    <x v="546"/>
    <s v="78523D61766C4874FFFFFFFF"/>
    <s v="C07826701EYX1R36"/>
    <s v="13810224061"/>
    <s v="00440308050667"/>
    <s v="00440308055667"/>
    <m/>
    <d v="2018-12-19T00:00:00"/>
    <s v="Yes"/>
    <s v="Yes"/>
    <x v="0"/>
    <s v="DEBUG TEST"/>
    <s v="Comcat testing"/>
  </r>
  <r>
    <x v="4"/>
    <s v="BEJSRTL601"/>
    <s v="Yes"/>
    <x v="0"/>
    <s v="PCIe"/>
    <n v="3648354"/>
    <s v="2F/R51/1"/>
    <x v="1"/>
    <x v="0"/>
    <x v="34"/>
    <x v="5"/>
    <x v="8"/>
    <s v="No"/>
    <s v="No"/>
    <s v="No"/>
    <s v="7660utt001smini.bj.intel.com"/>
    <x v="547"/>
    <s v="E64BFE5DF5A1CD87FFFFFFFF"/>
    <s v="C078257003PX1R36"/>
    <s v="13051113538"/>
    <s v="00440152289181"/>
    <s v="00440152299181"/>
    <m/>
    <m/>
    <s v="Yes"/>
    <s v="Yes"/>
    <x v="0"/>
    <s v="REGULAR TEST"/>
    <m/>
  </r>
  <r>
    <x v="4"/>
    <s v="BEJSRTL602"/>
    <s v="No"/>
    <x v="3"/>
    <s v="PCIe"/>
    <n v="3648334"/>
    <s v="2F/R51/2"/>
    <x v="1"/>
    <x v="0"/>
    <x v="31"/>
    <x v="0"/>
    <x v="8"/>
    <s v="No"/>
    <s v="No"/>
    <s v="No"/>
    <s v="7660utt001smini.bj.intel.com"/>
    <x v="548"/>
    <e v="#N/A"/>
    <e v="#N/A"/>
    <s v="13810503570"/>
    <e v="#N/A"/>
    <e v="#N/A"/>
    <m/>
    <d v="2018-12-19T00:00:00"/>
    <s v="Yes"/>
    <s v="Yes"/>
    <x v="0"/>
    <s v="DEBUG TEST"/>
    <s v="Comcat testing"/>
  </r>
  <r>
    <x v="4"/>
    <s v="BEJSRTL603"/>
    <s v="Yes"/>
    <x v="3"/>
    <s v="PCIe"/>
    <n v="3648353"/>
    <s v="2F/R51/2"/>
    <x v="1"/>
    <x v="1"/>
    <x v="32"/>
    <x v="9"/>
    <x v="8"/>
    <s v="No"/>
    <s v="No"/>
    <s v="No"/>
    <s v="7660utt001smini.bj.intel.com"/>
    <x v="549"/>
    <s v="6F65799927DC53ADFFFFFFFF"/>
    <s v="C07826600VLX1R36"/>
    <s v="13810018814"/>
    <s v="00440152289215"/>
    <s v="00440152299215"/>
    <s v="18511273032"/>
    <d v="2018-09-18T00:00:00"/>
    <s v="Yes"/>
    <s v="Yes"/>
    <x v="0"/>
    <s v="REGULAR TEST"/>
    <m/>
  </r>
  <r>
    <x v="4"/>
    <s v="BEJSRTL604"/>
    <s v="No"/>
    <x v="1"/>
    <s v="PCIe"/>
    <n v="3648284"/>
    <s v="2F/R51/3"/>
    <x v="1"/>
    <x v="0"/>
    <x v="31"/>
    <x v="0"/>
    <x v="8"/>
    <s v="No"/>
    <s v="No"/>
    <s v="No"/>
    <s v="7660utt001smini.bj.intel.com"/>
    <x v="550"/>
    <s v="AA08D2BF41B832D6FFFFFFFF"/>
    <s v="C07826701EFX1R36"/>
    <s v="13810012914"/>
    <s v="00440308050661"/>
    <s v="00440308055661"/>
    <m/>
    <d v="2018-12-19T00:00:00"/>
    <s v="Yes"/>
    <s v="Yes"/>
    <x v="0"/>
    <s v="DEBUG TEST"/>
    <s v="Comcat testing"/>
  </r>
  <r>
    <x v="4"/>
    <s v="BEJSRTL605"/>
    <s v="Yes"/>
    <x v="3"/>
    <s v="PCIe"/>
    <n v="3648464"/>
    <s v="2F/R51/3"/>
    <x v="1"/>
    <x v="0"/>
    <x v="31"/>
    <x v="0"/>
    <x v="8"/>
    <s v="No"/>
    <s v="No"/>
    <s v="No"/>
    <s v="7660utt001smini.bj.intel.com"/>
    <x v="551"/>
    <s v="34550609EFDD8E9BFFFFFFFF"/>
    <s v="C07826600WLX1R36"/>
    <s v="13810274964"/>
    <s v="00440152289229"/>
    <s v="00440152299229"/>
    <m/>
    <m/>
    <s v="Yes"/>
    <s v="Yes"/>
    <x v="0"/>
    <s v="REGULAR TEST"/>
    <m/>
  </r>
  <r>
    <x v="4"/>
    <s v="BEJSRTL606"/>
    <s v="Yes"/>
    <x v="3"/>
    <s v="PCIe"/>
    <n v="3648275"/>
    <s v="2F/R51/4"/>
    <x v="1"/>
    <x v="0"/>
    <x v="26"/>
    <x v="14"/>
    <x v="8"/>
    <s v="No"/>
    <s v="Yes"/>
    <s v="No"/>
    <s v="7660utt001smini.bj.intel.com"/>
    <x v="552"/>
    <s v="844DFF2A08B3F6C1FFFFFFFF"/>
    <s v="C07826600ZRX1R36"/>
    <n v="18010341436"/>
    <s v="00440152289218"/>
    <s v="00440152299218"/>
    <m/>
    <m/>
    <s v="Yes"/>
    <s v="Yes"/>
    <x v="0"/>
    <s v="REGULAR TEST"/>
    <m/>
  </r>
  <r>
    <x v="4"/>
    <s v="BEJSRTL607"/>
    <s v="Yes"/>
    <x v="3"/>
    <s v="PCIe"/>
    <n v="3648299"/>
    <s v="2F/R51/4"/>
    <x v="1"/>
    <x v="0"/>
    <x v="26"/>
    <x v="13"/>
    <x v="8"/>
    <s v="No"/>
    <s v="Yes"/>
    <s v="No"/>
    <s v="7660utt001smini.bj.intel.com"/>
    <x v="553"/>
    <n v="0"/>
    <s v="C07826701E8X1R36"/>
    <n v="17319044051"/>
    <s v="00440308050662"/>
    <s v="00440308055662"/>
    <m/>
    <d v="2018-12-05T00:00:00"/>
    <s v="Yes"/>
    <s v="Yes"/>
    <x v="0"/>
    <s v="REGULAR TEST"/>
    <s v="just release board ,sim card keep in hands"/>
  </r>
  <r>
    <x v="4"/>
    <s v="BEJSRTL608"/>
    <s v="Yes"/>
    <x v="3"/>
    <s v="PCIe"/>
    <n v="3648374"/>
    <s v="2F/R51/5"/>
    <x v="1"/>
    <x v="0"/>
    <x v="34"/>
    <x v="5"/>
    <x v="8"/>
    <s v="No"/>
    <s v="No"/>
    <s v="No"/>
    <s v="7660utt001smini.bj.intel.com"/>
    <x v="554"/>
    <s v="C30BB2D7F3BFDD13FFFFFFFF"/>
    <s v="C078263001FX1R36"/>
    <n v="18511270549"/>
    <s v="00440152287669"/>
    <s v="00440152297669"/>
    <m/>
    <m/>
    <s v="Yes"/>
    <s v="Yes"/>
    <x v="0"/>
    <s v="REGULAR TEST"/>
    <s v="20 NOV: LTEC, convert to CUC WCDMA SEB"/>
  </r>
  <r>
    <x v="4"/>
    <s v="BEJSRTL609"/>
    <s v="No"/>
    <x v="3"/>
    <s v="PCIe"/>
    <n v="3648512"/>
    <s v="2F/R51/5"/>
    <x v="1"/>
    <x v="0"/>
    <x v="31"/>
    <x v="6"/>
    <x v="10"/>
    <s v="No"/>
    <s v="No"/>
    <s v="No"/>
    <s v="7660utt001smini.bj.intel.com"/>
    <x v="555"/>
    <s v="890900795A800D00FFFFFFFF"/>
    <s v="C03816109861369B6"/>
    <s v="13810715530"/>
    <s v="004999010640016"/>
    <n v="0"/>
    <m/>
    <d v="2018-12-05T00:00:00"/>
    <s v="Yes"/>
    <s v="Yes"/>
    <x v="0"/>
    <s v="Lend to Script"/>
    <s v="Debug for memory issue"/>
  </r>
  <r>
    <x v="4"/>
    <s v="BEJSRTL610"/>
    <s v="No"/>
    <x v="15"/>
    <s v="PCIe"/>
    <n v="3648225"/>
    <s v="2F/R52/1"/>
    <x v="1"/>
    <x v="0"/>
    <x v="31"/>
    <x v="0"/>
    <x v="8"/>
    <s v="No"/>
    <s v="No"/>
    <s v="No"/>
    <s v="7660utt001smini.bj.intel.com"/>
    <x v="556"/>
    <s v="33D290EBBFC38FADFFFFFFFF"/>
    <s v="C07826701EEX1R36"/>
    <s v="13810825702"/>
    <s v="00440308050666"/>
    <s v="00440308055666"/>
    <m/>
    <d v="2018-12-19T00:00:00"/>
    <s v="Yes"/>
    <s v="Yes"/>
    <x v="0"/>
    <s v="DEBUG TEST"/>
    <s v="Comcat testing"/>
  </r>
  <r>
    <x v="4"/>
    <s v="BEJSRTL612"/>
    <s v="No"/>
    <x v="15"/>
    <s v="PCIe"/>
    <n v="3648546"/>
    <m/>
    <x v="1"/>
    <x v="2"/>
    <x v="2"/>
    <x v="2"/>
    <x v="3"/>
    <s v="No"/>
    <s v="No"/>
    <s v="No"/>
    <s v="bejsrtm015smini.bj.intel.com"/>
    <x v="557"/>
    <e v="#N/A"/>
    <e v="#N/A"/>
    <m/>
    <e v="#N/A"/>
    <e v="#N/A"/>
    <m/>
    <d v="2018-11-26T00:00:00"/>
    <s v="Broken"/>
    <s v="No"/>
    <x v="4"/>
    <s v="PC BROKEN"/>
    <s v="need repair"/>
  </r>
  <r>
    <x v="4"/>
    <s v="BEJSRTL615"/>
    <s v="Yes"/>
    <x v="3"/>
    <s v="PCIe"/>
    <n v="3648051"/>
    <s v="2F/R52/3"/>
    <x v="1"/>
    <x v="0"/>
    <x v="31"/>
    <x v="0"/>
    <x v="2"/>
    <s v="No"/>
    <s v="No"/>
    <s v="No"/>
    <s v="7660utt001smini.bj.intel.com"/>
    <x v="558"/>
    <s v="254A7DED4A066F02FFFFFFFF"/>
    <s v="C078487002HLQ935"/>
    <s v="13811515392"/>
    <s v="00440308051394"/>
    <s v="00440308056394"/>
    <m/>
    <d v="2018-12-22T00:00:00"/>
    <s v="Yes"/>
    <s v="Yes"/>
    <x v="0"/>
    <s v="REGULAR TEST"/>
    <m/>
  </r>
  <r>
    <x v="4"/>
    <s v="BEJSRTL616"/>
    <s v="Yes"/>
    <x v="3"/>
    <s v="PCIe"/>
    <n v="3647716"/>
    <s v="459/R55/4"/>
    <x v="1"/>
    <x v="0"/>
    <x v="31"/>
    <x v="0"/>
    <x v="8"/>
    <s v="No"/>
    <s v="No"/>
    <s v="No"/>
    <s v="7660utt001smini.bj.intel.com"/>
    <x v="559"/>
    <s v="53D3D4C4F7EF3A1BFFFFFFFF"/>
    <s v="C07826400HFX1R36"/>
    <s v="13810051246"/>
    <s v="00440152289366"/>
    <s v="00440152299366"/>
    <m/>
    <m/>
    <s v="Yes"/>
    <s v="Yes"/>
    <x v="0"/>
    <s v="REGULAR TEST"/>
    <m/>
  </r>
  <r>
    <x v="4"/>
    <s v="BEJSRTL619"/>
    <s v="No"/>
    <x v="3"/>
    <s v="PCIe"/>
    <n v="3648272"/>
    <s v="2F/R52/2"/>
    <x v="1"/>
    <x v="1"/>
    <x v="30"/>
    <x v="37"/>
    <x v="10"/>
    <s v="No"/>
    <s v="No"/>
    <s v="No"/>
    <s v="7660utt001smini.bj.intel.com"/>
    <x v="560"/>
    <s v="400620805A800D00FFFFFFFF"/>
    <s v="C03816113461369BM"/>
    <n v="13121815792"/>
    <s v="004999010640022"/>
    <s v="004999010640080"/>
    <m/>
    <d v="2018-12-05T00:00:00"/>
    <s v="Yes"/>
    <s v="Yes"/>
    <x v="0"/>
    <s v="Lend to Script"/>
    <s v="Debug for memory issue"/>
  </r>
  <r>
    <x v="4"/>
    <s v="BEJSRTL620"/>
    <s v="Yes"/>
    <x v="0"/>
    <s v="PCIe"/>
    <n v="4079882"/>
    <s v="2F/R52/1"/>
    <x v="1"/>
    <x v="0"/>
    <x v="31"/>
    <x v="0"/>
    <x v="8"/>
    <s v="No"/>
    <s v="No"/>
    <s v="No"/>
    <s v="7660utt001smini.bj.intel.com"/>
    <x v="561"/>
    <s v="2074BB03800C062FFFFFFFFF"/>
    <s v="C07826600YZX1R36"/>
    <s v="13810713965"/>
    <s v="00440152289219"/>
    <s v="00440152299219"/>
    <m/>
    <d v="2018-09-18T00:00:00"/>
    <s v="Yes"/>
    <s v="Yes"/>
    <x v="0"/>
    <s v="REGULAR TEST"/>
    <m/>
  </r>
  <r>
    <x v="4"/>
    <s v="BEJSRTL621"/>
    <s v="Yes"/>
    <x v="3"/>
    <s v="PCIe"/>
    <n v="4079810"/>
    <s v="2F/R51/6"/>
    <x v="1"/>
    <x v="0"/>
    <x v="34"/>
    <x v="4"/>
    <x v="8"/>
    <s v="No"/>
    <s v="No"/>
    <s v="No"/>
    <s v="7660utt001smini.bj.intel.com"/>
    <x v="562"/>
    <e v="#N/A"/>
    <e v="#N/A"/>
    <n v="13260231457"/>
    <e v="#N/A"/>
    <e v="#N/A"/>
    <m/>
    <d v="2018-12-05T00:00:00"/>
    <s v="Yes"/>
    <s v="Yes"/>
    <x v="0"/>
    <s v="REGULAR TEST"/>
    <m/>
  </r>
  <r>
    <x v="4"/>
    <s v="BEJSRTL622"/>
    <s v="Yes"/>
    <x v="3"/>
    <s v="PCIe"/>
    <n v="4079917"/>
    <s v="2F/R51/6"/>
    <x v="1"/>
    <x v="0"/>
    <x v="31"/>
    <x v="22"/>
    <x v="8"/>
    <s v="No"/>
    <s v="No"/>
    <s v="No"/>
    <s v="7660utt001smini.bj.intel.com"/>
    <x v="563"/>
    <s v="89D61D9144C51A11FFFFFFFF"/>
    <s v="C07826400JTX1R36"/>
    <s v="13810069147"/>
    <s v="00440152289358"/>
    <s v="00440152299358"/>
    <m/>
    <d v="2018-09-18T00:00:00"/>
    <s v="Yes"/>
    <s v="Yes"/>
    <x v="0"/>
    <s v="REGULAR TEST"/>
    <m/>
  </r>
  <r>
    <x v="4"/>
    <s v="BEJSRTL623"/>
    <s v="Yes"/>
    <x v="0"/>
    <s v="PCIe"/>
    <n v="4079845"/>
    <s v="2F/R52/4"/>
    <x v="1"/>
    <x v="0"/>
    <x v="31"/>
    <x v="22"/>
    <x v="8"/>
    <s v="No"/>
    <s v="No"/>
    <s v="No"/>
    <s v="7660utt001smini.bj.intel.com"/>
    <x v="564"/>
    <s v="C83FFBC893DE09E9FFFFFFFF"/>
    <s v="C07826400E0X1R36"/>
    <s v="13810692607"/>
    <s v="00440152289357"/>
    <s v="00440152299357"/>
    <m/>
    <d v="2018-09-18T00:00:00"/>
    <s v="Yes"/>
    <s v="Yes"/>
    <x v="0"/>
    <s v="REGULAR TEST"/>
    <m/>
  </r>
  <r>
    <x v="4"/>
    <s v="BEJSRTL624"/>
    <s v="Yes"/>
    <x v="3"/>
    <s v="PCIe"/>
    <n v="4079896"/>
    <s v="2F/R52/4"/>
    <x v="1"/>
    <x v="0"/>
    <x v="31"/>
    <x v="6"/>
    <x v="8"/>
    <s v="No"/>
    <s v="No"/>
    <s v="No"/>
    <s v="7660utt001smini.bj.intel.com"/>
    <x v="565"/>
    <s v="C8FE44722A476F26FFFFFFFF"/>
    <s v="C078263005YX1R36"/>
    <s v="13810736993"/>
    <s v="00440152289184"/>
    <s v="00440152299184"/>
    <m/>
    <d v="2018-09-18T00:00:00"/>
    <s v="Yes"/>
    <s v="Yes"/>
    <x v="0"/>
    <s v="REGULAR TEST"/>
    <m/>
  </r>
  <r>
    <x v="4"/>
    <s v="BEJSRTL625"/>
    <s v="Yes"/>
    <x v="3"/>
    <s v="PCIe"/>
    <n v="4079874"/>
    <s v="2F/R52/5"/>
    <x v="1"/>
    <x v="0"/>
    <x v="26"/>
    <x v="13"/>
    <x v="8"/>
    <s v="No"/>
    <s v="Yes"/>
    <s v="No"/>
    <s v="bejsrtm015smini.bj.intel.com"/>
    <x v="566"/>
    <s v="ED540CDD20D0EF7CFFFFFFFF"/>
    <s v="C07826300BYX1R36"/>
    <s v="18911175674"/>
    <s v="00440152289345"/>
    <s v="00440152299345"/>
    <m/>
    <d v="2018-09-13T00:00:00"/>
    <s v="Yes"/>
    <s v="Yes"/>
    <x v="0"/>
    <s v="REGULAR TEST"/>
    <m/>
  </r>
  <r>
    <x v="4"/>
    <s v="BEJSRTL626"/>
    <s v="Yes"/>
    <x v="3"/>
    <s v="PCIe"/>
    <n v="4079921"/>
    <s v="2F/R52/5"/>
    <x v="1"/>
    <x v="0"/>
    <x v="26"/>
    <x v="13"/>
    <x v="8"/>
    <s v="No"/>
    <s v="Yes"/>
    <s v="No"/>
    <s v="bejsrtm015smini.bj.intel.com"/>
    <x v="567"/>
    <s v="F11E35D2760FC5C8FFFFFFFF"/>
    <s v="C07826400J9X1R36"/>
    <s v="15321691705"/>
    <s v="00440152289359"/>
    <s v="00440152299359"/>
    <m/>
    <d v="2018-09-13T00:00:00"/>
    <s v="Yes"/>
    <s v="Yes"/>
    <x v="0"/>
    <s v="REGULAR TEST"/>
    <m/>
  </r>
  <r>
    <x v="4"/>
    <s v="BEJSRTL627"/>
    <s v="Yes"/>
    <x v="0"/>
    <s v="PCIe"/>
    <n v="4079851"/>
    <s v="2F/R52/6"/>
    <x v="1"/>
    <x v="1"/>
    <x v="29"/>
    <x v="27"/>
    <x v="8"/>
    <s v="No"/>
    <s v="Yes"/>
    <s v="No"/>
    <s v="bejsrtm015smini.bj.intel.com"/>
    <x v="568"/>
    <s v="DD7ACA3771E0AEAFFFFFFFFF"/>
    <s v="C07826400CNX1R36"/>
    <s v="18911124205"/>
    <s v="00440152289362"/>
    <s v="00440152299362"/>
    <s v="13910409538"/>
    <d v="2018-10-08T00:00:00"/>
    <s v="Yes"/>
    <s v="Yes"/>
    <x v="0"/>
    <s v="REGULAR TEST"/>
    <m/>
  </r>
  <r>
    <x v="4"/>
    <s v="BEJSRTL628"/>
    <s v="Yes"/>
    <x v="4"/>
    <s v="PCIe"/>
    <n v="4079870"/>
    <s v="2F/R52/6"/>
    <x v="1"/>
    <x v="0"/>
    <x v="31"/>
    <x v="0"/>
    <x v="8"/>
    <s v="No"/>
    <s v="No"/>
    <s v="No"/>
    <s v="bejsrtm015smini.bj.intel.com"/>
    <x v="569"/>
    <s v="23780B50DFE2F58BFFFFFFFF"/>
    <s v="C07826600YDX1R36"/>
    <n v="13810284084"/>
    <s v="00440152289217"/>
    <s v="00440152299217"/>
    <m/>
    <d v="2018-09-13T00:00:00"/>
    <s v="Yes"/>
    <s v="Yes"/>
    <x v="0"/>
    <s v="REGULAR TEST"/>
    <m/>
  </r>
  <r>
    <x v="4"/>
    <s v="BEJSRTL629"/>
    <s v="Yes"/>
    <x v="3"/>
    <s v="PCIe"/>
    <n v="4079803"/>
    <s v="2F/R57/4"/>
    <x v="1"/>
    <x v="1"/>
    <x v="35"/>
    <x v="38"/>
    <x v="8"/>
    <s v="No"/>
    <s v="Yes"/>
    <s v="No"/>
    <s v="bejsrtm017.bj.intel.com"/>
    <x v="570"/>
    <s v="59F26AE645E95CE8FFFFFFFF"/>
    <s v="C07826600YMX1R36"/>
    <s v="18911034337"/>
    <s v="00440152289221"/>
    <s v="00440152299221"/>
    <s v="13263362761"/>
    <d v="2018-10-08T00:00:00"/>
    <s v="Yes"/>
    <s v="Yes"/>
    <x v="0"/>
    <s v="REGULAR TEST"/>
    <m/>
  </r>
  <r>
    <x v="4"/>
    <s v="BEJSRTL630"/>
    <s v="Yes"/>
    <x v="3"/>
    <s v="PCIe"/>
    <n v="4079881"/>
    <s v="2F/R55/3"/>
    <x v="1"/>
    <x v="0"/>
    <x v="26"/>
    <x v="14"/>
    <x v="8"/>
    <s v="No"/>
    <s v="Yes"/>
    <s v="No"/>
    <s v="bejsrtm015smini.bj.intel.com"/>
    <x v="571"/>
    <s v="446CB453DFC1E3CDFFFFFFFF"/>
    <s v="C07826400E4X1R36"/>
    <n v="17310342482"/>
    <s v="00440152289363"/>
    <s v="00440152299363"/>
    <m/>
    <d v="2018-09-18T00:00:00"/>
    <s v="Yes"/>
    <s v="Yes"/>
    <x v="0"/>
    <s v="REGULAR TEST"/>
    <m/>
  </r>
  <r>
    <x v="4"/>
    <s v="BEJSRTL631"/>
    <s v="Yes"/>
    <x v="3"/>
    <s v="PCIe"/>
    <n v="4079830"/>
    <s v="2F/R55/3"/>
    <x v="1"/>
    <x v="0"/>
    <x v="26"/>
    <x v="14"/>
    <x v="8"/>
    <s v="No"/>
    <s v="Yes"/>
    <s v="No"/>
    <s v="bejsrtm015smini.bj.intel.com"/>
    <x v="572"/>
    <s v="4DE42DBBF5FD0BFBFFFFFFFF"/>
    <s v="C07826400EBX1R36"/>
    <n v="13331048825"/>
    <s v="00440152289355"/>
    <s v="00440152299355"/>
    <m/>
    <d v="2018-09-18T00:00:00"/>
    <s v="Yes"/>
    <s v="Yes"/>
    <x v="0"/>
    <s v="REGULAR TEST"/>
    <m/>
  </r>
  <r>
    <x v="4"/>
    <s v="BEJSRTL632"/>
    <s v="Yes"/>
    <x v="1"/>
    <s v="PCIe"/>
    <n v="4079864"/>
    <s v="2F/R55/4"/>
    <x v="1"/>
    <x v="0"/>
    <x v="26"/>
    <x v="14"/>
    <x v="8"/>
    <s v="No"/>
    <s v="Yes"/>
    <s v="No"/>
    <s v="bejsrtm015smini.bj.intel.com"/>
    <x v="573"/>
    <s v="92B08AB88DCF683BFFFFFFFF"/>
    <s v="C07826400ENX1R36"/>
    <n v="18911175647"/>
    <s v="00440152289365"/>
    <s v="00440152299365"/>
    <m/>
    <d v="2018-09-18T00:00:00"/>
    <s v="Yes"/>
    <s v="Yes"/>
    <x v="0"/>
    <s v="REGULAR TEST"/>
    <m/>
  </r>
  <r>
    <x v="4"/>
    <s v="BEJSRTL633"/>
    <s v="Yes"/>
    <x v="4"/>
    <s v="PCIe"/>
    <n v="4079962"/>
    <s v="2F/R55/1"/>
    <x v="1"/>
    <x v="0"/>
    <x v="31"/>
    <x v="22"/>
    <x v="8"/>
    <s v="No"/>
    <s v="No"/>
    <s v="No"/>
    <s v="bejsrtm015smini.bj.intel.com"/>
    <x v="574"/>
    <s v="A666C4735BC8137FFFFFFFFF"/>
    <s v="C07826400DEX1R36"/>
    <n v="13810337950"/>
    <s v="00440152289367"/>
    <s v="00440152299367"/>
    <m/>
    <d v="2018-09-13T00:00:00"/>
    <s v="Yes"/>
    <s v="Yes"/>
    <x v="0"/>
    <s v="REGULAR TEST"/>
    <m/>
  </r>
  <r>
    <x v="4"/>
    <s v="BEJSRTL634"/>
    <s v="Yes"/>
    <x v="4"/>
    <s v="PCIe"/>
    <n v="4079840"/>
    <s v="2F/R55/1"/>
    <x v="1"/>
    <x v="0"/>
    <x v="26"/>
    <x v="14"/>
    <x v="8"/>
    <s v="No"/>
    <s v="Yes"/>
    <s v="No"/>
    <s v="bejsrtm015smini.bj.intel.com"/>
    <x v="575"/>
    <s v="2497CBCCDEE8834CFFFFFFFF"/>
    <s v="C078263003XX1R36"/>
    <n v="17310978792"/>
    <s v="00440152289185"/>
    <s v="00440152299185"/>
    <m/>
    <d v="2018-09-18T00:00:00"/>
    <s v="Yes"/>
    <s v="Yes"/>
    <x v="0"/>
    <s v="REGULAR TEST"/>
    <m/>
  </r>
  <r>
    <x v="4"/>
    <s v="BEJSRTL635"/>
    <s v="Yes"/>
    <x v="0"/>
    <s v="PCIe"/>
    <n v="4079873"/>
    <s v="2F/R55/2"/>
    <x v="1"/>
    <x v="0"/>
    <x v="26"/>
    <x v="39"/>
    <x v="8"/>
    <s v="No"/>
    <s v="Yes"/>
    <s v="No"/>
    <s v="bejsrtm015smini.bj.intel.com"/>
    <x v="576"/>
    <s v="6CD7B2D8B3F9D97CFFFFFFFF"/>
    <s v="C07826400H1X1R36"/>
    <n v="17310212413"/>
    <s v="00440152289360"/>
    <s v="00440152299360"/>
    <m/>
    <d v="2018-09-18T00:00:00"/>
    <s v="Yes"/>
    <s v="Yes"/>
    <x v="0"/>
    <s v="REGULAR TEST"/>
    <m/>
  </r>
  <r>
    <x v="4"/>
    <s v="BEJSRTL636"/>
    <s v="Yes"/>
    <x v="0"/>
    <s v="PCIe"/>
    <n v="4079919"/>
    <s v="2F/R55/2"/>
    <x v="1"/>
    <x v="0"/>
    <x v="31"/>
    <x v="40"/>
    <x v="2"/>
    <s v="No"/>
    <s v="No"/>
    <s v="No"/>
    <s v="bejsrtm015smini.bj.intel.com"/>
    <x v="577"/>
    <s v="360A1344CA376B02FFFFFFFF"/>
    <s v="C0784870049LQ935"/>
    <s v="13810281449"/>
    <s v="00440308051332"/>
    <s v="00440308056332"/>
    <s v="18519747298"/>
    <d v="2018-12-05T00:00:00"/>
    <s v="Yes"/>
    <s v="Yes"/>
    <x v="0"/>
    <s v="REGULAR TEST"/>
    <m/>
  </r>
  <r>
    <x v="4"/>
    <s v="BEJSRTL637"/>
    <s v="Yes"/>
    <x v="1"/>
    <s v="PCIe"/>
    <n v="4079901"/>
    <s v="2F/R55/4"/>
    <x v="1"/>
    <x v="0"/>
    <x v="26"/>
    <x v="13"/>
    <x v="8"/>
    <s v="No"/>
    <s v="Yes"/>
    <s v="No"/>
    <s v="bejsrtm015smini.bj.intel.com"/>
    <x v="578"/>
    <s v="8867DAEB8D9A15DAFFFFFFFF"/>
    <s v="C07826400J4X1R36"/>
    <n v="18911124185"/>
    <s v="00440152289353"/>
    <s v="00440152299353"/>
    <m/>
    <d v="2018-09-18T00:00:00"/>
    <s v="Yes"/>
    <s v="Yes"/>
    <x v="0"/>
    <s v="REGULAR TEST"/>
    <m/>
  </r>
  <r>
    <x v="4"/>
    <s v="BEJSRTL638"/>
    <s v="Yes"/>
    <x v="1"/>
    <s v="PCIe"/>
    <n v="4079849"/>
    <s v="2F/R55/5"/>
    <x v="1"/>
    <x v="1"/>
    <x v="32"/>
    <x v="9"/>
    <x v="2"/>
    <s v="No"/>
    <s v="No"/>
    <s v="No"/>
    <s v="bejsrtm015smini.bj.intel.com"/>
    <x v="579"/>
    <s v="121EFDCF4D426B02FFFFFFFF"/>
    <s v="C078486002XLQ935"/>
    <s v="13810992905"/>
    <s v="00440308051175"/>
    <s v="00440308056175"/>
    <s v="13121819271"/>
    <d v="2018-09-18T00:00:00"/>
    <s v="Yes"/>
    <s v="Yes"/>
    <x v="0"/>
    <s v="REGULAR TEST"/>
    <m/>
  </r>
  <r>
    <x v="4"/>
    <s v="BEJSRTL639"/>
    <s v="Yes"/>
    <x v="1"/>
    <s v="PCIe"/>
    <n v="4079908"/>
    <s v="2F/R55/5"/>
    <x v="1"/>
    <x v="0"/>
    <x v="26"/>
    <x v="13"/>
    <x v="8"/>
    <s v="No"/>
    <s v="Yes"/>
    <s v="No"/>
    <s v="bejsrtm015smini.bj.intel.com"/>
    <x v="580"/>
    <s v="43DB8FE8B8BC0BDFFFFFFFFF"/>
    <s v="C07826400DFX1R36"/>
    <n v="18911034669"/>
    <s v="00440152289356"/>
    <s v="00440152299356"/>
    <m/>
    <d v="2018-09-18T00:00:00"/>
    <s v="Yes"/>
    <s v="Yes"/>
    <x v="0"/>
    <s v="REGULAR TEST"/>
    <m/>
  </r>
  <r>
    <x v="4"/>
    <s v="BEJSRTL640"/>
    <s v="No"/>
    <x v="15"/>
    <s v="PCIe"/>
    <n v="4079769"/>
    <m/>
    <x v="1"/>
    <x v="2"/>
    <x v="2"/>
    <x v="2"/>
    <x v="3"/>
    <s v="No"/>
    <s v="No"/>
    <s v="No"/>
    <s v="bejsrtm015smini.bj.intel.com"/>
    <x v="581"/>
    <e v="#N/A"/>
    <e v="#N/A"/>
    <m/>
    <e v="#N/A"/>
    <e v="#N/A"/>
    <m/>
    <s v="11/26/2018"/>
    <s v="Broken"/>
    <s v="No"/>
    <x v="4"/>
    <s v="PC BROKEN"/>
    <s v="need repair"/>
  </r>
  <r>
    <x v="4"/>
    <s v="BEJSRTL641"/>
    <s v="Yes"/>
    <x v="4"/>
    <s v="PCIe"/>
    <n v="4079828"/>
    <s v=" "/>
    <x v="1"/>
    <x v="0"/>
    <x v="31"/>
    <x v="0"/>
    <x v="8"/>
    <s v="No"/>
    <s v="No"/>
    <s v="No"/>
    <s v="bejsrtm015smini.bj.intel.com"/>
    <x v="582"/>
    <s v="16ED81143029B1B4FFFFFFFF"/>
    <s v="C07826400ELX1R36"/>
    <n v="13810051346"/>
    <s v="00440152289194"/>
    <s v="00440152299194"/>
    <m/>
    <d v="2018-09-18T00:00:00"/>
    <s v="Yes"/>
    <s v="Yes"/>
    <x v="0"/>
    <s v="REGULAR TEST"/>
    <m/>
  </r>
  <r>
    <x v="4"/>
    <s v="BEJSRTL642"/>
    <s v="Yes"/>
    <x v="1"/>
    <s v="PCIe"/>
    <n v="4079872"/>
    <s v="2F/R55/7"/>
    <x v="1"/>
    <x v="0"/>
    <x v="31"/>
    <x v="0"/>
    <x v="8"/>
    <s v="No"/>
    <s v="No"/>
    <s v="No"/>
    <s v="bejsrtm015smini.bj.intel.com"/>
    <x v="583"/>
    <s v="D3228C943DA03651FFFFFFFF"/>
    <s v="C078263006GX1R36"/>
    <n v="13811057193"/>
    <s v="00440152289335"/>
    <s v="00440152299335"/>
    <m/>
    <d v="2018-09-18T00:00:00"/>
    <s v="Yes"/>
    <s v="Yes"/>
    <x v="0"/>
    <s v="REGULAR TEST"/>
    <m/>
  </r>
  <r>
    <x v="4"/>
    <s v="BEJSRTL643"/>
    <s v="Yes"/>
    <x v="0"/>
    <s v="PCIe"/>
    <n v="4079842"/>
    <s v="2F/R55/7"/>
    <x v="1"/>
    <x v="1"/>
    <x v="27"/>
    <x v="17"/>
    <x v="8"/>
    <s v="No"/>
    <s v="No"/>
    <s v="No"/>
    <s v="bejsrtm015smini.bj.intel.com"/>
    <x v="584"/>
    <s v="CC75D23CFD3715B8FFFFFFFF"/>
    <s v="C0782630046X1R36"/>
    <n v="13810961703"/>
    <s v="00440152289329"/>
    <s v="00440152299329"/>
    <n v="13810020154"/>
    <d v="2018-09-29T00:00:00"/>
    <s v="Yes"/>
    <s v="Yes"/>
    <x v="0"/>
    <s v="REGULAR TEST"/>
    <m/>
  </r>
  <r>
    <x v="4"/>
    <s v="BEJSRTL644"/>
    <s v="Yes"/>
    <x v="3"/>
    <s v="PCIe"/>
    <n v="4079966"/>
    <s v="2F/R56/10"/>
    <x v="1"/>
    <x v="1"/>
    <x v="30"/>
    <x v="37"/>
    <x v="8"/>
    <s v="No"/>
    <s v="No"/>
    <s v="No"/>
    <s v="bejsrtm017.bj.intel.com"/>
    <x v="585"/>
    <s v="B90B4BEE12BED77BFFFFFFFF"/>
    <s v="C07826600ZYX1R36"/>
    <s v="18618484354"/>
    <s v="00440152289233"/>
    <s v="00440152299233"/>
    <s v="13910617349"/>
    <d v="2018-11-15T00:00:00"/>
    <s v="Yes"/>
    <s v="Yes"/>
    <x v="0"/>
    <s v="REGULAR TEST"/>
    <m/>
  </r>
  <r>
    <x v="4"/>
    <s v="BEJSRTL645"/>
    <s v="Yes"/>
    <x v="1"/>
    <s v="PCIe"/>
    <n v="4079927"/>
    <s v="2F/R56/1"/>
    <x v="1"/>
    <x v="0"/>
    <x v="31"/>
    <x v="0"/>
    <x v="8"/>
    <s v="No"/>
    <s v="No"/>
    <s v="No"/>
    <s v="bejsrtm016.bj.intel.com"/>
    <x v="586"/>
    <s v="53308B243FED8EA7FFFFFFFF"/>
    <s v="C07826300B7X1R36"/>
    <n v="13810572935"/>
    <s v="00440152289332"/>
    <s v="00440152299332"/>
    <m/>
    <d v="2018-09-20T00:00:00"/>
    <s v="Yes"/>
    <s v="Yes"/>
    <x v="0"/>
    <s v="REGULAR TEST"/>
    <m/>
  </r>
  <r>
    <x v="4"/>
    <s v="BEJSRTL646"/>
    <s v="Yes"/>
    <x v="3"/>
    <s v="PCIe"/>
    <n v="4079854"/>
    <s v="2F/R52/2"/>
    <x v="1"/>
    <x v="0"/>
    <x v="26"/>
    <x v="13"/>
    <x v="8"/>
    <s v="No"/>
    <s v="Yes"/>
    <s v="No"/>
    <s v="7660utt001smini.bj.intel.com"/>
    <x v="587"/>
    <s v="C01269483E0502FCFFFFFFFF"/>
    <s v="C07826600YEX1R36"/>
    <n v="18911034659"/>
    <s v="00440152289224"/>
    <s v="00440152299224"/>
    <m/>
    <m/>
    <s v="Yes"/>
    <s v="Yes"/>
    <x v="0"/>
    <s v="REGULAR TEST"/>
    <m/>
  </r>
  <r>
    <x v="4"/>
    <s v="BEJSRTL647"/>
    <s v="Yes"/>
    <x v="1"/>
    <s v="PCIe"/>
    <n v="4079938"/>
    <s v="2F/R56/2"/>
    <x v="1"/>
    <x v="0"/>
    <x v="31"/>
    <x v="0"/>
    <x v="8"/>
    <s v="No"/>
    <s v="No"/>
    <s v="No"/>
    <s v="bejsrtm016.bj.intel.com"/>
    <x v="588"/>
    <s v="7BEB4560C46F6385FFFFFFFF"/>
    <s v="C07826300BDX1R36"/>
    <n v="13810679130"/>
    <s v="00440152289337"/>
    <s v="00440152299337"/>
    <m/>
    <d v="2018-09-20T00:00:00"/>
    <s v="Yes"/>
    <s v="Yes"/>
    <x v="0"/>
    <s v="REGULAR TEST"/>
    <m/>
  </r>
  <r>
    <x v="4"/>
    <s v="BEJSRTL648"/>
    <s v="Yes"/>
    <x v="1"/>
    <s v="PCIe"/>
    <n v="4079827"/>
    <s v="2F/R56/2"/>
    <x v="1"/>
    <x v="0"/>
    <x v="31"/>
    <x v="0"/>
    <x v="8"/>
    <s v="No"/>
    <s v="No"/>
    <s v="No"/>
    <s v="bejsrtm016.bj.intel.com"/>
    <x v="589"/>
    <s v="29950EF9FFE5A5BEFFFFFFFF"/>
    <s v="C07826300AEX1R36"/>
    <n v="13810917935"/>
    <s v="00440152289342"/>
    <s v="00440152299342"/>
    <m/>
    <d v="2018-09-20T00:00:00"/>
    <s v="Yes"/>
    <s v="Yes"/>
    <x v="0"/>
    <s v="REGULAR TEST"/>
    <m/>
  </r>
  <r>
    <x v="4"/>
    <s v="BEJSRTL649"/>
    <s v="No"/>
    <x v="1"/>
    <s v="PCIe"/>
    <n v="4079947"/>
    <s v="2F/R56/3"/>
    <x v="1"/>
    <x v="0"/>
    <x v="31"/>
    <x v="0"/>
    <x v="8"/>
    <s v="No"/>
    <s v="No"/>
    <s v="No"/>
    <s v="bejsrtm016.bj.intel.com"/>
    <x v="590"/>
    <n v="0"/>
    <s v="C07826701E1X1R36"/>
    <n v="13810857613"/>
    <s v="00440308050664"/>
    <s v="00440308055664"/>
    <m/>
    <d v="2018-12-05T00:00:00"/>
    <s v="Yes"/>
    <s v="Yes"/>
    <x v="1"/>
    <s v="Sanity Required"/>
    <m/>
  </r>
  <r>
    <x v="4"/>
    <s v="BEJSRTL650"/>
    <s v="Yes"/>
    <x v="1"/>
    <s v="PCIe"/>
    <n v="4079909"/>
    <s v="2F/R56/3"/>
    <x v="1"/>
    <x v="0"/>
    <x v="31"/>
    <x v="0"/>
    <x v="8"/>
    <s v="No"/>
    <s v="No"/>
    <s v="No"/>
    <s v="bejsrtm016.bj.intel.com"/>
    <x v="591"/>
    <s v="649B77C5F291AEB5FFFFFFFF"/>
    <s v="C0782630054X1R36"/>
    <n v="13810523627"/>
    <s v="00440152289330"/>
    <s v="00440152299330"/>
    <m/>
    <d v="2018-09-20T00:00:00"/>
    <s v="Yes"/>
    <s v="Yes"/>
    <x v="0"/>
    <s v="REGULAR TEST"/>
    <m/>
  </r>
  <r>
    <x v="4"/>
    <s v="BEJSRTL651"/>
    <s v="Yes"/>
    <x v="4"/>
    <s v="PCIe"/>
    <n v="4079824"/>
    <s v="2F/R56/4"/>
    <x v="1"/>
    <x v="0"/>
    <x v="31"/>
    <x v="0"/>
    <x v="8"/>
    <s v="No"/>
    <s v="No"/>
    <s v="No"/>
    <s v="bejsrtm016.bj.intel.com"/>
    <x v="592"/>
    <s v="0DEBB338DAABC373FFFFFFFF"/>
    <s v="C07826300BKX1R36"/>
    <n v="13810866027"/>
    <s v="00440152289351"/>
    <s v="00440152299351"/>
    <m/>
    <d v="2018-09-20T00:00:00"/>
    <s v="Yes"/>
    <s v="Yes"/>
    <x v="0"/>
    <s v="REGULAR TEST"/>
    <m/>
  </r>
  <r>
    <x v="4"/>
    <s v="BEJSRTL652"/>
    <s v="Yes"/>
    <x v="15"/>
    <s v="PCIe"/>
    <n v="4079818"/>
    <s v="4F/R7/1"/>
    <x v="1"/>
    <x v="0"/>
    <x v="31"/>
    <x v="0"/>
    <x v="8"/>
    <s v="No"/>
    <s v="No"/>
    <s v="No"/>
    <s v="bejsrtm015smini.bj.intel.com"/>
    <x v="593"/>
    <s v="E18AC7250D3DE892FFFFFFFF"/>
    <s v="C078263008SX1R36"/>
    <s v="13810269474"/>
    <s v="00440152289349"/>
    <s v="00440152299349"/>
    <m/>
    <d v="2018-12-19T00:00:00"/>
    <s v="Yes"/>
    <s v="Yes"/>
    <x v="0"/>
    <s v="DEBUG TEST"/>
    <s v="Comcat testing"/>
  </r>
  <r>
    <x v="4"/>
    <s v="BEJSRTL653"/>
    <s v="Yes"/>
    <x v="3"/>
    <s v="PCIe"/>
    <n v="4079970"/>
    <s v="2F/R56/5"/>
    <x v="1"/>
    <x v="1"/>
    <x v="29"/>
    <x v="27"/>
    <x v="8"/>
    <s v="No"/>
    <s v="Yes"/>
    <s v="No"/>
    <s v="bejsrtm016.bj.intel.com"/>
    <x v="594"/>
    <s v="CE93B7F41E44846FFFFFFFFF"/>
    <s v="C07826300A8X1R36"/>
    <n v="18911124287"/>
    <s v="00440152289339"/>
    <s v="00440152299339"/>
    <s v="13810670535"/>
    <d v="2018-10-10T00:00:00"/>
    <s v="Yes"/>
    <s v="Yes"/>
    <x v="0"/>
    <s v="REGULAR TEST"/>
    <m/>
  </r>
  <r>
    <x v="4"/>
    <s v="BEJSRTL654"/>
    <s v="Yes"/>
    <x v="3"/>
    <s v="PCIe"/>
    <n v="4079887"/>
    <s v="4F/R7/1"/>
    <x v="1"/>
    <x v="1"/>
    <x v="28"/>
    <x v="17"/>
    <x v="8"/>
    <s v="No"/>
    <s v="No"/>
    <s v="Yes"/>
    <s v="bejsrtm016.bj.intel.com"/>
    <x v="595"/>
    <s v="4052DFFF666852FEFFFFFFFF"/>
    <s v="C07826600WFX1R36"/>
    <s v="13800001364"/>
    <s v="00440152289228"/>
    <s v="00440152299228"/>
    <s v="13800001365"/>
    <d v="2018-10-10T00:00:00"/>
    <s v="Yes"/>
    <s v="Yes"/>
    <x v="0"/>
    <s v="REGULAR TEST"/>
    <m/>
  </r>
  <r>
    <x v="4"/>
    <s v="BEJSRTL655"/>
    <s v="Yes"/>
    <x v="3"/>
    <s v="PCIe"/>
    <n v="4079856"/>
    <s v="2F/R56/6"/>
    <x v="1"/>
    <x v="1"/>
    <x v="27"/>
    <x v="17"/>
    <x v="8"/>
    <s v="No"/>
    <s v="No"/>
    <s v="No"/>
    <s v="bejsrtm016.bj.intel.com"/>
    <x v="596"/>
    <s v="92ABFD0F678EABFDFFFFFFFF"/>
    <s v="C07826300A5X1R36"/>
    <s v="13810650117"/>
    <s v="00440152289334"/>
    <s v="00440152299334"/>
    <s v="13810017314"/>
    <d v="2018-10-10T00:00:00"/>
    <s v="Yes"/>
    <s v="Yes"/>
    <x v="0"/>
    <s v="REGULAR TEST"/>
    <s v="LTL test setup"/>
  </r>
  <r>
    <x v="4"/>
    <s v="BEJSRTL656"/>
    <s v="Yes"/>
    <x v="3"/>
    <s v="PCIe"/>
    <n v="4079786"/>
    <s v="2F/R57/3"/>
    <x v="1"/>
    <x v="1"/>
    <x v="35"/>
    <x v="38"/>
    <x v="8"/>
    <s v="No"/>
    <s v="Yes"/>
    <s v="No"/>
    <s v="bejsrtm017.bj.intel.com"/>
    <x v="597"/>
    <s v="8F9B9BDDCB33E678FFFFFFFF"/>
    <s v="C07826600YNX1R36"/>
    <n v="17310496184"/>
    <s v="00440152289222"/>
    <s v="00440152299222"/>
    <s v="18211964905"/>
    <d v="2018-11-15T00:00:00"/>
    <s v="Yes"/>
    <s v="Yes"/>
    <x v="0"/>
    <s v="REGULAR TEST"/>
    <m/>
  </r>
  <r>
    <x v="4"/>
    <s v="BEJSRTL657"/>
    <s v="Yes"/>
    <x v="3"/>
    <s v="PCIe"/>
    <n v="4079912"/>
    <s v="2F/R56/7"/>
    <x v="1"/>
    <x v="1"/>
    <x v="35"/>
    <x v="38"/>
    <x v="8"/>
    <s v="No"/>
    <s v="Yes"/>
    <s v="No"/>
    <s v="bejsrtm016.bj.intel.com"/>
    <x v="598"/>
    <s v="0BEB930FA02F91A3FFFFFFFF"/>
    <s v="C0782630006X1R36"/>
    <s v="13331048801"/>
    <s v="00440152287676"/>
    <s v="00440152297676"/>
    <s v="18618442550"/>
    <d v="2018-11-15T00:00:00"/>
    <s v="Yes"/>
    <s v="Yes"/>
    <x v="0"/>
    <s v="REGULAR TEST"/>
    <m/>
  </r>
  <r>
    <x v="4"/>
    <s v="BEJSRTL658"/>
    <s v="Yes"/>
    <x v="3"/>
    <s v="PCIe"/>
    <n v="4079931"/>
    <s v="2F/R56/7"/>
    <x v="1"/>
    <x v="1"/>
    <x v="35"/>
    <x v="38"/>
    <x v="8"/>
    <s v="No"/>
    <s v="Yes"/>
    <s v="No"/>
    <s v="bejsrtm016.bj.intel.com"/>
    <x v="599"/>
    <s v="2DE15ADBB2651A2EFFFFFFFF"/>
    <s v="C07826600TZX1R36"/>
    <s v="18910548642"/>
    <s v="00499901061658"/>
    <s v="00499901062658"/>
    <s v="18511006485"/>
    <d v="2018-11-15T00:00:00"/>
    <s v="Yes"/>
    <s v="Yes"/>
    <x v="0"/>
    <s v="REGULAR TEST"/>
    <m/>
  </r>
  <r>
    <x v="4"/>
    <s v="BEJSRTL659"/>
    <s v="Yes"/>
    <x v="3"/>
    <s v="PCIe"/>
    <n v="4079973"/>
    <s v="2F/R57/1"/>
    <x v="1"/>
    <x v="1"/>
    <x v="29"/>
    <x v="27"/>
    <x v="8"/>
    <s v="No"/>
    <s v="Yes"/>
    <s v="No"/>
    <s v="bejsrtm017.bj.intel.com"/>
    <x v="600"/>
    <s v="EA76B80EC0620247FFFFFFFF"/>
    <s v="C0782660101X1R36"/>
    <n v="18101234794"/>
    <s v="00440152289223"/>
    <s v="00440152299223"/>
    <s v="13810734472"/>
    <d v="2018-09-29T00:00:00"/>
    <s v="Yes"/>
    <s v="Yes"/>
    <x v="0"/>
    <s v="REGULAR TEST"/>
    <m/>
  </r>
  <r>
    <x v="4"/>
    <s v="BEJSRTL660"/>
    <s v="Yes"/>
    <x v="3"/>
    <s v="PCIe"/>
    <n v="4079806"/>
    <s v="2F/R57/1"/>
    <x v="1"/>
    <x v="1"/>
    <x v="29"/>
    <x v="27"/>
    <x v="8"/>
    <s v="No"/>
    <s v="Yes"/>
    <s v="No"/>
    <s v="bejsrtm017.bj.intel.com"/>
    <x v="601"/>
    <s v="D80E97B27D4B4E90FFFFFFFF"/>
    <s v="C07826600U9X1R36"/>
    <n v="17319106459"/>
    <s v="00440152289227"/>
    <s v="00440152299227"/>
    <n v="13810021134"/>
    <d v="2018-09-29T00:00:00"/>
    <s v="Yes"/>
    <s v="Yes"/>
    <x v="0"/>
    <s v="REGULAR TEST"/>
    <m/>
  </r>
  <r>
    <x v="4"/>
    <s v="BEJSRTL661"/>
    <s v="Yes"/>
    <x v="3"/>
    <s v="PCIe"/>
    <n v="4079883"/>
    <s v="2F/R56/4"/>
    <x v="1"/>
    <x v="1"/>
    <x v="30"/>
    <x v="37"/>
    <x v="8"/>
    <s v="No"/>
    <s v="No"/>
    <s v="No"/>
    <s v="bejsrtm016.bj.intel.com"/>
    <x v="602"/>
    <s v="65D3F15BCE7CC2ACFFFFFFFF"/>
    <s v="C078263008AX1R36"/>
    <n v="15501291801"/>
    <s v="00440152289340"/>
    <s v="00440152299340"/>
    <n v="13811693572"/>
    <d v="2018-09-21T00:00:00"/>
    <s v="Yes"/>
    <s v="Yes"/>
    <x v="0"/>
    <s v="REGULAR TEST"/>
    <m/>
  </r>
  <r>
    <x v="4"/>
    <s v="BEJSRTL662"/>
    <s v="Yes"/>
    <x v="3"/>
    <s v="PCIe"/>
    <n v="4079767"/>
    <s v="2F/R56/5"/>
    <x v="1"/>
    <x v="1"/>
    <x v="30"/>
    <x v="37"/>
    <x v="8"/>
    <s v="No"/>
    <s v="No"/>
    <s v="No"/>
    <s v="bejsrtm017.bj.intel.com"/>
    <x v="603"/>
    <s v="23C4E8092A6978FEFFFFFFFF"/>
    <s v="C07826600ZSX1R36"/>
    <s v="15501179261"/>
    <s v="00440152289234"/>
    <s v="00440152299234"/>
    <n v="13910449749"/>
    <d v="2018-09-29T00:00:00"/>
    <s v="Yes"/>
    <s v="Yes"/>
    <x v="0"/>
    <s v="REGULAR TEST"/>
    <m/>
  </r>
  <r>
    <x v="4"/>
    <s v="BEJSRTL663"/>
    <s v="Yes"/>
    <x v="3"/>
    <s v="PCIe"/>
    <n v="4079897"/>
    <s v="2F/R57/2"/>
    <x v="1"/>
    <x v="1"/>
    <x v="30"/>
    <x v="37"/>
    <x v="8"/>
    <s v="No"/>
    <s v="No"/>
    <s v="No"/>
    <s v="bejsrtm017.bj.intel.com"/>
    <x v="604"/>
    <s v="81EC1AB0740B8328FFFFFFFF"/>
    <s v="C078257006TX1R36"/>
    <s v="15501299671"/>
    <s v="00440152289178"/>
    <s v="00440152299178"/>
    <n v="13810019704"/>
    <d v="2018-09-29T00:00:00"/>
    <s v="Yes"/>
    <s v="Yes"/>
    <x v="0"/>
    <s v="REGULAR TEST"/>
    <m/>
  </r>
  <r>
    <x v="4"/>
    <s v="BEJSRTL664"/>
    <s v="Yes"/>
    <x v="3"/>
    <s v="PCIe"/>
    <n v="4079826"/>
    <s v="2F/R57/2"/>
    <x v="1"/>
    <x v="1"/>
    <x v="27"/>
    <x v="17"/>
    <x v="2"/>
    <s v="No"/>
    <s v="No"/>
    <s v="No"/>
    <s v="bejsrtm017.bj.intel.com"/>
    <x v="605"/>
    <s v="22098471CE2B6F02FFFFFFFF"/>
    <s v="C078486002FLQ935"/>
    <s v="13810471509"/>
    <s v="00440308051099"/>
    <s v="00440308056099"/>
    <s v="13810910807"/>
    <d v="2018-11-15T00:00:00"/>
    <s v="Yes"/>
    <s v="Yes"/>
    <x v="0"/>
    <s v="REGULAR TEST"/>
    <m/>
  </r>
  <r>
    <x v="4"/>
    <s v="BEJSRTL665"/>
    <s v="Yes"/>
    <x v="0"/>
    <s v="PCIe"/>
    <n v="4079809"/>
    <s v="2F/R57/6"/>
    <x v="1"/>
    <x v="1"/>
    <x v="35"/>
    <x v="38"/>
    <x v="8"/>
    <s v="No"/>
    <s v="Yes"/>
    <s v="No"/>
    <s v="bejsrtm017.bj.intel.com"/>
    <x v="606"/>
    <s v="F3E3C7F2E5BC5C1AFFFFFFFF"/>
    <s v="C07826600ZTX1R36"/>
    <s v="18911034312"/>
    <s v="00440152289216"/>
    <s v="00440152299216"/>
    <s v="15510359289"/>
    <d v="2018-10-08T00:00:00"/>
    <s v="Yes"/>
    <s v="Yes"/>
    <x v="0"/>
    <s v="REGULAR TEST"/>
    <m/>
  </r>
  <r>
    <x v="4"/>
    <s v="BEJSRTL666"/>
    <s v="Yes"/>
    <x v="3"/>
    <s v="PCIe"/>
    <n v="4079838"/>
    <s v="2F/R57/7"/>
    <x v="1"/>
    <x v="1"/>
    <x v="27"/>
    <x v="17"/>
    <x v="8"/>
    <s v="No"/>
    <s v="No"/>
    <s v="No"/>
    <s v="bejsrtm017.bj.intel.com"/>
    <x v="607"/>
    <s v="EEBA77F119E17078FFFFFFFF"/>
    <s v="C07826600XJX1R36"/>
    <s v="13810309107"/>
    <s v="00440152289232"/>
    <s v="00440152299232"/>
    <s v="13810957902"/>
    <d v="2018-10-08T00:00:00"/>
    <s v="Yes"/>
    <s v="Yes"/>
    <x v="0"/>
    <s v="REGULAR TEST"/>
    <m/>
  </r>
  <r>
    <x v="4"/>
    <s v="BEJSRTL667"/>
    <s v="Yes"/>
    <x v="3"/>
    <s v="PCIe"/>
    <n v="4079868"/>
    <s v="2F/R57/7"/>
    <x v="1"/>
    <x v="1"/>
    <x v="27"/>
    <x v="17"/>
    <x v="8"/>
    <s v="No"/>
    <s v="No"/>
    <s v="No"/>
    <s v="bejsrtm017.bj.intel.com"/>
    <x v="608"/>
    <s v="DF6781A4EAF53DBDFFFFFFFF"/>
    <s v="C07826600W6X1R36"/>
    <s v="13810420561"/>
    <s v="00440152289230"/>
    <s v="00440152299230"/>
    <s v="13810833935"/>
    <d v="2018-10-10T00:00:00"/>
    <s v="Yes"/>
    <s v="Yes"/>
    <x v="0"/>
    <s v="REGULAR TEST"/>
    <m/>
  </r>
  <r>
    <x v="4"/>
    <s v="BEJSRTL668"/>
    <s v="Yes"/>
    <x v="3"/>
    <s v="PCIe"/>
    <n v="4079967"/>
    <s v="2F/R58/1"/>
    <x v="1"/>
    <x v="1"/>
    <x v="30"/>
    <x v="37"/>
    <x v="8"/>
    <s v="No"/>
    <s v="No"/>
    <s v="No"/>
    <s v="bejsrtm017.bj.intel.com"/>
    <x v="609"/>
    <s v="22455BB9A9EDA27DFFFFFFFF"/>
    <s v="C07826600T8X1R36"/>
    <s v="18612650843"/>
    <s v="00440152289225"/>
    <s v="00440152299225"/>
    <s v="13810697732"/>
    <d v="2018-11-15T00:00:00"/>
    <s v="Yes"/>
    <s v="Yes"/>
    <x v="0"/>
    <s v="REGULAR TEST"/>
    <m/>
  </r>
  <r>
    <x v="4"/>
    <s v="BEJSRTL669"/>
    <s v="Yes"/>
    <x v="3"/>
    <s v="PCIe"/>
    <n v="4079835"/>
    <s v="2F/R57/4"/>
    <x v="1"/>
    <x v="1"/>
    <x v="32"/>
    <x v="9"/>
    <x v="8"/>
    <s v="No"/>
    <s v="No"/>
    <s v="No"/>
    <s v="bejsrtm017.bj.intel.com"/>
    <x v="610"/>
    <s v="E77FC95F053559C9FFFFFFFF"/>
    <s v="C07826600TYX1R36"/>
    <s v="13810274074"/>
    <s v="00440152289220"/>
    <s v="00440152299220"/>
    <s v="15501261637"/>
    <d v="2018-09-18T00:00:00"/>
    <s v="Yes"/>
    <s v="Yes"/>
    <x v="0"/>
    <s v="REGULAR TEST"/>
    <m/>
  </r>
  <r>
    <x v="4"/>
    <s v="BEJSRTL670"/>
    <s v="Yes"/>
    <x v="3"/>
    <s v="PCIe"/>
    <n v="4079833"/>
    <s v="2F/R57/6"/>
    <x v="1"/>
    <x v="1"/>
    <x v="29"/>
    <x v="36"/>
    <x v="8"/>
    <s v="No"/>
    <s v="Yes"/>
    <s v="No"/>
    <s v="bejsrtm017.bj.intel.com"/>
    <x v="611"/>
    <s v="2A6136519F928831FFFFFFFF"/>
    <s v="C07826600YWX1R36"/>
    <s v="18911175549"/>
    <s v="00440152289214"/>
    <s v="00440152299214"/>
    <s v="13810274794"/>
    <d v="2018-11-15T00:00:00"/>
    <s v="Yes"/>
    <s v="Yes"/>
    <x v="0"/>
    <s v="REGULAR TEST"/>
    <m/>
  </r>
  <r>
    <x v="4"/>
    <s v="BEJSRTL671"/>
    <s v="Yes"/>
    <x v="3"/>
    <s v="PCIe"/>
    <n v="4079782"/>
    <s v="2F/R62/2"/>
    <x v="1"/>
    <x v="1"/>
    <x v="27"/>
    <x v="17"/>
    <x v="2"/>
    <s v="No"/>
    <s v="No"/>
    <s v="No"/>
    <s v="bejsrtm017.bj.intel.com"/>
    <x v="612"/>
    <s v="27F6F0654CF66E02FFFFFFFF"/>
    <s v="C078486002ULQ935"/>
    <s v="13810437502"/>
    <s v="00440308051096"/>
    <s v="00440308056096"/>
    <s v="13810284534"/>
    <s v="12/27/2018"/>
    <s v="Yes"/>
    <s v="Yes"/>
    <x v="0"/>
    <s v="REGULAR TEST"/>
    <s v="RITM6913056"/>
  </r>
  <r>
    <x v="4"/>
    <s v="BEJSRTL672"/>
    <s v="Yes"/>
    <x v="3"/>
    <s v="PCIe"/>
    <n v="4079858"/>
    <s v="2F/R57/5"/>
    <x v="1"/>
    <x v="1"/>
    <x v="29"/>
    <x v="36"/>
    <x v="8"/>
    <s v="No"/>
    <s v="Yes"/>
    <s v="No"/>
    <s v="bejsrtm017.bj.intel.com"/>
    <x v="613"/>
    <s v="D0485918C6C3618BFFFFFFFF"/>
    <s v="C07826600Z3X1R36"/>
    <s v="18911175584"/>
    <s v="00440152289236"/>
    <s v="00440152299236"/>
    <s v="13911724214"/>
    <d v="2018-11-15T00:00:00"/>
    <s v="Yes"/>
    <s v="Yes"/>
    <x v="0"/>
    <s v="REGULAR TEST"/>
    <m/>
  </r>
  <r>
    <x v="4"/>
    <s v="BEJSRTL673"/>
    <s v="Yes"/>
    <x v="3"/>
    <s v="PCIe"/>
    <n v="4079422"/>
    <s v="4F/R7/1"/>
    <x v="1"/>
    <x v="1"/>
    <x v="28"/>
    <x v="18"/>
    <x v="8"/>
    <s v="No"/>
    <s v="No"/>
    <s v="Yes"/>
    <s v="7660utt001smini.bj.intel.com"/>
    <x v="614"/>
    <s v="8D7563F965924EE6FFFFFFFF"/>
    <s v="C07826400JZX1R36"/>
    <s v="13800001362"/>
    <s v="00440152289202"/>
    <s v="00440152299202"/>
    <s v="13800001363"/>
    <d v="2018-09-29T00:00:00"/>
    <s v="Yes"/>
    <s v="Yes"/>
    <x v="0"/>
    <s v="REGULAR TEST"/>
    <m/>
  </r>
  <r>
    <x v="4"/>
    <s v="BEJSRTL674"/>
    <s v="Yes"/>
    <x v="3"/>
    <s v="PCIe"/>
    <n v="4079440"/>
    <s v="2F/R57/5"/>
    <x v="1"/>
    <x v="1"/>
    <x v="32"/>
    <x v="9"/>
    <x v="8"/>
    <s v="No"/>
    <s v="No"/>
    <s v="No"/>
    <s v="bejsrtm017.bj.intel.com"/>
    <x v="615"/>
    <s v="F8C789D6A9A30487FFFFFFFF"/>
    <s v="C07826600XQX1R36"/>
    <n v="13810016794"/>
    <s v="00440152289211"/>
    <s v="00440152299211"/>
    <n v="18610941293"/>
    <d v="2018-10-19T00:00:00"/>
    <s v="Yes"/>
    <s v="Yes"/>
    <x v="0"/>
    <s v="REGULAR TEST"/>
    <m/>
  </r>
  <r>
    <x v="4"/>
    <s v="BEJSRTL675"/>
    <s v="Yes"/>
    <x v="3"/>
    <s v="PCIe"/>
    <n v="4079418"/>
    <s v="2F/R56/1"/>
    <x v="1"/>
    <x v="1"/>
    <x v="35"/>
    <x v="41"/>
    <x v="8"/>
    <s v="No"/>
    <s v="Yes"/>
    <s v="No"/>
    <s v="bejsrtm016.bj.intel.com"/>
    <x v="616"/>
    <s v="52371970C2787726FFFFFFFF"/>
    <s v="C078257003SX1R36"/>
    <s v="18911473764"/>
    <s v="00440152289177"/>
    <s v="00440152299177"/>
    <s v="18511004983"/>
    <d v="2018-11-15T00:00:00"/>
    <s v="Yes"/>
    <s v="Yes"/>
    <x v="0"/>
    <s v="REGULAR TEST"/>
    <m/>
  </r>
  <r>
    <x v="4"/>
    <s v="BEJSRTL676"/>
    <s v="Yes"/>
    <x v="0"/>
    <s v="PCIe"/>
    <n v="4079438"/>
    <s v="2F/R58/1"/>
    <x v="1"/>
    <x v="1"/>
    <x v="32"/>
    <x v="9"/>
    <x v="2"/>
    <s v="No"/>
    <s v="No"/>
    <s v="No"/>
    <s v="bejsrtm016.bj.intel.com"/>
    <x v="617"/>
    <s v="579411664D5F6B02FFFFFFFF"/>
    <s v="C078486003JLQ935"/>
    <s v="13810286441"/>
    <s v="00440308051094"/>
    <s v="00440308056094"/>
    <s v="18511007409"/>
    <s v="11/5/2018"/>
    <s v="Yes"/>
    <s v="Yes"/>
    <x v="0"/>
    <s v="REGULAR TEST"/>
    <s v="12/19/2018: board transfer to GNSS_x000a_IDC test"/>
  </r>
  <r>
    <x v="4"/>
    <s v="BEJSRTL677"/>
    <s v="Yes"/>
    <x v="3"/>
    <s v="PCIe"/>
    <n v="4079622"/>
    <s v="2F/R58/2"/>
    <x v="1"/>
    <x v="0"/>
    <x v="31"/>
    <x v="0"/>
    <x v="8"/>
    <s v="No"/>
    <s v="No"/>
    <s v="No"/>
    <s v="bejsrtm016.bj.intel.com"/>
    <x v="618"/>
    <s v="F34C06B48FDDE756FFFFFFFF"/>
    <s v="C07826400EMX1R36"/>
    <n v="13810278704"/>
    <s v="00440152289201"/>
    <s v="00440152299201"/>
    <m/>
    <s v="11/5/2018"/>
    <s v="Yes"/>
    <s v="Yes"/>
    <x v="0"/>
    <s v="REGULAR TEST"/>
    <s v="IDC test"/>
  </r>
  <r>
    <x v="4"/>
    <s v="BEJSRTL678"/>
    <s v="Yes"/>
    <x v="3"/>
    <s v="PCIe"/>
    <n v="4079451"/>
    <s v="2F/R58/2"/>
    <x v="1"/>
    <x v="0"/>
    <x v="31"/>
    <x v="0"/>
    <x v="8"/>
    <s v="No"/>
    <s v="No"/>
    <s v="No"/>
    <s v="bejsrtm016.bj.intel.com"/>
    <x v="619"/>
    <s v="27616398608973CCFFFFFFFF"/>
    <s v="C07826400KTX1R36"/>
    <n v="13811021052"/>
    <s v="00440152289206"/>
    <s v="00440152299206"/>
    <m/>
    <s v="11/5/2018"/>
    <s v="Yes"/>
    <s v="Yes"/>
    <x v="0"/>
    <s v="REGULAR TEST"/>
    <s v="IDC test"/>
  </r>
  <r>
    <x v="4"/>
    <s v="BEJSRTL679"/>
    <s v="Yes"/>
    <x v="3"/>
    <s v="PCIe"/>
    <n v="4079703"/>
    <s v="2F/R58/3"/>
    <x v="1"/>
    <x v="1"/>
    <x v="35"/>
    <x v="41"/>
    <x v="8"/>
    <s v="No"/>
    <s v="Yes"/>
    <s v="No"/>
    <s v="bejsrtm016.bj.intel.com"/>
    <x v="620"/>
    <s v="2136CD89B66336EDFFFFFFFF"/>
    <s v="C07826400KQX1R36"/>
    <s v="13331048819"/>
    <s v="00440152289195"/>
    <s v="00440152299195"/>
    <s v="13051118761"/>
    <s v="11/15/2018"/>
    <s v="Yes"/>
    <s v="Yes"/>
    <x v="0"/>
    <s v="REGULAR TEST"/>
    <m/>
  </r>
  <r>
    <x v="4"/>
    <s v="BEJSRTL680"/>
    <s v="Yes"/>
    <x v="3"/>
    <s v="PCIe"/>
    <n v="4079532"/>
    <s v="2F/R58/3"/>
    <x v="1"/>
    <x v="0"/>
    <x v="31"/>
    <x v="22"/>
    <x v="8"/>
    <s v="No"/>
    <s v="No"/>
    <s v="No"/>
    <s v="bejsrtm016.bj.intel.com"/>
    <x v="621"/>
    <s v="7909D9330BA152A0FFFFFFFF"/>
    <s v="C07826400HNX1R36"/>
    <s v="13810982575"/>
    <s v="00440152289196"/>
    <s v="00440152299196"/>
    <m/>
    <s v="11/15/2018"/>
    <s v="Yes"/>
    <s v="Yes"/>
    <x v="0"/>
    <s v="REGULAR TEST"/>
    <m/>
  </r>
  <r>
    <x v="4"/>
    <s v="BEJSRTL681"/>
    <s v="Yes"/>
    <x v="3"/>
    <s v="PCIe"/>
    <n v="4079653"/>
    <s v="2F/R58/4"/>
    <x v="1"/>
    <x v="0"/>
    <x v="31"/>
    <x v="22"/>
    <x v="8"/>
    <s v="No"/>
    <s v="No"/>
    <s v="No"/>
    <s v="bejsrtm016.bj.intel.com"/>
    <x v="622"/>
    <s v="C537F4925FACB774FFFFFFFF"/>
    <s v="C0782660103X1R36"/>
    <s v="13810471639"/>
    <s v="00440152289208"/>
    <s v="00440152299208"/>
    <m/>
    <s v="11/15/2018"/>
    <s v="Yes"/>
    <s v="Yes"/>
    <x v="0"/>
    <s v="REGULAR TEST"/>
    <m/>
  </r>
  <r>
    <x v="4"/>
    <s v="BEJSRTL682"/>
    <s v="Yes"/>
    <x v="3"/>
    <s v="PCIe"/>
    <n v="4079567"/>
    <s v="2F/R58/4"/>
    <x v="1"/>
    <x v="0"/>
    <x v="34"/>
    <x v="5"/>
    <x v="8"/>
    <s v="No"/>
    <s v="No"/>
    <s v="No"/>
    <s v="bejsrtm017.bj.intel.com"/>
    <x v="623"/>
    <s v="8492B1450364ED7EFFFFFFFF"/>
    <s v="C07826400CZX1R36"/>
    <n v="13011842454"/>
    <s v="00440152289189"/>
    <s v="00440152299189"/>
    <m/>
    <s v="10/31/2018"/>
    <s v="Yes"/>
    <s v="Yes"/>
    <x v="0"/>
    <s v="REGULAR TEST"/>
    <m/>
  </r>
  <r>
    <x v="4"/>
    <s v="BEJSRTL683"/>
    <s v="Yes"/>
    <x v="3"/>
    <s v="PCIe"/>
    <n v="4079560"/>
    <s v="2F/R58/5"/>
    <x v="1"/>
    <x v="0"/>
    <x v="34"/>
    <x v="4"/>
    <x v="8"/>
    <s v="No"/>
    <s v="No"/>
    <s v="No"/>
    <s v="bejsrtm017.bj.intel.com"/>
    <x v="624"/>
    <s v="DF2F0B19EFFD9A2FFFFFFFFF"/>
    <s v="C07826400DZX1R36"/>
    <n v="15501280367"/>
    <s v="00440152289191"/>
    <s v="00440152299191"/>
    <m/>
    <s v="10/31/2018"/>
    <s v="Yes"/>
    <s v="Yes"/>
    <x v="0"/>
    <s v="REGULAR TEST"/>
    <m/>
  </r>
  <r>
    <x v="4"/>
    <s v="BEJSRTL684"/>
    <s v="Yes"/>
    <x v="3"/>
    <s v="PCIe"/>
    <n v="4079541"/>
    <s v="2F/R58/5"/>
    <x v="1"/>
    <x v="1"/>
    <x v="32"/>
    <x v="9"/>
    <x v="8"/>
    <s v="No"/>
    <s v="No"/>
    <s v="No"/>
    <s v="bejsrtm018smini.bj.intel.com"/>
    <x v="625"/>
    <s v="793B348563774620FFFFFFFF"/>
    <s v="C07826300BZX1R36"/>
    <s v="13810830353"/>
    <s v="00440152289186"/>
    <s v="00440152299186"/>
    <s v="15501295070"/>
    <s v="10/24/2018"/>
    <s v="Yes"/>
    <s v="Yes"/>
    <x v="0"/>
    <s v="REGULAR TEST"/>
    <m/>
  </r>
  <r>
    <x v="4"/>
    <s v="BEJSRTL685"/>
    <s v="Yes"/>
    <x v="3"/>
    <s v="PCIe"/>
    <n v="4079357"/>
    <s v="2F/R58/6"/>
    <x v="1"/>
    <x v="1"/>
    <x v="32"/>
    <x v="9"/>
    <x v="8"/>
    <s v="No"/>
    <s v="No"/>
    <s v="No"/>
    <s v="bejsrtm018smini.bj.intel.com"/>
    <x v="626"/>
    <s v="26567ED45D61C7F7FFFFFFFF"/>
    <s v="C07826400ETX1R36"/>
    <s v="13810931323"/>
    <s v="00440152289200"/>
    <s v="00440152299200"/>
    <s v=" "/>
    <s v="10/24/2018"/>
    <s v="Yes"/>
    <s v="Yes"/>
    <x v="0"/>
    <s v="REGULAR TEST"/>
    <m/>
  </r>
  <r>
    <x v="4"/>
    <s v="BEJSRTL686"/>
    <s v="No"/>
    <x v="3"/>
    <s v="PCIe"/>
    <n v="4079720"/>
    <m/>
    <x v="1"/>
    <x v="2"/>
    <x v="2"/>
    <x v="2"/>
    <x v="3"/>
    <s v="No"/>
    <s v="No"/>
    <s v="No"/>
    <s v="bejsrtm018smini.bj.intel.com"/>
    <x v="627"/>
    <e v="#N/A"/>
    <e v="#N/A"/>
    <m/>
    <e v="#N/A"/>
    <e v="#N/A"/>
    <m/>
    <s v="11/15/2018"/>
    <s v="Broken"/>
    <s v="No"/>
    <x v="4"/>
    <s v="PC BROKEN"/>
    <m/>
  </r>
  <r>
    <x v="4"/>
    <s v="BEJSRTL687"/>
    <s v="Yes"/>
    <x v="3"/>
    <s v="PCIe"/>
    <n v="4079339"/>
    <s v="2F/R58/7"/>
    <x v="1"/>
    <x v="1"/>
    <x v="27"/>
    <x v="17"/>
    <x v="8"/>
    <s v="No"/>
    <s v="No"/>
    <s v="No"/>
    <s v="bejsrtm018smini.bj.intel.com"/>
    <x v="628"/>
    <s v="7D6F9DB7AB72B2CEFFFFFFFF"/>
    <s v="C07826600ZCX1R36"/>
    <s v="13810018174"/>
    <s v="00440152289209"/>
    <s v="00440152299209"/>
    <s v="13810657082"/>
    <s v="11/15/2018"/>
    <s v="Yes"/>
    <s v="Yes"/>
    <x v="0"/>
    <s v="REGULAR TEST"/>
    <m/>
  </r>
  <r>
    <x v="4"/>
    <s v="BEJSRTL688"/>
    <s v="Yes"/>
    <x v="3"/>
    <s v="PCIe"/>
    <n v="4079517"/>
    <s v="2F/R58/7"/>
    <x v="1"/>
    <x v="1"/>
    <x v="29"/>
    <x v="27"/>
    <x v="8"/>
    <s v="No"/>
    <s v="Yes"/>
    <s v="No"/>
    <s v="bejsrtm018smini.bj.intel.com"/>
    <x v="629"/>
    <s v="DC9D3FF86F2C1174FFFFFFFF"/>
    <s v="C07826400D3X1R36"/>
    <s v="17310529042"/>
    <s v="00440152289204"/>
    <s v="00440152299204"/>
    <s v="13810585913"/>
    <s v="10/24/2018"/>
    <s v="Yes"/>
    <s v="Yes"/>
    <x v="0"/>
    <s v="REGULAR TEST"/>
    <m/>
  </r>
  <r>
    <x v="4"/>
    <s v="BEJSRTL689"/>
    <s v="Yes"/>
    <x v="3"/>
    <s v="PCIe"/>
    <n v="4079390"/>
    <s v="2F/R60/1"/>
    <x v="1"/>
    <x v="1"/>
    <x v="29"/>
    <x v="27"/>
    <x v="8"/>
    <s v="No"/>
    <s v="Yes"/>
    <s v="No"/>
    <s v="bejsrtm018smini.bj.intel.com"/>
    <x v="630"/>
    <s v="D1DD1D17FC0DE80DFFFFFFFF"/>
    <s v="C07826400G2X1R36"/>
    <s v="13331048813"/>
    <s v="00440152289198"/>
    <s v="00440152299198"/>
    <s v="13910407834"/>
    <s v="10/24/2018"/>
    <s v="Yes"/>
    <s v="Yes"/>
    <x v="0"/>
    <s v="REGULAR TEST"/>
    <m/>
  </r>
  <r>
    <x v="4"/>
    <s v="BEJSRTL690"/>
    <s v="Yes"/>
    <x v="0"/>
    <s v="PCIe"/>
    <n v="4079581"/>
    <s v="2F/R60/1"/>
    <x v="1"/>
    <x v="1"/>
    <x v="32"/>
    <x v="9"/>
    <x v="8"/>
    <s v="No"/>
    <s v="No"/>
    <s v="No"/>
    <s v="bejsrtm018smini.bj.intel.com"/>
    <x v="631"/>
    <s v="76DD1C6B5566D90BFFFFFFFF"/>
    <s v="C078263007NX1R36"/>
    <s v="13810018984"/>
    <s v="00440152289348"/>
    <s v="00440152299348"/>
    <s v="15501298796"/>
    <s v="10/24/2018"/>
    <s v="Yes"/>
    <s v="Yes"/>
    <x v="0"/>
    <s v="REGULAR TEST"/>
    <s v="LTL test setup"/>
  </r>
  <r>
    <x v="4"/>
    <s v="BEJSRTL692"/>
    <s v="Yes"/>
    <x v="3"/>
    <s v="PCIe"/>
    <n v="4079714"/>
    <s v="4F/R7/1"/>
    <x v="1"/>
    <x v="0"/>
    <x v="36"/>
    <x v="14"/>
    <x v="10"/>
    <s v="No"/>
    <s v="No"/>
    <s v="Yes"/>
    <s v="bejsrtm018smini.bj.intel.com"/>
    <x v="632"/>
    <s v="080800795A800D00FFFFFFFF"/>
    <s v="C03816111111369B3"/>
    <s v="189000670348"/>
    <s v="00499901061607"/>
    <n v="0"/>
    <m/>
    <d v="2018-12-20T00:00:00"/>
    <s v="Yes"/>
    <s v="Yes"/>
    <x v="0"/>
    <s v="REGULAR TEST"/>
    <s v="26 NOV: Dry Run Pass_x000a_19 NOV: CPS power preint_x000a_20 NOV: Recalibration needed"/>
  </r>
  <r>
    <x v="4"/>
    <s v="BEJSRTL693"/>
    <s v="Yes"/>
    <x v="3"/>
    <s v="PCIe"/>
    <n v="4079380"/>
    <s v="2F/R60/3"/>
    <x v="1"/>
    <x v="0"/>
    <x v="31"/>
    <x v="22"/>
    <x v="8"/>
    <s v="No"/>
    <s v="No"/>
    <s v="No"/>
    <s v="bejsrtm018smini.bj.intel.com"/>
    <x v="633"/>
    <s v="0F9EAA4B46F7D867FFFFFFFF"/>
    <s v="C0782630042X1R36"/>
    <s v="13910632574"/>
    <s v="00440152289346"/>
    <s v="00440152299346"/>
    <m/>
    <s v="11/15/2018"/>
    <s v="Yes"/>
    <s v="Yes"/>
    <x v="0"/>
    <s v="REGULAR TEST"/>
    <m/>
  </r>
  <r>
    <x v="4"/>
    <s v="BEJSRTL696"/>
    <s v="Yes"/>
    <x v="3"/>
    <s v="PCIe"/>
    <n v="4079706"/>
    <s v="2F/R60/4"/>
    <x v="1"/>
    <x v="0"/>
    <x v="31"/>
    <x v="22"/>
    <x v="8"/>
    <s v="No"/>
    <s v="No"/>
    <s v="No"/>
    <s v="bejsrtm018smini.bj.intel.com"/>
    <x v="634"/>
    <s v="6DB166FC7937C643FFFFFFFF"/>
    <s v="C07826400FJX1R36"/>
    <s v="13810076614"/>
    <s v="00440152289193"/>
    <s v="00440152299193"/>
    <m/>
    <s v="11/15/2018"/>
    <s v="Yes"/>
    <s v="Yes"/>
    <x v="0"/>
    <s v="REGULAR TEST"/>
    <m/>
  </r>
  <r>
    <x v="4"/>
    <s v="BEJSRTL706"/>
    <s v="No"/>
    <x v="3"/>
    <s v="PCIe"/>
    <n v="4079423"/>
    <m/>
    <x v="1"/>
    <x v="2"/>
    <x v="2"/>
    <x v="2"/>
    <x v="3"/>
    <s v="No"/>
    <s v="No"/>
    <s v="No"/>
    <s v="bejsrtm020smini.bj.intel.com"/>
    <x v="635"/>
    <e v="#N/A"/>
    <e v="#N/A"/>
    <m/>
    <e v="#N/A"/>
    <e v="#N/A"/>
    <m/>
    <s v="12/20/2018"/>
    <s v="Broken"/>
    <s v="No"/>
    <x v="4"/>
    <s v="PC BROKEN"/>
    <m/>
  </r>
  <r>
    <x v="4"/>
    <s v="BEJSRTL707"/>
    <s v="Yes"/>
    <x v="3"/>
    <s v="PCIe"/>
    <n v="4079615"/>
    <s v="2F/R61/3"/>
    <x v="1"/>
    <x v="1"/>
    <x v="27"/>
    <x v="17"/>
    <x v="2"/>
    <s v="No"/>
    <s v="No"/>
    <s v="No"/>
    <s v="bejsrtm020smini.bj.intel.com"/>
    <x v="636"/>
    <s v="52F72C98CC5C6B02FFFFFFFF"/>
    <s v="C078486003GLQ935"/>
    <s v="13810990625"/>
    <s v="00440308051090"/>
    <s v="00440308056090"/>
    <s v="13811021282"/>
    <s v="12/27/2018"/>
    <s v="Yes"/>
    <s v="Yes"/>
    <x v="0"/>
    <s v="REGULAR TEST"/>
    <m/>
  </r>
  <r>
    <x v="4"/>
    <s v="BEJSRTL708"/>
    <s v="No"/>
    <x v="15"/>
    <s v="PCIe"/>
    <n v="4079680"/>
    <m/>
    <x v="1"/>
    <x v="2"/>
    <x v="2"/>
    <x v="2"/>
    <x v="3"/>
    <s v="No"/>
    <s v="No"/>
    <s v="No"/>
    <m/>
    <x v="13"/>
    <e v="#N/A"/>
    <e v="#N/A"/>
    <m/>
    <e v="#N/A"/>
    <e v="#N/A"/>
    <m/>
    <m/>
    <s v="Broken"/>
    <s v="No"/>
    <x v="4"/>
    <s v="PC BROKEN"/>
    <s v="hard disk broken"/>
  </r>
  <r>
    <x v="4"/>
    <s v="BEJSRTL709"/>
    <s v="Yes"/>
    <x v="3"/>
    <s v="BLACK RAY"/>
    <n v="4079660"/>
    <s v="2F/R61/4"/>
    <x v="1"/>
    <x v="0"/>
    <x v="26"/>
    <x v="13"/>
    <x v="2"/>
    <s v="No"/>
    <s v="Yes"/>
    <s v="No"/>
    <s v="bejsrtm020smini.bj.intel.com"/>
    <x v="637"/>
    <s v="3E3D24EB4B3D6F02FFFFFFFF"/>
    <s v="C078486003CLQ935"/>
    <s v="18911175464"/>
    <s v="00440308051087"/>
    <s v="00440308056087"/>
    <m/>
    <s v="12/13/2018"/>
    <s v="Yes"/>
    <s v="Yes"/>
    <x v="0"/>
    <s v="REGULAR TEST"/>
    <m/>
  </r>
  <r>
    <x v="4"/>
    <s v="BEJSRTL710"/>
    <s v="Yes"/>
    <x v="3"/>
    <s v="BLACK RAY"/>
    <n v="4079607"/>
    <s v="2F/R61/4"/>
    <x v="1"/>
    <x v="0"/>
    <x v="31"/>
    <x v="42"/>
    <x v="2"/>
    <s v="No"/>
    <s v="No"/>
    <s v="No"/>
    <s v="bejsrtm020smini.bj.intel.com"/>
    <x v="638"/>
    <s v="16755B6CCB4A6B02FFFFFFFF"/>
    <s v="C078486002WLQ935"/>
    <s v="13810781532"/>
    <s v="00440308051177"/>
    <s v="00440308056177"/>
    <m/>
    <s v="12/20/2018"/>
    <s v="Yes"/>
    <s v="Yes"/>
    <x v="0"/>
    <s v="REGULAR TEST"/>
    <s v="baseline done"/>
  </r>
  <r>
    <x v="4"/>
    <s v="BEJSRTL711"/>
    <s v="Yes"/>
    <x v="3"/>
    <s v="BLACK RAY"/>
    <n v="4079608"/>
    <s v="2F/R61/5"/>
    <x v="1"/>
    <x v="0"/>
    <x v="31"/>
    <x v="6"/>
    <x v="2"/>
    <s v="No"/>
    <s v="No"/>
    <s v="No"/>
    <s v="bejsrtm020smini.bj.intel.com"/>
    <x v="639"/>
    <s v="16E042364C576B02FFFFFFFF"/>
    <s v="C078486002YLQ935"/>
    <s v="13810137974"/>
    <s v="00440308051181"/>
    <s v="00440308056181"/>
    <m/>
    <s v="12/20/2018"/>
    <s v="Yes"/>
    <s v="Yes"/>
    <x v="0"/>
    <s v="REGULAR TEST"/>
    <s v="baseline doneFDD-&gt;TDS(CUC card in my hands)"/>
  </r>
  <r>
    <x v="4"/>
    <s v="BEJSRTL712"/>
    <s v="Yes"/>
    <x v="3"/>
    <s v="BLACK RAY"/>
    <n v="4079509"/>
    <s v="2F/R61/5"/>
    <x v="1"/>
    <x v="0"/>
    <x v="34"/>
    <x v="42"/>
    <x v="2"/>
    <s v="No"/>
    <s v="No"/>
    <s v="No"/>
    <s v="bejsrtm020smini.bj.intel.com"/>
    <x v="640"/>
    <s v="6FED570DCB266B02FFFFFFFF"/>
    <s v="C078486002PLQ935"/>
    <s v="18511279122"/>
    <s v="00440308051182"/>
    <s v="00440308056182"/>
    <m/>
    <s v="12/20/2018"/>
    <s v="Yes"/>
    <s v="Yes"/>
    <x v="0"/>
    <s v="REGULAR TEST"/>
    <s v="baseline done"/>
  </r>
  <r>
    <x v="4"/>
    <s v="BEJSRTL713"/>
    <s v="Yes"/>
    <x v="3"/>
    <s v="PCIe"/>
    <n v="4079709"/>
    <s v="2F/R61/6"/>
    <x v="1"/>
    <x v="1"/>
    <x v="27"/>
    <x v="17"/>
    <x v="2"/>
    <s v="No"/>
    <s v="No"/>
    <s v="No"/>
    <s v="bejsrtm020smini.bj.intel.com"/>
    <x v="641"/>
    <s v="23E23B8ACAF36E02FFFFFFFF"/>
    <s v="C078486004FLQ935"/>
    <s v="13810272047"/>
    <s v="00440308051093"/>
    <s v="00440308056093"/>
    <s v="13811056251"/>
    <s v="12/27/2018"/>
    <s v="Yes"/>
    <s v="Yes"/>
    <x v="0"/>
    <s v="REGULAR TEST"/>
    <m/>
  </r>
  <r>
    <x v="4"/>
    <s v="BEJSRTL714"/>
    <s v="Yes"/>
    <x v="3"/>
    <s v="BLACK RAY"/>
    <n v="4079644"/>
    <s v="2F/R61/6"/>
    <x v="1"/>
    <x v="0"/>
    <x v="31"/>
    <x v="42"/>
    <x v="2"/>
    <s v="No"/>
    <s v="No"/>
    <s v="No"/>
    <s v="bejsrtm020smini.bj.intel.com"/>
    <x v="642"/>
    <s v="7BAAE20ACC2D6F02FFFFFFFF"/>
    <s v="C0784860047LQ935"/>
    <s v="13811517285"/>
    <s v="00440308051176"/>
    <s v="00440308056176"/>
    <m/>
    <s v="12/21/2018"/>
    <s v="Yes"/>
    <s v="Yes"/>
    <x v="0"/>
    <s v="REGULAR TEST"/>
    <s v="baseline done HYBRID-&gt;TDD"/>
  </r>
  <r>
    <x v="4"/>
    <s v="BEJSRTL715"/>
    <s v="Yes"/>
    <x v="3"/>
    <s v="PCIe"/>
    <n v="4079502"/>
    <s v="2F/R61/7"/>
    <x v="1"/>
    <x v="1"/>
    <x v="27"/>
    <x v="17"/>
    <x v="2"/>
    <s v="No"/>
    <s v="No"/>
    <s v="No"/>
    <s v="bejsrtm020smini.bj.intel.com"/>
    <x v="643"/>
    <s v="7BB831534B596B02FFFFFFFF"/>
    <s v="C078486004MLQ935"/>
    <s v="13811446790"/>
    <s v="00440308051091"/>
    <s v="00440308056091"/>
    <s v="13811902571"/>
    <s v="12/27/2018"/>
    <s v="Yes"/>
    <s v="Yes"/>
    <x v="0"/>
    <s v="REGULAR TEST"/>
    <m/>
  </r>
  <r>
    <x v="4"/>
    <s v="BEJSRTL716"/>
    <s v="Yes"/>
    <x v="3"/>
    <s v="BLACK RAY"/>
    <n v="4079510"/>
    <s v="2F/R61/7"/>
    <x v="1"/>
    <x v="0"/>
    <x v="31"/>
    <x v="42"/>
    <x v="2"/>
    <s v="No"/>
    <s v="No"/>
    <s v="No"/>
    <s v="bejsrtm020smini.bj.intel.com"/>
    <x v="644"/>
    <s v="26F0075F4CF36E02FFFFFFFF"/>
    <s v="C078486004LLQ935"/>
    <s v="13910404239"/>
    <s v="00440308051086"/>
    <s v="00440308056086"/>
    <m/>
    <s v="12/21/2018"/>
    <s v="Yes"/>
    <s v="Yes"/>
    <x v="0"/>
    <s v="REGULAR TEST"/>
    <s v="baseline done SRLTE-&gt;TDD"/>
  </r>
  <r>
    <x v="4"/>
    <s v="BEJSRTL717"/>
    <s v="Yes"/>
    <x v="15"/>
    <s v="PCIe"/>
    <n v="4079514"/>
    <s v="2F/R59/1"/>
    <x v="1"/>
    <x v="1"/>
    <x v="32"/>
    <x v="9"/>
    <x v="2"/>
    <s v="No"/>
    <s v="No"/>
    <s v="No"/>
    <s v="bejsrtm020smini.bj.intel.com"/>
    <x v="645"/>
    <s v="39AA52DCCCFC6E02FFFFFFFF"/>
    <s v="C078486004PLQ935"/>
    <s v="138110111862"/>
    <s v="00440308051088"/>
    <s v="00440308056088"/>
    <s v="18614045493"/>
    <s v="12/27/2018"/>
    <s v="Yes"/>
    <s v="Yes"/>
    <x v="0"/>
    <s v="REGULAR TEST"/>
    <s v="RITM6913056"/>
  </r>
  <r>
    <x v="4"/>
    <s v="BEJSRTL718"/>
    <s v="Yes"/>
    <x v="15"/>
    <s v="PCIe"/>
    <n v="4079515"/>
    <s v="2F/R59/1"/>
    <x v="1"/>
    <x v="0"/>
    <x v="26"/>
    <x v="13"/>
    <x v="2"/>
    <s v="No"/>
    <s v="No"/>
    <s v="No"/>
    <s v="bejsrtm020smini.bj.intel.com"/>
    <x v="646"/>
    <s v="500FE98ECB496B02FFFFFFFF"/>
    <s v="C078486002QLQ935"/>
    <s v="13331048809"/>
    <s v="00440308051180"/>
    <s v="00440308056180"/>
    <m/>
    <s v="12/28/2018"/>
    <s v="Yes"/>
    <s v="Yes"/>
    <x v="0"/>
    <s v="REGULAR TEST"/>
    <s v="RITM6913056"/>
  </r>
  <r>
    <x v="4"/>
    <s v="BEJSRTL719"/>
    <s v="No"/>
    <x v="15"/>
    <s v="PCIe"/>
    <n v="4079530"/>
    <s v="2F/R59/2"/>
    <x v="1"/>
    <x v="1"/>
    <x v="27"/>
    <x v="17"/>
    <x v="8"/>
    <s v="No"/>
    <s v="No"/>
    <s v="No"/>
    <s v="bejsrtm020smini.bj.intel.com"/>
    <x v="647"/>
    <s v="34435C45702B6FB2FFFFFFFF"/>
    <s v="C07826400DCX1R36"/>
    <s v="13810480261"/>
    <s v="00440152289192"/>
    <s v="00440152299192"/>
    <s v="13810719763"/>
    <s v="12/28/2018"/>
    <s v="Yes"/>
    <s v="Yes"/>
    <x v="3"/>
    <s v="Sanity Required"/>
    <s v="need roll back bois_x000a_RITM6913056"/>
  </r>
  <r>
    <x v="4"/>
    <s v="BEJSRTL720"/>
    <s v="Yes"/>
    <x v="15"/>
    <s v="PCIe"/>
    <n v="4079612"/>
    <s v="2F/R59/2"/>
    <x v="1"/>
    <x v="0"/>
    <x v="26"/>
    <x v="14"/>
    <x v="2"/>
    <s v="No"/>
    <s v="No"/>
    <s v="No"/>
    <s v="bejsrtm020smini.bj.intel.com"/>
    <x v="648"/>
    <s v="44CB2EC94D296B02FFFFFFFF"/>
    <s v="C078487004BLQ935"/>
    <s v="18911175847"/>
    <s v="00440308051325"/>
    <s v="00440308056325"/>
    <m/>
    <s v="12/28/2018"/>
    <s v="Yes"/>
    <s v="Yes"/>
    <x v="0"/>
    <s v="REGULAR TEST"/>
    <s v="need roll back bois_x000a_RITM6913056"/>
  </r>
  <r>
    <x v="4"/>
    <s v="BEJSRTL721"/>
    <s v="Yes"/>
    <x v="15"/>
    <s v="PCIe"/>
    <n v="4079666"/>
    <s v="2F/R59/3"/>
    <x v="1"/>
    <x v="0"/>
    <x v="26"/>
    <x v="14"/>
    <x v="2"/>
    <s v="No"/>
    <s v="No"/>
    <s v="No"/>
    <s v="bejsrtm020smini.bj.intel.com"/>
    <x v="649"/>
    <s v="0A2D3C844A1D6F02FFFFFFFF"/>
    <s v="C0784870052LQ935"/>
    <s v="17343167116"/>
    <s v="00440308051333"/>
    <s v="00440308056333"/>
    <m/>
    <s v="12/28/2018"/>
    <s v="Yes"/>
    <s v="Yes"/>
    <x v="0"/>
    <s v="REGULAR TEST"/>
    <s v="need roll back bois_x000a_RITM6913056"/>
  </r>
  <r>
    <x v="4"/>
    <s v="BEJSRTL722"/>
    <s v="Yes"/>
    <x v="15"/>
    <s v="PCIe"/>
    <n v="4079565"/>
    <s v="2F/R59/3"/>
    <x v="1"/>
    <x v="0"/>
    <x v="26"/>
    <x v="14"/>
    <x v="2"/>
    <s v="No"/>
    <s v="No"/>
    <s v="No"/>
    <s v="bejsrtm021smini.bj.intel.com"/>
    <x v="650"/>
    <s v="46176EB6CA016F02FFFFFFFF"/>
    <s v="C078487003ELQ935"/>
    <s v="18101234841"/>
    <s v="00440308051330"/>
    <s v="00440308056330"/>
    <m/>
    <s v="12/28/2018"/>
    <s v="Yes"/>
    <s v="Yes"/>
    <x v="0"/>
    <s v="REGULAR TEST"/>
    <s v="need roll back bois_x000a_RITM6913056"/>
  </r>
  <r>
    <x v="4"/>
    <s v="BEJSRTL723"/>
    <s v="Yes"/>
    <x v="15"/>
    <s v="PCIe"/>
    <n v="4079568"/>
    <s v="2F/R59/4"/>
    <x v="1"/>
    <x v="1"/>
    <x v="27"/>
    <x v="17"/>
    <x v="2"/>
    <s v="No"/>
    <s v="No"/>
    <s v="No"/>
    <s v="bejsrtm021smini.bj.intel.com"/>
    <x v="651"/>
    <s v="274FBF2BC9F66E02FFFFFFFF"/>
    <s v="C078487003FLQ935"/>
    <s v="13811233682"/>
    <s v="00440308051326"/>
    <s v="00440308056326"/>
    <s v="13810274347"/>
    <s v="12/28/2018"/>
    <s v="Yes"/>
    <s v="Yes"/>
    <x v="0"/>
    <s v="REGULAR TEST"/>
    <s v="need roll back bois_x000a_RITM6913056"/>
  </r>
  <r>
    <x v="4"/>
    <s v="BEJSRTL724"/>
    <s v="Yes"/>
    <x v="15"/>
    <s v="PCIe"/>
    <n v="4079358"/>
    <s v="2F/R59/4"/>
    <x v="1"/>
    <x v="1"/>
    <x v="27"/>
    <x v="17"/>
    <x v="2"/>
    <s v="No"/>
    <s v="No"/>
    <s v="No"/>
    <s v="bejsrtm021smini.bj.intel.com"/>
    <x v="652"/>
    <s v="3600D3A94AFC6E02FFFFFFFF"/>
    <s v="C078487003NLQ935"/>
    <s v="13810262125"/>
    <s v="00440308051385"/>
    <s v="00440308056385"/>
    <s v="13810013204"/>
    <s v="12/28/2018"/>
    <s v="Yes"/>
    <s v="Yes"/>
    <x v="0"/>
    <s v="REGULAR TEST"/>
    <s v="need roll back bois_x000a_RITM6913056"/>
  </r>
  <r>
    <x v="4"/>
    <s v="BEJSRTL725"/>
    <s v="Yes"/>
    <x v="15"/>
    <s v="PCIe"/>
    <n v="4079508"/>
    <s v="2F/R59/5"/>
    <x v="1"/>
    <x v="0"/>
    <x v="31"/>
    <x v="40"/>
    <x v="2"/>
    <s v="No"/>
    <s v="No"/>
    <s v="No"/>
    <s v="bejsrtm021smini.bj.intel.com"/>
    <x v="653"/>
    <s v="4D4F8403CA2B6B02FFFFFFFF"/>
    <s v="C078487003YLQ935"/>
    <s v="13911725844"/>
    <s v="00440308051393"/>
    <s v="00440308056393"/>
    <m/>
    <s v="1/2/2019"/>
    <s v="Yes"/>
    <s v="Yes"/>
    <x v="0"/>
    <s v="REGULAR TEST"/>
    <s v="RITM6939630"/>
  </r>
  <r>
    <x v="4"/>
    <s v="BEJSRTL726"/>
    <s v="Yes"/>
    <x v="15"/>
    <s v="PCIe"/>
    <n v="4079521"/>
    <s v="2F/R59/5"/>
    <x v="1"/>
    <x v="0"/>
    <x v="31"/>
    <x v="0"/>
    <x v="2"/>
    <s v="No"/>
    <s v="No"/>
    <s v="No"/>
    <s v="bejsrtm021smini.bj.intel.com"/>
    <x v="654"/>
    <s v="4470A52D4E216F02FFFFFFFF"/>
    <s v="C078487004PLQ935"/>
    <s v="13810561823"/>
    <s v="00440308051395"/>
    <s v="00440308056395"/>
    <m/>
    <s v="1/2/2019"/>
    <s v="Yes"/>
    <s v="Yes"/>
    <x v="0"/>
    <s v="REGULAR TEST"/>
    <s v="RITM6939630"/>
  </r>
  <r>
    <x v="4"/>
    <s v="BEJSRTL727"/>
    <s v="Yes"/>
    <x v="15"/>
    <s v="PCIe"/>
    <n v="4079655"/>
    <s v="2F/R59/6"/>
    <x v="1"/>
    <x v="0"/>
    <x v="31"/>
    <x v="22"/>
    <x v="2"/>
    <s v="No"/>
    <s v="No"/>
    <s v="No"/>
    <s v="bejsrtm021smini.bj.intel.com"/>
    <x v="655"/>
    <s v="42011E0ACB326B02FFFFFFFF"/>
    <s v="C078487002ULQ935"/>
    <s v="13810331242"/>
    <s v="00440308051388"/>
    <s v="00440308056388"/>
    <m/>
    <s v="1/2/2019"/>
    <s v="Yes"/>
    <s v="Yes"/>
    <x v="0"/>
    <s v="REGULAR TEST"/>
    <s v="RITM6939630"/>
  </r>
  <r>
    <x v="4"/>
    <s v="BEJSRTL728"/>
    <s v="No"/>
    <x v="15"/>
    <s v="PCIe"/>
    <n v="4079702"/>
    <s v="2F/R59/6"/>
    <x v="1"/>
    <x v="2"/>
    <x v="2"/>
    <x v="2"/>
    <x v="3"/>
    <s v="No"/>
    <s v="No"/>
    <s v="No"/>
    <s v="bejsrtm021smini.bj.intel.com"/>
    <x v="656"/>
    <e v="#N/A"/>
    <e v="#N/A"/>
    <m/>
    <e v="#N/A"/>
    <e v="#N/A"/>
    <m/>
    <s v="12/31/2018"/>
    <s v="Broken"/>
    <s v="No"/>
    <x v="1"/>
    <s v="PC BROKEN"/>
    <s v="need roll back bois_x000a_RITM6913056"/>
  </r>
  <r>
    <x v="4"/>
    <s v="BEJSRTL729"/>
    <s v="Yes"/>
    <x v="15"/>
    <s v="PCIe"/>
    <n v="4079659"/>
    <s v="2F/R59/7"/>
    <x v="1"/>
    <x v="0"/>
    <x v="34"/>
    <x v="6"/>
    <x v="2"/>
    <s v="No"/>
    <s v="No"/>
    <s v="No"/>
    <s v="bejsrtm021smini.bj.intel.com"/>
    <x v="657"/>
    <s v="4EE56C5E4E266B02FFFFFFFF"/>
    <s v="C0784870035LQ935"/>
    <s v="15501297983"/>
    <s v="00440308051324"/>
    <s v="00440308056324"/>
    <m/>
    <s v="1/2/2019"/>
    <s v="Yes"/>
    <s v="Yes"/>
    <x v="0"/>
    <s v="REGULAR TEST"/>
    <s v="RITM6939630"/>
  </r>
  <r>
    <x v="4"/>
    <s v="BEJSRTL730"/>
    <s v="Yes"/>
    <x v="15"/>
    <s v="PCIe"/>
    <n v="4079437"/>
    <m/>
    <x v="1"/>
    <x v="0"/>
    <x v="26"/>
    <x v="14"/>
    <x v="2"/>
    <s v="No"/>
    <s v="No"/>
    <s v="No"/>
    <s v="bejsrtm021smini.bj.intel.com"/>
    <x v="658"/>
    <s v="563F1008CD006F02FFFFFFFF"/>
    <s v="C0784870039LQ935"/>
    <s v="18911175489"/>
    <s v="00440308051328"/>
    <s v="00440308056328"/>
    <m/>
    <s v="1/2/2019"/>
    <s v="Yes"/>
    <s v="Yes"/>
    <x v="0"/>
    <s v="REGULAR TEST"/>
    <s v="RITM6939630"/>
  </r>
  <r>
    <x v="4"/>
    <s v="BEJSRTL731"/>
    <s v="Yes"/>
    <x v="15"/>
    <s v="PCIe"/>
    <n v="4079467"/>
    <s v="2F/R62/1"/>
    <x v="1"/>
    <x v="1"/>
    <x v="29"/>
    <x v="27"/>
    <x v="2"/>
    <s v="No"/>
    <s v="No"/>
    <s v="No"/>
    <s v="bejsrtm021smini.bj.intel.com"/>
    <x v="659"/>
    <s v="28384DA8CD216B02FFFFFFFF"/>
    <s v="C078487005PLQ935"/>
    <s v="13381264315"/>
    <s v="00440308051391"/>
    <s v="00440308056391"/>
    <s v="13811021750"/>
    <s v="1/2/2019"/>
    <s v="Yes"/>
    <s v="Yes"/>
    <x v="0"/>
    <s v="REGULAR TEST"/>
    <s v="RITM6939630"/>
  </r>
  <r>
    <x v="4"/>
    <s v="BEJSRTL732"/>
    <s v="Yes"/>
    <x v="15"/>
    <s v="PCIe"/>
    <n v="4079511"/>
    <s v="2F/R62/1"/>
    <x v="1"/>
    <x v="0"/>
    <x v="31"/>
    <x v="0"/>
    <x v="11"/>
    <s v="No"/>
    <s v="No"/>
    <s v="No"/>
    <s v="bejsrtm021smini.bj.intel.com"/>
    <x v="660"/>
    <s v="B17DD0A87A23E2A9FFFFFFFF"/>
    <s v="C078497000MX1R38"/>
    <s v="13810837135"/>
    <s v="00440308052631"/>
    <s v="00440308057631"/>
    <m/>
    <s v="1/2/2019"/>
    <s v="Yes"/>
    <s v="Yes"/>
    <x v="0"/>
    <s v="REGULAR TEST"/>
    <s v="need roll back bois_x000a_RITM6913056"/>
  </r>
  <r>
    <x v="4"/>
    <s v="BEJSRTL733"/>
    <s v="No"/>
    <x v="15"/>
    <s v="PCIe"/>
    <n v="4079576"/>
    <s v="2F/R62/2"/>
    <x v="1"/>
    <x v="0"/>
    <x v="34"/>
    <x v="4"/>
    <x v="11"/>
    <s v="No"/>
    <s v="No"/>
    <s v="No"/>
    <s v="bejsrtm021smini.bj.intel.com"/>
    <x v="661"/>
    <s v="1710ED083821F1FAFFFFFFFF"/>
    <s v="C078497001EX1R38"/>
    <s v="18515814057"/>
    <s v="00440308052663"/>
    <s v="00440308057663"/>
    <m/>
    <s v="1/2/2019"/>
    <s v="Yes"/>
    <s v="Yes"/>
    <x v="3"/>
    <s v="Sanity Required"/>
    <s v="RITM6943603(bois check needed)"/>
  </r>
  <r>
    <x v="4"/>
    <s v="BEJSRTL734"/>
    <s v="Yes"/>
    <x v="15"/>
    <s v="PCIe"/>
    <n v="4079338"/>
    <s v="2F/R62/2"/>
    <x v="1"/>
    <x v="0"/>
    <x v="31"/>
    <x v="0"/>
    <x v="11"/>
    <s v="No"/>
    <s v="No"/>
    <s v="No"/>
    <s v="bejsrtm021smini.bj.intel.com"/>
    <x v="662"/>
    <s v="F30061F445F1DDD2FFFFFFFF"/>
    <s v="C078497003TX1R38"/>
    <s v="13910643947"/>
    <s v="00440308052724"/>
    <s v="00440308057724"/>
    <m/>
    <s v="12/28/2018"/>
    <s v="Yes"/>
    <s v="Yes"/>
    <x v="0"/>
    <s v="REGULAR TEST"/>
    <s v="need roll back bois_x000a_RITM6913056"/>
  </r>
  <r>
    <x v="4"/>
    <s v="BEJSRTL735"/>
    <s v="Yes"/>
    <x v="3"/>
    <s v="BLACK RAY"/>
    <n v="3647714"/>
    <m/>
    <x v="1"/>
    <x v="0"/>
    <x v="26"/>
    <x v="14"/>
    <x v="2"/>
    <s v="No"/>
    <s v="No"/>
    <s v="No"/>
    <s v="bejsrtm021smini.bj.intel.com"/>
    <x v="663"/>
    <s v="1DA8412BCB316F02FFFFFFFF"/>
    <s v="C078486002DLQ935"/>
    <s v="18010341442"/>
    <s v="00440308051174"/>
    <s v="00440308056174"/>
    <m/>
    <d v="2019-01-05T00:00:00"/>
    <s v="Yes"/>
    <s v="Yes"/>
    <x v="0"/>
    <s v="REGULAR TEST"/>
    <s v="RITM6913056_x000a_black ray bois config done"/>
  </r>
  <r>
    <x v="4"/>
    <s v="BEJSRTL736"/>
    <s v="Yes"/>
    <x v="3"/>
    <s v="BLACK RAY"/>
    <n v="3648436"/>
    <s v="2F/R61/4"/>
    <x v="1"/>
    <x v="0"/>
    <x v="31"/>
    <x v="6"/>
    <x v="2"/>
    <s v="No"/>
    <s v="No"/>
    <s v="No"/>
    <s v="bejsrtm020smini.bj.intel.com"/>
    <x v="664"/>
    <s v="118E9017CC206B02FFFFFFFF"/>
    <s v="C078486004ALQ935"/>
    <s v="13810673179"/>
    <s v="00440308051089"/>
    <s v="00440308056089"/>
    <m/>
    <d v="2019-01-05T00:00:00"/>
    <s v="Yes"/>
    <s v="Yes"/>
    <x v="0"/>
    <s v="REGULAR TEST"/>
    <m/>
  </r>
  <r>
    <x v="4"/>
    <s v="BEJSRTL737"/>
    <s v="No"/>
    <x v="15"/>
    <s v="PCIe"/>
    <n v="3648041"/>
    <m/>
    <x v="1"/>
    <x v="2"/>
    <x v="2"/>
    <x v="2"/>
    <x v="3"/>
    <s v="No"/>
    <s v="No"/>
    <s v="No"/>
    <s v="bejsrtm021smini.bj.intel.com"/>
    <x v="665"/>
    <e v="#N/A"/>
    <e v="#N/A"/>
    <m/>
    <e v="#N/A"/>
    <e v="#N/A"/>
    <m/>
    <m/>
    <s v="Broken"/>
    <s v="No"/>
    <x v="4"/>
    <s v="PC BROKEN"/>
    <s v="can't detect modem,need check PC issue"/>
  </r>
  <r>
    <x v="4"/>
    <s v="BEJSRTL738"/>
    <s v="Yes"/>
    <x v="15"/>
    <s v="PCIe"/>
    <n v="3647631"/>
    <m/>
    <x v="1"/>
    <x v="1"/>
    <x v="29"/>
    <x v="36"/>
    <x v="11"/>
    <s v="No"/>
    <s v="No"/>
    <s v="No"/>
    <s v="bejsrtm021smini.bj.intel.com"/>
    <x v="666"/>
    <s v="EEFA71480BC55E66FFFFFFFF"/>
    <s v="C0784970073X1R38"/>
    <s v="18010341446"/>
    <s v="00440308052627"/>
    <s v="00440308057627"/>
    <s v="13810259675"/>
    <d v="2019-01-02T00:00:00"/>
    <s v="Yes"/>
    <s v="Yes"/>
    <x v="0"/>
    <s v="REGULAR TEST"/>
    <s v="RITM6943603(bois check needed)"/>
  </r>
  <r>
    <x v="4"/>
    <s v="BEJSRTL740"/>
    <s v="No"/>
    <x v="15"/>
    <s v="PCIe"/>
    <n v="3647699"/>
    <m/>
    <x v="1"/>
    <x v="2"/>
    <x v="2"/>
    <x v="2"/>
    <x v="3"/>
    <s v="No"/>
    <s v="No"/>
    <s v="No"/>
    <s v="bejsrtm021smini.bj.intel.com"/>
    <x v="667"/>
    <e v="#N/A"/>
    <e v="#N/A"/>
    <m/>
    <e v="#N/A"/>
    <e v="#N/A"/>
    <m/>
    <m/>
    <s v="Broken"/>
    <s v="No"/>
    <x v="4"/>
    <s v="PC BROKEN"/>
    <s v="need reinstall OS"/>
  </r>
  <r>
    <x v="4"/>
    <s v="BEJSRTL744"/>
    <s v="Yes"/>
    <x v="15"/>
    <s v="PCIe"/>
    <n v="3647623"/>
    <m/>
    <x v="1"/>
    <x v="1"/>
    <x v="30"/>
    <x v="20"/>
    <x v="11"/>
    <s v="No"/>
    <s v="No"/>
    <s v="No"/>
    <s v="bejsrtm022smini.bj.intel.com"/>
    <x v="668"/>
    <s v="FDF4AFF63695808DFFFFFFFF"/>
    <s v="C0784970088X1R38"/>
    <s v="18510546189"/>
    <s v="00440308052719"/>
    <s v="00440308057719"/>
    <s v="13810503592"/>
    <d v="2019-01-02T00:00:00"/>
    <s v="Yes"/>
    <s v="Yes"/>
    <x v="0"/>
    <s v="REGULAR TEST"/>
    <s v="RITM6943603(bois check needed)"/>
  </r>
  <r>
    <x v="4"/>
    <s v="BEJSRTL745"/>
    <s v="Yes"/>
    <x v="15"/>
    <s v="PCIe"/>
    <n v="3647671"/>
    <m/>
    <x v="1"/>
    <x v="0"/>
    <x v="31"/>
    <x v="40"/>
    <x v="11"/>
    <s v="No"/>
    <s v="No"/>
    <s v="No"/>
    <s v="bejsrtm022smini.bj.intel.com"/>
    <x v="669"/>
    <s v="E111C5AA7E42784EFFFFFFFF"/>
    <s v="C078497006YX1R38"/>
    <s v="13810017049"/>
    <s v="00440308052636"/>
    <s v="00440308057636"/>
    <m/>
    <d v="2019-01-02T00:00:00"/>
    <s v="Yes"/>
    <s v="Yes"/>
    <x v="0"/>
    <s v="REGULAR TEST"/>
    <s v="RITM6947364"/>
  </r>
  <r>
    <x v="4"/>
    <s v="BEJSRTL746"/>
    <s v="No"/>
    <x v="15"/>
    <s v="PCIe"/>
    <n v="3648077"/>
    <s v="2F/R63/2"/>
    <x v="1"/>
    <x v="1"/>
    <x v="30"/>
    <x v="20"/>
    <x v="11"/>
    <s v="No"/>
    <s v="No"/>
    <s v="No"/>
    <s v="bejsrtm022smini.bj.intel.com"/>
    <x v="670"/>
    <s v="4EDF0F0C580AC2A1FFFFFFFF"/>
    <s v="C078497004DX1R38"/>
    <s v="18519359248"/>
    <s v="00440308052840"/>
    <s v="00440308057840"/>
    <s v="13810835563"/>
    <d v="2019-01-02T00:00:00"/>
    <s v="Yes"/>
    <s v="Yes"/>
    <x v="3"/>
    <s v="Sanity Required"/>
    <s v="RITM6947364"/>
  </r>
  <r>
    <x v="4"/>
    <s v="BEJSRTL747"/>
    <s v="No"/>
    <x v="15"/>
    <s v="PCIe"/>
    <n v="3647710"/>
    <s v="2F/R63/3"/>
    <x v="1"/>
    <x v="1"/>
    <x v="30"/>
    <x v="20"/>
    <x v="11"/>
    <s v="No"/>
    <s v="No"/>
    <s v="No"/>
    <s v="bejsrtm022smini.bj.intel.com"/>
    <x v="671"/>
    <s v="062C8A280DDE615CFFFFFFFF"/>
    <s v="C078497008QX1R38"/>
    <s v="13269092273"/>
    <s v="00440308052812"/>
    <s v="00440308057812"/>
    <s v="13810419605"/>
    <d v="2019-01-02T00:00:00"/>
    <s v="Yes"/>
    <s v="Yes"/>
    <x v="3"/>
    <s v="Debug Needed"/>
    <s v="RITM6947364"/>
  </r>
  <r>
    <x v="4"/>
    <s v="BEJSRTL748"/>
    <s v="Yes"/>
    <x v="15"/>
    <s v="PCIe"/>
    <n v="3647635"/>
    <m/>
    <x v="1"/>
    <x v="1"/>
    <x v="35"/>
    <x v="43"/>
    <x v="11"/>
    <s v="No"/>
    <s v="No"/>
    <s v="No"/>
    <s v="bejsrtm022smini.bj.intel.com"/>
    <x v="672"/>
    <s v="56941D64C68CC7C3FFFFFFFF"/>
    <s v="C078497004CX1R38"/>
    <s v="17310980745"/>
    <s v="00440308052849"/>
    <s v="00440308057849"/>
    <s v="18511273048"/>
    <d v="2019-01-02T00:00:00"/>
    <s v="Yes"/>
    <s v="Yes"/>
    <x v="0"/>
    <s v="REGULAR TEST"/>
    <s v="RITM6947364"/>
  </r>
  <r>
    <x v="4"/>
    <s v="BEJSRTL749"/>
    <s v="No"/>
    <x v="15"/>
    <s v="PCIe"/>
    <n v="3647582"/>
    <m/>
    <x v="1"/>
    <x v="1"/>
    <x v="35"/>
    <x v="43"/>
    <x v="11"/>
    <s v="No"/>
    <s v="No"/>
    <s v="No"/>
    <s v="bejsrtm022smini.bj.intel.com"/>
    <x v="673"/>
    <s v="A3AD6FAE86A95E6FFFFFFFFF"/>
    <s v="C0784970087X1R38"/>
    <s v="18010341439"/>
    <s v="00440308052639"/>
    <s v="00440308057639"/>
    <s v="13240180795"/>
    <d v="2019-01-05T00:00:00"/>
    <s v="Yes"/>
    <s v="Yes"/>
    <x v="0"/>
    <s v="REGULAR TEST"/>
    <s v="RITM6947364"/>
  </r>
  <r>
    <x v="4"/>
    <s v="BEJSRTL750"/>
    <s v="No"/>
    <x v="15"/>
    <s v="PCIe"/>
    <n v="3647698"/>
    <s v="2F/R62/3"/>
    <x v="1"/>
    <x v="0"/>
    <x v="34"/>
    <x v="4"/>
    <x v="11"/>
    <s v="No"/>
    <s v="No"/>
    <s v="No"/>
    <s v="bejsrtm022smini.bj.intel.com"/>
    <x v="674"/>
    <s v="8E655CFC0AD5B369FFFFFFFF"/>
    <s v="C078497003NX1R38"/>
    <s v="18515563967"/>
    <s v="00440308052846"/>
    <s v="00440308057846"/>
    <m/>
    <d v="2019-01-03T00:00:00"/>
    <s v="Yes"/>
    <s v="Yes"/>
    <x v="3"/>
    <s v="Sanity Required"/>
    <s v="RITM6947364"/>
  </r>
  <r>
    <x v="4"/>
    <s v="BEJSRTL751"/>
    <s v="No"/>
    <x v="15"/>
    <s v="PCIe"/>
    <n v="3647882"/>
    <s v="2F/R63/4"/>
    <x v="1"/>
    <x v="1"/>
    <x v="35"/>
    <x v="43"/>
    <x v="11"/>
    <s v="No"/>
    <s v="No"/>
    <s v="No"/>
    <s v="bejsrtm022smini.bj.intel.com"/>
    <x v="675"/>
    <s v="29FEE4940A64CF42FFFFFFFF"/>
    <s v="C078497007BX1R38"/>
    <s v="18101234784"/>
    <s v="00440308052645"/>
    <s v="00440308057645"/>
    <s v="18510014772"/>
    <d v="2019-01-02T00:00:00"/>
    <s v="Yes"/>
    <s v="Yes"/>
    <x v="3"/>
    <s v="Sanity Required"/>
    <s v="RITM6947364"/>
  </r>
  <r>
    <x v="4"/>
    <s v="BEJSRTL752"/>
    <s v="No"/>
    <x v="15"/>
    <s v="BLACK RAY"/>
    <n v="3647830"/>
    <s v="2F/R62/3"/>
    <x v="1"/>
    <x v="1"/>
    <x v="29"/>
    <x v="36"/>
    <x v="2"/>
    <s v="No"/>
    <s v="No"/>
    <s v="No"/>
    <s v="bejsrtm022smini.bj.intel.com"/>
    <x v="676"/>
    <s v="22852D3BCE166F02FFFFFFFF"/>
    <s v="C0784870055LQ935"/>
    <s v="18911175846"/>
    <s v="00440308051392"/>
    <s v="00440308056392"/>
    <s v="13810268994"/>
    <d v="2019-01-03T00:00:00"/>
    <s v="Yes"/>
    <s v="Yes"/>
    <x v="3"/>
    <s v="TOOL_TEAM_CONFIG"/>
    <s v="RITM6947364"/>
  </r>
  <r>
    <x v="4"/>
    <s v="BEJSRTL753"/>
    <s v="No"/>
    <x v="15"/>
    <s v="PCIe"/>
    <n v="3647826"/>
    <m/>
    <x v="1"/>
    <x v="1"/>
    <x v="32"/>
    <x v="9"/>
    <x v="11"/>
    <s v="No"/>
    <s v="No"/>
    <s v="No"/>
    <s v="bejsrtm022smini.bj.intel.com"/>
    <x v="677"/>
    <s v="08A845471C010A62FFFFFFFF"/>
    <s v="C078497003ZX1R38"/>
    <s v="13810282494"/>
    <s v="00440308052882"/>
    <s v="00440308057882"/>
    <s v="13041046044"/>
    <d v="2019-01-02T00:00:00"/>
    <s v="Yes"/>
    <s v="Yes"/>
    <x v="0"/>
    <s v="REGULAR TEST"/>
    <s v="RITM6947364"/>
  </r>
  <r>
    <x v="4"/>
    <s v="BEJSRTL754"/>
    <s v="No"/>
    <x v="15"/>
    <s v="PCIe"/>
    <n v="3647680"/>
    <m/>
    <x v="1"/>
    <x v="1"/>
    <x v="32"/>
    <x v="9"/>
    <x v="11"/>
    <s v="No"/>
    <s v="No"/>
    <s v="No"/>
    <s v="bejsrtm022smini.bj.intel.com"/>
    <x v="678"/>
    <s v="A348D1C12C9DECF5FFFFFFFF"/>
    <s v="C0784970046X1R38"/>
    <s v="13810830597"/>
    <s v="00440308052884"/>
    <s v="00440308057884"/>
    <s v="13121662781"/>
    <d v="2019-01-02T00:00:00"/>
    <s v="Yes"/>
    <s v="Yes"/>
    <x v="0"/>
    <s v="REGULAR TEST"/>
    <s v="RITM6947364"/>
  </r>
  <r>
    <x v="4"/>
    <s v="BEJSRTL755"/>
    <s v="No"/>
    <x v="15"/>
    <s v="PCIe"/>
    <n v="3648046"/>
    <s v="2F/R63/6"/>
    <x v="1"/>
    <x v="1"/>
    <x v="30"/>
    <x v="20"/>
    <x v="11"/>
    <s v="No"/>
    <s v="No"/>
    <s v="No"/>
    <s v="bejsrtm022smini.bj.intel.com"/>
    <x v="679"/>
    <s v="903CF597201E3335FFFFFFFF"/>
    <s v="C0784970082X1R38"/>
    <s v="13269732038"/>
    <s v="00440308052845"/>
    <s v="00440308057845"/>
    <s v="13810065574"/>
    <d v="2019-01-05T00:00:00"/>
    <s v="Broken"/>
    <s v="No"/>
    <x v="4"/>
    <s v="PC BROKEN"/>
    <s v="can't detect modem"/>
  </r>
  <r>
    <x v="4"/>
    <s v="BEJSRTL756"/>
    <s v="No"/>
    <x v="15"/>
    <s v="BLACK RAY"/>
    <n v="3647871"/>
    <m/>
    <x v="1"/>
    <x v="2"/>
    <x v="2"/>
    <x v="2"/>
    <x v="3"/>
    <s v="No"/>
    <s v="No"/>
    <s v="No"/>
    <s v="bejsrtm022smini.bj.intel.com"/>
    <x v="680"/>
    <e v="#N/A"/>
    <e v="#N/A"/>
    <m/>
    <e v="#N/A"/>
    <e v="#N/A"/>
    <m/>
    <m/>
    <s v="In progress"/>
    <s v="No"/>
    <x v="1"/>
    <s v="TOOL_TEAM_CONFIG"/>
    <m/>
  </r>
  <r>
    <x v="4"/>
    <s v="BEJSRTL757"/>
    <s v="No"/>
    <x v="3"/>
    <s v="BLACK RAY"/>
    <n v="3647789"/>
    <m/>
    <x v="1"/>
    <x v="2"/>
    <x v="2"/>
    <x v="2"/>
    <x v="3"/>
    <s v="No"/>
    <s v="No"/>
    <s v="No"/>
    <s v="bejsrtm022smini.bj.intel.com"/>
    <x v="681"/>
    <e v="#N/A"/>
    <e v="#N/A"/>
    <m/>
    <e v="#N/A"/>
    <e v="#N/A"/>
    <m/>
    <d v="2018-12-25T00:00:00"/>
    <s v="In progress"/>
    <s v="In progress"/>
    <x v="1"/>
    <s v="Debug Needed"/>
    <s v="baseline done FDD-&gt;TDD_x000a_RITM6913056_x000a_black ray bois config done"/>
  </r>
  <r>
    <x v="4"/>
    <s v="BEJSRTL758"/>
    <s v="No"/>
    <x v="15"/>
    <s v="BLACK RAY"/>
    <n v="3647928"/>
    <m/>
    <x v="1"/>
    <x v="2"/>
    <x v="2"/>
    <x v="2"/>
    <x v="3"/>
    <s v="No"/>
    <s v="No"/>
    <s v="No"/>
    <s v="bejsrtm022smini.bj.intel.com"/>
    <x v="682"/>
    <e v="#N/A"/>
    <e v="#N/A"/>
    <m/>
    <e v="#N/A"/>
    <e v="#N/A"/>
    <m/>
    <m/>
    <s v="In progress"/>
    <s v="No"/>
    <x v="1"/>
    <s v="TOOL_TEAM_CONFIG"/>
    <m/>
  </r>
  <r>
    <x v="4"/>
    <s v="BEJSRTL759"/>
    <s v="No"/>
    <x v="15"/>
    <s v="PCIe"/>
    <n v="3647922"/>
    <s v="2F/R63/6"/>
    <x v="1"/>
    <x v="1"/>
    <x v="35"/>
    <x v="43"/>
    <x v="11"/>
    <s v="No"/>
    <s v="No"/>
    <s v="No"/>
    <s v="bejsrtm022smini.bj.intel.com"/>
    <x v="683"/>
    <s v="8F312235CAA28625FFFFFFFF"/>
    <s v="C078497006ZX1R38"/>
    <s v="13331048815"/>
    <s v="00440308052844"/>
    <s v="00440308057844"/>
    <s v="18501967551"/>
    <d v="2019-01-02T00:00:00"/>
    <s v="Yes"/>
    <s v="Yes"/>
    <x v="3"/>
    <s v="Sanity Required"/>
    <s v="RITM6947364"/>
  </r>
  <r>
    <x v="4"/>
    <s v="BEJSRTL760"/>
    <s v="No"/>
    <x v="15"/>
    <s v="BLACK RAY"/>
    <n v="3647816"/>
    <m/>
    <x v="1"/>
    <x v="2"/>
    <x v="2"/>
    <x v="2"/>
    <x v="3"/>
    <s v="No"/>
    <s v="No"/>
    <s v="No"/>
    <s v="bejsrtm022smini.bj.intel.com"/>
    <x v="684"/>
    <e v="#N/A"/>
    <e v="#N/A"/>
    <m/>
    <e v="#N/A"/>
    <e v="#N/A"/>
    <m/>
    <m/>
    <s v="In progress"/>
    <s v="No"/>
    <x v="1"/>
    <s v="TOOL_TEAM_CONFIG"/>
    <m/>
  </r>
  <r>
    <x v="4"/>
    <s v="BEJSRTL761"/>
    <s v="No"/>
    <x v="15"/>
    <s v="PCIe"/>
    <n v="3648085"/>
    <m/>
    <x v="1"/>
    <x v="1"/>
    <x v="35"/>
    <x v="43"/>
    <x v="11"/>
    <s v="No"/>
    <s v="No"/>
    <s v="No"/>
    <s v="bejsrtm022smini.bj.intel.com"/>
    <x v="685"/>
    <s v="DD64A514E45E7C0AFFFFFFFF"/>
    <s v="C078497006FX1R38"/>
    <s v="17310533824"/>
    <s v="00440308052883"/>
    <s v="00440308057883"/>
    <s v="18519359542"/>
    <d v="2019-01-05T00:00:00"/>
    <s v="Yes"/>
    <s v="Yes"/>
    <x v="0"/>
    <s v="REGULAR TEST"/>
    <s v="RITM6947364"/>
  </r>
  <r>
    <x v="4"/>
    <s v="BEJSRTL762"/>
    <s v="No"/>
    <x v="15"/>
    <s v="PCIe"/>
    <n v="3647907"/>
    <s v="2F/R63/7"/>
    <x v="1"/>
    <x v="0"/>
    <x v="34"/>
    <x v="4"/>
    <x v="11"/>
    <s v="No"/>
    <s v="No"/>
    <s v="No"/>
    <s v="bejsrtm022smini.bj.intel.com"/>
    <x v="686"/>
    <s v="1BAFE5E44B7CFE5FFFFFFFFF"/>
    <s v="C0784970008X1R38"/>
    <s v="13220103536"/>
    <s v="00440308052629"/>
    <s v="00440308057629"/>
    <m/>
    <d v="2019-01-02T00:00:00"/>
    <s v="Yes"/>
    <s v="Yes"/>
    <x v="3"/>
    <s v="Sanity Required"/>
    <s v="RITM6947364"/>
  </r>
  <r>
    <x v="4"/>
    <s v="BEJSRTL763"/>
    <s v="No"/>
    <x v="15"/>
    <s v="BLACK RAY"/>
    <n v="3648050"/>
    <m/>
    <x v="1"/>
    <x v="2"/>
    <x v="2"/>
    <x v="2"/>
    <x v="3"/>
    <s v="No"/>
    <s v="No"/>
    <s v="No"/>
    <s v="bejsrtm018smini.bj.intel.com"/>
    <x v="687"/>
    <e v="#N/A"/>
    <e v="#N/A"/>
    <m/>
    <e v="#N/A"/>
    <e v="#N/A"/>
    <m/>
    <m/>
    <s v="In progress"/>
    <s v="No"/>
    <x v="1"/>
    <s v="TOOL_TEAM_CONFIG"/>
    <m/>
  </r>
  <r>
    <x v="4"/>
    <s v="BEJSRTL764"/>
    <s v="No"/>
    <x v="3"/>
    <s v="BLACK RAY"/>
    <n v="3648068"/>
    <m/>
    <x v="1"/>
    <x v="2"/>
    <x v="2"/>
    <x v="2"/>
    <x v="3"/>
    <s v="No"/>
    <s v="No"/>
    <s v="No"/>
    <s v="bejsrtm016.bj.intel.com"/>
    <x v="688"/>
    <e v="#N/A"/>
    <e v="#N/A"/>
    <m/>
    <e v="#N/A"/>
    <e v="#N/A"/>
    <m/>
    <d v="2018-12-25T00:00:00"/>
    <s v="In progress"/>
    <s v="In progress"/>
    <x v="1"/>
    <s v="Debug Needed"/>
    <s v="baseline done SRLTE-&gt;TDD_x000a_RITM6913056_x000a_black ray bois config done"/>
  </r>
  <r>
    <x v="4"/>
    <s v="BEJSRTL765"/>
    <s v="Yes"/>
    <x v="15"/>
    <s v="PCIe"/>
    <n v="2510486"/>
    <m/>
    <x v="1"/>
    <x v="1"/>
    <x v="32"/>
    <x v="9"/>
    <x v="11"/>
    <s v="No"/>
    <s v="No"/>
    <s v="No"/>
    <s v="bejsrtm022smini.bj.intel.com"/>
    <x v="689"/>
    <s v="99C00DFDBAC38188FFFFFFFF"/>
    <s v="C078497004UX1R38"/>
    <s v="13810284045"/>
    <e v="#N/A"/>
    <e v="#N/A"/>
    <s v="13141364077"/>
    <d v="2019-01-02T00:00:00"/>
    <s v="Yes"/>
    <s v="Yes"/>
    <x v="0"/>
    <s v="REGULAR TEST"/>
    <s v="RITM6943603(bois check needed)"/>
  </r>
  <r>
    <x v="4"/>
    <s v="BEJSRTL766"/>
    <s v="No"/>
    <x v="15"/>
    <s v="PCIe"/>
    <n v="2510500"/>
    <s v="2F/R62/7"/>
    <x v="1"/>
    <x v="0"/>
    <x v="34"/>
    <x v="4"/>
    <x v="12"/>
    <s v="No"/>
    <s v="No"/>
    <s v="No"/>
    <s v="bejsrtm021smini.bj.intel.com"/>
    <x v="690"/>
    <s v="17E72B4C4C5F6802FFFFFFFF"/>
    <s v="C078486005WLQ935"/>
    <s v="15501290069"/>
    <s v="00440152274658"/>
    <s v="00440152274659"/>
    <m/>
    <d v="2019-01-03T00:00:00"/>
    <s v="Broken"/>
    <s v="No"/>
    <x v="4"/>
    <s v="PC BROKEN"/>
    <s v="can't detect modem"/>
  </r>
  <r>
    <x v="4"/>
    <s v="BEJSRTL122"/>
    <s v="No"/>
    <x v="2"/>
    <m/>
    <n v="2510856"/>
    <s v="439/R18/2"/>
    <x v="1"/>
    <x v="1"/>
    <x v="30"/>
    <x v="20"/>
    <x v="12"/>
    <s v="No"/>
    <s v="No"/>
    <s v="No"/>
    <s v="bejsrtm002smini.bj.intel.com"/>
    <x v="210"/>
    <s v="524A9C14CB496802FFFFFFFF"/>
    <s v="C0784860067LQ935"/>
    <s v="15510689782"/>
    <s v="00440152274482"/>
    <s v="00440152274483"/>
    <s v="13810909937"/>
    <d v="2019-01-04T00:00:00"/>
    <s v="Yes"/>
    <s v="In progress"/>
    <x v="1"/>
    <s v="TOOL_TEAM_CONFIG"/>
    <s v="convert from 7560,RITM6947186"/>
  </r>
  <r>
    <x v="4"/>
    <s v="BEJSRTL145"/>
    <s v="No"/>
    <x v="2"/>
    <m/>
    <n v="2794256"/>
    <s v="439/R2/5"/>
    <x v="1"/>
    <x v="1"/>
    <x v="30"/>
    <x v="20"/>
    <x v="12"/>
    <s v="No"/>
    <s v="No"/>
    <s v="No"/>
    <s v="bejsrtm011smini.bj.intel.com"/>
    <x v="226"/>
    <s v="112B8243CD506802FFFFFFFF"/>
    <s v="C078486005DLQ935"/>
    <s v="18519331730"/>
    <s v="00440152274426"/>
    <s v="00440152274427"/>
    <s v="13810776302"/>
    <d v="2019-01-05T00:00:00"/>
    <s v="Yes"/>
    <s v="Yes"/>
    <x v="3"/>
    <s v="TOOL_TEAM_CONFIG"/>
    <s v="convert from 7560,RITM6947186"/>
  </r>
  <r>
    <x v="4"/>
    <s v="BEJSRTL157"/>
    <s v="No"/>
    <x v="2"/>
    <m/>
    <n v="2794284"/>
    <s v="439/R19/6"/>
    <x v="1"/>
    <x v="1"/>
    <x v="27"/>
    <x v="17"/>
    <x v="12"/>
    <s v="No"/>
    <s v="No"/>
    <s v="No"/>
    <s v="bejsrtm001smini.bj.intel.com"/>
    <x v="236"/>
    <s v="2AEFABB44B316802FFFFFFFF"/>
    <s v="C078486007CLQ935"/>
    <s v="13811607531"/>
    <s v="00440152274538"/>
    <s v="00440152274539"/>
    <s v="13810797612"/>
    <d v="2019-01-04T00:00:00"/>
    <s v="Yes"/>
    <s v="Yes"/>
    <x v="3"/>
    <s v="Sanity Required"/>
    <s v="convert from 7560,RITM6947186"/>
  </r>
  <r>
    <x v="4"/>
    <s v="BEJSRTL166"/>
    <s v="No"/>
    <x v="2"/>
    <m/>
    <n v="2794313"/>
    <s v="439/R5/1"/>
    <x v="1"/>
    <x v="1"/>
    <x v="27"/>
    <x v="17"/>
    <x v="12"/>
    <s v="No"/>
    <s v="No"/>
    <s v="No"/>
    <s v="bejsrtm009smini.bj.intel.com"/>
    <x v="244"/>
    <s v="1F795431CC496802FFFFFFFF"/>
    <s v="C0784860058LQ935"/>
    <s v="13810021364"/>
    <s v="00440152274388"/>
    <s v="00440152274389"/>
    <s v="13810798137"/>
    <d v="2019-01-04T00:00:00"/>
    <s v="Yes"/>
    <s v="In progress"/>
    <x v="1"/>
    <s v="TOOL_TEAM_CONFIG"/>
    <s v="convert from 7560,RITM6947186"/>
  </r>
  <r>
    <x v="4"/>
    <s v="BEJSRTL167"/>
    <s v="No"/>
    <x v="2"/>
    <m/>
    <n v="2794243"/>
    <s v="439/R5/4"/>
    <x v="1"/>
    <x v="1"/>
    <x v="32"/>
    <x v="9"/>
    <x v="12"/>
    <s v="No"/>
    <s v="No"/>
    <s v="No"/>
    <s v="bejsrtm002smini.bj.intel.com"/>
    <x v="245"/>
    <s v="151BB20C7C7F6802FFFFFFFF"/>
    <s v="C078486004VLQ935"/>
    <s v="13810018254"/>
    <s v="00440152274604"/>
    <s v="00440152274605"/>
    <s v="18610808439"/>
    <d v="2019-01-04T00:00:00"/>
    <s v="Yes"/>
    <s v="Yes"/>
    <x v="3"/>
    <s v="TOOL_TEAM_CONFIG"/>
    <s v="convert from 7560,RITM6947186"/>
  </r>
  <r>
    <x v="4"/>
    <s v="BEJSRTL168"/>
    <s v="No"/>
    <x v="2"/>
    <m/>
    <n v="2794410"/>
    <s v="439/R5/2"/>
    <x v="1"/>
    <x v="1"/>
    <x v="32"/>
    <x v="9"/>
    <x v="12"/>
    <s v="No"/>
    <s v="No"/>
    <s v="No"/>
    <s v="bejsrtm002smini.bj.intel.com"/>
    <x v="246"/>
    <s v="1B017F234D1F6802FFFFFFFF"/>
    <s v="C078486004RLQ935"/>
    <s v="13810021745"/>
    <s v="00440152274564"/>
    <s v="00440152274565"/>
    <s v="18612029422"/>
    <d v="2019-01-04T00:00:00"/>
    <s v="Yes"/>
    <s v="Yes"/>
    <x v="3"/>
    <s v="Sanity Required"/>
    <s v="convert from 7560,RITM6947186"/>
  </r>
  <r>
    <x v="4"/>
    <s v="BEJSRTL697"/>
    <s v="Yes"/>
    <x v="0"/>
    <s v="PCIe"/>
    <n v="4079620"/>
    <s v="2F/R60/5"/>
    <x v="1"/>
    <x v="0"/>
    <x v="34"/>
    <x v="4"/>
    <x v="13"/>
    <s v="No"/>
    <s v="No"/>
    <s v="No"/>
    <s v="bejsrtm018smini.bj.intel.com"/>
    <x v="691"/>
    <s v="3772E9B24B736802FFFFFFFF"/>
    <s v="C07827300A5X1R36"/>
    <s v="13121819332"/>
    <s v="00440152274384"/>
    <s v="00440152274385"/>
    <s v=""/>
    <m/>
    <s v="Yes"/>
    <s v="Yes"/>
    <x v="0"/>
    <s v="REGULAR TEST"/>
    <m/>
  </r>
  <r>
    <x v="4"/>
    <s v="BEJSRTL698"/>
    <s v="Yes"/>
    <x v="0"/>
    <s v="PCIe"/>
    <n v="4079585"/>
    <s v="2F/R60/5"/>
    <x v="1"/>
    <x v="0"/>
    <x v="31"/>
    <x v="22"/>
    <x v="13"/>
    <s v="No"/>
    <s v="No"/>
    <s v="No"/>
    <s v="bejsrtm018smini.bj.intel.com"/>
    <x v="692"/>
    <s v="5BDD17124D676802FFFFFFFF"/>
    <s v="C07827300BDX1R36"/>
    <s v="13810273942"/>
    <s v="00440152274476"/>
    <s v="00440152274477"/>
    <m/>
    <m/>
    <s v="Yes"/>
    <s v="Yes"/>
    <x v="0"/>
    <s v="REGULAR TEST"/>
    <m/>
  </r>
  <r>
    <x v="4"/>
    <s v="BEJSRTL699"/>
    <s v="Yes"/>
    <x v="0"/>
    <s v="PCIe"/>
    <n v="4079343"/>
    <s v="2F/R60/6"/>
    <x v="1"/>
    <x v="0"/>
    <x v="31"/>
    <x v="22"/>
    <x v="13"/>
    <s v="No"/>
    <s v="No"/>
    <s v="No"/>
    <s v="bejsrtm018smini.bj.intel.com"/>
    <x v="693"/>
    <s v="0B814C14CB536802FFFFFFFF"/>
    <s v="C078273003LX1R36"/>
    <n v="13810399702"/>
    <s v="00440152274742"/>
    <s v="00440152274743"/>
    <m/>
    <m/>
    <s v="Yes"/>
    <s v="Yes"/>
    <x v="0"/>
    <s v="REGULAR TEST"/>
    <m/>
  </r>
  <r>
    <x v="4"/>
    <s v="BEJSRTL700"/>
    <s v="Yes"/>
    <x v="0"/>
    <s v="PCIe"/>
    <n v="4079550"/>
    <s v="2F/R60/6"/>
    <x v="1"/>
    <x v="0"/>
    <x v="31"/>
    <x v="22"/>
    <x v="13"/>
    <s v="No"/>
    <s v="No"/>
    <s v="No"/>
    <s v="bejsrtm018smini.bj.intel.com"/>
    <x v="694"/>
    <s v="2287146BBC7A6802FFFFFFFF"/>
    <s v="C0782730046X1R36"/>
    <n v="13911453146"/>
    <s v="00440152274418"/>
    <s v="00440152274419"/>
    <m/>
    <m/>
    <s v="Yes"/>
    <s v="Yes"/>
    <x v="0"/>
    <s v="REGULAR TEST"/>
    <m/>
  </r>
  <r>
    <x v="4"/>
    <s v="BEJSRTL701"/>
    <s v="Yes"/>
    <x v="0"/>
    <s v="PCIe"/>
    <n v="4079648"/>
    <s v="2F/R60/7"/>
    <x v="1"/>
    <x v="0"/>
    <x v="26"/>
    <x v="13"/>
    <x v="13"/>
    <s v="No"/>
    <s v="Yes"/>
    <s v="No"/>
    <s v="bejsrtm018smini.bj.intel.com"/>
    <x v="695"/>
    <s v="0B7E3A19CC2F6802FFFFFFFF"/>
    <s v="C07827500KGX1R36"/>
    <n v="17310144373"/>
    <s v="00440152274530"/>
    <s v="00440152274531"/>
    <m/>
    <m/>
    <s v="Yes"/>
    <s v="Yes"/>
    <x v="0"/>
    <s v="REGULAR TEST"/>
    <m/>
  </r>
  <r>
    <x v="4"/>
    <s v="BEJSRTL702"/>
    <s v="Yes"/>
    <x v="0"/>
    <s v="PCIe"/>
    <n v="4079678"/>
    <s v="2F/R60/7"/>
    <x v="1"/>
    <x v="1"/>
    <x v="30"/>
    <x v="37"/>
    <x v="13"/>
    <s v="No"/>
    <s v="No"/>
    <s v="No"/>
    <s v="bejsrtm018smini.bj.intel.com"/>
    <x v="696"/>
    <s v="150B86F1CC5A6802FFFFFFFF"/>
    <s v="C07827500KEX1R36"/>
    <s v="13269667764"/>
    <s v="00440152274378"/>
    <s v="00440152274379"/>
    <s v="13811902573"/>
    <m/>
    <s v="Yes"/>
    <s v="Yes"/>
    <x v="0"/>
    <s v="REGULAR TEST"/>
    <m/>
  </r>
  <r>
    <x v="4"/>
    <s v="BEJSRTL691"/>
    <s v="Yes"/>
    <x v="0"/>
    <s v="PCIe"/>
    <n v="4079561"/>
    <s v="2F/R60/2"/>
    <x v="1"/>
    <x v="0"/>
    <x v="26"/>
    <x v="14"/>
    <x v="13"/>
    <s v="No"/>
    <s v="Yes"/>
    <s v="No"/>
    <s v="bejsrtm018smini.bj.intel.com"/>
    <x v="697"/>
    <s v="000000000000000000000000"/>
    <s v="C07827300CZX1R36"/>
    <s v="18911175840"/>
    <s v="00440152274302"/>
    <s v="00440152274303"/>
    <m/>
    <s v="11/21/2018"/>
    <s v="Yes"/>
    <s v="Yes"/>
    <x v="0"/>
    <s v="REGULAR TEST"/>
    <m/>
  </r>
  <r>
    <x v="4"/>
    <s v="BEJSRTL694"/>
    <s v="Yes"/>
    <x v="0"/>
    <s v="PCIe"/>
    <n v="4079631"/>
    <s v="2F/R60/3"/>
    <x v="1"/>
    <x v="0"/>
    <x v="26"/>
    <x v="13"/>
    <x v="13"/>
    <s v="No"/>
    <s v="Yes"/>
    <s v="No"/>
    <s v="bejsrtm018smini.bj.intel.com"/>
    <x v="698"/>
    <s v="000000000000000000000000"/>
    <s v="C078255000SX1R36"/>
    <s v="18911175644"/>
    <s v="00440152274310"/>
    <s v="00440152274311"/>
    <m/>
    <s v="11/21/2018"/>
    <s v="Yes"/>
    <s v="Yes"/>
    <x v="0"/>
    <s v="REGULAR TEST"/>
    <m/>
  </r>
  <r>
    <x v="4"/>
    <s v="BEJSRTL703"/>
    <s v="Yes"/>
    <x v="0"/>
    <s v="PCIe"/>
    <n v="4079404"/>
    <s v="2F/R61/1"/>
    <x v="1"/>
    <x v="0"/>
    <x v="26"/>
    <x v="13"/>
    <x v="12"/>
    <s v="No"/>
    <s v="Yes"/>
    <s v="No"/>
    <s v="bejsrtm020smini.bj.intel.com"/>
    <x v="699"/>
    <s v="33600B5D4D606802FFFFFFFF"/>
    <s v="C0784860074LQ935"/>
    <n v="18101234764"/>
    <s v="00440152274380"/>
    <s v="00440152274381"/>
    <m/>
    <s v="12/26/2018"/>
    <s v="Yes"/>
    <s v="Yes"/>
    <x v="0"/>
    <s v="REGULAR TEST"/>
    <s v="18 DEC: EK3.1 is broken"/>
  </r>
  <r>
    <x v="4"/>
    <s v="BEJSRTL704"/>
    <s v="Yes"/>
    <x v="0"/>
    <s v="PCIe"/>
    <n v="4079363"/>
    <s v="2F/R61/1"/>
    <x v="1"/>
    <x v="0"/>
    <x v="26"/>
    <x v="14"/>
    <x v="13"/>
    <s v="No"/>
    <s v="Yes"/>
    <s v="No"/>
    <s v="bejsrtm020smini.bj.intel.com"/>
    <x v="700"/>
    <s v="3C21A9FACA776802FFFFFFFF"/>
    <s v="C0782730044X1R36"/>
    <n v="17310244510"/>
    <s v="00440152274522"/>
    <s v="00440152274523"/>
    <m/>
    <m/>
    <s v="Yes"/>
    <s v="Yes"/>
    <x v="0"/>
    <s v="REGULAR TEST"/>
    <m/>
  </r>
  <r>
    <x v="4"/>
    <s v="BEJSRTL695"/>
    <s v="Yes"/>
    <x v="0"/>
    <s v="PCIe"/>
    <n v="4079716"/>
    <s v="2F/R60/4"/>
    <x v="1"/>
    <x v="0"/>
    <x v="31"/>
    <x v="0"/>
    <x v="12"/>
    <s v="No"/>
    <s v="No"/>
    <s v="No"/>
    <s v="bejsrtm018smini.bj.intel.com"/>
    <x v="701"/>
    <s v="10E4D2B84A356802FFFFFFFF"/>
    <s v="C0784860063LQ935"/>
    <s v="13910473448"/>
    <s v="00440152274552"/>
    <s v="00440152274553"/>
    <m/>
    <s v="12/26/2018"/>
    <s v="Yes"/>
    <s v="Yes"/>
    <x v="0"/>
    <s v="REGULAR TEST"/>
    <s v="18 DEC: EK3.1 is broken"/>
  </r>
  <r>
    <x v="4"/>
    <s v="BEJSRTL705"/>
    <s v="Yes"/>
    <x v="0"/>
    <s v="PCIe"/>
    <n v="4079671"/>
    <s v="2F/R61/2"/>
    <x v="1"/>
    <x v="0"/>
    <x v="34"/>
    <x v="4"/>
    <x v="12"/>
    <s v="No"/>
    <s v="No"/>
    <s v="No"/>
    <s v="bejsrtm020smini.bj.intel.com"/>
    <x v="702"/>
    <s v="24AC404ECD646802FFFFFFFF"/>
    <s v="C078486005RLQ935"/>
    <n v="18516913746"/>
    <s v="00440152274578"/>
    <s v="00440152274579"/>
    <m/>
    <s v="12/26/2018"/>
    <s v="Yes"/>
    <s v="Yes"/>
    <x v="0"/>
    <s v="REGULAR TEST"/>
    <s v="18 DEC: EK3.1 is broken"/>
  </r>
  <r>
    <x v="4"/>
    <s v="BEJSRTL739"/>
    <s v="Yes"/>
    <x v="15"/>
    <s v="PCIe"/>
    <n v="3648520"/>
    <s v="2F/R62/5"/>
    <x v="1"/>
    <x v="0"/>
    <x v="34"/>
    <x v="4"/>
    <x v="12"/>
    <s v="No"/>
    <s v="No"/>
    <s v="No"/>
    <s v="bejsrtm021smini.bj.intel.com"/>
    <x v="703"/>
    <s v="1841217ACE206802FFFFFFFF"/>
    <s v="C078486005ULQ935"/>
    <s v="15501298790"/>
    <s v="00440152274556"/>
    <s v="00440152274557"/>
    <m/>
    <s v="12/28/2018"/>
    <s v="Yes"/>
    <s v="Yes"/>
    <x v="0"/>
    <s v="REGULAR TEST"/>
    <s v="RITM6913056_x000a_black ray bois config done_x000a_need roll back bois"/>
  </r>
  <r>
    <x v="4"/>
    <s v="BEJSRTL741"/>
    <s v="Yes"/>
    <x v="15"/>
    <s v="PCIe"/>
    <n v="3647977"/>
    <s v="2F/R62/6"/>
    <x v="1"/>
    <x v="0"/>
    <x v="34"/>
    <x v="42"/>
    <x v="12"/>
    <s v="No"/>
    <s v="No"/>
    <s v="No"/>
    <s v="bejsrtm021smini.bj.intel.com"/>
    <x v="704"/>
    <s v="3BC5D9EA4A376802FFFFFFFF"/>
    <s v="C0784860073LQ935"/>
    <s v="15501282351"/>
    <s v="00440152274608"/>
    <s v="00440152274609"/>
    <m/>
    <s v="12/28/2018"/>
    <s v="Yes"/>
    <s v="Yes"/>
    <x v="0"/>
    <s v="REGULAR TEST"/>
    <s v="RITM6913056_x000a_black ray bois config done_x000a_need roll back bois"/>
  </r>
  <r>
    <x v="4"/>
    <s v="BEJSRTL742"/>
    <s v="No"/>
    <x v="15"/>
    <s v="PCIe"/>
    <n v="3647657"/>
    <m/>
    <x v="1"/>
    <x v="2"/>
    <x v="2"/>
    <x v="2"/>
    <x v="3"/>
    <s v="No"/>
    <s v="No"/>
    <s v="No"/>
    <m/>
    <x v="705"/>
    <e v="#N/A"/>
    <e v="#N/A"/>
    <m/>
    <e v="#N/A"/>
    <e v="#N/A"/>
    <m/>
    <m/>
    <s v="Broken"/>
    <s v="No"/>
    <x v="4"/>
    <s v="PC BROKEN"/>
    <m/>
  </r>
  <r>
    <x v="4"/>
    <s v="BEJSRTL743"/>
    <s v="Yes"/>
    <x v="15"/>
    <s v="PCIe"/>
    <n v="3647934"/>
    <s v="2F/R62/7"/>
    <x v="1"/>
    <x v="0"/>
    <x v="34"/>
    <x v="4"/>
    <x v="12"/>
    <s v="No"/>
    <s v="No"/>
    <s v="No"/>
    <s v="bejsrtm022smini.bj.intel.com"/>
    <x v="706"/>
    <s v="148169134E326802FFFFFFFF"/>
    <s v="C078486004WLQ935"/>
    <s v="15501285921"/>
    <s v="00440152274448"/>
    <s v="00440152274449"/>
    <m/>
    <s v="12/28/2018"/>
    <s v="Yes"/>
    <s v="Yes"/>
    <x v="0"/>
    <s v="REGULAR TEST"/>
    <m/>
  </r>
  <r>
    <x v="4"/>
    <s v="BEJSRTL767"/>
    <m/>
    <x v="2"/>
    <m/>
    <n v="4079681"/>
    <m/>
    <x v="1"/>
    <x v="2"/>
    <x v="2"/>
    <x v="2"/>
    <x v="3"/>
    <m/>
    <m/>
    <m/>
    <m/>
    <x v="707"/>
    <m/>
    <m/>
    <m/>
    <m/>
    <m/>
    <m/>
    <m/>
    <m/>
    <m/>
    <x v="2"/>
    <m/>
    <m/>
  </r>
  <r>
    <x v="4"/>
    <s v="BEJSRTL768"/>
    <m/>
    <x v="2"/>
    <m/>
    <n v="4079344"/>
    <m/>
    <x v="1"/>
    <x v="2"/>
    <x v="2"/>
    <x v="2"/>
    <x v="3"/>
    <m/>
    <m/>
    <m/>
    <m/>
    <x v="708"/>
    <m/>
    <m/>
    <m/>
    <m/>
    <m/>
    <m/>
    <m/>
    <m/>
    <m/>
    <x v="2"/>
    <m/>
    <m/>
  </r>
  <r>
    <x v="4"/>
    <s v="BEJSRTL769"/>
    <m/>
    <x v="2"/>
    <m/>
    <n v="4079554"/>
    <m/>
    <x v="1"/>
    <x v="2"/>
    <x v="2"/>
    <x v="2"/>
    <x v="3"/>
    <m/>
    <m/>
    <m/>
    <m/>
    <x v="709"/>
    <m/>
    <m/>
    <m/>
    <m/>
    <m/>
    <m/>
    <m/>
    <m/>
    <m/>
    <x v="2"/>
    <m/>
    <m/>
  </r>
  <r>
    <x v="4"/>
    <s v="BEJSRTL770"/>
    <m/>
    <x v="2"/>
    <m/>
    <n v="4079564"/>
    <m/>
    <x v="1"/>
    <x v="2"/>
    <x v="2"/>
    <x v="2"/>
    <x v="3"/>
    <m/>
    <m/>
    <m/>
    <m/>
    <x v="710"/>
    <m/>
    <m/>
    <m/>
    <m/>
    <m/>
    <m/>
    <m/>
    <m/>
    <m/>
    <x v="2"/>
    <m/>
    <m/>
  </r>
  <r>
    <x v="4"/>
    <s v="BEJSRTL771"/>
    <m/>
    <x v="2"/>
    <m/>
    <n v="4079396"/>
    <m/>
    <x v="1"/>
    <x v="2"/>
    <x v="2"/>
    <x v="2"/>
    <x v="3"/>
    <m/>
    <m/>
    <m/>
    <m/>
    <x v="711"/>
    <m/>
    <m/>
    <m/>
    <m/>
    <m/>
    <m/>
    <m/>
    <m/>
    <m/>
    <x v="2"/>
    <m/>
    <m/>
  </r>
  <r>
    <x v="4"/>
    <s v="BEJSRTL772"/>
    <m/>
    <x v="2"/>
    <m/>
    <n v="4079384"/>
    <m/>
    <x v="1"/>
    <x v="2"/>
    <x v="2"/>
    <x v="2"/>
    <x v="3"/>
    <m/>
    <m/>
    <m/>
    <m/>
    <x v="712"/>
    <m/>
    <m/>
    <m/>
    <m/>
    <m/>
    <m/>
    <m/>
    <m/>
    <m/>
    <x v="2"/>
    <m/>
    <m/>
  </r>
  <r>
    <x v="4"/>
    <s v="BEJSRTL773"/>
    <m/>
    <x v="2"/>
    <m/>
    <n v="4079383"/>
    <m/>
    <x v="1"/>
    <x v="2"/>
    <x v="2"/>
    <x v="2"/>
    <x v="3"/>
    <m/>
    <m/>
    <m/>
    <m/>
    <x v="713"/>
    <m/>
    <m/>
    <m/>
    <m/>
    <m/>
    <m/>
    <m/>
    <m/>
    <m/>
    <x v="2"/>
    <m/>
    <m/>
  </r>
  <r>
    <x v="4"/>
    <s v="BEJSRTL774"/>
    <m/>
    <x v="2"/>
    <m/>
    <n v="4079552"/>
    <m/>
    <x v="1"/>
    <x v="2"/>
    <x v="2"/>
    <x v="2"/>
    <x v="3"/>
    <m/>
    <m/>
    <m/>
    <m/>
    <x v="714"/>
    <m/>
    <m/>
    <m/>
    <m/>
    <m/>
    <m/>
    <m/>
    <m/>
    <m/>
    <x v="2"/>
    <m/>
    <m/>
  </r>
  <r>
    <x v="4"/>
    <s v="BEJSRTL775"/>
    <m/>
    <x v="2"/>
    <m/>
    <n v="4079647"/>
    <m/>
    <x v="1"/>
    <x v="2"/>
    <x v="2"/>
    <x v="2"/>
    <x v="3"/>
    <m/>
    <m/>
    <m/>
    <m/>
    <x v="715"/>
    <m/>
    <m/>
    <m/>
    <m/>
    <m/>
    <m/>
    <m/>
    <m/>
    <m/>
    <x v="2"/>
    <m/>
    <m/>
  </r>
  <r>
    <x v="4"/>
    <s v="BEJSRTL776"/>
    <m/>
    <x v="2"/>
    <m/>
    <n v="4079640"/>
    <m/>
    <x v="1"/>
    <x v="2"/>
    <x v="2"/>
    <x v="2"/>
    <x v="3"/>
    <m/>
    <m/>
    <m/>
    <m/>
    <x v="716"/>
    <m/>
    <m/>
    <m/>
    <m/>
    <m/>
    <m/>
    <m/>
    <m/>
    <m/>
    <x v="2"/>
    <m/>
    <m/>
  </r>
  <r>
    <x v="4"/>
    <s v="BEJSRTL777"/>
    <m/>
    <x v="2"/>
    <m/>
    <n v="4079626"/>
    <m/>
    <x v="1"/>
    <x v="2"/>
    <x v="2"/>
    <x v="2"/>
    <x v="3"/>
    <m/>
    <m/>
    <m/>
    <m/>
    <x v="717"/>
    <m/>
    <m/>
    <m/>
    <m/>
    <m/>
    <m/>
    <m/>
    <m/>
    <m/>
    <x v="2"/>
    <m/>
    <m/>
  </r>
  <r>
    <x v="4"/>
    <s v="BEJSRTL778"/>
    <m/>
    <x v="2"/>
    <m/>
    <n v="4079651"/>
    <m/>
    <x v="1"/>
    <x v="2"/>
    <x v="2"/>
    <x v="2"/>
    <x v="3"/>
    <m/>
    <m/>
    <m/>
    <m/>
    <x v="718"/>
    <m/>
    <m/>
    <m/>
    <m/>
    <m/>
    <m/>
    <m/>
    <m/>
    <m/>
    <x v="2"/>
    <m/>
    <m/>
  </r>
  <r>
    <x v="4"/>
    <s v="BEJSRTL779"/>
    <m/>
    <x v="2"/>
    <m/>
    <n v="4079616"/>
    <m/>
    <x v="1"/>
    <x v="2"/>
    <x v="2"/>
    <x v="2"/>
    <x v="3"/>
    <m/>
    <m/>
    <m/>
    <m/>
    <x v="719"/>
    <m/>
    <m/>
    <m/>
    <m/>
    <m/>
    <m/>
    <m/>
    <m/>
    <m/>
    <x v="2"/>
    <m/>
    <m/>
  </r>
  <r>
    <x v="4"/>
    <s v="BEJSRTL780"/>
    <m/>
    <x v="2"/>
    <m/>
    <n v="4079571"/>
    <m/>
    <x v="1"/>
    <x v="2"/>
    <x v="2"/>
    <x v="2"/>
    <x v="3"/>
    <m/>
    <m/>
    <m/>
    <m/>
    <x v="720"/>
    <m/>
    <m/>
    <m/>
    <m/>
    <m/>
    <m/>
    <m/>
    <m/>
    <m/>
    <x v="2"/>
    <m/>
    <m/>
  </r>
  <r>
    <x v="4"/>
    <s v="BEJSRTL781"/>
    <m/>
    <x v="2"/>
    <m/>
    <n v="4079687"/>
    <m/>
    <x v="1"/>
    <x v="2"/>
    <x v="2"/>
    <x v="2"/>
    <x v="3"/>
    <m/>
    <m/>
    <m/>
    <m/>
    <x v="721"/>
    <m/>
    <m/>
    <m/>
    <m/>
    <m/>
    <m/>
    <m/>
    <m/>
    <m/>
    <x v="2"/>
    <m/>
    <m/>
  </r>
  <r>
    <x v="4"/>
    <s v="BEJSRTL782"/>
    <m/>
    <x v="2"/>
    <m/>
    <n v="4079496"/>
    <m/>
    <x v="1"/>
    <x v="2"/>
    <x v="2"/>
    <x v="2"/>
    <x v="3"/>
    <m/>
    <m/>
    <m/>
    <m/>
    <x v="722"/>
    <m/>
    <m/>
    <s v=" "/>
    <m/>
    <m/>
    <m/>
    <m/>
    <m/>
    <m/>
    <x v="2"/>
    <m/>
    <m/>
  </r>
  <r>
    <x v="4"/>
    <s v="BEJSRTL783"/>
    <m/>
    <x v="2"/>
    <m/>
    <n v="4079335"/>
    <m/>
    <x v="1"/>
    <x v="2"/>
    <x v="2"/>
    <x v="2"/>
    <x v="3"/>
    <m/>
    <m/>
    <m/>
    <m/>
    <x v="723"/>
    <m/>
    <m/>
    <m/>
    <m/>
    <m/>
    <m/>
    <m/>
    <m/>
    <m/>
    <x v="2"/>
    <m/>
    <m/>
  </r>
  <r>
    <x v="4"/>
    <s v="BEJSRTL784"/>
    <m/>
    <x v="2"/>
    <m/>
    <n v="4079448"/>
    <m/>
    <x v="1"/>
    <x v="2"/>
    <x v="2"/>
    <x v="2"/>
    <x v="3"/>
    <m/>
    <m/>
    <m/>
    <m/>
    <x v="724"/>
    <m/>
    <m/>
    <m/>
    <m/>
    <m/>
    <m/>
    <m/>
    <m/>
    <m/>
    <x v="2"/>
    <m/>
    <m/>
  </r>
  <r>
    <x v="4"/>
    <s v="BEJSRTL785"/>
    <m/>
    <x v="2"/>
    <m/>
    <n v="4079353"/>
    <m/>
    <x v="1"/>
    <x v="2"/>
    <x v="2"/>
    <x v="2"/>
    <x v="3"/>
    <m/>
    <m/>
    <m/>
    <m/>
    <x v="725"/>
    <m/>
    <m/>
    <m/>
    <m/>
    <m/>
    <m/>
    <m/>
    <m/>
    <m/>
    <x v="2"/>
    <m/>
    <m/>
  </r>
  <r>
    <x v="4"/>
    <s v="BEJSRTL786"/>
    <m/>
    <x v="2"/>
    <m/>
    <n v="4079487"/>
    <m/>
    <x v="1"/>
    <x v="2"/>
    <x v="2"/>
    <x v="2"/>
    <x v="3"/>
    <m/>
    <m/>
    <m/>
    <m/>
    <x v="726"/>
    <m/>
    <m/>
    <m/>
    <m/>
    <m/>
    <m/>
    <m/>
    <m/>
    <m/>
    <x v="2"/>
    <m/>
    <m/>
  </r>
  <r>
    <x v="4"/>
    <s v="BEJSRTL787"/>
    <m/>
    <x v="2"/>
    <m/>
    <n v="4079578"/>
    <m/>
    <x v="1"/>
    <x v="2"/>
    <x v="2"/>
    <x v="2"/>
    <x v="3"/>
    <m/>
    <m/>
    <m/>
    <m/>
    <x v="727"/>
    <m/>
    <m/>
    <m/>
    <m/>
    <m/>
    <m/>
    <m/>
    <m/>
    <m/>
    <x v="2"/>
    <m/>
    <m/>
  </r>
  <r>
    <x v="4"/>
    <s v="BEJSRTL788"/>
    <m/>
    <x v="2"/>
    <m/>
    <n v="4079341"/>
    <m/>
    <x v="1"/>
    <x v="2"/>
    <x v="2"/>
    <x v="2"/>
    <x v="3"/>
    <m/>
    <m/>
    <m/>
    <m/>
    <x v="728"/>
    <m/>
    <m/>
    <m/>
    <m/>
    <m/>
    <m/>
    <m/>
    <m/>
    <m/>
    <x v="2"/>
    <m/>
    <m/>
  </r>
  <r>
    <x v="4"/>
    <s v="BEJSRTL789"/>
    <m/>
    <x v="2"/>
    <m/>
    <n v="4079499"/>
    <m/>
    <x v="1"/>
    <x v="2"/>
    <x v="2"/>
    <x v="2"/>
    <x v="3"/>
    <m/>
    <m/>
    <m/>
    <m/>
    <x v="729"/>
    <m/>
    <m/>
    <m/>
    <m/>
    <m/>
    <m/>
    <m/>
    <m/>
    <m/>
    <x v="2"/>
    <m/>
    <m/>
  </r>
  <r>
    <x v="4"/>
    <s v="BEJSRTL790"/>
    <m/>
    <x v="2"/>
    <m/>
    <n v="4079484"/>
    <m/>
    <x v="1"/>
    <x v="2"/>
    <x v="2"/>
    <x v="2"/>
    <x v="3"/>
    <m/>
    <m/>
    <m/>
    <m/>
    <x v="730"/>
    <m/>
    <m/>
    <m/>
    <m/>
    <m/>
    <m/>
    <m/>
    <m/>
    <m/>
    <x v="2"/>
    <m/>
    <m/>
  </r>
  <r>
    <x v="4"/>
    <s v="BEJSRTL791"/>
    <m/>
    <x v="2"/>
    <m/>
    <n v="4079525"/>
    <m/>
    <x v="1"/>
    <x v="2"/>
    <x v="2"/>
    <x v="2"/>
    <x v="3"/>
    <m/>
    <m/>
    <m/>
    <m/>
    <x v="731"/>
    <m/>
    <m/>
    <m/>
    <m/>
    <m/>
    <m/>
    <m/>
    <m/>
    <m/>
    <x v="2"/>
    <m/>
    <m/>
  </r>
  <r>
    <x v="4"/>
    <s v="BEJSRTL792"/>
    <m/>
    <x v="2"/>
    <m/>
    <n v="4079326"/>
    <m/>
    <x v="1"/>
    <x v="2"/>
    <x v="2"/>
    <x v="2"/>
    <x v="3"/>
    <m/>
    <m/>
    <m/>
    <m/>
    <x v="732"/>
    <m/>
    <m/>
    <m/>
    <m/>
    <m/>
    <m/>
    <m/>
    <m/>
    <m/>
    <x v="2"/>
    <m/>
    <m/>
  </r>
  <r>
    <x v="4"/>
    <s v="BEJSRTL793"/>
    <m/>
    <x v="2"/>
    <m/>
    <n v="4079446"/>
    <m/>
    <x v="1"/>
    <x v="2"/>
    <x v="2"/>
    <x v="2"/>
    <x v="3"/>
    <m/>
    <m/>
    <m/>
    <m/>
    <x v="733"/>
    <m/>
    <m/>
    <m/>
    <m/>
    <m/>
    <m/>
    <m/>
    <m/>
    <m/>
    <x v="2"/>
    <m/>
    <m/>
  </r>
  <r>
    <x v="4"/>
    <s v="BEJSRTL794"/>
    <m/>
    <x v="2"/>
    <m/>
    <n v="4079455"/>
    <m/>
    <x v="1"/>
    <x v="2"/>
    <x v="2"/>
    <x v="2"/>
    <x v="3"/>
    <m/>
    <m/>
    <m/>
    <m/>
    <x v="734"/>
    <m/>
    <m/>
    <m/>
    <m/>
    <m/>
    <m/>
    <m/>
    <m/>
    <m/>
    <x v="2"/>
    <m/>
    <m/>
  </r>
  <r>
    <x v="4"/>
    <s v="BEJSRTL795"/>
    <m/>
    <x v="2"/>
    <m/>
    <m/>
    <m/>
    <x v="1"/>
    <x v="2"/>
    <x v="2"/>
    <x v="2"/>
    <x v="3"/>
    <m/>
    <m/>
    <m/>
    <m/>
    <x v="735"/>
    <m/>
    <m/>
    <m/>
    <m/>
    <m/>
    <m/>
    <m/>
    <m/>
    <m/>
    <x v="2"/>
    <m/>
    <m/>
  </r>
  <r>
    <x v="4"/>
    <s v="BEJSRTL796"/>
    <m/>
    <x v="2"/>
    <m/>
    <m/>
    <m/>
    <x v="1"/>
    <x v="2"/>
    <x v="2"/>
    <x v="2"/>
    <x v="3"/>
    <m/>
    <m/>
    <m/>
    <m/>
    <x v="736"/>
    <m/>
    <m/>
    <m/>
    <m/>
    <m/>
    <m/>
    <m/>
    <m/>
    <m/>
    <x v="2"/>
    <m/>
    <m/>
  </r>
  <r>
    <x v="4"/>
    <s v="BEJSRTL797"/>
    <m/>
    <x v="2"/>
    <m/>
    <m/>
    <m/>
    <x v="1"/>
    <x v="2"/>
    <x v="2"/>
    <x v="2"/>
    <x v="3"/>
    <m/>
    <m/>
    <m/>
    <m/>
    <x v="737"/>
    <m/>
    <m/>
    <m/>
    <m/>
    <m/>
    <m/>
    <m/>
    <m/>
    <m/>
    <x v="2"/>
    <m/>
    <m/>
  </r>
  <r>
    <x v="4"/>
    <s v="BEJSRTL798"/>
    <m/>
    <x v="2"/>
    <m/>
    <m/>
    <m/>
    <x v="1"/>
    <x v="2"/>
    <x v="2"/>
    <x v="2"/>
    <x v="3"/>
    <m/>
    <m/>
    <m/>
    <m/>
    <x v="738"/>
    <m/>
    <m/>
    <m/>
    <m/>
    <m/>
    <m/>
    <m/>
    <m/>
    <m/>
    <x v="2"/>
    <m/>
    <m/>
  </r>
  <r>
    <x v="4"/>
    <s v="BEJSRTL799"/>
    <m/>
    <x v="2"/>
    <m/>
    <m/>
    <m/>
    <x v="1"/>
    <x v="2"/>
    <x v="2"/>
    <x v="2"/>
    <x v="3"/>
    <m/>
    <m/>
    <m/>
    <m/>
    <x v="739"/>
    <m/>
    <m/>
    <m/>
    <m/>
    <m/>
    <m/>
    <m/>
    <m/>
    <m/>
    <x v="2"/>
    <m/>
    <m/>
  </r>
  <r>
    <x v="4"/>
    <s v="BEJSRTL800"/>
    <m/>
    <x v="2"/>
    <m/>
    <m/>
    <m/>
    <x v="1"/>
    <x v="2"/>
    <x v="2"/>
    <x v="2"/>
    <x v="3"/>
    <m/>
    <m/>
    <m/>
    <m/>
    <x v="740"/>
    <m/>
    <m/>
    <m/>
    <m/>
    <m/>
    <m/>
    <m/>
    <m/>
    <m/>
    <x v="2"/>
    <m/>
    <m/>
  </r>
  <r>
    <x v="4"/>
    <s v="BEJSRTL801"/>
    <m/>
    <x v="2"/>
    <m/>
    <m/>
    <m/>
    <x v="1"/>
    <x v="2"/>
    <x v="2"/>
    <x v="2"/>
    <x v="3"/>
    <m/>
    <m/>
    <m/>
    <m/>
    <x v="741"/>
    <m/>
    <m/>
    <m/>
    <m/>
    <m/>
    <m/>
    <m/>
    <m/>
    <m/>
    <x v="2"/>
    <m/>
    <m/>
  </r>
  <r>
    <x v="4"/>
    <s v="BEJSRTL802"/>
    <m/>
    <x v="2"/>
    <m/>
    <m/>
    <m/>
    <x v="1"/>
    <x v="2"/>
    <x v="2"/>
    <x v="2"/>
    <x v="3"/>
    <m/>
    <m/>
    <m/>
    <m/>
    <x v="742"/>
    <m/>
    <m/>
    <m/>
    <m/>
    <m/>
    <m/>
    <m/>
    <m/>
    <m/>
    <x v="2"/>
    <m/>
    <m/>
  </r>
  <r>
    <x v="4"/>
    <s v="BEJSRTL803"/>
    <m/>
    <x v="2"/>
    <m/>
    <m/>
    <m/>
    <x v="1"/>
    <x v="2"/>
    <x v="2"/>
    <x v="2"/>
    <x v="3"/>
    <m/>
    <m/>
    <m/>
    <m/>
    <x v="743"/>
    <m/>
    <m/>
    <m/>
    <m/>
    <m/>
    <m/>
    <m/>
    <m/>
    <m/>
    <x v="2"/>
    <m/>
    <m/>
  </r>
  <r>
    <x v="4"/>
    <s v="BEJSRTL804"/>
    <m/>
    <x v="2"/>
    <m/>
    <m/>
    <m/>
    <x v="1"/>
    <x v="2"/>
    <x v="2"/>
    <x v="2"/>
    <x v="3"/>
    <m/>
    <m/>
    <m/>
    <m/>
    <x v="744"/>
    <m/>
    <m/>
    <m/>
    <m/>
    <m/>
    <m/>
    <m/>
    <m/>
    <m/>
    <x v="2"/>
    <m/>
    <m/>
  </r>
  <r>
    <x v="4"/>
    <s v="BEJSRTL805"/>
    <m/>
    <x v="2"/>
    <m/>
    <m/>
    <m/>
    <x v="1"/>
    <x v="2"/>
    <x v="2"/>
    <x v="2"/>
    <x v="3"/>
    <m/>
    <m/>
    <m/>
    <m/>
    <x v="745"/>
    <m/>
    <m/>
    <m/>
    <m/>
    <m/>
    <m/>
    <m/>
    <m/>
    <m/>
    <x v="2"/>
    <m/>
    <m/>
  </r>
  <r>
    <x v="4"/>
    <s v="BEJSRTL806"/>
    <m/>
    <x v="2"/>
    <m/>
    <m/>
    <m/>
    <x v="1"/>
    <x v="2"/>
    <x v="2"/>
    <x v="2"/>
    <x v="3"/>
    <m/>
    <m/>
    <m/>
    <m/>
    <x v="746"/>
    <m/>
    <m/>
    <m/>
    <m/>
    <m/>
    <m/>
    <m/>
    <m/>
    <m/>
    <x v="2"/>
    <m/>
    <m/>
  </r>
  <r>
    <x v="4"/>
    <s v="BEJSRTL207"/>
    <m/>
    <x v="2"/>
    <m/>
    <n v="3219897"/>
    <s v="439/R14/3"/>
    <x v="1"/>
    <x v="2"/>
    <x v="2"/>
    <x v="2"/>
    <x v="3"/>
    <m/>
    <m/>
    <m/>
    <s v="7560utt243smini.bj.intel.com"/>
    <x v="273"/>
    <m/>
    <m/>
    <m/>
    <m/>
    <m/>
    <m/>
    <m/>
    <m/>
    <m/>
    <x v="2"/>
    <m/>
    <s v="convert from 7560,RITM6947186"/>
  </r>
  <r>
    <x v="4"/>
    <s v="BEJSRTL214"/>
    <m/>
    <x v="2"/>
    <m/>
    <n v="3219857"/>
    <s v="439/R14/1"/>
    <x v="1"/>
    <x v="2"/>
    <x v="2"/>
    <x v="2"/>
    <x v="3"/>
    <m/>
    <m/>
    <m/>
    <s v="bejsrtm005smini.bj.intel.com"/>
    <x v="280"/>
    <m/>
    <m/>
    <m/>
    <m/>
    <m/>
    <m/>
    <m/>
    <m/>
    <m/>
    <x v="2"/>
    <m/>
    <s v="convert from 7560,RITM6947186"/>
  </r>
  <r>
    <x v="4"/>
    <s v="BEJSRTL221"/>
    <m/>
    <x v="2"/>
    <m/>
    <n v="2794226"/>
    <s v="439/R13/6"/>
    <x v="1"/>
    <x v="2"/>
    <x v="2"/>
    <x v="2"/>
    <x v="3"/>
    <m/>
    <m/>
    <m/>
    <s v="bejsrtm007smini.bj.intel.com"/>
    <x v="286"/>
    <m/>
    <m/>
    <m/>
    <m/>
    <m/>
    <m/>
    <m/>
    <m/>
    <m/>
    <x v="2"/>
    <m/>
    <s v="convert from 7560,RITM6947186"/>
  </r>
  <r>
    <x v="4"/>
    <s v="BEJSRTL230"/>
    <m/>
    <x v="2"/>
    <m/>
    <n v="3220166"/>
    <s v="439/R11/4"/>
    <x v="1"/>
    <x v="2"/>
    <x v="2"/>
    <x v="2"/>
    <x v="3"/>
    <m/>
    <m/>
    <m/>
    <s v="bejsrtm001smini.bj.intel.com"/>
    <x v="292"/>
    <m/>
    <m/>
    <m/>
    <m/>
    <m/>
    <m/>
    <m/>
    <m/>
    <m/>
    <x v="2"/>
    <m/>
    <s v="convert from 7560,RITM6947186"/>
  </r>
  <r>
    <x v="4"/>
    <s v="BEJSRTL249"/>
    <m/>
    <x v="2"/>
    <m/>
    <n v="3220330"/>
    <s v="439/R9/5"/>
    <x v="1"/>
    <x v="2"/>
    <x v="2"/>
    <x v="2"/>
    <x v="3"/>
    <m/>
    <m/>
    <m/>
    <s v="bejsrtm002smini.bj.intel.com"/>
    <x v="309"/>
    <m/>
    <m/>
    <m/>
    <m/>
    <m/>
    <m/>
    <m/>
    <m/>
    <m/>
    <x v="2"/>
    <m/>
    <s v="convert from 7560,RITM6947186"/>
  </r>
  <r>
    <x v="4"/>
    <s v="BEJSRTL261"/>
    <m/>
    <x v="2"/>
    <m/>
    <n v="3299571"/>
    <s v="439/R15/1"/>
    <x v="1"/>
    <x v="2"/>
    <x v="2"/>
    <x v="2"/>
    <x v="3"/>
    <m/>
    <m/>
    <m/>
    <s v="bejsrtm010smini.bj.intel.com"/>
    <x v="321"/>
    <m/>
    <m/>
    <m/>
    <m/>
    <m/>
    <m/>
    <m/>
    <m/>
    <m/>
    <x v="2"/>
    <m/>
    <s v="convert from 7560,RITM6947186"/>
  </r>
  <r>
    <x v="4"/>
    <s v="BEJSRTL263"/>
    <m/>
    <x v="2"/>
    <m/>
    <n v="3299368"/>
    <s v="439/R4/2"/>
    <x v="1"/>
    <x v="2"/>
    <x v="2"/>
    <x v="2"/>
    <x v="3"/>
    <m/>
    <m/>
    <m/>
    <s v="bejsrtm007smini.bj.intel.com"/>
    <x v="323"/>
    <m/>
    <m/>
    <m/>
    <m/>
    <m/>
    <m/>
    <m/>
    <m/>
    <m/>
    <x v="2"/>
    <m/>
    <s v="convert from 7560,RITM6947186"/>
  </r>
  <r>
    <x v="4"/>
    <s v="BEJSRTL274"/>
    <m/>
    <x v="2"/>
    <m/>
    <n v="3219851"/>
    <s v="439/R8/3"/>
    <x v="1"/>
    <x v="2"/>
    <x v="2"/>
    <x v="2"/>
    <x v="3"/>
    <m/>
    <m/>
    <m/>
    <s v="bejsrtm005smini.bj.intel.com"/>
    <x v="332"/>
    <m/>
    <m/>
    <m/>
    <m/>
    <m/>
    <m/>
    <m/>
    <m/>
    <m/>
    <x v="2"/>
    <m/>
    <s v="convert from 7560,RITM6947186"/>
  </r>
  <r>
    <x v="4"/>
    <s v="BEJSRTL275"/>
    <m/>
    <x v="2"/>
    <m/>
    <n v="3219691"/>
    <s v="439/R5/7"/>
    <x v="1"/>
    <x v="2"/>
    <x v="2"/>
    <x v="2"/>
    <x v="3"/>
    <m/>
    <m/>
    <m/>
    <s v="7560utt275smini.bj.intel.com"/>
    <x v="333"/>
    <m/>
    <m/>
    <m/>
    <m/>
    <m/>
    <m/>
    <m/>
    <m/>
    <m/>
    <x v="2"/>
    <m/>
    <s v="convert from 7560,RITM6947186"/>
  </r>
  <r>
    <x v="4"/>
    <s v="BEJSRTL286"/>
    <m/>
    <x v="2"/>
    <m/>
    <n v="3299530"/>
    <s v="439/R15/4"/>
    <x v="1"/>
    <x v="2"/>
    <x v="2"/>
    <x v="2"/>
    <x v="3"/>
    <m/>
    <m/>
    <m/>
    <s v="bejsrtm005smini.bj.intel.com"/>
    <x v="344"/>
    <m/>
    <m/>
    <m/>
    <m/>
    <m/>
    <m/>
    <m/>
    <m/>
    <m/>
    <x v="2"/>
    <m/>
    <s v="convert from 7560,RITM6947186"/>
  </r>
  <r>
    <x v="4"/>
    <s v="BEJSRTL327"/>
    <m/>
    <x v="2"/>
    <m/>
    <n v="2510716"/>
    <s v="439/R16/1"/>
    <x v="1"/>
    <x v="2"/>
    <x v="2"/>
    <x v="2"/>
    <x v="3"/>
    <m/>
    <m/>
    <m/>
    <s v="7560utt127smini.bj.intel.com"/>
    <x v="377"/>
    <m/>
    <m/>
    <m/>
    <m/>
    <m/>
    <m/>
    <m/>
    <m/>
    <m/>
    <x v="2"/>
    <m/>
    <s v="convert from 7560,RITM6947186"/>
  </r>
  <r>
    <x v="4"/>
    <s v="BEJSRTL331"/>
    <m/>
    <x v="2"/>
    <m/>
    <n v="2510837"/>
    <s v="459/R36/2"/>
    <x v="1"/>
    <x v="2"/>
    <x v="2"/>
    <x v="2"/>
    <x v="3"/>
    <m/>
    <m/>
    <m/>
    <s v="7560utt127smini.bj.intel.com"/>
    <x v="381"/>
    <m/>
    <m/>
    <m/>
    <m/>
    <m/>
    <m/>
    <m/>
    <m/>
    <m/>
    <x v="2"/>
    <m/>
    <s v="convert from 7560,RITM6947186"/>
  </r>
  <r>
    <x v="4"/>
    <s v="BEJSRTL333"/>
    <m/>
    <x v="2"/>
    <m/>
    <n v="2510546"/>
    <s v="459/R40/3"/>
    <x v="1"/>
    <x v="2"/>
    <x v="2"/>
    <x v="2"/>
    <x v="3"/>
    <m/>
    <m/>
    <m/>
    <s v="7560utt236smini.bj.intel.com"/>
    <x v="383"/>
    <m/>
    <m/>
    <m/>
    <m/>
    <m/>
    <m/>
    <m/>
    <m/>
    <m/>
    <x v="2"/>
    <m/>
    <s v="convert from 7560,RITM6947186"/>
  </r>
  <r>
    <x v="4"/>
    <s v="BEJSRTL365"/>
    <m/>
    <x v="2"/>
    <m/>
    <n v="3316799"/>
    <s v="439/R18/5"/>
    <x v="1"/>
    <x v="2"/>
    <x v="2"/>
    <x v="2"/>
    <x v="3"/>
    <m/>
    <m/>
    <m/>
    <s v="7560utt127smini.bj.intel.com"/>
    <x v="401"/>
    <m/>
    <m/>
    <m/>
    <m/>
    <m/>
    <m/>
    <m/>
    <m/>
    <m/>
    <x v="2"/>
    <m/>
    <s v="convert from 7560,RITM6947186"/>
  </r>
  <r>
    <x v="4"/>
    <s v="BEJSRTL381"/>
    <m/>
    <x v="2"/>
    <m/>
    <n v="2510679"/>
    <s v="439/R8/6"/>
    <x v="1"/>
    <x v="2"/>
    <x v="2"/>
    <x v="2"/>
    <x v="3"/>
    <m/>
    <m/>
    <m/>
    <s v="bejsrtm010smini.bj.intel.com"/>
    <x v="414"/>
    <m/>
    <m/>
    <m/>
    <m/>
    <m/>
    <m/>
    <m/>
    <m/>
    <m/>
    <x v="2"/>
    <m/>
    <s v="convert from 7560,RITM6947186"/>
  </r>
  <r>
    <x v="4"/>
    <s v="BEJSRTL388"/>
    <m/>
    <x v="2"/>
    <m/>
    <n v="2510905"/>
    <s v="439/R3/6"/>
    <x v="1"/>
    <x v="2"/>
    <x v="2"/>
    <x v="2"/>
    <x v="3"/>
    <m/>
    <m/>
    <m/>
    <s v="bejsrtm011smini.bj.intel.com"/>
    <x v="417"/>
    <m/>
    <m/>
    <m/>
    <m/>
    <m/>
    <m/>
    <m/>
    <m/>
    <m/>
    <x v="2"/>
    <m/>
    <s v="convert from 7560,RITM6947186"/>
  </r>
  <r>
    <x v="4"/>
    <s v="BEJSRTL405"/>
    <m/>
    <x v="2"/>
    <m/>
    <n v="2510548"/>
    <s v="439/R1/4"/>
    <x v="1"/>
    <x v="2"/>
    <x v="2"/>
    <x v="2"/>
    <x v="3"/>
    <m/>
    <m/>
    <m/>
    <s v="bejsrtm011smini.bj.intel.com"/>
    <x v="431"/>
    <m/>
    <m/>
    <m/>
    <m/>
    <m/>
    <m/>
    <m/>
    <m/>
    <m/>
    <x v="2"/>
    <m/>
    <s v="convert from 7560,RITM6947186"/>
  </r>
  <r>
    <x v="4"/>
    <s v="BEJSRTL431"/>
    <m/>
    <x v="2"/>
    <m/>
    <n v="3648232"/>
    <s v="2F/R44/ 2"/>
    <x v="1"/>
    <x v="2"/>
    <x v="2"/>
    <x v="2"/>
    <x v="3"/>
    <m/>
    <m/>
    <m/>
    <s v="bejsrtm005smini.bj.intel.com"/>
    <x v="446"/>
    <m/>
    <m/>
    <m/>
    <m/>
    <m/>
    <m/>
    <m/>
    <m/>
    <m/>
    <x v="2"/>
    <m/>
    <s v="convert from 7560,RITM6947186"/>
  </r>
  <r>
    <x v="4"/>
    <s v="BEJSRTL434"/>
    <m/>
    <x v="2"/>
    <m/>
    <n v="3648462"/>
    <s v="2F/R43/2"/>
    <x v="1"/>
    <x v="2"/>
    <x v="2"/>
    <x v="2"/>
    <x v="3"/>
    <m/>
    <m/>
    <m/>
    <s v="bejsrtm005smini.bj.intel.com"/>
    <x v="449"/>
    <m/>
    <m/>
    <m/>
    <m/>
    <m/>
    <m/>
    <m/>
    <m/>
    <m/>
    <x v="2"/>
    <m/>
    <s v="convert from 7560,RITM6947186"/>
  </r>
  <r>
    <x v="4"/>
    <s v="BEJSRTL436"/>
    <m/>
    <x v="2"/>
    <m/>
    <n v="3648214"/>
    <s v="2F/R43/7"/>
    <x v="1"/>
    <x v="2"/>
    <x v="2"/>
    <x v="2"/>
    <x v="3"/>
    <m/>
    <m/>
    <m/>
    <s v="bejsrtm002smini.bj.intel.com"/>
    <x v="451"/>
    <m/>
    <m/>
    <m/>
    <m/>
    <m/>
    <m/>
    <m/>
    <m/>
    <m/>
    <x v="2"/>
    <m/>
    <s v="convert from 7560,RITM6947186"/>
  </r>
  <r>
    <x v="4"/>
    <s v="BEJSRTL442"/>
    <m/>
    <x v="2"/>
    <m/>
    <n v="3648477"/>
    <s v="2F/R45/6"/>
    <x v="1"/>
    <x v="2"/>
    <x v="2"/>
    <x v="2"/>
    <x v="3"/>
    <m/>
    <m/>
    <m/>
    <s v="7560utt241smini.bj.intel.com"/>
    <x v="457"/>
    <m/>
    <m/>
    <m/>
    <m/>
    <m/>
    <m/>
    <m/>
    <m/>
    <m/>
    <x v="2"/>
    <m/>
    <s v="convert from 7560,RITM6947186"/>
  </r>
  <r>
    <x v="4"/>
    <s v="BEJSRTL468"/>
    <m/>
    <x v="2"/>
    <m/>
    <n v="3648247"/>
    <s v="2F/R48/6"/>
    <x v="1"/>
    <x v="2"/>
    <x v="2"/>
    <x v="2"/>
    <x v="3"/>
    <m/>
    <m/>
    <m/>
    <s v="bejsrtm010smini.bj.intel.com"/>
    <x v="480"/>
    <m/>
    <m/>
    <m/>
    <m/>
    <m/>
    <m/>
    <m/>
    <m/>
    <m/>
    <x v="2"/>
    <m/>
    <s v="convert from 7560,RITM6947186"/>
  </r>
  <r>
    <x v="4"/>
    <s v="BEJSRTL469"/>
    <m/>
    <x v="2"/>
    <m/>
    <n v="3648430"/>
    <s v="2F/R48/2"/>
    <x v="1"/>
    <x v="2"/>
    <x v="2"/>
    <x v="2"/>
    <x v="3"/>
    <m/>
    <m/>
    <m/>
    <s v="bejsrtm010smini.bj.intel.com"/>
    <x v="481"/>
    <m/>
    <m/>
    <m/>
    <m/>
    <m/>
    <m/>
    <m/>
    <m/>
    <m/>
    <x v="2"/>
    <m/>
    <s v="convert from 7560,RITM6947186"/>
  </r>
  <r>
    <x v="4"/>
    <s v="BEJSRTL470"/>
    <m/>
    <x v="2"/>
    <m/>
    <n v="3648526"/>
    <s v="2F/R48/4"/>
    <x v="1"/>
    <x v="2"/>
    <x v="2"/>
    <x v="2"/>
    <x v="3"/>
    <m/>
    <m/>
    <m/>
    <s v="bejsrtm010smini.bj.intel.com"/>
    <x v="482"/>
    <m/>
    <m/>
    <m/>
    <m/>
    <m/>
    <m/>
    <m/>
    <m/>
    <m/>
    <x v="2"/>
    <m/>
    <s v="convert from 7560,RITM6947186"/>
  </r>
  <r>
    <x v="4"/>
    <s v="BEJSRTL473"/>
    <m/>
    <x v="2"/>
    <m/>
    <n v="3648356"/>
    <s v="2F/R48/3"/>
    <x v="1"/>
    <x v="2"/>
    <x v="2"/>
    <x v="2"/>
    <x v="3"/>
    <m/>
    <m/>
    <m/>
    <s v="bejsrtm010smini.bj.intel.com"/>
    <x v="485"/>
    <m/>
    <m/>
    <m/>
    <m/>
    <m/>
    <m/>
    <m/>
    <m/>
    <m/>
    <x v="2"/>
    <m/>
    <s v="convert from 7560,RITM6947186"/>
  </r>
  <r>
    <x v="4"/>
    <s v="BEJSRTL477"/>
    <m/>
    <x v="2"/>
    <m/>
    <n v="3648235"/>
    <s v="2F/R48/5"/>
    <x v="1"/>
    <x v="2"/>
    <x v="2"/>
    <x v="2"/>
    <x v="3"/>
    <m/>
    <m/>
    <m/>
    <s v="7560utt276smini.bj.intel.com"/>
    <x v="489"/>
    <m/>
    <m/>
    <m/>
    <m/>
    <m/>
    <m/>
    <m/>
    <m/>
    <m/>
    <x v="2"/>
    <m/>
    <s v="convert from 7560,RITM6947186"/>
  </r>
  <r>
    <x v="4"/>
    <s v="BEJSRTL479"/>
    <m/>
    <x v="2"/>
    <m/>
    <n v="3648348"/>
    <s v="2F/R46/6"/>
    <x v="1"/>
    <x v="2"/>
    <x v="2"/>
    <x v="2"/>
    <x v="3"/>
    <m/>
    <m/>
    <m/>
    <s v="bejsrtm003smini.bj.intel.com"/>
    <x v="491"/>
    <m/>
    <m/>
    <m/>
    <m/>
    <m/>
    <m/>
    <m/>
    <m/>
    <m/>
    <x v="2"/>
    <m/>
    <s v="convert from 7560,RITM6947186"/>
  </r>
  <r>
    <x v="4"/>
    <s v="BEJSRTL482"/>
    <m/>
    <x v="2"/>
    <m/>
    <n v="3633322"/>
    <s v="2F/R47/1"/>
    <x v="1"/>
    <x v="2"/>
    <x v="2"/>
    <x v="2"/>
    <x v="3"/>
    <m/>
    <m/>
    <m/>
    <s v="bejsrtm008smini.bj.intel.com"/>
    <x v="494"/>
    <m/>
    <m/>
    <m/>
    <m/>
    <m/>
    <m/>
    <m/>
    <m/>
    <m/>
    <x v="2"/>
    <m/>
    <s v="convert from 7560,RITM6947186"/>
  </r>
  <r>
    <x v="4"/>
    <s v="BEJSRTL487"/>
    <m/>
    <x v="2"/>
    <m/>
    <n v="3633170"/>
    <s v="2F/R47/5"/>
    <x v="1"/>
    <x v="2"/>
    <x v="2"/>
    <x v="2"/>
    <x v="3"/>
    <m/>
    <m/>
    <m/>
    <s v="7560utt014smini.bj.intel.com"/>
    <x v="499"/>
    <m/>
    <m/>
    <m/>
    <m/>
    <m/>
    <m/>
    <m/>
    <m/>
    <m/>
    <x v="2"/>
    <m/>
    <s v="convert from 7560,RITM6947186"/>
  </r>
  <r>
    <x v="4"/>
    <s v="BEJSRTL489"/>
    <m/>
    <x v="2"/>
    <m/>
    <n v="3633318"/>
    <s v="2F/R47/5"/>
    <x v="1"/>
    <x v="2"/>
    <x v="2"/>
    <x v="2"/>
    <x v="3"/>
    <m/>
    <m/>
    <m/>
    <s v="7560utt009smini.bj.intel.com"/>
    <x v="500"/>
    <m/>
    <m/>
    <m/>
    <m/>
    <m/>
    <m/>
    <m/>
    <m/>
    <m/>
    <x v="2"/>
    <m/>
    <s v="convert from 7560,RITM6947186"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0"/>
    <s v="BASRTL362"/>
    <s v="Yes"/>
    <x v="3"/>
    <s v="PCIe"/>
    <s v="SN3648128"/>
    <m/>
    <x v="1"/>
    <x v="1"/>
    <x v="10"/>
    <x v="33"/>
    <x v="8"/>
    <s v="No"/>
    <s v="No"/>
    <s v="No"/>
    <s v="bejsrtm022smini.bj.intel.com"/>
    <x v="668"/>
    <m/>
    <m/>
    <m/>
    <m/>
    <m/>
    <m/>
    <d v="2018-07-17T00:00:00"/>
    <s v="Yes"/>
    <s v="Yes"/>
    <x v="0"/>
    <m/>
    <s v="12 DEC: Sanity Passsed Can be taken in runplan                                                                                                                                         11 DEC: Sanity Run ongoing                                    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06 DEC: Convert to Secondary Combo TDD (Airtel) + TDD (Jio) for SEB"/>
  </r>
  <r>
    <x v="0"/>
    <s v="BASRTL363"/>
    <s v="Yes"/>
    <x v="3"/>
    <s v="PCIe"/>
    <s v="SN3647596"/>
    <m/>
    <x v="1"/>
    <x v="1"/>
    <x v="10"/>
    <x v="44"/>
    <x v="8"/>
    <s v="No"/>
    <s v="No"/>
    <s v="No"/>
    <s v="bejsrtm022smini.bj.intel.com"/>
    <x v="669"/>
    <m/>
    <m/>
    <m/>
    <m/>
    <m/>
    <m/>
    <d v="2018-07-17T00:00:00"/>
    <s v="Yes"/>
    <s v="Yes"/>
    <x v="0"/>
    <m/>
    <s v="10 DEC: 4X Antenna Connected                                                                                                                                                                                                                                                          04 DEC : To change it to JIO MSIM SEB with primary combo TDD (Airtel) + FDD (Jio) "/>
  </r>
  <r>
    <x v="0"/>
    <s v="BASRTL364"/>
    <s v="Yes"/>
    <x v="2"/>
    <s v="BlackRay"/>
    <s v="SN3647550"/>
    <m/>
    <x v="1"/>
    <x v="0"/>
    <x v="0"/>
    <x v="0"/>
    <x v="4"/>
    <s v="No"/>
    <s v="No"/>
    <s v="No"/>
    <s v="bejsrtm022smini.bj.intel.com"/>
    <x v="670"/>
    <m/>
    <m/>
    <m/>
    <m/>
    <m/>
    <m/>
    <d v="2018-07-17T00:00:00"/>
    <s v="Yes"/>
    <s v="Yes"/>
    <x v="3"/>
    <m/>
    <s v="_x000a_JAN4: Converted to Black Ray Handed Over to DevOps &quot;RITM6952320&quot;_x000a_JAN 3: Required HILLBoard/Black Ray as too many Reset seen_x000a_HW Issue, Removed the HW_x000a_27/12: Replaced with MK4 hardware . Sanity in progress"/>
  </r>
  <r>
    <x v="0"/>
    <s v="BASRTL365"/>
    <s v="Yes"/>
    <x v="3"/>
    <s v="PCIe"/>
    <s v="SN3647974"/>
    <m/>
    <x v="1"/>
    <x v="1"/>
    <x v="1"/>
    <x v="45"/>
    <x v="8"/>
    <s v="No"/>
    <s v="No"/>
    <s v="No"/>
    <s v="bejsrtm022smini.bj.intel.com"/>
    <x v="671"/>
    <m/>
    <m/>
    <m/>
    <m/>
    <m/>
    <m/>
    <d v="2018-07-17T00:00:00"/>
    <s v="Yes"/>
    <s v="Yes"/>
    <x v="0"/>
    <m/>
    <s v="12 DEC: Sanity Ongoing CI#272251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06 DEC: Convert to Primary Combo FDD (Jio) + FDD (Jio) for SEB"/>
  </r>
  <r>
    <x v="0"/>
    <s v="BASRTL366"/>
    <s v="Yes"/>
    <x v="0"/>
    <s v="PCIe"/>
    <s v="SN3647578"/>
    <m/>
    <x v="1"/>
    <x v="0"/>
    <x v="0"/>
    <x v="0"/>
    <x v="8"/>
    <s v="No"/>
    <s v="No"/>
    <s v="No"/>
    <s v="bejsrtm022smini.bj.intel.com"/>
    <x v="672"/>
    <m/>
    <m/>
    <m/>
    <m/>
    <m/>
    <m/>
    <d v="2018-07-17T00:00:00"/>
    <s v="Yes"/>
    <s v="Yes"/>
    <x v="0"/>
    <m/>
    <s v="10 DEC: 4X Antenna Connected "/>
  </r>
  <r>
    <x v="0"/>
    <s v="BASRTL367"/>
    <s v="Yes"/>
    <x v="3"/>
    <s v="PCIe"/>
    <s v="SN3647580"/>
    <m/>
    <x v="1"/>
    <x v="1"/>
    <x v="9"/>
    <x v="46"/>
    <x v="4"/>
    <s v="No"/>
    <s v="No"/>
    <s v="No"/>
    <s v="bejsrtm022smini.bj.intel.com"/>
    <x v="673"/>
    <m/>
    <m/>
    <m/>
    <m/>
    <m/>
    <m/>
    <d v="2018-07-17T00:00:00"/>
    <s v="Yes"/>
    <s v="Yes"/>
    <x v="0"/>
    <m/>
    <s v="12 DEC : Replaced with MK4 hardware . Sanity in progress_x000a_17 DEC: WDT reset issue is seen. To try with new HW_x000a_12 DEC: Can be taken in Run plan                                                                                                                                                                                                                                         11 DEC: Sanity Run ongoing                                        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06 DEC: Convert to Secondary Combo TDD (Jio) + WCDMA (Airtel) for SEB"/>
  </r>
  <r>
    <x v="0"/>
    <s v="BASRTL368"/>
    <s v="Yes"/>
    <x v="3"/>
    <s v="PCIe"/>
    <s v="SN3647607"/>
    <m/>
    <x v="1"/>
    <x v="0"/>
    <x v="45"/>
    <x v="5"/>
    <x v="8"/>
    <s v="Yes"/>
    <s v="No"/>
    <s v="No"/>
    <s v="bejsrtm022smini.bj.intel.com"/>
    <x v="674"/>
    <m/>
    <m/>
    <m/>
    <m/>
    <m/>
    <m/>
    <d v="2018-07-17T00:00:00"/>
    <s v="Yes"/>
    <s v="Yes"/>
    <x v="0"/>
    <m/>
    <s v="04 DEC: Convert it to GNSS"/>
  </r>
  <r>
    <x v="0"/>
    <s v="BASRTL369"/>
    <s v="Yes"/>
    <x v="3"/>
    <s v="BlackRay"/>
    <s v="SN3647559"/>
    <m/>
    <x v="1"/>
    <x v="1"/>
    <x v="10"/>
    <x v="44"/>
    <x v="2"/>
    <s v="No"/>
    <s v="No"/>
    <s v="No"/>
    <s v="bejsrtm022smini.bj.intel.com"/>
    <x v="675"/>
    <m/>
    <m/>
    <m/>
    <m/>
    <m/>
    <m/>
    <m/>
    <s v="Yes"/>
    <s v="Yes"/>
    <x v="0"/>
    <m/>
    <s v="22 DEC: Sanity Passed now Conagtec went to Faulty                                                                                                                                                                                         22 DEC: Sanity Ongoing                                                                                                                                                                                   17 DEC: For Primary config"/>
  </r>
  <r>
    <x v="0"/>
    <s v="BASRTL370"/>
    <s v="Yes"/>
    <x v="3"/>
    <s v="PCIe"/>
    <s v="SN3647730"/>
    <m/>
    <x v="1"/>
    <x v="1"/>
    <x v="1"/>
    <x v="45"/>
    <x v="8"/>
    <s v="No"/>
    <s v="No"/>
    <s v="No"/>
    <s v="bejsrtm022smini.bj.intel.com"/>
    <x v="676"/>
    <m/>
    <m/>
    <m/>
    <m/>
    <m/>
    <m/>
    <d v="2018-07-17T00:00:00"/>
    <s v="Yes"/>
    <s v="Yes"/>
    <x v="0"/>
    <m/>
    <s v="10 DEC: 4X Antenna Connected                                                                                                                                                                                                                                                           04 DEC : To change it to JIO MSIM SEB with primary combo FDD (Jio) + FDD (Jio)"/>
  </r>
  <r>
    <x v="0"/>
    <s v="BASRTL371"/>
    <s v="Yes"/>
    <x v="3"/>
    <s v="PCIe"/>
    <s v="SN3647759"/>
    <m/>
    <x v="1"/>
    <x v="1"/>
    <x v="46"/>
    <x v="47"/>
    <x v="8"/>
    <s v="No"/>
    <s v="No"/>
    <s v="No"/>
    <s v="bejsrtm022smini.bj.intel.com"/>
    <x v="677"/>
    <m/>
    <m/>
    <m/>
    <m/>
    <m/>
    <m/>
    <d v="2018-07-17T00:00:00"/>
    <s v="Yes"/>
    <s v="Yes"/>
    <x v="0"/>
    <m/>
    <s v="12 DEC: Sanity Passsed Can be taken in runplan                                                                                                                                                       11 DEC: Sanity Run ongoing                                       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     06 DEC: To convert to secondary Combo FDD (VDF) + TDD (Jio) for SEB"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1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1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1"/>
    <s v="MUCSRTL161"/>
    <s v="Yes"/>
    <x v="0"/>
    <s v="PCIe"/>
    <s v="SN3648083"/>
    <s v="11.1.371 Rack 6/5"/>
    <x v="1"/>
    <x v="0"/>
    <x v="47"/>
    <x v="4"/>
    <x v="8"/>
    <s v="No"/>
    <s v="No"/>
    <s v="4x"/>
    <s v="MUCSRTMAC130.imu.intel.com"/>
    <x v="747"/>
    <s v="67AE03C60E11029AFFFFFFFF"/>
    <s v="C07826400S4X1R36"/>
    <s v="4915228826905"/>
    <n v="440152256265"/>
    <m/>
    <m/>
    <m/>
    <s v="Yes"/>
    <s v="Yes"/>
    <x v="0"/>
    <m/>
    <m/>
  </r>
  <r>
    <x v="1"/>
    <s v="MUCSRTL162"/>
    <s v="Yes"/>
    <x v="3"/>
    <s v="PCIe"/>
    <s v="SN4079932"/>
    <s v="11.1.371 Rack 4/5"/>
    <x v="1"/>
    <x v="0"/>
    <x v="14"/>
    <x v="6"/>
    <x v="8"/>
    <s v="No"/>
    <s v="No"/>
    <s v="4x"/>
    <s v="MUCSRTMAC127.imu.intel.com"/>
    <x v="748"/>
    <s v="EBB20A497FF54900FFFFFFFF"/>
    <s v="C07826400RLX1R36"/>
    <s v="4915780542719"/>
    <n v="440152219846"/>
    <m/>
    <m/>
    <m/>
    <s v="Yes"/>
    <s v="Yes"/>
    <x v="0"/>
    <m/>
    <s v="21 Nov : Convertion Done_x000a_20 Nov : Waiting for feedback from Himashu_x000a_19 Nov : Should be converted to O2 - 2G RAT"/>
  </r>
  <r>
    <x v="1"/>
    <s v="MUCSRTL163"/>
    <s v="Yes"/>
    <x v="3"/>
    <s v="PCIe"/>
    <s v="SN4079934"/>
    <s v="11.1.371 Rack 5/3"/>
    <x v="1"/>
    <x v="0"/>
    <x v="14"/>
    <x v="5"/>
    <x v="8"/>
    <s v="No"/>
    <s v="No"/>
    <s v="4x"/>
    <s v="MUCSRTMAC127.imu.intel.com"/>
    <x v="749"/>
    <s v="33B293A2A122DAB7FFFFFFFF"/>
    <s v="C07826400M0X1R36"/>
    <s v="4915780542716"/>
    <n v="440152214483"/>
    <m/>
    <m/>
    <m/>
    <s v="Yes"/>
    <s v="Yes"/>
    <x v="0"/>
    <m/>
    <s v="22 Nov : Conversion Done_x000a_20 Nov : Waiting for feedback from Himashu_x000a_19 Nov : Should be converted to O2 - WCDMA RAT"/>
  </r>
  <r>
    <x v="1"/>
    <s v="MUCSRTL164"/>
    <s v="Yes"/>
    <x v="3"/>
    <s v="PCIe"/>
    <s v="SN4079945"/>
    <s v="11.1.371 Rack 4/3"/>
    <x v="1"/>
    <x v="0"/>
    <x v="14"/>
    <x v="4"/>
    <x v="8"/>
    <s v="No"/>
    <s v="No"/>
    <s v="4x"/>
    <s v="MUCSRTMAC127.imu.intel.com"/>
    <x v="750"/>
    <s v="4BB88A08890F4B48FFFFFFFF"/>
    <s v="C07826400NKX1R36"/>
    <s v="4915780542718"/>
    <n v="440152214412"/>
    <m/>
    <m/>
    <m/>
    <s v="Yes"/>
    <s v="Yes"/>
    <x v="0"/>
    <m/>
    <s v="21 Nov : Convertion Done_x000a_20 Nov : Waiting for feedback from Himashu_x000a_19 Nov : Should be converted to O2 - FDD RAT"/>
  </r>
  <r>
    <x v="1"/>
    <s v="MUCSRTL165"/>
    <s v="Yes"/>
    <x v="0"/>
    <s v="PCIe"/>
    <s v="SN4079964"/>
    <s v="11.1.371 Rack 5/2"/>
    <x v="1"/>
    <x v="0"/>
    <x v="14"/>
    <x v="4"/>
    <x v="8"/>
    <s v="No"/>
    <s v="No"/>
    <s v="4x"/>
    <s v="MUCSRTMAC127.imu.intel.com"/>
    <x v="751"/>
    <s v="CC2C182AD78FBEA6FFFFFFFF"/>
    <s v="C07826400T5X1R36"/>
    <s v="4915780542717"/>
    <n v="440152214460"/>
    <m/>
    <m/>
    <m/>
    <s v="Yes"/>
    <s v="Yes"/>
    <x v="0"/>
    <m/>
    <m/>
  </r>
  <r>
    <x v="1"/>
    <s v="MUCSRTL172"/>
    <s v="Yes"/>
    <x v="3"/>
    <s v="PCIe"/>
    <s v="SN4079799"/>
    <s v="11.1.371 Rack 9/2"/>
    <x v="1"/>
    <x v="1"/>
    <x v="16"/>
    <x v="12"/>
    <x v="2"/>
    <s v="No"/>
    <s v="No"/>
    <s v="4x"/>
    <s v="MUCSRTMAC127.imu.intel.com"/>
    <x v="752"/>
    <s v="18BB529A9557A96EFFFFFFFF"/>
    <s v="C07826400M1X1R36"/>
    <s v="4915904272972"/>
    <n v="440152256248"/>
    <m/>
    <m/>
    <m/>
    <s v="Yes"/>
    <s v="Yes"/>
    <x v="0"/>
    <m/>
    <s v="22 DEC : This Can be used in normal testing_x000a_18 DEC: Under tests with modified reset filter"/>
  </r>
  <r>
    <x v="0"/>
    <s v="BASRTL372"/>
    <s v="Yes"/>
    <x v="3"/>
    <s v="PCIe"/>
    <s v="SN4079777 "/>
    <m/>
    <x v="1"/>
    <x v="0"/>
    <x v="45"/>
    <x v="6"/>
    <x v="8"/>
    <s v="Yes"/>
    <m/>
    <m/>
    <s v="labuser4-mini.iind.intel.com "/>
    <x v="13"/>
    <m/>
    <m/>
    <m/>
    <m/>
    <m/>
    <m/>
    <m/>
    <s v="Yes"/>
    <s v="Yes"/>
    <x v="0"/>
    <m/>
    <s v="04 DEC: Convert it to GNSS"/>
  </r>
  <r>
    <x v="0"/>
    <s v="BASRTL373"/>
    <s v="Yes"/>
    <x v="3"/>
    <s v="PCIe"/>
    <s v="SN4079823"/>
    <m/>
    <x v="1"/>
    <x v="1"/>
    <x v="7"/>
    <x v="48"/>
    <x v="8"/>
    <s v="No"/>
    <m/>
    <m/>
    <m/>
    <x v="13"/>
    <m/>
    <m/>
    <m/>
    <m/>
    <m/>
    <m/>
    <d v="2018-11-21T00:00:00"/>
    <s v="Yes"/>
    <s v="Yes"/>
    <x v="0"/>
    <m/>
    <s v="21 NOV: Baseline update Done , MO,MT,DL/UL Pass , RAN in TDD+WCDMA, Allocated for Regular testing_x000a_20 NOV: Not in Run Plan - HW connected, Dry Run On Going"/>
  </r>
  <r>
    <x v="0"/>
    <s v="BASRTL374"/>
    <s v="Yes"/>
    <x v="1"/>
    <s v="PCIe"/>
    <s v="SN4079950"/>
    <m/>
    <x v="1"/>
    <x v="0"/>
    <x v="0"/>
    <x v="10"/>
    <x v="8"/>
    <s v="No"/>
    <m/>
    <m/>
    <s v="labuser4-mini.iind.intel.com "/>
    <x v="13"/>
    <m/>
    <m/>
    <m/>
    <m/>
    <m/>
    <m/>
    <d v="2018-11-21T00:00:00"/>
    <s v="Yes"/>
    <s v="Yes"/>
    <x v="0"/>
    <m/>
    <s v="CPS &amp; Power"/>
  </r>
  <r>
    <x v="0"/>
    <s v="BASRTL375"/>
    <s v="Yes"/>
    <x v="3"/>
    <s v="PCIe"/>
    <s v="SN4079853 "/>
    <m/>
    <x v="1"/>
    <x v="1"/>
    <x v="46"/>
    <x v="47"/>
    <x v="8"/>
    <s v="No"/>
    <m/>
    <m/>
    <m/>
    <x v="13"/>
    <m/>
    <m/>
    <m/>
    <m/>
    <m/>
    <m/>
    <d v="2018-11-21T00:00:00"/>
    <s v="Yes"/>
    <s v="Yes"/>
    <x v="0"/>
    <m/>
    <s v="04 DEC: To convert to JIO MSIM SEB for the secondary combo FDD (VDF) + TDD (Jio)_x000a_21 NOV: Baseline update Done, MO,MT,DL/UL Pass ,  RAN in TDD+WCDMA Allocated for Regular Testing_x000a_20 NOV: Not in Run Plan - HW connected, Dry Run On Going"/>
  </r>
  <r>
    <x v="0"/>
    <s v="BASRTL376"/>
    <s v="Yes"/>
    <x v="4"/>
    <s v="PCIe"/>
    <s v="SN4079774"/>
    <m/>
    <x v="1"/>
    <x v="0"/>
    <x v="0"/>
    <x v="10"/>
    <x v="8"/>
    <s v="No"/>
    <m/>
    <m/>
    <m/>
    <x v="13"/>
    <m/>
    <m/>
    <m/>
    <m/>
    <m/>
    <m/>
    <m/>
    <s v="Yes"/>
    <s v="Yes"/>
    <x v="0"/>
    <m/>
    <s v="10 DEC: 4X Antenna Connected                                                                                                                                                                                                                                                           3G CEB"/>
  </r>
  <r>
    <x v="0"/>
    <s v="BASRTL377"/>
    <s v="Yes"/>
    <x v="1"/>
    <s v="PCIe"/>
    <s v="SN4079955"/>
    <m/>
    <x v="1"/>
    <x v="0"/>
    <x v="4"/>
    <x v="4"/>
    <x v="8"/>
    <s v="No"/>
    <m/>
    <m/>
    <s v="labuser4-mini.iind.intel.com "/>
    <x v="13"/>
    <m/>
    <m/>
    <m/>
    <m/>
    <m/>
    <m/>
    <m/>
    <s v="Yes"/>
    <s v="Yes"/>
    <x v="0"/>
    <m/>
    <s v="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12 DEC: Converted to JIO From VDF                                                                                                                                                             10 DEC: To convert to JIO for preINT"/>
  </r>
  <r>
    <x v="0"/>
    <s v="BASRTL378"/>
    <s v="Yes"/>
    <x v="3"/>
    <s v="PCIe"/>
    <s v="SN4079800"/>
    <m/>
    <x v="1"/>
    <x v="1"/>
    <x v="48"/>
    <x v="49"/>
    <x v="8"/>
    <s v="No"/>
    <m/>
    <m/>
    <s v="labuser4-mini.iind.intel.com "/>
    <x v="13"/>
    <m/>
    <m/>
    <m/>
    <m/>
    <m/>
    <m/>
    <m/>
    <s v="Yes"/>
    <s v="Yes"/>
    <x v="0"/>
    <m/>
    <m/>
  </r>
  <r>
    <x v="0"/>
    <s v="BASRTL379"/>
    <s v="Yes"/>
    <x v="1"/>
    <s v="PCIe"/>
    <s v="SN4079765"/>
    <m/>
    <x v="1"/>
    <x v="0"/>
    <x v="4"/>
    <x v="4"/>
    <x v="8"/>
    <s v="No"/>
    <m/>
    <m/>
    <s v="labuser4-mini.iind.intel.com "/>
    <x v="13"/>
    <m/>
    <m/>
    <m/>
    <m/>
    <m/>
    <m/>
    <m/>
    <s v="Yes"/>
    <s v="Yes"/>
    <x v="0"/>
    <m/>
    <s v="12 DEC: Converted to JIO From VDF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10 DEC: To convert to JIO for preINT"/>
  </r>
  <r>
    <x v="0"/>
    <s v="BASRTL380"/>
    <s v="Yes"/>
    <x v="3"/>
    <s v="PCIe"/>
    <s v="SN4079832"/>
    <m/>
    <x v="1"/>
    <x v="1"/>
    <x v="10"/>
    <x v="33"/>
    <x v="8"/>
    <s v="No"/>
    <m/>
    <m/>
    <s v="labuser4-mini.iind.intel.com "/>
    <x v="13"/>
    <m/>
    <m/>
    <m/>
    <m/>
    <m/>
    <m/>
    <m/>
    <s v="Yes"/>
    <s v="Yes"/>
    <x v="0"/>
    <m/>
    <s v="12 DEC: Can be Taken in Run Plan                                                                                                                                               11 DEC: Sanity Run ongoing                                   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06 DEC: Convert to Secondary Combo TDD (Airtel) + TDD (Jio) for SEB"/>
  </r>
  <r>
    <x v="0"/>
    <s v="BASRTL381"/>
    <s v="Yes"/>
    <x v="3"/>
    <s v="PCIe"/>
    <s v="SN4079866"/>
    <m/>
    <x v="1"/>
    <x v="1"/>
    <x v="7"/>
    <x v="48"/>
    <x v="14"/>
    <s v="No"/>
    <m/>
    <m/>
    <m/>
    <x v="13"/>
    <m/>
    <m/>
    <m/>
    <m/>
    <m/>
    <m/>
    <m/>
    <s v="Yes"/>
    <s v="Yes"/>
    <x v="0"/>
    <m/>
    <s v="18 DEC: To check with Sudha"/>
  </r>
  <r>
    <x v="0"/>
    <s v="BASRTL382"/>
    <s v="Yes"/>
    <x v="3"/>
    <s v="PCIe"/>
    <s v="SN4079804"/>
    <m/>
    <x v="1"/>
    <x v="0"/>
    <x v="0"/>
    <x v="5"/>
    <x v="8"/>
    <s v="No"/>
    <m/>
    <m/>
    <s v="labuser4-mini.iind.intel.com "/>
    <x v="13"/>
    <m/>
    <m/>
    <m/>
    <m/>
    <m/>
    <m/>
    <m/>
    <s v="Yes"/>
    <s v="Yes"/>
    <x v="0"/>
    <m/>
    <s v="10 DEC: 4X Antenna Connected "/>
  </r>
  <r>
    <x v="0"/>
    <s v="BASRTL383"/>
    <s v="Yes"/>
    <x v="3"/>
    <s v="PCIe"/>
    <s v="SN4079812"/>
    <m/>
    <x v="1"/>
    <x v="1"/>
    <x v="48"/>
    <x v="49"/>
    <x v="8"/>
    <s v="No"/>
    <m/>
    <m/>
    <s v="labuser4-mini.iind.intel.com "/>
    <x v="13"/>
    <m/>
    <m/>
    <m/>
    <m/>
    <m/>
    <m/>
    <m/>
    <s v="Yes"/>
    <s v="Yes"/>
    <x v="0"/>
    <m/>
    <s v="10 DEC: 4X Antenna Connected "/>
  </r>
  <r>
    <x v="0"/>
    <s v="BASRTL384"/>
    <s v="Yes"/>
    <x v="3"/>
    <s v="PCIe"/>
    <s v="SN4079911"/>
    <m/>
    <x v="1"/>
    <x v="1"/>
    <x v="9"/>
    <x v="46"/>
    <x v="8"/>
    <s v="No"/>
    <m/>
    <m/>
    <s v="labuser4-mini.iind.intel.com "/>
    <x v="13"/>
    <m/>
    <m/>
    <m/>
    <m/>
    <m/>
    <m/>
    <m/>
    <s v="Yes"/>
    <s v="Yes"/>
    <x v="0"/>
    <m/>
    <s v="04 DEC : To change it to JIO MSIM SEB with secondary combo TDD (Jio) + WCDMA (Airtel)"/>
  </r>
  <r>
    <x v="0"/>
    <s v="BASRTL385"/>
    <s v="Yes"/>
    <x v="3"/>
    <s v="PCIe"/>
    <s v="SN4079820 "/>
    <m/>
    <x v="1"/>
    <x v="0"/>
    <x v="0"/>
    <x v="0"/>
    <x v="8"/>
    <s v="Yes"/>
    <m/>
    <m/>
    <m/>
    <x v="13"/>
    <m/>
    <m/>
    <m/>
    <m/>
    <m/>
    <m/>
    <m/>
    <s v="Yes"/>
    <s v="Yes"/>
    <x v="0"/>
    <m/>
    <s v="20 NOV: Lend to GNSS Team/Priya"/>
  </r>
  <r>
    <x v="0"/>
    <s v="BASRTL386"/>
    <s v="Yes"/>
    <x v="3"/>
    <s v="PCIe"/>
    <s v="SN4079905"/>
    <m/>
    <x v="1"/>
    <x v="1"/>
    <x v="48"/>
    <x v="49"/>
    <x v="8"/>
    <s v="No"/>
    <m/>
    <m/>
    <s v="labuser4-mini.iind.intel.com "/>
    <x v="13"/>
    <m/>
    <m/>
    <m/>
    <m/>
    <m/>
    <m/>
    <m/>
    <s v="Yes"/>
    <s v="Yes"/>
    <x v="0"/>
    <m/>
    <s v="10 DEC: 4X Antenna Connected "/>
  </r>
  <r>
    <x v="0"/>
    <s v="BASRTL387"/>
    <s v="Yes"/>
    <x v="3"/>
    <s v="PCIe"/>
    <s v="SN4079900"/>
    <m/>
    <x v="1"/>
    <x v="1"/>
    <x v="7"/>
    <x v="50"/>
    <x v="8"/>
    <s v="No"/>
    <m/>
    <m/>
    <m/>
    <x v="13"/>
    <m/>
    <m/>
    <m/>
    <m/>
    <m/>
    <m/>
    <d v="2018-11-21T00:00:00"/>
    <s v="Yes"/>
    <s v="Yes"/>
    <x v="0"/>
    <m/>
    <s v="21 NOV: Baseline update Done, MO,MT,DL/UL Pass ,  RAN in TDD+WCDMA Allocated for Regular testing_x000a_20 NOV: Not in Run Plan -HW Connected, Dry Run On Going"/>
  </r>
  <r>
    <x v="0"/>
    <s v="BASRTL388"/>
    <s v="Yes"/>
    <x v="1"/>
    <s v="PCIe"/>
    <s v="SN4079916"/>
    <m/>
    <x v="1"/>
    <x v="0"/>
    <x v="0"/>
    <x v="10"/>
    <x v="8"/>
    <s v="No"/>
    <m/>
    <m/>
    <s v="labuser4-mini.iind.intel.com "/>
    <x v="13"/>
    <m/>
    <m/>
    <m/>
    <m/>
    <m/>
    <m/>
    <d v="2018-11-21T00:00:00"/>
    <s v="Yes"/>
    <s v="Yes"/>
    <x v="0"/>
    <m/>
    <s v="PFSW &amp; Smarti"/>
  </r>
  <r>
    <x v="0"/>
    <s v="BASRTL389"/>
    <s v="Yes"/>
    <x v="3"/>
    <s v="PCIe"/>
    <s v="SN4079935"/>
    <m/>
    <x v="1"/>
    <x v="1"/>
    <x v="48"/>
    <x v="49"/>
    <x v="8"/>
    <s v="No"/>
    <m/>
    <m/>
    <s v="labuser4-mini.iind.intel.com "/>
    <x v="13"/>
    <m/>
    <m/>
    <m/>
    <m/>
    <m/>
    <m/>
    <m/>
    <s v="Yes"/>
    <s v="Yes"/>
    <x v="0"/>
    <m/>
    <s v="10 DEC: 4X Antenna Connected "/>
  </r>
  <r>
    <x v="0"/>
    <s v="BASRTL390"/>
    <s v="Yes"/>
    <x v="3"/>
    <s v="PCIe"/>
    <s v="SN4079918"/>
    <m/>
    <x v="1"/>
    <x v="1"/>
    <x v="48"/>
    <x v="49"/>
    <x v="8"/>
    <s v="No"/>
    <m/>
    <m/>
    <s v="labuser4-mini.iind.intel.com "/>
    <x v="13"/>
    <m/>
    <m/>
    <m/>
    <m/>
    <m/>
    <m/>
    <m/>
    <s v="Yes"/>
    <s v="Yes"/>
    <x v="0"/>
    <m/>
    <s v="10 DEC: 4X Antenna Connected "/>
  </r>
  <r>
    <x v="0"/>
    <s v="BASRTL391"/>
    <s v="Yes"/>
    <x v="1"/>
    <s v="PCIe"/>
    <s v="SN4079821"/>
    <m/>
    <x v="1"/>
    <x v="0"/>
    <x v="0"/>
    <x v="10"/>
    <x v="8"/>
    <s v="No"/>
    <m/>
    <m/>
    <s v="labuser4-mini.iind.intel.com "/>
    <x v="13"/>
    <m/>
    <m/>
    <m/>
    <m/>
    <m/>
    <m/>
    <d v="2018-11-21T00:00:00"/>
    <s v="Yes"/>
    <s v="Yes"/>
    <x v="0"/>
    <m/>
    <s v="RAC/RAU &amp; 2G"/>
  </r>
  <r>
    <x v="0"/>
    <s v="BASRTL392"/>
    <s v="Yes"/>
    <x v="3"/>
    <s v="PCIe"/>
    <s v="SN4079884"/>
    <m/>
    <x v="1"/>
    <x v="0"/>
    <x v="0"/>
    <x v="0"/>
    <x v="8"/>
    <s v="No"/>
    <m/>
    <m/>
    <m/>
    <x v="13"/>
    <m/>
    <m/>
    <m/>
    <m/>
    <m/>
    <m/>
    <m/>
    <s v="Yes"/>
    <s v="Yes"/>
    <x v="1"/>
    <m/>
    <s v="20 NOV: Lend to RAU Team"/>
  </r>
  <r>
    <x v="0"/>
    <s v="BASRTL393"/>
    <s v="Yes"/>
    <x v="3"/>
    <s v="PCIe"/>
    <s v="SN4079770"/>
    <m/>
    <x v="1"/>
    <x v="1"/>
    <x v="10"/>
    <x v="44"/>
    <x v="8"/>
    <s v="No"/>
    <m/>
    <m/>
    <s v="labuser4-mini.iind.intel.com "/>
    <x v="13"/>
    <m/>
    <m/>
    <m/>
    <m/>
    <m/>
    <m/>
    <m/>
    <s v="Yes"/>
    <s v="Yes"/>
    <x v="0"/>
    <m/>
    <s v="12 DEC: Sanity Passsed Can be taken in runplan                                                                                                                                                                             11 DEC: Sanity Run ongoing                                                                                                                                                                                                                                                                      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     06 DEC: Convert to Primary Combo TDD (Airtel) + FDD (Jio) for SEB"/>
  </r>
  <r>
    <x v="0"/>
    <s v="BASRTL394"/>
    <s v="Yes"/>
    <x v="3"/>
    <s v="PCIe"/>
    <s v="SN4079788"/>
    <m/>
    <x v="1"/>
    <x v="0"/>
    <x v="0"/>
    <x v="0"/>
    <x v="8"/>
    <s v="No"/>
    <m/>
    <m/>
    <s v="labuser4-mini.iind.intel.com "/>
    <x v="13"/>
    <m/>
    <m/>
    <m/>
    <m/>
    <m/>
    <m/>
    <m/>
    <s v="Yes"/>
    <s v="Yes"/>
    <x v="0"/>
    <m/>
    <m/>
  </r>
  <r>
    <x v="0"/>
    <s v="BASRTL395"/>
    <s v="Yes"/>
    <x v="3"/>
    <s v="BlackRay"/>
    <s v="SN4079880"/>
    <m/>
    <x v="1"/>
    <x v="1"/>
    <x v="10"/>
    <x v="44"/>
    <x v="2"/>
    <s v="No"/>
    <m/>
    <m/>
    <m/>
    <x v="13"/>
    <m/>
    <m/>
    <m/>
    <m/>
    <m/>
    <m/>
    <m/>
    <s v="Yes"/>
    <s v="Yes"/>
    <x v="0"/>
    <m/>
    <s v="24: Sanity Passed_x000a_22 DEC: Sanity Ongoing                                                                                                                                                                                         17 DEC: For Primary config"/>
  </r>
  <r>
    <x v="0"/>
    <s v="BASRTL396"/>
    <s v="Yes"/>
    <x v="4"/>
    <s v="PCIe"/>
    <s v="SN4079867"/>
    <m/>
    <x v="1"/>
    <x v="0"/>
    <x v="0"/>
    <x v="5"/>
    <x v="8"/>
    <s v="No"/>
    <m/>
    <m/>
    <m/>
    <x v="13"/>
    <m/>
    <m/>
    <m/>
    <m/>
    <m/>
    <m/>
    <m/>
    <s v="Yes"/>
    <s v="Yes"/>
    <x v="0"/>
    <m/>
    <s v="3G CEB"/>
  </r>
  <r>
    <x v="1"/>
    <s v="MUCSRTL166"/>
    <s v="Yes"/>
    <x v="3"/>
    <s v="PCIe"/>
    <s v="SN3647691"/>
    <s v="11.1.268 Rack 2/1"/>
    <x v="1"/>
    <x v="0"/>
    <x v="14"/>
    <x v="5"/>
    <x v="8"/>
    <s v="No"/>
    <s v="No"/>
    <s v="4x"/>
    <s v="MUCSRTMAC130.imu.intel.com"/>
    <x v="753"/>
    <s v="271000795A800D00FFFFFFFF"/>
    <s v="C03816113221369BX"/>
    <s v="4917610563409"/>
    <n v="440152236906"/>
    <m/>
    <m/>
    <m/>
    <s v="Yes"/>
    <s v="Yes"/>
    <x v="0"/>
    <m/>
    <m/>
  </r>
  <r>
    <x v="1"/>
    <s v="MUCSRTL167"/>
    <s v="Yes"/>
    <x v="3"/>
    <s v="PCIe"/>
    <s v="SN3633214"/>
    <s v="11.1.268 Rack 2/3"/>
    <x v="1"/>
    <x v="0"/>
    <x v="14"/>
    <x v="4"/>
    <x v="8"/>
    <s v="No"/>
    <s v="No"/>
    <s v="4x"/>
    <s v="MUCSRTMAC130.imu.intel.com"/>
    <x v="754"/>
    <s v="901000795A800D00FFFFFFFF"/>
    <s v="C03816108361369BN"/>
    <s v="4915904263212"/>
    <n v="440152226574"/>
    <m/>
    <m/>
    <m/>
    <s v="Yes"/>
    <s v="Yes"/>
    <x v="0"/>
    <m/>
    <m/>
  </r>
  <r>
    <x v="1"/>
    <s v="MUCSRTL173"/>
    <s v="No"/>
    <x v="2"/>
    <s v="BlackRay"/>
    <s v="SN4079780"/>
    <m/>
    <x v="1"/>
    <x v="2"/>
    <x v="2"/>
    <x v="2"/>
    <x v="3"/>
    <m/>
    <m/>
    <m/>
    <m/>
    <x v="13"/>
    <m/>
    <m/>
    <m/>
    <m/>
    <m/>
    <m/>
    <m/>
    <s v="In progress"/>
    <s v="No"/>
    <x v="4"/>
    <m/>
    <s v="This Congatec is with Latest IC175 Version. Need RPK of this version"/>
  </r>
  <r>
    <x v="1"/>
    <s v="MUCSRTL174"/>
    <s v="Yes"/>
    <x v="4"/>
    <s v="PCIe"/>
    <s v="SN4079793       "/>
    <s v="11.1.268 Rack 1/5"/>
    <x v="1"/>
    <x v="0"/>
    <x v="15"/>
    <x v="5"/>
    <x v="8"/>
    <s v="No"/>
    <s v="No"/>
    <s v="4x"/>
    <s v="MUCSRTMAC130.imu.intel.com"/>
    <x v="755"/>
    <s v="1BF22415AE0077BFFFFFFFFF"/>
    <s v="C07826400SHX1R36"/>
    <s v="491608477939"/>
    <n v="440152256673"/>
    <m/>
    <m/>
    <m/>
    <s v="Yes"/>
    <s v="Yes"/>
    <x v="0"/>
    <m/>
    <s v="LTE CEB"/>
  </r>
  <r>
    <x v="1"/>
    <s v="MUCSRTL175"/>
    <s v="Yes"/>
    <x v="4"/>
    <s v="PCIe"/>
    <s v="SN3647605"/>
    <s v="11.1.371 Rack 8/2"/>
    <x v="1"/>
    <x v="0"/>
    <x v="15"/>
    <x v="4"/>
    <x v="8"/>
    <s v="No"/>
    <s v="No"/>
    <s v="4x"/>
    <s v="MUCSRTMAC130.imu.intel.com"/>
    <x v="756"/>
    <s v="8DBFCAC0BDD93E37FFFFFFFF"/>
    <s v="C07826400Q9X1R36"/>
    <s v="4915904305708"/>
    <n v="440152256268"/>
    <m/>
    <m/>
    <m/>
    <s v="Yes"/>
    <s v="Yes"/>
    <x v="0"/>
    <m/>
    <s v="LTE CEB"/>
  </r>
  <r>
    <x v="1"/>
    <s v="MUCSRTL176"/>
    <s v="Yes"/>
    <x v="4"/>
    <s v="PCIe"/>
    <s v="SN4079957"/>
    <s v="11.1.268 Rack 2/2"/>
    <x v="1"/>
    <x v="0"/>
    <x v="14"/>
    <x v="5"/>
    <x v="8"/>
    <s v="No"/>
    <s v="No"/>
    <s v="4x"/>
    <s v="MUCSRTMAC127.imu.intel.com"/>
    <x v="757"/>
    <s v="D68821C3A5F69E87FFFFFFFF"/>
    <s v="C07826400M9X1R36"/>
    <s v="4915904545556"/>
    <n v="440152213812"/>
    <m/>
    <m/>
    <m/>
    <s v="Yes"/>
    <s v="Yes"/>
    <x v="0"/>
    <m/>
    <s v="3GFW CEB"/>
  </r>
  <r>
    <x v="1"/>
    <s v="MUCSRTL177"/>
    <s v="Yes"/>
    <x v="4"/>
    <s v="PCIe"/>
    <s v="SN4079928"/>
    <s v="11.1.268 Rack 1/2"/>
    <x v="1"/>
    <x v="0"/>
    <x v="14"/>
    <x v="4"/>
    <x v="8"/>
    <s v="No"/>
    <s v="No"/>
    <s v="4x"/>
    <s v="MUCSRTMAC127.imu.intel.com"/>
    <x v="758"/>
    <s v="5ABB9F2CC87EA5CDFFFFFFFF"/>
    <s v="C07826400RZX1R36"/>
    <s v="4917610506584"/>
    <n v="440152256249"/>
    <m/>
    <m/>
    <m/>
    <s v="Yes"/>
    <s v="Yes"/>
    <x v="0"/>
    <m/>
    <s v="LTE CEB"/>
  </r>
  <r>
    <x v="1"/>
    <s v="MUCSRTL178"/>
    <s v="Yes"/>
    <x v="4"/>
    <s v="PCIe"/>
    <s v="SN4079894"/>
    <s v="11.1.268 Rack 10/3"/>
    <x v="1"/>
    <x v="0"/>
    <x v="14"/>
    <x v="4"/>
    <x v="8"/>
    <s v="No"/>
    <s v="No"/>
    <s v="4x"/>
    <s v="MUCSRTMAC127.imu.intel.com"/>
    <x v="759"/>
    <s v="D139A9D40DAE7683FFFFFFFF"/>
    <s v="C07826400QBX1R36"/>
    <s v="4917619020195"/>
    <n v="440152256665"/>
    <m/>
    <m/>
    <m/>
    <s v="Yes"/>
    <s v="Yes"/>
    <x v="0"/>
    <m/>
    <s v="LTE CEB"/>
  </r>
  <r>
    <x v="1"/>
    <s v="MUCSRTL179"/>
    <s v="Yes"/>
    <x v="4"/>
    <s v="PCIe"/>
    <s v="SN4079779"/>
    <s v="11.1.268 Rack 2/4"/>
    <x v="1"/>
    <x v="0"/>
    <x v="15"/>
    <x v="4"/>
    <x v="8"/>
    <s v="No"/>
    <s v="No"/>
    <s v="4x"/>
    <s v="MUCSRTMAC127.imu.intel.com"/>
    <x v="760"/>
    <s v="C20EA8B2114AF453FFFFFFFF"/>
    <s v="C07826400QPX1R36"/>
    <s v="4917610563405"/>
    <n v="440152256695"/>
    <m/>
    <m/>
    <m/>
    <s v="Yes"/>
    <s v="Yes"/>
    <x v="0"/>
    <m/>
    <s v="3GFW CEB"/>
  </r>
  <r>
    <x v="3"/>
    <s v="HILSRTL256"/>
    <s v="Yes"/>
    <x v="3"/>
    <s v="PCIe"/>
    <s v="SN3647829"/>
    <m/>
    <x v="1"/>
    <x v="0"/>
    <x v="20"/>
    <x v="5"/>
    <x v="8"/>
    <s v="No"/>
    <s v="No"/>
    <m/>
    <s v="HILSRTM011sMini.hf.intel.com"/>
    <x v="761"/>
    <s v="591290882A800D00FFFFFFFF"/>
    <s v="C07805400P8D9M17"/>
    <n v="9713308791"/>
    <n v="440152000000"/>
    <m/>
    <m/>
    <d v="2018-07-18T00:00:00"/>
    <s v="Yes"/>
    <s v="Yes"/>
    <x v="0"/>
    <m/>
    <m/>
  </r>
  <r>
    <x v="3"/>
    <s v="HILSRTL257"/>
    <s v="Yes"/>
    <x v="1"/>
    <s v="PCIe"/>
    <s v="SN3648067"/>
    <m/>
    <x v="1"/>
    <x v="0"/>
    <x v="21"/>
    <x v="4"/>
    <x v="8"/>
    <s v="No"/>
    <s v="No"/>
    <m/>
    <s v="HILSRTM011sMini.hf.intel.com"/>
    <x v="762"/>
    <s v="F7E73DDC4266EB5DFFFFFFFF"/>
    <s v="C07805400QCD9M17"/>
    <n v="5034571290"/>
    <n v="440152000000"/>
    <m/>
    <m/>
    <d v="2018-07-19T00:00:00"/>
    <s v="Yes"/>
    <s v="Yes"/>
    <x v="0"/>
    <m/>
    <s v="CPS &amp; Power"/>
  </r>
  <r>
    <x v="3"/>
    <s v="HILSRTL349"/>
    <s v="Yes"/>
    <x v="3"/>
    <s v="PCIe"/>
    <s v="SN3647809"/>
    <m/>
    <x v="1"/>
    <x v="0"/>
    <x v="21"/>
    <x v="51"/>
    <x v="8"/>
    <s v="No"/>
    <s v="No"/>
    <m/>
    <s v="HILSRTM011sMini.hf.intel.com"/>
    <x v="763"/>
    <s v="D256A66E1C5957D3FFFFFFFF"/>
    <s v="C07805400P8D9M17"/>
    <n v="5034571299"/>
    <n v="440152000000"/>
    <m/>
    <m/>
    <d v="2018-07-20T00:00:00"/>
    <s v="Yes"/>
    <s v="Yes"/>
    <x v="0"/>
    <m/>
    <m/>
  </r>
  <r>
    <x v="3"/>
    <s v="HILSRTL258"/>
    <s v="Yes"/>
    <x v="3"/>
    <s v="PCIe"/>
    <s v="SN3647978"/>
    <m/>
    <x v="1"/>
    <x v="0"/>
    <x v="20"/>
    <x v="5"/>
    <x v="8"/>
    <s v="No"/>
    <s v="No"/>
    <m/>
    <s v="ReplicantsMini2.hf.intel.com"/>
    <x v="764"/>
    <s v="651010932A800D00FFFFFFFF"/>
    <s v="C07805500WJD9M17"/>
    <n v="9713716584"/>
    <n v="440152000000"/>
    <m/>
    <m/>
    <d v="2018-07-23T00:00:00"/>
    <s v="Yes"/>
    <s v="Yes"/>
    <x v="0"/>
    <m/>
    <m/>
  </r>
  <r>
    <x v="3"/>
    <s v="HILSRTL262"/>
    <s v="Yes"/>
    <x v="1"/>
    <s v="PCIe"/>
    <s v="SN3647574"/>
    <m/>
    <x v="1"/>
    <x v="0"/>
    <x v="49"/>
    <x v="13"/>
    <x v="8"/>
    <s v="No"/>
    <s v="No"/>
    <m/>
    <s v="ReplicantsMini2.hf.intel.com"/>
    <x v="765"/>
    <s v="12CF0B21FE0F748AFFFFFFFF"/>
    <s v="C07826600WHX1R36 "/>
    <n v="4844257109"/>
    <n v="440152289783"/>
    <m/>
    <m/>
    <d v="2018-08-01T00:00:00"/>
    <s v="Yes"/>
    <s v="Yes"/>
    <x v="0"/>
    <m/>
    <s v="12 Dec: Setup is ready for Regulat Testing_x000a_12 DEC: Swikriti to check and feedback the dry run status_x000a_11: Dec: Sanity is going on --&gt;can use for Testing.                                                                                                                                                          10 Dec: Can use for Testing                                                                                                                                                       07 DEC: Covnert to Verizon Hybrid for CDMA_CPS"/>
  </r>
  <r>
    <x v="3"/>
    <s v="HILSRTL348"/>
    <s v="Yes"/>
    <x v="0"/>
    <s v="PCIe"/>
    <s v="SN3648130"/>
    <m/>
    <x v="1"/>
    <x v="0"/>
    <x v="50"/>
    <x v="5"/>
    <x v="8"/>
    <s v="No"/>
    <s v="No"/>
    <m/>
    <s v="HILSRTM011sMini.hf.intel.com"/>
    <x v="763"/>
    <s v="2CB0271AE70CD675FFFFFFFF"/>
    <s v="C07826600Y0X1R36 "/>
    <n v="9713308463"/>
    <n v="440152289787"/>
    <m/>
    <m/>
    <d v="2018-08-01T00:00:00"/>
    <s v="Yes"/>
    <s v="Yes"/>
    <x v="0"/>
    <m/>
    <m/>
  </r>
  <r>
    <x v="3"/>
    <s v="HILSRTL300"/>
    <s v="Yes"/>
    <x v="1"/>
    <s v="PCIe"/>
    <s v="SN3647745"/>
    <m/>
    <x v="1"/>
    <x v="0"/>
    <x v="21"/>
    <x v="4"/>
    <x v="8"/>
    <s v="No"/>
    <s v="No"/>
    <m/>
    <s v="ReplicantsMini2.hf.intel.com"/>
    <x v="766"/>
    <s v="74A78D0ACD325971FFFFFFFF"/>
    <s v="C07826600VZX1R36 "/>
    <n v="4846499004"/>
    <n v="440152289791"/>
    <m/>
    <m/>
    <d v="2018-08-01T00:00:00"/>
    <s v="Yes"/>
    <s v="Yes"/>
    <x v="0"/>
    <m/>
    <s v="PFSW &amp; Smarti"/>
  </r>
  <r>
    <x v="3"/>
    <s v="HILSRTL347"/>
    <s v="Yes"/>
    <x v="3"/>
    <s v="PCIe"/>
    <s v="SN3648130"/>
    <m/>
    <x v="1"/>
    <x v="0"/>
    <x v="21"/>
    <x v="4"/>
    <x v="8"/>
    <s v="No"/>
    <s v="No"/>
    <m/>
    <s v="ReplicantsMini2.hf.intel.com"/>
    <x v="767"/>
    <s v="8CA1D6AAB941B051FFFFFFFF"/>
    <s v="C07826600TCX1R36 "/>
    <n v="6105707135"/>
    <n v="440152289784"/>
    <m/>
    <m/>
    <d v="2018-08-01T00:00:00"/>
    <s v="Yes"/>
    <s v="Yes"/>
    <x v="0"/>
    <m/>
    <m/>
  </r>
  <r>
    <x v="3"/>
    <s v="HILSRTL351"/>
    <s v="Yes"/>
    <x v="0"/>
    <s v="PCIe"/>
    <s v="SN3647777"/>
    <m/>
    <x v="1"/>
    <x v="0"/>
    <x v="50"/>
    <x v="52"/>
    <x v="4"/>
    <s v="No"/>
    <s v="No"/>
    <m/>
    <s v="ReplicantsMini2.hf.intel.com"/>
    <x v="768"/>
    <s v="D1881CBF640B56FCFFFFFFFF"/>
    <s v="C07826600UGX1R36 "/>
    <n v="9713308516"/>
    <n v="440152289794"/>
    <m/>
    <m/>
    <d v="2018-08-15T00:00:00"/>
    <s v="Yes"/>
    <s v="Yes"/>
    <x v="1"/>
    <m/>
    <s v="10 Dec: Setup issue  Board is crashing                                                                                                                                                          LTEC HW"/>
  </r>
  <r>
    <x v="3"/>
    <s v="HILSRTL301"/>
    <s v="Yes"/>
    <x v="4"/>
    <s v="PCIe"/>
    <s v="SN3648044"/>
    <m/>
    <x v="1"/>
    <x v="0"/>
    <x v="50"/>
    <x v="32"/>
    <x v="8"/>
    <s v="No"/>
    <s v="No"/>
    <m/>
    <s v="ReplicantsMini2.hf.intel.com"/>
    <x v="769"/>
    <s v="C7AC2FCE124C4725FFFFFFFF"/>
    <s v="C07826600WTX1R36 "/>
    <n v="9713304230"/>
    <n v="440152289786"/>
    <m/>
    <m/>
    <d v="2018-08-15T00:00:00"/>
    <s v="Yes"/>
    <s v="Yes"/>
    <x v="0"/>
    <m/>
    <s v="LTE  CEB"/>
  </r>
  <r>
    <x v="3"/>
    <s v="HILSRTL302"/>
    <s v="Yes"/>
    <x v="1"/>
    <s v="PCIe"/>
    <s v="SN3647668"/>
    <m/>
    <x v="1"/>
    <x v="0"/>
    <x v="21"/>
    <x v="4"/>
    <x v="8"/>
    <s v="No"/>
    <s v="No"/>
    <m/>
    <s v="HILSRTM011sMini.hf.intel.com"/>
    <x v="770"/>
    <s v="221D9E3DCA6F10EFFFFFFFFF"/>
    <s v="C07826600WZX1R36 "/>
    <n v="5034571286"/>
    <n v="440152289736"/>
    <m/>
    <m/>
    <d v="2018-08-15T00:00:00"/>
    <s v="Yes"/>
    <s v="Yes"/>
    <x v="0"/>
    <m/>
    <s v="RAC/RAU &amp; 2G"/>
  </r>
  <r>
    <x v="3"/>
    <s v="HILSRTL303"/>
    <s v="Yes"/>
    <x v="3"/>
    <s v="PCIe"/>
    <s v="SN3647660"/>
    <m/>
    <x v="1"/>
    <x v="0"/>
    <x v="21"/>
    <x v="4"/>
    <x v="8"/>
    <s v="No"/>
    <s v="No"/>
    <m/>
    <s v="HILSRTM011sMini.hf.intel.com"/>
    <x v="771"/>
    <s v="D256A66E1C5957D3FFFFFFFF"/>
    <s v="C07826600V9X1R36 "/>
    <n v="5033744773"/>
    <n v="440152289785"/>
    <m/>
    <m/>
    <d v="2018-08-28T00:00:00"/>
    <s v="Yes"/>
    <s v="Yes"/>
    <x v="0"/>
    <m/>
    <m/>
  </r>
  <r>
    <x v="3"/>
    <s v="HILSRTL304"/>
    <s v="Yes"/>
    <x v="1"/>
    <s v="PCIe"/>
    <s v="SN3647693"/>
    <m/>
    <x v="1"/>
    <x v="0"/>
    <x v="49"/>
    <x v="14"/>
    <x v="8"/>
    <s v="No"/>
    <s v="No"/>
    <m/>
    <s v="HILSRTM011sMini.hf.intel.com"/>
    <x v="772"/>
    <s v="1D4F0471A530FAEFFFFFFFFF"/>
    <s v="C07826600Y4X1R36 "/>
    <n v="5033744776"/>
    <n v="440152289790"/>
    <m/>
    <m/>
    <d v="2018-08-28T00:00:00"/>
    <s v="Yes"/>
    <s v="Yes"/>
    <x v="3"/>
    <m/>
    <s v="17 Dec: Campaign gets blocked after MO Call ARI is initiated, connection to UTT is lost and could not be recovered as MDM_Ready was not seen._x000a_Triggered campaign with HMT: 18.50.01_SMS31966353.zip (Attached mail chain), to run overnight and observe if campaign stops due to same issue again._x000a_14 Dec: Testing started. already proven setup before we can use for testing already analysis from Janani._x000a_13 DEC: Campaign blocked after MO Call ARI is initiated, connection to UTT is lost and could not be recovered as MDM_Ready was not seen, fresh campaign triggered now_x000a_12 Dec: Sanity is going on  will add for Regular testing once ready_x000a_12 DEC: To convert to Verizon SRLTE"/>
  </r>
  <r>
    <x v="3"/>
    <s v="HILSRTL305"/>
    <s v="Yes"/>
    <x v="4"/>
    <s v="PCIe"/>
    <s v="SN3648108"/>
    <m/>
    <x v="1"/>
    <x v="0"/>
    <x v="21"/>
    <x v="52"/>
    <x v="8"/>
    <s v="No"/>
    <s v="No"/>
    <m/>
    <s v="HILSRTM011sMini.hf.intel.com"/>
    <x v="773"/>
    <s v="20F035D12C386129FFFFFFFF"/>
    <s v="C07826600TVX1R36 "/>
    <n v="5033744777"/>
    <n v="440152289792"/>
    <m/>
    <m/>
    <d v="2018-08-28T00:00:00"/>
    <s v="Yes"/>
    <s v="Yes"/>
    <x v="0"/>
    <m/>
    <s v="14 Dev Converted to ATT as requested by Sunitha._x000a_LTE CEB"/>
  </r>
  <r>
    <x v="3"/>
    <s v="HILSRTL367"/>
    <s v="Yes"/>
    <x v="0"/>
    <s v="PCIe"/>
    <s v="SN4079869"/>
    <m/>
    <x v="1"/>
    <x v="0"/>
    <x v="21"/>
    <x v="5"/>
    <x v="8"/>
    <s v="No"/>
    <s v="No"/>
    <m/>
    <s v="HILSRTMAC014.hf.intel.com "/>
    <x v="774"/>
    <s v="6101EEFE773657E8FFFFFFFF"/>
    <s v="C07826600WCX1R36"/>
    <n v="5034810754"/>
    <n v="440152289735"/>
    <m/>
    <m/>
    <d v="2018-09-18T00:00:00"/>
    <s v="Yes"/>
    <s v="Yes"/>
    <x v="0"/>
    <m/>
    <m/>
  </r>
  <r>
    <x v="3"/>
    <s v="HILSRTL369"/>
    <s v="Yes"/>
    <x v="4"/>
    <s v="PCIe"/>
    <s v="SN4079890"/>
    <m/>
    <x v="1"/>
    <x v="0"/>
    <x v="21"/>
    <x v="5"/>
    <x v="8"/>
    <s v="No"/>
    <s v="No"/>
    <m/>
    <s v="HILSRTM011sMini.hf.intel.com"/>
    <x v="775"/>
    <s v="CAF4A51DEA3CC7A0FFFFFFFF"/>
    <s v="C07826600VHX1R36"/>
    <n v="5033744788"/>
    <n v="440152289741"/>
    <m/>
    <m/>
    <d v="2018-09-18T00:00:00"/>
    <s v="Yes"/>
    <s v="Yes"/>
    <x v="0"/>
    <m/>
    <s v="3G FW CEB"/>
  </r>
  <r>
    <x v="3"/>
    <s v="HILSRTL370"/>
    <s v="Yes"/>
    <x v="3"/>
    <s v="PCIe"/>
    <s v="SN4079811"/>
    <m/>
    <x v="1"/>
    <x v="0"/>
    <x v="20"/>
    <x v="4"/>
    <x v="8"/>
    <s v="No"/>
    <s v="No"/>
    <m/>
    <s v="HILSRTM011sMini.hf.intel.com"/>
    <x v="776"/>
    <m/>
    <s v="C07826600XMX1R36"/>
    <n v="9718641004"/>
    <n v="440152289745"/>
    <m/>
    <m/>
    <d v="2018-09-18T00:00:00"/>
    <s v="Yes"/>
    <s v="Yes"/>
    <x v="0"/>
    <m/>
    <m/>
  </r>
  <r>
    <x v="3"/>
    <s v="HILSRTL371"/>
    <s v="Yes"/>
    <x v="3"/>
    <s v="PCIe"/>
    <s v="SN4079819"/>
    <m/>
    <x v="1"/>
    <x v="0"/>
    <x v="20"/>
    <x v="4"/>
    <x v="8"/>
    <s v="No"/>
    <s v="No"/>
    <m/>
    <s v="HILSRTM011sMini.hf.intel.com"/>
    <x v="777"/>
    <m/>
    <s v="C07826600W5X1R36"/>
    <n v="9718641001"/>
    <n v="440152289742"/>
    <m/>
    <m/>
    <d v="2018-09-18T00:00:00"/>
    <s v="Yes"/>
    <s v="Yes"/>
    <x v="0"/>
    <m/>
    <m/>
  </r>
  <r>
    <x v="3"/>
    <s v="HILSRTL372"/>
    <s v="Yes"/>
    <x v="4"/>
    <s v="PCIe"/>
    <s v="SN4079963"/>
    <m/>
    <x v="1"/>
    <x v="0"/>
    <x v="50"/>
    <x v="52"/>
    <x v="8"/>
    <s v="No"/>
    <s v="No"/>
    <m/>
    <s v="HILSRTM011sMini.hf.intel.com"/>
    <x v="778"/>
    <m/>
    <s v="C07826600VCX1R36"/>
    <n v="9719792824"/>
    <n v="440152289737"/>
    <m/>
    <m/>
    <d v="2018-09-18T00:00:00"/>
    <s v="Yes"/>
    <s v="Yes"/>
    <x v="0"/>
    <m/>
    <s v="LTE CEB"/>
  </r>
  <r>
    <x v="3"/>
    <s v="HILSRTL373"/>
    <s v="Yes"/>
    <x v="0"/>
    <s v="PCIe"/>
    <s v="SN4079772"/>
    <m/>
    <x v="1"/>
    <x v="0"/>
    <x v="50"/>
    <x v="32"/>
    <x v="8"/>
    <s v="No"/>
    <s v="No"/>
    <m/>
    <s v="HILSRTM011sMini.hf.intel.com"/>
    <x v="779"/>
    <m/>
    <s v="C07826600VXX1R36"/>
    <n v="9719792823"/>
    <n v="440152289753"/>
    <m/>
    <m/>
    <d v="2018-09-18T00:00:00"/>
    <s v="Yes"/>
    <s v="Yes"/>
    <x v="0"/>
    <m/>
    <m/>
  </r>
  <r>
    <x v="3"/>
    <s v="HILSRTL374"/>
    <s v="Yes"/>
    <x v="0"/>
    <s v="PCIe"/>
    <s v="SN4079954"/>
    <m/>
    <x v="1"/>
    <x v="0"/>
    <x v="21"/>
    <x v="32"/>
    <x v="8"/>
    <s v="No"/>
    <s v="No"/>
    <m/>
    <s v="HILSRTM011sMini.hf.intel.com"/>
    <x v="780"/>
    <m/>
    <s v="C07826600UUx1R36"/>
    <n v="5035156183"/>
    <n v="440152289740"/>
    <m/>
    <m/>
    <d v="2018-09-18T00:00:00"/>
    <s v="Yes"/>
    <s v="Yes"/>
    <x v="0"/>
    <m/>
    <m/>
  </r>
  <r>
    <x v="3"/>
    <s v="HILSRTL375"/>
    <s v="Yes"/>
    <x v="0"/>
    <s v="PCIe"/>
    <s v="SN4079940"/>
    <m/>
    <x v="1"/>
    <x v="0"/>
    <x v="22"/>
    <x v="13"/>
    <x v="8"/>
    <s v="No"/>
    <s v="No"/>
    <m/>
    <s v="HILSRTM011sMini.hf.intel.com"/>
    <x v="781"/>
    <m/>
    <s v="C07826600ZAX1R36"/>
    <n v="5034572405"/>
    <n v="440152289739"/>
    <m/>
    <m/>
    <d v="2018-09-18T00:00:00"/>
    <s v="Yes"/>
    <s v="Yes"/>
    <x v="0"/>
    <m/>
    <m/>
  </r>
  <r>
    <x v="3"/>
    <s v="HILSRTL376"/>
    <s v="Yes"/>
    <x v="0"/>
    <s v="PCIe"/>
    <s v="SN4079922"/>
    <m/>
    <x v="1"/>
    <x v="0"/>
    <x v="22"/>
    <x v="14"/>
    <x v="8"/>
    <s v="No"/>
    <s v="No"/>
    <m/>
    <s v="HILSRTM014smini.HF.INTEL.COM "/>
    <x v="782"/>
    <m/>
    <s v="C07826600XYX1R36"/>
    <n v="6109698637"/>
    <n v="44015228980"/>
    <m/>
    <m/>
    <d v="2018-09-21T00:00:00"/>
    <s v="Yes"/>
    <s v="Yes"/>
    <x v="0"/>
    <s v="Debug Needed"/>
    <s v="11 DEC: HIL board not connected"/>
  </r>
  <r>
    <x v="3"/>
    <s v="HILSRTL377"/>
    <s v="Yes"/>
    <x v="4"/>
    <s v="PCIe"/>
    <s v="SN4079817"/>
    <m/>
    <x v="1"/>
    <x v="0"/>
    <x v="50"/>
    <x v="5"/>
    <x v="8"/>
    <s v="No"/>
    <s v="No"/>
    <m/>
    <s v="HILSRTM014smini.HF.INTEL.COM "/>
    <x v="783"/>
    <m/>
    <s v="C07826600XXX1R36"/>
    <n v="9713308827"/>
    <n v="44015228979"/>
    <m/>
    <m/>
    <d v="2018-09-21T00:00:00"/>
    <s v="Yes"/>
    <s v="Yes"/>
    <x v="0"/>
    <m/>
    <s v="3G FW CEB"/>
  </r>
  <r>
    <x v="3"/>
    <s v="HILSRTL379"/>
    <s v="Yes"/>
    <x v="1"/>
    <s v="PCIe"/>
    <s v="SN4079965"/>
    <m/>
    <x v="1"/>
    <x v="0"/>
    <x v="50"/>
    <x v="4"/>
    <x v="8"/>
    <s v="No"/>
    <s v="No"/>
    <m/>
    <s v="HILSRTM014smini.HF.INTEL.COM "/>
    <x v="784"/>
    <m/>
    <s v="C07826600ZDX1R36"/>
    <n v="9713716697"/>
    <n v="44015228973"/>
    <m/>
    <m/>
    <d v="2018-09-21T00:00:00"/>
    <s v="Yes"/>
    <s v="Yes"/>
    <x v="0"/>
    <m/>
    <s v="CPS &amp; Power"/>
  </r>
  <r>
    <x v="3"/>
    <s v="HILSRTL380"/>
    <s v="Yes"/>
    <x v="3"/>
    <s v="PCIe"/>
    <s v="SN4079895"/>
    <m/>
    <x v="1"/>
    <x v="0"/>
    <x v="49"/>
    <x v="14"/>
    <x v="8"/>
    <s v="No"/>
    <s v="No"/>
    <m/>
    <s v="HILSRTM014smini.HF.INTEL.COM "/>
    <x v="785"/>
    <m/>
    <s v="C07826600WUX1R36"/>
    <n v="6106068962"/>
    <n v="44015228979"/>
    <m/>
    <m/>
    <d v="2018-09-21T00:00:00"/>
    <s v="Yes"/>
    <s v="Yes"/>
    <x v="0"/>
    <m/>
    <m/>
  </r>
  <r>
    <x v="3"/>
    <s v="HILSRTL382"/>
    <s v="Yes"/>
    <x v="3"/>
    <s v="PCIe"/>
    <s v="SN4079857"/>
    <m/>
    <x v="1"/>
    <x v="0"/>
    <x v="49"/>
    <x v="4"/>
    <x v="8"/>
    <s v="No"/>
    <s v="No"/>
    <m/>
    <s v="HILSRTM014smini.HF.INTEL.COM "/>
    <x v="786"/>
    <m/>
    <s v="C07826600TFX1R36"/>
    <n v="5039847197"/>
    <n v="440152289799"/>
    <m/>
    <m/>
    <d v="2018-09-21T00:00:00"/>
    <s v="Yes"/>
    <s v="Yes"/>
    <x v="0"/>
    <m/>
    <m/>
  </r>
  <r>
    <x v="3"/>
    <s v="HILSRTL383"/>
    <s v="Yes"/>
    <x v="0"/>
    <s v="PCIe"/>
    <s v="SN4079941"/>
    <m/>
    <x v="1"/>
    <x v="0"/>
    <x v="49"/>
    <x v="53"/>
    <x v="8"/>
    <s v="No"/>
    <s v="No"/>
    <m/>
    <s v="HILSRTM014smini.HF.INTEL.COM "/>
    <x v="13"/>
    <m/>
    <s v="C07826600TFX1R36"/>
    <n v="5039847197"/>
    <n v="440152289799"/>
    <m/>
    <m/>
    <d v="2018-09-24T00:00:00"/>
    <s v="Yes"/>
    <s v="Yes"/>
    <x v="0"/>
    <m/>
    <m/>
  </r>
  <r>
    <x v="3"/>
    <s v="HILSRTL384"/>
    <s v="Yes"/>
    <x v="0"/>
    <s v="PCIe"/>
    <s v="SN4079939"/>
    <m/>
    <x v="1"/>
    <x v="0"/>
    <x v="49"/>
    <x v="14"/>
    <x v="8"/>
    <s v="No"/>
    <s v="No"/>
    <m/>
    <s v="HILSRTM014smini.HF.INTEL.COM "/>
    <x v="13"/>
    <m/>
    <s v="C07826600Vex1R36"/>
    <n v="6194948113"/>
    <n v="440152289754"/>
    <m/>
    <m/>
    <d v="2018-09-25T00:00:00"/>
    <s v="Yes"/>
    <s v="Yes"/>
    <x v="0"/>
    <m/>
    <m/>
  </r>
  <r>
    <x v="3"/>
    <s v="HILSRTL385"/>
    <s v="Yes"/>
    <x v="3"/>
    <s v="PCIe"/>
    <s v="SN4079937"/>
    <m/>
    <x v="1"/>
    <x v="0"/>
    <x v="22"/>
    <x v="13"/>
    <x v="8"/>
    <s v="No"/>
    <s v="No"/>
    <m/>
    <s v="HILSRTM014smini.HF.INTEL.COM "/>
    <x v="13"/>
    <m/>
    <s v="C07826600VNX1R36"/>
    <n v="6194946258"/>
    <n v="440152289751"/>
    <m/>
    <m/>
    <d v="2018-09-25T00:00:00"/>
    <s v="Yes"/>
    <s v="Yes"/>
    <x v="0"/>
    <s v="Debug Needed"/>
    <s v="14 Dec: Testing started.it already proven setup we can use for testing only tracing issue was there which is fixed_x000a_13 DEC: Dry run triggered did not execute any TCs due to UTT issue(to be discussed with Saidulu), fresh campaign triggered now _x000a_12 Dec: Traces are coming _x000a_12 DEC: Tracing is working fine post baseline update. Swikriti to trigger dry run_x000a_11 Dec: Habteab is installing baseline once done will start testing  but  still no luck,habteab is going to send mail.                                                                                                                                                                                        11 DEC: Campaign is still running. Ashish to check if tracing issue is gone_x000a_10 Dec: Trace issue Habteab is waiting for new set of Tools                                                                                       10 DEC: Trace Issue : RITM6872627"/>
  </r>
  <r>
    <x v="3"/>
    <s v="HILSRTL386"/>
    <s v="Yes"/>
    <x v="1"/>
    <s v="PCIe"/>
    <s v="SN4079923"/>
    <m/>
    <x v="1"/>
    <x v="0"/>
    <x v="50"/>
    <x v="4"/>
    <x v="8"/>
    <s v="No"/>
    <s v="No"/>
    <m/>
    <s v="HILSRTM014smini.HF.INTEL.COM "/>
    <x v="13"/>
    <m/>
    <s v="C07826600YBX1R36"/>
    <n v="6194948295"/>
    <n v="440152289802"/>
    <m/>
    <m/>
    <d v="2018-09-25T00:00:00"/>
    <s v="Yes"/>
    <s v="Yes"/>
    <x v="0"/>
    <m/>
    <s v="PFSW &amp; Smarti"/>
  </r>
  <r>
    <x v="3"/>
    <s v="HILSRTL387"/>
    <s v="Yes"/>
    <x v="1"/>
    <s v="PCIe"/>
    <s v="SN4079959"/>
    <m/>
    <x v="1"/>
    <x v="0"/>
    <x v="50"/>
    <x v="4"/>
    <x v="8"/>
    <s v="No"/>
    <s v="No"/>
    <m/>
    <s v="HILSRTM014smini.HF.INTEL.COM "/>
    <x v="13"/>
    <m/>
    <s v="C07826600XKX1R36"/>
    <n v="6194849750"/>
    <n v="440152289752"/>
    <m/>
    <m/>
    <d v="2018-09-25T00:00:00"/>
    <s v="Yes"/>
    <s v="Yes"/>
    <x v="0"/>
    <m/>
    <s v="RAC/RAU &amp; 2G"/>
  </r>
  <r>
    <x v="3"/>
    <s v="HILSRTL388"/>
    <s v="Yes"/>
    <x v="3"/>
    <s v="PCIe"/>
    <s v="SN4079861"/>
    <m/>
    <x v="1"/>
    <x v="0"/>
    <x v="49"/>
    <x v="14"/>
    <x v="8"/>
    <s v="No"/>
    <s v="No"/>
    <m/>
    <s v="HILSRTM014smini.HF.INTEL.COM "/>
    <x v="13"/>
    <m/>
    <s v="C07826600UWX1R36"/>
    <n v="5033477848"/>
    <n v="440152289789"/>
    <m/>
    <m/>
    <d v="2018-09-25T00:00:00"/>
    <s v="Yes"/>
    <s v="Yes"/>
    <x v="0"/>
    <m/>
    <m/>
  </r>
  <r>
    <x v="3"/>
    <s v="HILSRTL389"/>
    <s v="Yes"/>
    <x v="3"/>
    <s v="PCIe"/>
    <s v="SN4079960"/>
    <m/>
    <x v="1"/>
    <x v="0"/>
    <x v="49"/>
    <x v="13"/>
    <x v="8"/>
    <s v="No"/>
    <s v="No"/>
    <m/>
    <s v="HILSRTM014smini.HF.INTEL.COM "/>
    <x v="13"/>
    <m/>
    <s v="C07826600XYX1R36"/>
    <n v="9717274965"/>
    <n v="440152289750"/>
    <m/>
    <m/>
    <d v="2018-09-30T00:00:00"/>
    <s v="Yes"/>
    <s v="Yes"/>
    <x v="0"/>
    <m/>
    <m/>
  </r>
  <r>
    <x v="3"/>
    <s v="HILSRTL390"/>
    <s v="Yes"/>
    <x v="3"/>
    <s v="PCIe"/>
    <s v="SN4079831"/>
    <m/>
    <x v="1"/>
    <x v="0"/>
    <x v="49"/>
    <x v="13"/>
    <x v="8"/>
    <s v="No"/>
    <s v="No"/>
    <m/>
    <s v="HILSRTM014smini.HF.INTEL.COM "/>
    <x v="13"/>
    <m/>
    <s v="C07826600ZVX1R36"/>
    <n v="9717275453"/>
    <n v="440152289749"/>
    <m/>
    <m/>
    <d v="2018-09-30T00:00:00"/>
    <s v="Yes"/>
    <s v="Yes"/>
    <x v="0"/>
    <m/>
    <m/>
  </r>
  <r>
    <x v="3"/>
    <s v="HILSRTL391"/>
    <s v="Yes"/>
    <x v="4"/>
    <s v="PCIe"/>
    <s v="SN4079925"/>
    <m/>
    <x v="1"/>
    <x v="0"/>
    <x v="49"/>
    <x v="14"/>
    <x v="8"/>
    <s v="No"/>
    <s v="No"/>
    <m/>
    <s v="HILSRTM014smini.HF.INTEL.COM "/>
    <x v="13"/>
    <m/>
    <s v="C07826600VWX1R36"/>
    <n v="9717275059"/>
    <n v="440152289747"/>
    <m/>
    <m/>
    <d v="2018-09-30T00:00:00"/>
    <s v="Yes"/>
    <s v="Yes"/>
    <x v="0"/>
    <m/>
    <s v="10 Dec: Idle from Oct                                                                                                                                                                       LTE CEB"/>
  </r>
  <r>
    <x v="3"/>
    <s v="HILSRTL392"/>
    <s v="No"/>
    <x v="2"/>
    <s v="PCIe"/>
    <s v="SN4079920"/>
    <m/>
    <x v="1"/>
    <x v="1"/>
    <x v="24"/>
    <x v="2"/>
    <x v="4"/>
    <s v="No"/>
    <s v="No"/>
    <m/>
    <s v="HILSRTM014smini.HF.INTEL.COM "/>
    <x v="13"/>
    <m/>
    <s v="C07826600UZX1R36"/>
    <n v="6106068962"/>
    <n v="440152289743"/>
    <m/>
    <m/>
    <d v="2018-09-30T00:00:00"/>
    <s v="Yes"/>
    <s v="Yes"/>
    <x v="1"/>
    <s v="Debug Needed"/>
    <s v="14 DEC: HW issue removed please dont use for Testing  &amp; dont start any sanity_x000a_13 DEC: DUT crashed 3 times during the flash process, SIM card is not present in the DUT, after check manual flash also below results are seen:_x000a_12 DEC: Modem is crashing after flash.IPC is not getting up. even on call station also._x000a_11 DEC: NVM data is corrupted. Tests retriggered. Ashish to Monitor and if needed update to test_b185002_L7660-mtbf and check again_x000a_10: Dec DUT is not booting after Flash Habteab is waiting for new Baseline                                                      07 DEC: Covnert to Verizon SRLTE for CDMA_CPS. Baseline update needed: RITM6872673"/>
  </r>
  <r>
    <x v="3"/>
    <s v="HILSRTL393"/>
    <s v="Yes"/>
    <x v="3"/>
    <s v="PCIe"/>
    <s v="SN4079848"/>
    <m/>
    <x v="1"/>
    <x v="1"/>
    <x v="51"/>
    <x v="54"/>
    <x v="8"/>
    <s v="No"/>
    <s v="No"/>
    <m/>
    <s v="HILSRTM014smini.HF.INTEL.COM "/>
    <x v="13"/>
    <m/>
    <s v="C07826600WGX1R36"/>
    <n v="5039847197"/>
    <n v="440152289748"/>
    <m/>
    <m/>
    <d v="2018-09-30T00:00:00"/>
    <s v="Yes"/>
    <s v="Yes"/>
    <x v="0"/>
    <m/>
    <m/>
  </r>
  <r>
    <x v="3"/>
    <s v="HILSRTL394"/>
    <s v="Yes"/>
    <x v="3"/>
    <s v="PCIe"/>
    <s v="SN4079893"/>
    <m/>
    <x v="1"/>
    <x v="1"/>
    <x v="51"/>
    <x v="54"/>
    <x v="8"/>
    <s v="No"/>
    <s v="No"/>
    <m/>
    <s v="HILSRTM014smini.HF.INTEL.COM "/>
    <x v="13"/>
    <m/>
    <s v="C07826600YQX1R36"/>
    <n v="6194948113"/>
    <n v="440152289744"/>
    <m/>
    <m/>
    <d v="2018-09-30T00:00:00"/>
    <s v="Yes"/>
    <s v="Yes"/>
    <x v="0"/>
    <s v="Debug Needed"/>
    <s v="11 DEC: Ashish to start dry run"/>
  </r>
  <r>
    <x v="3"/>
    <s v="HILSRTL395"/>
    <s v="Yes"/>
    <x v="3"/>
    <s v="PCIe"/>
    <s v="SN4079846"/>
    <m/>
    <x v="1"/>
    <x v="0"/>
    <x v="22"/>
    <x v="14"/>
    <x v="8"/>
    <s v="No"/>
    <s v="No"/>
    <m/>
    <s v="HILSRTM011sMini.hf.intel.com"/>
    <x v="13"/>
    <m/>
    <s v="C07826600UGX1R36"/>
    <n v="5034572405"/>
    <n v="440152289794"/>
    <m/>
    <m/>
    <d v="2018-10-10T00:00:00"/>
    <s v="Yes"/>
    <s v="Yes"/>
    <x v="0"/>
    <m/>
    <s v="21 NOV: Blocked because of ticket: SMS31465558 "/>
  </r>
  <r>
    <x v="3"/>
    <s v="HILSRTL396"/>
    <s v="Yes"/>
    <x v="0"/>
    <s v="PCIe"/>
    <s v="SN4079850"/>
    <m/>
    <x v="1"/>
    <x v="1"/>
    <x v="52"/>
    <x v="55"/>
    <x v="3"/>
    <s v="No"/>
    <s v="No"/>
    <m/>
    <s v="HILSRTM011sMini.hf.intel.com"/>
    <x v="13"/>
    <m/>
    <s v="C078263000EX1R36"/>
    <s v="6194946258"/>
    <s v=" 00440152287666"/>
    <m/>
    <m/>
    <d v="2018-10-10T00:00:00"/>
    <s v="Yes"/>
    <s v="Yes"/>
    <x v="3"/>
    <m/>
    <s v="17 Dec: Re-Queued Campaign ran for 20 Hours, with 1 reset, CD test not executed properly, have retriggered campaign and monitoring. 100% MO Call failure. To check for SIM card_x000a_14 Dec: Sanity Started, we already have proven data from Janani, we can use for testing_x000a_14 Dec: HW with SW team_x000a_13 DEC: 100% CALL FAILURE observed on SIM1 only, no logs are saved since the STT version used is STT-18.48.0000, requires baseline update. Update to b185003_L7660-mtbf-sit and check Sim1 MSISDN number_x000a_12 Dec: Swapped HW with HILSRTL397 and looks running need to check Sanity Result_x000a_06 DEC: UE Is coredumping._x000a_05 : Habteab Added IPC team(Isfan) to check                                                                                                                   05 DEC : Habteab to check and confirm_x000a_04 DEC: New Download tool version to be tried if the issue is resolved_x000a_03 DEC: Issue will be escalated to IPC team_x000a_30 NOV: RITM6844962 with Devops is closed. CD after post power ON. To be checked physically_x000a_29 NOV: Ashish to check._x000a_26 NOV: To check Dry Run Status_x000a_23 NOV: Under Dry Run_x000a_21 NOV: LTEC HW,Realocate --&gt;convert to VZW &amp; ATT   21/11: has IMEI issue Calibrated and again started Testingworking on it"/>
  </r>
  <r>
    <x v="3"/>
    <s v="HILSRTL397"/>
    <s v="Yes"/>
    <x v="2"/>
    <s v="PCIe"/>
    <s v="SN4079802"/>
    <m/>
    <x v="1"/>
    <x v="2"/>
    <x v="2"/>
    <x v="2"/>
    <x v="3"/>
    <s v="No"/>
    <s v="No"/>
    <m/>
    <s v="HILSRTM011sMini.hf.intel.com"/>
    <x v="13"/>
    <m/>
    <s v="C0782630002X1R36"/>
    <n v="6194948295"/>
    <s v=" 00440152287684"/>
    <m/>
    <m/>
    <d v="2018-10-10T00:00:00"/>
    <s v="Yes"/>
    <s v="Yes"/>
    <x v="1"/>
    <m/>
    <s v="05 Dec: Board is not working . not booting up after reset. updated same to tester as well.                                                                                                                                               23 NOV: Dry run is pass_x000a_22 NOV: VZW IMS is failing_x000a_21 NOV: LTEC HW,Realocate --&gt;convert to VZW &amp; ATT   21/11: Running fine"/>
  </r>
  <r>
    <x v="3"/>
    <s v="HILSRTL149"/>
    <s v="Yes"/>
    <x v="6"/>
    <s v="PCIe"/>
    <m/>
    <m/>
    <x v="4"/>
    <x v="0"/>
    <x v="53"/>
    <x v="4"/>
    <x v="15"/>
    <s v="No"/>
    <s v="No"/>
    <m/>
    <m/>
    <x v="13"/>
    <m/>
    <s v="C076475005VOHHH1"/>
    <n v="14846324057"/>
    <s v="00440152226658'"/>
    <m/>
    <m/>
    <m/>
    <s v="Yes"/>
    <s v="Yes"/>
    <x v="0"/>
    <m/>
    <m/>
  </r>
  <r>
    <x v="3"/>
    <s v="HILSRTL151"/>
    <s v="Yes"/>
    <x v="6"/>
    <s v="PCIe"/>
    <m/>
    <m/>
    <x v="4"/>
    <x v="0"/>
    <x v="53"/>
    <x v="4"/>
    <x v="3"/>
    <s v="No"/>
    <s v="No"/>
    <m/>
    <m/>
    <x v="13"/>
    <m/>
    <s v="C0765050010H2WH1"/>
    <n v="14846499102"/>
    <s v="00440152227304'"/>
    <m/>
    <m/>
    <m/>
    <s v="Yes"/>
    <s v="Yes"/>
    <x v="0"/>
    <m/>
    <m/>
  </r>
  <r>
    <x v="3"/>
    <s v="HILSRTL154"/>
    <s v="Yes"/>
    <x v="6"/>
    <s v="PCIe"/>
    <m/>
    <m/>
    <x v="4"/>
    <x v="0"/>
    <x v="54"/>
    <x v="4"/>
    <x v="3"/>
    <s v="No"/>
    <s v="No"/>
    <m/>
    <m/>
    <x v="13"/>
    <m/>
    <s v="C0764550067OHHH1"/>
    <n v="19713719914"/>
    <s v="00440152221623'"/>
    <m/>
    <m/>
    <m/>
    <s v="Yes"/>
    <s v="Yes"/>
    <x v="0"/>
    <m/>
    <m/>
  </r>
  <r>
    <x v="3"/>
    <s v="HILSRTL178"/>
    <s v="Yes"/>
    <x v="6"/>
    <s v="PCIe"/>
    <m/>
    <m/>
    <x v="4"/>
    <x v="0"/>
    <x v="54"/>
    <x v="4"/>
    <x v="3"/>
    <s v="No"/>
    <s v="No"/>
    <m/>
    <m/>
    <x v="13"/>
    <m/>
    <s v="C0764550044OHHH1"/>
    <n v="14846959077"/>
    <s v="00440152221762'"/>
    <m/>
    <m/>
    <m/>
    <s v="Yes"/>
    <s v="Yes"/>
    <x v="0"/>
    <m/>
    <m/>
  </r>
  <r>
    <x v="3"/>
    <s v="HILSRTL155"/>
    <s v="Yes"/>
    <x v="6"/>
    <s v="PCIe"/>
    <m/>
    <m/>
    <x v="4"/>
    <x v="0"/>
    <x v="54"/>
    <x v="4"/>
    <x v="3"/>
    <s v="No"/>
    <s v="No"/>
    <m/>
    <m/>
    <x v="13"/>
    <m/>
    <s v="C076485002QOHHH1"/>
    <n v="14842640134"/>
    <s v="00440152226845'"/>
    <m/>
    <m/>
    <m/>
    <s v="Yes"/>
    <s v="Yes"/>
    <x v="0"/>
    <m/>
    <m/>
  </r>
  <r>
    <x v="3"/>
    <s v="HILSRTL150"/>
    <s v="Yes"/>
    <x v="6"/>
    <s v="PCIe"/>
    <m/>
    <m/>
    <x v="4"/>
    <x v="0"/>
    <x v="54"/>
    <x v="4"/>
    <x v="3"/>
    <s v="No"/>
    <s v="No"/>
    <m/>
    <m/>
    <x v="13"/>
    <m/>
    <s v="C076475005QOHHH1"/>
    <n v="16105979549"/>
    <s v="00440152228655'"/>
    <m/>
    <m/>
    <m/>
    <s v="Yes"/>
    <s v="Yes"/>
    <x v="0"/>
    <m/>
    <m/>
  </r>
  <r>
    <x v="3"/>
    <s v="HILSRTL156"/>
    <s v="Yes"/>
    <x v="6"/>
    <s v="PCIe"/>
    <m/>
    <m/>
    <x v="4"/>
    <x v="0"/>
    <x v="54"/>
    <x v="4"/>
    <x v="3"/>
    <s v="No"/>
    <s v="No"/>
    <m/>
    <m/>
    <x v="13"/>
    <m/>
    <s v="C076455004AOHHH1"/>
    <n v="14846023553"/>
    <s v="00440152221775'"/>
    <m/>
    <m/>
    <m/>
    <s v="Yes"/>
    <s v="Yes"/>
    <x v="0"/>
    <m/>
    <m/>
  </r>
  <r>
    <x v="3"/>
    <s v="HILSRTL153"/>
    <s v="Yes"/>
    <x v="6"/>
    <s v="PCIe"/>
    <m/>
    <m/>
    <x v="4"/>
    <x v="0"/>
    <x v="54"/>
    <x v="4"/>
    <x v="3"/>
    <s v="No"/>
    <s v="No"/>
    <m/>
    <m/>
    <x v="13"/>
    <m/>
    <s v="C076303006PH2WH9"/>
    <n v="14843501385"/>
    <s v="00440152222218'"/>
    <m/>
    <m/>
    <m/>
    <s v="Yes"/>
    <s v="Yes"/>
    <x v="0"/>
    <m/>
    <m/>
  </r>
  <r>
    <x v="3"/>
    <s v="HILSRTL152"/>
    <s v="Yes"/>
    <x v="6"/>
    <s v="PCIe"/>
    <m/>
    <m/>
    <x v="4"/>
    <x v="0"/>
    <x v="49"/>
    <x v="4"/>
    <x v="3"/>
    <s v="No"/>
    <s v="No"/>
    <m/>
    <m/>
    <x v="13"/>
    <m/>
    <s v="C076505004BH2WH1"/>
    <n v="15035979093"/>
    <s v="00440152227161'"/>
    <m/>
    <m/>
    <m/>
    <s v="Yes"/>
    <s v="Yes"/>
    <x v="0"/>
    <m/>
    <m/>
  </r>
  <r>
    <x v="3"/>
    <s v="HILSRTL177"/>
    <s v="Yes"/>
    <x v="6"/>
    <s v="PCIe"/>
    <m/>
    <m/>
    <x v="4"/>
    <x v="0"/>
    <x v="49"/>
    <x v="4"/>
    <x v="3"/>
    <s v="No"/>
    <s v="No"/>
    <m/>
    <m/>
    <x v="13"/>
    <m/>
    <s v="C076455005EOHHH1"/>
    <n v="19712913179"/>
    <s v="00440152221771'"/>
    <m/>
    <m/>
    <m/>
    <s v="Yes"/>
    <s v="Yes"/>
    <x v="0"/>
    <m/>
    <m/>
  </r>
  <r>
    <x v="3"/>
    <s v="HILSRTL179"/>
    <s v="Yes"/>
    <x v="6"/>
    <s v="PCIe"/>
    <m/>
    <m/>
    <x v="4"/>
    <x v="0"/>
    <x v="49"/>
    <x v="4"/>
    <x v="3"/>
    <s v="No"/>
    <s v="No"/>
    <m/>
    <m/>
    <x v="13"/>
    <m/>
    <s v="C076455004WOHHH1"/>
    <n v="19717088292"/>
    <s v="00440152221772'"/>
    <m/>
    <m/>
    <m/>
    <s v="Yes"/>
    <s v="Yes"/>
    <x v="0"/>
    <m/>
    <m/>
  </r>
  <r>
    <x v="3"/>
    <s v="HILSRTL180"/>
    <s v="Yes"/>
    <x v="6"/>
    <s v="PCIe"/>
    <m/>
    <m/>
    <x v="4"/>
    <x v="0"/>
    <x v="49"/>
    <x v="4"/>
    <x v="3"/>
    <s v="No"/>
    <s v="No"/>
    <m/>
    <m/>
    <x v="13"/>
    <m/>
    <s v="C0764850030OHHH1"/>
    <n v="19717088495"/>
    <s v="00440152226843'"/>
    <m/>
    <m/>
    <m/>
    <s v="Yes"/>
    <s v="Yes"/>
    <x v="0"/>
    <m/>
    <m/>
  </r>
  <r>
    <x v="3"/>
    <s v="STRESSPCHILL014"/>
    <s v="Yes"/>
    <x v="6"/>
    <s v="USB"/>
    <m/>
    <m/>
    <x v="4"/>
    <x v="0"/>
    <x v="53"/>
    <x v="4"/>
    <x v="3"/>
    <s v="No"/>
    <s v="No"/>
    <m/>
    <m/>
    <x v="13"/>
    <m/>
    <m/>
    <n v="14848608998"/>
    <s v="00440152227163'"/>
    <m/>
    <m/>
    <m/>
    <s v="Yes"/>
    <s v="Yes"/>
    <x v="0"/>
    <m/>
    <s v="SIM Removed"/>
  </r>
  <r>
    <x v="3"/>
    <s v="STRESSPCHILL040"/>
    <s v="Yes"/>
    <x v="6"/>
    <s v="USB"/>
    <m/>
    <m/>
    <x v="4"/>
    <x v="0"/>
    <x v="54"/>
    <x v="4"/>
    <x v="3"/>
    <s v="No"/>
    <s v="No"/>
    <m/>
    <m/>
    <x v="13"/>
    <m/>
    <m/>
    <n v="14847147426"/>
    <s v="00440152226838'"/>
    <m/>
    <m/>
    <m/>
    <s v="Yes"/>
    <s v="Yes"/>
    <x v="0"/>
    <m/>
    <m/>
  </r>
  <r>
    <x v="3"/>
    <s v="HILSRTW013"/>
    <s v="Yes"/>
    <x v="6"/>
    <s v="USB"/>
    <m/>
    <m/>
    <x v="4"/>
    <x v="0"/>
    <x v="53"/>
    <x v="4"/>
    <x v="3"/>
    <s v="No"/>
    <s v="No"/>
    <m/>
    <m/>
    <x v="13"/>
    <m/>
    <m/>
    <n v="16106182461"/>
    <s v="00440152221653'"/>
    <m/>
    <m/>
    <m/>
    <s v="Yes"/>
    <s v="Yes"/>
    <x v="0"/>
    <m/>
    <s v="SIM REMOVED"/>
  </r>
  <r>
    <x v="3"/>
    <s v="HILSRTW010"/>
    <s v="Yes"/>
    <x v="6"/>
    <s v="USB"/>
    <m/>
    <m/>
    <x v="4"/>
    <x v="0"/>
    <x v="54"/>
    <x v="4"/>
    <x v="3"/>
    <s v="No"/>
    <s v="No"/>
    <m/>
    <m/>
    <x v="13"/>
    <m/>
    <m/>
    <n v="14847956463"/>
    <s v="00440152221770'"/>
    <m/>
    <m/>
    <m/>
    <s v="Yes"/>
    <s v="Yes"/>
    <x v="0"/>
    <m/>
    <m/>
  </r>
  <r>
    <x v="3"/>
    <s v="HILSRTL230"/>
    <s v="Yes"/>
    <x v="6"/>
    <s v="PCIe"/>
    <m/>
    <m/>
    <x v="5"/>
    <x v="0"/>
    <x v="54"/>
    <x v="4"/>
    <x v="3"/>
    <s v="No"/>
    <s v="No"/>
    <m/>
    <m/>
    <x v="13"/>
    <m/>
    <s v="C7H552600MWG7R6AZ"/>
    <n v="14842649124"/>
    <s v="00440152066690'"/>
    <m/>
    <m/>
    <m/>
    <s v="Yes"/>
    <s v="Yes"/>
    <x v="0"/>
    <m/>
    <m/>
  </r>
  <r>
    <x v="3"/>
    <s v="HILSRTL236"/>
    <s v="Yes"/>
    <x v="6"/>
    <s v="PCIe"/>
    <m/>
    <m/>
    <x v="5"/>
    <x v="0"/>
    <x v="54"/>
    <x v="4"/>
    <x v="3"/>
    <s v="No"/>
    <s v="No"/>
    <m/>
    <m/>
    <x v="13"/>
    <m/>
    <s v="C7H60120001G7R6AY"/>
    <n v="14848380353"/>
    <s v="00440152061400'"/>
    <m/>
    <m/>
    <m/>
    <s v="Yes"/>
    <s v="Yes"/>
    <x v="0"/>
    <m/>
    <m/>
  </r>
  <r>
    <x v="3"/>
    <s v="HILSRTL232"/>
    <s v="Yes"/>
    <x v="6"/>
    <s v="PCIe"/>
    <m/>
    <m/>
    <x v="5"/>
    <x v="0"/>
    <x v="55"/>
    <x v="4"/>
    <x v="3"/>
    <s v="No"/>
    <s v="No"/>
    <m/>
    <m/>
    <x v="13"/>
    <m/>
    <s v="C7H601200AWG7R6A7"/>
    <n v="16102033403"/>
    <s v="00440152061662'"/>
    <m/>
    <m/>
    <m/>
    <s v="Yes"/>
    <s v="Yes"/>
    <x v="0"/>
    <m/>
    <m/>
  </r>
  <r>
    <x v="3"/>
    <s v="HILSRTL233"/>
    <s v="Yes"/>
    <x v="6"/>
    <s v="PCIe"/>
    <m/>
    <m/>
    <x v="5"/>
    <x v="0"/>
    <x v="54"/>
    <x v="4"/>
    <x v="3"/>
    <s v="No"/>
    <s v="No"/>
    <m/>
    <m/>
    <x v="13"/>
    <m/>
    <s v="C7H552600QYG7R6AN"/>
    <n v="14845153004"/>
    <s v="00440152066682'"/>
    <m/>
    <m/>
    <m/>
    <s v="Yes"/>
    <s v="Yes"/>
    <x v="0"/>
    <m/>
    <m/>
  </r>
  <r>
    <x v="3"/>
    <s v="HILSRTL234"/>
    <s v="Yes"/>
    <x v="6"/>
    <s v="PCIe"/>
    <m/>
    <m/>
    <x v="5"/>
    <x v="0"/>
    <x v="54"/>
    <x v="4"/>
    <x v="3"/>
    <s v="No"/>
    <s v="No"/>
    <m/>
    <m/>
    <x v="13"/>
    <m/>
    <s v="C7H552600NZG7R6AT"/>
    <n v="14843877023"/>
    <s v="00440152066652'"/>
    <m/>
    <m/>
    <m/>
    <s v="Yes"/>
    <s v="Yes"/>
    <x v="0"/>
    <m/>
    <m/>
  </r>
  <r>
    <x v="3"/>
    <s v="HILSRTL235"/>
    <s v="Yes"/>
    <x v="6"/>
    <s v="PCIe"/>
    <m/>
    <m/>
    <x v="5"/>
    <x v="0"/>
    <x v="55"/>
    <x v="4"/>
    <x v="3"/>
    <s v="No"/>
    <s v="No"/>
    <m/>
    <m/>
    <x v="13"/>
    <m/>
    <s v="C7H552600D7G7R6AC"/>
    <n v="14846495813"/>
    <s v="00440152067064'"/>
    <m/>
    <m/>
    <m/>
    <s v="Yes"/>
    <s v="Yes"/>
    <x v="0"/>
    <m/>
    <m/>
  </r>
  <r>
    <x v="3"/>
    <s v="HILSRTL231"/>
    <s v="Yes"/>
    <x v="6"/>
    <s v="PCIe"/>
    <m/>
    <m/>
    <x v="5"/>
    <x v="0"/>
    <x v="55"/>
    <x v="4"/>
    <x v="3"/>
    <s v="No"/>
    <s v="No"/>
    <m/>
    <m/>
    <x v="13"/>
    <m/>
    <s v="C7H552600EWG7R6AL"/>
    <s v=" 16105042016"/>
    <s v="00440152066656'"/>
    <m/>
    <m/>
    <m/>
    <s v="Yes"/>
    <s v="Yes"/>
    <x v="0"/>
    <m/>
    <m/>
  </r>
  <r>
    <x v="3"/>
    <s v="HILSRTL237"/>
    <s v="Yes"/>
    <x v="6"/>
    <s v="PCIe"/>
    <m/>
    <m/>
    <x v="5"/>
    <x v="0"/>
    <x v="54"/>
    <x v="4"/>
    <x v="3"/>
    <s v="No"/>
    <s v="No"/>
    <m/>
    <m/>
    <x v="13"/>
    <m/>
    <s v="C7H552600JGG7R6AN"/>
    <n v="19713306132"/>
    <s v="00440152060482'"/>
    <m/>
    <m/>
    <m/>
    <s v="Yes"/>
    <s v="Yes"/>
    <x v="0"/>
    <m/>
    <m/>
  </r>
  <r>
    <x v="3"/>
    <s v="HILSRTL238"/>
    <s v="Yes"/>
    <x v="6"/>
    <s v="PCIe"/>
    <m/>
    <m/>
    <x v="5"/>
    <x v="0"/>
    <x v="55"/>
    <x v="4"/>
    <x v="3"/>
    <s v="No"/>
    <s v="No"/>
    <m/>
    <m/>
    <x v="13"/>
    <m/>
    <s v="C7H6012009PG7R6AH"/>
    <n v="16105042288"/>
    <s v="00440152061351'"/>
    <m/>
    <m/>
    <m/>
    <s v="Yes"/>
    <s v="Yes"/>
    <x v="0"/>
    <m/>
    <m/>
  </r>
  <r>
    <x v="3"/>
    <s v="HILSRTL239"/>
    <s v="Yes"/>
    <x v="6"/>
    <s v="PCIe"/>
    <m/>
    <m/>
    <x v="5"/>
    <x v="0"/>
    <x v="54"/>
    <x v="4"/>
    <x v="3"/>
    <s v="No"/>
    <s v="No"/>
    <m/>
    <m/>
    <x v="13"/>
    <m/>
    <s v="C7H552600CRG7R6AX"/>
    <n v="14842236082"/>
    <s v="00440152066556'"/>
    <m/>
    <m/>
    <m/>
    <s v="Yes"/>
    <s v="Yes"/>
    <x v="0"/>
    <m/>
    <m/>
  </r>
  <r>
    <x v="3"/>
    <s v="AW000002510869"/>
    <s v="Yes"/>
    <x v="6"/>
    <s v="USB"/>
    <m/>
    <m/>
    <x v="4"/>
    <x v="0"/>
    <x v="53"/>
    <x v="4"/>
    <x v="3"/>
    <s v="No"/>
    <s v="No"/>
    <m/>
    <s v="10.53.224.37 "/>
    <x v="13"/>
    <m/>
    <m/>
    <n v="15034571292"/>
    <s v="00440152221773'"/>
    <m/>
    <m/>
    <m/>
    <s v="Yes"/>
    <s v="Yes"/>
    <x v="0"/>
    <m/>
    <m/>
  </r>
  <r>
    <x v="3"/>
    <s v="AW000002510831"/>
    <s v="Yes"/>
    <x v="6"/>
    <s v="USB"/>
    <m/>
    <m/>
    <x v="4"/>
    <x v="0"/>
    <x v="54"/>
    <x v="4"/>
    <x v="3"/>
    <s v="No"/>
    <s v="No"/>
    <m/>
    <s v="10.53.224.37 "/>
    <x v="13"/>
    <m/>
    <m/>
    <n v="15035158811"/>
    <s v="00440152221750'"/>
    <m/>
    <m/>
    <m/>
    <s v="Yes"/>
    <s v="Yes"/>
    <x v="0"/>
    <m/>
    <m/>
  </r>
  <r>
    <x v="3"/>
    <s v="HILSRTW133.AMR.CORP.INTEL.COM"/>
    <s v="Yes"/>
    <x v="2"/>
    <s v="Windows"/>
    <m/>
    <m/>
    <x v="6"/>
    <x v="0"/>
    <x v="2"/>
    <x v="2"/>
    <x v="3"/>
    <m/>
    <m/>
    <m/>
    <m/>
    <x v="13"/>
    <m/>
    <m/>
    <m/>
    <m/>
    <m/>
    <m/>
    <m/>
    <m/>
    <m/>
    <x v="2"/>
    <m/>
    <m/>
  </r>
  <r>
    <x v="3"/>
    <s v="HILSRTW134.AMR.CORP.INTEL.COM"/>
    <s v="Yes"/>
    <x v="2"/>
    <s v="Windows"/>
    <m/>
    <m/>
    <x v="6"/>
    <x v="0"/>
    <x v="2"/>
    <x v="2"/>
    <x v="3"/>
    <m/>
    <m/>
    <m/>
    <m/>
    <x v="13"/>
    <m/>
    <m/>
    <m/>
    <m/>
    <m/>
    <m/>
    <m/>
    <m/>
    <m/>
    <x v="2"/>
    <m/>
    <m/>
  </r>
  <r>
    <x v="3"/>
    <s v="HILSRTW128.AMR.CORP.INTEL.COM"/>
    <s v="Yes"/>
    <x v="2"/>
    <s v="Windows"/>
    <m/>
    <m/>
    <x v="6"/>
    <x v="0"/>
    <x v="2"/>
    <x v="2"/>
    <x v="3"/>
    <m/>
    <m/>
    <m/>
    <m/>
    <x v="13"/>
    <m/>
    <m/>
    <m/>
    <m/>
    <m/>
    <m/>
    <m/>
    <m/>
    <m/>
    <x v="2"/>
    <m/>
    <m/>
  </r>
  <r>
    <x v="3"/>
    <s v="HILSRTW127.AMR.CORP.INTEL.COM"/>
    <s v="Yes"/>
    <x v="2"/>
    <s v="Windows"/>
    <m/>
    <m/>
    <x v="6"/>
    <x v="0"/>
    <x v="2"/>
    <x v="2"/>
    <x v="3"/>
    <m/>
    <m/>
    <m/>
    <m/>
    <x v="13"/>
    <m/>
    <m/>
    <m/>
    <m/>
    <m/>
    <m/>
    <m/>
    <m/>
    <m/>
    <x v="2"/>
    <m/>
    <m/>
  </r>
  <r>
    <x v="3"/>
    <s v="HILSRTW129.AMR.CORP.INTEL.COM"/>
    <s v="Yes"/>
    <x v="2"/>
    <s v="Windows"/>
    <m/>
    <m/>
    <x v="6"/>
    <x v="0"/>
    <x v="2"/>
    <x v="2"/>
    <x v="3"/>
    <m/>
    <m/>
    <m/>
    <m/>
    <x v="13"/>
    <m/>
    <m/>
    <m/>
    <m/>
    <m/>
    <m/>
    <m/>
    <m/>
    <m/>
    <x v="2"/>
    <m/>
    <m/>
  </r>
  <r>
    <x v="3"/>
    <s v="HILSRTW130.AMR.CORP.INTEL.COM"/>
    <s v="Yes"/>
    <x v="2"/>
    <s v="Windows"/>
    <m/>
    <m/>
    <x v="6"/>
    <x v="0"/>
    <x v="2"/>
    <x v="2"/>
    <x v="3"/>
    <m/>
    <m/>
    <m/>
    <m/>
    <x v="13"/>
    <m/>
    <m/>
    <m/>
    <m/>
    <m/>
    <m/>
    <m/>
    <m/>
    <m/>
    <x v="2"/>
    <m/>
    <m/>
  </r>
  <r>
    <x v="3"/>
    <s v="HILSRTW126.AMR.CORP.INTEL.COM"/>
    <s v="Yes"/>
    <x v="2"/>
    <s v="Windows"/>
    <m/>
    <m/>
    <x v="6"/>
    <x v="0"/>
    <x v="2"/>
    <x v="2"/>
    <x v="3"/>
    <m/>
    <m/>
    <m/>
    <m/>
    <x v="13"/>
    <m/>
    <m/>
    <m/>
    <m/>
    <m/>
    <m/>
    <m/>
    <m/>
    <m/>
    <x v="2"/>
    <m/>
    <m/>
  </r>
  <r>
    <x v="3"/>
    <s v="HILSRTE067.AMR.CORP.INTEL.COM"/>
    <s v="Yes"/>
    <x v="2"/>
    <s v="Windows"/>
    <m/>
    <m/>
    <x v="6"/>
    <x v="0"/>
    <x v="2"/>
    <x v="2"/>
    <x v="3"/>
    <m/>
    <m/>
    <m/>
    <m/>
    <x v="13"/>
    <m/>
    <m/>
    <m/>
    <m/>
    <m/>
    <m/>
    <m/>
    <m/>
    <m/>
    <x v="2"/>
    <m/>
    <m/>
  </r>
  <r>
    <x v="3"/>
    <s v="HILSRTW065.AMR.CORP.INTEL.COM"/>
    <s v="Yes"/>
    <x v="2"/>
    <s v="Windows"/>
    <m/>
    <m/>
    <x v="6"/>
    <x v="0"/>
    <x v="2"/>
    <x v="2"/>
    <x v="3"/>
    <m/>
    <m/>
    <m/>
    <m/>
    <x v="13"/>
    <m/>
    <m/>
    <m/>
    <m/>
    <m/>
    <m/>
    <m/>
    <m/>
    <m/>
    <x v="2"/>
    <m/>
    <m/>
  </r>
  <r>
    <x v="3"/>
    <s v="HILSRTL267"/>
    <s v="No"/>
    <x v="10"/>
    <s v="PCIe"/>
    <m/>
    <m/>
    <x v="0"/>
    <x v="1"/>
    <x v="24"/>
    <x v="56"/>
    <x v="1"/>
    <s v="No"/>
    <s v="No"/>
    <m/>
    <s v="HILSRTM010sMini.hf.intel.com"/>
    <x v="13"/>
    <m/>
    <m/>
    <m/>
    <m/>
    <m/>
    <m/>
    <m/>
    <s v="Yes"/>
    <s v="Yes"/>
    <x v="3"/>
    <m/>
    <m/>
  </r>
  <r>
    <x v="3"/>
    <s v="HILSRTL269"/>
    <s v="No"/>
    <x v="10"/>
    <s v="PCIe"/>
    <m/>
    <m/>
    <x v="0"/>
    <x v="1"/>
    <x v="24"/>
    <x v="56"/>
    <x v="1"/>
    <s v="No"/>
    <s v="No"/>
    <m/>
    <s v="HILSRTM010sMini.hf.intel.com"/>
    <x v="13"/>
    <m/>
    <m/>
    <m/>
    <m/>
    <m/>
    <m/>
    <m/>
    <s v="Yes"/>
    <s v="Yes"/>
    <x v="0"/>
    <m/>
    <m/>
  </r>
  <r>
    <x v="3"/>
    <s v="HILSRTL270"/>
    <s v="No"/>
    <x v="10"/>
    <s v="PCIe"/>
    <m/>
    <m/>
    <x v="0"/>
    <x v="1"/>
    <x v="24"/>
    <x v="56"/>
    <x v="1"/>
    <s v="No"/>
    <s v="No"/>
    <m/>
    <s v="HILSRTM010sMini.hf.intel.com"/>
    <x v="13"/>
    <m/>
    <m/>
    <m/>
    <m/>
    <m/>
    <m/>
    <m/>
    <s v="Yes"/>
    <s v="Yes"/>
    <x v="0"/>
    <m/>
    <m/>
  </r>
  <r>
    <x v="3"/>
    <s v="HILSRTL282"/>
    <s v="No"/>
    <x v="10"/>
    <s v="PCIe"/>
    <m/>
    <m/>
    <x v="0"/>
    <x v="1"/>
    <x v="24"/>
    <x v="56"/>
    <x v="1"/>
    <s v="No"/>
    <s v="No"/>
    <m/>
    <s v="HILSRTM010sMini.hf.intel.com"/>
    <x v="13"/>
    <m/>
    <m/>
    <m/>
    <m/>
    <m/>
    <m/>
    <m/>
    <s v="Yes"/>
    <s v="Yes"/>
    <x v="0"/>
    <m/>
    <m/>
  </r>
  <r>
    <x v="3"/>
    <s v="HILSRTL283"/>
    <s v="No"/>
    <x v="10"/>
    <s v="PCIe"/>
    <m/>
    <m/>
    <x v="0"/>
    <x v="1"/>
    <x v="24"/>
    <x v="56"/>
    <x v="1"/>
    <s v="No"/>
    <s v="No"/>
    <m/>
    <s v="HILSRTM010sMini.hf.intel.com"/>
    <x v="13"/>
    <m/>
    <m/>
    <m/>
    <m/>
    <m/>
    <m/>
    <m/>
    <s v="Yes"/>
    <s v="Yes"/>
    <x v="0"/>
    <m/>
    <m/>
  </r>
  <r>
    <x v="3"/>
    <s v="HILSRTL285"/>
    <s v="No"/>
    <x v="10"/>
    <s v="PCIe"/>
    <m/>
    <m/>
    <x v="0"/>
    <x v="1"/>
    <x v="24"/>
    <x v="56"/>
    <x v="1"/>
    <s v="No"/>
    <s v="No"/>
    <m/>
    <s v="HILSRTM008sMini.hf.intel.com"/>
    <x v="13"/>
    <m/>
    <m/>
    <m/>
    <m/>
    <m/>
    <m/>
    <m/>
    <s v="Yes"/>
    <s v="Yes"/>
    <x v="0"/>
    <m/>
    <m/>
  </r>
  <r>
    <x v="3"/>
    <s v="HILSRTL286"/>
    <s v="No"/>
    <x v="10"/>
    <s v="PCIe"/>
    <m/>
    <m/>
    <x v="0"/>
    <x v="1"/>
    <x v="24"/>
    <x v="56"/>
    <x v="1"/>
    <s v="No"/>
    <s v="No"/>
    <m/>
    <s v="HILSRTM008sMini.hf.intel.com"/>
    <x v="13"/>
    <m/>
    <m/>
    <m/>
    <m/>
    <m/>
    <m/>
    <m/>
    <s v="Yes"/>
    <s v="Yes"/>
    <x v="0"/>
    <m/>
    <m/>
  </r>
  <r>
    <x v="3"/>
    <s v="HILSRTL259"/>
    <s v="No"/>
    <x v="10"/>
    <s v="PCIe"/>
    <m/>
    <m/>
    <x v="0"/>
    <x v="1"/>
    <x v="24"/>
    <x v="56"/>
    <x v="1"/>
    <s v="No"/>
    <s v="No"/>
    <m/>
    <s v="HILSRTM008sMini.hf.intel.com"/>
    <x v="13"/>
    <m/>
    <m/>
    <m/>
    <m/>
    <m/>
    <m/>
    <m/>
    <s v="Yes"/>
    <s v="Yes"/>
    <x v="0"/>
    <m/>
    <m/>
  </r>
  <r>
    <x v="3"/>
    <s v="HILSRTL268"/>
    <s v="No"/>
    <x v="10"/>
    <s v="PCIe"/>
    <m/>
    <m/>
    <x v="0"/>
    <x v="1"/>
    <x v="24"/>
    <x v="56"/>
    <x v="1"/>
    <s v="No"/>
    <s v="No"/>
    <m/>
    <s v="HILSRTM008sMini.hf.intel.com"/>
    <x v="13"/>
    <m/>
    <m/>
    <m/>
    <m/>
    <m/>
    <m/>
    <m/>
    <s v="Yes"/>
    <s v="Yes"/>
    <x v="1"/>
    <m/>
    <m/>
  </r>
  <r>
    <x v="3"/>
    <s v="HILSRTL289"/>
    <s v="No"/>
    <x v="10"/>
    <s v="PCIe"/>
    <m/>
    <m/>
    <x v="0"/>
    <x v="1"/>
    <x v="24"/>
    <x v="56"/>
    <x v="1"/>
    <s v="No"/>
    <s v="No"/>
    <m/>
    <s v="HILSRTM008sMini.hf.intel.com"/>
    <x v="13"/>
    <m/>
    <m/>
    <m/>
    <m/>
    <m/>
    <m/>
    <m/>
    <s v="Yes"/>
    <s v="Yes"/>
    <x v="1"/>
    <m/>
    <m/>
  </r>
  <r>
    <x v="2"/>
    <s v="SDSRTL157"/>
    <s v="Yes"/>
    <x v="4"/>
    <s v="PCIe"/>
    <n v="3648322"/>
    <m/>
    <x v="1"/>
    <x v="0"/>
    <x v="21"/>
    <x v="52"/>
    <x v="8"/>
    <s v="No"/>
    <s v="No"/>
    <s v="No"/>
    <m/>
    <x v="13"/>
    <m/>
    <m/>
    <m/>
    <m/>
    <m/>
    <m/>
    <m/>
    <s v="Yes"/>
    <s v="Yes"/>
    <x v="0"/>
    <m/>
    <s v="3G CEB"/>
  </r>
  <r>
    <x v="2"/>
    <s v="SDSRTL158"/>
    <s v="Yes"/>
    <x v="4"/>
    <s v="PCIe"/>
    <n v="3647897"/>
    <m/>
    <x v="1"/>
    <x v="0"/>
    <x v="21"/>
    <x v="5"/>
    <x v="8"/>
    <s v="No"/>
    <s v="No"/>
    <s v="No"/>
    <m/>
    <x v="13"/>
    <m/>
    <m/>
    <m/>
    <m/>
    <m/>
    <m/>
    <m/>
    <s v="Yes"/>
    <s v="Yes"/>
    <x v="0"/>
    <m/>
    <s v="3G CEB"/>
  </r>
  <r>
    <x v="2"/>
    <s v="SDSRTL159"/>
    <s v="Yes"/>
    <x v="1"/>
    <s v="PCIe"/>
    <n v="3648283"/>
    <m/>
    <x v="1"/>
    <x v="0"/>
    <x v="21"/>
    <x v="52"/>
    <x v="8"/>
    <s v="No"/>
    <s v="No"/>
    <s v="No"/>
    <m/>
    <x v="13"/>
    <m/>
    <m/>
    <m/>
    <m/>
    <m/>
    <m/>
    <m/>
    <s v="Yes"/>
    <s v="Yes"/>
    <x v="0"/>
    <m/>
    <s v="CPS &amp; Power"/>
  </r>
  <r>
    <x v="2"/>
    <s v="SDSRTL160"/>
    <s v="Yes"/>
    <x v="1"/>
    <s v="PCIe"/>
    <n v="3647760"/>
    <m/>
    <x v="1"/>
    <x v="0"/>
    <x v="21"/>
    <x v="52"/>
    <x v="8"/>
    <s v="No"/>
    <s v="No"/>
    <s v="No"/>
    <m/>
    <x v="13"/>
    <m/>
    <m/>
    <m/>
    <m/>
    <m/>
    <m/>
    <m/>
    <s v="Yes"/>
    <s v="Yes"/>
    <x v="0"/>
    <m/>
    <s v="PFSW&amp;Smarti"/>
  </r>
  <r>
    <x v="2"/>
    <s v="SDSRTL161"/>
    <s v="Yes"/>
    <x v="1"/>
    <s v="PCIe"/>
    <n v="3374821"/>
    <m/>
    <x v="1"/>
    <x v="0"/>
    <x v="21"/>
    <x v="2"/>
    <x v="3"/>
    <s v="No"/>
    <s v="No"/>
    <s v="No"/>
    <m/>
    <x v="13"/>
    <m/>
    <m/>
    <m/>
    <m/>
    <m/>
    <m/>
    <m/>
    <s v="Yes"/>
    <s v="Yes"/>
    <x v="1"/>
    <m/>
    <s v="HW handed over to another team"/>
  </r>
  <r>
    <x v="2"/>
    <s v="SDSRTL163"/>
    <s v="Yes"/>
    <x v="3"/>
    <s v="PCIe"/>
    <n v="4079948"/>
    <m/>
    <x v="1"/>
    <x v="0"/>
    <x v="21"/>
    <x v="6"/>
    <x v="8"/>
    <s v="No"/>
    <s v="No"/>
    <s v="No"/>
    <m/>
    <x v="13"/>
    <m/>
    <m/>
    <m/>
    <m/>
    <m/>
    <m/>
    <m/>
    <s v="Yes"/>
    <s v="Yes"/>
    <x v="0"/>
    <m/>
    <m/>
  </r>
  <r>
    <x v="2"/>
    <s v="SDSRTL164"/>
    <s v="Yes"/>
    <x v="3"/>
    <s v="PCIe"/>
    <n v="4079924"/>
    <m/>
    <x v="1"/>
    <x v="0"/>
    <x v="21"/>
    <x v="6"/>
    <x v="8"/>
    <s v="No"/>
    <s v="No"/>
    <s v="No"/>
    <m/>
    <x v="13"/>
    <m/>
    <m/>
    <m/>
    <m/>
    <m/>
    <m/>
    <m/>
    <s v="Yes"/>
    <s v="Yes"/>
    <x v="0"/>
    <m/>
    <s v="Actually running UTC on 2G -- 11/19"/>
  </r>
  <r>
    <x v="2"/>
    <s v="SDSRTL165"/>
    <s v="Yes"/>
    <x v="3"/>
    <s v="PCIe"/>
    <n v="4079899"/>
    <m/>
    <x v="1"/>
    <x v="0"/>
    <x v="21"/>
    <x v="4"/>
    <x v="8"/>
    <s v="No"/>
    <s v="No"/>
    <s v="No"/>
    <m/>
    <x v="13"/>
    <m/>
    <m/>
    <m/>
    <m/>
    <m/>
    <m/>
    <m/>
    <s v="Yes"/>
    <s v="Yes"/>
    <x v="0"/>
    <m/>
    <m/>
  </r>
  <r>
    <x v="2"/>
    <s v="SDSRTL166"/>
    <s v="Yes"/>
    <x v="0"/>
    <s v="PCIe"/>
    <n v="4079944"/>
    <m/>
    <x v="1"/>
    <x v="0"/>
    <x v="21"/>
    <x v="52"/>
    <x v="8"/>
    <s v="No"/>
    <s v="No"/>
    <s v="No"/>
    <m/>
    <x v="13"/>
    <m/>
    <m/>
    <m/>
    <m/>
    <m/>
    <m/>
    <m/>
    <s v="Yes"/>
    <s v="Yes"/>
    <x v="0"/>
    <m/>
    <m/>
  </r>
  <r>
    <x v="2"/>
    <s v="SDSRTL167"/>
    <s v="Yes"/>
    <x v="1"/>
    <s v="PCIe"/>
    <n v="4079904"/>
    <m/>
    <x v="1"/>
    <x v="0"/>
    <x v="22"/>
    <x v="14"/>
    <x v="8"/>
    <s v="No"/>
    <s v="No"/>
    <s v="No"/>
    <m/>
    <x v="13"/>
    <m/>
    <m/>
    <m/>
    <m/>
    <m/>
    <m/>
    <m/>
    <s v="Yes"/>
    <s v="Yes"/>
    <x v="0"/>
    <m/>
    <s v="11 DEC: Dry Run under tests_x000a_07 DEC: Convert to Sprint SRLTE for CDMA_CPS"/>
  </r>
  <r>
    <x v="2"/>
    <s v="SDSRTL168"/>
    <s v="Yes"/>
    <x v="1"/>
    <s v="PCIe"/>
    <n v="4079825"/>
    <m/>
    <x v="1"/>
    <x v="0"/>
    <x v="22"/>
    <x v="13"/>
    <x v="8"/>
    <s v="No"/>
    <s v="No"/>
    <s v="No"/>
    <m/>
    <x v="13"/>
    <m/>
    <m/>
    <m/>
    <m/>
    <m/>
    <m/>
    <m/>
    <s v="Yes"/>
    <s v="Yes"/>
    <x v="0"/>
    <m/>
    <s v="11 DEC: Dry Run under tests_x000a_07 DEC: Convert to Sprint Hybrid for CDMA_CPS"/>
  </r>
  <r>
    <x v="2"/>
    <s v="SDSRTL169"/>
    <s v="Yes"/>
    <x v="3"/>
    <s v="PCIe"/>
    <n v="4079798"/>
    <m/>
    <x v="1"/>
    <x v="0"/>
    <x v="20"/>
    <x v="5"/>
    <x v="8"/>
    <s v="No"/>
    <s v="No"/>
    <s v="No"/>
    <m/>
    <x v="13"/>
    <m/>
    <m/>
    <m/>
    <m/>
    <m/>
    <m/>
    <m/>
    <s v="Yes"/>
    <s v="Yes"/>
    <x v="0"/>
    <m/>
    <m/>
  </r>
  <r>
    <x v="2"/>
    <s v="SDSRTL170"/>
    <s v="Yes"/>
    <x v="0"/>
    <s v="PCIe"/>
    <n v="4079969"/>
    <m/>
    <x v="1"/>
    <x v="0"/>
    <x v="20"/>
    <x v="5"/>
    <x v="8"/>
    <s v="No"/>
    <s v="No"/>
    <s v="No"/>
    <m/>
    <x v="13"/>
    <m/>
    <m/>
    <m/>
    <m/>
    <m/>
    <m/>
    <m/>
    <s v="Yes"/>
    <s v="Yes"/>
    <x v="0"/>
    <m/>
    <m/>
  </r>
  <r>
    <x v="2"/>
    <s v="SDSRTL171"/>
    <s v="Yes"/>
    <x v="4"/>
    <s v="PCIe"/>
    <n v="4079903"/>
    <m/>
    <x v="1"/>
    <x v="0"/>
    <x v="20"/>
    <x v="32"/>
    <x v="8"/>
    <s v="No"/>
    <s v="No"/>
    <s v="No"/>
    <m/>
    <x v="13"/>
    <m/>
    <m/>
    <m/>
    <m/>
    <m/>
    <m/>
    <m/>
    <s v="Yes"/>
    <s v="Yes"/>
    <x v="0"/>
    <m/>
    <s v="LTE CEB"/>
  </r>
  <r>
    <x v="2"/>
    <s v="SDSRTL172"/>
    <s v="Yes"/>
    <x v="4"/>
    <s v="PCIe"/>
    <n v="4079805"/>
    <m/>
    <x v="1"/>
    <x v="0"/>
    <x v="20"/>
    <x v="52"/>
    <x v="8"/>
    <s v="No"/>
    <s v="No"/>
    <s v="No"/>
    <m/>
    <x v="13"/>
    <m/>
    <m/>
    <m/>
    <m/>
    <m/>
    <m/>
    <m/>
    <s v="Yes"/>
    <s v="Yes"/>
    <x v="0"/>
    <m/>
    <s v="LTE CEB"/>
  </r>
  <r>
    <x v="2"/>
    <s v="SDSRTL173"/>
    <s v="Yes"/>
    <x v="3"/>
    <s v="PCIe"/>
    <n v="4079951"/>
    <m/>
    <x v="1"/>
    <x v="0"/>
    <x v="21"/>
    <x v="4"/>
    <x v="8"/>
    <s v="No"/>
    <s v="No"/>
    <s v="No"/>
    <m/>
    <x v="13"/>
    <m/>
    <m/>
    <m/>
    <m/>
    <m/>
    <m/>
    <m/>
    <s v="Yes"/>
    <s v="Yes"/>
    <x v="0"/>
    <m/>
    <m/>
  </r>
  <r>
    <x v="2"/>
    <s v="SDSRTL174"/>
    <s v="Yes"/>
    <x v="3"/>
    <s v="PCIe"/>
    <n v="4079815"/>
    <m/>
    <x v="1"/>
    <x v="0"/>
    <x v="49"/>
    <x v="13"/>
    <x v="8"/>
    <s v="No"/>
    <s v="Yes"/>
    <s v="No"/>
    <m/>
    <x v="13"/>
    <m/>
    <m/>
    <m/>
    <m/>
    <m/>
    <m/>
    <m/>
    <s v="Yes"/>
    <s v="Yes"/>
    <x v="0"/>
    <m/>
    <m/>
  </r>
  <r>
    <x v="2"/>
    <s v="SDSRTL175"/>
    <s v="Yes"/>
    <x v="3"/>
    <s v="PCIe"/>
    <n v="4079942"/>
    <m/>
    <x v="1"/>
    <x v="0"/>
    <x v="49"/>
    <x v="14"/>
    <x v="8"/>
    <s v="No"/>
    <s v="Yes"/>
    <s v="No"/>
    <m/>
    <x v="13"/>
    <m/>
    <m/>
    <m/>
    <m/>
    <m/>
    <m/>
    <m/>
    <s v="Yes"/>
    <s v="Yes"/>
    <x v="0"/>
    <m/>
    <m/>
  </r>
  <r>
    <x v="2"/>
    <s v="SDSRTL176"/>
    <s v="Yes"/>
    <x v="3"/>
    <s v="PCIe"/>
    <n v="4079888"/>
    <m/>
    <x v="1"/>
    <x v="0"/>
    <x v="49"/>
    <x v="4"/>
    <x v="8"/>
    <s v="No"/>
    <s v="Yes"/>
    <s v="No"/>
    <m/>
    <x v="13"/>
    <m/>
    <m/>
    <m/>
    <m/>
    <m/>
    <m/>
    <m/>
    <s v="Yes"/>
    <s v="Yes"/>
    <x v="0"/>
    <m/>
    <m/>
  </r>
  <r>
    <x v="2"/>
    <s v="SDSRTL177"/>
    <s v="Yes"/>
    <x v="3"/>
    <s v="PCIe"/>
    <n v="4079836"/>
    <m/>
    <x v="1"/>
    <x v="1"/>
    <x v="56"/>
    <x v="57"/>
    <x v="8"/>
    <s v="No"/>
    <s v="Yes"/>
    <s v="No"/>
    <m/>
    <x v="13"/>
    <m/>
    <m/>
    <m/>
    <m/>
    <m/>
    <m/>
    <m/>
    <s v="Yes"/>
    <s v="Yes"/>
    <x v="0"/>
    <m/>
    <s v="21 NOV: Good from Ramp up Perspective. SRLTE not working due to SMS31465558_x000a_dry run today 11/19"/>
  </r>
  <r>
    <x v="2"/>
    <s v="SDSRTL178"/>
    <s v="Yes"/>
    <x v="0"/>
    <s v="PCIe"/>
    <n v="4079892"/>
    <m/>
    <x v="1"/>
    <x v="0"/>
    <x v="19"/>
    <x v="14"/>
    <x v="8"/>
    <s v="No"/>
    <s v="Yes"/>
    <s v="No"/>
    <m/>
    <x v="13"/>
    <m/>
    <m/>
    <m/>
    <m/>
    <m/>
    <m/>
    <m/>
    <s v="Yes"/>
    <s v="Yes"/>
    <x v="0"/>
    <m/>
    <m/>
  </r>
  <r>
    <x v="2"/>
    <s v="SDSRTL179"/>
    <s v="Yes"/>
    <x v="0"/>
    <s v="PCIe"/>
    <n v="4079813"/>
    <m/>
    <x v="1"/>
    <x v="0"/>
    <x v="19"/>
    <x v="13"/>
    <x v="8"/>
    <s v="No"/>
    <s v="Yes"/>
    <s v="No"/>
    <m/>
    <x v="13"/>
    <m/>
    <m/>
    <m/>
    <m/>
    <m/>
    <m/>
    <m/>
    <s v="Yes"/>
    <s v="Yes"/>
    <x v="0"/>
    <m/>
    <m/>
  </r>
  <r>
    <x v="2"/>
    <s v="SDSRTL180"/>
    <s v="Yes"/>
    <x v="3"/>
    <s v="PCIe"/>
    <n v="4079889"/>
    <m/>
    <x v="1"/>
    <x v="0"/>
    <x v="20"/>
    <x v="4"/>
    <x v="8"/>
    <s v="No"/>
    <s v="No"/>
    <s v="No"/>
    <m/>
    <x v="13"/>
    <m/>
    <m/>
    <m/>
    <m/>
    <m/>
    <m/>
    <m/>
    <s v="Yes"/>
    <s v="Yes"/>
    <x v="0"/>
    <m/>
    <m/>
  </r>
  <r>
    <x v="2"/>
    <s v="SDSRTL181"/>
    <s v="Yes"/>
    <x v="0"/>
    <s v="PCIe"/>
    <n v="4079855"/>
    <m/>
    <x v="1"/>
    <x v="0"/>
    <x v="20"/>
    <x v="32"/>
    <x v="8"/>
    <s v="No"/>
    <s v="No"/>
    <s v="No"/>
    <m/>
    <x v="13"/>
    <m/>
    <m/>
    <m/>
    <m/>
    <m/>
    <m/>
    <m/>
    <s v="Yes"/>
    <s v="Yes"/>
    <x v="0"/>
    <m/>
    <m/>
  </r>
  <r>
    <x v="2"/>
    <s v="SDSRTL182"/>
    <s v="Yes"/>
    <x v="4"/>
    <s v="PCIe"/>
    <n v="4079796"/>
    <m/>
    <x v="1"/>
    <x v="0"/>
    <x v="21"/>
    <x v="52"/>
    <x v="8"/>
    <s v="No"/>
    <s v="No"/>
    <s v="No"/>
    <m/>
    <x v="13"/>
    <m/>
    <m/>
    <m/>
    <m/>
    <m/>
    <m/>
    <m/>
    <s v="Yes"/>
    <s v="Yes"/>
    <x v="0"/>
    <m/>
    <s v="LTE CEB"/>
  </r>
  <r>
    <x v="2"/>
    <s v="SDSRTL183"/>
    <s v="Yes"/>
    <x v="3"/>
    <s v="PCIe"/>
    <n v="4079808"/>
    <m/>
    <x v="1"/>
    <x v="1"/>
    <x v="56"/>
    <x v="57"/>
    <x v="8"/>
    <s v="No"/>
    <s v="No"/>
    <s v="No"/>
    <m/>
    <x v="13"/>
    <m/>
    <m/>
    <m/>
    <m/>
    <m/>
    <m/>
    <m/>
    <s v="Yes"/>
    <s v="Yes"/>
    <x v="0"/>
    <m/>
    <s v="21 NOV: Good from Ramp up Perspective. SRLTE not working due to SMS31465558_x000a_dry run today 11/19"/>
  </r>
  <r>
    <x v="2"/>
    <s v="SDSRTL184"/>
    <s v="Yes"/>
    <x v="3"/>
    <s v="PCIe"/>
    <n v="4079852"/>
    <m/>
    <x v="1"/>
    <x v="0"/>
    <x v="22"/>
    <x v="14"/>
    <x v="8"/>
    <s v="No"/>
    <s v="Yes"/>
    <s v="No"/>
    <m/>
    <x v="13"/>
    <m/>
    <m/>
    <m/>
    <m/>
    <m/>
    <m/>
    <m/>
    <s v="Yes"/>
    <s v="Yes"/>
    <x v="0"/>
    <m/>
    <m/>
  </r>
  <r>
    <x v="2"/>
    <s v="SDSRTL185"/>
    <s v="Yes"/>
    <x v="3"/>
    <s v="PCIe"/>
    <n v="4079885"/>
    <m/>
    <x v="1"/>
    <x v="0"/>
    <x v="22"/>
    <x v="13"/>
    <x v="8"/>
    <s v="No"/>
    <s v="Yes"/>
    <s v="No"/>
    <m/>
    <x v="13"/>
    <m/>
    <m/>
    <m/>
    <m/>
    <m/>
    <m/>
    <m/>
    <s v="Yes"/>
    <s v="Yes"/>
    <x v="0"/>
    <m/>
    <m/>
  </r>
  <r>
    <x v="2"/>
    <s v="SDSRTL186"/>
    <s v="Yes"/>
    <x v="3"/>
    <s v="PCIe"/>
    <n v="4079906"/>
    <m/>
    <x v="1"/>
    <x v="1"/>
    <x v="52"/>
    <x v="55"/>
    <x v="8"/>
    <s v="No"/>
    <s v="No"/>
    <s v="No"/>
    <m/>
    <x v="13"/>
    <m/>
    <m/>
    <m/>
    <m/>
    <m/>
    <m/>
    <d v="2018-11-26T00:00:00"/>
    <s v="Yes"/>
    <s v="Yes"/>
    <x v="0"/>
    <m/>
    <s v="29 NOV: Released for regular testing_x000a_28 NOV: Dry run ok. To send for BO Analysis_x000a_26 Nov: TMO sim Swapped with ATT --- sanity run in progress -- details in email"/>
  </r>
  <r>
    <x v="2"/>
    <s v="SDSRTL187"/>
    <s v="Yes"/>
    <x v="0"/>
    <s v="PCIe"/>
    <n v="4079814"/>
    <m/>
    <x v="1"/>
    <x v="0"/>
    <x v="22"/>
    <x v="13"/>
    <x v="8"/>
    <s v="No"/>
    <s v="Yes"/>
    <s v="No"/>
    <m/>
    <x v="13"/>
    <m/>
    <m/>
    <m/>
    <m/>
    <m/>
    <m/>
    <m/>
    <s v="Yes"/>
    <s v="Yes"/>
    <x v="0"/>
    <m/>
    <m/>
  </r>
  <r>
    <x v="2"/>
    <s v="SDSRTL188"/>
    <s v="Yes"/>
    <x v="0"/>
    <s v="PCIe"/>
    <n v="4079789"/>
    <m/>
    <x v="1"/>
    <x v="0"/>
    <x v="22"/>
    <x v="14"/>
    <x v="8"/>
    <s v="No"/>
    <s v="Yes"/>
    <s v="No"/>
    <m/>
    <x v="13"/>
    <m/>
    <m/>
    <m/>
    <m/>
    <m/>
    <m/>
    <m/>
    <s v="Yes"/>
    <s v="Yes"/>
    <x v="0"/>
    <m/>
    <s v="20 Nov : Issue with SRLTE Campaign - SMS31465558 _x000a_Dry Run 11/19 --- check results --- shehryar"/>
  </r>
  <r>
    <x v="2"/>
    <s v="SDSRTL189"/>
    <s v="Yes"/>
    <x v="3"/>
    <s v="PCIe"/>
    <n v="4079807"/>
    <m/>
    <x v="1"/>
    <x v="1"/>
    <x v="51"/>
    <x v="58"/>
    <x v="8"/>
    <s v="No"/>
    <s v="No"/>
    <s v="No"/>
    <m/>
    <x v="13"/>
    <m/>
    <m/>
    <m/>
    <m/>
    <m/>
    <m/>
    <m/>
    <s v="Yes"/>
    <s v="Yes"/>
    <x v="0"/>
    <m/>
    <m/>
  </r>
  <r>
    <x v="2"/>
    <s v="SDSRTL190"/>
    <s v="Yes"/>
    <x v="3"/>
    <s v="PCIe"/>
    <n v="4079974"/>
    <m/>
    <x v="1"/>
    <x v="1"/>
    <x v="51"/>
    <x v="58"/>
    <x v="8"/>
    <s v="No"/>
    <s v="No"/>
    <s v="No"/>
    <m/>
    <x v="13"/>
    <m/>
    <m/>
    <m/>
    <m/>
    <m/>
    <m/>
    <m/>
    <s v="Yes"/>
    <s v="Yes"/>
    <x v="0"/>
    <m/>
    <m/>
  </r>
  <r>
    <x v="2"/>
    <s v="SDSRTL191"/>
    <s v="Yes"/>
    <x v="3"/>
    <s v="PCIe"/>
    <n v="4079462"/>
    <m/>
    <x v="1"/>
    <x v="1"/>
    <x v="52"/>
    <x v="55"/>
    <x v="8"/>
    <s v="No"/>
    <s v="No"/>
    <s v="No"/>
    <m/>
    <x v="13"/>
    <m/>
    <m/>
    <m/>
    <m/>
    <m/>
    <m/>
    <d v="2018-11-26T00:00:00"/>
    <s v="Yes"/>
    <s v="Yes"/>
    <x v="0"/>
    <m/>
    <s v="29 NOV: Released for regular testing_x000a_28 NOV: Dry run ok. To send for BO Analysis_x000a_26 Nov: TMO sim Swapped with ATT --- sanity run in progress -- details in email"/>
  </r>
  <r>
    <x v="2"/>
    <s v="SDSRTL192"/>
    <s v="Yes"/>
    <x v="3"/>
    <s v="PCIe"/>
    <n v="4079503"/>
    <m/>
    <x v="1"/>
    <x v="1"/>
    <x v="57"/>
    <x v="59"/>
    <x v="8"/>
    <s v="No"/>
    <s v="No"/>
    <s v="No"/>
    <m/>
    <x v="13"/>
    <m/>
    <m/>
    <m/>
    <m/>
    <m/>
    <m/>
    <d v="2018-11-26T00:00:00"/>
    <s v="Yes"/>
    <s v="Yes"/>
    <x v="0"/>
    <m/>
    <s v="10 DEC: Dry Run stats sent to BO for analysis_x000a_06 DEC: To try /clone same as 266306 VER ID_x000a_30 NOV: 100% MO/MT Call Failure_x000a_27 NOV: Ran with SRLTE+Hybrid and attach failed. Restarted with needed Combo_x000a_26 Nov: Sanity Run in progress -- details emailed"/>
  </r>
  <r>
    <x v="1"/>
    <s v="MUCSRTL181"/>
    <s v="Yes"/>
    <x v="3"/>
    <s v="BlackRay"/>
    <s v="SN4079719"/>
    <s v="11.1.371 Rack 8/4"/>
    <x v="1"/>
    <x v="0"/>
    <x v="15"/>
    <x v="4"/>
    <x v="8"/>
    <s v="No"/>
    <s v="No"/>
    <s v="4x"/>
    <s v="MUCSRTMAC130.IMU.INTEL.COM"/>
    <x v="787"/>
    <s v="EC7CE50282DBFEC6FFFFFFFF"/>
    <s v="C07826400L2X1R36"/>
    <s v="491725177795"/>
    <n v="440152289915"/>
    <m/>
    <m/>
    <m/>
    <s v="Yes"/>
    <s v="Yes"/>
    <x v="1"/>
    <s v="Lend to Script"/>
    <s v="With Graeme"/>
  </r>
  <r>
    <x v="1"/>
    <s v="MUCSRTL182"/>
    <s v="Yes"/>
    <x v="1"/>
    <s v="BlackRay"/>
    <s v="SN4079591"/>
    <s v="11.1.371 Rack 8/4"/>
    <x v="1"/>
    <x v="0"/>
    <x v="14"/>
    <x v="4"/>
    <x v="8"/>
    <s v="No"/>
    <s v="No"/>
    <s v="4x"/>
    <s v="MUCSRTMAC130.IMU.INTEL.COM"/>
    <x v="788"/>
    <s v="C1EC5067A4738463FFFFFFFF"/>
    <s v="C07826400NEX1R36"/>
    <s v="4917610045781"/>
    <n v="440152289938"/>
    <m/>
    <m/>
    <m/>
    <s v="Yes"/>
    <s v="Yes"/>
    <x v="0"/>
    <m/>
    <s v="10 DEC: Under Sanity tests_x000a_07Dec : Sanity Ongoing with PreINT Build_x000a_05 DEC: For CPS &amp; Power"/>
  </r>
  <r>
    <x v="1"/>
    <s v="MUCSRTL183"/>
    <s v="Yes"/>
    <x v="1"/>
    <s v="BlackRay"/>
    <s v="SN4079600"/>
    <s v="11.1.371 Rack 7/2"/>
    <x v="1"/>
    <x v="0"/>
    <x v="58"/>
    <x v="4"/>
    <x v="8"/>
    <s v="No"/>
    <s v="No"/>
    <s v="4x"/>
    <s v="MUCSRTMAC130.IMU.INTEL.COM"/>
    <x v="789"/>
    <s v="C6C6AC61ADF36248FFFFFFFF"/>
    <s v="C07826400MVX1R36"/>
    <s v="4915152884138"/>
    <n v="440152289930"/>
    <m/>
    <m/>
    <m/>
    <s v="Yes"/>
    <s v="Yes"/>
    <x v="0"/>
    <m/>
    <s v="07 Dec : Released from Pipe Clean and can be used for Normal Testing_x000a_06 Dec : Sanity Ongoing with PreINT Build_x000a_05 DEC: For CPS &amp; Power"/>
  </r>
  <r>
    <x v="1"/>
    <s v="MUCSRTL184"/>
    <s v="Yes"/>
    <x v="1"/>
    <s v="BlackRay"/>
    <s v="SN4079504"/>
    <s v="11.1.371 Rack 7/2"/>
    <x v="1"/>
    <x v="0"/>
    <x v="55"/>
    <x v="4"/>
    <x v="8"/>
    <s v="No"/>
    <s v="No"/>
    <s v="4x"/>
    <s v="MUCSRTMAC130.IMU.INTEL.COM"/>
    <x v="790"/>
    <s v="9082040A5A9A426DFFFFFFFF"/>
    <s v="C07826400P6X1R36"/>
    <s v="4917610506582"/>
    <n v="440152289931"/>
    <m/>
    <m/>
    <m/>
    <s v="Yes"/>
    <s v="Yes"/>
    <x v="0"/>
    <m/>
    <s v="07 Dec : Released from Pipe Clean and can be used for Normal Testing_x000a_06 Dec : Sanity Ongoing with PreINT Build_x000a_05 DEC: For PFSW&amp; Smarti"/>
  </r>
  <r>
    <x v="1"/>
    <s v="MUCSRTL185"/>
    <s v="No"/>
    <x v="2"/>
    <s v="BlackRay"/>
    <n v="4079946"/>
    <m/>
    <x v="0"/>
    <x v="0"/>
    <x v="14"/>
    <x v="4"/>
    <x v="1"/>
    <s v="No"/>
    <s v="No"/>
    <s v="4x"/>
    <s v="MUCSRTMAC130.IMU.INTEL.COM"/>
    <x v="791"/>
    <s v="E1DF29E4B6F10A00FFFFFFFF"/>
    <m/>
    <s v="4915780540999"/>
    <n v="440152248638"/>
    <m/>
    <m/>
    <m/>
    <s v="Yes"/>
    <s v="Yes"/>
    <x v="0"/>
    <m/>
    <s v="https://oc6web-ver.intel.com/vsfe/requests/258558"/>
  </r>
  <r>
    <x v="1"/>
    <s v="MUCSRTL186"/>
    <s v="Yes"/>
    <x v="2"/>
    <s v="PCIe"/>
    <s v="SN4079548"/>
    <s v="11.1.371 Rack 7/3"/>
    <x v="1"/>
    <x v="0"/>
    <x v="2"/>
    <x v="2"/>
    <x v="16"/>
    <s v="No"/>
    <m/>
    <m/>
    <m/>
    <x v="13"/>
    <m/>
    <m/>
    <m/>
    <m/>
    <m/>
    <m/>
    <m/>
    <s v="Yes"/>
    <s v="Yes"/>
    <x v="1"/>
    <m/>
    <m/>
  </r>
  <r>
    <x v="1"/>
    <s v="MUCSRTL187"/>
    <s v="No"/>
    <x v="2"/>
    <s v="PCIe"/>
    <s v="SN4079468"/>
    <s v="11.1.371 Rack 8/3"/>
    <x v="1"/>
    <x v="0"/>
    <x v="2"/>
    <x v="2"/>
    <x v="16"/>
    <s v="No"/>
    <s v="No"/>
    <s v="4x"/>
    <s v="MUCSRTMAC128.IMU.INTEL.COM"/>
    <x v="792"/>
    <s v="521100794A800D00FFFFFFFF"/>
    <m/>
    <s v="4915780542715"/>
    <n v="4401522733092"/>
    <m/>
    <m/>
    <m/>
    <s v="Yes"/>
    <s v="Yes"/>
    <x v="1"/>
    <m/>
    <m/>
  </r>
  <r>
    <x v="3"/>
    <s v="HILSRTL307"/>
    <s v="Yes"/>
    <x v="3"/>
    <s v="PCIe"/>
    <s v="SN4079902"/>
    <m/>
    <x v="1"/>
    <x v="1"/>
    <x v="51"/>
    <x v="54"/>
    <x v="8"/>
    <s v="No"/>
    <m/>
    <m/>
    <s v="HILSRTL006sMini.hf.intel.com"/>
    <x v="13"/>
    <m/>
    <s v="C07826600TMX1R36"/>
    <n v="9712979320"/>
    <s v=" 00440152289320"/>
    <s v=" 00440152299320"/>
    <n v="6194947580"/>
    <d v="2018-11-28T00:00:00"/>
    <s v="Yes"/>
    <s v="Yes"/>
    <x v="0"/>
    <m/>
    <s v="29 Nov: Looks good to use in run plan                                                                                                                                 29 NOV: Dry Run ongoing_x000a_28 Nov: Sanity Started                                                                                                                                                                RITM6840021 Baseline Installation is going on."/>
  </r>
  <r>
    <x v="3"/>
    <s v="HILSRTL381"/>
    <s v="No"/>
    <x v="2"/>
    <s v="PCIe"/>
    <s v="SN4079792"/>
    <m/>
    <x v="3"/>
    <x v="2"/>
    <x v="2"/>
    <x v="2"/>
    <x v="3"/>
    <m/>
    <m/>
    <m/>
    <m/>
    <x v="13"/>
    <m/>
    <m/>
    <m/>
    <m/>
    <m/>
    <m/>
    <m/>
    <m/>
    <m/>
    <x v="2"/>
    <s v="Debug Needed"/>
    <s v="Congatec issue "/>
  </r>
  <r>
    <x v="3"/>
    <s v="HILSRTL260"/>
    <s v="Yes"/>
    <x v="3"/>
    <s v="PCIe"/>
    <s v="SN4079542"/>
    <m/>
    <x v="1"/>
    <x v="1"/>
    <x v="59"/>
    <x v="60"/>
    <x v="8"/>
    <s v="No"/>
    <s v="No"/>
    <m/>
    <s v="ReplicantsMini2.hf.intel.com"/>
    <x v="13"/>
    <m/>
    <s v="C07826400SYX1R36"/>
    <s v="9133142416"/>
    <s v="00440152289871"/>
    <s v="00440152299871"/>
    <n v="9712979343"/>
    <d v="2018-11-20T00:00:00"/>
    <s v="Yes"/>
    <s v="Yes"/>
    <x v="0"/>
    <m/>
    <s v="29 NOV: Dry Run under tests_x000a_28 NOV: Santiy Run: 0 hours, 10 crashes, 1 reset_x000a_27 Nov:Testing is going on but CSV not updated                                                                                                            26 Nov:Sanity Started :: Operator information was not present in Operator properties_x000a_26 NOV: UL/DL is passed ,but  MO/MT calls are failing in the setup. _x000a_23 NOV: Re Dry Run needed_x000a_22 NOV: Dry Run under tests by Nikesh_x000a_21 NOV: RITM6814413_x000a_20/11 under debugging with devops,pyhton exception"/>
  </r>
  <r>
    <x v="3"/>
    <s v="HILSRTL306"/>
    <s v="Yes"/>
    <x v="3"/>
    <s v="PCIe"/>
    <s v="SN4079569"/>
    <m/>
    <x v="1"/>
    <x v="1"/>
    <x v="59"/>
    <x v="60"/>
    <x v="8"/>
    <s v="No"/>
    <s v="No"/>
    <m/>
    <s v="ReplicantsMini2.hf.intel.com"/>
    <x v="13"/>
    <m/>
    <s v="C07826400R9X1R36"/>
    <s v="9133142814"/>
    <s v="00440152289871"/>
    <s v="00440152299871"/>
    <n v="9712979336"/>
    <d v="2018-11-20T00:00:00"/>
    <s v="Yes"/>
    <s v="Yes"/>
    <x v="0"/>
    <m/>
    <s v="29 Nov: Sim is working restarted campaign                                                                                                                      29 NOV: SEcond Sim not registering. Ashish to check_x000a_28 NOV: Santiy Run: 0 hours, 10 crashes, 1 reset_x000a_27 Nov:Testing is going on but CSV not updated                                                                                                           26 Nov:Sanity Started :: Operator information was not present in Operator properties_x000a_26 NOV: UL/DL is passed ,but  MO/MT calls are failing in the setup._x000a_23 NOV: Re Dry Run needed_x000a_22 NOV: Dry Run under tests by Nikesh_x000a_21 NOV: RITM6814413_x000a_20/11 under debugging with devops,pyhton exception"/>
  </r>
  <r>
    <x v="3"/>
    <s v="HILSRTL309"/>
    <s v="Yes"/>
    <x v="3"/>
    <s v="PCIe"/>
    <s v=" SN4079431"/>
    <m/>
    <x v="1"/>
    <x v="1"/>
    <x v="52"/>
    <x v="55"/>
    <x v="8"/>
    <s v="No"/>
    <s v="No"/>
    <m/>
    <s v="HILSRTL006sMini.hf.intel.com"/>
    <x v="13"/>
    <m/>
    <s v="C07826400SSX1R36"/>
    <s v="5036199552"/>
    <s v="00440152289864"/>
    <s v="00440152299864"/>
    <n v="9712979344"/>
    <d v="2018-11-21T00:00:00"/>
    <s v="Yes"/>
    <s v="Yes"/>
    <x v="0"/>
    <m/>
    <s v="03:Sanity result looks good we can use for Testing.  send logs to BO also.                                                                                                           03 DEC :Sanity is going on. Sims are not camping to VOLTE. Sharing Logs with BO to Check. HMT Used: 18.46.02. _x000a_30 NOV: NVM cust issue to be checked. Physically to be checked_x000a_29 Nov: No enough run time to conclude                                                                                                                                                      28 NOV: Santiy Run: 0 hours, 10 crashes, 1 reset_x000a_27 Nov: Campaign stopped so restar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6 Nov:Sanity Started :: Operator information was not present in Operator properties_x000a_26 NOV: UL/DL is passed ,but  MO/MT calls are failing in the setup. IMS registration failing on SIM0._x000a_23 NOV: Dry run triggered_x000a_22 NOV: Dry Run triggered by Nikesh but with error &quot;Getting value for property NVM_FOLDER ( source: tcf_config, value: FDA09925F459BF18FFFFFFFF)&quot;_x000a_21:11 new ticket as requested by Devops RITM6819802 (CLA Initlization was failing_x000a_20/11; HW is connected with devops  RITM6815400"/>
  </r>
  <r>
    <x v="3"/>
    <s v="HILSRLT407"/>
    <s v="Yes"/>
    <x v="3"/>
    <s v="PCIe"/>
    <s v="SN4079403"/>
    <m/>
    <x v="1"/>
    <x v="1"/>
    <x v="52"/>
    <x v="55"/>
    <x v="8"/>
    <s v="No"/>
    <s v="No"/>
    <m/>
    <s v="HILSRTL006sMini.hf.intel.com"/>
    <x v="13"/>
    <m/>
    <s v="C07826400P3X1R36"/>
    <s v="5036199751"/>
    <s v=" 00440152289866"/>
    <s v="00440152299866"/>
    <n v="9712979338"/>
    <d v="2018-11-21T00:00:00"/>
    <s v="Yes"/>
    <s v="Yes"/>
    <x v="0"/>
    <m/>
    <s v="29 NOV: Good for Regular testing_x000a_28 NOV: Santiy Run: 7 hours, 5 crashes, 7 reset_x000a_27 Nov: Campaign stopped so restarted                                                                                                                             26 Nov: During calibration HW is not booting so using new HW and will start Sanity_x000a_26 Nov: Sanity Started :: Operator information was not present in Operator properties_x000a_26 NOV: UL/DL is passed ,but  MO/MT calls are failing in the setup. IMS registration failing on SIM0 &amp; SIM1_x000a_22 NOV: Dry run triggered_x000a_21:11 new ticket as requested by Devops RITM6819802 (CLA Initlization was failing. Also issue seen &quot;Failure : Incorrect MAC IP specified&quot;_x000a_20/11; HW is connected with devops  RITM6815400 "/>
  </r>
  <r>
    <x v="3"/>
    <s v="HILSRTL404"/>
    <s v="Yes"/>
    <x v="3"/>
    <s v="PCIe"/>
    <s v=" SN4079435"/>
    <m/>
    <x v="1"/>
    <x v="1"/>
    <x v="60"/>
    <x v="59"/>
    <x v="8"/>
    <s v="No"/>
    <s v="No"/>
    <m/>
    <s v="HILSRTL006sMini.hf.intel.com"/>
    <x v="13"/>
    <m/>
    <s v="C07826400Q6X1R36"/>
    <n v="9712942756"/>
    <s v=" 00440152289873"/>
    <s v="00440152299873"/>
    <n v="9712942753"/>
    <m/>
    <s v="Yes"/>
    <s v="Yes"/>
    <x v="0"/>
    <m/>
    <s v="29 NOV: Good for Regular testing_x000a_28 NOV: Santiy Run: 10 hours, 9 crashes, 1 reset_x000a_27 Nov: test Campign Stopped so re started again                                                                                                        26 Nov: Started Sanity with New Config_x000a_23 NOV: RITM6815852 is complete. Sim cofiguration Issue are seen._x000a_20/11; HW is connected with devops RITM6815852   21/11:Machine was not reflecting to Drag Nodes updated same to Habteab so testing not started"/>
  </r>
  <r>
    <x v="3"/>
    <s v="HILSRTL405"/>
    <s v="Yes"/>
    <x v="0"/>
    <s v="PCIe"/>
    <s v="SN4079442"/>
    <m/>
    <x v="1"/>
    <x v="1"/>
    <x v="59"/>
    <x v="60"/>
    <x v="8"/>
    <s v="No"/>
    <s v="No"/>
    <m/>
    <s v="HILSRTL006sMini.hf.intel.com"/>
    <x v="13"/>
    <m/>
    <s v="C07826400NSX1R36"/>
    <s v="9132206825"/>
    <s v=" 00440152289869"/>
    <s v="00440152299869"/>
    <n v="9712979342"/>
    <m/>
    <s v="Yes"/>
    <s v="Yes"/>
    <x v="0"/>
    <m/>
    <s v="30 NOV: Good for Regular testing_x000a_29 Nov: Sanity is going on                                                                                                                                                              27 Nov: RITM6835867"/>
  </r>
  <r>
    <x v="3"/>
    <s v="HILSRTL406"/>
    <s v="Yes"/>
    <x v="0"/>
    <s v="PCIe"/>
    <s v="SN4079359"/>
    <m/>
    <x v="1"/>
    <x v="1"/>
    <x v="52"/>
    <x v="61"/>
    <x v="8"/>
    <s v="No"/>
    <s v="No"/>
    <m/>
    <s v="HILSRTL006sMini.hf.intel.com"/>
    <x v="13"/>
    <m/>
    <s v="C07826400QAX1R36"/>
    <n v="5037288665"/>
    <s v="00440152289844"/>
    <s v="00440152299844"/>
    <n v="9714704968"/>
    <m/>
    <s v="Yes"/>
    <s v="Yes"/>
    <x v="0"/>
    <m/>
    <s v="30 Nov:Can use for Testing                                                                                                                                                      30 Nov: Sanity is going on. Sims are not camping to VOLTE Logs will pass to BO                                                                                                                                                             29 Nov: RITM6844492 CLA initilization is failing                                                                                                                                                                                             28 Nov: Waiting for VZW sims to activate                                                                                                                          27 Nov: RITM6835864"/>
  </r>
  <r>
    <x v="3"/>
    <s v="HILSRTL409"/>
    <s v="Yes"/>
    <x v="3"/>
    <s v="BlackRay"/>
    <s v="SN4079394"/>
    <m/>
    <x v="1"/>
    <x v="0"/>
    <x v="55"/>
    <x v="6"/>
    <x v="2"/>
    <m/>
    <m/>
    <m/>
    <s v="HILSRTL006sMini.hf.intel.com"/>
    <x v="13"/>
    <m/>
    <m/>
    <m/>
    <m/>
    <m/>
    <m/>
    <m/>
    <s v="Yes"/>
    <s v="Yes"/>
    <x v="0"/>
    <m/>
    <s v="18 DEC: Taken for normal testing"/>
  </r>
  <r>
    <x v="3"/>
    <s v="HILSRTL410"/>
    <s v="Yes"/>
    <x v="0"/>
    <s v="PCIe"/>
    <s v="SN4079403"/>
    <m/>
    <x v="1"/>
    <x v="1"/>
    <x v="60"/>
    <x v="59"/>
    <x v="8"/>
    <s v="No"/>
    <s v="No"/>
    <m/>
    <s v="HILSRTL006sMini.hf.intel.com"/>
    <x v="13"/>
    <m/>
    <s v="C07826600U2X1R36"/>
    <n v="9712607750"/>
    <s v=" 00440152289851"/>
    <s v=" 00440152299851"/>
    <n v="9712607762"/>
    <m/>
    <s v="Yes"/>
    <s v="Yes"/>
    <x v="0"/>
    <m/>
    <s v="30 Nov: Sanity is going on --IMS Failing/MO/MT Calls are failing ,BO is checking  for reason.                                                                                                                                                     29 Nov:RITM6844452  CLA initialization is failing Devops working on it.                                                                                                                                                                                          28 Nov: Waiting for VZW sims to activate                                                                                                                          27 Nov: RITM6835864"/>
  </r>
  <r>
    <x v="3"/>
    <s v="HILSRTL411"/>
    <s v="Yes"/>
    <x v="3"/>
    <s v="BlackRay"/>
    <s v="SN4079529"/>
    <m/>
    <x v="1"/>
    <x v="0"/>
    <x v="54"/>
    <x v="5"/>
    <x v="2"/>
    <m/>
    <m/>
    <m/>
    <s v="HILSRTL006sMini.hf.intel.com"/>
    <x v="13"/>
    <m/>
    <m/>
    <m/>
    <m/>
    <m/>
    <m/>
    <m/>
    <s v="Yes"/>
    <s v="Yes"/>
    <x v="0"/>
    <m/>
    <s v="18 DEC: Taken for normal testing"/>
  </r>
  <r>
    <x v="3"/>
    <s v="HILSRTL412"/>
    <s v="Yes"/>
    <x v="3"/>
    <s v="BlackRay"/>
    <s v="SN4079336"/>
    <m/>
    <x v="1"/>
    <x v="0"/>
    <x v="54"/>
    <x v="5"/>
    <x v="2"/>
    <m/>
    <m/>
    <m/>
    <s v="HILSRTL006sMini.hf.intel.com"/>
    <x v="13"/>
    <m/>
    <m/>
    <m/>
    <m/>
    <m/>
    <m/>
    <m/>
    <s v="Yes"/>
    <s v="Yes"/>
    <x v="0"/>
    <m/>
    <s v="18 DEC: Sanity tests looking good can use for testing"/>
  </r>
  <r>
    <x v="3"/>
    <s v="HILSRTL413"/>
    <s v="Yes"/>
    <x v="3"/>
    <m/>
    <s v="SN4079580"/>
    <m/>
    <x v="1"/>
    <x v="0"/>
    <x v="54"/>
    <x v="4"/>
    <x v="2"/>
    <m/>
    <m/>
    <m/>
    <s v="HILSRTL006sMini.hf.intel.com"/>
    <x v="13"/>
    <m/>
    <m/>
    <m/>
    <m/>
    <m/>
    <m/>
    <m/>
    <s v="Yes"/>
    <s v="Yes"/>
    <x v="1"/>
    <m/>
    <s v="26 Dec: New Congatec HILSRTL475_x000a_26 Dec: Can use for Sanity_x000a_26 Dec: Replaced congtaec now it  is  HILSRTL475_x000a_23: Facing Core Temprature reached threshold _x000a_20 Dec: we can use for testing. Sanity Pass_x000a_19 DEC: New campaign triggered and failed with SMS32473775 &amp; SMS32480043_x000a_18 Dec: Habteab corrected but still can see &quot;+&quot; issue is coming working on it, again started testing_x000a_18 DEC: Many crashes seen. Sanity tests looking good except MT call failure. The number must begin with '+' and the country code,” "/>
  </r>
  <r>
    <x v="3"/>
    <s v="HILSRTL414"/>
    <s v="Yes"/>
    <x v="3"/>
    <s v="BlackRay"/>
    <s v="SN4079656"/>
    <m/>
    <x v="1"/>
    <x v="0"/>
    <x v="55"/>
    <x v="5"/>
    <x v="4"/>
    <m/>
    <m/>
    <m/>
    <s v="HILSRTM008sMini.hf.intel.com"/>
    <x v="13"/>
    <m/>
    <m/>
    <m/>
    <m/>
    <m/>
    <m/>
    <m/>
    <s v="Yes"/>
    <s v="Yes"/>
    <x v="0"/>
    <m/>
    <s v="25 Dec:can use for testing_x000a_24 Dec: Restarted testing sim is good_x000a_23 Dec: MT call is failing BO Need to analyze.Config wise looks good.._x000a_23 Dec:Setup issue Modem was not detecting so again pull back for sanity with new modem_x000a_18 DEC: Taken for normal testing"/>
  </r>
  <r>
    <x v="3"/>
    <s v="HILSRTL416"/>
    <s v="Yes"/>
    <x v="3"/>
    <s v="BlackRay"/>
    <s v="SN4079669"/>
    <m/>
    <x v="1"/>
    <x v="0"/>
    <x v="22"/>
    <x v="13"/>
    <x v="2"/>
    <m/>
    <m/>
    <m/>
    <s v="HILSRTL006sMini.hf.intel.com"/>
    <x v="13"/>
    <m/>
    <m/>
    <m/>
    <m/>
    <m/>
    <m/>
    <m/>
    <s v="Yes"/>
    <s v="Yes"/>
    <x v="0"/>
    <m/>
    <s v="20 DEC: Basic Functionalities worked_x000a_19 Dec: Restarted again BO need to check ISTP log for MT call issue_x000a_19 DEC: Dry run triggered from MUC timezone with old SW and basic functionalities are working. All MO &amp; MT Call is failed_x000a_18 DEC: Blocked after modem reset detected, and MDM_READY is not seen. To rerun with suggested HMT version and SW build"/>
  </r>
  <r>
    <x v="0"/>
    <s v="BASRTL397"/>
    <s v="Yes"/>
    <x v="3"/>
    <s v="PCIe"/>
    <s v="SN4079638"/>
    <m/>
    <x v="1"/>
    <x v="1"/>
    <x v="7"/>
    <x v="48"/>
    <x v="14"/>
    <s v="No"/>
    <m/>
    <m/>
    <m/>
    <x v="13"/>
    <m/>
    <m/>
    <m/>
    <m/>
    <m/>
    <m/>
    <m/>
    <s v="Yes"/>
    <s v="Yes"/>
    <x v="0"/>
    <m/>
    <s v="18 DEC: To check with Sudha"/>
  </r>
  <r>
    <x v="0"/>
    <s v="BASRTL398"/>
    <s v="Yes"/>
    <x v="3"/>
    <s v="PCIe"/>
    <s v="SN4079473"/>
    <m/>
    <x v="1"/>
    <x v="1"/>
    <x v="7"/>
    <x v="50"/>
    <x v="8"/>
    <s v="No"/>
    <m/>
    <m/>
    <m/>
    <x v="13"/>
    <m/>
    <m/>
    <m/>
    <m/>
    <m/>
    <m/>
    <d v="2018-11-20T00:00:00"/>
    <s v="Yes"/>
    <s v="Yes"/>
    <x v="0"/>
    <m/>
    <s v="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   21 NOV: MO,MT,DL/UL Pass , Release for Normal Testing_x000a_20 NOV: Tests ongoing"/>
  </r>
  <r>
    <x v="0"/>
    <s v="BASRTL399"/>
    <s v="Yes"/>
    <x v="3"/>
    <s v="PCIe"/>
    <s v="SN4079526"/>
    <m/>
    <x v="1"/>
    <x v="0"/>
    <x v="0"/>
    <x v="6"/>
    <x v="14"/>
    <s v="No"/>
    <m/>
    <m/>
    <s v="labuser4-mini.iind.intel.com "/>
    <x v="13"/>
    <m/>
    <m/>
    <m/>
    <m/>
    <m/>
    <m/>
    <m/>
    <s v="Yes"/>
    <s v="Yes"/>
    <x v="0"/>
    <m/>
    <m/>
  </r>
  <r>
    <x v="0"/>
    <s v="BASRTL400"/>
    <s v="Yes"/>
    <x v="3"/>
    <s v="PCIe"/>
    <s v="SN4079645"/>
    <m/>
    <x v="1"/>
    <x v="1"/>
    <x v="48"/>
    <x v="49"/>
    <x v="14"/>
    <s v="No"/>
    <m/>
    <m/>
    <s v="labuser4-mini.iind.intel.com "/>
    <x v="13"/>
    <m/>
    <m/>
    <m/>
    <m/>
    <m/>
    <m/>
    <m/>
    <s v="Yes"/>
    <s v="Yes"/>
    <x v="0"/>
    <m/>
    <s v="18 DEC: To check with Sudha"/>
  </r>
  <r>
    <x v="0"/>
    <s v="BASRTL401"/>
    <s v="Yes"/>
    <x v="3"/>
    <s v="PCIe"/>
    <s v="SN4079592"/>
    <m/>
    <x v="1"/>
    <x v="0"/>
    <x v="45"/>
    <x v="5"/>
    <x v="14"/>
    <s v="No"/>
    <m/>
    <m/>
    <s v="labuser4-mini.iind.intel.com "/>
    <x v="13"/>
    <m/>
    <m/>
    <m/>
    <m/>
    <m/>
    <m/>
    <m/>
    <s v="Yes"/>
    <s v="Yes"/>
    <x v="0"/>
    <m/>
    <m/>
  </r>
  <r>
    <x v="0"/>
    <s v="BASRTL402"/>
    <s v="Yes"/>
    <x v="3"/>
    <s v="PCIe"/>
    <s v="SN4079639"/>
    <m/>
    <x v="1"/>
    <x v="0"/>
    <x v="0"/>
    <x v="5"/>
    <x v="14"/>
    <s v="No"/>
    <m/>
    <m/>
    <s v="labuser4-mini.iind.intel.com "/>
    <x v="13"/>
    <m/>
    <m/>
    <m/>
    <m/>
    <m/>
    <m/>
    <m/>
    <s v="Yes"/>
    <s v="Yes"/>
    <x v="0"/>
    <m/>
    <m/>
  </r>
  <r>
    <x v="0"/>
    <s v="BASRTL403"/>
    <s v="Yes"/>
    <x v="3"/>
    <s v="PCIe"/>
    <s v="SN4079439"/>
    <m/>
    <x v="1"/>
    <x v="0"/>
    <x v="45"/>
    <x v="6"/>
    <x v="14"/>
    <s v="No"/>
    <m/>
    <m/>
    <s v="labuser4-mini.iind.intel.com "/>
    <x v="13"/>
    <m/>
    <m/>
    <m/>
    <m/>
    <m/>
    <m/>
    <m/>
    <s v="Yes"/>
    <s v="Yes"/>
    <x v="0"/>
    <m/>
    <m/>
  </r>
  <r>
    <x v="0"/>
    <s v="BASRTL404"/>
    <s v="Yes"/>
    <x v="3"/>
    <s v="PCIe"/>
    <s v="SN4079476"/>
    <m/>
    <x v="1"/>
    <x v="0"/>
    <x v="45"/>
    <x v="4"/>
    <x v="14"/>
    <s v="No"/>
    <m/>
    <m/>
    <m/>
    <x v="13"/>
    <m/>
    <m/>
    <m/>
    <m/>
    <m/>
    <m/>
    <m/>
    <s v="Yes"/>
    <s v="Yes"/>
    <x v="0"/>
    <m/>
    <s v="18 DEC: Convert to FDD (Jio) + FDD (Jio) SEB MSIM"/>
  </r>
  <r>
    <x v="0"/>
    <s v="BASRTL405"/>
    <s v="Yes"/>
    <x v="3"/>
    <s v="PCIe"/>
    <s v="SN4079609"/>
    <m/>
    <x v="1"/>
    <x v="1"/>
    <x v="7"/>
    <x v="48"/>
    <x v="8"/>
    <s v="No"/>
    <m/>
    <m/>
    <m/>
    <x v="13"/>
    <m/>
    <m/>
    <m/>
    <m/>
    <m/>
    <m/>
    <d v="2018-11-20T00:00:00"/>
    <s v="Yes"/>
    <s v="Yes"/>
    <x v="0"/>
    <m/>
    <s v="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 21 NOV: MO,MT,DL/UL Pass , Release for Normal Testing_x000a_20 NOV: Tests ongoing . ETA EoD"/>
  </r>
  <r>
    <x v="0"/>
    <s v="BASRTL406"/>
    <s v="Yes"/>
    <x v="3"/>
    <s v="PCIe"/>
    <s v="SN4079540"/>
    <m/>
    <x v="1"/>
    <x v="1"/>
    <x v="7"/>
    <x v="62"/>
    <x v="14"/>
    <s v="No"/>
    <m/>
    <m/>
    <m/>
    <x v="13"/>
    <m/>
    <m/>
    <m/>
    <m/>
    <m/>
    <m/>
    <m/>
    <s v="Yes"/>
    <s v="Yes"/>
    <x v="0"/>
    <m/>
    <m/>
  </r>
  <r>
    <x v="0"/>
    <s v="BASRTL407"/>
    <s v="Yes"/>
    <x v="3"/>
    <s v="PCIe"/>
    <s v="SN4079577"/>
    <m/>
    <x v="1"/>
    <x v="0"/>
    <x v="0"/>
    <x v="0"/>
    <x v="14"/>
    <s v="No"/>
    <m/>
    <m/>
    <m/>
    <x v="13"/>
    <m/>
    <m/>
    <m/>
    <m/>
    <m/>
    <m/>
    <m/>
    <s v="Yes"/>
    <s v="Yes"/>
    <x v="0"/>
    <m/>
    <m/>
  </r>
  <r>
    <x v="0"/>
    <s v="BASRTL408"/>
    <s v="Yes"/>
    <x v="3"/>
    <s v="PCIe"/>
    <s v="SN4079345"/>
    <m/>
    <x v="1"/>
    <x v="0"/>
    <x v="0"/>
    <x v="0"/>
    <x v="14"/>
    <s v="No"/>
    <m/>
    <m/>
    <m/>
    <x v="13"/>
    <m/>
    <m/>
    <m/>
    <m/>
    <m/>
    <m/>
    <m/>
    <s v="Yes"/>
    <s v="Yes"/>
    <x v="0"/>
    <m/>
    <m/>
  </r>
  <r>
    <x v="0"/>
    <s v="BASRTL409"/>
    <s v="Yes"/>
    <x v="3"/>
    <s v="PCIe"/>
    <s v="SN4079686"/>
    <m/>
    <x v="1"/>
    <x v="0"/>
    <x v="45"/>
    <x v="5"/>
    <x v="14"/>
    <s v="No"/>
    <m/>
    <m/>
    <m/>
    <x v="13"/>
    <m/>
    <m/>
    <m/>
    <m/>
    <m/>
    <m/>
    <m/>
    <s v="Yes"/>
    <s v="Yes"/>
    <x v="0"/>
    <m/>
    <s v="18 DEC: Convert to JIO SSIM SEB"/>
  </r>
  <r>
    <x v="0"/>
    <s v="BASRTL410"/>
    <s v="Yes"/>
    <x v="0"/>
    <s v="PCIe"/>
    <s v="SN4079713"/>
    <m/>
    <x v="1"/>
    <x v="1"/>
    <x v="7"/>
    <x v="50"/>
    <x v="4"/>
    <s v="No"/>
    <m/>
    <m/>
    <m/>
    <x v="13"/>
    <m/>
    <m/>
    <m/>
    <m/>
    <m/>
    <m/>
    <d v="2018-11-20T00:00:00"/>
    <s v="Yes"/>
    <s v="Yes"/>
    <x v="0"/>
    <m/>
    <s v="29 DEC: Sanity Passed_x000a_28 DEC: Replaced with MK3 to MK4 Sanity Ongoing_x000a_21 NOV: MO,MT,DL/UL Pass,  Release for Normal Testing_x000a_19 NOV: NVM Error_x000a_20 NOV: Tests Ongoing"/>
  </r>
  <r>
    <x v="0"/>
    <s v="BASRTL411"/>
    <s v="Yes"/>
    <x v="3"/>
    <s v="PCIe"/>
    <s v="SN4079624"/>
    <m/>
    <x v="1"/>
    <x v="0"/>
    <x v="4"/>
    <x v="4"/>
    <x v="14"/>
    <s v="No"/>
    <m/>
    <m/>
    <m/>
    <x v="13"/>
    <m/>
    <m/>
    <m/>
    <m/>
    <m/>
    <m/>
    <m/>
    <s v="Yes"/>
    <s v="Yes"/>
    <x v="0"/>
    <m/>
    <m/>
  </r>
  <r>
    <x v="0"/>
    <s v="BASRTL412"/>
    <s v="Yes"/>
    <x v="3"/>
    <s v="PCIe"/>
    <s v="SN4079409"/>
    <m/>
    <x v="1"/>
    <x v="0"/>
    <x v="45"/>
    <x v="4"/>
    <x v="14"/>
    <s v="No"/>
    <m/>
    <m/>
    <m/>
    <x v="13"/>
    <m/>
    <m/>
    <m/>
    <m/>
    <m/>
    <m/>
    <m/>
    <s v="Yes"/>
    <s v="Yes"/>
    <x v="0"/>
    <m/>
    <s v="18 DEC: Convert to JIO SSIM SEB"/>
  </r>
  <r>
    <x v="0"/>
    <s v="BASRTL413"/>
    <s v="Yes"/>
    <x v="3"/>
    <s v="PCIe"/>
    <s v="SN4079553"/>
    <m/>
    <x v="1"/>
    <x v="1"/>
    <x v="48"/>
    <x v="49"/>
    <x v="14"/>
    <s v="No"/>
    <m/>
    <m/>
    <m/>
    <x v="13"/>
    <m/>
    <m/>
    <m/>
    <m/>
    <m/>
    <m/>
    <m/>
    <s v="Yes"/>
    <s v="Yes"/>
    <x v="0"/>
    <m/>
    <s v="18 DEC: To check with Sudha"/>
  </r>
  <r>
    <x v="0"/>
    <s v="BASRTL414"/>
    <s v="Yes"/>
    <x v="3"/>
    <s v="PCIe"/>
    <s v="SN4079643"/>
    <m/>
    <x v="1"/>
    <x v="1"/>
    <x v="7"/>
    <x v="62"/>
    <x v="14"/>
    <s v="No"/>
    <m/>
    <m/>
    <m/>
    <x v="13"/>
    <m/>
    <m/>
    <m/>
    <m/>
    <m/>
    <m/>
    <m/>
    <s v="Yes"/>
    <s v="Yes"/>
    <x v="0"/>
    <m/>
    <m/>
  </r>
  <r>
    <x v="0"/>
    <s v="BASRTL415"/>
    <s v="Yes"/>
    <x v="3"/>
    <s v="PCIe"/>
    <s v="SN4079428"/>
    <m/>
    <x v="1"/>
    <x v="0"/>
    <x v="45"/>
    <x v="4"/>
    <x v="14"/>
    <s v="No"/>
    <m/>
    <m/>
    <m/>
    <x v="13"/>
    <m/>
    <m/>
    <m/>
    <m/>
    <m/>
    <m/>
    <m/>
    <s v="Yes"/>
    <s v="Yes"/>
    <x v="0"/>
    <m/>
    <m/>
  </r>
  <r>
    <x v="0"/>
    <s v="BASRTL416"/>
    <s v="Yes"/>
    <x v="0"/>
    <s v="PCIe"/>
    <s v="SN4079481"/>
    <m/>
    <x v="1"/>
    <x v="1"/>
    <x v="7"/>
    <x v="48"/>
    <x v="8"/>
    <s v="No"/>
    <m/>
    <m/>
    <m/>
    <x v="13"/>
    <m/>
    <m/>
    <m/>
    <m/>
    <m/>
    <m/>
    <d v="2018-11-20T00:00:00"/>
    <s v="Yes"/>
    <s v="Yes"/>
    <x v="0"/>
    <m/>
    <s v="10 DEC: 4X Antenna Connected                                                                                                                                                                                                                                                             21 NOV: Dry Run under tests. To revisit the verdict ,MO,MT,DL/UL Pass ,  Release for Normal Testing_x000a_20 NOV: Sim0 is not latching. 1. To check manual attach. 2. To try in VDF+Airtel combo with FDD+WCDMA.  3. To calibrate . 4. Change to new HW"/>
  </r>
  <r>
    <x v="0"/>
    <s v="BASRTL417"/>
    <s v="Yes"/>
    <x v="0"/>
    <s v="PCIe"/>
    <s v="SN4079627"/>
    <m/>
    <x v="1"/>
    <x v="1"/>
    <x v="48"/>
    <x v="49"/>
    <x v="8"/>
    <s v="No"/>
    <m/>
    <m/>
    <m/>
    <x v="13"/>
    <m/>
    <m/>
    <m/>
    <m/>
    <m/>
    <m/>
    <d v="2018-11-20T00:00:00"/>
    <s v="Yes"/>
    <s v="Yes"/>
    <x v="0"/>
    <m/>
    <s v="21 NOV: MO,DL/UL Pass, MT Failed (Rectifed with right SIM confiuration),  Release for Normal Testing_x000a_19 NOV: PDP Error. Dry run failed."/>
  </r>
  <r>
    <x v="0"/>
    <s v="BASRTL418"/>
    <s v="Yes"/>
    <x v="3"/>
    <s v="PCIe"/>
    <s v="SN4079531"/>
    <m/>
    <x v="1"/>
    <x v="1"/>
    <x v="48"/>
    <x v="49"/>
    <x v="14"/>
    <s v="No"/>
    <m/>
    <m/>
    <m/>
    <x v="13"/>
    <m/>
    <m/>
    <m/>
    <m/>
    <m/>
    <m/>
    <m/>
    <s v="Yes"/>
    <s v="Yes"/>
    <x v="0"/>
    <m/>
    <s v="18 DEC: To check with Sudha"/>
  </r>
  <r>
    <x v="2"/>
    <s v="SDSRTL193"/>
    <s v="Yes"/>
    <x v="3"/>
    <s v="PCIe"/>
    <n v="4079441"/>
    <m/>
    <x v="1"/>
    <x v="1"/>
    <x v="61"/>
    <x v="63"/>
    <x v="8"/>
    <s v="No"/>
    <s v="No"/>
    <s v="No"/>
    <m/>
    <x v="13"/>
    <m/>
    <m/>
    <m/>
    <m/>
    <m/>
    <m/>
    <d v="2018-11-26T00:00:00"/>
    <s v="Yes"/>
    <s v="Yes"/>
    <x v="0"/>
    <m/>
    <s v="29 NOV: Dry Run under tests_x000a_27 NOV: Running with SRLTE+Hybrid. Restarted with needed Combo_x000a_26 Nov: Sanity Run in progress -- details emailed"/>
  </r>
  <r>
    <x v="2"/>
    <s v="SDSRTL194"/>
    <s v="Yes"/>
    <x v="3"/>
    <s v="PCIe"/>
    <n v="4079497"/>
    <m/>
    <x v="1"/>
    <x v="1"/>
    <x v="62"/>
    <x v="61"/>
    <x v="8"/>
    <s v="No"/>
    <s v="No"/>
    <s v="No"/>
    <m/>
    <x v="13"/>
    <m/>
    <m/>
    <m/>
    <m/>
    <m/>
    <m/>
    <d v="2018-11-26T00:00:00"/>
    <s v="Yes"/>
    <s v="Yes"/>
    <x v="0"/>
    <m/>
    <s v="29 NOV: Released for regular testing_x000a_28 NOV: Dry run is ok. BO to check the logs_x000a_26 Nov: Sanity Run in progress -- TMO sim used instead of ATT for today -- details emailed"/>
  </r>
  <r>
    <x v="2"/>
    <s v="SDSRTL195"/>
    <s v="Yes"/>
    <x v="3"/>
    <s v="PCIe"/>
    <n v="4079506"/>
    <m/>
    <x v="1"/>
    <x v="1"/>
    <x v="63"/>
    <x v="64"/>
    <x v="8"/>
    <s v="No"/>
    <s v="No"/>
    <s v="No"/>
    <m/>
    <x v="13"/>
    <m/>
    <m/>
    <m/>
    <m/>
    <m/>
    <m/>
    <d v="2018-11-26T00:00:00"/>
    <s v="Yes"/>
    <s v="Yes"/>
    <x v="0"/>
    <m/>
    <s v="29 NOV: Good for regular testing_x000a_28 NOV: Dry run is ok. BO to check the logs_x000a_26 Nov: Sanity Run in progress -- details emailed"/>
  </r>
  <r>
    <x v="2"/>
    <s v="SDSRTL196"/>
    <s v="Yes"/>
    <x v="0"/>
    <s v="PCIe"/>
    <n v="4079674"/>
    <m/>
    <x v="1"/>
    <x v="1"/>
    <x v="51"/>
    <x v="54"/>
    <x v="8"/>
    <s v="No"/>
    <s v="No"/>
    <s v="No"/>
    <m/>
    <x v="13"/>
    <m/>
    <m/>
    <m/>
    <m/>
    <m/>
    <m/>
    <d v="2018-11-26T00:00:00"/>
    <s v="Yes"/>
    <s v="Yes"/>
    <x v="0"/>
    <m/>
    <s v="29 NOV: Released for regular testing_x000a_28 NOV: Dry run looks good. Need BO Analysis for 2crashes and 10 resets_x000a_26 Nov: Sanity Run in progress -- TMO sim used instead of ATT for today -- details emailed"/>
  </r>
  <r>
    <x v="2"/>
    <s v="SDSRTL197"/>
    <s v="Yes"/>
    <x v="0"/>
    <s v="PCIe"/>
    <n v="4079946"/>
    <m/>
    <x v="1"/>
    <x v="1"/>
    <x v="56"/>
    <x v="57"/>
    <x v="8"/>
    <s v="No"/>
    <s v="No"/>
    <s v="No"/>
    <m/>
    <x v="13"/>
    <m/>
    <m/>
    <m/>
    <m/>
    <m/>
    <m/>
    <d v="2018-11-26T00:00:00"/>
    <s v="Yes"/>
    <s v="Yes"/>
    <x v="0"/>
    <m/>
    <s v="29 NOV: Dry Run Pass. Good to go_x000a_27 NOV: To retrigger campaign with SRLTE on Sim 1_x000a_26 Nov: Sanity Run in progress -- TMO sim used instead of ATT for today -- details emailed"/>
  </r>
  <r>
    <x v="2"/>
    <s v="SDSRTL198"/>
    <s v="Yes"/>
    <x v="0"/>
    <s v="PCIe"/>
    <n v="4079433"/>
    <m/>
    <x v="1"/>
    <x v="1"/>
    <x v="57"/>
    <x v="59"/>
    <x v="8"/>
    <s v="No"/>
    <s v="No"/>
    <s v="No"/>
    <m/>
    <x v="13"/>
    <m/>
    <m/>
    <m/>
    <m/>
    <m/>
    <m/>
    <d v="2018-11-26T00:00:00"/>
    <s v="Yes"/>
    <s v="Yes"/>
    <x v="0"/>
    <m/>
    <s v="30 NOV: 100% MO/MT Call Failure_x000a_27 NOV: Campaign running with SrLTE+Hybrid and didnt attach. Restarted with needed Combo_x000a_26 Nov: Sanity Run in progress -- details emailed"/>
  </r>
  <r>
    <x v="2"/>
    <s v="SDSRTL199"/>
    <s v="Yes"/>
    <x v="0"/>
    <s v="PCIe"/>
    <n v="4079603"/>
    <m/>
    <x v="1"/>
    <x v="1"/>
    <x v="61"/>
    <x v="65"/>
    <x v="8"/>
    <s v="No"/>
    <s v="No"/>
    <s v="No"/>
    <m/>
    <x v="13"/>
    <m/>
    <m/>
    <m/>
    <m/>
    <m/>
    <m/>
    <d v="2018-11-26T00:00:00"/>
    <s v="Yes"/>
    <s v="Yes"/>
    <x v="0"/>
    <m/>
    <s v="10 DEC: Dry Run stats sent to BO for analysis_x000a_06 DEC: To try /clone same as 266306 VER ID_x000a_03 DEC: Host Down_x000a_30 Nov : Campaign failed due to Failed to check IMEI on DUT. Recopied NVM Files and triggered campaign._x000a_29 NOV: Dry Run under tests_x000a_27 NOV: Ran in SRLTE + Hybrid. But Hybrid didnt attach. Restarted with needed Combo_x000a_26 Nov: Sanity Run in progress -- details emailed"/>
  </r>
  <r>
    <x v="2"/>
    <s v="SDSRTL200"/>
    <s v="Yes"/>
    <x v="0"/>
    <s v="PCIe"/>
    <n v="4079533"/>
    <m/>
    <x v="1"/>
    <x v="1"/>
    <x v="62"/>
    <x v="55"/>
    <x v="8"/>
    <s v="No"/>
    <s v="No"/>
    <s v="No"/>
    <m/>
    <x v="13"/>
    <m/>
    <m/>
    <m/>
    <m/>
    <m/>
    <m/>
    <d v="2018-11-26T00:00:00"/>
    <s v="Yes"/>
    <s v="Yes"/>
    <x v="0"/>
    <m/>
    <s v="29 NOV: Dry Run under tests_x000a_28 NOV: To retrigger sanity tests_x000a_27 NOV: HIL Board to be checked. In parallel Habteab to check the Issue_x000a_26 Nov: Sanity Run in progress -- TMO sim used instead of ATT for today -- details emailed"/>
  </r>
  <r>
    <x v="2"/>
    <s v="SDSRTL201"/>
    <s v="Yes"/>
    <x v="3"/>
    <s v="PCIe"/>
    <n v="4079523"/>
    <m/>
    <x v="1"/>
    <x v="0"/>
    <x v="22"/>
    <x v="4"/>
    <x v="8"/>
    <s v="No"/>
    <s v="No"/>
    <s v="No"/>
    <m/>
    <x v="13"/>
    <m/>
    <m/>
    <m/>
    <m/>
    <m/>
    <m/>
    <d v="2018-11-26T00:00:00"/>
    <s v="Yes"/>
    <s v="Yes"/>
    <x v="0"/>
    <m/>
    <s v="29 NOV: Released for regular testing_x000a_28 NOV: Dry run ok. To send for BO Analysis_x000a_26 Nov: Sanity Run in progress -- details emailed"/>
  </r>
  <r>
    <x v="2"/>
    <s v="SDSRTL202"/>
    <s v="Yes"/>
    <x v="3"/>
    <s v="PCIe"/>
    <n v="4079401"/>
    <m/>
    <x v="1"/>
    <x v="0"/>
    <x v="21"/>
    <x v="4"/>
    <x v="14"/>
    <s v="No"/>
    <s v="No"/>
    <s v="No"/>
    <m/>
    <x v="13"/>
    <m/>
    <m/>
    <m/>
    <m/>
    <m/>
    <m/>
    <m/>
    <s v="Yes"/>
    <s v="Yes"/>
    <x v="0"/>
    <s v="Broken"/>
    <s v="18 DEC: EK3.1 is broken"/>
  </r>
  <r>
    <x v="2"/>
    <s v="SDSRTL203"/>
    <s v="Yes"/>
    <x v="3"/>
    <s v="PCIe"/>
    <n v="4079593"/>
    <m/>
    <x v="1"/>
    <x v="0"/>
    <x v="20"/>
    <x v="5"/>
    <x v="14"/>
    <s v="No"/>
    <s v="No"/>
    <s v="No"/>
    <m/>
    <x v="13"/>
    <m/>
    <m/>
    <m/>
    <m/>
    <m/>
    <m/>
    <m/>
    <s v="Yes"/>
    <s v="Yes"/>
    <x v="0"/>
    <s v="Broken"/>
    <s v="18 DEC: EK3.1 is broken"/>
  </r>
  <r>
    <x v="2"/>
    <s v="SDSRTL204"/>
    <s v="Yes"/>
    <x v="3"/>
    <s v="PCIe"/>
    <n v="4079374"/>
    <m/>
    <x v="1"/>
    <x v="0"/>
    <x v="20"/>
    <x v="4"/>
    <x v="14"/>
    <s v="No"/>
    <s v="No"/>
    <s v="No"/>
    <m/>
    <x v="13"/>
    <m/>
    <m/>
    <m/>
    <m/>
    <m/>
    <m/>
    <m/>
    <s v="Yes"/>
    <s v="Yes"/>
    <x v="0"/>
    <m/>
    <m/>
  </r>
  <r>
    <x v="2"/>
    <s v="SDSRTL205"/>
    <s v="Yes"/>
    <x v="3"/>
    <s v="PCIe"/>
    <n v="4079698"/>
    <m/>
    <x v="1"/>
    <x v="0"/>
    <x v="21"/>
    <x v="5"/>
    <x v="14"/>
    <s v="No"/>
    <s v="No"/>
    <s v="No"/>
    <m/>
    <x v="13"/>
    <m/>
    <m/>
    <m/>
    <m/>
    <m/>
    <m/>
    <m/>
    <s v="Yes"/>
    <s v="Yes"/>
    <x v="0"/>
    <m/>
    <m/>
  </r>
  <r>
    <x v="2"/>
    <s v="SDSRTL206"/>
    <s v="Yes"/>
    <x v="3"/>
    <s v="PCIe"/>
    <n v="4079700"/>
    <m/>
    <x v="1"/>
    <x v="0"/>
    <x v="22"/>
    <x v="13"/>
    <x v="14"/>
    <s v="No"/>
    <s v="No"/>
    <s v="No"/>
    <m/>
    <x v="13"/>
    <m/>
    <m/>
    <m/>
    <m/>
    <m/>
    <m/>
    <m/>
    <s v="Yes"/>
    <s v="Yes"/>
    <x v="0"/>
    <s v="Broken"/>
    <s v="18 DEC: EK3.1 is broken"/>
  </r>
  <r>
    <x v="3"/>
    <s v="HILSRTL400"/>
    <s v="Yes"/>
    <x v="3"/>
    <s v="PCIe"/>
    <s v="SN4079542"/>
    <m/>
    <x v="1"/>
    <x v="1"/>
    <x v="64"/>
    <x v="65"/>
    <x v="8"/>
    <s v="No"/>
    <s v="No"/>
    <m/>
    <s v="HILSRTL006sMini.hf.intel.com"/>
    <x v="13"/>
    <m/>
    <s v="C07826400NVX1R36"/>
    <s v="9135791861"/>
    <s v="00440152289865"/>
    <s v="00440152299865"/>
    <n v="9712942752"/>
    <m/>
    <s v="Yes"/>
    <s v="Yes"/>
    <x v="0"/>
    <m/>
    <s v="29 NOV: Good for Regular testing_x000a_28 NOV: Santiy Run: 7 hours, 7 crashes, 1 reset_x000a_27 Nov: Habteab fixed now its running                                                                                                                                  27 Nov: No update on Ticket / Habteab is working on it                                                                                                                                                  26 Nov: Setup issue raised ticket to devops: RITM6831281                                                                                             23 NOV: RITM6815852 , to get the update EoD_x000a_20/11; HW is connected with devops RITM6815852   21/11:baseline installtion was not completed so Habteab started working on it"/>
  </r>
  <r>
    <x v="3"/>
    <s v="HILSRTL401"/>
    <s v="Yes"/>
    <x v="3"/>
    <s v="PCIe"/>
    <s v="SN4079569"/>
    <m/>
    <x v="1"/>
    <x v="1"/>
    <x v="52"/>
    <x v="61"/>
    <x v="8"/>
    <s v="No"/>
    <s v="No"/>
    <m/>
    <s v="HILSRTL006sMini.hf.intel.com"/>
    <x v="13"/>
    <m/>
    <s v="C07826400LSX1R36"/>
    <s v="9712942754"/>
    <s v="00440152289856"/>
    <s v="00440152299856"/>
    <s v="9712979347"/>
    <m/>
    <s v="Yes"/>
    <s v="Yes"/>
    <x v="0"/>
    <m/>
    <s v="29 NOV: Dry Run ongoing can use for run plan_x000a_28 Nov: Sanity is going on                                                                                                                                                           28 NOV: Unable to turn on the board and Arduino flash is also failing in the setup. to check HIL Board_x000a_27 Nov:RITM6834425 CLA Initlization failing                                                                                                                                                                  26 Nov: RITM6815852  with Devops                                                                                                              23 NOV: RITM6815852 , Node not reachable by Devops witherror &quot;Name or service not known&quot;_x000a_20/11; HW is connected with devops RITM6815852   21/11:baseline installtion was not completed so Habteab started working on it"/>
  </r>
  <r>
    <x v="3"/>
    <s v="HILSRTL402"/>
    <s v="Yes"/>
    <x v="3"/>
    <s v="PCIe"/>
    <s v="SN4079569"/>
    <m/>
    <x v="1"/>
    <x v="1"/>
    <x v="63"/>
    <x v="64"/>
    <x v="8"/>
    <s v="No"/>
    <s v="No"/>
    <m/>
    <s v="HILSRTL006sMini.hf.intel.com"/>
    <x v="13"/>
    <m/>
    <s v="C07826600Z4X1R36"/>
    <s v="9712942755"/>
    <s v="00440152289308"/>
    <s v="00440152299308"/>
    <s v="5034817497"/>
    <m/>
    <s v="Yes"/>
    <s v="Yes"/>
    <x v="1"/>
    <s v="Debug Needed"/>
    <s v="14 Dec: Dont use setup for testing HW is not Good_x000a_13 DEC: DUT is crashing after manual flash as well. Modem is not running. Cannot configure device: wwan0.iat0_0. _x000a_12 DEC: Modem is crashing after flash._x000a_11 DEC: Habteab is going to send mail. setup not working even after updateding baseline_x000a_11 DEC: Baseline to be updated and to be tried _x000a_10 Dec: Setup issue not running need to check                                                                                                               29 NOV: Good for Regular testing_x000a_28 Nov: Sanity is going on                                                                                                                                                             27 Nov :,Habteb is working on it.                                                                                                                                          26 Nov: Config issue Hil Board is not flashing Devops is Checking RITM6830983                                                                                                                                           23 NOV: RITM6815852 is complete. Dry RunTriggered but HIL Board connection Issue is seen._x000a_20/11; HW is connected with devops RITM6815852   21/11:Machine was not reflecting to Drag Nodes updated same to Habteab so testing not started"/>
  </r>
  <r>
    <x v="3"/>
    <s v="HILSRTL403"/>
    <s v="Yes"/>
    <x v="0"/>
    <s v="PCIe"/>
    <s v="SN4079902"/>
    <m/>
    <x v="1"/>
    <x v="1"/>
    <x v="64"/>
    <x v="65"/>
    <x v="8"/>
    <s v="No"/>
    <s v="No"/>
    <m/>
    <s v="HILSRTL006sMini.hf.intel.com"/>
    <x v="13"/>
    <m/>
    <s v="C07826400L1X1R36"/>
    <s v="9135794378"/>
    <s v=" 00440152289854"/>
    <s v=" 00440152299854"/>
    <n v="5037288471"/>
    <m/>
    <s v="Yes"/>
    <s v="Yes"/>
    <x v="0"/>
    <m/>
    <s v="30 Nov: Sanity is going on                                                                                                                                                           28 Nov: Waiting for VZW sims to activate                                                                                                                                                                                  27 Nov: RITM6835864"/>
  </r>
  <r>
    <x v="3"/>
    <s v="HILSRTL093"/>
    <s v="Yes"/>
    <x v="3"/>
    <s v="PCIe"/>
    <s v="SN2510562"/>
    <m/>
    <x v="1"/>
    <x v="1"/>
    <x v="59"/>
    <x v="60"/>
    <x v="8"/>
    <s v="No"/>
    <s v="No"/>
    <m/>
    <s v="HILSRTL006sMini.hf.intel.com"/>
    <x v="13"/>
    <m/>
    <s v="C07826600YFX1R36"/>
    <s v="9135261489"/>
    <s v="00440152289328"/>
    <s v=" 00440152299328"/>
    <n v="9712979322"/>
    <m/>
    <s v="Yes"/>
    <s v="Yes"/>
    <x v="0"/>
    <m/>
    <s v="29 NOV: Dry Run looks good. Released for regular tests_x000a_28 Nov: Sanity is going on                                                                                                                                                                                                                  27 Nov: RITM6835864"/>
  </r>
  <r>
    <x v="3"/>
    <s v="HILSRTL417"/>
    <s v="Yes"/>
    <x v="0"/>
    <s v="PCIe"/>
    <s v="SN4079705"/>
    <m/>
    <x v="1"/>
    <x v="1"/>
    <x v="63"/>
    <x v="64"/>
    <x v="8"/>
    <s v="No"/>
    <s v="No"/>
    <m/>
    <s v="HILSRTL006sMini.hf.intel.com"/>
    <x v="13"/>
    <m/>
    <s v="C07826400NTX1R36"/>
    <s v="5037288604"/>
    <s v=" 00440152289862"/>
    <s v=" 00440152299862"/>
    <s v="5034572405"/>
    <m/>
    <s v="Yes"/>
    <s v="Yes"/>
    <x v="0"/>
    <m/>
    <s v="30 Nov: Sanity is going on                                                                                                                                                              30 NOV: Host Down, Update from L2 Guys_x000a_29 Nov: RITM6844223 waiting for Devops to Complete installation                                                                       29 NOV: Yokesh changed Combo for this system from Sprint&amp;ATT to Verizon&amp;TMo_x000a_28 Nov:  Modem is not detecting while modem looks good and working on Cal station                                                                                                                                                                                                               27 Nov: RITM6835864"/>
  </r>
  <r>
    <x v="1"/>
    <s v="MUCSRTL189"/>
    <s v="Yes"/>
    <x v="3"/>
    <s v="PCIe"/>
    <s v="SN4079398"/>
    <s v="11.1.371 Rack 7/3"/>
    <x v="1"/>
    <x v="0"/>
    <x v="14"/>
    <x v="5"/>
    <x v="14"/>
    <s v="No"/>
    <m/>
    <m/>
    <m/>
    <x v="13"/>
    <m/>
    <m/>
    <m/>
    <m/>
    <m/>
    <m/>
    <m/>
    <s v="Yes"/>
    <s v="Yes"/>
    <x v="0"/>
    <m/>
    <s v="18 DEC: With Scope connected"/>
  </r>
  <r>
    <x v="1"/>
    <s v="MUCSRTL190"/>
    <s v="Yes"/>
    <x v="3"/>
    <s v="PCIe"/>
    <s v="SN4079611"/>
    <s v="11.1.371 Rack 4/5"/>
    <x v="1"/>
    <x v="0"/>
    <x v="47"/>
    <x v="5"/>
    <x v="14"/>
    <s v="No"/>
    <m/>
    <m/>
    <m/>
    <x v="13"/>
    <m/>
    <m/>
    <m/>
    <m/>
    <m/>
    <m/>
    <m/>
    <s v="Yes"/>
    <s v="Yes"/>
    <x v="0"/>
    <m/>
    <s v="19 DEC: Dry run looks good. Email confrimation sent"/>
  </r>
  <r>
    <x v="1"/>
    <s v="MUCSRTL191"/>
    <s v="Yes"/>
    <x v="3"/>
    <s v="PCIe"/>
    <s v="SN4079397"/>
    <s v="11.1.371 Rack 4/4"/>
    <x v="1"/>
    <x v="0"/>
    <x v="14"/>
    <x v="4"/>
    <x v="14"/>
    <s v="No"/>
    <m/>
    <m/>
    <m/>
    <x v="13"/>
    <m/>
    <m/>
    <m/>
    <m/>
    <m/>
    <m/>
    <m/>
    <s v="Yes"/>
    <s v="Yes"/>
    <x v="0"/>
    <m/>
    <m/>
  </r>
  <r>
    <x v="3"/>
    <s v="HILSRTL398"/>
    <s v="Yes"/>
    <x v="0"/>
    <s v="PCIe"/>
    <s v="SN4079902"/>
    <m/>
    <x v="1"/>
    <x v="1"/>
    <x v="51"/>
    <x v="54"/>
    <x v="8"/>
    <s v="No"/>
    <m/>
    <m/>
    <s v="HILSRTL006sMini.hf.intel.com"/>
    <x v="13"/>
    <m/>
    <s v="C07826400NVX1R36"/>
    <n v="9712979340"/>
    <s v=" 00440152289858"/>
    <s v=" 00440152299858"/>
    <s v="6194946146"/>
    <m/>
    <s v="Yes"/>
    <s v="Yes"/>
    <x v="0"/>
    <m/>
    <s v="29 NOV: Dry Run done. good for regular testing_x000a_28 Nov: Sanity is going on                                                                                                                                                        28 nOV: Cds in Loop. To check L1.1 &amp; L1.2 substates in BIOS_x000a_27 Nov: Sanity Started                                                                                                                                                                27 Nov: with devops RITM68347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6 Nov: RITM6815852  with Devops                                                                        23 NOV: RITM6815852 , Node not reachable by Devops with error &quot;Connection timed out&quot;_x000a_20/11; HW is connected with devops RITM6815852   21/11:baseline installtion was not completed so Habteab started working on it"/>
  </r>
  <r>
    <x v="1"/>
    <s v="MUCSRTL188"/>
    <s v="Yes"/>
    <x v="3"/>
    <s v="BlackRay"/>
    <s v="SN3647670"/>
    <s v="11.1.371 Rack 9/4"/>
    <x v="1"/>
    <x v="1"/>
    <x v="16"/>
    <x v="12"/>
    <x v="2"/>
    <s v="No"/>
    <s v="No"/>
    <s v="4x"/>
    <s v="MUCSRTMAC130.IMU.INTEL.COM"/>
    <x v="793"/>
    <s v="E4DD684687DBF6A2FFFFFFFF"/>
    <s v="C07826400LEX1R36"/>
    <s v="491728920646"/>
    <m/>
    <m/>
    <m/>
    <m/>
    <s v="Yes"/>
    <s v="Yes"/>
    <x v="0"/>
    <m/>
    <s v="22 DEC : This can be used in normal testing_x000a_19 DEC: To try with Bender165653.1 in 2G mode. Blocked due to SMS32480043_x000a_18 DEC : Many crashes seen. To check with XFT team if this is a known crash"/>
  </r>
  <r>
    <x v="1"/>
    <s v="MUCSRTL192"/>
    <s v="No"/>
    <x v="2"/>
    <s v="BlackRay"/>
    <s v="SN4079551"/>
    <m/>
    <x v="1"/>
    <x v="2"/>
    <x v="2"/>
    <x v="2"/>
    <x v="3"/>
    <m/>
    <m/>
    <m/>
    <m/>
    <x v="13"/>
    <m/>
    <m/>
    <m/>
    <m/>
    <m/>
    <m/>
    <m/>
    <s v="Yes"/>
    <s v="Yes"/>
    <x v="1"/>
    <m/>
    <s v="30 NOV: RITM6842346 is complete_x000a_29 NOV: RITM6842346 requested"/>
  </r>
  <r>
    <x v="1"/>
    <s v="MUCSRTL193"/>
    <s v="No"/>
    <x v="2"/>
    <s v="BlackRay"/>
    <s v="SN4079534"/>
    <m/>
    <x v="1"/>
    <x v="2"/>
    <x v="2"/>
    <x v="2"/>
    <x v="3"/>
    <m/>
    <m/>
    <m/>
    <m/>
    <x v="13"/>
    <m/>
    <m/>
    <m/>
    <m/>
    <m/>
    <m/>
    <m/>
    <s v="Yes"/>
    <s v="Yes"/>
    <x v="1"/>
    <m/>
    <s v="30 NOV: RITM6842346 is complete_x000a_29 NOV: RITM6842346 requested"/>
  </r>
  <r>
    <x v="1"/>
    <s v="MUCSRTL194"/>
    <s v="No"/>
    <x v="2"/>
    <s v="BlackRay"/>
    <s v="SN4079583"/>
    <m/>
    <x v="1"/>
    <x v="2"/>
    <x v="2"/>
    <x v="2"/>
    <x v="3"/>
    <m/>
    <m/>
    <m/>
    <m/>
    <x v="13"/>
    <m/>
    <m/>
    <m/>
    <m/>
    <m/>
    <m/>
    <m/>
    <s v="Yes"/>
    <s v="Yes"/>
    <x v="1"/>
    <m/>
    <s v="30 NOV: RITM6842346 is complete_x000a_29 NOV: RITM6842346 requested, For CPS &amp; Power"/>
  </r>
  <r>
    <x v="1"/>
    <s v="MUCSRTL195"/>
    <s v="No"/>
    <x v="2"/>
    <s v="BlackRay"/>
    <s v="SN4079704"/>
    <m/>
    <x v="1"/>
    <x v="2"/>
    <x v="2"/>
    <x v="2"/>
    <x v="3"/>
    <m/>
    <m/>
    <m/>
    <m/>
    <x v="13"/>
    <m/>
    <m/>
    <m/>
    <m/>
    <m/>
    <m/>
    <m/>
    <s v="Yes"/>
    <s v="Yes"/>
    <x v="1"/>
    <m/>
    <s v="For PFSW&amp; Smarti"/>
  </r>
  <r>
    <x v="1"/>
    <s v="MUCSRTL196"/>
    <s v="No"/>
    <x v="2"/>
    <s v="BlackRay"/>
    <s v="SN4079619"/>
    <m/>
    <x v="1"/>
    <x v="2"/>
    <x v="2"/>
    <x v="2"/>
    <x v="3"/>
    <m/>
    <m/>
    <m/>
    <m/>
    <x v="13"/>
    <m/>
    <m/>
    <m/>
    <m/>
    <m/>
    <m/>
    <m/>
    <s v="Yes"/>
    <s v="Yes"/>
    <x v="1"/>
    <m/>
    <s v="For RAC/RAU"/>
  </r>
  <r>
    <x v="1"/>
    <s v="MUCSRTL197"/>
    <s v="No"/>
    <x v="2"/>
    <s v="BlackRay"/>
    <s v="SN4079333"/>
    <m/>
    <x v="1"/>
    <x v="2"/>
    <x v="2"/>
    <x v="2"/>
    <x v="3"/>
    <m/>
    <m/>
    <m/>
    <m/>
    <x v="13"/>
    <m/>
    <m/>
    <m/>
    <m/>
    <m/>
    <m/>
    <m/>
    <s v="Yes"/>
    <s v="Yes"/>
    <x v="1"/>
    <m/>
    <s v="05 Dec : RITM6861310 - Baseline Installation done"/>
  </r>
  <r>
    <x v="1"/>
    <s v="MUCSRTL198"/>
    <s v="No"/>
    <x v="2"/>
    <s v="BlackRay"/>
    <s v="SN4079708"/>
    <m/>
    <x v="1"/>
    <x v="2"/>
    <x v="2"/>
    <x v="2"/>
    <x v="3"/>
    <m/>
    <m/>
    <m/>
    <m/>
    <x v="13"/>
    <m/>
    <m/>
    <m/>
    <m/>
    <m/>
    <m/>
    <m/>
    <s v="Yes"/>
    <s v="Yes"/>
    <x v="1"/>
    <m/>
    <s v="05 Dec : Baseline Installation is done_x000a_04 Dec : RITM6857704 - Baseline installation needed from DevOps Team"/>
  </r>
  <r>
    <x v="1"/>
    <s v="MUCSRTL199"/>
    <s v="No"/>
    <x v="2"/>
    <s v="BlackRay"/>
    <s v="SN4079495"/>
    <m/>
    <x v="1"/>
    <x v="2"/>
    <x v="2"/>
    <x v="2"/>
    <x v="3"/>
    <m/>
    <m/>
    <m/>
    <m/>
    <x v="13"/>
    <m/>
    <m/>
    <m/>
    <m/>
    <m/>
    <m/>
    <m/>
    <s v="Yes"/>
    <s v="Yes"/>
    <x v="1"/>
    <m/>
    <s v="05 Dec : Baseline Installation is done_x000a_04 Dec : RITM6857704 - Baseline installation needed from DevOps Team"/>
  </r>
  <r>
    <x v="1"/>
    <s v="MUCSRTL200"/>
    <s v="No"/>
    <x v="2"/>
    <s v="BlackRay"/>
    <s v="SN4079688"/>
    <m/>
    <x v="1"/>
    <x v="2"/>
    <x v="2"/>
    <x v="2"/>
    <x v="3"/>
    <m/>
    <m/>
    <m/>
    <m/>
    <x v="13"/>
    <m/>
    <m/>
    <m/>
    <m/>
    <m/>
    <m/>
    <m/>
    <s v="Yes"/>
    <s v="Yes"/>
    <x v="1"/>
    <m/>
    <s v="04 Dec : RITM6857704 - Baseline installation done"/>
  </r>
  <r>
    <x v="1"/>
    <s v="MUCSRTL201"/>
    <s v="No"/>
    <x v="2"/>
    <s v="BlackRay"/>
    <s v="SN4079556"/>
    <m/>
    <x v="1"/>
    <x v="2"/>
    <x v="2"/>
    <x v="2"/>
    <x v="3"/>
    <m/>
    <m/>
    <m/>
    <m/>
    <x v="13"/>
    <m/>
    <m/>
    <m/>
    <m/>
    <m/>
    <m/>
    <m/>
    <s v="Yes"/>
    <s v="Yes"/>
    <x v="1"/>
    <m/>
    <s v="05 Dec : Baseline Installation is done_x000a_04 Dec : RITM6857704 - Baseline installation needed from DevOps Team"/>
  </r>
  <r>
    <x v="1"/>
    <s v="MUCSRTL202"/>
    <s v="No"/>
    <x v="2"/>
    <s v="BlackRay"/>
    <s v="SN4079474"/>
    <m/>
    <x v="1"/>
    <x v="2"/>
    <x v="2"/>
    <x v="2"/>
    <x v="3"/>
    <m/>
    <m/>
    <m/>
    <m/>
    <x v="13"/>
    <m/>
    <m/>
    <m/>
    <m/>
    <m/>
    <m/>
    <m/>
    <s v="Yes"/>
    <s v="In progress"/>
    <x v="1"/>
    <m/>
    <s v="04 Dec : RITM6857704 - Baseline installation needed from DevOps Team"/>
  </r>
  <r>
    <x v="1"/>
    <s v="MUCSRTL203"/>
    <s v="No"/>
    <x v="2"/>
    <s v="BlackRay"/>
    <s v="SN4079381"/>
    <m/>
    <x v="1"/>
    <x v="2"/>
    <x v="2"/>
    <x v="2"/>
    <x v="3"/>
    <m/>
    <m/>
    <m/>
    <m/>
    <x v="13"/>
    <m/>
    <m/>
    <m/>
    <m/>
    <m/>
    <m/>
    <m/>
    <s v="Yes"/>
    <s v="Yes"/>
    <x v="1"/>
    <m/>
    <s v="05 Dec : Baseline Installation is done_x000a_04 Dec : RITM6857704 - Baseline installation needed from DevOps Team"/>
  </r>
  <r>
    <x v="3"/>
    <s v="HILSRTL415"/>
    <s v="Yes"/>
    <x v="3"/>
    <s v="PCIe"/>
    <s v="SN4079492"/>
    <m/>
    <x v="1"/>
    <x v="0"/>
    <x v="54"/>
    <x v="4"/>
    <x v="14"/>
    <m/>
    <m/>
    <m/>
    <s v="HILSRTL006sMini.hf.intel.com"/>
    <x v="13"/>
    <m/>
    <s v="X1R3827003W"/>
    <n v="9712979326"/>
    <s v="00440152274619"/>
    <s v="00440152274618"/>
    <m/>
    <m/>
    <s v="Yes"/>
    <s v="Yes"/>
    <x v="0"/>
    <m/>
    <m/>
  </r>
  <r>
    <x v="3"/>
    <s v="HILSRTL408"/>
    <s v="Yes"/>
    <x v="2"/>
    <s v="PCIe"/>
    <s v=" SN4079361"/>
    <m/>
    <x v="1"/>
    <x v="2"/>
    <x v="55"/>
    <x v="2"/>
    <x v="3"/>
    <m/>
    <m/>
    <m/>
    <m/>
    <x v="13"/>
    <m/>
    <m/>
    <m/>
    <m/>
    <m/>
    <m/>
    <m/>
    <s v="Yes"/>
    <s v="Yes"/>
    <x v="1"/>
    <m/>
    <s v="06 DEC: To try the HW from HILSRTL396 and see if it works._x000a_05 DEC : No HW_x000a_29 Nov: HW is not booting up "/>
  </r>
  <r>
    <x v="0"/>
    <s v="BASRTL419"/>
    <s v="Yes"/>
    <x v="3"/>
    <s v="BlackRay"/>
    <s v="SN2250518 --&gt;3647956"/>
    <m/>
    <x v="1"/>
    <x v="1"/>
    <x v="48"/>
    <x v="49"/>
    <x v="2"/>
    <m/>
    <m/>
    <m/>
    <m/>
    <x v="13"/>
    <m/>
    <m/>
    <m/>
    <m/>
    <m/>
    <m/>
    <m/>
    <s v="Yes"/>
    <s v="Yes"/>
    <x v="0"/>
    <m/>
    <s v="_x000a__x000a_24: Sanity Passed_x000a_22 DEC: Sanity Ongoing    _x000a_17 DEC: For Primary config                                                                                                                                                                    Power Cable will procure from IT team Tomorrow and will be sent for Baseline Update"/>
  </r>
  <r>
    <x v="0"/>
    <s v="BASRTL420"/>
    <s v="Yes"/>
    <x v="3"/>
    <s v="BlackRay"/>
    <s v="SN3219611 --&gt; 3647921"/>
    <m/>
    <x v="1"/>
    <x v="1"/>
    <x v="48"/>
    <x v="49"/>
    <x v="2"/>
    <m/>
    <m/>
    <m/>
    <m/>
    <x v="13"/>
    <m/>
    <m/>
    <m/>
    <m/>
    <m/>
    <m/>
    <m/>
    <s v="Yes"/>
    <s v="Yes"/>
    <x v="0"/>
    <m/>
    <s v="22 DEC: Sanity Ongoing    _x000a_17 DEC: For Primary config                                                                                                                                                           Power Cable will procure from IT team Tomorrow and will be sent for Baseline Update"/>
  </r>
  <r>
    <x v="0"/>
    <s v="BASRTL421"/>
    <s v="Yes"/>
    <x v="3"/>
    <s v="BlackRay"/>
    <s v="SN3219903 ---&gt; 3647646"/>
    <m/>
    <x v="1"/>
    <x v="0"/>
    <x v="0"/>
    <x v="0"/>
    <x v="2"/>
    <m/>
    <m/>
    <m/>
    <m/>
    <x v="13"/>
    <m/>
    <m/>
    <m/>
    <m/>
    <m/>
    <m/>
    <m/>
    <s v="Yes"/>
    <s v="Yes"/>
    <x v="0"/>
    <m/>
    <s v="_x000a__x000a_24: Sanity Passed_x000a_22 DEC: Sanity Ongoing_x000a_17 DEC: For Primary config                                                                                                                                                       Power Cable will procure from IT team Tomorrow and will be sent for Baseline Update"/>
  </r>
  <r>
    <x v="0"/>
    <s v="BASRTL422"/>
    <s v="Yes"/>
    <x v="3"/>
    <s v="BlackRay"/>
    <s v="SN2794421 --&gt; 3647900"/>
    <m/>
    <x v="1"/>
    <x v="1"/>
    <x v="48"/>
    <x v="44"/>
    <x v="2"/>
    <m/>
    <m/>
    <m/>
    <m/>
    <x v="13"/>
    <m/>
    <m/>
    <m/>
    <m/>
    <m/>
    <m/>
    <m/>
    <s v="Yes"/>
    <s v="Yes"/>
    <x v="0"/>
    <m/>
    <s v="22 DEC: Sanity Passed_x000a_17 DEC: For Primary config                                                                                                                                                       Power Cable will procure from IT team Tomorrow and will be sent for Baseline Update"/>
  </r>
  <r>
    <x v="0"/>
    <s v="BASRTL423"/>
    <s v="Yes"/>
    <x v="3"/>
    <s v="BlackRay"/>
    <s v="SN3219589 ---&gt; 3647566"/>
    <m/>
    <x v="1"/>
    <x v="1"/>
    <x v="48"/>
    <x v="45"/>
    <x v="2"/>
    <m/>
    <m/>
    <m/>
    <m/>
    <x v="13"/>
    <m/>
    <m/>
    <m/>
    <m/>
    <m/>
    <m/>
    <m/>
    <s v="Yes"/>
    <s v="Yes"/>
    <x v="0"/>
    <m/>
    <s v="22 DEC: Sanity Passed    _x000a_17 DEC: For Primary config                                                                                                                                                              Power Cable will procure from IT team Tomorrow and will be sent for Baseline Update"/>
  </r>
  <r>
    <x v="0"/>
    <s v="BASRTL424"/>
    <s v="Yes"/>
    <x v="3"/>
    <s v="BlackRay"/>
    <s v="SN3219557 ---&gt;3647805"/>
    <m/>
    <x v="1"/>
    <x v="1"/>
    <x v="1"/>
    <x v="45"/>
    <x v="2"/>
    <m/>
    <m/>
    <m/>
    <m/>
    <x v="13"/>
    <m/>
    <m/>
    <m/>
    <m/>
    <m/>
    <m/>
    <m/>
    <s v="Yes"/>
    <s v="Yes"/>
    <x v="0"/>
    <m/>
    <s v="22 DEC: Sanity Ongoing    _x000a_17 DEC: For Primary config                                                                                                                                                                  Power Cable will procure from IT team Tomorrow and will be sent for Baseline Update"/>
  </r>
  <r>
    <x v="0"/>
    <s v="BASRTL425"/>
    <s v="Yes"/>
    <x v="3"/>
    <s v="BlackRay"/>
    <s v="SN3219610 ---&gt;3648102"/>
    <m/>
    <x v="1"/>
    <x v="1"/>
    <x v="1"/>
    <x v="45"/>
    <x v="2"/>
    <m/>
    <m/>
    <m/>
    <m/>
    <x v="13"/>
    <m/>
    <m/>
    <m/>
    <m/>
    <m/>
    <m/>
    <m/>
    <s v="Yes"/>
    <s v="Yes"/>
    <x v="0"/>
    <m/>
    <s v="22 DEC: Sanity Passed (MT Fail only)_x000a_17 DEC: For Primary config                                                                                                                                                       Power Cable will procure from IT team Tomorrow and will be sent for Baseline Update"/>
  </r>
  <r>
    <x v="1"/>
    <s v="MUCSRTL098"/>
    <s v="No"/>
    <x v="2"/>
    <s v="BlackRay"/>
    <s v="SN3220070"/>
    <m/>
    <x v="1"/>
    <x v="2"/>
    <x v="2"/>
    <x v="2"/>
    <x v="3"/>
    <m/>
    <m/>
    <m/>
    <m/>
    <x v="13"/>
    <m/>
    <m/>
    <m/>
    <m/>
    <m/>
    <m/>
    <m/>
    <s v="In progress"/>
    <s v="No"/>
    <x v="1"/>
    <m/>
    <s v="05 Dec : Replaced with repait kit_x000a_Need to be replaced with repair kit "/>
  </r>
  <r>
    <x v="1"/>
    <s v="MUCSRTL088"/>
    <s v="No"/>
    <x v="2"/>
    <s v="BlackRay"/>
    <s v="SN3299736"/>
    <m/>
    <x v="1"/>
    <x v="2"/>
    <x v="2"/>
    <x v="2"/>
    <x v="3"/>
    <m/>
    <m/>
    <m/>
    <m/>
    <x v="13"/>
    <m/>
    <m/>
    <m/>
    <m/>
    <m/>
    <m/>
    <m/>
    <s v="In progress"/>
    <s v="No"/>
    <x v="1"/>
    <m/>
    <s v="05 Dec : Replaced with repait kit_x000a_Need to be replaced with repair kit "/>
  </r>
  <r>
    <x v="1"/>
    <s v="MUCSRTL050"/>
    <s v="No"/>
    <x v="2"/>
    <s v="BlackRay"/>
    <s v="SN3219943"/>
    <m/>
    <x v="1"/>
    <x v="2"/>
    <x v="2"/>
    <x v="2"/>
    <x v="3"/>
    <m/>
    <m/>
    <m/>
    <m/>
    <x v="13"/>
    <m/>
    <m/>
    <m/>
    <m/>
    <m/>
    <m/>
    <m/>
    <s v="In progress"/>
    <s v="No"/>
    <x v="1"/>
    <m/>
    <s v="05 Dec : Replaced with repait kit_x000a_Need to be replaced with repair kit "/>
  </r>
  <r>
    <x v="1"/>
    <s v="MUCSRTL040"/>
    <s v="No"/>
    <x v="2"/>
    <s v="BlackRay"/>
    <s v="SN3220051"/>
    <m/>
    <x v="1"/>
    <x v="2"/>
    <x v="2"/>
    <x v="2"/>
    <x v="3"/>
    <m/>
    <m/>
    <m/>
    <m/>
    <x v="13"/>
    <m/>
    <m/>
    <m/>
    <m/>
    <m/>
    <m/>
    <m/>
    <s v="In progress"/>
    <s v="No"/>
    <x v="1"/>
    <m/>
    <s v="05 Dec : Replaced with repait kit_x000a_Need to be replaced with repair kit "/>
  </r>
  <r>
    <x v="3"/>
    <s v="HILSRTL418"/>
    <s v="No"/>
    <x v="2"/>
    <m/>
    <s v="SN2510891"/>
    <m/>
    <x v="1"/>
    <x v="2"/>
    <x v="2"/>
    <x v="2"/>
    <x v="3"/>
    <m/>
    <m/>
    <m/>
    <m/>
    <x v="13"/>
    <m/>
    <m/>
    <m/>
    <m/>
    <m/>
    <m/>
    <m/>
    <s v="No"/>
    <s v="No"/>
    <x v="4"/>
    <m/>
    <s v="17 Dec: Modem not detected so removed Congatec from Rack_x000a_06 Dec: Replacement KIT 3648094 --Re-imaging is going on"/>
  </r>
  <r>
    <x v="3"/>
    <s v="HILSRTL419"/>
    <s v="No"/>
    <x v="2"/>
    <m/>
    <s v="SN3299790"/>
    <m/>
    <x v="1"/>
    <x v="2"/>
    <x v="2"/>
    <x v="2"/>
    <x v="3"/>
    <m/>
    <m/>
    <m/>
    <m/>
    <x v="13"/>
    <m/>
    <m/>
    <m/>
    <m/>
    <m/>
    <m/>
    <m/>
    <s v="No"/>
    <s v="No"/>
    <x v="4"/>
    <m/>
    <s v="17 Dec: Modem not detected so removed Congatec from Rack_x000a_06 Dec: Replacement KIT 3647946--Re-imaging is going on"/>
  </r>
  <r>
    <x v="3"/>
    <s v="HILSRTL420"/>
    <s v="No"/>
    <x v="2"/>
    <m/>
    <s v="SN3219961"/>
    <m/>
    <x v="1"/>
    <x v="2"/>
    <x v="2"/>
    <x v="2"/>
    <x v="3"/>
    <m/>
    <m/>
    <m/>
    <m/>
    <x v="13"/>
    <m/>
    <m/>
    <m/>
    <m/>
    <m/>
    <m/>
    <m/>
    <s v="No"/>
    <s v="No"/>
    <x v="4"/>
    <m/>
    <s v="17 Dec: Modem not detected so removed Congatec from Rack_x000a_06 Dec: Replacement KIT 3648529--Re-imaging is going on"/>
  </r>
  <r>
    <x v="3"/>
    <s v="HILSRTL421"/>
    <s v="No"/>
    <x v="2"/>
    <m/>
    <s v="SN2510431"/>
    <m/>
    <x v="1"/>
    <x v="2"/>
    <x v="2"/>
    <x v="2"/>
    <x v="3"/>
    <m/>
    <m/>
    <m/>
    <m/>
    <x v="13"/>
    <m/>
    <m/>
    <m/>
    <m/>
    <m/>
    <m/>
    <m/>
    <s v="No"/>
    <s v="No"/>
    <x v="4"/>
    <m/>
    <s v="17 Dec: Modem not detected so removed Congatec from Rack_x000a_06 Dec: Replacement KIT 3647752--Re-imaging is going on"/>
  </r>
  <r>
    <x v="3"/>
    <s v="HILSRTL422"/>
    <s v="No"/>
    <x v="2"/>
    <m/>
    <s v="SN3299631"/>
    <m/>
    <x v="1"/>
    <x v="2"/>
    <x v="2"/>
    <x v="2"/>
    <x v="3"/>
    <m/>
    <m/>
    <m/>
    <m/>
    <x v="13"/>
    <m/>
    <m/>
    <m/>
    <m/>
    <m/>
    <m/>
    <m/>
    <s v="No"/>
    <s v="No"/>
    <x v="4"/>
    <m/>
    <s v="17 Dec: Modem not detected so removed Congatec from Rack_x000a_06 Dec: Replacement KIT 3648441--Re-imaging is going on"/>
  </r>
  <r>
    <x v="2"/>
    <s v="SDSRTL207"/>
    <m/>
    <x v="2"/>
    <s v="BlackRay"/>
    <n v="3648327"/>
    <m/>
    <x v="1"/>
    <x v="2"/>
    <x v="2"/>
    <x v="2"/>
    <x v="3"/>
    <m/>
    <m/>
    <m/>
    <m/>
    <x v="13"/>
    <m/>
    <m/>
    <m/>
    <m/>
    <m/>
    <m/>
    <m/>
    <s v="No"/>
    <s v="No"/>
    <x v="1"/>
    <m/>
    <s v="Fixed the Parts and Reimaging is Completed"/>
  </r>
  <r>
    <x v="2"/>
    <m/>
    <m/>
    <x v="2"/>
    <s v="BlackRay"/>
    <n v="3648327"/>
    <m/>
    <x v="3"/>
    <x v="2"/>
    <x v="2"/>
    <x v="2"/>
    <x v="3"/>
    <m/>
    <m/>
    <m/>
    <m/>
    <x v="13"/>
    <m/>
    <m/>
    <m/>
    <m/>
    <m/>
    <m/>
    <m/>
    <m/>
    <m/>
    <x v="2"/>
    <s v="Broken"/>
    <s v="Fixed the Parts- Under reimaging process"/>
  </r>
  <r>
    <x v="2"/>
    <m/>
    <m/>
    <x v="2"/>
    <s v="BlackRay"/>
    <n v="3299597"/>
    <m/>
    <x v="3"/>
    <x v="2"/>
    <x v="2"/>
    <x v="2"/>
    <x v="3"/>
    <m/>
    <m/>
    <m/>
    <m/>
    <x v="13"/>
    <m/>
    <m/>
    <m/>
    <m/>
    <m/>
    <m/>
    <m/>
    <m/>
    <m/>
    <x v="2"/>
    <s v="Broken"/>
    <s v="Fixed the Parts- Under reimaging process"/>
  </r>
  <r>
    <x v="2"/>
    <m/>
    <m/>
    <x v="2"/>
    <s v="BlackRay"/>
    <n v="2511004"/>
    <m/>
    <x v="3"/>
    <x v="2"/>
    <x v="2"/>
    <x v="2"/>
    <x v="3"/>
    <m/>
    <m/>
    <m/>
    <m/>
    <x v="13"/>
    <m/>
    <m/>
    <m/>
    <m/>
    <m/>
    <m/>
    <m/>
    <m/>
    <m/>
    <x v="2"/>
    <s v="Broken"/>
    <s v="Fixed the Parts- Under reimaging process"/>
  </r>
  <r>
    <x v="2"/>
    <m/>
    <m/>
    <x v="2"/>
    <s v="BlackRay"/>
    <n v="3299733"/>
    <m/>
    <x v="3"/>
    <x v="2"/>
    <x v="2"/>
    <x v="2"/>
    <x v="3"/>
    <m/>
    <m/>
    <m/>
    <m/>
    <x v="13"/>
    <m/>
    <m/>
    <m/>
    <m/>
    <m/>
    <m/>
    <m/>
    <m/>
    <m/>
    <x v="2"/>
    <s v="Broken"/>
    <s v="Fixed the Parts- Under reimaging process"/>
  </r>
  <r>
    <x v="2"/>
    <m/>
    <m/>
    <x v="2"/>
    <s v="BlackRay"/>
    <n v="3299342"/>
    <m/>
    <x v="3"/>
    <x v="2"/>
    <x v="2"/>
    <x v="2"/>
    <x v="3"/>
    <m/>
    <m/>
    <m/>
    <m/>
    <x v="13"/>
    <m/>
    <m/>
    <m/>
    <m/>
    <m/>
    <m/>
    <m/>
    <m/>
    <m/>
    <x v="2"/>
    <s v="Broken"/>
    <s v="Fixed the Parts- Under reimaging process"/>
  </r>
  <r>
    <x v="2"/>
    <m/>
    <m/>
    <x v="2"/>
    <s v="BlackRay"/>
    <n v="3299725"/>
    <m/>
    <x v="3"/>
    <x v="2"/>
    <x v="2"/>
    <x v="2"/>
    <x v="3"/>
    <m/>
    <m/>
    <m/>
    <m/>
    <x v="13"/>
    <m/>
    <m/>
    <m/>
    <m/>
    <m/>
    <m/>
    <m/>
    <m/>
    <m/>
    <x v="2"/>
    <s v="Broken"/>
    <s v="Fixed the Parts- Under reimaging process"/>
  </r>
  <r>
    <x v="1"/>
    <s v="MUCSRTL168"/>
    <s v="Yes"/>
    <x v="1"/>
    <s v="BlackRay"/>
    <s v="SN3647971"/>
    <m/>
    <x v="1"/>
    <x v="0"/>
    <x v="14"/>
    <x v="4"/>
    <x v="8"/>
    <s v="No"/>
    <s v="No"/>
    <s v="4x"/>
    <s v="MUCSRTMAC127.IMU.INTEL.COM"/>
    <x v="794"/>
    <s v="A2E1A6FACBC290F7FFFFFFFF"/>
    <s v="C03816111921369BC"/>
    <s v="4917610506582"/>
    <m/>
    <m/>
    <m/>
    <m/>
    <s v="Yes"/>
    <s v="Yes"/>
    <x v="0"/>
    <m/>
    <s v="07 Dec : Released from Pipe Clean and can be used for Normal Testing"/>
  </r>
  <r>
    <x v="2"/>
    <s v="SDSRTL208"/>
    <m/>
    <x v="2"/>
    <s v="BlackRay"/>
    <n v="3299733"/>
    <m/>
    <x v="1"/>
    <x v="2"/>
    <x v="2"/>
    <x v="2"/>
    <x v="3"/>
    <m/>
    <m/>
    <m/>
    <m/>
    <x v="795"/>
    <s v="Fixed the Parts- Under reimaging process"/>
    <m/>
    <m/>
    <m/>
    <m/>
    <m/>
    <m/>
    <s v="No"/>
    <s v="No"/>
    <x v="1"/>
    <m/>
    <s v="Fixed the Parts and Reimaging is Completed"/>
  </r>
  <r>
    <x v="2"/>
    <s v="SDSRTL209"/>
    <m/>
    <x v="2"/>
    <s v="BlackRay"/>
    <n v="3299721"/>
    <m/>
    <x v="1"/>
    <x v="2"/>
    <x v="2"/>
    <x v="2"/>
    <x v="3"/>
    <m/>
    <m/>
    <m/>
    <m/>
    <x v="795"/>
    <s v="Fixed the Parts- Under reimaging process"/>
    <m/>
    <m/>
    <m/>
    <m/>
    <m/>
    <m/>
    <s v="No"/>
    <s v="No"/>
    <x v="1"/>
    <m/>
    <s v="Fixed the Parts and Reimaging is Completed"/>
  </r>
  <r>
    <x v="2"/>
    <s v="SDSRTL210"/>
    <m/>
    <x v="2"/>
    <s v="BlackRay"/>
    <n v="3299597"/>
    <m/>
    <x v="1"/>
    <x v="2"/>
    <x v="2"/>
    <x v="2"/>
    <x v="3"/>
    <m/>
    <m/>
    <m/>
    <m/>
    <x v="795"/>
    <s v="Fixed the Parts- Under reimaging process"/>
    <m/>
    <m/>
    <m/>
    <m/>
    <m/>
    <m/>
    <s v="No"/>
    <s v="No"/>
    <x v="1"/>
    <m/>
    <s v="Fixed the Parts and Reimaging is Completed"/>
  </r>
  <r>
    <x v="2"/>
    <s v="SDSRTL211"/>
    <m/>
    <x v="2"/>
    <s v="BlackRay"/>
    <n v="3299725"/>
    <m/>
    <x v="1"/>
    <x v="2"/>
    <x v="2"/>
    <x v="2"/>
    <x v="3"/>
    <m/>
    <m/>
    <m/>
    <m/>
    <x v="795"/>
    <s v="Fixed the Parts- Under reimaging process"/>
    <m/>
    <m/>
    <m/>
    <m/>
    <m/>
    <m/>
    <s v="No"/>
    <s v="No"/>
    <x v="1"/>
    <m/>
    <s v="Fixed the Parts and Reimaging is Completed"/>
  </r>
  <r>
    <x v="2"/>
    <s v="SDSRTL212"/>
    <m/>
    <x v="2"/>
    <s v="BlackRay"/>
    <n v="2511004"/>
    <m/>
    <x v="1"/>
    <x v="2"/>
    <x v="2"/>
    <x v="2"/>
    <x v="3"/>
    <m/>
    <m/>
    <m/>
    <m/>
    <x v="795"/>
    <s v="Fixed the Parts- Under reimaging process"/>
    <m/>
    <m/>
    <m/>
    <m/>
    <m/>
    <m/>
    <s v="No"/>
    <s v="No"/>
    <x v="1"/>
    <m/>
    <s v="Fixed the Parts and Reimaging yet to be complete"/>
  </r>
  <r>
    <x v="0"/>
    <s v="BASRTL110"/>
    <s v="Yes"/>
    <x v="3"/>
    <s v="BlackRay"/>
    <n v="2794427"/>
    <m/>
    <x v="1"/>
    <x v="1"/>
    <x v="10"/>
    <x v="44"/>
    <x v="2"/>
    <m/>
    <m/>
    <m/>
    <m/>
    <x v="13"/>
    <m/>
    <m/>
    <m/>
    <m/>
    <m/>
    <m/>
    <m/>
    <s v="Yes"/>
    <s v="Yes"/>
    <x v="0"/>
    <m/>
    <s v="22 DEC: Sanity Passed_x000a_17 DEC: For Primary config"/>
  </r>
  <r>
    <x v="0"/>
    <s v="BASRTL132"/>
    <s v="No"/>
    <x v="2"/>
    <s v="PCIe"/>
    <n v="2794388"/>
    <m/>
    <x v="1"/>
    <x v="1"/>
    <x v="10"/>
    <x v="44"/>
    <x v="4"/>
    <m/>
    <m/>
    <m/>
    <m/>
    <x v="13"/>
    <m/>
    <m/>
    <m/>
    <m/>
    <m/>
    <m/>
    <m/>
    <s v="Yes"/>
    <s v="Yes"/>
    <x v="0"/>
    <m/>
    <s v="28 DEC: Sanity Passed_x000a_27 DEC: Sanity Ongoing "/>
  </r>
  <r>
    <x v="0"/>
    <s v="BASRTL118"/>
    <s v="No"/>
    <x v="2"/>
    <s v="PCIe"/>
    <s v="SN3219567"/>
    <m/>
    <x v="1"/>
    <x v="1"/>
    <x v="10"/>
    <x v="44"/>
    <x v="4"/>
    <m/>
    <m/>
    <m/>
    <m/>
    <x v="13"/>
    <m/>
    <m/>
    <m/>
    <m/>
    <m/>
    <m/>
    <m/>
    <s v="Yes"/>
    <s v="Yes"/>
    <x v="0"/>
    <m/>
    <s v="31 DEC: Sanity Passed with 1 WDT Reset_x000a_29DEC: M0/MT/DL&amp;UL Pass 1 BB Glicth _x000a_27 DEC: Sanity Ongoing "/>
  </r>
  <r>
    <x v="0"/>
    <s v="BASRTL130"/>
    <s v="No"/>
    <x v="2"/>
    <s v="PCIe"/>
    <n v="3120194"/>
    <m/>
    <x v="1"/>
    <x v="1"/>
    <x v="10"/>
    <x v="44"/>
    <x v="4"/>
    <m/>
    <m/>
    <m/>
    <m/>
    <x v="13"/>
    <m/>
    <m/>
    <m/>
    <m/>
    <m/>
    <m/>
    <m/>
    <s v="Yes"/>
    <s v="Yes"/>
    <x v="0"/>
    <m/>
    <s v="28 DEC: Sanity Passed_x000a_27 DEC: Sanity Ongoing "/>
  </r>
  <r>
    <x v="0"/>
    <m/>
    <s v="No"/>
    <x v="2"/>
    <s v="BlackRay"/>
    <n v="2510715"/>
    <m/>
    <x v="1"/>
    <x v="2"/>
    <x v="2"/>
    <x v="2"/>
    <x v="3"/>
    <m/>
    <m/>
    <m/>
    <m/>
    <x v="13"/>
    <m/>
    <m/>
    <m/>
    <m/>
    <m/>
    <m/>
    <m/>
    <s v="No"/>
    <s v="No"/>
    <x v="1"/>
    <m/>
    <s v="Working Congatec"/>
  </r>
  <r>
    <x v="0"/>
    <s v="BASRTL426"/>
    <s v="No"/>
    <x v="2"/>
    <s v="BlackRay"/>
    <s v="SN3648494"/>
    <m/>
    <x v="1"/>
    <x v="2"/>
    <x v="2"/>
    <x v="2"/>
    <x v="3"/>
    <m/>
    <m/>
    <m/>
    <s v="labusermac.iind.intel.com"/>
    <x v="13"/>
    <m/>
    <m/>
    <m/>
    <m/>
    <m/>
    <m/>
    <m/>
    <s v="Yes"/>
    <s v="In progress"/>
    <x v="1"/>
    <m/>
    <s v="_x000a_JAN4: Converted to Black Ray Handed Over to DevOps &quot;RITM6952320&quot;"/>
  </r>
  <r>
    <x v="0"/>
    <m/>
    <s v="No"/>
    <x v="2"/>
    <s v="BlackRay"/>
    <n v="2510669"/>
    <m/>
    <x v="1"/>
    <x v="2"/>
    <x v="2"/>
    <x v="2"/>
    <x v="3"/>
    <m/>
    <m/>
    <m/>
    <m/>
    <x v="13"/>
    <m/>
    <m/>
    <m/>
    <m/>
    <m/>
    <m/>
    <m/>
    <s v="No"/>
    <s v="No"/>
    <x v="1"/>
    <m/>
    <s v="Working Congatec"/>
  </r>
  <r>
    <x v="0"/>
    <s v="BASRTL168"/>
    <s v="No"/>
    <x v="2"/>
    <s v="BlackRay"/>
    <s v="SN2794388"/>
    <m/>
    <x v="1"/>
    <x v="2"/>
    <x v="2"/>
    <x v="2"/>
    <x v="3"/>
    <m/>
    <m/>
    <m/>
    <s v="labusermac.iind.intel.com"/>
    <x v="13"/>
    <m/>
    <m/>
    <m/>
    <m/>
    <m/>
    <m/>
    <m/>
    <s v="Yes"/>
    <s v="In progress"/>
    <x v="1"/>
    <m/>
    <s v="_x000a_JAN4: Converted to Black Ray Handed Over to DevOps &quot;RITM6952320&quot;"/>
  </r>
  <r>
    <x v="0"/>
    <m/>
    <s v="No"/>
    <x v="2"/>
    <s v="BlackRay"/>
    <n v="2388865"/>
    <m/>
    <x v="1"/>
    <x v="2"/>
    <x v="2"/>
    <x v="2"/>
    <x v="3"/>
    <m/>
    <m/>
    <m/>
    <m/>
    <x v="13"/>
    <m/>
    <m/>
    <m/>
    <m/>
    <m/>
    <m/>
    <m/>
    <s v="No"/>
    <s v="No"/>
    <x v="1"/>
    <m/>
    <s v="Working Congatec"/>
  </r>
  <r>
    <x v="0"/>
    <s v="BASRTL168"/>
    <s v="No"/>
    <x v="2"/>
    <s v="BlackRay"/>
    <n v="3120207"/>
    <m/>
    <x v="1"/>
    <x v="2"/>
    <x v="2"/>
    <x v="2"/>
    <x v="3"/>
    <m/>
    <m/>
    <m/>
    <s v="labusermac.iind.intel.com"/>
    <x v="13"/>
    <m/>
    <m/>
    <m/>
    <m/>
    <m/>
    <m/>
    <m/>
    <s v="Yes"/>
    <s v="In progress"/>
    <x v="1"/>
    <m/>
    <s v="_x000a_JAN4: Converted to Black Ray Handed Over to DevOps &quot;RITM6952320&quot;"/>
  </r>
  <r>
    <x v="0"/>
    <m/>
    <s v="No"/>
    <x v="2"/>
    <s v="BlackRay"/>
    <n v="2794362"/>
    <m/>
    <x v="1"/>
    <x v="2"/>
    <x v="2"/>
    <x v="2"/>
    <x v="3"/>
    <m/>
    <m/>
    <m/>
    <m/>
    <x v="13"/>
    <m/>
    <m/>
    <m/>
    <m/>
    <m/>
    <m/>
    <m/>
    <s v="No"/>
    <s v="No"/>
    <x v="1"/>
    <m/>
    <s v="Working Congatec"/>
  </r>
  <r>
    <x v="0"/>
    <m/>
    <s v="No"/>
    <x v="2"/>
    <s v="BlackRay"/>
    <n v="3648363"/>
    <m/>
    <x v="1"/>
    <x v="2"/>
    <x v="2"/>
    <x v="2"/>
    <x v="3"/>
    <m/>
    <m/>
    <m/>
    <m/>
    <x v="13"/>
    <m/>
    <m/>
    <m/>
    <m/>
    <m/>
    <m/>
    <m/>
    <s v="No"/>
    <s v="No"/>
    <x v="1"/>
    <m/>
    <s v="Working Congatec"/>
  </r>
  <r>
    <x v="0"/>
    <m/>
    <s v="No"/>
    <x v="2"/>
    <s v="BlackRay"/>
    <n v="2794401"/>
    <m/>
    <x v="1"/>
    <x v="2"/>
    <x v="2"/>
    <x v="2"/>
    <x v="3"/>
    <m/>
    <m/>
    <m/>
    <m/>
    <x v="13"/>
    <m/>
    <m/>
    <m/>
    <m/>
    <m/>
    <m/>
    <m/>
    <s v="No"/>
    <s v="No"/>
    <x v="1"/>
    <m/>
    <s v="Working Congatec"/>
  </r>
  <r>
    <x v="0"/>
    <m/>
    <s v="No"/>
    <x v="2"/>
    <s v="BlackRay"/>
    <n v="321992"/>
    <m/>
    <x v="1"/>
    <x v="2"/>
    <x v="2"/>
    <x v="2"/>
    <x v="3"/>
    <m/>
    <m/>
    <m/>
    <m/>
    <x v="13"/>
    <m/>
    <m/>
    <m/>
    <m/>
    <m/>
    <m/>
    <m/>
    <s v="No"/>
    <s v="No"/>
    <x v="1"/>
    <m/>
    <s v="Working Congatec"/>
  </r>
  <r>
    <x v="0"/>
    <m/>
    <s v="No"/>
    <x v="2"/>
    <s v="BlackRay"/>
    <n v="2510735"/>
    <m/>
    <x v="1"/>
    <x v="2"/>
    <x v="2"/>
    <x v="2"/>
    <x v="3"/>
    <m/>
    <m/>
    <m/>
    <m/>
    <x v="13"/>
    <m/>
    <m/>
    <m/>
    <m/>
    <m/>
    <m/>
    <m/>
    <s v="No"/>
    <s v="No"/>
    <x v="1"/>
    <m/>
    <s v="Working Congatec"/>
  </r>
  <r>
    <x v="3"/>
    <s v="HILSRTL430"/>
    <s v="No"/>
    <x v="2"/>
    <s v="BlackRay"/>
    <s v="SN4079604"/>
    <m/>
    <x v="1"/>
    <x v="0"/>
    <x v="19"/>
    <x v="2"/>
    <x v="4"/>
    <m/>
    <m/>
    <m/>
    <s v="HILSRTM013sMini.hf.intel.com"/>
    <x v="13"/>
    <m/>
    <m/>
    <m/>
    <m/>
    <m/>
    <m/>
    <m/>
    <s v="Yes"/>
    <s v="In progress"/>
    <x v="1"/>
    <m/>
    <m/>
  </r>
  <r>
    <x v="3"/>
    <s v="HILSRTL431"/>
    <s v="No"/>
    <x v="2"/>
    <s v="BlackRay"/>
    <s v="SN4079518"/>
    <m/>
    <x v="1"/>
    <x v="0"/>
    <x v="19"/>
    <x v="2"/>
    <x v="4"/>
    <m/>
    <m/>
    <m/>
    <s v="HILSRTM013sMini.hf.intel.com"/>
    <x v="13"/>
    <m/>
    <m/>
    <m/>
    <m/>
    <m/>
    <m/>
    <m/>
    <s v="Yes"/>
    <s v="In progress"/>
    <x v="1"/>
    <m/>
    <m/>
  </r>
  <r>
    <x v="3"/>
    <s v="HILSRTL432"/>
    <s v="No"/>
    <x v="2"/>
    <s v="BlackRay"/>
    <s v="SN4079549"/>
    <m/>
    <x v="1"/>
    <x v="0"/>
    <x v="19"/>
    <x v="2"/>
    <x v="4"/>
    <m/>
    <m/>
    <m/>
    <s v="HILSRTM013sMini.hf.intel.com"/>
    <x v="13"/>
    <m/>
    <m/>
    <m/>
    <m/>
    <m/>
    <m/>
    <m/>
    <s v="Yes"/>
    <s v="In progress"/>
    <x v="1"/>
    <m/>
    <m/>
  </r>
  <r>
    <x v="3"/>
    <s v="HILSRTL433"/>
    <s v="No"/>
    <x v="2"/>
    <s v="BlackRay"/>
    <s v="SN4079391"/>
    <m/>
    <x v="1"/>
    <x v="0"/>
    <x v="19"/>
    <x v="2"/>
    <x v="4"/>
    <m/>
    <m/>
    <m/>
    <s v="HILSRTM013sMini.hf.intel.com"/>
    <x v="13"/>
    <m/>
    <m/>
    <m/>
    <m/>
    <m/>
    <m/>
    <m/>
    <s v="Yes"/>
    <s v="In progress"/>
    <x v="1"/>
    <m/>
    <m/>
  </r>
  <r>
    <x v="3"/>
    <s v="HILSRTL434"/>
    <s v="No"/>
    <x v="2"/>
    <s v="BlackRay"/>
    <s v="SN4079595"/>
    <m/>
    <x v="1"/>
    <x v="0"/>
    <x v="19"/>
    <x v="2"/>
    <x v="4"/>
    <m/>
    <m/>
    <m/>
    <s v="HILSRTM013sMini.hf.intel.com"/>
    <x v="13"/>
    <m/>
    <m/>
    <m/>
    <m/>
    <m/>
    <m/>
    <m/>
    <s v="Yes"/>
    <s v="In progress"/>
    <x v="1"/>
    <m/>
    <m/>
  </r>
  <r>
    <x v="3"/>
    <s v="HILSRTL435"/>
    <m/>
    <x v="2"/>
    <m/>
    <s v="SN4079717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36"/>
    <m/>
    <x v="2"/>
    <m/>
    <s v="SN4079329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37"/>
    <m/>
    <x v="2"/>
    <m/>
    <s v="SN4079421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38"/>
    <m/>
    <x v="2"/>
    <m/>
    <s v="SN4079457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39"/>
    <m/>
    <x v="2"/>
    <m/>
    <s v="SN4079664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40"/>
    <m/>
    <x v="2"/>
    <m/>
    <s v="SN4079365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41"/>
    <m/>
    <x v="2"/>
    <m/>
    <s v="SN4079460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42"/>
    <m/>
    <x v="2"/>
    <m/>
    <s v="SN4079458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43"/>
    <m/>
    <x v="2"/>
    <m/>
    <s v="SN4079402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44"/>
    <m/>
    <x v="2"/>
    <m/>
    <s v="SN4079429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45"/>
    <m/>
    <x v="2"/>
    <m/>
    <s v="SN4079420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46"/>
    <s v="No"/>
    <x v="3"/>
    <m/>
    <s v="SN4079501"/>
    <m/>
    <x v="1"/>
    <x v="0"/>
    <x v="2"/>
    <x v="2"/>
    <x v="2"/>
    <m/>
    <m/>
    <m/>
    <m/>
    <x v="13"/>
    <m/>
    <m/>
    <m/>
    <m/>
    <m/>
    <m/>
    <m/>
    <s v="In progress"/>
    <s v="No"/>
    <x v="1"/>
    <m/>
    <m/>
  </r>
  <r>
    <x v="3"/>
    <s v="HILSRTL447"/>
    <s v="Yes"/>
    <x v="3"/>
    <s v="BlackRay"/>
    <s v="SN4079342"/>
    <m/>
    <x v="1"/>
    <x v="0"/>
    <x v="22"/>
    <x v="14"/>
    <x v="2"/>
    <m/>
    <m/>
    <m/>
    <s v="HILSRTM008sMini.hf.intel.com"/>
    <x v="13"/>
    <m/>
    <m/>
    <m/>
    <m/>
    <m/>
    <m/>
    <m/>
    <s v="Yes"/>
    <s v="Yes"/>
    <x v="0"/>
    <m/>
    <s v="20 DEC: Basic Functionalities worked_x000a_19 Dec: BO is checking ISTP log for MT call issue /No messages in ISTP looks_x000a_19 DEC: Dry run triggered from MUC timezone. MO &amp; MT Call Failed_x000a_18 DEC: Blocked because of extra NVM file, retriggered campaign now"/>
  </r>
  <r>
    <x v="3"/>
    <s v="HILSRTL448"/>
    <s v="Yes"/>
    <x v="3"/>
    <s v="BlackRay"/>
    <s v="SN4079454"/>
    <m/>
    <x v="1"/>
    <x v="0"/>
    <x v="19"/>
    <x v="13"/>
    <x v="2"/>
    <m/>
    <m/>
    <m/>
    <s v="HILSRTM008sMini.hf.intel.com"/>
    <x v="13"/>
    <m/>
    <m/>
    <m/>
    <m/>
    <m/>
    <m/>
    <m/>
    <s v="Yes"/>
    <s v="Yes"/>
    <x v="0"/>
    <m/>
    <s v="20 DEC: Pankaj checking for functionalities_x000a_19 DEC: Dry run triggered from MUC timezone. New campaign triggered and failed with SMS32473775 &amp; SMS32480043_x000a_18 DEC: To check BIOS settings_x000a_17 Dec: Devops Tool installtion going on"/>
  </r>
  <r>
    <x v="3"/>
    <s v="HILSRTL449"/>
    <s v="No"/>
    <x v="3"/>
    <s v="BlackRay"/>
    <s v="SN4079385"/>
    <m/>
    <x v="1"/>
    <x v="0"/>
    <x v="55"/>
    <x v="6"/>
    <x v="4"/>
    <m/>
    <m/>
    <m/>
    <m/>
    <x v="13"/>
    <m/>
    <m/>
    <m/>
    <m/>
    <m/>
    <m/>
    <m/>
    <s v="Yes"/>
    <s v="Yes"/>
    <x v="0"/>
    <m/>
    <s v="23 Dec: can use for Testing_x000a_22 Dec: waiting for more run to conclude_x000a_22 Dec: Re-started campaign_x000a_22 Dec: CLA initilazation is failing, checking with Devops_x000a_21 DEC: with Devops to configure RITM6918555 /SIM no is wrong need to correct once ready for sanity"/>
  </r>
  <r>
    <x v="3"/>
    <s v="HILSRTL450"/>
    <s v="No"/>
    <x v="3"/>
    <s v="BlackRay"/>
    <s v="SN4079443"/>
    <m/>
    <x v="1"/>
    <x v="0"/>
    <x v="55"/>
    <x v="6"/>
    <x v="2"/>
    <m/>
    <m/>
    <m/>
    <m/>
    <x v="13"/>
    <m/>
    <m/>
    <m/>
    <m/>
    <m/>
    <m/>
    <m/>
    <s v="Yes"/>
    <s v="Yes"/>
    <x v="0"/>
    <m/>
    <s v="23 Dec: Can use for testing_x000a_23 Dec: MT Call Failing and Host Sleep Testing Failing so starting again  campaign_x000a_22 Dec: Waiting more time to conclude._x000a_22 Dec: started Sanity  NVM cust. was failing/waiting for result._x000a_20 Dec: Started Sanity_x000a_20 DEC: FTPs are failing. To check and retrigger the campaign_x000a_19 Dec: requested BLR Team to drag Nodes. INC008729783 raised with Devops_x000a_19 Dec: Habteab configured but machine name is not coming in manual Scheduling tab tab to start so waiting. To start testing"/>
  </r>
  <r>
    <x v="3"/>
    <s v="HILSRTL451"/>
    <s v="Yes"/>
    <x v="3"/>
    <s v="BlackRay"/>
    <s v="SN4079461"/>
    <m/>
    <x v="1"/>
    <x v="0"/>
    <x v="19"/>
    <x v="4"/>
    <x v="2"/>
    <m/>
    <m/>
    <m/>
    <s v="HILSRTM008sMini.hf.intel.com"/>
    <x v="13"/>
    <m/>
    <m/>
    <m/>
    <m/>
    <m/>
    <m/>
    <m/>
    <s v="Yes"/>
    <s v="Yes"/>
    <x v="0"/>
    <m/>
    <s v="20 DEC: Sanity passed_x000a_19 Dec: Sanity Passed we can use for testing_x000a_19 DEC: Dry run triggered from MUC timezone. New campaign triggered and failed with SMS32473775 &amp; SMS32480043_x000a_18 Dec: Started Sanity_x000a_18 DEC: To check BIOS settings_x000a_17 Dec: Devops Tool installtion going on"/>
  </r>
  <r>
    <x v="3"/>
    <s v="HILSRTL452"/>
    <s v="No"/>
    <x v="3"/>
    <s v="BlackRay"/>
    <s v="SN4079692"/>
    <m/>
    <x v="1"/>
    <x v="0"/>
    <x v="55"/>
    <x v="4"/>
    <x v="4"/>
    <m/>
    <m/>
    <m/>
    <m/>
    <x v="13"/>
    <m/>
    <m/>
    <m/>
    <m/>
    <m/>
    <m/>
    <m/>
    <s v="Yes"/>
    <s v="Yes"/>
    <x v="0"/>
    <m/>
    <s v="26 Dec: Can use for Testing_x000a_24 Dec: Restarted Testing Sim is good_x000a_23 Dec: MT Call failing BO need to check,config wise looks ok._x000a_23 Dec: Testing stopped need to run again._x000a_22 Dec: Agin re-imaged, Habteab facing issue during installtion. He is working on installtion_x000a_21 DEC: with Devops to configure RITM6918555 /SIM no is wrong need to correct once ready for sanity"/>
  </r>
  <r>
    <x v="3"/>
    <s v="HILSRTL453"/>
    <s v="No"/>
    <x v="3"/>
    <s v="BlackRay"/>
    <s v="SN4079558"/>
    <m/>
    <x v="1"/>
    <x v="0"/>
    <x v="22"/>
    <x v="13"/>
    <x v="4"/>
    <m/>
    <m/>
    <m/>
    <m/>
    <x v="13"/>
    <m/>
    <m/>
    <m/>
    <m/>
    <m/>
    <m/>
    <m/>
    <s v="Yes"/>
    <s v="Yes"/>
    <x v="0"/>
    <m/>
    <s v="22 Dec:RITM6923899 with Devops"/>
  </r>
  <r>
    <x v="3"/>
    <s v="HILSRTL454"/>
    <m/>
    <x v="2"/>
    <m/>
    <s v="SN4079536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55"/>
    <m/>
    <x v="2"/>
    <m/>
    <s v="SN4079449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56"/>
    <s v="No"/>
    <x v="3"/>
    <s v="BlackRay"/>
    <s v="SN4079555"/>
    <m/>
    <x v="1"/>
    <x v="0"/>
    <x v="19"/>
    <x v="4"/>
    <x v="4"/>
    <m/>
    <m/>
    <m/>
    <m/>
    <x v="13"/>
    <m/>
    <m/>
    <m/>
    <m/>
    <m/>
    <m/>
    <m/>
    <s v="Yes"/>
    <s v="Yes"/>
    <x v="0"/>
    <m/>
    <s v="26 Dec: can use for Testing_x000a_26 Dec: Not reachable so restarted testing_x000a_24 Dec: Restarted Testing_x000a_23 Dec: Testing blocked restarted again._x000a_23 Dec: Need to start campign no enough data to conclude_x000a_22 Dec: Waiting for more time to conclude_x000a_21 DEC: Devops done. Dry run to be started_x000a_20 Dec: with devops RITM6916057"/>
  </r>
  <r>
    <x v="3"/>
    <s v="HILSRTL457"/>
    <s v="Yes"/>
    <x v="3"/>
    <s v="BlackRay"/>
    <s v="SN4079513"/>
    <m/>
    <x v="1"/>
    <x v="0"/>
    <x v="54"/>
    <x v="4"/>
    <x v="2"/>
    <m/>
    <m/>
    <m/>
    <s v="HILSRTM008sMini.hf.intel.com"/>
    <x v="13"/>
    <m/>
    <m/>
    <m/>
    <m/>
    <m/>
    <m/>
    <m/>
    <s v="Yes"/>
    <s v="Yes"/>
    <x v="0"/>
    <m/>
    <s v="19 Dec: Sanity passed we can use for testing_x000a_19 Dec: MT Call not executed so restarted testing again_x000a_18 Dec: Habteab Corrected it._x000a_18 DEC: Many crashes seen. Sanity tests looking good except MT call failure. The number must begin with '+' and the country code,” "/>
  </r>
  <r>
    <x v="3"/>
    <s v="HILSRTL458"/>
    <m/>
    <x v="2"/>
    <m/>
    <s v="SN4079340"/>
    <m/>
    <x v="1"/>
    <x v="0"/>
    <x v="2"/>
    <x v="2"/>
    <x v="3"/>
    <m/>
    <m/>
    <m/>
    <s v="HILSRTM008sMini.hf.intel.com"/>
    <x v="13"/>
    <m/>
    <m/>
    <m/>
    <m/>
    <m/>
    <m/>
    <m/>
    <s v="Yes"/>
    <s v="Yes"/>
    <x v="1"/>
    <m/>
    <s v="_x000a_19 Dec: facing issue so just for debugging changed Congatec and now HW connected to HILSRTL450_x000a_19 DEC: PRIO2  replaced congatec and Habteab is working on it_x000a_18 Dec: Congatec Frozen issue is coming frequently_x000a_18 DEC: To check BIOS settings"/>
  </r>
  <r>
    <x v="3"/>
    <s v="HILSRTL459"/>
    <s v="Yes"/>
    <x v="3"/>
    <s v="BlackRay"/>
    <s v="SN4079654"/>
    <m/>
    <x v="1"/>
    <x v="0"/>
    <x v="55"/>
    <x v="4"/>
    <x v="2"/>
    <m/>
    <m/>
    <m/>
    <s v="HILSRTM008sMini.hf.intel.com"/>
    <x v="13"/>
    <m/>
    <m/>
    <m/>
    <m/>
    <m/>
    <m/>
    <m/>
    <s v="Yes"/>
    <s v="Yes"/>
    <x v="0"/>
    <m/>
    <s v="19 Dec: Sanity passed we can use for testing_x000a_18 DEC: Many crashes seen. Sanity tests looking good except MT call failure. The number must begin with '+' and the country code,” "/>
  </r>
  <r>
    <x v="3"/>
    <s v="HILSRTL460"/>
    <s v="Yes"/>
    <x v="3"/>
    <s v="BlackRay"/>
    <s v="SN4079715"/>
    <m/>
    <x v="1"/>
    <x v="0"/>
    <x v="19"/>
    <x v="14"/>
    <x v="2"/>
    <m/>
    <m/>
    <m/>
    <s v="HILSRTM008sMini.hf.intel.com"/>
    <x v="13"/>
    <m/>
    <m/>
    <m/>
    <m/>
    <m/>
    <m/>
    <m/>
    <s v="Yes"/>
    <s v="Yes"/>
    <x v="0"/>
    <m/>
    <s v="19 Dec: Sanity passed we can use for testing_x000a_19: Habteab fixed '+' going to start  so started testing again_x000a_18 Dec: Campaign is going in &quot;Pending&quot;State every time &quot;RITM6907312&quot;_x000a_18 DEC: Host is not reachable--rebooted"/>
  </r>
  <r>
    <x v="3"/>
    <s v="HILSRTL461"/>
    <m/>
    <x v="2"/>
    <m/>
    <s v="SN4079685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62"/>
    <m/>
    <x v="3"/>
    <s v="BlackRay"/>
    <s v="SN4079670"/>
    <m/>
    <x v="1"/>
    <x v="0"/>
    <x v="55"/>
    <x v="4"/>
    <x v="4"/>
    <m/>
    <m/>
    <m/>
    <m/>
    <x v="13"/>
    <m/>
    <m/>
    <m/>
    <m/>
    <m/>
    <m/>
    <m/>
    <s v="Yes"/>
    <s v="Yes"/>
    <x v="0"/>
    <m/>
    <s v="26 Dec:can use for Testing_x000a_24 Dec: rebooted setup and restarted testing again_x000a_23 Dec: restrating testing again no enogh data to conclude_x000a_22 Dec:RITM6923899 with Devops"/>
  </r>
  <r>
    <x v="3"/>
    <s v="HILSRTL463"/>
    <m/>
    <x v="2"/>
    <m/>
    <s v="SN4079601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64"/>
    <m/>
    <x v="2"/>
    <m/>
    <s v="SN4079389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65"/>
    <m/>
    <x v="2"/>
    <m/>
    <s v="SN4079663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66"/>
    <m/>
    <x v="2"/>
    <m/>
    <s v="SN4079466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67"/>
    <m/>
    <x v="2"/>
    <m/>
    <s v="SN4079478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68"/>
    <m/>
    <x v="2"/>
    <m/>
    <s v="SN4079522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69"/>
    <m/>
    <x v="2"/>
    <m/>
    <s v="SN4079400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70"/>
    <m/>
    <x v="2"/>
    <m/>
    <s v="SN4079486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71"/>
    <m/>
    <x v="2"/>
    <m/>
    <s v="SN4079368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72"/>
    <m/>
    <x v="2"/>
    <m/>
    <s v="SN4079480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73"/>
    <s v="No"/>
    <x v="3"/>
    <m/>
    <s v="SN4079650"/>
    <m/>
    <x v="1"/>
    <x v="0"/>
    <x v="2"/>
    <x v="2"/>
    <x v="2"/>
    <m/>
    <m/>
    <m/>
    <m/>
    <x v="13"/>
    <m/>
    <m/>
    <m/>
    <m/>
    <m/>
    <m/>
    <m/>
    <s v="In progress"/>
    <s v="No"/>
    <x v="1"/>
    <m/>
    <m/>
  </r>
  <r>
    <x v="3"/>
    <s v="HILSRTL474"/>
    <s v="No"/>
    <x v="3"/>
    <m/>
    <s v="SN4079470"/>
    <m/>
    <x v="1"/>
    <x v="0"/>
    <x v="2"/>
    <x v="2"/>
    <x v="2"/>
    <m/>
    <m/>
    <m/>
    <m/>
    <x v="13"/>
    <m/>
    <m/>
    <m/>
    <m/>
    <m/>
    <m/>
    <m/>
    <s v="In progress"/>
    <s v="No"/>
    <x v="1"/>
    <m/>
    <m/>
  </r>
  <r>
    <x v="3"/>
    <s v="HILSRTL475"/>
    <s v="No"/>
    <x v="3"/>
    <s v="BlackRay"/>
    <s v="SN4079641"/>
    <m/>
    <x v="1"/>
    <x v="0"/>
    <x v="54"/>
    <x v="4"/>
    <x v="2"/>
    <m/>
    <m/>
    <m/>
    <m/>
    <x v="13"/>
    <m/>
    <m/>
    <m/>
    <m/>
    <m/>
    <m/>
    <m/>
    <s v="Yes"/>
    <s v="Yes"/>
    <x v="0"/>
    <m/>
    <s v="26 Dec: Can use for Testing. Replaced with HILSRTL413 congatec"/>
  </r>
  <r>
    <x v="3"/>
    <s v="HILSRTL476"/>
    <s v="No"/>
    <x v="3"/>
    <m/>
    <s v="SN4079621"/>
    <m/>
    <x v="1"/>
    <x v="0"/>
    <x v="2"/>
    <x v="2"/>
    <x v="2"/>
    <m/>
    <m/>
    <m/>
    <m/>
    <x v="13"/>
    <m/>
    <m/>
    <m/>
    <m/>
    <m/>
    <m/>
    <m/>
    <s v="In progress"/>
    <s v="No"/>
    <x v="1"/>
    <m/>
    <m/>
  </r>
  <r>
    <x v="3"/>
    <s v="HILSRTL477"/>
    <m/>
    <x v="2"/>
    <m/>
    <s v="SN4079459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78"/>
    <m/>
    <x v="2"/>
    <m/>
    <s v="SN4079676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79"/>
    <m/>
    <x v="2"/>
    <m/>
    <s v="SN4079354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80"/>
    <m/>
    <x v="2"/>
    <m/>
    <s v="SN4079327"/>
    <m/>
    <x v="1"/>
    <x v="2"/>
    <x v="2"/>
    <x v="2"/>
    <x v="3"/>
    <m/>
    <m/>
    <m/>
    <m/>
    <x v="13"/>
    <m/>
    <m/>
    <m/>
    <m/>
    <m/>
    <m/>
    <m/>
    <s v="No"/>
    <s v="No"/>
    <x v="1"/>
    <m/>
    <m/>
  </r>
  <r>
    <x v="3"/>
    <s v="HILSRTL481"/>
    <s v="No"/>
    <x v="3"/>
    <s v="BlackRay"/>
    <s v="SN4079393"/>
    <m/>
    <x v="1"/>
    <x v="0"/>
    <x v="22"/>
    <x v="14"/>
    <x v="4"/>
    <m/>
    <m/>
    <m/>
    <m/>
    <x v="13"/>
    <m/>
    <m/>
    <m/>
    <m/>
    <m/>
    <m/>
    <m/>
    <s v="Yes"/>
    <s v="Yes"/>
    <x v="0"/>
    <m/>
    <s v="22 Dec: MT call also working can use for Testing_x000a_22 Dec: only MT Call is failing 12 attampts all failed.restarting campaign_x000a_21 DEC: with Devops to configure RITM6918555"/>
  </r>
  <r>
    <x v="3"/>
    <s v="HILSRTL482"/>
    <s v="No"/>
    <x v="3"/>
    <m/>
    <s v="SN4079346"/>
    <m/>
    <x v="1"/>
    <x v="0"/>
    <x v="2"/>
    <x v="2"/>
    <x v="2"/>
    <m/>
    <m/>
    <m/>
    <m/>
    <x v="13"/>
    <m/>
    <m/>
    <m/>
    <m/>
    <m/>
    <m/>
    <m/>
    <s v="In progress"/>
    <s v="No"/>
    <x v="1"/>
    <m/>
    <m/>
  </r>
  <r>
    <x v="3"/>
    <s v="HILSRTL483"/>
    <s v="No"/>
    <x v="3"/>
    <s v="BlackRay"/>
    <s v="SN4079465"/>
    <m/>
    <x v="1"/>
    <x v="0"/>
    <x v="49"/>
    <x v="13"/>
    <x v="4"/>
    <m/>
    <m/>
    <m/>
    <m/>
    <x v="13"/>
    <m/>
    <m/>
    <m/>
    <m/>
    <m/>
    <m/>
    <m/>
    <s v="Yes"/>
    <s v="Yes"/>
    <x v="0"/>
    <m/>
    <s v="23 Dec: We can use for Testing_x000a_23 Dec: again starting testing no enough data to conclude_x000a_22 Dec: Dut is not camping/Sim is working again started camping in hyb will see._x000a_22 Dec: No NVM file found,fixing issue_x000a_21 DEC: with Devops to configure RITM6918555 /SIM no is wrong need to correct once ready for sanity"/>
  </r>
  <r>
    <x v="3"/>
    <s v="HILSRTL484"/>
    <s v="No"/>
    <x v="3"/>
    <s v="BlackRay"/>
    <s v="SN4079682"/>
    <m/>
    <x v="1"/>
    <x v="0"/>
    <x v="22"/>
    <x v="4"/>
    <x v="4"/>
    <m/>
    <m/>
    <m/>
    <m/>
    <x v="13"/>
    <m/>
    <m/>
    <m/>
    <m/>
    <m/>
    <m/>
    <m/>
    <s v="Yes"/>
    <s v="Yes"/>
    <x v="0"/>
    <m/>
    <s v="22 Dec: We can use for Testing_x000a_22 Dec: only 1/12 MT call passed._x000a_21 DEC: with Devops to configure RITM6918555"/>
  </r>
  <r>
    <x v="3"/>
    <s v="HILSRTL485"/>
    <s v="No"/>
    <x v="3"/>
    <s v="BlackRay"/>
    <s v="SN4079539"/>
    <m/>
    <x v="1"/>
    <x v="0"/>
    <x v="54"/>
    <x v="5"/>
    <x v="4"/>
    <m/>
    <m/>
    <m/>
    <m/>
    <x v="13"/>
    <m/>
    <m/>
    <m/>
    <m/>
    <m/>
    <m/>
    <m/>
    <s v="Yes"/>
    <s v="Yes"/>
    <x v="0"/>
    <m/>
    <s v="24 Dec: Can use for Sanity_x000a_24 Dec: Restarted Testing_x000a_23 Dec: again starteting testing_x000a_22 Dec: MT Call failed 0/2  so restarted campaign._x000a_21 Dec: Sanity is going on"/>
  </r>
  <r>
    <x v="3"/>
    <s v="HILSRTL486"/>
    <s v="No"/>
    <x v="3"/>
    <s v="BlackRay"/>
    <s v="SN4079724"/>
    <m/>
    <x v="1"/>
    <x v="0"/>
    <x v="22"/>
    <x v="4"/>
    <x v="4"/>
    <m/>
    <m/>
    <m/>
    <m/>
    <x v="13"/>
    <m/>
    <m/>
    <m/>
    <m/>
    <m/>
    <m/>
    <m/>
    <s v="Yes"/>
    <s v="Yes"/>
    <x v="0"/>
    <m/>
    <s v="23 Dec can use for Testing MT call passed_x000a_23 Dec: MT Call is failing _x000a_22 Dec: MT call is failing waiting for some more iteration._x000a_22 Dec:RITM6923899 with Devops"/>
  </r>
  <r>
    <x v="3"/>
    <s v="HILSRTL487"/>
    <s v="No"/>
    <x v="3"/>
    <s v="BlackRay"/>
    <s v="SN4079667"/>
    <m/>
    <x v="1"/>
    <x v="0"/>
    <x v="22"/>
    <x v="4"/>
    <x v="4"/>
    <m/>
    <m/>
    <m/>
    <m/>
    <x v="13"/>
    <m/>
    <m/>
    <m/>
    <m/>
    <m/>
    <m/>
    <m/>
    <s v="Yes"/>
    <s v="Yes"/>
    <x v="0"/>
    <m/>
    <s v="22 Dec: MT call is working_x000a_22 Dec: only MT Call is failing 12 attampts all failed.restarting campaign_x000a_21 DEC: with Devops to configure RITM6918555"/>
  </r>
  <r>
    <x v="3"/>
    <s v="HILSRTL488"/>
    <s v="No"/>
    <x v="3"/>
    <s v="BlackRay"/>
    <s v="SN4079337"/>
    <m/>
    <x v="1"/>
    <x v="0"/>
    <x v="19"/>
    <x v="4"/>
    <x v="4"/>
    <m/>
    <m/>
    <m/>
    <m/>
    <x v="13"/>
    <m/>
    <m/>
    <m/>
    <m/>
    <m/>
    <m/>
    <m/>
    <s v="Yes"/>
    <s v="Yes"/>
    <x v="0"/>
    <m/>
    <s v="26 Dec: Can use for Testing_x000a_23 Dec: RITM6925643 Modem not detected again need to start testing._x000a_22 Dec: Device is not coming Manual scheduling tab_x000a_22 Dec:RITM6923899 with Devops"/>
  </r>
  <r>
    <x v="2"/>
    <m/>
    <m/>
    <x v="2"/>
    <s v="BlackRay"/>
    <n v="3299342"/>
    <m/>
    <x v="1"/>
    <x v="2"/>
    <x v="2"/>
    <x v="2"/>
    <x v="3"/>
    <m/>
    <m/>
    <m/>
    <m/>
    <x v="13"/>
    <m/>
    <m/>
    <m/>
    <m/>
    <m/>
    <m/>
    <m/>
    <s v="No"/>
    <s v="No"/>
    <x v="1"/>
    <m/>
    <s v="To be fixed "/>
  </r>
  <r>
    <x v="2"/>
    <m/>
    <m/>
    <x v="2"/>
    <s v="BlackRay"/>
    <n v="3299818"/>
    <m/>
    <x v="1"/>
    <x v="2"/>
    <x v="2"/>
    <x v="2"/>
    <x v="3"/>
    <m/>
    <m/>
    <m/>
    <m/>
    <x v="13"/>
    <m/>
    <m/>
    <m/>
    <m/>
    <m/>
    <m/>
    <m/>
    <s v="No"/>
    <s v="No"/>
    <x v="1"/>
    <m/>
    <s v="To be fixed "/>
  </r>
  <r>
    <x v="2"/>
    <m/>
    <s v="No"/>
    <x v="3"/>
    <s v="BlackRay"/>
    <s v="SN4079464"/>
    <m/>
    <x v="1"/>
    <x v="0"/>
    <x v="22"/>
    <x v="4"/>
    <x v="2"/>
    <m/>
    <m/>
    <m/>
    <m/>
    <x v="13"/>
    <m/>
    <m/>
    <m/>
    <m/>
    <m/>
    <m/>
    <m/>
    <s v="In progress"/>
    <s v="No"/>
    <x v="1"/>
    <m/>
    <m/>
  </r>
  <r>
    <x v="2"/>
    <m/>
    <s v="No"/>
    <x v="3"/>
    <s v="BlackRay"/>
    <s v="SN4079710"/>
    <m/>
    <x v="1"/>
    <x v="0"/>
    <x v="22"/>
    <x v="14"/>
    <x v="2"/>
    <m/>
    <m/>
    <m/>
    <m/>
    <x v="13"/>
    <m/>
    <m/>
    <m/>
    <m/>
    <m/>
    <m/>
    <m/>
    <s v="In progress"/>
    <s v="No"/>
    <x v="1"/>
    <m/>
    <m/>
  </r>
  <r>
    <x v="2"/>
    <m/>
    <s v="No"/>
    <x v="3"/>
    <s v="BlackRay"/>
    <s v="SN4079642"/>
    <m/>
    <x v="1"/>
    <x v="1"/>
    <x v="65"/>
    <x v="54"/>
    <x v="2"/>
    <m/>
    <m/>
    <m/>
    <m/>
    <x v="13"/>
    <m/>
    <m/>
    <m/>
    <m/>
    <m/>
    <m/>
    <m/>
    <s v="In progress"/>
    <s v="No"/>
    <x v="1"/>
    <m/>
    <m/>
  </r>
  <r>
    <x v="2"/>
    <m/>
    <s v="No"/>
    <x v="3"/>
    <s v="BlackRay"/>
    <s v="SN4079586"/>
    <m/>
    <x v="1"/>
    <x v="1"/>
    <x v="65"/>
    <x v="54"/>
    <x v="2"/>
    <m/>
    <m/>
    <m/>
    <m/>
    <x v="13"/>
    <m/>
    <m/>
    <m/>
    <m/>
    <m/>
    <m/>
    <m/>
    <s v="In progress"/>
    <s v="No"/>
    <x v="1"/>
    <m/>
    <m/>
  </r>
  <r>
    <x v="2"/>
    <m/>
    <s v="No"/>
    <x v="3"/>
    <s v="BlackRay"/>
    <s v="SN4079657"/>
    <m/>
    <x v="1"/>
    <x v="1"/>
    <x v="66"/>
    <x v="57"/>
    <x v="2"/>
    <m/>
    <m/>
    <m/>
    <m/>
    <x v="13"/>
    <m/>
    <m/>
    <m/>
    <m/>
    <m/>
    <m/>
    <m/>
    <s v="In progress"/>
    <s v="No"/>
    <x v="1"/>
    <m/>
    <m/>
  </r>
  <r>
    <x v="2"/>
    <m/>
    <s v="No"/>
    <x v="3"/>
    <s v="BlackRay"/>
    <s v="SN4079453"/>
    <m/>
    <x v="1"/>
    <x v="1"/>
    <x v="66"/>
    <x v="57"/>
    <x v="2"/>
    <m/>
    <m/>
    <m/>
    <m/>
    <x v="13"/>
    <m/>
    <m/>
    <m/>
    <m/>
    <m/>
    <m/>
    <m/>
    <s v="In progress"/>
    <s v="No"/>
    <x v="1"/>
    <m/>
    <m/>
  </r>
  <r>
    <x v="2"/>
    <m/>
    <s v="No"/>
    <x v="3"/>
    <s v="BlackRay"/>
    <s v="SN4079602"/>
    <m/>
    <x v="1"/>
    <x v="1"/>
    <x v="24"/>
    <x v="55"/>
    <x v="2"/>
    <m/>
    <m/>
    <m/>
    <m/>
    <x v="13"/>
    <m/>
    <m/>
    <m/>
    <m/>
    <m/>
    <m/>
    <m/>
    <s v="In progress"/>
    <s v="No"/>
    <x v="1"/>
    <m/>
    <m/>
  </r>
  <r>
    <x v="2"/>
    <m/>
    <s v="No"/>
    <x v="3"/>
    <s v="BlackRay"/>
    <s v="SN4079507"/>
    <m/>
    <x v="1"/>
    <x v="1"/>
    <x v="24"/>
    <x v="55"/>
    <x v="2"/>
    <m/>
    <m/>
    <m/>
    <m/>
    <x v="13"/>
    <m/>
    <m/>
    <m/>
    <m/>
    <m/>
    <m/>
    <m/>
    <s v="In progress"/>
    <s v="No"/>
    <x v="1"/>
    <m/>
    <m/>
  </r>
  <r>
    <x v="2"/>
    <m/>
    <s v="No"/>
    <x v="3"/>
    <s v="BlackRay"/>
    <s v="SN4079537"/>
    <m/>
    <x v="1"/>
    <x v="1"/>
    <x v="67"/>
    <x v="66"/>
    <x v="2"/>
    <m/>
    <m/>
    <m/>
    <m/>
    <x v="13"/>
    <m/>
    <m/>
    <m/>
    <m/>
    <m/>
    <m/>
    <m/>
    <s v="In progress"/>
    <s v="No"/>
    <x v="1"/>
    <m/>
    <m/>
  </r>
  <r>
    <x v="2"/>
    <m/>
    <m/>
    <x v="2"/>
    <s v="BlackRay"/>
    <s v="SN4079562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594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520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701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684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472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s v="SDSRTL234"/>
    <s v="No"/>
    <x v="3"/>
    <s v="BlackRay"/>
    <s v="SN4079689"/>
    <m/>
    <x v="1"/>
    <x v="0"/>
    <x v="22"/>
    <x v="2"/>
    <x v="4"/>
    <m/>
    <m/>
    <m/>
    <m/>
    <x v="13"/>
    <m/>
    <m/>
    <m/>
    <m/>
    <m/>
    <m/>
    <m/>
    <s v="Yes"/>
    <s v="Yes"/>
    <x v="0"/>
    <s v="HW Check Needed"/>
    <s v="Modem Not Detected"/>
  </r>
  <r>
    <x v="2"/>
    <s v="SDSRTL237"/>
    <s v="Yes"/>
    <x v="3"/>
    <s v="BlackRay"/>
    <s v="SN4079434"/>
    <m/>
    <x v="1"/>
    <x v="0"/>
    <x v="54"/>
    <x v="2"/>
    <x v="4"/>
    <m/>
    <m/>
    <m/>
    <m/>
    <x v="13"/>
    <m/>
    <m/>
    <m/>
    <m/>
    <m/>
    <m/>
    <m/>
    <s v="Yes"/>
    <s v="Yes"/>
    <x v="0"/>
    <m/>
    <s v="24 DEC : Good Sanity Results"/>
  </r>
  <r>
    <x v="2"/>
    <s v="SDSRTL235"/>
    <s v="No"/>
    <x v="3"/>
    <s v="BlackRay"/>
    <s v="SN4079407"/>
    <m/>
    <x v="1"/>
    <x v="0"/>
    <x v="22"/>
    <x v="2"/>
    <x v="4"/>
    <m/>
    <m/>
    <m/>
    <m/>
    <x v="13"/>
    <m/>
    <m/>
    <m/>
    <m/>
    <m/>
    <m/>
    <m/>
    <s v="Yes"/>
    <s v="Yes"/>
    <x v="0"/>
    <s v="Debug Needed"/>
    <s v="Crashing on Flash | AI BO Please | 2gpsd:smarti_err_rb.c | 010A06030700047A9F7300000000000010E5"/>
  </r>
  <r>
    <x v="2"/>
    <s v="SDSRTL236"/>
    <s v="Yes"/>
    <x v="3"/>
    <s v="BlackRay"/>
    <s v="SN4079679"/>
    <m/>
    <x v="1"/>
    <x v="0"/>
    <x v="22"/>
    <x v="14"/>
    <x v="4"/>
    <m/>
    <m/>
    <m/>
    <m/>
    <x v="13"/>
    <m/>
    <m/>
    <m/>
    <m/>
    <m/>
    <m/>
    <m/>
    <s v="Yes"/>
    <s v="Yes"/>
    <x v="0"/>
    <m/>
    <s v="24 DEC : Good Sanity Results"/>
  </r>
  <r>
    <x v="2"/>
    <s v="SDSRTL233"/>
    <s v="Yes"/>
    <x v="3"/>
    <s v="BlackRay"/>
    <s v="SN4079489"/>
    <m/>
    <x v="1"/>
    <x v="0"/>
    <x v="49"/>
    <x v="2"/>
    <x v="4"/>
    <m/>
    <m/>
    <m/>
    <m/>
    <x v="13"/>
    <m/>
    <m/>
    <m/>
    <m/>
    <m/>
    <m/>
    <m/>
    <s v="Yes"/>
    <s v="Yes"/>
    <x v="0"/>
    <s v="Debug Needed"/>
    <s v="Crashing on Flash | AI BO Please | 2gpsd:smarti_err_rb.c | 010A06030700047A9F7300000000000010E5"/>
  </r>
  <r>
    <x v="2"/>
    <s v="SDSRTL231"/>
    <s v="Yes"/>
    <x v="3"/>
    <s v="BlackRay"/>
    <s v="SN4079613"/>
    <m/>
    <x v="1"/>
    <x v="0"/>
    <x v="49"/>
    <x v="14"/>
    <x v="4"/>
    <m/>
    <m/>
    <m/>
    <m/>
    <x v="13"/>
    <m/>
    <m/>
    <m/>
    <m/>
    <m/>
    <m/>
    <m/>
    <s v="Yes"/>
    <s v="Yes"/>
    <x v="0"/>
    <m/>
    <s v="24 DEC : Good Sanity Results"/>
  </r>
  <r>
    <x v="2"/>
    <s v="SDSRTL232"/>
    <s v="No"/>
    <x v="3"/>
    <s v="BlackRay"/>
    <s v="SN4079364"/>
    <m/>
    <x v="1"/>
    <x v="0"/>
    <x v="49"/>
    <x v="2"/>
    <x v="4"/>
    <m/>
    <m/>
    <m/>
    <m/>
    <x v="13"/>
    <m/>
    <m/>
    <m/>
    <m/>
    <m/>
    <m/>
    <m/>
    <s v="Yes"/>
    <s v="Yes"/>
    <x v="0"/>
    <s v="Debug Needed"/>
    <s v="Crashing on Flash | AI BO Please | 2gpsd:smarti_err_rb.c | 010A06030700047A9F7300000000000010E5"/>
  </r>
  <r>
    <x v="2"/>
    <m/>
    <m/>
    <x v="2"/>
    <s v="BlackRay"/>
    <s v="SN4079425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665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596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427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387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584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512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m/>
    <m/>
    <x v="2"/>
    <s v="BlackRay"/>
    <s v="SN4079485"/>
    <m/>
    <x v="1"/>
    <x v="2"/>
    <x v="2"/>
    <x v="2"/>
    <x v="3"/>
    <m/>
    <m/>
    <m/>
    <m/>
    <x v="13"/>
    <m/>
    <m/>
    <m/>
    <m/>
    <m/>
    <m/>
    <m/>
    <s v="No"/>
    <s v="No"/>
    <x v="1"/>
    <s v="In Transit"/>
    <m/>
  </r>
  <r>
    <x v="2"/>
    <s v="SDSRTL222"/>
    <s v="Yes"/>
    <x v="3"/>
    <s v="BlackRay"/>
    <s v="SN4079579"/>
    <m/>
    <x v="1"/>
    <x v="0"/>
    <x v="58"/>
    <x v="6"/>
    <x v="2"/>
    <m/>
    <m/>
    <m/>
    <m/>
    <x v="13"/>
    <m/>
    <m/>
    <m/>
    <m/>
    <m/>
    <m/>
    <m/>
    <s v="Yes"/>
    <s v="Yes"/>
    <x v="0"/>
    <m/>
    <s v="21 DEC: Released for testing_x000a_20 DEC: Sanity passed with MT Calls Failed_x000a_19 DEC: Shehryar | Attach, FTP, MO_Call Passed -- 34 crashes in first iteration._x000a_19 DEC: Sridhar from Devops checked for + sign. New campaign triggered_x000a_18 DEC: Sanity tests looking good with MT failures. Invalid phone number . The number must begin with '+' "/>
  </r>
  <r>
    <x v="2"/>
    <s v="SDSRTL220"/>
    <s v="Yes"/>
    <x v="3"/>
    <s v="BlackRay"/>
    <s v="SN4079475"/>
    <m/>
    <x v="1"/>
    <x v="0"/>
    <x v="58"/>
    <x v="6"/>
    <x v="2"/>
    <m/>
    <m/>
    <m/>
    <m/>
    <x v="13"/>
    <m/>
    <m/>
    <m/>
    <m/>
    <m/>
    <m/>
    <m/>
    <s v="Yes"/>
    <s v="Yes"/>
    <x v="0"/>
    <m/>
    <s v="21 DEC: Released for testing_x000a_20 DEC: To try post recalibration. MT Call Issue is seen_x000a_19 DEC: Shehryar | Attach &amp; MO Call passed - Setup Froze -- 8x Crashes in prepare devices"/>
  </r>
  <r>
    <x v="2"/>
    <s v="SDSRTL228"/>
    <s v="Yes"/>
    <x v="3"/>
    <s v="BlackRay"/>
    <s v="SN4079349"/>
    <m/>
    <x v="1"/>
    <x v="0"/>
    <x v="50"/>
    <x v="67"/>
    <x v="4"/>
    <m/>
    <m/>
    <m/>
    <m/>
    <x v="13"/>
    <m/>
    <m/>
    <m/>
    <m/>
    <m/>
    <m/>
    <m/>
    <s v="Yes"/>
    <s v="Yes"/>
    <x v="0"/>
    <m/>
    <s v="24 DEC : Good Sanity Results"/>
  </r>
  <r>
    <x v="2"/>
    <s v="SDSRTL223"/>
    <s v="Yes"/>
    <x v="3"/>
    <s v="BlackRay"/>
    <s v="SN4079589"/>
    <m/>
    <x v="1"/>
    <x v="0"/>
    <x v="58"/>
    <x v="68"/>
    <x v="2"/>
    <m/>
    <m/>
    <m/>
    <m/>
    <x v="13"/>
    <m/>
    <m/>
    <m/>
    <m/>
    <m/>
    <m/>
    <m/>
    <s v="Yes"/>
    <s v="Yes"/>
    <x v="0"/>
    <m/>
    <s v="21 DEC: Released for testing_x000a_20 DEC: Sanity pass_x000a_19 DEC: Shehryar |Attach &amp; FTP passed -- 30 Crashes in first iteration"/>
  </r>
  <r>
    <x v="2"/>
    <s v="SDSRTL226"/>
    <s v="Yes"/>
    <x v="3"/>
    <s v="BlackRay"/>
    <s v="SN4079519"/>
    <m/>
    <x v="1"/>
    <x v="0"/>
    <x v="58"/>
    <x v="2"/>
    <x v="2"/>
    <m/>
    <m/>
    <m/>
    <m/>
    <x v="13"/>
    <m/>
    <m/>
    <m/>
    <m/>
    <m/>
    <m/>
    <m/>
    <s v="Yes"/>
    <s v="Yes"/>
    <x v="0"/>
    <m/>
    <s v="21 Dec | Released for Testing"/>
  </r>
  <r>
    <x v="2"/>
    <s v="SDSRTL227"/>
    <s v="Yes"/>
    <x v="3"/>
    <s v="BlackRay"/>
    <s v="SN4079598"/>
    <m/>
    <x v="1"/>
    <x v="0"/>
    <x v="49"/>
    <x v="13"/>
    <x v="2"/>
    <m/>
    <m/>
    <m/>
    <m/>
    <x v="13"/>
    <m/>
    <m/>
    <m/>
    <m/>
    <m/>
    <m/>
    <m/>
    <s v="Yes"/>
    <s v="Yes"/>
    <x v="0"/>
    <s v="Dry Run Required"/>
    <s v="24 DEC : Good to go as sanity passed_x000a_22 DEC Shehryar | Issue resolved, sanity triggered_x000a_21 DEC: DevOps Issue | Campaign Stuck -- Minor issue | Ticket: INC008742894_x000a_20 DEC: Sanity passed with MT Calls Failed_x000a_19 DEC: Shehryar | Attach, FTP, MO Call passed -- 32 crashes in first iteration._x000a_19 DEC: Sridhar from Devops checked for + sign. New campaign triggered and failed with SMS32473775 &amp; SMS32480043_x000a_18 DEC: Sanity tests looking good with MT failures. Invalid phone number . The number must begin. with '+'   Current sim card is T-Mo. Convert to Verizon Hybird"/>
  </r>
  <r>
    <x v="2"/>
    <s v="SDSRTL225"/>
    <s v="Yes"/>
    <x v="3"/>
    <s v="BlackRay"/>
    <s v="SN4079405"/>
    <m/>
    <x v="1"/>
    <x v="0"/>
    <x v="68"/>
    <x v="14"/>
    <x v="2"/>
    <m/>
    <m/>
    <m/>
    <m/>
    <x v="13"/>
    <m/>
    <m/>
    <m/>
    <m/>
    <m/>
    <m/>
    <m/>
    <s v="Yes"/>
    <s v="Yes"/>
    <x v="0"/>
    <m/>
    <s v="21 DEC: Released for testing_x000a_20 DEC: Sanity passed with MT Calls Failed_x000a_19 DEC: Shehryar | Attach &amp; FTP Passed -- 38 crashes in prepare devices &amp; MT Calls Failed_x000a_19 DEC: Sridhar from Devops checked for + sign. New campaign triggered_x000a_18 DEC: Sanity tests looking good with MT failures. Invalid phone number . The number must begin with '+' "/>
  </r>
  <r>
    <x v="2"/>
    <s v="SDSRTL224"/>
    <s v="Yes"/>
    <x v="3"/>
    <s v="BlackRay"/>
    <s v="SN4079574"/>
    <m/>
    <x v="1"/>
    <x v="0"/>
    <x v="49"/>
    <x v="4"/>
    <x v="2"/>
    <m/>
    <m/>
    <m/>
    <m/>
    <x v="13"/>
    <m/>
    <m/>
    <m/>
    <m/>
    <m/>
    <m/>
    <m/>
    <s v="Yes"/>
    <s v="Yes"/>
    <x v="0"/>
    <m/>
    <s v="21 DEC: Released for testing_x000a_20 DEC: Sanity passed_x000a_19 DEC: Shehryar | Attach &amp; FTP passed | 30x Crashes in prepare devices_x000a_19 DEC: Sridhar from Devops checked for + sign. New campaign triggered_x000a_18 DEC: Sanity tests looking good with MT failures. Invalid phone number . The number must begin with '+' "/>
  </r>
  <r>
    <x v="2"/>
    <s v="SDSRTL219"/>
    <s v="Yes"/>
    <x v="3"/>
    <s v="BlackRay"/>
    <s v="SN4079694"/>
    <m/>
    <x v="1"/>
    <x v="0"/>
    <x v="69"/>
    <x v="13"/>
    <x v="2"/>
    <m/>
    <m/>
    <m/>
    <m/>
    <x v="13"/>
    <m/>
    <m/>
    <m/>
    <m/>
    <m/>
    <m/>
    <m/>
    <s v="Yes"/>
    <s v="Yes"/>
    <x v="0"/>
    <m/>
    <s v="21 DEC: Released for testing_x000a_20 DEC: To try post recalibration. Multiple crashes seen._x000a_19 DEC: Shehryar | Not attaching | 8 crashes"/>
  </r>
  <r>
    <x v="2"/>
    <s v="SDSRTL216"/>
    <s v="Yes"/>
    <x v="3"/>
    <s v="BlackRay"/>
    <s v="SN4079351"/>
    <m/>
    <x v="1"/>
    <x v="0"/>
    <x v="69"/>
    <x v="14"/>
    <x v="2"/>
    <m/>
    <m/>
    <m/>
    <m/>
    <x v="13"/>
    <m/>
    <m/>
    <m/>
    <m/>
    <m/>
    <m/>
    <m/>
    <s v="Yes"/>
    <s v="Yes"/>
    <x v="0"/>
    <m/>
    <s v="21 DEC: Released for testing_x000a_20 DEC: To try post recalibration_x000a_19 DEC: Shehryar | Attach Passed | 16x Crashes in prepare devices"/>
  </r>
  <r>
    <x v="2"/>
    <s v="SDSRTL218"/>
    <s v="Yes"/>
    <x v="3"/>
    <s v="BlackRay"/>
    <s v="SN4079348"/>
    <m/>
    <x v="1"/>
    <x v="0"/>
    <x v="54"/>
    <x v="5"/>
    <x v="2"/>
    <m/>
    <m/>
    <m/>
    <m/>
    <x v="13"/>
    <m/>
    <m/>
    <m/>
    <m/>
    <m/>
    <m/>
    <m/>
    <s v="Yes"/>
    <s v="Yes"/>
    <x v="0"/>
    <m/>
    <s v="21 DEC: Released for testing_x000a_20 DEC: Sanity passed with MT Calls Failed_x000a_19 DEC: Shehryar | Attach Passed, MO Call Passed | 20x Crashes in prepare devices"/>
  </r>
  <r>
    <x v="2"/>
    <s v="SDSRTL221"/>
    <s v="Yes"/>
    <x v="3"/>
    <s v="BlackRay"/>
    <s v="SN4079629"/>
    <m/>
    <x v="1"/>
    <x v="0"/>
    <x v="69"/>
    <x v="4"/>
    <x v="2"/>
    <m/>
    <m/>
    <m/>
    <m/>
    <x v="13"/>
    <m/>
    <m/>
    <m/>
    <m/>
    <m/>
    <m/>
    <m/>
    <s v="Yes"/>
    <s v="Yes"/>
    <x v="0"/>
    <m/>
    <s v="21 DEC: Released for testing_x000a_20 DEC: MT Calls Failing_x000a_19 DEC: Shehryar | 36 Crashes in first Iteration -- Not attaching, crashing too frequently"/>
  </r>
  <r>
    <x v="2"/>
    <s v="SDSRTL217"/>
    <s v="Yes"/>
    <x v="3"/>
    <s v="BlackRay"/>
    <s v="SN4079696"/>
    <m/>
    <x v="1"/>
    <x v="0"/>
    <x v="22"/>
    <x v="13"/>
    <x v="2"/>
    <m/>
    <m/>
    <m/>
    <m/>
    <x v="13"/>
    <m/>
    <m/>
    <m/>
    <m/>
    <m/>
    <m/>
    <m/>
    <s v="Yes"/>
    <s v="Yes"/>
    <x v="0"/>
    <m/>
    <s v="21 DEC: Released for testing_x000a_20 DEC: Sanity Passed_x000a_19 DEC: Shehryar | Attach Passing, MO call Passed | 26 Crashes in prepare devices"/>
  </r>
  <r>
    <x v="2"/>
    <s v="SDSRTL214"/>
    <s v="Yes"/>
    <x v="3"/>
    <s v="BlackRay"/>
    <s v="SN4079597"/>
    <m/>
    <x v="1"/>
    <x v="0"/>
    <x v="54"/>
    <x v="4"/>
    <x v="2"/>
    <m/>
    <m/>
    <m/>
    <m/>
    <x v="13"/>
    <m/>
    <m/>
    <m/>
    <m/>
    <m/>
    <m/>
    <m/>
    <s v="Yes"/>
    <s v="Yes"/>
    <x v="0"/>
    <m/>
    <s v="_x000a_24 DEC : Nikesh | Good sanity Results_x000a_22 DEC Shehryar | Reassembly resolved the problem - sanity triggered_x000a_21 DEC: Shehryar | Modem not detected -- will probably need to swap out the MK4_x000a_20 DEC: Sanity tests passed_x000a_19 DEC: Shehryar | Attach on LTE and MO Call Passed --- 18x crashes in Prepare Devices"/>
  </r>
  <r>
    <x v="2"/>
    <s v="SDSRTL215"/>
    <s v="Yes"/>
    <x v="3"/>
    <s v="BlackRay"/>
    <s v="SN4079566"/>
    <m/>
    <x v="1"/>
    <x v="0"/>
    <x v="55"/>
    <x v="4"/>
    <x v="4"/>
    <m/>
    <m/>
    <m/>
    <m/>
    <x v="13"/>
    <m/>
    <m/>
    <m/>
    <m/>
    <m/>
    <m/>
    <m/>
    <s v="Yes"/>
    <s v="Yes"/>
    <x v="0"/>
    <m/>
    <s v="24 DEC : Good Sanity Results _x000a_22 DEC Shehryar | Board replaced -- sanity triggered_x000a_21 DEC: Shehryar | Modem not detected -- will probably need to swap out the MK4_x000a_20 DEC: To try post recalibration_x000a_19 DEC: Shehryar | Not attaching | Congatec Froze | 8x crashes in prepare devices"/>
  </r>
  <r>
    <x v="2"/>
    <s v="SDSRTL247"/>
    <s v="Yes"/>
    <x v="3"/>
    <s v="BlackRay"/>
    <s v="SN4079366"/>
    <m/>
    <x v="1"/>
    <x v="2"/>
    <x v="55"/>
    <x v="4"/>
    <x v="4"/>
    <m/>
    <m/>
    <m/>
    <m/>
    <x v="13"/>
    <m/>
    <m/>
    <m/>
    <m/>
    <m/>
    <m/>
    <m/>
    <s v="Yes"/>
    <s v="Yes"/>
    <x v="0"/>
    <m/>
    <s v="24 DEC : Nikesh | Good sanity Results_x000a_Runing Sanity"/>
  </r>
  <r>
    <x v="2"/>
    <s v="SDSRTL229"/>
    <s v="Yes"/>
    <x v="3"/>
    <s v="BlackRay"/>
    <s v="SN4079493"/>
    <m/>
    <x v="1"/>
    <x v="0"/>
    <x v="22"/>
    <x v="14"/>
    <x v="2"/>
    <m/>
    <m/>
    <m/>
    <m/>
    <x v="13"/>
    <m/>
    <m/>
    <m/>
    <m/>
    <m/>
    <m/>
    <m/>
    <s v="Yes"/>
    <s v="Yes"/>
    <x v="0"/>
    <m/>
    <s v="21 DEC: Released for testing_x000a_20 DEC: Sanity tests passed"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  <r>
    <x v="3"/>
    <s v="HILSRTL283"/>
    <s v="No"/>
    <x v="3"/>
    <s v="PCIe"/>
    <m/>
    <m/>
    <x v="1"/>
    <x v="0"/>
    <x v="54"/>
    <x v="2"/>
    <x v="16"/>
    <m/>
    <m/>
    <m/>
    <m/>
    <x v="13"/>
    <m/>
    <m/>
    <m/>
    <m/>
    <m/>
    <m/>
    <m/>
    <s v="Yes"/>
    <s v="Yes"/>
    <x v="3"/>
    <m/>
    <s v="2 Jan: Sanity is going on"/>
  </r>
  <r>
    <x v="3"/>
    <s v="HILSRTL171"/>
    <s v="No"/>
    <x v="3"/>
    <s v="PCIe"/>
    <m/>
    <m/>
    <x v="1"/>
    <x v="0"/>
    <x v="54"/>
    <x v="2"/>
    <x v="16"/>
    <m/>
    <m/>
    <m/>
    <m/>
    <x v="13"/>
    <m/>
    <m/>
    <m/>
    <m/>
    <m/>
    <m/>
    <m/>
    <s v="Yes"/>
    <s v="Yes"/>
    <x v="3"/>
    <m/>
    <s v="2 Jan: Sanity is going on"/>
  </r>
  <r>
    <x v="3"/>
    <s v="HILSRTL285"/>
    <s v="No"/>
    <x v="3"/>
    <s v="PCIe"/>
    <m/>
    <m/>
    <x v="1"/>
    <x v="0"/>
    <x v="19"/>
    <x v="2"/>
    <x v="16"/>
    <m/>
    <m/>
    <m/>
    <m/>
    <x v="13"/>
    <m/>
    <m/>
    <m/>
    <m/>
    <m/>
    <m/>
    <m/>
    <s v="Yes"/>
    <s v="Yes"/>
    <x v="3"/>
    <m/>
    <s v="2 Jan: Sanity is going on"/>
  </r>
  <r>
    <x v="5"/>
    <m/>
    <m/>
    <x v="2"/>
    <m/>
    <m/>
    <m/>
    <x v="3"/>
    <x v="2"/>
    <x v="2"/>
    <x v="2"/>
    <x v="3"/>
    <m/>
    <m/>
    <m/>
    <m/>
    <x v="13"/>
    <m/>
    <m/>
    <m/>
    <m/>
    <m/>
    <m/>
    <m/>
    <m/>
    <m/>
    <x v="2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85">
  <r>
    <s v="Bangalore"/>
    <s v="BASRTL135"/>
    <s v="Yes"/>
    <s v="Daily"/>
    <s v="PCIe"/>
    <s v="SN2510811"/>
    <s v="R25/7"/>
    <s v="ICE18"/>
    <x v="0"/>
    <x v="0"/>
    <x v="0"/>
    <x v="0"/>
    <s v="No"/>
    <s v="No"/>
    <s v="4x"/>
    <m/>
    <n v="40135"/>
    <m/>
    <m/>
    <n v="7338636158"/>
    <n v="440152237430"/>
    <m/>
    <m/>
    <d v="2018-04-05T00:00:00"/>
    <s v="Yes"/>
    <s v="Yes"/>
    <x v="0"/>
  </r>
  <r>
    <s v="Bangalore"/>
    <s v="BASRTL136"/>
    <s v="No"/>
    <s v="Pre-INT"/>
    <s v="PCIe"/>
    <s v="SN2388893"/>
    <m/>
    <s v="ICE18"/>
    <x v="0"/>
    <x v="0"/>
    <x v="0"/>
    <x v="1"/>
    <s v="No"/>
    <s v="No"/>
    <m/>
    <m/>
    <n v="40136"/>
    <m/>
    <m/>
    <n v="9513471195"/>
    <n v="440152218141"/>
    <m/>
    <n v="7349781107"/>
    <d v="2018-04-05T00:00:00"/>
    <s v="Yes"/>
    <s v="Yes"/>
    <x v="0"/>
  </r>
  <r>
    <s v="Bangalore"/>
    <s v="BASRTL140"/>
    <s v="No"/>
    <m/>
    <s v="BlackRay"/>
    <s v="SN2510654"/>
    <m/>
    <s v="ICE18"/>
    <x v="0"/>
    <x v="0"/>
    <x v="0"/>
    <x v="2"/>
    <s v="No"/>
    <s v="No"/>
    <m/>
    <m/>
    <n v="40140"/>
    <m/>
    <m/>
    <n v="8660690674"/>
    <n v="440152219698"/>
    <m/>
    <n v="7625047643"/>
    <d v="2018-04-05T00:00:00"/>
    <s v="Yes"/>
    <s v="Yes"/>
    <x v="1"/>
  </r>
  <r>
    <s v="Bangalore"/>
    <s v="BASRTL141"/>
    <s v="Yes"/>
    <s v="Weekly"/>
    <s v="PCIe"/>
    <s v="SN2388902"/>
    <s v="R11/5"/>
    <s v="ICE18"/>
    <x v="1"/>
    <x v="1"/>
    <x v="1"/>
    <x v="1"/>
    <s v="No"/>
    <s v="No"/>
    <m/>
    <m/>
    <n v="40141"/>
    <m/>
    <m/>
    <n v="7625046463"/>
    <n v="440152237427"/>
    <m/>
    <n v="7625047669"/>
    <d v="2018-04-05T00:00:00"/>
    <s v="Yes"/>
    <s v="Yes"/>
    <x v="0"/>
  </r>
  <r>
    <s v="Bangalore"/>
    <s v="BASRTL142"/>
    <s v="No"/>
    <m/>
    <s v="PCIe"/>
    <s v="SN2510574"/>
    <m/>
    <s v="ICE18"/>
    <x v="2"/>
    <x v="2"/>
    <x v="2"/>
    <x v="3"/>
    <m/>
    <m/>
    <m/>
    <m/>
    <n v="40142"/>
    <m/>
    <m/>
    <m/>
    <m/>
    <m/>
    <m/>
    <m/>
    <s v="No"/>
    <s v="No"/>
    <x v="1"/>
  </r>
  <r>
    <s v="Bangalore"/>
    <s v="BASRTL143"/>
    <s v="Yes"/>
    <s v="Weekly"/>
    <s v="PCIe"/>
    <s v="SN3219627"/>
    <s v="R24/4"/>
    <s v="ICE18"/>
    <x v="1"/>
    <x v="3"/>
    <x v="3"/>
    <x v="1"/>
    <s v="No"/>
    <s v="No"/>
    <m/>
    <m/>
    <n v="40143"/>
    <m/>
    <m/>
    <n v="9513388335"/>
    <n v="440152238922"/>
    <m/>
    <n v="7349781093"/>
    <d v="2018-04-05T00:00:00"/>
    <s v="Yes"/>
    <s v="Yes"/>
    <x v="0"/>
  </r>
  <r>
    <s v="Bangalore"/>
    <s v="BASRTL144"/>
    <s v="Yes"/>
    <s v="CEB"/>
    <s v="PCIe"/>
    <s v="SN3120191"/>
    <s v="R24/5"/>
    <s v="ICE19"/>
    <x v="0"/>
    <x v="4"/>
    <x v="4"/>
    <x v="4"/>
    <s v="No"/>
    <s v="No"/>
    <s v="4x"/>
    <m/>
    <n v="40144"/>
    <m/>
    <m/>
    <n v="7899716567"/>
    <n v="440152237452"/>
    <m/>
    <m/>
    <d v="2018-04-05T00:00:00"/>
    <s v="Yes"/>
    <s v="Yes"/>
    <x v="0"/>
  </r>
  <r>
    <s v="Bangalore"/>
    <s v="BASRTL145"/>
    <s v="Yes"/>
    <s v="EB"/>
    <s v="PCIe"/>
    <s v="SN3219633"/>
    <s v="R24/6"/>
    <s v="ICE18"/>
    <x v="0"/>
    <x v="0"/>
    <x v="0"/>
    <x v="1"/>
    <s v="No"/>
    <s v="No"/>
    <m/>
    <m/>
    <n v="40145"/>
    <m/>
    <m/>
    <n v="7625036346"/>
    <n v="440152239963"/>
    <m/>
    <m/>
    <d v="2018-04-05T00:00:00"/>
    <s v="Yes"/>
    <s v="Yes"/>
    <x v="0"/>
  </r>
  <r>
    <s v="Bangalore"/>
    <s v="BASRTL146"/>
    <s v="Yes"/>
    <s v="Daily"/>
    <s v="PCIe"/>
    <s v="SN3219634"/>
    <s v="R24/7"/>
    <s v="ICE18"/>
    <x v="0"/>
    <x v="5"/>
    <x v="0"/>
    <x v="1"/>
    <s v="No"/>
    <s v="No"/>
    <s v="4x"/>
    <m/>
    <n v="40146"/>
    <m/>
    <m/>
    <n v="7349334951"/>
    <s v="00440152238390 "/>
    <m/>
    <m/>
    <d v="2018-04-05T00:00:00"/>
    <s v="Yes"/>
    <s v="Yes"/>
    <x v="0"/>
  </r>
  <r>
    <s v="Bangalore"/>
    <s v="BASRTL148"/>
    <s v="Yes"/>
    <s v="Weekly"/>
    <s v="PCIe"/>
    <s v="SN3219571"/>
    <s v="R27/7"/>
    <s v="ICE18"/>
    <x v="1"/>
    <x v="6"/>
    <x v="1"/>
    <x v="1"/>
    <s v="Yes"/>
    <s v="No"/>
    <m/>
    <m/>
    <s v="40148"/>
    <m/>
    <m/>
    <n v="9916367897"/>
    <n v="440152218141"/>
    <m/>
    <m/>
    <d v="2018-04-05T00:00:00"/>
    <s v="Yes"/>
    <s v="Yes"/>
    <x v="0"/>
  </r>
  <r>
    <s v="Bangalore"/>
    <s v="BASRTL149"/>
    <s v="No"/>
    <m/>
    <s v="PCIe"/>
    <s v="SN3219922"/>
    <m/>
    <s v="ICE18"/>
    <x v="0"/>
    <x v="2"/>
    <x v="2"/>
    <x v="3"/>
    <m/>
    <m/>
    <m/>
    <m/>
    <n v="40149"/>
    <m/>
    <m/>
    <m/>
    <m/>
    <m/>
    <m/>
    <m/>
    <s v="No"/>
    <s v="No"/>
    <x v="1"/>
  </r>
  <r>
    <s v="Bangalore"/>
    <s v="BASRTL150"/>
    <s v="Yes"/>
    <s v="Daily"/>
    <s v="PCIe"/>
    <s v="SN3219780"/>
    <s v="R11/4"/>
    <s v="ICE19"/>
    <x v="0"/>
    <x v="0"/>
    <x v="5"/>
    <x v="4"/>
    <s v="No"/>
    <s v="No"/>
    <s v="4x"/>
    <m/>
    <n v="40150"/>
    <m/>
    <m/>
    <n v="7625036345"/>
    <n v="440152238937"/>
    <m/>
    <m/>
    <d v="2018-04-05T00:00:00"/>
    <s v="Yes"/>
    <s v="Yes"/>
    <x v="0"/>
  </r>
  <r>
    <s v="Bangalore"/>
    <s v="BASRTL151"/>
    <s v="Yes"/>
    <s v="CEB"/>
    <s v="PCIe"/>
    <s v="SN3219759"/>
    <s v="R25/2"/>
    <s v="ICE18"/>
    <x v="0"/>
    <x v="0"/>
    <x v="0"/>
    <x v="1"/>
    <s v="No"/>
    <s v="No"/>
    <s v="4x"/>
    <m/>
    <n v="40151"/>
    <m/>
    <m/>
    <n v="9945617637"/>
    <n v="440152237453"/>
    <m/>
    <m/>
    <d v="2018-04-05T00:00:00"/>
    <s v="Yes"/>
    <s v="Yes"/>
    <x v="0"/>
  </r>
  <r>
    <s v="Bangalore"/>
    <s v="BASRTL152"/>
    <m/>
    <m/>
    <s v="PCIe"/>
    <s v="SN3219668"/>
    <s v="R21/5"/>
    <s v="IBIS"/>
    <x v="0"/>
    <x v="0"/>
    <x v="0"/>
    <x v="5"/>
    <s v="No"/>
    <s v="No"/>
    <m/>
    <m/>
    <m/>
    <m/>
    <m/>
    <n v="7349781069"/>
    <n v="354999010649999"/>
    <m/>
    <m/>
    <d v="2018-04-05T00:00:00"/>
    <s v="Yes"/>
    <s v="Yes"/>
    <x v="0"/>
  </r>
  <r>
    <s v="Bangalore"/>
    <s v="BASRTL153"/>
    <m/>
    <m/>
    <s v="PCIe"/>
    <s v="3SN219929"/>
    <m/>
    <m/>
    <x v="2"/>
    <x v="2"/>
    <x v="6"/>
    <x v="3"/>
    <m/>
    <m/>
    <m/>
    <m/>
    <m/>
    <m/>
    <m/>
    <m/>
    <m/>
    <m/>
    <m/>
    <m/>
    <m/>
    <m/>
    <x v="2"/>
  </r>
  <r>
    <s v="Bangalore"/>
    <s v="BASRTL154"/>
    <s v="Yes"/>
    <s v="CEB"/>
    <s v="PCIe"/>
    <s v="SN3219918"/>
    <s v="R10/5"/>
    <s v="ICE18"/>
    <x v="0"/>
    <x v="0"/>
    <x v="0"/>
    <x v="1"/>
    <s v="No"/>
    <s v="No"/>
    <s v="4x"/>
    <m/>
    <n v="40154"/>
    <m/>
    <m/>
    <n v="7338636157"/>
    <n v="440152238923"/>
    <m/>
    <m/>
    <d v="2018-04-05T00:00:00"/>
    <s v="Yes"/>
    <s v="Yes"/>
    <x v="0"/>
  </r>
  <r>
    <s v="Bangalore"/>
    <s v="BASRTL155"/>
    <s v="Yes"/>
    <s v="Weekly"/>
    <s v="PCIe"/>
    <s v="SN3219786"/>
    <s v="R27/5"/>
    <s v="ICE18"/>
    <x v="1"/>
    <x v="3"/>
    <x v="3"/>
    <x v="1"/>
    <s v="Yes"/>
    <s v="No"/>
    <m/>
    <m/>
    <s v="NA"/>
    <m/>
    <m/>
    <n v="9513421189"/>
    <n v="440152237424"/>
    <m/>
    <m/>
    <d v="2018-04-05T00:00:00"/>
    <s v="Yes"/>
    <s v="Yes"/>
    <x v="0"/>
  </r>
  <r>
    <s v="Bangalore"/>
    <s v="BASRTL156"/>
    <s v="Yes"/>
    <s v="Weekly"/>
    <s v="PCIe"/>
    <s v="SN3219800"/>
    <s v="R27/6"/>
    <s v="ICE18"/>
    <x v="1"/>
    <x v="3"/>
    <x v="3"/>
    <x v="1"/>
    <s v="Yes"/>
    <s v="No"/>
    <m/>
    <m/>
    <s v="NA"/>
    <m/>
    <m/>
    <n v="9513388113"/>
    <n v="440152237424"/>
    <m/>
    <m/>
    <d v="2018-04-05T00:00:00"/>
    <s v="Yes"/>
    <s v="Yes"/>
    <x v="0"/>
  </r>
  <r>
    <s v="Bangalore"/>
    <s v="BASRTL157"/>
    <m/>
    <m/>
    <s v="PCIe"/>
    <s v="SN3219903"/>
    <m/>
    <s v="ICE17"/>
    <x v="2"/>
    <x v="2"/>
    <x v="2"/>
    <x v="3"/>
    <m/>
    <m/>
    <m/>
    <m/>
    <m/>
    <m/>
    <m/>
    <m/>
    <m/>
    <m/>
    <m/>
    <m/>
    <s v="No"/>
    <s v="No"/>
    <x v="1"/>
  </r>
  <r>
    <s v="Bangalore"/>
    <s v="BASRTL158"/>
    <s v="No"/>
    <s v="EB"/>
    <s v="PCIe"/>
    <s v="SN3219835"/>
    <s v="R10/1"/>
    <s v="ICE18"/>
    <x v="0"/>
    <x v="0"/>
    <x v="0"/>
    <x v="1"/>
    <s v="No"/>
    <s v="No"/>
    <m/>
    <m/>
    <n v="40158"/>
    <m/>
    <m/>
    <n v="7625036337"/>
    <n v="440152238921"/>
    <m/>
    <n v="9513421196"/>
    <d v="2018-04-05T00:00:00"/>
    <s v="Yes"/>
    <s v="Yes"/>
    <x v="0"/>
  </r>
  <r>
    <s v="Bangalore"/>
    <s v="BASRTL159"/>
    <s v="Yes"/>
    <s v="CEB"/>
    <s v="PCIe"/>
    <s v="SN3219843"/>
    <s v="R11/6"/>
    <s v="ICE18"/>
    <x v="0"/>
    <x v="0"/>
    <x v="0"/>
    <x v="1"/>
    <s v="No"/>
    <s v="No"/>
    <m/>
    <m/>
    <n v="40159"/>
    <m/>
    <m/>
    <n v="7349781127"/>
    <s v="00440152237451 "/>
    <m/>
    <m/>
    <d v="2018-04-05T00:00:00"/>
    <s v="Yes"/>
    <s v="Yes"/>
    <x v="0"/>
  </r>
  <r>
    <s v="Bangalore"/>
    <s v="BASRTL160"/>
    <m/>
    <m/>
    <s v="PCIe"/>
    <s v="SN3219656"/>
    <s v="R9/4"/>
    <s v="IBIS"/>
    <x v="0"/>
    <x v="0"/>
    <x v="0"/>
    <x v="5"/>
    <s v="No"/>
    <s v="No"/>
    <m/>
    <m/>
    <m/>
    <m/>
    <m/>
    <n v="7625047640"/>
    <n v="440152066752"/>
    <m/>
    <n v="7349700000"/>
    <d v="2018-05-09T00:00:00"/>
    <s v="Yes"/>
    <s v="Yes"/>
    <x v="0"/>
  </r>
  <r>
    <s v="Bangalore"/>
    <s v="BASRTL162"/>
    <s v="Yes"/>
    <s v="Daily"/>
    <s v="PCIe"/>
    <s v="SN3219930"/>
    <s v="R7/4"/>
    <s v="ICE18"/>
    <x v="0"/>
    <x v="0"/>
    <x v="0"/>
    <x v="1"/>
    <s v="No"/>
    <s v="No"/>
    <m/>
    <m/>
    <n v="40162"/>
    <m/>
    <m/>
    <n v="9591185328"/>
    <n v="440152238401"/>
    <m/>
    <n v="7349781108"/>
    <d v="2018-04-05T00:00:00"/>
    <s v="Yes"/>
    <s v="Yes"/>
    <x v="0"/>
  </r>
  <r>
    <s v="Bangalore"/>
    <s v="BASRTL119"/>
    <s v="No"/>
    <s v="EB"/>
    <s v="PCIe"/>
    <s v="SN2794363"/>
    <s v="R21/4 "/>
    <s v="ICE18"/>
    <x v="0"/>
    <x v="0"/>
    <x v="0"/>
    <x v="1"/>
    <s v="No"/>
    <s v="No"/>
    <m/>
    <m/>
    <n v="40119"/>
    <m/>
    <m/>
    <n v="7625046432"/>
    <n v="440152238940"/>
    <m/>
    <m/>
    <m/>
    <s v="Yes"/>
    <s v="Yes"/>
    <x v="0"/>
  </r>
  <r>
    <s v="Bangalore"/>
    <s v="BASRTL134"/>
    <s v="Yes"/>
    <s v="Weekly"/>
    <s v="PCIe"/>
    <s v="SN2510534"/>
    <s v="R7/6"/>
    <s v="ICE18"/>
    <x v="1"/>
    <x v="7"/>
    <x v="7"/>
    <x v="1"/>
    <s v="No"/>
    <s v="No"/>
    <s v="4x"/>
    <m/>
    <n v="40134"/>
    <m/>
    <m/>
    <n v="9972093562"/>
    <n v="440152238923"/>
    <m/>
    <n v="7625047635"/>
    <d v="2018-04-05T00:00:00"/>
    <s v="Yes"/>
    <s v="Yes"/>
    <x v="0"/>
  </r>
  <r>
    <s v="Bangalore"/>
    <s v="BASRTL169"/>
    <s v="Yes"/>
    <s v="Daily"/>
    <s v="PCIe"/>
    <s v="SN2510799"/>
    <s v="R7/2"/>
    <s v="ICE18"/>
    <x v="0"/>
    <x v="0"/>
    <x v="0"/>
    <x v="1"/>
    <s v="No"/>
    <s v="No"/>
    <m/>
    <m/>
    <n v="40169"/>
    <m/>
    <m/>
    <n v="7625046443"/>
    <n v="440152248596"/>
    <m/>
    <m/>
    <d v="2018-04-05T00:00:00"/>
    <s v="Yes"/>
    <s v="Yes"/>
    <x v="0"/>
  </r>
  <r>
    <s v="Bangalore"/>
    <s v="BASRTL171"/>
    <s v="Yes"/>
    <s v="Daily"/>
    <s v="PCIe"/>
    <s v="SN2510439"/>
    <s v="R11/3"/>
    <s v="ICE19"/>
    <x v="0"/>
    <x v="0"/>
    <x v="0"/>
    <x v="4"/>
    <s v="No"/>
    <s v="No"/>
    <s v="4x"/>
    <m/>
    <n v="40171"/>
    <m/>
    <m/>
    <n v="7349781126"/>
    <n v="440152238925"/>
    <m/>
    <m/>
    <d v="2018-04-05T00:00:00"/>
    <s v="Yes"/>
    <s v="Yes"/>
    <x v="0"/>
  </r>
  <r>
    <s v="Bangalore"/>
    <s v="BASRTL172"/>
    <s v="Yes"/>
    <s v="Weekly"/>
    <s v="PCIe"/>
    <s v="SN2250569"/>
    <s v="R27/4"/>
    <s v="ICE18"/>
    <x v="1"/>
    <x v="6"/>
    <x v="1"/>
    <x v="1"/>
    <s v="Yes"/>
    <s v="No"/>
    <m/>
    <m/>
    <s v="NA"/>
    <m/>
    <m/>
    <n v="9513421210"/>
    <n v="440152238387"/>
    <m/>
    <m/>
    <d v="2018-04-05T00:00:00"/>
    <s v="Yes"/>
    <s v="Yes"/>
    <x v="0"/>
  </r>
  <r>
    <s v="Bangalore"/>
    <s v="BASRTL173"/>
    <s v="Yes"/>
    <s v="Daily"/>
    <s v="PCIe"/>
    <s v="SN3219734"/>
    <s v="R11/1"/>
    <s v="ICE18"/>
    <x v="0"/>
    <x v="0"/>
    <x v="0"/>
    <x v="1"/>
    <s v="No"/>
    <s v="No"/>
    <s v="4x"/>
    <m/>
    <n v="40173"/>
    <m/>
    <m/>
    <n v="7625046457"/>
    <n v="440152237426"/>
    <m/>
    <m/>
    <d v="2018-04-05T00:00:00"/>
    <s v="Yes"/>
    <s v="Yes"/>
    <x v="0"/>
  </r>
  <r>
    <s v="Bangalore"/>
    <s v="BASRTL175"/>
    <s v="No"/>
    <s v="Pre-INT"/>
    <s v="PCIe"/>
    <s v="SN3219559"/>
    <s v="R5/6"/>
    <s v="ICE18"/>
    <x v="1"/>
    <x v="6"/>
    <x v="1"/>
    <x v="1"/>
    <s v="No"/>
    <s v="No"/>
    <m/>
    <m/>
    <n v="40175"/>
    <m/>
    <m/>
    <n v="9108443022"/>
    <n v="440152238389"/>
    <m/>
    <m/>
    <d v="2018-04-05T00:00:00"/>
    <s v="Yes"/>
    <s v="Yes"/>
    <x v="0"/>
  </r>
  <r>
    <s v="Bangalore"/>
    <s v="BASRTL174"/>
    <s v="Yes"/>
    <s v="CEB"/>
    <s v="PCIe"/>
    <s v="SN3219604"/>
    <s v="R2/6"/>
    <s v="ICE18"/>
    <x v="0"/>
    <x v="0"/>
    <x v="0"/>
    <x v="1"/>
    <s v="No"/>
    <s v="No"/>
    <s v="4x"/>
    <m/>
    <n v="40174"/>
    <m/>
    <m/>
    <n v="7338636166"/>
    <n v="440152238398"/>
    <m/>
    <m/>
    <d v="2018-04-05T00:00:00"/>
    <s v="Yes"/>
    <s v="Yes"/>
    <x v="0"/>
  </r>
  <r>
    <s v="Bangalore"/>
    <s v="BASRTL181"/>
    <s v="Yes"/>
    <s v="Pre-INT"/>
    <s v="PCIe"/>
    <s v="SN3220275"/>
    <s v="R1/1"/>
    <s v="ICE19"/>
    <x v="0"/>
    <x v="0"/>
    <x v="0"/>
    <x v="4"/>
    <s v="No"/>
    <s v="No"/>
    <m/>
    <m/>
    <n v="40181"/>
    <m/>
    <m/>
    <n v="9606480573"/>
    <n v="440152239965"/>
    <m/>
    <m/>
    <d v="2018-04-05T00:00:00"/>
    <s v="Yes"/>
    <s v="Yes"/>
    <x v="0"/>
  </r>
  <r>
    <s v="Bangalore"/>
    <s v="BASRTL182"/>
    <s v="Yes"/>
    <s v="Weekly"/>
    <s v="PCIe"/>
    <s v="SN3220333"/>
    <s v="R1/2"/>
    <s v="ICE18"/>
    <x v="1"/>
    <x v="7"/>
    <x v="7"/>
    <x v="1"/>
    <s v="No"/>
    <s v="No"/>
    <s v="4x"/>
    <m/>
    <n v="40182"/>
    <m/>
    <m/>
    <n v="7625046450"/>
    <n v="440152217754"/>
    <m/>
    <n v="7349781098"/>
    <d v="2018-04-05T00:00:00"/>
    <s v="Yes"/>
    <s v="Yes"/>
    <x v="0"/>
  </r>
  <r>
    <s v="Bangalore"/>
    <s v="BASRTL183"/>
    <s v="Yes"/>
    <s v="Weekly"/>
    <s v="PCIe"/>
    <s v="SN3220180"/>
    <s v="R1/3"/>
    <s v="ICE18"/>
    <x v="1"/>
    <x v="3"/>
    <x v="3"/>
    <x v="1"/>
    <s v="No"/>
    <s v="No"/>
    <m/>
    <m/>
    <n v="40183"/>
    <m/>
    <m/>
    <s v="9513421181,'7625046470"/>
    <n v="440152219784"/>
    <m/>
    <m/>
    <d v="2018-04-05T00:00:00"/>
    <s v="Yes"/>
    <s v="Yes"/>
    <x v="0"/>
  </r>
  <r>
    <s v="Bangalore"/>
    <s v="BASRTL184"/>
    <s v="Yes"/>
    <s v="CEB"/>
    <s v="PCIe"/>
    <s v="SN3220219"/>
    <s v="R16/2"/>
    <s v="ICE18"/>
    <x v="0"/>
    <x v="0"/>
    <x v="0"/>
    <x v="1"/>
    <s v="No"/>
    <s v="No"/>
    <m/>
    <m/>
    <n v="40184"/>
    <m/>
    <m/>
    <n v="9606480572"/>
    <n v="440152239966"/>
    <m/>
    <m/>
    <d v="2018-04-05T00:00:00"/>
    <s v="Yes"/>
    <s v="Yes"/>
    <x v="0"/>
  </r>
  <r>
    <s v="Bangalore"/>
    <s v="BASRTL185"/>
    <s v="Yes"/>
    <s v="Weekly"/>
    <s v="PCIe"/>
    <s v="SN3220268"/>
    <s v="R1/5"/>
    <s v="ICE18"/>
    <x v="1"/>
    <x v="7"/>
    <x v="7"/>
    <x v="1"/>
    <s v="No"/>
    <s v="No"/>
    <s v="4x"/>
    <m/>
    <n v="40185"/>
    <m/>
    <m/>
    <s v="7625047663'8095011789,'"/>
    <n v="440152219772"/>
    <m/>
    <m/>
    <d v="2018-04-05T00:00:00"/>
    <s v="Yes"/>
    <s v="Yes"/>
    <x v="0"/>
  </r>
  <r>
    <s v="Bangalore"/>
    <s v="BASRTL186"/>
    <s v="Yes"/>
    <s v="Daily"/>
    <s v="PCIe"/>
    <s v="SN3220338"/>
    <s v="R1/6"/>
    <s v="ICE18"/>
    <x v="0"/>
    <x v="5"/>
    <x v="0"/>
    <x v="1"/>
    <s v="No"/>
    <s v="No"/>
    <s v="4x"/>
    <m/>
    <n v="40186"/>
    <m/>
    <m/>
    <n v="7625046457"/>
    <n v="440152237426"/>
    <m/>
    <m/>
    <d v="2018-04-05T00:00:00"/>
    <s v="Yes"/>
    <s v="Yes"/>
    <x v="0"/>
  </r>
  <r>
    <s v="Bangalore"/>
    <s v="BASRTL187"/>
    <s v="No"/>
    <s v="CEB"/>
    <s v="PCIe"/>
    <s v="SN3220339"/>
    <s v="R2/1"/>
    <s v="ICE18"/>
    <x v="0"/>
    <x v="0"/>
    <x v="0"/>
    <x v="1"/>
    <s v="No"/>
    <s v="No"/>
    <m/>
    <m/>
    <n v="40187"/>
    <m/>
    <m/>
    <n v="9945617637"/>
    <n v="440152238928"/>
    <m/>
    <m/>
    <d v="2018-04-05T00:00:00"/>
    <s v="Yes"/>
    <s v="Yes"/>
    <x v="1"/>
  </r>
  <r>
    <s v="Bangalore"/>
    <s v="BASRTL188"/>
    <s v="Yes"/>
    <s v="Pre-INT"/>
    <s v="PCIe"/>
    <s v="SN3220345"/>
    <s v="R2/4"/>
    <s v="ICE18"/>
    <x v="0"/>
    <x v="0"/>
    <x v="0"/>
    <x v="1"/>
    <s v="No"/>
    <s v="No"/>
    <s v="4x"/>
    <m/>
    <n v="40188"/>
    <m/>
    <m/>
    <n v="9845086006"/>
    <n v="440152238388"/>
    <m/>
    <m/>
    <d v="2018-04-05T00:00:00"/>
    <s v="Yes"/>
    <s v="Yes"/>
    <x v="0"/>
  </r>
  <r>
    <s v="Bangalore"/>
    <s v="BASRTL189"/>
    <s v="Yes"/>
    <s v="Pre-INT"/>
    <s v="PCIe"/>
    <s v="SN3220287"/>
    <s v="R2/3"/>
    <s v="ICE18"/>
    <x v="0"/>
    <x v="0"/>
    <x v="0"/>
    <x v="1"/>
    <s v="No"/>
    <s v="No"/>
    <s v="4x"/>
    <m/>
    <n v="40189"/>
    <m/>
    <m/>
    <n v="7625036342"/>
    <n v="440152238394"/>
    <m/>
    <m/>
    <d v="2018-04-05T00:00:00"/>
    <s v="Yes"/>
    <s v="Yes"/>
    <x v="0"/>
  </r>
  <r>
    <s v="Bangalore"/>
    <s v="BASRTL190"/>
    <s v="Yes"/>
    <s v="Weekly"/>
    <s v="PCIe"/>
    <s v="SN3220161"/>
    <s v="R2/2"/>
    <s v="ICE19"/>
    <x v="0"/>
    <x v="0"/>
    <x v="0"/>
    <x v="4"/>
    <s v="No"/>
    <s v="No"/>
    <s v="4x"/>
    <m/>
    <n v="40190"/>
    <m/>
    <m/>
    <n v="7349781071"/>
    <n v="440152237431"/>
    <m/>
    <m/>
    <d v="2018-04-05T00:00:00"/>
    <s v="Yes"/>
    <s v="Yes"/>
    <x v="0"/>
  </r>
  <r>
    <s v="Bangalore"/>
    <s v="BASRTL191"/>
    <s v="Yes"/>
    <s v="Weekly"/>
    <s v="PCIe"/>
    <s v="SN3220152"/>
    <s v="R27/1"/>
    <s v="ICE18"/>
    <x v="1"/>
    <x v="3"/>
    <x v="3"/>
    <x v="1"/>
    <s v="Yes"/>
    <s v="No"/>
    <m/>
    <m/>
    <s v="NA"/>
    <m/>
    <m/>
    <n v="9513421189"/>
    <n v="440152237424"/>
    <m/>
    <m/>
    <d v="2018-04-05T00:00:00"/>
    <s v="Yes"/>
    <s v="Yes"/>
    <x v="0"/>
  </r>
  <r>
    <s v="Bangalore"/>
    <s v="BASRTL192"/>
    <s v="Yes"/>
    <s v="Weekly"/>
    <s v="PCIe"/>
    <s v="SN3220284"/>
    <s v="R27/2"/>
    <s v="ICE18"/>
    <x v="0"/>
    <x v="8"/>
    <x v="0"/>
    <x v="1"/>
    <s v="Yes"/>
    <s v="No"/>
    <m/>
    <m/>
    <s v="NA"/>
    <m/>
    <m/>
    <n v="9513421184"/>
    <n v="440152238400"/>
    <m/>
    <m/>
    <d v="2018-04-05T00:00:00"/>
    <s v="Yes"/>
    <s v="Yes"/>
    <x v="0"/>
  </r>
  <r>
    <s v="Bangalore"/>
    <s v="BASRTL125"/>
    <s v="No"/>
    <s v="Weekly"/>
    <s v="PCIe"/>
    <s v="SN2794290"/>
    <m/>
    <s v="ICE18"/>
    <x v="2"/>
    <x v="2"/>
    <x v="0"/>
    <x v="1"/>
    <m/>
    <m/>
    <m/>
    <m/>
    <n v="40125"/>
    <m/>
    <m/>
    <m/>
    <m/>
    <m/>
    <m/>
    <d v="2018-03-21T00:00:00"/>
    <s v="No"/>
    <s v="No"/>
    <x v="1"/>
  </r>
  <r>
    <s v="Bangalore"/>
    <s v="BASRTL128"/>
    <s v="No"/>
    <s v="Weekly"/>
    <s v="PCIe"/>
    <s v="SN2510607"/>
    <s v="R25/5"/>
    <s v="ICE18"/>
    <x v="1"/>
    <x v="3"/>
    <x v="3"/>
    <x v="1"/>
    <s v="No"/>
    <s v="No"/>
    <m/>
    <m/>
    <n v="40128"/>
    <m/>
    <m/>
    <m/>
    <m/>
    <m/>
    <m/>
    <d v="2018-04-05T00:00:00"/>
    <s v="Yes"/>
    <s v="Yes"/>
    <x v="1"/>
  </r>
  <r>
    <s v="Bangalore"/>
    <s v="BASRTL120"/>
    <s v="Yes"/>
    <s v="Pre-INT"/>
    <s v="PCIe"/>
    <s v="SN2794338"/>
    <s v="R5/1"/>
    <s v="ICE18"/>
    <x v="0"/>
    <x v="0"/>
    <x v="0"/>
    <x v="1"/>
    <s v="No"/>
    <s v="No"/>
    <m/>
    <m/>
    <n v="40120"/>
    <m/>
    <m/>
    <n v="7338636224"/>
    <n v="440152238930"/>
    <m/>
    <m/>
    <d v="2018-04-05T00:00:00"/>
    <s v="Yes"/>
    <s v="Yes"/>
    <x v="0"/>
  </r>
  <r>
    <s v="Bangalore"/>
    <s v="BASRTL198"/>
    <s v="Yes"/>
    <s v="Weekly"/>
    <s v="PCIe"/>
    <s v="SN3219993"/>
    <s v="R4/1"/>
    <s v="ICE18"/>
    <x v="1"/>
    <x v="6"/>
    <x v="1"/>
    <x v="1"/>
    <s v="No"/>
    <s v="No"/>
    <m/>
    <m/>
    <n v="40198"/>
    <m/>
    <m/>
    <n v="9606480570"/>
    <n v="440152219730"/>
    <m/>
    <m/>
    <d v="2018-04-05T00:00:00"/>
    <s v="Yes"/>
    <s v="Yes"/>
    <x v="0"/>
  </r>
  <r>
    <s v="Bangalore"/>
    <s v="BASRTL199"/>
    <s v="No"/>
    <s v="Weekly"/>
    <s v="PCIe"/>
    <s v="SN3219982"/>
    <s v="R4/2"/>
    <s v="ICE18"/>
    <x v="1"/>
    <x v="7"/>
    <x v="7"/>
    <x v="1"/>
    <s v="No"/>
    <s v="No"/>
    <s v="4x"/>
    <m/>
    <n v="40199"/>
    <m/>
    <m/>
    <n v="9606480569"/>
    <n v="440152239951"/>
    <m/>
    <m/>
    <d v="2018-04-05T00:00:00"/>
    <s v="Yes"/>
    <s v="Yes"/>
    <x v="0"/>
  </r>
  <r>
    <s v="Bangalore"/>
    <s v="BASRTL200"/>
    <s v="Yes"/>
    <s v="Weekly"/>
    <s v="PCIe"/>
    <s v="SN3219863"/>
    <s v="R4/3"/>
    <s v="ICE19"/>
    <x v="0"/>
    <x v="0"/>
    <x v="0"/>
    <x v="4"/>
    <s v="No"/>
    <s v="No"/>
    <s v="4x"/>
    <m/>
    <n v="40200"/>
    <m/>
    <m/>
    <n v="9606480568"/>
    <n v="440152238936"/>
    <m/>
    <m/>
    <d v="2018-04-05T00:00:00"/>
    <s v="Yes"/>
    <s v="Yes"/>
    <x v="0"/>
  </r>
  <r>
    <s v="Bangalore"/>
    <s v="BASRTL201"/>
    <s v="No"/>
    <s v="Weekly"/>
    <s v="PCIe"/>
    <s v="SN3219688"/>
    <s v="R9/1"/>
    <s v="ICE18"/>
    <x v="1"/>
    <x v="7"/>
    <x v="8"/>
    <x v="1"/>
    <s v="No"/>
    <s v="No"/>
    <m/>
    <m/>
    <n v="40201"/>
    <m/>
    <m/>
    <s v="9845086006"/>
    <n v="440152239962"/>
    <m/>
    <m/>
    <d v="2018-04-05T00:00:00"/>
    <s v="Yes"/>
    <s v="Yes"/>
    <x v="1"/>
  </r>
  <r>
    <s v="Bangalore"/>
    <s v="BASRTL202"/>
    <s v="Yes"/>
    <m/>
    <s v="BlackRay"/>
    <s v="SN3120211"/>
    <s v="R9/2"/>
    <s v="ICE19"/>
    <x v="0"/>
    <x v="4"/>
    <x v="4"/>
    <x v="4"/>
    <s v="No"/>
    <s v="No"/>
    <m/>
    <m/>
    <n v="40202"/>
    <m/>
    <m/>
    <n v="9606480566"/>
    <n v="440152238386"/>
    <m/>
    <m/>
    <d v="2018-04-05T00:00:00"/>
    <s v="Yes"/>
    <s v="Yes"/>
    <x v="3"/>
  </r>
  <r>
    <s v="Bangalore"/>
    <s v="BASRTL203"/>
    <s v="Yes"/>
    <s v="EB"/>
    <s v="PCIe"/>
    <s v="SN3219921"/>
    <s v="R9/6"/>
    <s v="ICE18"/>
    <x v="0"/>
    <x v="0"/>
    <x v="0"/>
    <x v="1"/>
    <s v="No"/>
    <s v="No"/>
    <s v="4x"/>
    <m/>
    <n v="40203"/>
    <m/>
    <m/>
    <m/>
    <n v="440152237428"/>
    <m/>
    <m/>
    <d v="2018-04-05T00:00:00"/>
    <s v="Yes"/>
    <s v="Yes"/>
    <x v="0"/>
  </r>
  <r>
    <s v="Bangalore"/>
    <s v="BASRTL204"/>
    <m/>
    <m/>
    <s v="PCIe"/>
    <s v="SN3219864"/>
    <s v="R8/6"/>
    <s v="IBIS"/>
    <x v="0"/>
    <x v="0"/>
    <x v="0"/>
    <x v="5"/>
    <s v="No"/>
    <s v="No"/>
    <m/>
    <m/>
    <m/>
    <m/>
    <m/>
    <n v="9901220354"/>
    <n v="354999010649999"/>
    <m/>
    <m/>
    <m/>
    <s v="Yes"/>
    <s v="Yes"/>
    <x v="0"/>
  </r>
  <r>
    <s v="Bangalore"/>
    <s v="BASRTL205"/>
    <s v="Yes"/>
    <s v="Pre-INT"/>
    <s v="PCIe"/>
    <s v="SN3220258"/>
    <s v="R87/1"/>
    <s v="ICE18"/>
    <x v="0"/>
    <x v="0"/>
    <x v="0"/>
    <x v="1"/>
    <s v="No"/>
    <s v="No"/>
    <m/>
    <m/>
    <n v="40205"/>
    <m/>
    <m/>
    <n v="7349781102"/>
    <n v="440152238929"/>
    <m/>
    <m/>
    <d v="2018-04-05T00:00:00"/>
    <s v="Yes"/>
    <s v="Yes"/>
    <x v="0"/>
  </r>
  <r>
    <s v="Bangalore"/>
    <s v="BASRTL206"/>
    <s v="Yes"/>
    <s v="EB"/>
    <s v="PCIe"/>
    <s v="SN3219821"/>
    <s v="R10/4"/>
    <s v="ICE18"/>
    <x v="0"/>
    <x v="0"/>
    <x v="0"/>
    <x v="1"/>
    <s v="No"/>
    <s v="No"/>
    <m/>
    <m/>
    <n v="40206"/>
    <m/>
    <m/>
    <n v="9513471194"/>
    <n v="440152218141"/>
    <m/>
    <m/>
    <d v="2018-04-05T00:00:00"/>
    <s v="Yes"/>
    <s v="Yes"/>
    <x v="0"/>
  </r>
  <r>
    <s v="Bangalore"/>
    <s v="BASRTL207"/>
    <s v="Yes"/>
    <s v="EB"/>
    <s v="PCIe"/>
    <s v="SN3220280"/>
    <s v="R6/6"/>
    <s v="ICE18"/>
    <x v="0"/>
    <x v="0"/>
    <x v="0"/>
    <x v="1"/>
    <s v="No"/>
    <s v="No"/>
    <s v="4x"/>
    <m/>
    <n v="40207"/>
    <m/>
    <m/>
    <n v="9606480564"/>
    <n v="440152238931"/>
    <m/>
    <m/>
    <d v="2018-04-05T00:00:00"/>
    <s v="Yes"/>
    <s v="Yes"/>
    <x v="0"/>
  </r>
  <r>
    <s v="Bangalore"/>
    <s v="BASRTL222"/>
    <s v="Yes"/>
    <s v="Weekly"/>
    <s v="PCIe"/>
    <s v="SN3299428"/>
    <s v="R10/6"/>
    <s v="ICE18"/>
    <x v="1"/>
    <x v="1"/>
    <x v="1"/>
    <x v="1"/>
    <s v="No"/>
    <s v="No"/>
    <m/>
    <m/>
    <n v="40222"/>
    <m/>
    <m/>
    <n v="7406177166"/>
    <n v="440152237448"/>
    <m/>
    <m/>
    <d v="2018-04-05T00:00:00"/>
    <s v="Yes"/>
    <s v="Yes"/>
    <x v="0"/>
  </r>
  <r>
    <s v="Bangalore"/>
    <s v="BASRTL218"/>
    <s v="No"/>
    <s v="EB"/>
    <s v="PCIe"/>
    <s v="SN3299751"/>
    <s v="R19/1"/>
    <s v="ICE18"/>
    <x v="0"/>
    <x v="0"/>
    <x v="0"/>
    <x v="1"/>
    <s v="No"/>
    <s v="No"/>
    <m/>
    <m/>
    <n v="40218"/>
    <m/>
    <m/>
    <n v="7625047621"/>
    <n v="440152239952"/>
    <m/>
    <m/>
    <d v="2018-04-05T00:00:00"/>
    <s v="Yes"/>
    <s v="Yes"/>
    <x v="0"/>
  </r>
  <r>
    <s v="Bangalore"/>
    <s v="BASRTL219"/>
    <s v="Yes"/>
    <s v="Weekly"/>
    <s v="PCIe"/>
    <s v="SN3299746"/>
    <s v="R2/5"/>
    <s v="ICE18"/>
    <x v="1"/>
    <x v="7"/>
    <x v="7"/>
    <x v="1"/>
    <s v="No"/>
    <s v="No"/>
    <s v="4x"/>
    <m/>
    <n v="40219"/>
    <m/>
    <m/>
    <n v="7625047637"/>
    <m/>
    <m/>
    <m/>
    <d v="2018-04-05T00:00:00"/>
    <s v="Yes"/>
    <s v="Yes"/>
    <x v="0"/>
  </r>
  <r>
    <s v="Bangalore"/>
    <s v="BASRTL220"/>
    <s v="Yes"/>
    <s v="EB"/>
    <s v="PCIe"/>
    <s v="SN3299692"/>
    <s v="R10/2"/>
    <s v="ICE18"/>
    <x v="0"/>
    <x v="0"/>
    <x v="0"/>
    <x v="1"/>
    <s v="No"/>
    <s v="No"/>
    <m/>
    <m/>
    <n v="40220"/>
    <m/>
    <m/>
    <n v="7625047633"/>
    <n v="440152238384"/>
    <m/>
    <m/>
    <d v="2018-04-05T00:00:00"/>
    <s v="Yes"/>
    <s v="Yes"/>
    <x v="0"/>
  </r>
  <r>
    <s v="Bangalore"/>
    <s v="BASRTL221"/>
    <s v="No"/>
    <m/>
    <s v="PCIe"/>
    <s v="SN3299550"/>
    <s v="R10/3"/>
    <s v="ICE18"/>
    <x v="0"/>
    <x v="2"/>
    <x v="2"/>
    <x v="2"/>
    <s v="No"/>
    <s v="No"/>
    <m/>
    <m/>
    <n v="40221"/>
    <m/>
    <m/>
    <m/>
    <m/>
    <m/>
    <m/>
    <d v="2018-04-05T00:00:00"/>
    <s v="No"/>
    <s v="No"/>
    <x v="1"/>
  </r>
  <r>
    <s v="Bangalore"/>
    <s v="BASRTL223"/>
    <s v="No"/>
    <m/>
    <s v="PCIe"/>
    <s v="SN3299722"/>
    <s v="R25/1"/>
    <s v="ICE18"/>
    <x v="0"/>
    <x v="0"/>
    <x v="0"/>
    <x v="1"/>
    <s v="No"/>
    <s v="Yes"/>
    <m/>
    <m/>
    <n v="40223"/>
    <m/>
    <m/>
    <n v="7625047621"/>
    <n v="440152238397"/>
    <m/>
    <m/>
    <d v="2018-04-26T00:00:00"/>
    <s v="Yes"/>
    <s v="Yes"/>
    <x v="0"/>
  </r>
  <r>
    <s v="Bangalore"/>
    <s v="BASRTL224"/>
    <s v="Yes"/>
    <s v="Daily"/>
    <s v="PCIe"/>
    <s v="SN3299598"/>
    <s v="R19/2"/>
    <s v="ICE18"/>
    <x v="0"/>
    <x v="0"/>
    <x v="0"/>
    <x v="1"/>
    <s v="No"/>
    <s v="No"/>
    <m/>
    <m/>
    <n v="40224"/>
    <m/>
    <m/>
    <s v="7625046425,'7349781108"/>
    <n v="440152243917"/>
    <m/>
    <m/>
    <d v="2018-04-05T00:00:00"/>
    <s v="Yes"/>
    <s v="Yes"/>
    <x v="0"/>
  </r>
  <r>
    <s v="Bangalore"/>
    <s v="BASRTL225"/>
    <s v="Yes"/>
    <s v="Weekly"/>
    <s v="PCIe"/>
    <s v="SN3299638"/>
    <s v="R4/5"/>
    <s v="ICE18"/>
    <x v="1"/>
    <x v="7"/>
    <x v="7"/>
    <x v="1"/>
    <s v="No"/>
    <s v="No"/>
    <s v="4x"/>
    <m/>
    <n v="40225"/>
    <m/>
    <m/>
    <n v="7625047668"/>
    <n v="440152219826"/>
    <m/>
    <m/>
    <d v="2018-04-05T00:00:00"/>
    <s v="Yes"/>
    <s v="Yes"/>
    <x v="0"/>
  </r>
  <r>
    <s v="Bangalore"/>
    <s v="BASRTL226"/>
    <s v="Yes"/>
    <s v="Weekly"/>
    <s v="PCIe"/>
    <s v="SN3299363"/>
    <s v="R4/6"/>
    <s v="ICE18"/>
    <x v="1"/>
    <x v="1"/>
    <x v="1"/>
    <x v="1"/>
    <s v="No"/>
    <s v="No"/>
    <m/>
    <m/>
    <n v="40226"/>
    <m/>
    <m/>
    <n v="7625047658"/>
    <n v="440152219679"/>
    <m/>
    <m/>
    <d v="2018-04-05T00:00:00"/>
    <s v="Yes"/>
    <s v="Yes"/>
    <x v="0"/>
  </r>
  <r>
    <s v="Bangalore"/>
    <s v="BASRTL227"/>
    <s v="Yes"/>
    <s v="Daily"/>
    <s v="PCIe"/>
    <s v="SN3299619"/>
    <s v="R24/3"/>
    <s v="ICE18"/>
    <x v="0"/>
    <x v="0"/>
    <x v="0"/>
    <x v="1"/>
    <s v="No"/>
    <s v="No"/>
    <m/>
    <m/>
    <n v="40227"/>
    <m/>
    <m/>
    <n v="7625046426"/>
    <n v="440152239964"/>
    <m/>
    <m/>
    <d v="2018-04-05T00:00:00"/>
    <s v="Yes"/>
    <s v="Yes"/>
    <x v="0"/>
  </r>
  <r>
    <s v="Bangalore"/>
    <s v="BASRTL228"/>
    <s v="No"/>
    <s v="Weekly"/>
    <s v="PCIe"/>
    <s v="SN3299429"/>
    <s v="R9/3"/>
    <s v="ICE18"/>
    <x v="1"/>
    <x v="9"/>
    <x v="3"/>
    <x v="1"/>
    <s v="No"/>
    <s v="No"/>
    <m/>
    <m/>
    <n v="40228"/>
    <m/>
    <m/>
    <n v="7625047642"/>
    <n v="440152219782"/>
    <m/>
    <m/>
    <d v="2018-04-05T00:00:00"/>
    <s v="Yes"/>
    <s v="Yes"/>
    <x v="0"/>
  </r>
  <r>
    <s v="Bangalore"/>
    <s v="BASRTL229"/>
    <s v="No"/>
    <s v="Daily"/>
    <s v="PCIe"/>
    <s v="SN3299618"/>
    <s v="R19/3"/>
    <s v="ICE18"/>
    <x v="0"/>
    <x v="0"/>
    <x v="0"/>
    <x v="1"/>
    <s v="No"/>
    <s v="No"/>
    <m/>
    <m/>
    <n v="40229"/>
    <m/>
    <m/>
    <n v="7625047628"/>
    <n v="440152238918"/>
    <m/>
    <m/>
    <d v="2018-04-05T00:00:00"/>
    <s v="Yes"/>
    <s v="Yes"/>
    <x v="0"/>
  </r>
  <r>
    <s v="Bangalore"/>
    <s v="BASRTL230"/>
    <s v="Yes"/>
    <s v="Weekly"/>
    <s v="PCIe"/>
    <s v="SN3299517"/>
    <s v="R25/3"/>
    <s v="ICE18"/>
    <x v="1"/>
    <x v="7"/>
    <x v="8"/>
    <x v="1"/>
    <s v="No"/>
    <s v="Yes"/>
    <m/>
    <m/>
    <n v="40230"/>
    <m/>
    <m/>
    <n v="7406200266"/>
    <n v="440152237450"/>
    <m/>
    <m/>
    <d v="2018-04-05T00:00:00"/>
    <s v="Yes"/>
    <s v="Yes"/>
    <x v="0"/>
  </r>
  <r>
    <s v="Bangalore"/>
    <s v="BASRTL231"/>
    <s v="Yes"/>
    <s v="Weekly"/>
    <s v="PCIe"/>
    <s v="SN3299423"/>
    <s v="R27/3"/>
    <s v="ICE18"/>
    <x v="1"/>
    <x v="6"/>
    <x v="1"/>
    <x v="1"/>
    <s v="Yes"/>
    <s v="Yes"/>
    <m/>
    <m/>
    <s v="NA"/>
    <m/>
    <m/>
    <n v="9513421200"/>
    <n v="440152238391"/>
    <m/>
    <m/>
    <d v="2018-04-05T00:00:00"/>
    <s v="Yes"/>
    <s v="Yes"/>
    <x v="0"/>
  </r>
  <r>
    <s v="Bangalore"/>
    <s v="BASRTL234"/>
    <s v="Yes"/>
    <s v="Weekly"/>
    <s v="PCIe"/>
    <s v="SN3299387"/>
    <s v="R19/7"/>
    <s v="ICE18"/>
    <x v="1"/>
    <x v="1"/>
    <x v="1"/>
    <x v="2"/>
    <s v="No"/>
    <s v="No"/>
    <m/>
    <m/>
    <n v="40234"/>
    <m/>
    <m/>
    <n v="7406255266"/>
    <n v="440152237449"/>
    <m/>
    <m/>
    <d v="2018-04-05T00:00:00"/>
    <s v="Yes"/>
    <s v="Yes"/>
    <x v="0"/>
  </r>
  <r>
    <s v="Bangalore"/>
    <s v="BASRTL235"/>
    <s v="Yes"/>
    <s v="Weekly"/>
    <s v="PCIe"/>
    <s v="SN3299490"/>
    <s v="R19/4"/>
    <s v="ICE18"/>
    <x v="1"/>
    <x v="7"/>
    <x v="8"/>
    <x v="1"/>
    <s v="No"/>
    <s v="Yes"/>
    <m/>
    <m/>
    <n v="40235"/>
    <m/>
    <m/>
    <n v="7406188166"/>
    <n v="440152238939"/>
    <m/>
    <m/>
    <d v="2018-04-05T00:00:00"/>
    <s v="Yes"/>
    <s v="Yes"/>
    <x v="0"/>
  </r>
  <r>
    <s v="Bangalore"/>
    <s v="BASRTL236"/>
    <s v="Yes"/>
    <s v="Weekly"/>
    <s v="PCIe"/>
    <s v="SN3299770"/>
    <s v="R19/5"/>
    <s v="ICE18"/>
    <x v="1"/>
    <x v="7"/>
    <x v="8"/>
    <x v="1"/>
    <s v="No"/>
    <s v="Yes"/>
    <m/>
    <m/>
    <n v="40236"/>
    <m/>
    <m/>
    <n v="7625047629"/>
    <n v="440152219644"/>
    <m/>
    <m/>
    <d v="2018-04-05T00:00:00"/>
    <s v="Yes"/>
    <s v="Yes"/>
    <x v="0"/>
  </r>
  <r>
    <s v="Bangalore"/>
    <s v="BASRTL237"/>
    <s v="Yes"/>
    <s v="Pre-INT"/>
    <s v="PCIe"/>
    <s v="SN3299747"/>
    <s v="R19/6"/>
    <s v="ICE19"/>
    <x v="0"/>
    <x v="4"/>
    <x v="4"/>
    <x v="2"/>
    <s v="No"/>
    <s v="No"/>
    <m/>
    <m/>
    <n v="40237"/>
    <m/>
    <m/>
    <n v="7625047630"/>
    <n v="440152238922"/>
    <m/>
    <m/>
    <d v="2018-04-05T00:00:00"/>
    <s v="Yes"/>
    <s v="Yes"/>
    <x v="0"/>
  </r>
  <r>
    <s v="Bangalore"/>
    <s v="BASRTL248"/>
    <s v="Yes"/>
    <s v="Weekly"/>
    <s v="PCIe"/>
    <s v="SN3516421"/>
    <s v="R18/5"/>
    <s v="ICE18"/>
    <x v="1"/>
    <x v="3"/>
    <x v="3"/>
    <x v="1"/>
    <s v="No"/>
    <s v="No"/>
    <m/>
    <m/>
    <n v="40248"/>
    <m/>
    <m/>
    <n v="8095016234"/>
    <n v="440152218156"/>
    <m/>
    <m/>
    <m/>
    <s v="Yes"/>
    <s v="Yes"/>
    <x v="0"/>
  </r>
  <r>
    <s v="Bangalore"/>
    <s v="BASRTL249"/>
    <s v="Yes"/>
    <s v="Weekly"/>
    <s v="PCIe"/>
    <s v="SN3516372"/>
    <s v="R14/1"/>
    <s v="ICE18"/>
    <x v="1"/>
    <x v="6"/>
    <x v="1"/>
    <x v="1"/>
    <s v="No"/>
    <s v="No"/>
    <m/>
    <m/>
    <n v="40249"/>
    <m/>
    <m/>
    <n v="8095010789"/>
    <n v="440152218156"/>
    <m/>
    <m/>
    <d v="2018-04-05T00:00:00"/>
    <s v="Yes"/>
    <s v="Yes"/>
    <x v="0"/>
  </r>
  <r>
    <s v="Bangalore"/>
    <s v="BASRTL250"/>
    <s v="Yes"/>
    <s v="Weekly"/>
    <s v="PCIe"/>
    <s v="SN3516381"/>
    <s v="R18/1"/>
    <s v="ICE18"/>
    <x v="1"/>
    <x v="10"/>
    <x v="1"/>
    <x v="1"/>
    <s v="No"/>
    <s v="No"/>
    <m/>
    <m/>
    <n v="40250"/>
    <m/>
    <m/>
    <n v="7625047667"/>
    <n v="440152219637"/>
    <m/>
    <m/>
    <d v="2018-04-05T00:00:00"/>
    <s v="Yes"/>
    <s v="Yes"/>
    <x v="0"/>
  </r>
  <r>
    <s v="Bangalore"/>
    <s v="BASRTL251"/>
    <s v="Yes"/>
    <s v="Weekly"/>
    <s v="PCIe"/>
    <s v="SN3516375"/>
    <s v="R21/6"/>
    <s v="ICE18"/>
    <x v="1"/>
    <x v="3"/>
    <x v="3"/>
    <x v="1"/>
    <s v="No"/>
    <s v="No"/>
    <m/>
    <m/>
    <n v="40251"/>
    <m/>
    <m/>
    <n v="8095015234"/>
    <n v="440152219684"/>
    <m/>
    <m/>
    <d v="2018-04-05T00:00:00"/>
    <s v="Yes"/>
    <s v="Yes"/>
    <x v="0"/>
  </r>
  <r>
    <s v="Bangalore"/>
    <s v="BASRTL252"/>
    <s v="Yes"/>
    <s v="Weekly"/>
    <s v="PCIe"/>
    <s v="SN3316735"/>
    <s v="R17/5"/>
    <s v="ICE18"/>
    <x v="1"/>
    <x v="6"/>
    <x v="1"/>
    <x v="1"/>
    <s v="No"/>
    <s v="No"/>
    <m/>
    <m/>
    <n v="40252"/>
    <m/>
    <m/>
    <n v="8095012789"/>
    <n v="440152219643"/>
    <m/>
    <m/>
    <d v="2018-04-05T00:00:00"/>
    <s v="Yes"/>
    <s v="Yes"/>
    <x v="0"/>
  </r>
  <r>
    <s v="Bangalore"/>
    <s v="BASRTL253"/>
    <s v="Yes"/>
    <s v="Weekly"/>
    <s v="PCIe"/>
    <s v="SN3316771"/>
    <s v="R1/4"/>
    <s v="ICE18"/>
    <x v="1"/>
    <x v="3"/>
    <x v="3"/>
    <x v="1"/>
    <s v="No"/>
    <s v="No"/>
    <m/>
    <m/>
    <n v="40253"/>
    <m/>
    <m/>
    <n v="9916295567"/>
    <n v="440152219673"/>
    <m/>
    <m/>
    <d v="2018-04-05T00:00:00"/>
    <s v="Yes"/>
    <s v="Yes"/>
    <x v="0"/>
  </r>
  <r>
    <s v="Bangalore"/>
    <s v="BASRTL254"/>
    <s v="Yes"/>
    <s v="Weekly"/>
    <s v="PCIe"/>
    <s v="SN3316668"/>
    <s v="R18/3"/>
    <s v="ICE18"/>
    <x v="1"/>
    <x v="3"/>
    <x v="3"/>
    <x v="1"/>
    <s v="No"/>
    <s v="No"/>
    <m/>
    <m/>
    <n v="40254"/>
    <m/>
    <m/>
    <n v="8095020012"/>
    <n v="440152219694"/>
    <m/>
    <m/>
    <d v="2018-04-05T00:00:00"/>
    <s v="Yes"/>
    <s v="Yes"/>
    <x v="0"/>
  </r>
  <r>
    <s v="Bangalore"/>
    <s v="BASRTL255"/>
    <s v="Yes"/>
    <s v="Weekly"/>
    <s v="PCIe"/>
    <s v="SN3316746"/>
    <s v="R23/5"/>
    <s v="ICE18"/>
    <x v="1"/>
    <x v="3"/>
    <x v="3"/>
    <x v="1"/>
    <s v="No"/>
    <s v="No"/>
    <m/>
    <m/>
    <n v="40255"/>
    <m/>
    <m/>
    <n v="8095011345"/>
    <n v="440152219745"/>
    <m/>
    <m/>
    <d v="2018-04-05T00:00:00"/>
    <s v="Yes"/>
    <s v="Yes"/>
    <x v="0"/>
  </r>
  <r>
    <s v="Bangalore"/>
    <s v="BASRTL256"/>
    <s v="Yes"/>
    <s v="Weekly"/>
    <s v="PCIe"/>
    <s v="SN3299615"/>
    <s v="R12/5"/>
    <s v="ICE18"/>
    <x v="1"/>
    <x v="3"/>
    <x v="3"/>
    <x v="1"/>
    <s v="No"/>
    <s v="No"/>
    <m/>
    <m/>
    <n v="40256"/>
    <m/>
    <m/>
    <n v="8095015789"/>
    <n v="440152217740"/>
    <m/>
    <m/>
    <d v="2018-04-05T00:00:00"/>
    <s v="Yes"/>
    <s v="Yes"/>
    <x v="0"/>
  </r>
  <r>
    <s v="Bangalore"/>
    <s v="BASRTL257"/>
    <s v="Yes"/>
    <s v="Weekly"/>
    <s v="PCIe"/>
    <s v="SN3299416"/>
    <s v="R18/4"/>
    <s v="ICE18"/>
    <x v="1"/>
    <x v="3"/>
    <x v="3"/>
    <x v="1"/>
    <s v="No"/>
    <s v="No"/>
    <m/>
    <m/>
    <n v="40257"/>
    <m/>
    <m/>
    <n v="8095011789"/>
    <n v="440152219772"/>
    <m/>
    <m/>
    <d v="2018-04-05T00:00:00"/>
    <s v="Yes"/>
    <s v="Yes"/>
    <x v="0"/>
  </r>
  <r>
    <s v="Bangalore"/>
    <s v="BASRTL129"/>
    <s v="Yes"/>
    <s v="Weekly"/>
    <s v="PCIe"/>
    <s v="SN2510791"/>
    <s v="R25/4"/>
    <s v="ICE18"/>
    <x v="1"/>
    <x v="3"/>
    <x v="3"/>
    <x v="1"/>
    <s v="No"/>
    <s v="No"/>
    <m/>
    <m/>
    <n v="40129"/>
    <m/>
    <m/>
    <n v="7625046453"/>
    <n v="440152219682"/>
    <m/>
    <m/>
    <d v="2018-04-05T00:00:00"/>
    <s v="Yes"/>
    <s v="Yes"/>
    <x v="0"/>
  </r>
  <r>
    <s v="Bangalore"/>
    <s v="BASRTL193"/>
    <m/>
    <m/>
    <s v="PCIe"/>
    <s v="SN3220192"/>
    <s v="R3/1"/>
    <s v="IBIS"/>
    <x v="0"/>
    <x v="0"/>
    <x v="0"/>
    <x v="5"/>
    <s v="No"/>
    <s v="No"/>
    <m/>
    <m/>
    <m/>
    <m/>
    <m/>
    <n v="7338636152"/>
    <n v="354999010649999"/>
    <m/>
    <m/>
    <d v="2018-04-05T00:00:00"/>
    <s v="Yes"/>
    <s v="Yes"/>
    <x v="0"/>
  </r>
  <r>
    <s v="Bangalore"/>
    <s v="BASRTL194"/>
    <m/>
    <m/>
    <s v="PCIe"/>
    <s v="SN3220307"/>
    <s v="R3/2"/>
    <s v="IBIS"/>
    <x v="0"/>
    <x v="0"/>
    <x v="0"/>
    <x v="6"/>
    <s v="No"/>
    <s v="No"/>
    <m/>
    <m/>
    <m/>
    <m/>
    <m/>
    <n v="7338636151"/>
    <m/>
    <m/>
    <m/>
    <d v="2018-04-05T00:00:00"/>
    <s v="Yes"/>
    <s v="Yes"/>
    <x v="0"/>
  </r>
  <r>
    <s v="Bangalore"/>
    <s v="BASRTL195"/>
    <m/>
    <m/>
    <s v="PCIe"/>
    <s v="SN3220267"/>
    <s v="R3/3"/>
    <s v="IBIS"/>
    <x v="0"/>
    <x v="0"/>
    <x v="0"/>
    <x v="6"/>
    <s v="No"/>
    <s v="No"/>
    <m/>
    <m/>
    <m/>
    <m/>
    <m/>
    <n v="7022229678"/>
    <m/>
    <m/>
    <m/>
    <d v="2018-04-05T00:00:00"/>
    <s v="Yes"/>
    <s v="Yes"/>
    <x v="0"/>
  </r>
  <r>
    <s v="Bangalore"/>
    <s v="BASRTL196"/>
    <m/>
    <m/>
    <s v="PCIe"/>
    <s v="SN3220202"/>
    <s v="R3/4"/>
    <s v="IBIS"/>
    <x v="0"/>
    <x v="0"/>
    <x v="0"/>
    <x v="6"/>
    <s v="No"/>
    <s v="No"/>
    <m/>
    <m/>
    <m/>
    <m/>
    <m/>
    <n v="7899715900"/>
    <m/>
    <m/>
    <m/>
    <d v="2018-04-05T00:00:00"/>
    <s v="Yes"/>
    <s v="Yes"/>
    <x v="0"/>
  </r>
  <r>
    <s v="Bangalore"/>
    <s v="BASRTL197"/>
    <m/>
    <m/>
    <s v="PCIe"/>
    <s v="SN3220094"/>
    <s v="R3/5"/>
    <s v="IBIS"/>
    <x v="0"/>
    <x v="0"/>
    <x v="0"/>
    <x v="6"/>
    <s v="No"/>
    <s v="No"/>
    <m/>
    <m/>
    <m/>
    <m/>
    <m/>
    <n v="9901220386"/>
    <m/>
    <m/>
    <m/>
    <d v="2018-04-05T00:00:00"/>
    <s v="Yes"/>
    <s v="Yes"/>
    <x v="0"/>
  </r>
  <r>
    <s v="Bangalore"/>
    <s v="BASRTL279"/>
    <m/>
    <m/>
    <s v="PCIe"/>
    <s v="SN3633191"/>
    <s v="R3/2"/>
    <s v="IBIS"/>
    <x v="0"/>
    <x v="0"/>
    <x v="0"/>
    <x v="5"/>
    <s v="No"/>
    <s v="No"/>
    <m/>
    <m/>
    <m/>
    <m/>
    <m/>
    <n v="7349781129"/>
    <m/>
    <m/>
    <m/>
    <m/>
    <s v="Yes"/>
    <s v="Yes"/>
    <x v="0"/>
  </r>
  <r>
    <s v="Bangalore"/>
    <s v="BASRTL282"/>
    <m/>
    <m/>
    <s v="PCIe"/>
    <s v="SN3633143"/>
    <s v="R3/3"/>
    <s v="IBIS"/>
    <x v="0"/>
    <x v="0"/>
    <x v="0"/>
    <x v="5"/>
    <s v="No"/>
    <s v="No"/>
    <m/>
    <m/>
    <m/>
    <m/>
    <m/>
    <n v="7349781129"/>
    <m/>
    <m/>
    <m/>
    <m/>
    <s v="Yes"/>
    <s v="Yes"/>
    <x v="0"/>
  </r>
  <r>
    <s v="Bangalore"/>
    <s v="BASRTL124"/>
    <m/>
    <m/>
    <s v="PCIe"/>
    <s v="SN2794402"/>
    <s v="R5/3"/>
    <s v="ICE16"/>
    <x v="1"/>
    <x v="6"/>
    <x v="1"/>
    <x v="1"/>
    <s v="No"/>
    <s v="No"/>
    <m/>
    <m/>
    <m/>
    <m/>
    <m/>
    <m/>
    <m/>
    <m/>
    <m/>
    <m/>
    <s v="Yes"/>
    <s v="Yes"/>
    <x v="0"/>
  </r>
  <r>
    <s v="Bangalore"/>
    <s v="BASRTW029"/>
    <m/>
    <m/>
    <s v="USB"/>
    <s v="SGH037TY9Y"/>
    <s v="R5/4"/>
    <m/>
    <x v="2"/>
    <x v="2"/>
    <x v="2"/>
    <x v="3"/>
    <m/>
    <m/>
    <m/>
    <m/>
    <m/>
    <m/>
    <m/>
    <m/>
    <m/>
    <m/>
    <m/>
    <m/>
    <s v="No"/>
    <s v="No"/>
    <x v="1"/>
  </r>
  <r>
    <s v="Bangalore"/>
    <s v="BASRTL132"/>
    <m/>
    <m/>
    <s v="PCIe"/>
    <s v="SN2388891"/>
    <s v="R6/1"/>
    <s v="ICE16"/>
    <x v="0"/>
    <x v="2"/>
    <x v="2"/>
    <x v="1"/>
    <s v="No"/>
    <s v="No"/>
    <m/>
    <m/>
    <m/>
    <m/>
    <m/>
    <m/>
    <m/>
    <m/>
    <m/>
    <m/>
    <s v="Yes"/>
    <s v="Yes"/>
    <x v="0"/>
  </r>
  <r>
    <s v="Bangalore"/>
    <s v="BASRTL131"/>
    <m/>
    <m/>
    <s v="PCIe"/>
    <s v="SN2511041"/>
    <s v="R6/2"/>
    <s v="ICE16"/>
    <x v="0"/>
    <x v="2"/>
    <x v="2"/>
    <x v="1"/>
    <s v="No"/>
    <s v="No"/>
    <m/>
    <m/>
    <m/>
    <m/>
    <m/>
    <m/>
    <m/>
    <m/>
    <m/>
    <m/>
    <s v="Yes"/>
    <s v="Yes"/>
    <x v="0"/>
  </r>
  <r>
    <s v="Bangalore"/>
    <s v="BASRTL139"/>
    <m/>
    <m/>
    <s v="PCIe"/>
    <s v="SN2510538"/>
    <s v="R6/4"/>
    <s v="ICE16"/>
    <x v="0"/>
    <x v="2"/>
    <x v="2"/>
    <x v="1"/>
    <s v="No"/>
    <s v="No"/>
    <m/>
    <m/>
    <m/>
    <m/>
    <m/>
    <m/>
    <m/>
    <m/>
    <m/>
    <m/>
    <s v="Yes"/>
    <s v="Yes"/>
    <x v="0"/>
  </r>
  <r>
    <s v="Bangalore"/>
    <s v="BASRTL176"/>
    <m/>
    <m/>
    <s v="PCIe"/>
    <s v="SN3219607"/>
    <s v="R7/3"/>
    <s v="IBIS"/>
    <x v="0"/>
    <x v="0"/>
    <x v="0"/>
    <x v="5"/>
    <s v="No"/>
    <s v="No"/>
    <m/>
    <m/>
    <m/>
    <m/>
    <m/>
    <n v="7349781109"/>
    <m/>
    <m/>
    <m/>
    <m/>
    <s v="Yes"/>
    <s v="Yes"/>
    <x v="0"/>
  </r>
  <r>
    <s v="Bangalore"/>
    <s v="BASRTL278"/>
    <m/>
    <m/>
    <s v="PCIe"/>
    <s v="SN3633232"/>
    <m/>
    <s v="IBIS"/>
    <x v="0"/>
    <x v="2"/>
    <x v="2"/>
    <x v="5"/>
    <s v="No"/>
    <s v="No"/>
    <m/>
    <m/>
    <m/>
    <m/>
    <m/>
    <m/>
    <m/>
    <m/>
    <m/>
    <m/>
    <s v="Yes"/>
    <s v="Yes"/>
    <x v="4"/>
  </r>
  <r>
    <s v="Bangalore"/>
    <s v="BASRTW037"/>
    <m/>
    <m/>
    <s v="USB"/>
    <s v="JPA0340K4W"/>
    <s v="R8/1"/>
    <s v="ICE17"/>
    <x v="0"/>
    <x v="2"/>
    <x v="2"/>
    <x v="2"/>
    <s v="No"/>
    <s v="No"/>
    <m/>
    <m/>
    <m/>
    <m/>
    <m/>
    <m/>
    <m/>
    <m/>
    <m/>
    <d v="2018-04-06T00:00:00"/>
    <s v="No"/>
    <s v="No"/>
    <x v="1"/>
  </r>
  <r>
    <s v="Bangalore"/>
    <s v="BASRTW038"/>
    <m/>
    <m/>
    <s v="USB"/>
    <s v="SGH327T45L"/>
    <s v="R8/2"/>
    <s v="ICE17"/>
    <x v="0"/>
    <x v="2"/>
    <x v="2"/>
    <x v="2"/>
    <s v="No"/>
    <s v="No"/>
    <m/>
    <m/>
    <m/>
    <m/>
    <m/>
    <m/>
    <m/>
    <m/>
    <m/>
    <d v="2018-04-06T00:00:00"/>
    <s v="No"/>
    <s v="No"/>
    <x v="1"/>
  </r>
  <r>
    <s v="Bangalore"/>
    <s v="BASRTW039"/>
    <m/>
    <m/>
    <s v="USB"/>
    <s v="SGH151SS7N"/>
    <s v="R8/3"/>
    <s v="ICE17"/>
    <x v="0"/>
    <x v="2"/>
    <x v="2"/>
    <x v="5"/>
    <s v="No"/>
    <s v="No"/>
    <m/>
    <m/>
    <m/>
    <m/>
    <m/>
    <m/>
    <m/>
    <m/>
    <m/>
    <d v="2018-04-06T00:00:00"/>
    <s v="Yes"/>
    <s v="Yes"/>
    <x v="0"/>
  </r>
  <r>
    <s v="Bangalore"/>
    <s v="BASRTW040"/>
    <m/>
    <m/>
    <s v="USB"/>
    <s v="JPA0340K55"/>
    <s v="R8/4"/>
    <s v="ICE17"/>
    <x v="0"/>
    <x v="2"/>
    <x v="2"/>
    <x v="2"/>
    <s v="No"/>
    <s v="No"/>
    <m/>
    <m/>
    <m/>
    <m/>
    <m/>
    <m/>
    <m/>
    <m/>
    <m/>
    <d v="2018-04-06T00:00:00"/>
    <s v="No"/>
    <s v="No"/>
    <x v="1"/>
  </r>
  <r>
    <s v="Bangalore"/>
    <s v="BASRTW002"/>
    <m/>
    <m/>
    <s v="USB"/>
    <s v="JPA0340K50"/>
    <s v="R8/5"/>
    <s v="ICE17"/>
    <x v="0"/>
    <x v="2"/>
    <x v="2"/>
    <x v="5"/>
    <s v="No"/>
    <s v="No"/>
    <m/>
    <m/>
    <m/>
    <m/>
    <m/>
    <m/>
    <m/>
    <m/>
    <m/>
    <d v="2018-04-06T00:00:00"/>
    <s v="No"/>
    <s v="No"/>
    <x v="1"/>
  </r>
  <r>
    <s v="Bangalore"/>
    <s v="BASRTL280"/>
    <m/>
    <m/>
    <s v="PCIe"/>
    <s v="SN3633169"/>
    <s v="R8/6"/>
    <s v="IBIS"/>
    <x v="0"/>
    <x v="0"/>
    <x v="0"/>
    <x v="6"/>
    <s v="No"/>
    <s v="No"/>
    <m/>
    <m/>
    <m/>
    <m/>
    <m/>
    <n v="7899715582"/>
    <m/>
    <m/>
    <m/>
    <m/>
    <s v="Yes"/>
    <s v="Yes"/>
    <x v="0"/>
  </r>
  <r>
    <s v="Bangalore"/>
    <s v="BASRTL289"/>
    <s v="Yes"/>
    <s v="Weekly"/>
    <s v="PCIe"/>
    <s v="SN3219688"/>
    <s v="R9/1"/>
    <s v="ICE18"/>
    <x v="2"/>
    <x v="8"/>
    <x v="4"/>
    <x v="1"/>
    <s v="No"/>
    <s v="No"/>
    <m/>
    <m/>
    <n v="40201"/>
    <m/>
    <m/>
    <n v="9513388211"/>
    <m/>
    <m/>
    <m/>
    <d v="2018-04-05T00:00:00"/>
    <s v="Yes"/>
    <s v="Yes"/>
    <x v="0"/>
  </r>
  <r>
    <s v="Bangalore"/>
    <s v="BASRTL127"/>
    <s v="Yes"/>
    <s v="CR"/>
    <s v="PCIe"/>
    <s v="SN2794340"/>
    <s v="R9/2"/>
    <s v="ICE18"/>
    <x v="0"/>
    <x v="0"/>
    <x v="0"/>
    <x v="1"/>
    <s v="No"/>
    <s v="No"/>
    <s v="4x"/>
    <m/>
    <n v="40202"/>
    <m/>
    <m/>
    <n v="9606480566"/>
    <n v="440152238386"/>
    <m/>
    <m/>
    <d v="2018-04-05T00:00:00"/>
    <s v="Yes"/>
    <s v="Yes"/>
    <x v="0"/>
  </r>
  <r>
    <s v="Bangalore"/>
    <s v="BASRTL137"/>
    <m/>
    <m/>
    <s v="PCIe"/>
    <s v="SN2510541"/>
    <s v="R11/2"/>
    <s v="ICE17"/>
    <x v="0"/>
    <x v="0"/>
    <x v="0"/>
    <x v="2"/>
    <s v="No"/>
    <s v="No"/>
    <m/>
    <m/>
    <m/>
    <m/>
    <m/>
    <n v="7625036337"/>
    <m/>
    <m/>
    <m/>
    <m/>
    <s v="No"/>
    <s v="No"/>
    <x v="1"/>
  </r>
  <r>
    <s v="Bangalore"/>
    <s v="BASRTW056"/>
    <m/>
    <m/>
    <s v="USB"/>
    <s v="SGH305RTRK"/>
    <s v="R12/1"/>
    <s v="M.2_7360"/>
    <x v="0"/>
    <x v="0"/>
    <x v="0"/>
    <x v="3"/>
    <s v="No"/>
    <s v="No"/>
    <m/>
    <m/>
    <m/>
    <m/>
    <m/>
    <m/>
    <m/>
    <m/>
    <m/>
    <m/>
    <s v="Yes"/>
    <s v="Yes"/>
    <x v="0"/>
  </r>
  <r>
    <s v="Bangalore"/>
    <s v="BASRTW058"/>
    <m/>
    <m/>
    <s v="USB"/>
    <s v="SGH327T45D"/>
    <s v="R12/3"/>
    <s v="M.2_7360"/>
    <x v="0"/>
    <x v="0"/>
    <x v="0"/>
    <x v="3"/>
    <s v="No"/>
    <s v="No"/>
    <m/>
    <m/>
    <m/>
    <m/>
    <m/>
    <m/>
    <m/>
    <m/>
    <m/>
    <m/>
    <s v="Yes"/>
    <s v="Yes"/>
    <x v="0"/>
  </r>
  <r>
    <s v="Bangalore"/>
    <s v="BASRTW059"/>
    <m/>
    <m/>
    <s v="USB"/>
    <s v="SGH151SS8Q"/>
    <s v="R12/4"/>
    <s v="M.2_7360"/>
    <x v="0"/>
    <x v="0"/>
    <x v="0"/>
    <x v="3"/>
    <s v="No"/>
    <s v="No"/>
    <m/>
    <m/>
    <m/>
    <m/>
    <m/>
    <m/>
    <m/>
    <m/>
    <m/>
    <m/>
    <s v="Yes"/>
    <s v="Yes"/>
    <x v="0"/>
  </r>
  <r>
    <s v="Bangalore"/>
    <s v="BASRTW051"/>
    <m/>
    <m/>
    <s v="USB"/>
    <s v="SGH327T45M"/>
    <s v="R12/2"/>
    <s v="M.2_7360"/>
    <x v="0"/>
    <x v="2"/>
    <x v="2"/>
    <x v="3"/>
    <s v="No"/>
    <s v="No"/>
    <m/>
    <m/>
    <m/>
    <m/>
    <m/>
    <m/>
    <m/>
    <m/>
    <m/>
    <m/>
    <s v="Yes"/>
    <s v="Yes"/>
    <x v="0"/>
  </r>
  <r>
    <s v="Bangalore"/>
    <s v="BASRTW061"/>
    <m/>
    <m/>
    <s v="USB"/>
    <s v="SGH327T45H"/>
    <s v="R12/6"/>
    <s v="ICE16"/>
    <x v="0"/>
    <x v="2"/>
    <x v="2"/>
    <x v="3"/>
    <s v="No"/>
    <s v="No"/>
    <m/>
    <m/>
    <m/>
    <m/>
    <m/>
    <m/>
    <m/>
    <m/>
    <m/>
    <m/>
    <s v="Yes"/>
    <s v="Yes"/>
    <x v="0"/>
  </r>
  <r>
    <s v="Bangalore"/>
    <s v="BASRTL233"/>
    <s v="No"/>
    <m/>
    <s v="PCIe"/>
    <m/>
    <s v="R12/5"/>
    <s v="ICE18"/>
    <x v="1"/>
    <x v="11"/>
    <x v="2"/>
    <x v="2"/>
    <s v="No"/>
    <s v="No"/>
    <m/>
    <m/>
    <n v="40256"/>
    <m/>
    <m/>
    <n v="8095015789"/>
    <n v="440152217740"/>
    <m/>
    <m/>
    <d v="2018-04-05T00:00:00"/>
    <s v="Yes"/>
    <s v="Yes"/>
    <x v="0"/>
  </r>
  <r>
    <s v="Bangalore"/>
    <s v="BASRTL213"/>
    <m/>
    <m/>
    <s v="PCIe"/>
    <s v="SN3299533"/>
    <s v="R13/1"/>
    <s v="IBIS"/>
    <x v="0"/>
    <x v="2"/>
    <x v="2"/>
    <x v="5"/>
    <s v="No"/>
    <s v="No"/>
    <m/>
    <m/>
    <m/>
    <m/>
    <m/>
    <m/>
    <m/>
    <m/>
    <m/>
    <m/>
    <s v="Yes"/>
    <s v="Yes"/>
    <x v="0"/>
  </r>
  <r>
    <s v="Bangalore"/>
    <s v="BASRTL214"/>
    <m/>
    <m/>
    <s v="PCIe"/>
    <s v="SN3299764"/>
    <s v="R13/2"/>
    <s v="IBIS"/>
    <x v="0"/>
    <x v="0"/>
    <x v="0"/>
    <x v="5"/>
    <s v="No"/>
    <s v="No"/>
    <m/>
    <m/>
    <m/>
    <m/>
    <m/>
    <n v="7349781102"/>
    <m/>
    <m/>
    <m/>
    <m/>
    <s v="Yes"/>
    <s v="Yes"/>
    <x v="0"/>
  </r>
  <r>
    <s v="Bangalore"/>
    <s v="BASRTL215"/>
    <m/>
    <m/>
    <s v="PCIe"/>
    <s v="SN3299670"/>
    <s v="R13/3"/>
    <s v="IBIS"/>
    <x v="0"/>
    <x v="0"/>
    <x v="0"/>
    <x v="5"/>
    <s v="No"/>
    <s v="No"/>
    <m/>
    <m/>
    <m/>
    <m/>
    <m/>
    <n v="7349781129"/>
    <m/>
    <m/>
    <m/>
    <m/>
    <s v="Yes"/>
    <s v="Yes"/>
    <x v="0"/>
  </r>
  <r>
    <s v="Bangalore"/>
    <s v="BASRTL216"/>
    <m/>
    <m/>
    <s v="PCIe"/>
    <s v="SN3299698"/>
    <s v="R13/4"/>
    <s v="IBIS"/>
    <x v="0"/>
    <x v="0"/>
    <x v="0"/>
    <x v="5"/>
    <s v="No"/>
    <s v="No"/>
    <m/>
    <m/>
    <m/>
    <m/>
    <m/>
    <n v="7349781070"/>
    <m/>
    <m/>
    <m/>
    <m/>
    <s v="Yes"/>
    <s v="Yes"/>
    <x v="0"/>
  </r>
  <r>
    <s v="Bangalore"/>
    <s v="BASRTL217"/>
    <m/>
    <m/>
    <s v="PCIe"/>
    <s v="SN3299731"/>
    <s v="R13/5"/>
    <s v="IBIS"/>
    <x v="0"/>
    <x v="0"/>
    <x v="0"/>
    <x v="5"/>
    <s v="No"/>
    <s v="No"/>
    <m/>
    <m/>
    <m/>
    <m/>
    <m/>
    <n v="7349781070"/>
    <m/>
    <m/>
    <m/>
    <m/>
    <s v="Yes"/>
    <s v="Yes"/>
    <x v="0"/>
  </r>
  <r>
    <s v="Bangalore"/>
    <s v="BASRTL269"/>
    <s v="Yes"/>
    <s v="Weekly"/>
    <s v="PCIe"/>
    <s v="SN3516399"/>
    <s v="R14/2"/>
    <s v="ICE18"/>
    <x v="1"/>
    <x v="7"/>
    <x v="7"/>
    <x v="1"/>
    <s v="No"/>
    <s v="No"/>
    <m/>
    <m/>
    <n v="40269"/>
    <m/>
    <m/>
    <m/>
    <m/>
    <m/>
    <m/>
    <d v="2018-04-05T00:00:00"/>
    <s v="Yes"/>
    <s v="Yes"/>
    <x v="0"/>
  </r>
  <r>
    <s v="Bangalore"/>
    <s v="BASRTL239"/>
    <m/>
    <m/>
    <s v="PCIe"/>
    <s v="SN3299595"/>
    <s v="R14/4"/>
    <s v="IBIS"/>
    <x v="0"/>
    <x v="0"/>
    <x v="0"/>
    <x v="5"/>
    <s v="No"/>
    <s v="No"/>
    <m/>
    <m/>
    <m/>
    <m/>
    <m/>
    <n v="7625047638"/>
    <m/>
    <m/>
    <m/>
    <m/>
    <s v="Yes"/>
    <s v="Yes"/>
    <x v="0"/>
  </r>
  <r>
    <s v="Bangalore"/>
    <s v="BASRTL238"/>
    <m/>
    <m/>
    <s v="PCIe"/>
    <s v="SN3299555"/>
    <s v="R14/5"/>
    <s v="IBIS"/>
    <x v="0"/>
    <x v="0"/>
    <x v="0"/>
    <x v="5"/>
    <s v="No"/>
    <s v="No"/>
    <m/>
    <m/>
    <m/>
    <m/>
    <m/>
    <n v="7625047652"/>
    <m/>
    <m/>
    <m/>
    <m/>
    <s v="Yes"/>
    <s v="Yes"/>
    <x v="0"/>
  </r>
  <r>
    <s v="Bangalore"/>
    <s v="BASRTW073"/>
    <m/>
    <m/>
    <s v="USB"/>
    <s v="SGH327T461"/>
    <s v="R14/6"/>
    <s v="ICE17"/>
    <x v="0"/>
    <x v="2"/>
    <x v="2"/>
    <x v="5"/>
    <s v="No"/>
    <s v="No"/>
    <m/>
    <m/>
    <m/>
    <m/>
    <m/>
    <m/>
    <m/>
    <m/>
    <m/>
    <d v="2018-04-06T00:00:00"/>
    <s v="No"/>
    <s v="No"/>
    <x v="1"/>
  </r>
  <r>
    <s v="Bangalore"/>
    <s v="BASRTW070"/>
    <m/>
    <m/>
    <s v="USB"/>
    <s v="SGH037TY9W"/>
    <s v="R14/3"/>
    <s v="ICE17"/>
    <x v="0"/>
    <x v="2"/>
    <x v="2"/>
    <x v="2"/>
    <s v="No"/>
    <s v="No"/>
    <m/>
    <m/>
    <m/>
    <m/>
    <m/>
    <m/>
    <m/>
    <m/>
    <m/>
    <d v="2018-04-06T00:00:00"/>
    <s v="No"/>
    <s v="No"/>
    <x v="1"/>
  </r>
  <r>
    <s v="Bangalore"/>
    <s v="BASRTL281"/>
    <m/>
    <m/>
    <s v="PCIe"/>
    <s v="SN3633153"/>
    <s v="R14/4"/>
    <s v="IBIS"/>
    <x v="0"/>
    <x v="0"/>
    <x v="0"/>
    <x v="6"/>
    <s v="No"/>
    <s v="No"/>
    <m/>
    <m/>
    <m/>
    <m/>
    <m/>
    <n v="9108443042"/>
    <m/>
    <m/>
    <m/>
    <m/>
    <s v="Yes"/>
    <s v="Yes"/>
    <x v="0"/>
  </r>
  <r>
    <s v="Bangalore"/>
    <s v="BASRTW074"/>
    <m/>
    <m/>
    <s v="USB"/>
    <s v="SGH037TY9R"/>
    <s v="R15/1"/>
    <s v="ICE17"/>
    <x v="0"/>
    <x v="0"/>
    <x v="0"/>
    <x v="5"/>
    <s v="No"/>
    <s v="No"/>
    <m/>
    <m/>
    <m/>
    <m/>
    <m/>
    <m/>
    <m/>
    <m/>
    <m/>
    <d v="2018-04-06T00:00:00"/>
    <s v="No"/>
    <s v="No"/>
    <x v="1"/>
  </r>
  <r>
    <s v="Bangalore"/>
    <s v="BASRTW075"/>
    <m/>
    <m/>
    <s v="USB"/>
    <s v="SGH327T45V"/>
    <s v="R15/2"/>
    <s v="ICE17"/>
    <x v="0"/>
    <x v="0"/>
    <x v="0"/>
    <x v="2"/>
    <s v="No"/>
    <s v="No"/>
    <m/>
    <m/>
    <m/>
    <m/>
    <m/>
    <m/>
    <m/>
    <m/>
    <m/>
    <d v="2018-04-06T00:00:00"/>
    <s v="No"/>
    <s v="No"/>
    <x v="1"/>
  </r>
  <r>
    <s v="Bangalore"/>
    <s v="BASRTW076"/>
    <m/>
    <m/>
    <s v="USB"/>
    <s v="SGH151SS8L"/>
    <s v="R15/3"/>
    <s v="ICE17"/>
    <x v="0"/>
    <x v="0"/>
    <x v="0"/>
    <x v="3"/>
    <s v="No"/>
    <s v="No"/>
    <m/>
    <m/>
    <m/>
    <m/>
    <m/>
    <m/>
    <m/>
    <m/>
    <m/>
    <d v="2018-04-06T00:00:00"/>
    <s v="No"/>
    <s v="No"/>
    <x v="1"/>
  </r>
  <r>
    <s v="Bangalore"/>
    <s v="BASRTW077"/>
    <m/>
    <m/>
    <s v="USB"/>
    <s v="SGH327T45K"/>
    <s v="R15/4"/>
    <s v="ICE17"/>
    <x v="0"/>
    <x v="0"/>
    <x v="0"/>
    <x v="5"/>
    <s v="No"/>
    <s v="No"/>
    <m/>
    <m/>
    <m/>
    <m/>
    <m/>
    <m/>
    <m/>
    <m/>
    <m/>
    <d v="2018-04-06T00:00:00"/>
    <s v="No"/>
    <s v="No"/>
    <x v="1"/>
  </r>
  <r>
    <s v="Bangalore"/>
    <s v="BASRTW078"/>
    <m/>
    <m/>
    <s v="USB"/>
    <s v="SGH037TVTH"/>
    <s v="R15/5"/>
    <s v="ICE17"/>
    <x v="0"/>
    <x v="0"/>
    <x v="0"/>
    <x v="5"/>
    <s v="No"/>
    <s v="No"/>
    <m/>
    <m/>
    <m/>
    <m/>
    <m/>
    <m/>
    <m/>
    <m/>
    <m/>
    <d v="2018-04-06T00:00:00"/>
    <s v="No"/>
    <s v="No"/>
    <x v="1"/>
  </r>
  <r>
    <s v="Bangalore"/>
    <s v="BASRTW079"/>
    <m/>
    <m/>
    <s v="USB"/>
    <s v="SGH151SS84"/>
    <s v="R15/6"/>
    <s v="ICE17"/>
    <x v="0"/>
    <x v="0"/>
    <x v="0"/>
    <x v="5"/>
    <s v="No"/>
    <s v="No"/>
    <m/>
    <m/>
    <m/>
    <m/>
    <m/>
    <m/>
    <m/>
    <m/>
    <m/>
    <d v="2018-04-06T00:00:00"/>
    <s v="No"/>
    <s v="No"/>
    <x v="1"/>
  </r>
  <r>
    <s v="Bangalore"/>
    <s v="BASRTL241"/>
    <m/>
    <m/>
    <s v="PCIe"/>
    <s v="SN3299455"/>
    <s v="R16/1"/>
    <s v="IBIS"/>
    <x v="0"/>
    <x v="2"/>
    <x v="2"/>
    <x v="6"/>
    <s v="No"/>
    <s v="No"/>
    <m/>
    <m/>
    <m/>
    <m/>
    <m/>
    <m/>
    <m/>
    <m/>
    <m/>
    <m/>
    <s v="Yes"/>
    <s v="Yes"/>
    <x v="0"/>
  </r>
  <r>
    <s v="Bangalore"/>
    <s v="BASRTL118"/>
    <m/>
    <m/>
    <s v="PCIe"/>
    <s v="SN2794401"/>
    <s v="R16/6"/>
    <s v="ICE17"/>
    <x v="0"/>
    <x v="2"/>
    <x v="2"/>
    <x v="5"/>
    <s v="No"/>
    <s v="No"/>
    <m/>
    <m/>
    <m/>
    <m/>
    <m/>
    <m/>
    <m/>
    <m/>
    <m/>
    <m/>
    <s v="No"/>
    <s v="No"/>
    <x v="1"/>
  </r>
  <r>
    <s v="Bangalore"/>
    <s v="BASRTL126"/>
    <m/>
    <m/>
    <s v="PCIe"/>
    <s v="SN2794377"/>
    <s v="R16/3"/>
    <s v="ICE17"/>
    <x v="0"/>
    <x v="0"/>
    <x v="0"/>
    <x v="5"/>
    <s v="No"/>
    <s v="No"/>
    <m/>
    <m/>
    <m/>
    <m/>
    <m/>
    <n v="7349781105"/>
    <m/>
    <m/>
    <m/>
    <m/>
    <s v="Yes"/>
    <s v="Yes"/>
    <x v="0"/>
  </r>
  <r>
    <s v="Bangalore"/>
    <s v="BASRTL133"/>
    <m/>
    <m/>
    <s v="PCIe"/>
    <s v="SN2388891"/>
    <s v="R16/4"/>
    <s v="ICE17"/>
    <x v="0"/>
    <x v="2"/>
    <x v="2"/>
    <x v="5"/>
    <s v="No"/>
    <s v="No"/>
    <m/>
    <m/>
    <m/>
    <m/>
    <m/>
    <m/>
    <m/>
    <m/>
    <m/>
    <m/>
    <s v="No"/>
    <s v="No"/>
    <x v="1"/>
  </r>
  <r>
    <s v="Bangalore"/>
    <s v="BASRTL208"/>
    <m/>
    <m/>
    <s v="PCIe"/>
    <s v="SN3219620"/>
    <s v="R16/5"/>
    <s v="IBIS"/>
    <x v="0"/>
    <x v="0"/>
    <x v="0"/>
    <x v="5"/>
    <s v="No"/>
    <s v="No"/>
    <m/>
    <m/>
    <m/>
    <m/>
    <m/>
    <n v="7349781132"/>
    <m/>
    <m/>
    <m/>
    <m/>
    <s v="Yes"/>
    <s v="Yes"/>
    <x v="0"/>
  </r>
  <r>
    <s v="Bangalore"/>
    <s v="BASRTW081"/>
    <m/>
    <m/>
    <s v="USB"/>
    <s v="SGH151SS7H"/>
    <s v="R17/1"/>
    <s v="ICE17"/>
    <x v="0"/>
    <x v="2"/>
    <x v="2"/>
    <x v="5"/>
    <s v="No"/>
    <s v="No"/>
    <m/>
    <m/>
    <m/>
    <m/>
    <m/>
    <m/>
    <m/>
    <m/>
    <m/>
    <d v="2018-04-06T00:00:00"/>
    <s v="No"/>
    <s v="No"/>
    <x v="1"/>
  </r>
  <r>
    <s v="Bangalore"/>
    <s v="BASRTW099"/>
    <m/>
    <m/>
    <s v="USB"/>
    <s v="SGH327T455"/>
    <s v="R17/2"/>
    <s v="ICE17"/>
    <x v="0"/>
    <x v="2"/>
    <x v="2"/>
    <x v="5"/>
    <s v="No"/>
    <s v="No"/>
    <m/>
    <m/>
    <m/>
    <m/>
    <m/>
    <m/>
    <m/>
    <m/>
    <m/>
    <d v="2018-04-06T00:00:00"/>
    <s v="Yes"/>
    <s v="Yes"/>
    <x v="0"/>
  </r>
  <r>
    <s v="Bangalore"/>
    <s v="BASRTL121"/>
    <m/>
    <m/>
    <s v="PCIe"/>
    <s v="SN2794368"/>
    <s v="R17/3"/>
    <s v="ICE17"/>
    <x v="0"/>
    <x v="2"/>
    <x v="2"/>
    <x v="5"/>
    <s v="No"/>
    <s v="No"/>
    <m/>
    <m/>
    <m/>
    <m/>
    <m/>
    <m/>
    <m/>
    <m/>
    <m/>
    <m/>
    <s v="Yes"/>
    <s v="Yes"/>
    <x v="0"/>
  </r>
  <r>
    <s v="Bangalore"/>
    <s v="BASRTL232"/>
    <s v="No"/>
    <m/>
    <s v="PCIe"/>
    <s v="SN3316735"/>
    <s v="R17/5"/>
    <s v="ICE18"/>
    <x v="1"/>
    <x v="7"/>
    <x v="7"/>
    <x v="2"/>
    <s v="No"/>
    <s v="No"/>
    <m/>
    <m/>
    <n v="40252"/>
    <m/>
    <m/>
    <n v="8095012789"/>
    <m/>
    <m/>
    <m/>
    <d v="2018-04-05T00:00:00"/>
    <s v="Yes"/>
    <s v="Yes"/>
    <x v="0"/>
  </r>
  <r>
    <s v="Bangalore"/>
    <s v="BASRTL123"/>
    <m/>
    <m/>
    <s v="PCIe"/>
    <s v="SN2250543"/>
    <s v="R17/6"/>
    <s v="ICE17"/>
    <x v="0"/>
    <x v="0"/>
    <x v="0"/>
    <x v="5"/>
    <s v="No"/>
    <s v="No"/>
    <m/>
    <m/>
    <m/>
    <m/>
    <m/>
    <n v="9108443047"/>
    <m/>
    <m/>
    <m/>
    <m/>
    <s v="Yes"/>
    <s v="Yes"/>
    <x v="0"/>
  </r>
  <r>
    <s v="Bangalore"/>
    <s v="BASRTW094"/>
    <m/>
    <m/>
    <s v="USB"/>
    <s v="SGH219R5BD"/>
    <s v="R18/2"/>
    <s v="ICE17"/>
    <x v="0"/>
    <x v="0"/>
    <x v="0"/>
    <x v="3"/>
    <s v="No"/>
    <s v="No"/>
    <m/>
    <m/>
    <m/>
    <m/>
    <m/>
    <m/>
    <m/>
    <m/>
    <m/>
    <d v="2018-04-06T00:00:00"/>
    <s v="No"/>
    <s v="No"/>
    <x v="1"/>
  </r>
  <r>
    <s v="Bangalore"/>
    <s v="BASRTW095"/>
    <m/>
    <m/>
    <s v="USB"/>
    <s v="SGH151SS7R"/>
    <s v="R18/6"/>
    <s v="ICE17"/>
    <x v="0"/>
    <x v="0"/>
    <x v="0"/>
    <x v="3"/>
    <s v="No"/>
    <s v="No"/>
    <m/>
    <m/>
    <m/>
    <m/>
    <m/>
    <m/>
    <m/>
    <m/>
    <m/>
    <d v="2018-04-06T00:00:00"/>
    <s v="No"/>
    <s v="No"/>
    <x v="1"/>
  </r>
  <r>
    <s v="Bangalore"/>
    <s v="BASRTW093"/>
    <m/>
    <m/>
    <s v="USB"/>
    <s v="SGH042SY68"/>
    <s v="R21/1"/>
    <m/>
    <x v="0"/>
    <x v="2"/>
    <x v="2"/>
    <x v="3"/>
    <s v="No"/>
    <s v="No"/>
    <m/>
    <m/>
    <m/>
    <m/>
    <m/>
    <m/>
    <m/>
    <m/>
    <m/>
    <m/>
    <s v="No"/>
    <s v="No"/>
    <x v="1"/>
  </r>
  <r>
    <s v="Bangalore"/>
    <s v="BASRTW062"/>
    <m/>
    <m/>
    <s v="USB"/>
    <s v="SGH327T45B"/>
    <s v="R21/2"/>
    <s v="ICE17"/>
    <x v="0"/>
    <x v="0"/>
    <x v="0"/>
    <x v="5"/>
    <s v="No"/>
    <s v="No"/>
    <m/>
    <m/>
    <m/>
    <m/>
    <m/>
    <m/>
    <m/>
    <m/>
    <m/>
    <d v="2018-04-06T00:00:00"/>
    <s v="No"/>
    <s v="No"/>
    <x v="1"/>
  </r>
  <r>
    <s v="Bangalore"/>
    <s v="BASRTL164"/>
    <m/>
    <m/>
    <s v="PCIe"/>
    <s v="SN3219989"/>
    <s v="R26/5"/>
    <m/>
    <x v="2"/>
    <x v="0"/>
    <x v="2"/>
    <x v="5"/>
    <s v="No"/>
    <s v="No"/>
    <m/>
    <m/>
    <m/>
    <m/>
    <m/>
    <n v="7349781093"/>
    <m/>
    <m/>
    <m/>
    <m/>
    <s v="Yes"/>
    <s v="Yes"/>
    <x v="0"/>
  </r>
  <r>
    <s v="Bangalore"/>
    <s v="BASRTL161"/>
    <m/>
    <m/>
    <s v="PCIe"/>
    <s v="SN3219927"/>
    <s v="R26/6"/>
    <m/>
    <x v="2"/>
    <x v="0"/>
    <x v="2"/>
    <x v="7"/>
    <s v="No"/>
    <s v="No"/>
    <m/>
    <m/>
    <m/>
    <m/>
    <m/>
    <n v="7899715582"/>
    <m/>
    <m/>
    <m/>
    <m/>
    <s v="Yes"/>
    <s v="Yes"/>
    <x v="1"/>
  </r>
  <r>
    <s v="Bangalore"/>
    <s v="BASRTL247"/>
    <m/>
    <m/>
    <s v="PCIe"/>
    <s v="SN3299379"/>
    <s v="R23/04"/>
    <s v="IBIS"/>
    <x v="0"/>
    <x v="2"/>
    <x v="2"/>
    <x v="5"/>
    <s v="No"/>
    <s v="No"/>
    <m/>
    <m/>
    <m/>
    <m/>
    <m/>
    <m/>
    <m/>
    <m/>
    <m/>
    <m/>
    <s v="Yes"/>
    <s v="Yes"/>
    <x v="0"/>
  </r>
  <r>
    <s v="Bangalore"/>
    <s v="BASRTW104"/>
    <m/>
    <m/>
    <s v="USB"/>
    <s v="SGH327T45Z"/>
    <s v="R23/1"/>
    <s v="ICE17"/>
    <x v="0"/>
    <x v="0"/>
    <x v="0"/>
    <x v="2"/>
    <s v="No"/>
    <s v="No"/>
    <m/>
    <m/>
    <m/>
    <m/>
    <m/>
    <m/>
    <m/>
    <m/>
    <m/>
    <d v="2018-04-06T00:00:00"/>
    <s v="No"/>
    <s v="No"/>
    <x v="1"/>
  </r>
  <r>
    <s v="Bangalore"/>
    <s v="BASRTW105"/>
    <m/>
    <m/>
    <s v="USB"/>
    <s v="JPA0340K4Y"/>
    <s v="R23/2"/>
    <s v="ICE17"/>
    <x v="0"/>
    <x v="0"/>
    <x v="0"/>
    <x v="5"/>
    <s v="No"/>
    <s v="No"/>
    <m/>
    <m/>
    <m/>
    <m/>
    <m/>
    <m/>
    <m/>
    <m/>
    <m/>
    <d v="2018-04-06T00:00:00"/>
    <s v="No"/>
    <s v="No"/>
    <x v="1"/>
  </r>
  <r>
    <s v="Bangalore"/>
    <s v="BASRTW097"/>
    <m/>
    <m/>
    <s v="USB"/>
    <s v="SGH305RTRM"/>
    <s v="R22/1"/>
    <s v="ICE17"/>
    <x v="0"/>
    <x v="0"/>
    <x v="0"/>
    <x v="2"/>
    <s v="No"/>
    <s v="No"/>
    <m/>
    <m/>
    <m/>
    <m/>
    <m/>
    <m/>
    <m/>
    <m/>
    <m/>
    <d v="2018-04-06T00:00:00"/>
    <s v="No"/>
    <s v="No"/>
    <x v="1"/>
  </r>
  <r>
    <s v="Bangalore"/>
    <s v="BASRTW098"/>
    <m/>
    <m/>
    <s v="USB"/>
    <s v="SGH305RTRV"/>
    <s v="R22/2"/>
    <s v="ICE17"/>
    <x v="0"/>
    <x v="0"/>
    <x v="0"/>
    <x v="2"/>
    <s v="No"/>
    <s v="No"/>
    <m/>
    <m/>
    <m/>
    <m/>
    <m/>
    <m/>
    <m/>
    <m/>
    <m/>
    <d v="2018-04-06T00:00:00"/>
    <s v="No"/>
    <s v="No"/>
    <x v="1"/>
  </r>
  <r>
    <s v="Bangalore"/>
    <s v="BASRTW092"/>
    <m/>
    <m/>
    <s v="USB"/>
    <s v="JPA0340K54"/>
    <s v="R22/3"/>
    <s v="ICE17"/>
    <x v="0"/>
    <x v="0"/>
    <x v="0"/>
    <x v="2"/>
    <s v="No"/>
    <s v="No"/>
    <m/>
    <m/>
    <m/>
    <m/>
    <m/>
    <m/>
    <m/>
    <m/>
    <m/>
    <d v="2018-04-06T00:00:00"/>
    <s v="No"/>
    <s v="No"/>
    <x v="1"/>
  </r>
  <r>
    <s v="Bangalore"/>
    <s v="BASRTW100"/>
    <m/>
    <m/>
    <s v="USB"/>
    <s v="SGH327T459"/>
    <s v="R22/4"/>
    <s v="ICE17"/>
    <x v="0"/>
    <x v="0"/>
    <x v="0"/>
    <x v="2"/>
    <s v="No"/>
    <s v="No"/>
    <m/>
    <m/>
    <m/>
    <m/>
    <m/>
    <m/>
    <m/>
    <m/>
    <m/>
    <d v="2018-04-06T00:00:00"/>
    <s v="No"/>
    <s v="No"/>
    <x v="1"/>
  </r>
  <r>
    <s v="Bangalore"/>
    <s v="BASRTW101"/>
    <m/>
    <m/>
    <s v="USB"/>
    <s v="JPA0340K53"/>
    <s v="R22/5"/>
    <s v="ICE17"/>
    <x v="0"/>
    <x v="0"/>
    <x v="0"/>
    <x v="2"/>
    <s v="No"/>
    <s v="No"/>
    <m/>
    <m/>
    <m/>
    <m/>
    <m/>
    <m/>
    <m/>
    <m/>
    <m/>
    <d v="2018-04-06T00:00:00"/>
    <s v="No"/>
    <s v="No"/>
    <x v="1"/>
  </r>
  <r>
    <s v="Bangalore"/>
    <s v="BASRTW102"/>
    <m/>
    <m/>
    <s v="USB"/>
    <s v="ITP305BPD24"/>
    <s v="R22/6"/>
    <s v="ICE17"/>
    <x v="0"/>
    <x v="0"/>
    <x v="0"/>
    <x v="2"/>
    <s v="No"/>
    <s v="No"/>
    <m/>
    <m/>
    <m/>
    <m/>
    <m/>
    <m/>
    <m/>
    <m/>
    <m/>
    <d v="2018-04-06T00:00:00"/>
    <s v="No"/>
    <s v="No"/>
    <x v="1"/>
  </r>
  <r>
    <s v="Bangalore"/>
    <s v="BASRTW103"/>
    <m/>
    <m/>
    <s v="USB"/>
    <s v="SGH305RTRG"/>
    <s v="R22/7"/>
    <s v="ICE17"/>
    <x v="0"/>
    <x v="0"/>
    <x v="0"/>
    <x v="2"/>
    <s v="No"/>
    <s v="No"/>
    <m/>
    <m/>
    <m/>
    <m/>
    <m/>
    <m/>
    <m/>
    <m/>
    <m/>
    <d v="2018-04-06T00:00:00"/>
    <s v="No"/>
    <s v="No"/>
    <x v="1"/>
  </r>
  <r>
    <s v="Bangalore"/>
    <s v="BASRTL283"/>
    <m/>
    <m/>
    <s v="PCIe"/>
    <s v="SN3633150"/>
    <s v="R13"/>
    <s v="IBIS"/>
    <x v="0"/>
    <x v="0"/>
    <x v="0"/>
    <x v="6"/>
    <s v="No"/>
    <s v="No"/>
    <m/>
    <m/>
    <m/>
    <m/>
    <m/>
    <m/>
    <m/>
    <m/>
    <m/>
    <d v="2018-03-20T00:00:00"/>
    <s v="Yes"/>
    <s v="Yes"/>
    <x v="0"/>
  </r>
  <r>
    <s v="Bangalore"/>
    <s v="BASRTL284"/>
    <m/>
    <m/>
    <s v="PCIe"/>
    <s v="SN3633147"/>
    <s v="R7 "/>
    <s v="IBIS"/>
    <x v="0"/>
    <x v="0"/>
    <x v="0"/>
    <x v="6"/>
    <s v="No"/>
    <s v="No"/>
    <m/>
    <m/>
    <m/>
    <m/>
    <m/>
    <m/>
    <m/>
    <m/>
    <m/>
    <d v="2018-03-20T00:00:00"/>
    <s v="Yes"/>
    <s v="Yes"/>
    <x v="0"/>
  </r>
  <r>
    <s v="Bangalore"/>
    <s v="BASRTL285"/>
    <m/>
    <m/>
    <s v="PCIe"/>
    <s v="SN3633188"/>
    <s v="R13"/>
    <s v="IBIS"/>
    <x v="0"/>
    <x v="0"/>
    <x v="0"/>
    <x v="6"/>
    <s v="No"/>
    <s v="No"/>
    <m/>
    <m/>
    <m/>
    <m/>
    <m/>
    <m/>
    <m/>
    <m/>
    <m/>
    <d v="2018-03-20T00:00:00"/>
    <s v="Yes"/>
    <s v="Yes"/>
    <x v="0"/>
  </r>
  <r>
    <s v="Bangalore"/>
    <s v="BASRTL286"/>
    <m/>
    <m/>
    <s v="PCIe"/>
    <s v="SN3633146"/>
    <s v="R13"/>
    <s v="IBIS"/>
    <x v="0"/>
    <x v="0"/>
    <x v="0"/>
    <x v="6"/>
    <s v="No"/>
    <s v="No"/>
    <m/>
    <m/>
    <m/>
    <m/>
    <m/>
    <m/>
    <m/>
    <m/>
    <m/>
    <d v="2018-03-20T00:00:00"/>
    <s v="Yes"/>
    <s v="Yes"/>
    <x v="0"/>
  </r>
  <r>
    <s v="Bangalore"/>
    <s v="BASRTL287"/>
    <m/>
    <m/>
    <s v="PCIe"/>
    <s v="SN3633190"/>
    <s v="R3 "/>
    <s v="IBIS"/>
    <x v="0"/>
    <x v="0"/>
    <x v="0"/>
    <x v="6"/>
    <s v="No"/>
    <s v="No"/>
    <m/>
    <m/>
    <m/>
    <m/>
    <m/>
    <m/>
    <m/>
    <m/>
    <m/>
    <d v="2018-03-20T00:00:00"/>
    <s v="Yes"/>
    <s v="Yes"/>
    <x v="0"/>
  </r>
  <r>
    <s v="Bangalore"/>
    <s v="BASRTL258"/>
    <s v="Yes"/>
    <s v="Weekly"/>
    <s v="PCIe"/>
    <s v="SN3633201"/>
    <s v="R20/1"/>
    <s v="ICE18"/>
    <x v="1"/>
    <x v="7"/>
    <x v="7"/>
    <x v="1"/>
    <s v="No"/>
    <s v="No"/>
    <s v="4x"/>
    <m/>
    <n v="40258"/>
    <m/>
    <m/>
    <m/>
    <m/>
    <m/>
    <m/>
    <d v="2018-04-05T00:00:00"/>
    <s v="Yes"/>
    <s v="Yes"/>
    <x v="0"/>
  </r>
  <r>
    <s v="Bangalore"/>
    <s v="BASRTL259"/>
    <s v="Yes"/>
    <s v="Weekly"/>
    <s v="PCIe"/>
    <s v="SN3220249"/>
    <s v="R20/2"/>
    <s v="ICE18"/>
    <x v="1"/>
    <x v="3"/>
    <x v="3"/>
    <x v="1"/>
    <s v="No"/>
    <s v="No"/>
    <m/>
    <m/>
    <n v="40259"/>
    <m/>
    <m/>
    <m/>
    <m/>
    <m/>
    <m/>
    <d v="2018-04-05T00:00:00"/>
    <s v="Yes"/>
    <s v="Yes"/>
    <x v="0"/>
  </r>
  <r>
    <s v="Bangalore"/>
    <s v="BASRTL260"/>
    <s v="No"/>
    <s v="Weekly"/>
    <s v="PCIe"/>
    <s v="SN3633211"/>
    <s v="R20/3"/>
    <s v="ICE18"/>
    <x v="1"/>
    <x v="9"/>
    <x v="3"/>
    <x v="1"/>
    <s v="No"/>
    <s v="No"/>
    <m/>
    <m/>
    <n v="40260"/>
    <m/>
    <m/>
    <m/>
    <m/>
    <m/>
    <m/>
    <d v="2018-04-05T00:00:00"/>
    <s v="Yes"/>
    <s v="Yes"/>
    <x v="0"/>
  </r>
  <r>
    <s v="Bangalore"/>
    <s v="BASRTL261"/>
    <s v="Yes"/>
    <s v="Weekly"/>
    <s v="PCIe"/>
    <s v="SN3633185"/>
    <s v="R20/4"/>
    <s v="ICE18"/>
    <x v="1"/>
    <x v="7"/>
    <x v="8"/>
    <x v="1"/>
    <s v="No"/>
    <s v="No"/>
    <m/>
    <m/>
    <n v="40261"/>
    <m/>
    <m/>
    <m/>
    <m/>
    <m/>
    <m/>
    <d v="2018-04-05T00:00:00"/>
    <s v="Yes"/>
    <s v="Yes"/>
    <x v="0"/>
  </r>
  <r>
    <s v="Bangalore"/>
    <s v="BASRTL262"/>
    <s v="No"/>
    <s v="Weekly"/>
    <s v="PCIe"/>
    <s v="SN3633236"/>
    <s v="R20/5"/>
    <s v="ICE18"/>
    <x v="1"/>
    <x v="7"/>
    <x v="7"/>
    <x v="1"/>
    <s v="No"/>
    <s v="No"/>
    <s v="4x"/>
    <m/>
    <n v="40262"/>
    <m/>
    <m/>
    <m/>
    <m/>
    <m/>
    <m/>
    <d v="2018-04-05T00:00:00"/>
    <s v="Yes"/>
    <s v="Yes"/>
    <x v="0"/>
  </r>
  <r>
    <s v="Bangalore"/>
    <s v="BASRTL263"/>
    <s v="Yes"/>
    <s v="Weekly"/>
    <s v="PCIe"/>
    <s v="SN3633219"/>
    <s v="R20/6"/>
    <s v="ICE18"/>
    <x v="1"/>
    <x v="7"/>
    <x v="7"/>
    <x v="1"/>
    <s v="No"/>
    <s v="No"/>
    <s v="4x"/>
    <m/>
    <n v="40263"/>
    <m/>
    <m/>
    <m/>
    <m/>
    <m/>
    <m/>
    <d v="2018-04-05T00:00:00"/>
    <s v="Yes"/>
    <s v="Yes"/>
    <x v="0"/>
  </r>
  <r>
    <s v="Bangalore"/>
    <s v="BASRTL264"/>
    <s v="Yes"/>
    <s v="Weekly"/>
    <s v="PCIe"/>
    <s v="SN3633204"/>
    <s v="R20/7"/>
    <s v="ICE18"/>
    <x v="1"/>
    <x v="7"/>
    <x v="7"/>
    <x v="1"/>
    <s v="No"/>
    <s v="No"/>
    <s v="4x"/>
    <m/>
    <n v="40264"/>
    <m/>
    <m/>
    <m/>
    <m/>
    <m/>
    <m/>
    <d v="2018-04-05T00:00:00"/>
    <s v="Yes"/>
    <s v="Yes"/>
    <x v="0"/>
  </r>
  <r>
    <s v="Bangalore"/>
    <s v="BASRTL265"/>
    <s v="Yes"/>
    <s v="Weekly"/>
    <s v="PCIe"/>
    <s v="SN3633193"/>
    <s v="R24/4"/>
    <s v="ICE18"/>
    <x v="1"/>
    <x v="1"/>
    <x v="1"/>
    <x v="1"/>
    <s v="No"/>
    <s v="No"/>
    <m/>
    <m/>
    <n v="40265"/>
    <m/>
    <m/>
    <m/>
    <m/>
    <m/>
    <m/>
    <d v="2018-04-05T00:00:00"/>
    <s v="Yes"/>
    <s v="Yes"/>
    <x v="0"/>
  </r>
  <r>
    <s v="Bangalore"/>
    <s v="BASRTL266"/>
    <s v="Yes"/>
    <s v="Weekly"/>
    <s v="PCIe"/>
    <s v="SN3633164"/>
    <s v="R25/5"/>
    <s v="ICE18"/>
    <x v="1"/>
    <x v="7"/>
    <x v="7"/>
    <x v="1"/>
    <s v="No"/>
    <s v="No"/>
    <s v="4x"/>
    <m/>
    <n v="40266"/>
    <m/>
    <m/>
    <m/>
    <m/>
    <m/>
    <m/>
    <d v="2018-04-05T00:00:00"/>
    <s v="Yes"/>
    <s v="Yes"/>
    <x v="0"/>
  </r>
  <r>
    <s v="Bangalore"/>
    <s v="BASRTL267"/>
    <s v="Yes"/>
    <s v="Weekly"/>
    <s v="PCIe"/>
    <s v="SN3633166"/>
    <s v="R11/5"/>
    <s v="ICE18"/>
    <x v="1"/>
    <x v="9"/>
    <x v="8"/>
    <x v="1"/>
    <s v="No"/>
    <s v="No"/>
    <m/>
    <m/>
    <n v="40267"/>
    <m/>
    <m/>
    <m/>
    <m/>
    <m/>
    <m/>
    <d v="2018-04-05T00:00:00"/>
    <s v="Yes"/>
    <s v="Yes"/>
    <x v="0"/>
  </r>
  <r>
    <s v="Bangalore"/>
    <s v="BASRTL268"/>
    <s v="Yes"/>
    <s v="Weekly"/>
    <s v="PCIe"/>
    <s v="SN3516441"/>
    <s v="R1/5"/>
    <s v="ICE18"/>
    <x v="1"/>
    <x v="6"/>
    <x v="1"/>
    <x v="1"/>
    <s v="No"/>
    <s v="No"/>
    <m/>
    <m/>
    <n v="40268"/>
    <m/>
    <m/>
    <m/>
    <m/>
    <m/>
    <m/>
    <d v="2018-04-05T00:00:00"/>
    <s v="Yes"/>
    <s v="Yes"/>
    <x v="0"/>
  </r>
  <r>
    <s v="Bangalore"/>
    <s v="BASRTL269"/>
    <s v="Yes"/>
    <s v="Weekly"/>
    <s v="PCIe"/>
    <s v="SN3516399"/>
    <s v="R4/1"/>
    <s v="ICE18"/>
    <x v="1"/>
    <x v="7"/>
    <x v="8"/>
    <x v="1"/>
    <s v="No"/>
    <s v="No"/>
    <m/>
    <m/>
    <n v="40269"/>
    <m/>
    <m/>
    <m/>
    <m/>
    <m/>
    <m/>
    <d v="2018-04-05T00:00:00"/>
    <s v="Yes"/>
    <s v="Yes"/>
    <x v="0"/>
  </r>
  <r>
    <s v="Bangalore"/>
    <s v="BASRTL270"/>
    <s v="Yes"/>
    <s v="Weekly"/>
    <s v="PCIe"/>
    <s v="SN3316748"/>
    <s v="R7/6"/>
    <s v="ICE18"/>
    <x v="1"/>
    <x v="7"/>
    <x v="8"/>
    <x v="1"/>
    <s v="No"/>
    <s v="No"/>
    <m/>
    <m/>
    <n v="40270"/>
    <m/>
    <m/>
    <m/>
    <m/>
    <m/>
    <m/>
    <d v="2018-04-05T00:00:00"/>
    <s v="Yes"/>
    <s v="Yes"/>
    <x v="0"/>
  </r>
  <r>
    <s v="Bangalore"/>
    <s v="BASRTL271"/>
    <s v="Yes"/>
    <s v="Weekly"/>
    <s v="PCIe"/>
    <s v="SN3516404"/>
    <s v="R1/4"/>
    <s v="ICE18"/>
    <x v="1"/>
    <x v="9"/>
    <x v="3"/>
    <x v="1"/>
    <s v="No"/>
    <s v="No"/>
    <m/>
    <m/>
    <n v="40271"/>
    <m/>
    <m/>
    <m/>
    <m/>
    <m/>
    <m/>
    <d v="2018-04-05T00:00:00"/>
    <s v="Yes"/>
    <s v="Yes"/>
    <x v="0"/>
  </r>
  <r>
    <s v="Bangalore"/>
    <s v="BASRTL272"/>
    <s v="Yes"/>
    <s v="Weekly"/>
    <s v="PCIe"/>
    <s v="SN3316788"/>
    <s v="R5/1"/>
    <s v="ICE18"/>
    <x v="1"/>
    <x v="7"/>
    <x v="7"/>
    <x v="1"/>
    <s v="No"/>
    <s v="No"/>
    <s v="4x"/>
    <m/>
    <n v="40272"/>
    <m/>
    <m/>
    <m/>
    <m/>
    <m/>
    <m/>
    <d v="2018-04-05T00:00:00"/>
    <s v="Yes"/>
    <s v="Yes"/>
    <x v="0"/>
  </r>
  <r>
    <s v="Bangalore"/>
    <s v="BASRTL273"/>
    <s v="Yes"/>
    <s v="Weekly"/>
    <s v="PCIe"/>
    <s v="SN3516432"/>
    <s v="R5/1"/>
    <s v="ICE18"/>
    <x v="1"/>
    <x v="7"/>
    <x v="8"/>
    <x v="1"/>
    <s v="No"/>
    <s v="No"/>
    <m/>
    <m/>
    <n v="40273"/>
    <m/>
    <m/>
    <m/>
    <m/>
    <m/>
    <m/>
    <d v="2018-04-05T00:00:00"/>
    <s v="Yes"/>
    <s v="Yes"/>
    <x v="0"/>
  </r>
  <r>
    <s v="Bangalore"/>
    <s v="BASRTL274"/>
    <s v="Yes"/>
    <s v="Weekly"/>
    <s v="PCIe"/>
    <s v="SN3516438"/>
    <m/>
    <s v="ICE18"/>
    <x v="1"/>
    <x v="7"/>
    <x v="8"/>
    <x v="1"/>
    <s v="No"/>
    <s v="No"/>
    <m/>
    <m/>
    <n v="40274"/>
    <m/>
    <m/>
    <m/>
    <m/>
    <m/>
    <m/>
    <d v="2018-04-05T00:00:00"/>
    <s v="Yes"/>
    <s v="Yes"/>
    <x v="0"/>
  </r>
  <r>
    <s v="Bangalore"/>
    <s v="BASRTL275"/>
    <s v="No"/>
    <s v="Weekly"/>
    <s v="PCIe"/>
    <s v="SN3299774"/>
    <s v="R23/3"/>
    <s v="ICE18"/>
    <x v="1"/>
    <x v="2"/>
    <x v="2"/>
    <x v="1"/>
    <s v="No"/>
    <s v="No"/>
    <m/>
    <m/>
    <n v="40275"/>
    <m/>
    <m/>
    <m/>
    <m/>
    <m/>
    <m/>
    <d v="2018-04-05T00:00:00"/>
    <s v="Yes"/>
    <s v="Yes"/>
    <x v="4"/>
  </r>
  <r>
    <s v="Bangalore"/>
    <s v="BASRTL276"/>
    <s v="Yes"/>
    <s v="Weekly"/>
    <s v="PCIe"/>
    <s v="SN3516443"/>
    <s v="R23/6"/>
    <s v="ICE18"/>
    <x v="1"/>
    <x v="7"/>
    <x v="8"/>
    <x v="1"/>
    <s v="No"/>
    <s v="No"/>
    <m/>
    <m/>
    <n v="40276"/>
    <m/>
    <m/>
    <m/>
    <m/>
    <m/>
    <m/>
    <d v="2018-04-05T00:00:00"/>
    <s v="Yes"/>
    <s v="Yes"/>
    <x v="0"/>
  </r>
  <r>
    <s v="Bangalore"/>
    <s v="BASRTL277"/>
    <s v="Yes"/>
    <s v="Weekly"/>
    <s v="PCIe"/>
    <s v="SN3316692"/>
    <s v="R23/7"/>
    <s v="ICE18"/>
    <x v="1"/>
    <x v="6"/>
    <x v="1"/>
    <x v="1"/>
    <s v="No"/>
    <s v="No"/>
    <m/>
    <m/>
    <n v="40277"/>
    <m/>
    <m/>
    <m/>
    <m/>
    <m/>
    <m/>
    <d v="2018-04-05T00:00:00"/>
    <s v="Yes"/>
    <s v="Yes"/>
    <x v="0"/>
  </r>
  <r>
    <s v="Bangalore"/>
    <s v="BASRTL290"/>
    <s v="Yes"/>
    <s v="Weekly"/>
    <s v="PCIe"/>
    <s v="SN3633231"/>
    <s v="R10/5"/>
    <s v="ICE18"/>
    <x v="1"/>
    <x v="6"/>
    <x v="1"/>
    <x v="1"/>
    <s v="No"/>
    <s v="No"/>
    <m/>
    <m/>
    <n v="40290"/>
    <m/>
    <m/>
    <m/>
    <m/>
    <m/>
    <m/>
    <d v="2018-04-05T00:00:00"/>
    <s v="Yes"/>
    <s v="Yes"/>
    <x v="0"/>
  </r>
  <r>
    <s v="Bangalore"/>
    <s v="BASRTL291"/>
    <s v="No"/>
    <m/>
    <s v="PCIe"/>
    <s v="SN3633222"/>
    <m/>
    <s v="ICE18"/>
    <x v="1"/>
    <x v="2"/>
    <x v="2"/>
    <x v="1"/>
    <s v="No"/>
    <s v="No"/>
    <m/>
    <m/>
    <n v="40291"/>
    <m/>
    <m/>
    <m/>
    <m/>
    <m/>
    <m/>
    <d v="2018-04-05T00:00:00"/>
    <s v="Yes"/>
    <s v="Yes"/>
    <x v="1"/>
  </r>
  <r>
    <s v="Bangalore"/>
    <s v="BASRTL292"/>
    <s v="Yes"/>
    <s v="Weekly"/>
    <s v="PCIe"/>
    <s v="SN3633235"/>
    <s v="R10/2"/>
    <s v="ICE18"/>
    <x v="1"/>
    <x v="7"/>
    <x v="8"/>
    <x v="1"/>
    <s v="No"/>
    <s v="No"/>
    <m/>
    <m/>
    <n v="40292"/>
    <m/>
    <m/>
    <m/>
    <m/>
    <m/>
    <m/>
    <d v="2018-04-05T00:00:00"/>
    <s v="Yes"/>
    <s v="Yes"/>
    <x v="0"/>
  </r>
  <r>
    <s v="Bangalore"/>
    <s v="BASRTL293"/>
    <s v="Yes"/>
    <s v="Weekly"/>
    <s v="PCIe"/>
    <s v="SN3633162"/>
    <m/>
    <s v="ICE18"/>
    <x v="1"/>
    <x v="1"/>
    <x v="1"/>
    <x v="1"/>
    <s v="No"/>
    <s v="No"/>
    <m/>
    <m/>
    <n v="40293"/>
    <m/>
    <m/>
    <m/>
    <m/>
    <m/>
    <m/>
    <d v="2018-04-05T00:00:00"/>
    <s v="Yes"/>
    <s v="Yes"/>
    <x v="0"/>
  </r>
  <r>
    <s v="Bangalore"/>
    <s v="BASRTL294"/>
    <s v="Yes"/>
    <s v="Weekly"/>
    <s v="PCIe"/>
    <s v="SN3633225"/>
    <s v="R1/2"/>
    <s v="ICE18"/>
    <x v="1"/>
    <x v="9"/>
    <x v="3"/>
    <x v="1"/>
    <s v="No"/>
    <s v="No"/>
    <m/>
    <m/>
    <n v="40294"/>
    <m/>
    <m/>
    <m/>
    <m/>
    <m/>
    <m/>
    <d v="2018-04-05T00:00:00"/>
    <s v="Yes"/>
    <s v="Yes"/>
    <x v="0"/>
  </r>
  <r>
    <s v="Bangalore"/>
    <s v="BASRTL295"/>
    <s v="Yes"/>
    <s v="Pre-INT"/>
    <s v="PCIe"/>
    <s v="SN3633149"/>
    <s v="R6/2"/>
    <s v="ICE18"/>
    <x v="1"/>
    <x v="6"/>
    <x v="1"/>
    <x v="1"/>
    <s v="No"/>
    <s v="No"/>
    <s v="4x"/>
    <m/>
    <n v="40295"/>
    <m/>
    <m/>
    <m/>
    <m/>
    <m/>
    <m/>
    <d v="2018-04-05T00:00:00"/>
    <s v="Yes"/>
    <s v="Yes"/>
    <x v="0"/>
  </r>
  <r>
    <s v="Bangalore"/>
    <s v="BASRTL296"/>
    <s v="Yes"/>
    <s v="Weekly"/>
    <s v="PCIe"/>
    <s v="SN3633208"/>
    <s v="R25/3"/>
    <s v="ICE18"/>
    <x v="1"/>
    <x v="9"/>
    <x v="3"/>
    <x v="1"/>
    <s v="No"/>
    <s v="No"/>
    <m/>
    <m/>
    <n v="40296"/>
    <m/>
    <m/>
    <m/>
    <m/>
    <m/>
    <m/>
    <d v="2018-04-05T00:00:00"/>
    <s v="Yes"/>
    <s v="Yes"/>
    <x v="0"/>
  </r>
  <r>
    <s v="Bangalore"/>
    <s v="BASRTL297"/>
    <s v="Yes"/>
    <s v="Weekly"/>
    <s v="PCIe"/>
    <s v="SN3633200"/>
    <s v="R6/2"/>
    <s v="ICE18"/>
    <x v="1"/>
    <x v="6"/>
    <x v="1"/>
    <x v="1"/>
    <s v="No"/>
    <s v="No"/>
    <m/>
    <m/>
    <n v="40297"/>
    <m/>
    <m/>
    <m/>
    <m/>
    <m/>
    <m/>
    <d v="2018-04-05T00:00:00"/>
    <s v="Yes"/>
    <s v="Yes"/>
    <x v="0"/>
  </r>
  <r>
    <s v="Bangalore"/>
    <s v="BASRTL298"/>
    <s v="Yes"/>
    <s v="Weekly"/>
    <s v="PCIe"/>
    <s v="SN3633141"/>
    <s v="R9/1"/>
    <s v="ICE18"/>
    <x v="1"/>
    <x v="9"/>
    <x v="8"/>
    <x v="1"/>
    <s v="No"/>
    <s v="No"/>
    <m/>
    <m/>
    <n v="40298"/>
    <m/>
    <m/>
    <m/>
    <m/>
    <m/>
    <m/>
    <d v="2018-04-05T00:00:00"/>
    <s v="Yes"/>
    <s v="Yes"/>
    <x v="0"/>
  </r>
  <r>
    <s v="Bangalore"/>
    <s v="BASRTL299"/>
    <s v="Yes"/>
    <s v="Weekly"/>
    <s v="PCIe"/>
    <s v="SN3633181"/>
    <s v="R4/2"/>
    <s v="ICE18"/>
    <x v="1"/>
    <x v="9"/>
    <x v="3"/>
    <x v="1"/>
    <s v="No"/>
    <s v="No"/>
    <m/>
    <m/>
    <n v="40299"/>
    <m/>
    <m/>
    <m/>
    <m/>
    <m/>
    <m/>
    <d v="2018-04-05T00:00:00"/>
    <s v="Yes"/>
    <s v="Yes"/>
    <x v="0"/>
  </r>
  <r>
    <s v="Bangalore"/>
    <s v="BASRTL300"/>
    <m/>
    <m/>
    <s v="PCIe"/>
    <s v="SN2983399 "/>
    <s v="R7/3"/>
    <s v="IBIS"/>
    <x v="0"/>
    <x v="0"/>
    <x v="0"/>
    <x v="6"/>
    <s v="No"/>
    <s v="No"/>
    <m/>
    <m/>
    <n v="40300"/>
    <m/>
    <m/>
    <n v="9972094924"/>
    <n v="354999010649999"/>
    <n v="354999010649999"/>
    <n v="7349781108"/>
    <d v="2018-03-20T00:00:00"/>
    <s v="Yes"/>
    <s v="Yes"/>
    <x v="0"/>
  </r>
  <r>
    <s v="Bangalore"/>
    <s v="BASRTL301"/>
    <s v="Yes"/>
    <s v="Weekly"/>
    <s v="PCIe"/>
    <s v="SN3220127"/>
    <m/>
    <s v="ICE18"/>
    <x v="1"/>
    <x v="12"/>
    <x v="3"/>
    <x v="1"/>
    <s v="No"/>
    <s v="No"/>
    <m/>
    <m/>
    <n v="40301"/>
    <m/>
    <m/>
    <n v="7625047621"/>
    <n v="440152248605"/>
    <n v="440152253605"/>
    <n v="9513421187"/>
    <d v="2018-04-05T00:00:00"/>
    <s v="Yes"/>
    <s v="Yes"/>
    <x v="0"/>
  </r>
  <r>
    <s v="Bangalore"/>
    <s v="BASRTL302"/>
    <s v="Yes"/>
    <s v="Pre-INT"/>
    <s v="PCIe"/>
    <s v="SN3648530"/>
    <s v="R8/4"/>
    <s v="ICE18"/>
    <x v="0"/>
    <x v="5"/>
    <x v="0"/>
    <x v="1"/>
    <s v="No"/>
    <s v="No"/>
    <s v="4x"/>
    <m/>
    <n v="40302"/>
    <m/>
    <m/>
    <n v="7625047670"/>
    <n v="440152238940"/>
    <n v="440152238940"/>
    <n v="7349781108"/>
    <d v="2018-04-05T00:00:00"/>
    <s v="Yes"/>
    <s v="Yes"/>
    <x v="0"/>
  </r>
  <r>
    <s v="Bangalore"/>
    <s v="BASRTL303"/>
    <s v="Yes"/>
    <s v="Pre-INT"/>
    <s v="PCIe"/>
    <s v="SN3648250"/>
    <m/>
    <s v="ICE18"/>
    <x v="0"/>
    <x v="0"/>
    <x v="0"/>
    <x v="1"/>
    <s v="No"/>
    <s v="No"/>
    <m/>
    <m/>
    <n v="40303"/>
    <m/>
    <m/>
    <n v="9148086641"/>
    <n v="440152254864"/>
    <n v="440152254864"/>
    <n v="7349781108"/>
    <d v="2018-04-05T00:00:00"/>
    <s v="Yes"/>
    <s v="Yes"/>
    <x v="0"/>
  </r>
  <r>
    <s v="Bangalore"/>
    <s v="BASRTL304"/>
    <s v="Yes"/>
    <s v="Pre-INT"/>
    <s v="PCIe"/>
    <s v="SN3648208"/>
    <s v="r8/4"/>
    <s v="ICE18"/>
    <x v="0"/>
    <x v="0"/>
    <x v="0"/>
    <x v="1"/>
    <s v="No"/>
    <s v="No"/>
    <s v="4x"/>
    <m/>
    <n v="40304"/>
    <m/>
    <m/>
    <n v="7625046432"/>
    <n v="440152248584"/>
    <n v="440152253584"/>
    <n v="7349781108"/>
    <d v="2018-04-05T00:00:00"/>
    <s v="Yes"/>
    <s v="Yes"/>
    <x v="0"/>
  </r>
  <r>
    <s v="Bangalore"/>
    <s v="BASRTL305"/>
    <s v="Yes"/>
    <s v="Pre-INT"/>
    <s v="PCIe"/>
    <s v="SN3648360"/>
    <s v="R16"/>
    <s v="ICE18"/>
    <x v="0"/>
    <x v="0"/>
    <x v="0"/>
    <x v="1"/>
    <s v="No"/>
    <s v="No"/>
    <s v="4x"/>
    <m/>
    <n v="40305"/>
    <m/>
    <m/>
    <n v="9148086646"/>
    <n v="440152249876"/>
    <n v="440152254876"/>
    <n v="7349781108"/>
    <d v="2018-04-05T00:00:00"/>
    <s v="Yes"/>
    <s v="Yes"/>
    <x v="0"/>
  </r>
  <r>
    <s v="Bangalore"/>
    <s v="BASRTL306"/>
    <s v="Yes"/>
    <s v="Pre-INT"/>
    <s v="PCIe"/>
    <s v="SN3648537 "/>
    <s v="R16"/>
    <s v="ICE18"/>
    <x v="0"/>
    <x v="0"/>
    <x v="0"/>
    <x v="1"/>
    <s v="No"/>
    <s v="No"/>
    <s v="4x"/>
    <m/>
    <n v="40306"/>
    <m/>
    <m/>
    <n v="9148086643"/>
    <n v="440152248557"/>
    <n v="440152253557"/>
    <n v="7349781108"/>
    <d v="2018-04-05T00:00:00"/>
    <s v="Yes"/>
    <s v="Yes"/>
    <x v="0"/>
  </r>
  <r>
    <s v="Bangalore"/>
    <s v="BASRTL307"/>
    <s v="No"/>
    <s v="Pre-INT"/>
    <s v="PCIe"/>
    <s v="SN3648457"/>
    <s v="R18"/>
    <s v="ICE19"/>
    <x v="1"/>
    <x v="4"/>
    <x v="4"/>
    <x v="2"/>
    <s v="No"/>
    <s v="No"/>
    <s v="4x"/>
    <m/>
    <n v="40307"/>
    <m/>
    <m/>
    <n v="9513388114"/>
    <n v="440152254839"/>
    <n v="440152254839"/>
    <n v="8660690664"/>
    <d v="2018-04-05T00:00:00"/>
    <s v="Yes"/>
    <s v="Yes"/>
    <x v="0"/>
  </r>
  <r>
    <s v="Bangalore"/>
    <s v="BASRTL308"/>
    <s v="Yes"/>
    <s v="CEB"/>
    <s v="PCIe"/>
    <s v="SN3648447"/>
    <s v="R22"/>
    <s v="ICE19"/>
    <x v="1"/>
    <x v="10"/>
    <x v="9"/>
    <x v="4"/>
    <s v="No"/>
    <s v="No"/>
    <s v="4x"/>
    <m/>
    <n v="40308"/>
    <m/>
    <m/>
    <n v="9513388114"/>
    <n v="440152258339"/>
    <n v="440152258339"/>
    <n v="8660690664"/>
    <d v="2018-04-05T00:00:00"/>
    <s v="Yes"/>
    <s v="Yes"/>
    <x v="0"/>
  </r>
  <r>
    <s v="Bangalore"/>
    <s v="BASRTL309"/>
    <s v="No"/>
    <s v="CEB"/>
    <s v="PCIe"/>
    <s v="SN3633284"/>
    <m/>
    <s v="ICE18"/>
    <x v="1"/>
    <x v="6"/>
    <x v="1"/>
    <x v="1"/>
    <s v="No"/>
    <s v="No"/>
    <m/>
    <m/>
    <n v="40309"/>
    <m/>
    <m/>
    <n v="9513388114"/>
    <n v="440152254847"/>
    <n v="440152254847"/>
    <n v="8660690664"/>
    <d v="2018-04-05T00:00:00"/>
    <s v="Yes"/>
    <s v="Yes"/>
    <x v="4"/>
  </r>
  <r>
    <s v="Bangalore"/>
    <s v="BASRTL310"/>
    <s v="No"/>
    <s v="Weekly"/>
    <s v="PCIe"/>
    <s v="SN3633291"/>
    <m/>
    <s v="ICE18"/>
    <x v="1"/>
    <x v="6"/>
    <x v="1"/>
    <x v="1"/>
    <s v="No"/>
    <s v="No"/>
    <m/>
    <m/>
    <n v="40310"/>
    <m/>
    <m/>
    <n v="9513388114"/>
    <n v="440152249849"/>
    <n v="440152254849"/>
    <n v="8660690664"/>
    <d v="2018-04-05T00:00:00"/>
    <s v="Yes"/>
    <s v="Yes"/>
    <x v="4"/>
  </r>
  <r>
    <s v="Bangalore"/>
    <s v="BASRTL311"/>
    <s v="Yes"/>
    <s v="Weekly"/>
    <s v="PCIe"/>
    <s v="SN3633183"/>
    <s v="R18"/>
    <s v="ICE18"/>
    <x v="1"/>
    <x v="6"/>
    <x v="1"/>
    <x v="1"/>
    <s v="No"/>
    <s v="No"/>
    <m/>
    <m/>
    <n v="40311"/>
    <m/>
    <m/>
    <n v="9513388114"/>
    <n v="440152255343"/>
    <n v="440152258343"/>
    <n v="8660690664"/>
    <d v="2018-04-05T00:00:00"/>
    <s v="Yes"/>
    <s v="Yes"/>
    <x v="0"/>
  </r>
  <r>
    <s v="Bangalore"/>
    <s v="BASRTL312"/>
    <s v="Yes"/>
    <s v="Weekly"/>
    <s v="PCIe"/>
    <s v="SN3633186"/>
    <s v="R15"/>
    <s v="ICE18"/>
    <x v="1"/>
    <x v="6"/>
    <x v="1"/>
    <x v="1"/>
    <s v="No"/>
    <s v="No"/>
    <m/>
    <m/>
    <n v="40312"/>
    <m/>
    <m/>
    <n v="9513388114"/>
    <n v="440152254841"/>
    <n v="440152254841"/>
    <n v="8660690664"/>
    <d v="2018-04-05T00:00:00"/>
    <s v="Yes"/>
    <s v="Yes"/>
    <x v="0"/>
  </r>
  <r>
    <s v="Bangalore"/>
    <s v="BASRTL313"/>
    <s v="Yes"/>
    <s v="Pre-INT"/>
    <s v="PCIe"/>
    <s v="SN3633144"/>
    <s v="R22"/>
    <s v="ICE19"/>
    <x v="0"/>
    <x v="4"/>
    <x v="4"/>
    <x v="4"/>
    <s v="No"/>
    <s v="No"/>
    <s v="4x"/>
    <m/>
    <n v="40313"/>
    <m/>
    <m/>
    <m/>
    <m/>
    <m/>
    <m/>
    <d v="2018-04-05T00:00:00"/>
    <s v="Yes"/>
    <s v="Yes"/>
    <x v="0"/>
  </r>
  <r>
    <s v="Bangalore"/>
    <s v="BASRTL314"/>
    <s v="Yes"/>
    <s v="Weekly"/>
    <s v="PCIe"/>
    <s v="SN3633148"/>
    <m/>
    <s v="ICE18"/>
    <x v="1"/>
    <x v="6"/>
    <x v="1"/>
    <x v="1"/>
    <s v="No"/>
    <s v="No"/>
    <m/>
    <m/>
    <n v="40314"/>
    <m/>
    <m/>
    <m/>
    <m/>
    <m/>
    <m/>
    <d v="2018-04-05T00:00:00"/>
    <s v="Yes"/>
    <s v="Yes"/>
    <x v="0"/>
  </r>
  <r>
    <s v="Bangalore"/>
    <s v="BASRTL315"/>
    <s v="Yes"/>
    <s v="Weekly"/>
    <s v="PCIe"/>
    <s v="SN3633216"/>
    <s v="R23"/>
    <s v="ICE18"/>
    <x v="1"/>
    <x v="6"/>
    <x v="1"/>
    <x v="1"/>
    <s v="No"/>
    <s v="No"/>
    <m/>
    <m/>
    <n v="40315"/>
    <m/>
    <m/>
    <m/>
    <m/>
    <m/>
    <m/>
    <d v="2018-04-05T00:00:00"/>
    <s v="Yes"/>
    <s v="Yes"/>
    <x v="0"/>
  </r>
  <r>
    <s v="Bangalore"/>
    <s v="BASRTL316"/>
    <s v="Yes"/>
    <s v="Weekly"/>
    <s v="PCIe"/>
    <s v="SN3633187"/>
    <s v="R23"/>
    <s v="ICE18"/>
    <x v="1"/>
    <x v="1"/>
    <x v="1"/>
    <x v="1"/>
    <s v="No"/>
    <s v="No"/>
    <m/>
    <m/>
    <n v="40316"/>
    <m/>
    <m/>
    <m/>
    <m/>
    <m/>
    <m/>
    <d v="2018-04-05T00:00:00"/>
    <s v="Yes"/>
    <s v="Yes"/>
    <x v="0"/>
  </r>
  <r>
    <s v="Bangalore"/>
    <s v="BASRTL317"/>
    <s v="No"/>
    <s v="Weekly"/>
    <s v="PCIe"/>
    <s v="SN3633160"/>
    <m/>
    <s v="ICE18"/>
    <x v="1"/>
    <x v="6"/>
    <x v="1"/>
    <x v="1"/>
    <s v="No"/>
    <s v="No"/>
    <m/>
    <m/>
    <n v="40317"/>
    <m/>
    <m/>
    <m/>
    <m/>
    <m/>
    <m/>
    <d v="2018-04-05T00:00:00"/>
    <s v="Yes"/>
    <s v="Yes"/>
    <x v="0"/>
  </r>
  <r>
    <s v="Bangalore"/>
    <s v="BASRTL318"/>
    <s v="No"/>
    <s v="Weekly"/>
    <s v="PCIe"/>
    <s v="SN3633234"/>
    <s v="R22"/>
    <s v="ICE18"/>
    <x v="1"/>
    <x v="6"/>
    <x v="1"/>
    <x v="1"/>
    <s v="No"/>
    <s v="No"/>
    <m/>
    <m/>
    <n v="40318"/>
    <m/>
    <m/>
    <n v="9513388114"/>
    <n v="440152254844"/>
    <n v="440152254844"/>
    <n v="8660690664"/>
    <d v="2018-04-05T00:00:00"/>
    <s v="Yes"/>
    <s v="Yes"/>
    <x v="0"/>
  </r>
  <r>
    <s v="Bangalore"/>
    <s v="BASRTL319"/>
    <s v="Yes"/>
    <s v="Pre-INT"/>
    <s v="PCIe"/>
    <s v="SN3633192"/>
    <s v="R22"/>
    <s v="ICE18"/>
    <x v="1"/>
    <x v="6"/>
    <x v="1"/>
    <x v="1"/>
    <s v="No"/>
    <s v="No"/>
    <s v="4x"/>
    <m/>
    <n v="40319"/>
    <m/>
    <m/>
    <n v="9513388114"/>
    <n v="440152254849"/>
    <n v="440152254849"/>
    <n v="8660690664"/>
    <d v="2018-04-05T00:00:00"/>
    <s v="Yes"/>
    <s v="Yes"/>
    <x v="0"/>
  </r>
  <r>
    <s v="Bangalore"/>
    <s v="BASRTL320"/>
    <s v="Yes"/>
    <s v="Pre-INT"/>
    <s v="PCIe"/>
    <s v="SN3633165"/>
    <s v="R5"/>
    <s v="ICE18"/>
    <x v="1"/>
    <x v="6"/>
    <x v="1"/>
    <x v="1"/>
    <s v="No"/>
    <s v="No"/>
    <s v="4x"/>
    <m/>
    <n v="40320"/>
    <m/>
    <m/>
    <n v="9513388114"/>
    <n v="440152254849"/>
    <n v="440152254849"/>
    <n v="8660690664"/>
    <d v="2018-04-05T00:00:00"/>
    <s v="Yes"/>
    <s v="Yes"/>
    <x v="0"/>
  </r>
  <r>
    <s v="Bangalore"/>
    <s v="BASRTL321"/>
    <s v="Yes"/>
    <s v="CEB"/>
    <s v="PCIe"/>
    <s v="SN3633184"/>
    <s v="R22"/>
    <s v="ICE18"/>
    <x v="1"/>
    <x v="6"/>
    <x v="1"/>
    <x v="1"/>
    <s v="No"/>
    <s v="No"/>
    <s v="4x"/>
    <m/>
    <n v="40321"/>
    <m/>
    <m/>
    <n v="9916333126"/>
    <n v="440152254835"/>
    <n v="440152254835"/>
    <n v="8660691493"/>
    <d v="2018-04-05T00:00:00"/>
    <s v="Yes"/>
    <s v="Yes"/>
    <x v="0"/>
  </r>
  <r>
    <s v="Bangalore"/>
    <s v="BASRTL322"/>
    <s v="Yes"/>
    <s v="Pre-INT"/>
    <s v="PCIe"/>
    <s v="SN3633244"/>
    <s v="R22"/>
    <s v="ICE18"/>
    <x v="1"/>
    <x v="6"/>
    <x v="1"/>
    <x v="1"/>
    <s v="No"/>
    <s v="No"/>
    <s v="4x"/>
    <m/>
    <n v="40322"/>
    <m/>
    <m/>
    <m/>
    <m/>
    <m/>
    <m/>
    <d v="2018-04-05T00:00:00"/>
    <s v="Yes"/>
    <s v="Yes"/>
    <x v="0"/>
  </r>
  <r>
    <s v="Bangalore"/>
    <s v="BASRTL323"/>
    <s v="Yes"/>
    <s v="CEB"/>
    <s v="PCIe"/>
    <s v="SN3633246"/>
    <s v="R5"/>
    <s v="ICE19"/>
    <x v="1"/>
    <x v="10"/>
    <x v="9"/>
    <x v="4"/>
    <s v="No"/>
    <s v="No"/>
    <s v="4x"/>
    <m/>
    <n v="40323"/>
    <m/>
    <m/>
    <m/>
    <m/>
    <m/>
    <m/>
    <d v="2018-04-05T00:00:00"/>
    <s v="Yes"/>
    <s v="Yes"/>
    <x v="0"/>
  </r>
  <r>
    <s v="Bangalore"/>
    <s v="BASRTL324"/>
    <s v="Yes"/>
    <s v="Weekly"/>
    <s v="PCIe"/>
    <s v="SN3633157"/>
    <s v="R15"/>
    <s v="ICE18"/>
    <x v="1"/>
    <x v="6"/>
    <x v="1"/>
    <x v="1"/>
    <s v="No"/>
    <s v="No"/>
    <m/>
    <m/>
    <n v="40324"/>
    <m/>
    <m/>
    <m/>
    <m/>
    <m/>
    <m/>
    <d v="2018-04-05T00:00:00"/>
    <s v="Yes"/>
    <s v="Yes"/>
    <x v="0"/>
  </r>
  <r>
    <s v="Bangalore"/>
    <s v="BASRTL325"/>
    <s v="No"/>
    <s v="Pre-INT"/>
    <s v="PCIe"/>
    <s v="SN3633174"/>
    <s v="R25"/>
    <s v="ICE18"/>
    <x v="1"/>
    <x v="6"/>
    <x v="1"/>
    <x v="1"/>
    <s v="No"/>
    <s v="No"/>
    <s v="4x"/>
    <m/>
    <n v="40325"/>
    <m/>
    <m/>
    <m/>
    <m/>
    <m/>
    <m/>
    <d v="2018-04-05T00:00:00"/>
    <s v="Yes"/>
    <s v="Yes"/>
    <x v="0"/>
  </r>
  <r>
    <s v="Bangalore"/>
    <s v="BASRTL326"/>
    <s v="Yes"/>
    <s v="Weekly"/>
    <s v="PCIe"/>
    <s v="SN3633223"/>
    <s v="R26"/>
    <s v="ICE18"/>
    <x v="1"/>
    <x v="12"/>
    <x v="3"/>
    <x v="1"/>
    <s v="No"/>
    <s v="No"/>
    <m/>
    <m/>
    <n v="40326"/>
    <m/>
    <m/>
    <m/>
    <m/>
    <m/>
    <m/>
    <d v="2018-04-05T00:00:00"/>
    <s v="Yes"/>
    <s v="Yes"/>
    <x v="0"/>
  </r>
  <r>
    <s v="Bangalore"/>
    <s v="BASRTL288"/>
    <s v="No"/>
    <m/>
    <s v="PCIe"/>
    <s v="SN2510799"/>
    <m/>
    <m/>
    <x v="2"/>
    <x v="2"/>
    <x v="2"/>
    <x v="1"/>
    <s v="No"/>
    <s v="No"/>
    <m/>
    <m/>
    <n v="40288"/>
    <m/>
    <m/>
    <m/>
    <m/>
    <m/>
    <m/>
    <d v="2018-04-26T00:00:00"/>
    <s v="Yes"/>
    <s v="Yes"/>
    <x v="0"/>
  </r>
  <r>
    <s v="Bangalore"/>
    <s v="BASRTL137"/>
    <m/>
    <m/>
    <s v="PCIe"/>
    <s v="SN2510541"/>
    <m/>
    <s v="IBIS"/>
    <x v="0"/>
    <x v="0"/>
    <x v="0"/>
    <x v="6"/>
    <s v="No"/>
    <s v="No"/>
    <m/>
    <m/>
    <m/>
    <m/>
    <m/>
    <m/>
    <m/>
    <m/>
    <m/>
    <d v="2018-05-04T00:00:00"/>
    <s v="Yes"/>
    <s v="Yes"/>
    <x v="0"/>
  </r>
  <r>
    <s v="Bangalore"/>
    <s v="BASRTL164"/>
    <m/>
    <m/>
    <s v="PCIe"/>
    <s v="SN3219989"/>
    <m/>
    <s v="IBIS"/>
    <x v="0"/>
    <x v="0"/>
    <x v="0"/>
    <x v="7"/>
    <s v="No"/>
    <s v="No"/>
    <m/>
    <m/>
    <m/>
    <m/>
    <m/>
    <m/>
    <m/>
    <m/>
    <m/>
    <d v="2018-05-04T00:00:00"/>
    <s v="Yes"/>
    <s v="Yes"/>
    <x v="0"/>
  </r>
  <r>
    <s v="Bangalore"/>
    <s v="BASRTL209"/>
    <m/>
    <m/>
    <s v="PCIe"/>
    <s v="SN3219619"/>
    <m/>
    <s v="IBIS"/>
    <x v="0"/>
    <x v="0"/>
    <x v="0"/>
    <x v="6"/>
    <s v="No"/>
    <s v="No"/>
    <m/>
    <m/>
    <m/>
    <m/>
    <m/>
    <m/>
    <m/>
    <m/>
    <m/>
    <d v="2018-05-04T00:00:00"/>
    <s v="Yes"/>
    <s v="Yes"/>
    <x v="0"/>
  </r>
  <r>
    <s v="Bangalore"/>
    <s v="BASRTL212"/>
    <m/>
    <m/>
    <s v="PCIe"/>
    <s v="SN3299763"/>
    <m/>
    <s v="IBIS"/>
    <x v="0"/>
    <x v="0"/>
    <x v="0"/>
    <x v="6"/>
    <s v="No"/>
    <s v="No"/>
    <m/>
    <m/>
    <m/>
    <m/>
    <m/>
    <m/>
    <m/>
    <m/>
    <m/>
    <d v="2018-05-04T00:00:00"/>
    <s v="Yes"/>
    <s v="Yes"/>
    <x v="0"/>
  </r>
  <r>
    <s v="Bangalore"/>
    <s v="BASRTL238"/>
    <m/>
    <m/>
    <s v="PCIe"/>
    <s v="SN3299555"/>
    <m/>
    <s v="IBIS"/>
    <x v="0"/>
    <x v="0"/>
    <x v="0"/>
    <x v="6"/>
    <s v="No"/>
    <s v="No"/>
    <m/>
    <m/>
    <m/>
    <m/>
    <m/>
    <m/>
    <m/>
    <m/>
    <m/>
    <d v="2018-05-04T00:00:00"/>
    <s v="Yes"/>
    <s v="Yes"/>
    <x v="0"/>
  </r>
  <r>
    <s v="Bangalore"/>
    <s v="BASRTL239"/>
    <m/>
    <m/>
    <s v="PCIe"/>
    <s v="SN3299595"/>
    <m/>
    <s v="IBIS"/>
    <x v="0"/>
    <x v="0"/>
    <x v="0"/>
    <x v="6"/>
    <s v="No"/>
    <s v="No"/>
    <m/>
    <m/>
    <m/>
    <m/>
    <m/>
    <m/>
    <m/>
    <m/>
    <m/>
    <d v="2018-05-04T00:00:00"/>
    <s v="Yes"/>
    <s v="Yes"/>
    <x v="0"/>
  </r>
  <r>
    <s v="Bangalore"/>
    <s v="BASRTL240"/>
    <m/>
    <m/>
    <s v="PCIe"/>
    <s v="SN3299701"/>
    <m/>
    <s v="IBIS"/>
    <x v="0"/>
    <x v="0"/>
    <x v="0"/>
    <x v="6"/>
    <s v="No"/>
    <s v="No"/>
    <m/>
    <m/>
    <m/>
    <m/>
    <m/>
    <m/>
    <m/>
    <m/>
    <m/>
    <d v="2018-05-04T00:00:00"/>
    <s v="Yes"/>
    <s v="Yes"/>
    <x v="0"/>
  </r>
  <r>
    <s v="Bangalore"/>
    <s v="BASRTL246"/>
    <m/>
    <m/>
    <s v="PCIe"/>
    <s v="SN3299395"/>
    <m/>
    <s v="IBIS"/>
    <x v="0"/>
    <x v="0"/>
    <x v="0"/>
    <x v="6"/>
    <s v="No"/>
    <s v="No"/>
    <m/>
    <m/>
    <m/>
    <m/>
    <m/>
    <m/>
    <m/>
    <m/>
    <m/>
    <d v="2018-05-04T00:00:00"/>
    <s v="Yes"/>
    <s v="Yes"/>
    <x v="0"/>
  </r>
  <r>
    <s v="Bangalore"/>
    <s v="BASRTL161"/>
    <m/>
    <m/>
    <s v="PCIe"/>
    <s v="SN3219927"/>
    <m/>
    <s v="IBIS"/>
    <x v="0"/>
    <x v="0"/>
    <x v="0"/>
    <x v="7"/>
    <s v="No"/>
    <s v="No"/>
    <m/>
    <m/>
    <m/>
    <m/>
    <m/>
    <m/>
    <m/>
    <m/>
    <m/>
    <d v="2018-05-04T00:00:00"/>
    <s v="Yes"/>
    <s v="Yes"/>
    <x v="0"/>
  </r>
  <r>
    <s v="Bangalore"/>
    <s v="BASRTW069"/>
    <m/>
    <m/>
    <s v="USB"/>
    <m/>
    <m/>
    <s v="ICE17"/>
    <x v="0"/>
    <x v="0"/>
    <x v="0"/>
    <x v="2"/>
    <s v="No"/>
    <s v="No"/>
    <m/>
    <m/>
    <m/>
    <m/>
    <m/>
    <m/>
    <m/>
    <m/>
    <m/>
    <d v="2018-04-06T00:00:00"/>
    <s v="Yes"/>
    <s v="Yes"/>
    <x v="0"/>
  </r>
  <r>
    <s v="Bangalore"/>
    <s v="BASRTL333"/>
    <s v="Yes"/>
    <s v="Pre-INT"/>
    <s v="PCIe"/>
    <s v="SN3648289"/>
    <m/>
    <s v="ICE18"/>
    <x v="1"/>
    <x v="12"/>
    <x v="3"/>
    <x v="1"/>
    <s v="No"/>
    <s v="No"/>
    <m/>
    <m/>
    <n v="40333"/>
    <m/>
    <m/>
    <m/>
    <m/>
    <m/>
    <m/>
    <d v="2018-04-12T00:00:00"/>
    <s v="Yes"/>
    <s v="Yes"/>
    <x v="0"/>
  </r>
  <r>
    <s v="Bangalore"/>
    <s v="BASRTL334"/>
    <s v="Yes"/>
    <s v="Pre-INT"/>
    <s v="PCIe"/>
    <s v="SN3633156"/>
    <m/>
    <s v="ICE18"/>
    <x v="1"/>
    <x v="12"/>
    <x v="3"/>
    <x v="1"/>
    <s v="No"/>
    <s v="No"/>
    <m/>
    <m/>
    <n v="40334"/>
    <m/>
    <m/>
    <n v="8660691471"/>
    <n v="440152254859"/>
    <n v="440152254859"/>
    <n v="7349334917"/>
    <d v="2018-04-12T00:00:00"/>
    <s v="Yes"/>
    <s v="Yes"/>
    <x v="0"/>
  </r>
  <r>
    <s v="Bangalore"/>
    <s v="BASRTL335"/>
    <s v="Yes"/>
    <s v="Weekly"/>
    <s v="PCIe"/>
    <s v="SN3648217"/>
    <m/>
    <s v="ICE18"/>
    <x v="1"/>
    <x v="12"/>
    <x v="3"/>
    <x v="1"/>
    <s v="No"/>
    <s v="No"/>
    <m/>
    <m/>
    <n v="40335"/>
    <m/>
    <m/>
    <n v="8660691472"/>
    <n v="440152253598"/>
    <n v="440152253598"/>
    <n v="7349353440"/>
    <d v="2018-04-12T00:00:00"/>
    <s v="Yes"/>
    <s v="Yes"/>
    <x v="0"/>
  </r>
  <r>
    <s v="Bangalore"/>
    <s v="BASRTL336"/>
    <s v="Yes"/>
    <s v="Pre-INT"/>
    <s v="PCIe"/>
    <s v="SN3648442"/>
    <m/>
    <s v="ICE18"/>
    <x v="1"/>
    <x v="12"/>
    <x v="3"/>
    <x v="1"/>
    <s v="No"/>
    <s v="No"/>
    <s v="4x"/>
    <m/>
    <n v="40336"/>
    <m/>
    <m/>
    <n v="8660690671"/>
    <n v="440152262526"/>
    <n v="440152262526"/>
    <n v="9945617840"/>
    <d v="2018-04-12T00:00:00"/>
    <s v="Yes"/>
    <s v="Yes"/>
    <x v="0"/>
  </r>
  <r>
    <s v="Bangalore"/>
    <s v="BASRTL337"/>
    <s v="Yes"/>
    <s v="Weekly"/>
    <s v="PCIe"/>
    <s v="SN3648423"/>
    <m/>
    <s v="ICE18"/>
    <x v="1"/>
    <x v="12"/>
    <x v="3"/>
    <x v="1"/>
    <s v="No"/>
    <s v="No"/>
    <m/>
    <m/>
    <n v="40337"/>
    <m/>
    <m/>
    <n v="6361753254"/>
    <n v="440152249862"/>
    <n v="440152249862"/>
    <n v="9148086634"/>
    <d v="2018-04-09T00:00:00"/>
    <s v="Yes"/>
    <s v="Yes"/>
    <x v="0"/>
  </r>
  <r>
    <s v="Bangalore"/>
    <s v="BASRTL338"/>
    <s v="Yes"/>
    <s v="Weekly"/>
    <s v="PCIe"/>
    <s v="SN3648260"/>
    <m/>
    <s v="ICE18"/>
    <x v="1"/>
    <x v="12"/>
    <x v="3"/>
    <x v="1"/>
    <s v="No"/>
    <s v="No"/>
    <m/>
    <m/>
    <n v="40338"/>
    <m/>
    <m/>
    <n v="6361753217"/>
    <n v="440152253587"/>
    <n v="440152253587"/>
    <n v="7349353996"/>
    <d v="2018-04-09T00:00:00"/>
    <s v="Yes"/>
    <s v="Yes"/>
    <x v="0"/>
  </r>
  <r>
    <s v="Bangalore"/>
    <s v="BASRTL339"/>
    <s v="Yes"/>
    <s v="CEB"/>
    <s v="PCIe"/>
    <s v="SN3648355"/>
    <m/>
    <s v="ICE18"/>
    <x v="1"/>
    <x v="12"/>
    <x v="3"/>
    <x v="1"/>
    <s v="No"/>
    <s v="No"/>
    <s v="4x"/>
    <m/>
    <n v="40339"/>
    <m/>
    <m/>
    <n v="6361753248"/>
    <n v="440152253585"/>
    <n v="440152253585"/>
    <n v="9513309335"/>
    <d v="2018-04-12T00:00:00"/>
    <s v="Yes"/>
    <s v="Yes"/>
    <x v="0"/>
  </r>
  <r>
    <s v="Bangalore"/>
    <s v="BASRTL340"/>
    <s v="Yes"/>
    <s v="Weekly"/>
    <s v="PCIe"/>
    <s v="SN3633230"/>
    <m/>
    <s v="ICE18"/>
    <x v="1"/>
    <x v="12"/>
    <x v="3"/>
    <x v="1"/>
    <s v="No"/>
    <s v="No"/>
    <m/>
    <m/>
    <n v="40340"/>
    <m/>
    <m/>
    <n v="6361753216"/>
    <n v="440152254863"/>
    <n v="440152254863"/>
    <n v="9148086499"/>
    <d v="2018-04-09T00:00:00"/>
    <s v="Yes"/>
    <s v="Yes"/>
    <x v="0"/>
  </r>
  <r>
    <s v="Bangalore"/>
    <s v="BASRTL341"/>
    <s v="Yes"/>
    <s v="Weekly"/>
    <s v="PCIe"/>
    <s v="SN3648277"/>
    <m/>
    <s v="ICE18"/>
    <x v="1"/>
    <x v="12"/>
    <x v="3"/>
    <x v="1"/>
    <s v="No"/>
    <s v="No"/>
    <m/>
    <m/>
    <n v="40341"/>
    <m/>
    <m/>
    <n v="6361753215"/>
    <n v="440152253600"/>
    <n v="440152253600"/>
    <n v="9148086492"/>
    <d v="2018-04-09T00:00:00"/>
    <s v="Yes"/>
    <s v="Yes"/>
    <x v="0"/>
  </r>
  <r>
    <s v="Bangalore"/>
    <s v="BASRTL342"/>
    <s v="Yes"/>
    <s v="Weekly"/>
    <s v="PCIe"/>
    <s v="SN3648308"/>
    <m/>
    <s v="ICE18"/>
    <x v="1"/>
    <x v="12"/>
    <x v="3"/>
    <x v="1"/>
    <s v="No"/>
    <s v="No"/>
    <m/>
    <m/>
    <n v="40342"/>
    <m/>
    <m/>
    <n v="6361753218"/>
    <n v="440152254851"/>
    <n v="440152254851"/>
    <n v="9148086491"/>
    <d v="2018-04-09T00:00:00"/>
    <s v="Yes"/>
    <s v="Yes"/>
    <x v="0"/>
  </r>
  <r>
    <s v="Bangalore"/>
    <s v="BASRTL343"/>
    <s v="Yes"/>
    <s v="CEB"/>
    <s v="PCIe"/>
    <s v="SN3648269"/>
    <m/>
    <s v="ICE19"/>
    <x v="0"/>
    <x v="4"/>
    <x v="4"/>
    <x v="4"/>
    <s v="No"/>
    <s v="No"/>
    <m/>
    <m/>
    <n v="40343"/>
    <m/>
    <m/>
    <n v="6361753232"/>
    <n v="440152254848"/>
    <n v="440152254848"/>
    <n v="7625046455"/>
    <d v="2018-04-09T00:00:00"/>
    <s v="Yes"/>
    <s v="Yes"/>
    <x v="0"/>
  </r>
  <r>
    <s v="Bangalore"/>
    <s v="BASRTL344"/>
    <s v="Yes"/>
    <s v="Pre-INT"/>
    <s v="PCIe"/>
    <s v="SN3648359"/>
    <m/>
    <s v="ICE18"/>
    <x v="1"/>
    <x v="12"/>
    <x v="3"/>
    <x v="1"/>
    <s v="No"/>
    <s v="No"/>
    <s v="4x"/>
    <m/>
    <n v="40344"/>
    <m/>
    <m/>
    <n v="6361753223"/>
    <n v="440152254881"/>
    <n v="440152254881"/>
    <n v="9148086493"/>
    <d v="2018-04-09T00:00:00"/>
    <s v="Yes"/>
    <s v="Yes"/>
    <x v="0"/>
  </r>
  <r>
    <s v="Bangalore"/>
    <s v="BASRTL345"/>
    <s v="Yes"/>
    <s v="CEB"/>
    <s v="PCIe"/>
    <s v="SN3648254"/>
    <m/>
    <s v="ICE18"/>
    <x v="1"/>
    <x v="12"/>
    <x v="3"/>
    <x v="1"/>
    <s v="No"/>
    <s v="No"/>
    <s v="4x"/>
    <m/>
    <n v="40345"/>
    <m/>
    <m/>
    <n v="6361753236"/>
    <n v="440152258340"/>
    <n v="440152258340"/>
    <n v="9148086498"/>
    <d v="2018-04-09T00:00:00"/>
    <s v="Yes"/>
    <s v="Yes"/>
    <x v="0"/>
  </r>
  <r>
    <s v="Bangalore"/>
    <s v="BASRTL346"/>
    <s v="Yes"/>
    <s v="Weekly"/>
    <s v="PCIe"/>
    <s v="SN3648544"/>
    <m/>
    <s v="ICE18"/>
    <x v="1"/>
    <x v="12"/>
    <x v="3"/>
    <x v="1"/>
    <s v="No"/>
    <s v="No"/>
    <m/>
    <m/>
    <n v="40346"/>
    <m/>
    <m/>
    <n v="6361753253"/>
    <n v="440152249816"/>
    <n v="440152249816"/>
    <n v="9148086632"/>
    <d v="2018-04-09T00:00:00"/>
    <s v="Yes"/>
    <s v="Yes"/>
    <x v="0"/>
  </r>
  <r>
    <s v="Bangalore"/>
    <s v="BASRTL347"/>
    <s v="Yes"/>
    <s v="Weekly"/>
    <s v="PCIe"/>
    <s v="SN3648412"/>
    <m/>
    <s v="ICE18"/>
    <x v="1"/>
    <x v="12"/>
    <x v="3"/>
    <x v="1"/>
    <s v="No"/>
    <s v="No"/>
    <m/>
    <m/>
    <n v="40347"/>
    <m/>
    <m/>
    <n v="6361753214"/>
    <n v="440152249860"/>
    <n v="440152249860"/>
    <n v="9148086494"/>
    <d v="2018-04-09T00:00:00"/>
    <s v="Yes"/>
    <s v="Yes"/>
    <x v="0"/>
  </r>
  <r>
    <s v="Bangalore"/>
    <s v="BASRTL348"/>
    <s v="Yes"/>
    <s v="Pre-INT"/>
    <s v="PCIe"/>
    <s v="SN3648286"/>
    <m/>
    <s v="ICE18"/>
    <x v="1"/>
    <x v="12"/>
    <x v="3"/>
    <x v="1"/>
    <s v="No"/>
    <s v="No"/>
    <s v="4x"/>
    <m/>
    <n v="40348"/>
    <m/>
    <m/>
    <n v="6361753224"/>
    <n v="440152249880"/>
    <n v="440152254880"/>
    <n v="9148086496"/>
    <d v="2018-04-09T00:00:00"/>
    <s v="Yes"/>
    <s v="Yes"/>
    <x v="0"/>
  </r>
  <r>
    <s v="Bangalore"/>
    <s v="BASRTL349"/>
    <s v="Yes"/>
    <s v="CEB"/>
    <s v="PCIe"/>
    <s v="SN3648455"/>
    <m/>
    <s v="ICE19"/>
    <x v="1"/>
    <x v="13"/>
    <x v="9"/>
    <x v="4"/>
    <s v="No"/>
    <s v="No"/>
    <s v="4x"/>
    <m/>
    <n v="40349"/>
    <m/>
    <m/>
    <m/>
    <m/>
    <m/>
    <m/>
    <d v="2018-04-09T00:00:00"/>
    <s v="Yes"/>
    <s v="Yes"/>
    <x v="0"/>
  </r>
  <r>
    <s v="Bangalore"/>
    <s v="BASRTL350"/>
    <s v="Yes"/>
    <s v="CEB"/>
    <s v="PCIe"/>
    <s v="SN3648257"/>
    <m/>
    <s v="ICE18"/>
    <x v="1"/>
    <x v="12"/>
    <x v="3"/>
    <x v="1"/>
    <s v="No"/>
    <s v="No"/>
    <m/>
    <m/>
    <n v="40350"/>
    <m/>
    <m/>
    <n v="6361753219"/>
    <n v="440152249874"/>
    <n v="440152254874"/>
    <n v="7349781098"/>
    <d v="2018-04-09T00:00:00"/>
    <s v="Yes"/>
    <s v="Yes"/>
    <x v="0"/>
  </r>
  <r>
    <s v="Bangalore"/>
    <s v="BASRTL331"/>
    <s v="Yes"/>
    <s v="CEB"/>
    <s v="PCIe"/>
    <s v="SN3648467"/>
    <m/>
    <s v="ICE19"/>
    <x v="0"/>
    <x v="0"/>
    <x v="10"/>
    <x v="8"/>
    <s v="No"/>
    <m/>
    <m/>
    <m/>
    <m/>
    <m/>
    <m/>
    <m/>
    <m/>
    <m/>
    <m/>
    <m/>
    <s v="Yes"/>
    <s v="Yes"/>
    <x v="0"/>
  </r>
  <r>
    <s v="Bangalore"/>
    <s v="BASRTL351"/>
    <s v="Yes"/>
    <s v="Pre-INT"/>
    <s v="PCIe"/>
    <s v="SN3648243"/>
    <m/>
    <s v="ICE19"/>
    <x v="0"/>
    <x v="4"/>
    <x v="4"/>
    <x v="8"/>
    <s v="No"/>
    <m/>
    <m/>
    <m/>
    <m/>
    <m/>
    <m/>
    <m/>
    <m/>
    <m/>
    <m/>
    <d v="2018-04-09T00:00:00"/>
    <s v="Yes"/>
    <s v="Yes"/>
    <x v="0"/>
  </r>
  <r>
    <s v="Bangalore"/>
    <s v="BASRTL352"/>
    <s v="Yes"/>
    <s v="Pre-INT"/>
    <s v="PCIe"/>
    <s v="SN3648388"/>
    <m/>
    <s v="ICE19"/>
    <x v="0"/>
    <x v="4"/>
    <x v="4"/>
    <x v="4"/>
    <s v="No"/>
    <s v="No"/>
    <m/>
    <m/>
    <n v="40352"/>
    <m/>
    <m/>
    <n v="6361753220"/>
    <n v="440152249873"/>
    <n v="440152254873"/>
    <n v="9148086497"/>
    <d v="2018-04-09T00:00:00"/>
    <s v="Yes"/>
    <s v="Yes"/>
    <x v="0"/>
  </r>
  <r>
    <s v="Bangalore"/>
    <s v="BASRTL353"/>
    <s v="No"/>
    <m/>
    <s v="PCIe"/>
    <s v="SN3648476"/>
    <m/>
    <s v="ICE18"/>
    <x v="1"/>
    <x v="2"/>
    <x v="2"/>
    <x v="1"/>
    <s v="No"/>
    <s v="No"/>
    <m/>
    <m/>
    <n v="40353"/>
    <m/>
    <m/>
    <m/>
    <m/>
    <m/>
    <m/>
    <d v="2018-04-09T00:00:00"/>
    <s v="Yes"/>
    <s v="No"/>
    <x v="1"/>
  </r>
  <r>
    <s v="Munich"/>
    <s v="MUCSRTL005"/>
    <s v="Yes"/>
    <s v="Daily"/>
    <s v="PCIe"/>
    <s v="SN2794396"/>
    <s v="11.1.268 ICER1/1"/>
    <s v="ICE18"/>
    <x v="0"/>
    <x v="14"/>
    <x v="6"/>
    <x v="1"/>
    <s v="No"/>
    <s v="No"/>
    <s v="No"/>
    <m/>
    <s v="Yes(40005)"/>
    <m/>
    <m/>
    <n v="15904263195"/>
    <n v="440152237231"/>
    <m/>
    <m/>
    <d v="2018-04-04T00:00:00"/>
    <s v="Yes"/>
    <s v="Yes"/>
    <x v="0"/>
  </r>
  <r>
    <s v="Munich"/>
    <s v="MUCSRTL006"/>
    <s v="Yes"/>
    <s v="Daily"/>
    <s v="PCIe"/>
    <s v="SN2388941"/>
    <s v="11.1.268 ICER1/1"/>
    <s v="ICE18"/>
    <x v="0"/>
    <x v="15"/>
    <x v="5"/>
    <x v="1"/>
    <s v="No"/>
    <s v="No"/>
    <s v="No"/>
    <m/>
    <s v="Yes(40006)"/>
    <m/>
    <m/>
    <s v="491755815399"/>
    <n v="440152237245"/>
    <m/>
    <m/>
    <d v="2018-04-09T00:00:00"/>
    <s v="Yes"/>
    <s v="Yes"/>
    <x v="0"/>
  </r>
  <r>
    <s v="Munich"/>
    <s v="MUCSRTL007"/>
    <s v="No"/>
    <m/>
    <s v="PCIe"/>
    <s v="SN2794229"/>
    <s v="11.1.268 ICER1/4"/>
    <s v="ICE18"/>
    <x v="0"/>
    <x v="14"/>
    <x v="4"/>
    <x v="1"/>
    <s v="No"/>
    <s v="No"/>
    <s v="No"/>
    <m/>
    <s v="No"/>
    <m/>
    <m/>
    <n v="17610563407"/>
    <n v="440152238744"/>
    <m/>
    <m/>
    <d v="2018-05-02T00:00:00"/>
    <s v="Yes"/>
    <s v="Yes"/>
    <x v="3"/>
  </r>
  <r>
    <s v="Munich"/>
    <s v="MUCSRTL008"/>
    <s v="Yes"/>
    <s v="CEB"/>
    <s v="PCIe"/>
    <s v="SN2794344"/>
    <s v="11.1.268 ICER1/4"/>
    <s v="ICE18"/>
    <x v="0"/>
    <x v="15"/>
    <x v="6"/>
    <x v="0"/>
    <s v="No"/>
    <s v="No"/>
    <s v="No"/>
    <m/>
    <s v="No"/>
    <m/>
    <m/>
    <n v="4915142647256"/>
    <n v="440152048209"/>
    <m/>
    <m/>
    <d v="2018-04-04T00:00:00"/>
    <s v="Yes"/>
    <s v="Yes"/>
    <x v="0"/>
  </r>
  <r>
    <s v="Munich"/>
    <s v="MUCSRTL009"/>
    <s v="Yes"/>
    <s v="Pre-INT"/>
    <s v="PCIe"/>
    <s v="SN2794272"/>
    <s v="11.1.371 R5/1"/>
    <s v="ICE18"/>
    <x v="0"/>
    <x v="15"/>
    <x v="6"/>
    <x v="1"/>
    <s v="No"/>
    <s v="No"/>
    <s v="No"/>
    <m/>
    <s v="No"/>
    <m/>
    <m/>
    <n v="491605111593"/>
    <n v="440152218154"/>
    <m/>
    <m/>
    <d v="2018-04-04T00:00:00"/>
    <s v="Yes"/>
    <s v="Yes"/>
    <x v="0"/>
  </r>
  <r>
    <s v="Munich"/>
    <s v="MUCSRTL010"/>
    <s v="Yes"/>
    <s v="Pre-INT"/>
    <s v="PCIe"/>
    <s v="SN2794271"/>
    <s v="11.1.268 ICER1/7"/>
    <s v="ICE18"/>
    <x v="0"/>
    <x v="15"/>
    <x v="11"/>
    <x v="1"/>
    <s v="No"/>
    <s v="No"/>
    <s v="No"/>
    <m/>
    <s v="No"/>
    <m/>
    <m/>
    <n v="491605101703"/>
    <n v="440152238946"/>
    <m/>
    <m/>
    <d v="2018-04-09T00:00:00"/>
    <s v="Yes"/>
    <s v="Yes"/>
    <x v="0"/>
  </r>
  <r>
    <s v="Munich"/>
    <s v="MUCSRTL011"/>
    <s v="Yes"/>
    <s v="EB"/>
    <s v="PCIe"/>
    <s v="SN2794233"/>
    <s v="11.1.268 ICER1/7"/>
    <s v="ICE18"/>
    <x v="0"/>
    <x v="15"/>
    <x v="6"/>
    <x v="0"/>
    <s v="No"/>
    <s v="No"/>
    <s v="No"/>
    <m/>
    <s v="No"/>
    <m/>
    <m/>
    <n v="1605111219"/>
    <n v="440152056422"/>
    <m/>
    <m/>
    <d v="2018-04-04T00:00:00"/>
    <s v="Yes"/>
    <s v="Yes"/>
    <x v="0"/>
  </r>
  <r>
    <s v="Munich"/>
    <s v="MUCSRTL012"/>
    <s v="Yes"/>
    <s v="Weekly"/>
    <s v="PCIe"/>
    <s v="SN2794392"/>
    <s v="11.1.268 ICER1/5"/>
    <s v="ICE18"/>
    <x v="0"/>
    <x v="15"/>
    <x v="5"/>
    <x v="1"/>
    <s v="No"/>
    <s v="No"/>
    <s v="No"/>
    <m/>
    <s v="Yes(40012)"/>
    <m/>
    <m/>
    <s v="491722561308"/>
    <n v="440152237241"/>
    <m/>
    <m/>
    <d v="2018-04-04T00:00:00"/>
    <s v="Yes"/>
    <s v="Yes"/>
    <x v="0"/>
  </r>
  <r>
    <s v="Munich"/>
    <s v="MUCSRTL013"/>
    <s v="Yes"/>
    <s v="Daily"/>
    <s v="PCIe"/>
    <s v="SN2794237"/>
    <s v="11.1.268 ICER1/5"/>
    <s v="ICE18"/>
    <x v="0"/>
    <x v="15"/>
    <x v="5"/>
    <x v="1"/>
    <s v="No"/>
    <s v="No"/>
    <s v="No"/>
    <m/>
    <s v="Yes(40013)"/>
    <m/>
    <m/>
    <s v="491605101703"/>
    <n v="440152056645"/>
    <m/>
    <m/>
    <d v="2018-04-04T00:00:00"/>
    <s v="Yes"/>
    <s v="Yes"/>
    <x v="0"/>
  </r>
  <r>
    <s v="Munich"/>
    <s v="MUCSRTL014"/>
    <s v="Yes"/>
    <s v="Daily"/>
    <s v="PCIe"/>
    <s v="SN2794276"/>
    <s v="11.1.268 ICER1/6"/>
    <s v="ICE18"/>
    <x v="0"/>
    <x v="15"/>
    <x v="4"/>
    <x v="1"/>
    <s v="No"/>
    <s v="No"/>
    <s v="No"/>
    <m/>
    <s v="Yes(40014)"/>
    <m/>
    <m/>
    <n v="491605104651"/>
    <n v="440152237248"/>
    <m/>
    <m/>
    <d v="2018-04-04T00:00:00"/>
    <s v="Yes"/>
    <s v="Yes"/>
    <x v="0"/>
  </r>
  <r>
    <s v="Munich"/>
    <s v="MUCSRTL023"/>
    <s v="Yes"/>
    <s v="Pre-INT"/>
    <s v="PCIe"/>
    <s v="SN3219551"/>
    <s v="11.1.268 ICER3/1"/>
    <s v="ICE18"/>
    <x v="0"/>
    <x v="14"/>
    <x v="5"/>
    <x v="1"/>
    <s v="No"/>
    <s v="No"/>
    <s v="No"/>
    <m/>
    <s v="No"/>
    <m/>
    <m/>
    <n v="4917610563440"/>
    <n v="440152238951"/>
    <m/>
    <m/>
    <d v="2018-04-04T00:00:00"/>
    <s v="Yes"/>
    <s v="Yes"/>
    <x v="0"/>
  </r>
  <r>
    <s v="Munich"/>
    <s v="MUCSRTL024"/>
    <s v="Yes"/>
    <s v="Weekly"/>
    <s v="PCIe"/>
    <s v="SN3219616"/>
    <s v="11.1.268 ICER3/1"/>
    <s v="ICE18"/>
    <x v="0"/>
    <x v="14"/>
    <x v="5"/>
    <x v="1"/>
    <s v="No"/>
    <s v="No"/>
    <s v="No"/>
    <m/>
    <s v="Yes(40024)"/>
    <m/>
    <m/>
    <s v="4917610506587"/>
    <n v="440152237238"/>
    <m/>
    <m/>
    <d v="2018-04-04T00:00:00"/>
    <s v="Yes"/>
    <s v="Yes"/>
    <x v="0"/>
  </r>
  <r>
    <s v="Munich"/>
    <s v="MUCSRTL025"/>
    <s v="Yes"/>
    <s v="Daily"/>
    <s v="PCIe"/>
    <s v="SN3120221"/>
    <s v="11.1.268 R1/3"/>
    <s v="ICE18"/>
    <x v="0"/>
    <x v="14"/>
    <x v="5"/>
    <x v="1"/>
    <s v="No"/>
    <s v="No"/>
    <s v="No"/>
    <m/>
    <s v="Yes(40025)"/>
    <m/>
    <m/>
    <n v="4917610506569"/>
    <n v="440152239336"/>
    <m/>
    <m/>
    <d v="2018-04-04T00:00:00"/>
    <s v="Yes"/>
    <s v="Yes"/>
    <x v="0"/>
  </r>
  <r>
    <s v="Munich"/>
    <s v="MUCSRTL026"/>
    <s v="Yes"/>
    <s v="Daily"/>
    <s v="PCIe"/>
    <s v="SN3219560"/>
    <s v="11.1.268 R1/1"/>
    <s v="ICE18"/>
    <x v="0"/>
    <x v="14"/>
    <x v="5"/>
    <x v="1"/>
    <s v="No"/>
    <s v="No"/>
    <s v="No"/>
    <m/>
    <s v="Yes(40026)"/>
    <m/>
    <m/>
    <s v="4917619020192"/>
    <n v="440152237254"/>
    <m/>
    <m/>
    <d v="2018-04-04T00:00:00"/>
    <s v="Yes"/>
    <s v="Yes"/>
    <x v="0"/>
  </r>
  <r>
    <s v="Munich"/>
    <s v="MUCSRTL027"/>
    <s v="Yes"/>
    <s v="Daily"/>
    <s v="PCIe"/>
    <s v="SN3219554"/>
    <s v="11.1.268 R2/5"/>
    <s v="ICE18"/>
    <x v="0"/>
    <x v="15"/>
    <x v="5"/>
    <x v="1"/>
    <s v="No"/>
    <s v="No"/>
    <s v="No"/>
    <m/>
    <s v="Yes"/>
    <m/>
    <m/>
    <n v="4915117966989"/>
    <n v="440152238943"/>
    <m/>
    <m/>
    <d v="2018-04-04T00:00:00"/>
    <s v="Yes"/>
    <s v="Yes"/>
    <x v="0"/>
  </r>
  <r>
    <s v="Munich"/>
    <s v="MUCSRTL028"/>
    <s v="Yes"/>
    <s v="Daily"/>
    <s v="PCIe"/>
    <s v="SN3219563"/>
    <s v="11.1.268 R1/5"/>
    <s v="ICE18"/>
    <x v="0"/>
    <x v="14"/>
    <x v="6"/>
    <x v="1"/>
    <s v="No"/>
    <s v="No"/>
    <s v="No"/>
    <m/>
    <s v="Yes(40028)"/>
    <m/>
    <m/>
    <s v="4917610506583"/>
    <n v="440152213644"/>
    <m/>
    <m/>
    <d v="2018-04-04T00:00:00"/>
    <s v="Yes"/>
    <s v="Yes"/>
    <x v="0"/>
  </r>
  <r>
    <s v="Munich"/>
    <s v="MUCSRTL029"/>
    <s v="Yes"/>
    <s v="EB"/>
    <s v="PCIe"/>
    <s v="SN3219582"/>
    <s v="11.1.268 R2/3"/>
    <s v="ICE18"/>
    <x v="0"/>
    <x v="14"/>
    <x v="5"/>
    <x v="1"/>
    <s v="No"/>
    <s v="No"/>
    <s v="No"/>
    <m/>
    <s v="Yes(40029)"/>
    <m/>
    <m/>
    <n v="4917610506581"/>
    <n v="440152237226"/>
    <m/>
    <m/>
    <d v="2018-04-04T00:00:00"/>
    <s v="Yes"/>
    <s v="Yes"/>
    <x v="0"/>
  </r>
  <r>
    <s v="Munich"/>
    <s v="MUCSRTL031"/>
    <s v="Yes"/>
    <s v="Weekly"/>
    <s v="PCIe"/>
    <s v="SN3219632"/>
    <s v="11.1.371 R5/1"/>
    <s v="ICE18"/>
    <x v="0"/>
    <x v="15"/>
    <x v="6"/>
    <x v="1"/>
    <s v="No"/>
    <s v="No"/>
    <s v="No"/>
    <m/>
    <s v="Yes(40031)"/>
    <m/>
    <m/>
    <s v="491605103513"/>
    <n v="440152237234"/>
    <m/>
    <m/>
    <d v="2018-04-04T00:00:00"/>
    <s v="Yes"/>
    <s v="Yes"/>
    <x v="0"/>
  </r>
  <r>
    <s v="Munich"/>
    <s v="MUCSRTL032"/>
    <s v="Yes"/>
    <s v="Daily"/>
    <s v="PCIe"/>
    <s v="SN3219597"/>
    <s v="11.1.268 ICER1/6"/>
    <s v="ICE18"/>
    <x v="0"/>
    <x v="14"/>
    <x v="6"/>
    <x v="1"/>
    <s v="No"/>
    <s v="No"/>
    <s v="No"/>
    <m/>
    <s v="Yes(40032)"/>
    <m/>
    <m/>
    <n v="4917610056913"/>
    <n v="440152237225"/>
    <m/>
    <m/>
    <d v="2018-04-04T00:00:00"/>
    <s v="Yes"/>
    <s v="Yes"/>
    <x v="0"/>
  </r>
  <r>
    <s v="Munich"/>
    <s v="MUCSRTL033"/>
    <s v="Yes"/>
    <s v="Weekly"/>
    <s v="PCIe"/>
    <s v="SN3219956"/>
    <s v="11.1.371 R5/2"/>
    <s v="ICE18"/>
    <x v="0"/>
    <x v="14"/>
    <x v="4"/>
    <x v="1"/>
    <s v="No"/>
    <s v="No"/>
    <s v="No"/>
    <m/>
    <s v="Yes(40033)"/>
    <m/>
    <m/>
    <s v="4915904545569"/>
    <n v="440152238950"/>
    <m/>
    <m/>
    <d v="2018-04-04T00:00:00"/>
    <s v="Yes"/>
    <s v="Yes"/>
    <x v="0"/>
  </r>
  <r>
    <s v="Munich"/>
    <s v="MUCSRTL034"/>
    <s v="Yes"/>
    <s v="Weekly"/>
    <s v="PCIe"/>
    <s v="SN3220080"/>
    <s v="11.1.268 RDSR2/2"/>
    <s v="ICE18"/>
    <x v="0"/>
    <x v="15"/>
    <x v="5"/>
    <x v="1"/>
    <s v="No"/>
    <s v="No"/>
    <s v="No"/>
    <m/>
    <s v="Yes(40034)"/>
    <m/>
    <m/>
    <s v="491755869283"/>
    <n v="440152237251"/>
    <m/>
    <m/>
    <d v="2018-04-04T00:00:00"/>
    <s v="Yes"/>
    <s v="Yes"/>
    <x v="0"/>
  </r>
  <r>
    <s v="Munich"/>
    <s v="MUCSRTL035"/>
    <s v="Yes"/>
    <s v="Daily"/>
    <s v="PCIe"/>
    <s v="SN3219992"/>
    <s v="11.1.371 R1/2"/>
    <s v="ICE18"/>
    <x v="0"/>
    <x v="15"/>
    <x v="5"/>
    <x v="1"/>
    <s v="No"/>
    <s v="No"/>
    <s v="No"/>
    <m/>
    <s v="Yes(40035)"/>
    <m/>
    <m/>
    <s v="491706842108"/>
    <n v="440152237224"/>
    <m/>
    <m/>
    <d v="2018-04-04T00:00:00"/>
    <s v="Yes"/>
    <s v="Yes"/>
    <x v="0"/>
  </r>
  <r>
    <s v="Munich"/>
    <s v="MUCSRTL036"/>
    <s v="Yes"/>
    <s v="Pre-INT"/>
    <s v="PCIe"/>
    <s v="SN3219705"/>
    <s v="11.1.371 R10/3"/>
    <s v="ICE18"/>
    <x v="0"/>
    <x v="14"/>
    <x v="5"/>
    <x v="1"/>
    <s v="No"/>
    <s v="No"/>
    <s v="No"/>
    <m/>
    <s v="Yes(40036)"/>
    <m/>
    <m/>
    <n v="4915904545567"/>
    <n v="440152237228"/>
    <m/>
    <m/>
    <d v="2018-04-04T00:00:00"/>
    <s v="Yes"/>
    <s v="Yes"/>
    <x v="0"/>
  </r>
  <r>
    <s v="Munich"/>
    <s v="MUCSRTL037"/>
    <s v="Yes"/>
    <s v="Daily"/>
    <s v="PCIe"/>
    <s v="SN3219867"/>
    <s v="11.1.371 R10/3"/>
    <s v="ICE18"/>
    <x v="0"/>
    <x v="15"/>
    <x v="5"/>
    <x v="1"/>
    <s v="No"/>
    <s v="No"/>
    <s v="No"/>
    <m/>
    <s v="Yes(40037)"/>
    <m/>
    <m/>
    <s v="491706228088"/>
    <n v="440152237256"/>
    <m/>
    <m/>
    <d v="2018-04-04T00:00:00"/>
    <s v="Yes"/>
    <s v="Yes"/>
    <x v="0"/>
  </r>
  <r>
    <s v="Munich"/>
    <s v="MUCSRTL038"/>
    <s v="Yes"/>
    <s v="Pre-INT"/>
    <s v="PCIe"/>
    <s v="SN3220058"/>
    <s v="11.1.268 R3/2"/>
    <s v="ICE18"/>
    <x v="0"/>
    <x v="14"/>
    <x v="5"/>
    <x v="1"/>
    <s v="No"/>
    <s v="No"/>
    <s v="No"/>
    <m/>
    <s v="No"/>
    <m/>
    <m/>
    <n v="4915904263196"/>
    <n v="440152213453"/>
    <m/>
    <m/>
    <d v="2018-04-09T00:00:00"/>
    <s v="Yes"/>
    <s v="Yes"/>
    <x v="0"/>
  </r>
  <r>
    <s v="Munich"/>
    <s v="MUCSRTL039"/>
    <s v="Yes"/>
    <s v="Daily"/>
    <s v="PCIe"/>
    <s v="SN3219545"/>
    <s v="11.1.268 R3/2"/>
    <s v="ICE18"/>
    <x v="0"/>
    <x v="14"/>
    <x v="6"/>
    <x v="1"/>
    <s v="No"/>
    <s v="No"/>
    <s v="No"/>
    <m/>
    <s v="Yes(40039)"/>
    <m/>
    <m/>
    <n v="4915904545557"/>
    <n v="440152219777"/>
    <m/>
    <m/>
    <d v="2018-04-04T00:00:00"/>
    <s v="Yes"/>
    <s v="Yes"/>
    <x v="0"/>
  </r>
  <r>
    <s v="Munich"/>
    <s v="MUCSRTL040"/>
    <s v="No"/>
    <m/>
    <s v="PCIe"/>
    <s v="SN3220051"/>
    <s v="11.1.268 ICER2/3"/>
    <s v="ICE18"/>
    <x v="0"/>
    <x v="2"/>
    <x v="5"/>
    <x v="3"/>
    <s v="No"/>
    <s v="No"/>
    <s v="No"/>
    <m/>
    <s v="No"/>
    <m/>
    <m/>
    <m/>
    <m/>
    <m/>
    <m/>
    <d v="2018-04-04T00:00:00"/>
    <s v="Yes"/>
    <s v="Yes"/>
    <x v="4"/>
  </r>
  <r>
    <s v="Munich"/>
    <s v="MUCSRTL041"/>
    <s v="Yes"/>
    <s v="Weekly"/>
    <s v="PCIe"/>
    <s v="SN3219877"/>
    <s v="11.1.371 Rack 9/1"/>
    <s v="ICE19"/>
    <x v="0"/>
    <x v="14"/>
    <x v="6"/>
    <x v="8"/>
    <s v="No"/>
    <s v="No"/>
    <s v="4x"/>
    <s v="MUCSRTMAC127.imu.intel.com"/>
    <s v="Yes(40041)"/>
    <s v="481000795A800D00FFFFFFFF"/>
    <s v="C03816108301369BU"/>
    <s v="4917610506582"/>
    <n v="440152236943"/>
    <m/>
    <m/>
    <d v="2018-04-04T00:00:00"/>
    <s v="Yes"/>
    <s v="Yes"/>
    <x v="0"/>
  </r>
  <r>
    <s v="Munich"/>
    <s v="MUCSRTL030"/>
    <s v="Yes"/>
    <s v="Pre-INT"/>
    <s v="PCIe"/>
    <s v="SN3219696"/>
    <s v="11.1.371 R2/1"/>
    <s v="ICE18"/>
    <x v="0"/>
    <x v="14"/>
    <x v="6"/>
    <x v="1"/>
    <s v="No"/>
    <s v="No"/>
    <s v="No"/>
    <m/>
    <s v="No"/>
    <m/>
    <m/>
    <n v="4917610056933"/>
    <n v="440152237252"/>
    <m/>
    <m/>
    <d v="2018-04-04T00:00:00"/>
    <s v="Yes"/>
    <s v="Yes"/>
    <x v="0"/>
  </r>
  <r>
    <s v="Munich"/>
    <s v="MUCSRTL044"/>
    <s v="Yes"/>
    <s v="CR"/>
    <s v="PCIe"/>
    <s v="SN3219958"/>
    <s v="11.1.371 R3/2"/>
    <s v="ICE18"/>
    <x v="0"/>
    <x v="14"/>
    <x v="6"/>
    <x v="1"/>
    <s v="No"/>
    <s v="No"/>
    <s v="No"/>
    <m/>
    <s v="Yes(40044)"/>
    <m/>
    <m/>
    <s v="4917610506581"/>
    <n v="440152237246"/>
    <m/>
    <m/>
    <d v="2018-04-04T00:00:00"/>
    <s v="Yes"/>
    <s v="Yes"/>
    <x v="0"/>
  </r>
  <r>
    <s v="Munich"/>
    <s v="MUCSRTL045"/>
    <s v="Yes"/>
    <s v="Weekly"/>
    <s v="PCIe"/>
    <s v="SN3219740"/>
    <s v="11.1.371 R3/2"/>
    <s v="ICE18"/>
    <x v="0"/>
    <x v="14"/>
    <x v="4"/>
    <x v="1"/>
    <s v="No"/>
    <s v="No"/>
    <s v="No"/>
    <m/>
    <s v="Yes(40045)"/>
    <m/>
    <m/>
    <s v="4917610259174"/>
    <n v="440152237244"/>
    <m/>
    <m/>
    <d v="2018-04-04T00:00:00"/>
    <s v="Yes"/>
    <s v="Yes"/>
    <x v="0"/>
  </r>
  <r>
    <s v="Munich"/>
    <s v="MUCSRTL046"/>
    <s v="Yes"/>
    <s v="CEB"/>
    <s v="PCIe"/>
    <s v="SN3219832"/>
    <s v="11.1.268 RDSR2/1"/>
    <s v="ICE18"/>
    <x v="0"/>
    <x v="14"/>
    <x v="6"/>
    <x v="0"/>
    <s v="No"/>
    <s v="No"/>
    <s v="No"/>
    <m/>
    <s v="No"/>
    <m/>
    <m/>
    <n v="4915904545560"/>
    <n v="440152219806"/>
    <m/>
    <m/>
    <d v="2018-04-04T00:00:00"/>
    <s v="Yes"/>
    <s v="Yes"/>
    <x v="0"/>
  </r>
  <r>
    <s v="Munich"/>
    <s v="MUCSRTL047"/>
    <s v="Yes"/>
    <s v="CR"/>
    <s v="PCIe"/>
    <s v="SN3219737"/>
    <s v="11.1.268 RDSR2/1"/>
    <s v="ICE18"/>
    <x v="0"/>
    <x v="14"/>
    <x v="5"/>
    <x v="1"/>
    <s v="No"/>
    <s v="No"/>
    <s v="No"/>
    <m/>
    <s v="Yes(40047)"/>
    <m/>
    <m/>
    <s v="4917610563401"/>
    <n v="440152237232"/>
    <m/>
    <m/>
    <d v="2018-04-04T00:00:00"/>
    <s v="Yes"/>
    <s v="Yes"/>
    <x v="0"/>
  </r>
  <r>
    <s v="Munich"/>
    <s v="MUCSRTL048"/>
    <s v="Yes"/>
    <s v="CEB"/>
    <s v="PCIe"/>
    <s v="SN3220055"/>
    <s v="11.1.268 RDSR2/3"/>
    <s v="ICE18"/>
    <x v="0"/>
    <x v="15"/>
    <x v="4"/>
    <x v="0"/>
    <s v="No"/>
    <s v="No"/>
    <s v="No"/>
    <m/>
    <s v="No"/>
    <m/>
    <m/>
    <n v="491605102237"/>
    <n v="440152216697"/>
    <m/>
    <m/>
    <d v="2018-04-04T00:00:00"/>
    <s v="Yes"/>
    <s v="Yes"/>
    <x v="0"/>
  </r>
  <r>
    <s v="Munich"/>
    <s v="MUCSRTL049"/>
    <s v="Yes"/>
    <s v="CEB"/>
    <s v="PCIe"/>
    <s v="SN3219886"/>
    <s v="11.1.268 RDSR2/3"/>
    <s v="ICE18"/>
    <x v="0"/>
    <x v="15"/>
    <x v="5"/>
    <x v="0"/>
    <s v="No"/>
    <s v="No"/>
    <s v="No"/>
    <m/>
    <s v="No"/>
    <m/>
    <m/>
    <n v="491707979764"/>
    <n v="440152217720"/>
    <m/>
    <m/>
    <d v="2018-04-04T00:00:00"/>
    <s v="Yes"/>
    <s v="Yes"/>
    <x v="0"/>
  </r>
  <r>
    <s v="Munich"/>
    <s v="MUCSRTL050"/>
    <m/>
    <m/>
    <s v="PCIe"/>
    <s v="SN3219943"/>
    <s v="11.1.268 ICER2/3"/>
    <s v="IBIS"/>
    <x v="0"/>
    <x v="2"/>
    <x v="2"/>
    <x v="3"/>
    <m/>
    <m/>
    <m/>
    <m/>
    <m/>
    <m/>
    <m/>
    <m/>
    <m/>
    <m/>
    <m/>
    <m/>
    <s v="Yes"/>
    <s v="Yes"/>
    <x v="4"/>
  </r>
  <r>
    <s v="Munich"/>
    <s v="MUCSRTL051"/>
    <s v="Yes"/>
    <s v="Pre-INT"/>
    <s v="PCIe"/>
    <s v="SN3219896"/>
    <s v="11.1.371 R5/3"/>
    <s v="ICE18"/>
    <x v="0"/>
    <x v="14"/>
    <x v="5"/>
    <x v="0"/>
    <s v="No"/>
    <s v="No"/>
    <s v="No"/>
    <m/>
    <s v="No"/>
    <m/>
    <m/>
    <n v="4915904545563"/>
    <n v="440152217721"/>
    <m/>
    <m/>
    <d v="2018-04-04T00:00:00"/>
    <s v="Yes"/>
    <s v="Yes"/>
    <x v="0"/>
  </r>
  <r>
    <s v="Munich"/>
    <s v="MUCSRTL052"/>
    <s v="Yes"/>
    <s v="Weekly"/>
    <s v="BlackRay"/>
    <s v="SN3219643"/>
    <s v="11.1.371 Rack 5/5"/>
    <s v="ICE19"/>
    <x v="1"/>
    <x v="16"/>
    <x v="12"/>
    <x v="2"/>
    <s v="No"/>
    <s v="No"/>
    <s v="4x"/>
    <s v="MUCSRTMAC129.imu.intel.com"/>
    <s v="Yes(40077)"/>
    <s v="280300795A800D00FFFFFFFF"/>
    <s v="C03816108401369BR"/>
    <s v="4917610056922"/>
    <n v="440152236952"/>
    <m/>
    <m/>
    <d v="2018-04-04T00:00:00"/>
    <s v="Yes"/>
    <s v="Yes"/>
    <x v="1"/>
  </r>
  <r>
    <s v="Munich"/>
    <s v="MUCSRTL053"/>
    <s v="Yes"/>
    <s v="Daily"/>
    <s v="PCIe"/>
    <s v="SN3219685"/>
    <s v="11.1.371 R4/1"/>
    <s v="ICE18"/>
    <x v="0"/>
    <x v="15"/>
    <x v="4"/>
    <x v="1"/>
    <s v="No"/>
    <s v="No"/>
    <s v="No"/>
    <m/>
    <s v="Yes(40053)"/>
    <m/>
    <m/>
    <s v="491605316012"/>
    <n v="440152237242"/>
    <m/>
    <m/>
    <d v="2018-04-04T00:00:00"/>
    <s v="Yes"/>
    <s v="Yes"/>
    <x v="0"/>
  </r>
  <r>
    <s v="Munich"/>
    <s v="MUCSRTL054"/>
    <s v="Yes"/>
    <s v="Weekly"/>
    <s v="PCIe"/>
    <s v="SN3219700"/>
    <s v="11.1.371 Rack 4/3"/>
    <s v="ICE19"/>
    <x v="0"/>
    <x v="15"/>
    <x v="4"/>
    <x v="8"/>
    <s v="No"/>
    <s v="No"/>
    <s v="4x"/>
    <s v="MUCSRTMAC129.imu.intel.com"/>
    <s v="Yes(40054)"/>
    <s v="721100795A800D00FFFFFFFF"/>
    <s v="C03816108381369BL"/>
    <n v="491755812732"/>
    <n v="440152236947"/>
    <m/>
    <m/>
    <d v="2018-04-04T00:00:00"/>
    <s v="Yes"/>
    <s v="Yes"/>
    <x v="0"/>
  </r>
  <r>
    <s v="Munich"/>
    <s v="MUCSRTL055"/>
    <s v="Yes"/>
    <s v="Daily"/>
    <s v="PCIe"/>
    <s v="SN3219936"/>
    <s v="11.1.371 R4/4"/>
    <s v="ICE18"/>
    <x v="0"/>
    <x v="15"/>
    <x v="5"/>
    <x v="1"/>
    <s v="No"/>
    <s v="No"/>
    <s v="No"/>
    <m/>
    <s v="Yes(40055)"/>
    <m/>
    <m/>
    <s v="491605106636"/>
    <n v="440152237253"/>
    <m/>
    <m/>
    <d v="2018-04-04T00:00:00"/>
    <s v="Yes"/>
    <s v="Yes"/>
    <x v="0"/>
  </r>
  <r>
    <s v="Munich"/>
    <s v="MUCSRTL056"/>
    <s v="Yes"/>
    <s v="CEB"/>
    <s v="PCIe"/>
    <s v="SN3219887"/>
    <s v="11.1.371 R10/1"/>
    <s v="ICE18"/>
    <x v="0"/>
    <x v="15"/>
    <x v="5"/>
    <x v="0"/>
    <s v="No"/>
    <s v="No"/>
    <s v="No"/>
    <m/>
    <s v="No"/>
    <m/>
    <m/>
    <n v="4915114539175"/>
    <n v="440152217728"/>
    <m/>
    <m/>
    <d v="2018-04-04T00:00:00"/>
    <s v="Yes"/>
    <s v="Yes"/>
    <x v="0"/>
  </r>
  <r>
    <s v="Munich"/>
    <s v="MUCSRTL057"/>
    <s v="Yes"/>
    <s v="Pre-INT"/>
    <s v="PCIe"/>
    <s v="SN3219830"/>
    <s v="11.1.371 R8/5"/>
    <s v="ICE18"/>
    <x v="0"/>
    <x v="15"/>
    <x v="5"/>
    <x v="1"/>
    <s v="No"/>
    <s v="No"/>
    <s v="No"/>
    <m/>
    <s v="No"/>
    <m/>
    <m/>
    <n v="491754979604"/>
    <n v="440152237233"/>
    <m/>
    <m/>
    <d v="2018-04-09T00:00:00"/>
    <s v="Yes"/>
    <s v="Yes"/>
    <x v="0"/>
  </r>
  <r>
    <s v="Munich"/>
    <s v="MUCSRTL058"/>
    <s v="Yes"/>
    <s v="CEB"/>
    <s v="PCIe"/>
    <s v="SN3219960"/>
    <s v="11.1.371 R10/1"/>
    <s v="ICE18"/>
    <x v="0"/>
    <x v="14"/>
    <x v="5"/>
    <x v="0"/>
    <s v="No"/>
    <s v="No"/>
    <s v="No"/>
    <m/>
    <s v="No"/>
    <m/>
    <m/>
    <n v="4917610563404"/>
    <n v="440152217718"/>
    <m/>
    <m/>
    <d v="2018-04-04T00:00:00"/>
    <s v="Yes"/>
    <s v="Yes"/>
    <x v="0"/>
  </r>
  <r>
    <s v="Munich"/>
    <s v="MUCSRTL064"/>
    <s v="Yes"/>
    <s v="Daily"/>
    <s v="PCIe"/>
    <s v="SN3219920"/>
    <s v="NBG"/>
    <s v="ICE18"/>
    <x v="0"/>
    <x v="14"/>
    <x v="4"/>
    <x v="0"/>
    <s v="No"/>
    <s v="No"/>
    <s v="No"/>
    <m/>
    <s v="No"/>
    <m/>
    <m/>
    <n v="491723440046"/>
    <n v="440152219765"/>
    <m/>
    <m/>
    <d v="2018-04-04T00:00:00"/>
    <s v="Yes"/>
    <s v="Yes"/>
    <x v="0"/>
  </r>
  <r>
    <s v="Munich"/>
    <s v="MUCSRTL065"/>
    <s v="Yes"/>
    <s v="CR"/>
    <s v="PCIe"/>
    <s v="SN3219954"/>
    <s v="11.1.371 R10/5"/>
    <s v="ICE18"/>
    <x v="0"/>
    <x v="14"/>
    <x v="5"/>
    <x v="1"/>
    <s v="No"/>
    <s v="No"/>
    <s v="No"/>
    <m/>
    <s v="Yes(40065)"/>
    <m/>
    <m/>
    <s v="4915904280592"/>
    <n v="440152237247"/>
    <m/>
    <m/>
    <d v="2018-04-04T00:00:00"/>
    <s v="Yes"/>
    <s v="Yes"/>
    <x v="0"/>
  </r>
  <r>
    <s v="Munich"/>
    <s v="MUCSRTL066"/>
    <s v="Yes"/>
    <s v="CEB"/>
    <s v="PCIe"/>
    <s v="SN3219657"/>
    <s v="11.1.371 R10/5"/>
    <s v="ICE18"/>
    <x v="0"/>
    <x v="14"/>
    <x v="4"/>
    <x v="0"/>
    <s v="No"/>
    <s v="No"/>
    <s v="No"/>
    <m/>
    <s v="No"/>
    <m/>
    <m/>
    <n v="4915904272980"/>
    <n v="440152219806"/>
    <m/>
    <m/>
    <d v="2018-04-04T00:00:00"/>
    <s v="Yes"/>
    <s v="Yes"/>
    <x v="0"/>
  </r>
  <r>
    <s v="Munich"/>
    <s v="MUCSRTL067"/>
    <s v="Yes"/>
    <s v="EB"/>
    <s v="PCIe"/>
    <s v="SN3219565"/>
    <s v="11.1.371 R3/3"/>
    <s v="ICE18"/>
    <x v="0"/>
    <x v="14"/>
    <x v="4"/>
    <x v="0"/>
    <s v="No"/>
    <s v="No"/>
    <s v="No"/>
    <m/>
    <s v="No"/>
    <m/>
    <m/>
    <n v="4917610057074"/>
    <n v="440152219814"/>
    <m/>
    <m/>
    <d v="2018-04-04T00:00:00"/>
    <s v="Yes"/>
    <s v="Yes"/>
    <x v="0"/>
  </r>
  <r>
    <s v="Munich"/>
    <s v="MUCSRTL068"/>
    <s v="Yes"/>
    <s v="Daily"/>
    <s v="PCIe"/>
    <s v="SN3120178"/>
    <s v="11.1.371 R1/4"/>
    <s v="ICE18"/>
    <x v="0"/>
    <x v="14"/>
    <x v="4"/>
    <x v="1"/>
    <s v="No"/>
    <s v="No"/>
    <s v="No"/>
    <m/>
    <s v="Yes(40068)"/>
    <m/>
    <m/>
    <s v="4915904273019"/>
    <n v="440152238746"/>
    <m/>
    <m/>
    <d v="2018-04-04T00:00:00"/>
    <s v="Yes"/>
    <s v="Yes"/>
    <x v="0"/>
  </r>
  <r>
    <s v="Munich"/>
    <s v="MUCSRTL069"/>
    <s v="Yes"/>
    <s v="CR"/>
    <s v="PCIe"/>
    <s v="SN3219913"/>
    <s v="11.1.371 R1/4"/>
    <s v="ICE18"/>
    <x v="0"/>
    <x v="15"/>
    <x v="6"/>
    <x v="1"/>
    <s v="No"/>
    <s v="No"/>
    <s v="No"/>
    <m/>
    <s v="Yes(40069)"/>
    <m/>
    <m/>
    <s v="491724736869"/>
    <n v="440152237247"/>
    <m/>
    <m/>
    <d v="2018-04-04T00:00:00"/>
    <s v="Yes"/>
    <s v="Yes"/>
    <x v="0"/>
  </r>
  <r>
    <s v="Munich"/>
    <s v="MUCSRTL070"/>
    <s v="Yes"/>
    <s v="Daily"/>
    <s v="PCIe"/>
    <s v="SN3220329"/>
    <s v="11.1.371 HartR15/6"/>
    <s v="ICE18"/>
    <x v="0"/>
    <x v="15"/>
    <x v="4"/>
    <x v="1"/>
    <s v="No"/>
    <s v="No"/>
    <s v="No"/>
    <m/>
    <s v="No"/>
    <m/>
    <m/>
    <n v="491605107062"/>
    <n v="440152237258"/>
    <m/>
    <m/>
    <d v="2018-04-04T00:00:00"/>
    <s v="Yes"/>
    <s v="Yes"/>
    <x v="0"/>
  </r>
  <r>
    <s v="Munich"/>
    <s v="MUCSRTL071"/>
    <s v="Yes"/>
    <s v="Pre-INT"/>
    <s v="PCIe"/>
    <s v="SN3220149"/>
    <s v="11.1.268 ICER1/3"/>
    <s v="ICE18"/>
    <x v="0"/>
    <x v="14"/>
    <x v="4"/>
    <x v="1"/>
    <s v="No"/>
    <s v="No"/>
    <s v="No"/>
    <m/>
    <s v="No"/>
    <m/>
    <m/>
    <n v="4915904285613"/>
    <n v="440152237249"/>
    <m/>
    <m/>
    <d v="2018-04-04T00:00:00"/>
    <s v="Yes"/>
    <s v="Yes"/>
    <x v="0"/>
  </r>
  <r>
    <s v="Munich"/>
    <s v="MUCSRTL072"/>
    <s v="Yes"/>
    <s v="Weekly"/>
    <s v="PCIe"/>
    <s v="SN3219817"/>
    <s v="11.1.371 R4/1"/>
    <s v="ICE18"/>
    <x v="0"/>
    <x v="14"/>
    <x v="5"/>
    <x v="1"/>
    <s v="No"/>
    <s v="No"/>
    <s v="No"/>
    <m/>
    <s v="Yes(40072)"/>
    <m/>
    <m/>
    <s v="4915904263210"/>
    <n v="440152237220"/>
    <m/>
    <m/>
    <d v="2018-04-04T00:00:00"/>
    <s v="Yes"/>
    <s v="Yes"/>
    <x v="0"/>
  </r>
  <r>
    <s v="Munich"/>
    <s v="MUCSRTL073"/>
    <s v="Yes"/>
    <s v="EB"/>
    <s v="PCIe"/>
    <s v="SN3219818"/>
    <s v="11.1.268 R1/4"/>
    <s v="ICE18"/>
    <x v="0"/>
    <x v="14"/>
    <x v="5"/>
    <x v="1"/>
    <s v="No"/>
    <s v="No"/>
    <s v="No"/>
    <m/>
    <s v="No"/>
    <m/>
    <m/>
    <n v="4915904272977"/>
    <n v="440152214081"/>
    <m/>
    <m/>
    <d v="2018-04-04T00:00:00"/>
    <s v="Yes"/>
    <s v="Yes"/>
    <x v="0"/>
  </r>
  <r>
    <s v="Munich"/>
    <s v="MUCSRTL074"/>
    <s v="Yes"/>
    <s v="Daily"/>
    <s v="PCIe"/>
    <s v="SN3219805"/>
    <s v="11.1.371 HartR15/6"/>
    <s v="ICE18"/>
    <x v="0"/>
    <x v="14"/>
    <x v="4"/>
    <x v="1"/>
    <s v="No"/>
    <s v="No"/>
    <s v="No"/>
    <m/>
    <s v="No"/>
    <m/>
    <m/>
    <n v="4915904272975"/>
    <n v="440152237250"/>
    <m/>
    <m/>
    <d v="2018-04-04T00:00:00"/>
    <s v="Yes"/>
    <s v="Yes"/>
    <x v="0"/>
  </r>
  <r>
    <s v="Munich"/>
    <s v="MUCSRTL075"/>
    <s v="Yes"/>
    <s v="CEB"/>
    <s v="PCIe"/>
    <s v="SN3219973"/>
    <s v="11.1.371 R3/1"/>
    <s v="ICE18"/>
    <x v="0"/>
    <x v="14"/>
    <x v="5"/>
    <x v="0"/>
    <s v="No"/>
    <s v="No"/>
    <s v="No"/>
    <m/>
    <s v="No"/>
    <m/>
    <m/>
    <n v="4915904273133"/>
    <n v="440152219752"/>
    <m/>
    <m/>
    <d v="2018-04-04T00:00:00"/>
    <s v="Yes"/>
    <s v="Yes"/>
    <x v="0"/>
  </r>
  <r>
    <s v="Munich"/>
    <s v="MUCSRTL076"/>
    <s v="Yes"/>
    <s v="Pre-INT"/>
    <s v="PCIe"/>
    <s v="SN3220325"/>
    <s v="11.1.268 R2/1"/>
    <s v="ICE18"/>
    <x v="0"/>
    <x v="14"/>
    <x v="4"/>
    <x v="1"/>
    <s v="No"/>
    <s v="No"/>
    <s v="No"/>
    <m/>
    <s v="Yes(40076)"/>
    <m/>
    <m/>
    <n v="4917610563402"/>
    <n v="440152219815"/>
    <m/>
    <m/>
    <d v="2018-04-04T00:00:00"/>
    <s v="Yes"/>
    <s v="Yes"/>
    <x v="0"/>
  </r>
  <r>
    <s v="Munich"/>
    <s v="MUCSRTL077"/>
    <s v="Yes"/>
    <s v="Weekly"/>
    <s v="PCIe"/>
    <s v="SN3220294"/>
    <s v="11.1.268 Rack 9/3"/>
    <s v="ICE19"/>
    <x v="0"/>
    <x v="15"/>
    <x v="5"/>
    <x v="8"/>
    <s v="No"/>
    <s v="No"/>
    <s v="4x"/>
    <s v="MUCSRTMAC130.imu.intel.com"/>
    <s v="Yes(40077)"/>
    <s v="C019DA08D052CBCFFFFFFFFF"/>
    <s v="C07826400QMX1R36"/>
    <n v="491604873107"/>
    <n v="440152245980"/>
    <m/>
    <m/>
    <d v="2018-04-09T00:00:00"/>
    <s v="Yes"/>
    <s v="Yes"/>
    <x v="0"/>
  </r>
  <r>
    <s v="Munich"/>
    <s v="MUCSRTL078"/>
    <s v="Yes"/>
    <s v="Daily"/>
    <s v="PCIe"/>
    <s v="SN3219965"/>
    <s v="11.1.268 R1/2"/>
    <s v="ICE18"/>
    <x v="0"/>
    <x v="14"/>
    <x v="4"/>
    <x v="1"/>
    <s v="No"/>
    <s v="No"/>
    <s v="No"/>
    <m/>
    <s v="Yes(40078)"/>
    <m/>
    <m/>
    <s v="4917610506588"/>
    <n v="440152237365"/>
    <m/>
    <m/>
    <d v="2018-04-04T00:00:00"/>
    <s v="Yes"/>
    <s v="Yes"/>
    <x v="0"/>
  </r>
  <r>
    <s v="Munich"/>
    <s v="MUCSRTL079"/>
    <s v="Yes"/>
    <s v="Pre-INT"/>
    <s v="PCIe"/>
    <s v="SN3220183"/>
    <s v="11.1.371 R3/3"/>
    <s v="ICE18"/>
    <x v="0"/>
    <x v="14"/>
    <x v="4"/>
    <x v="1"/>
    <s v="No"/>
    <s v="No"/>
    <s v="No"/>
    <m/>
    <s v="No"/>
    <m/>
    <m/>
    <n v="4917610056921"/>
    <n v="440152237257"/>
    <m/>
    <m/>
    <d v="2018-04-09T00:00:00"/>
    <s v="Yes"/>
    <s v="Yes"/>
    <x v="0"/>
  </r>
  <r>
    <s v="Munich"/>
    <s v="MUCSRTL080"/>
    <s v="Yes"/>
    <s v="Weekly"/>
    <s v="PCIe"/>
    <s v="SN3120176"/>
    <s v="11.1371 Rack 6/2"/>
    <s v="ICE19"/>
    <x v="0"/>
    <x v="15"/>
    <x v="4"/>
    <x v="8"/>
    <s v="No"/>
    <s v="No"/>
    <s v="4x"/>
    <s v="MUCSRTMAC129.imu.intel.com"/>
    <s v="Yes(40080)"/>
    <s v="A070F37F3C27AE9CFFFFFFFF"/>
    <s v="C07826400T6X1R36"/>
    <n v="4916096925805"/>
    <n v="440152214471"/>
    <m/>
    <m/>
    <m/>
    <s v="Yes"/>
    <s v="Yes"/>
    <x v="0"/>
  </r>
  <r>
    <s v="Munich"/>
    <s v="MUCSRTL081"/>
    <s v="Yes"/>
    <s v="Daily"/>
    <s v="PCIe"/>
    <s v="SN3219985"/>
    <s v="11.1.268 R1/4"/>
    <s v="ICE18"/>
    <x v="0"/>
    <x v="15"/>
    <x v="4"/>
    <x v="1"/>
    <s v="No"/>
    <s v="No"/>
    <s v="No"/>
    <m/>
    <s v="Yes(40081)"/>
    <m/>
    <m/>
    <s v="4915117968298"/>
    <n v="440152237229"/>
    <m/>
    <m/>
    <d v="2018-04-04T00:00:00"/>
    <s v="Yes"/>
    <s v="Yes"/>
    <x v="0"/>
  </r>
  <r>
    <s v="Munich"/>
    <s v="MUCSRTL098"/>
    <s v="Yes"/>
    <s v="Pre-INT"/>
    <s v="PCIe"/>
    <s v="SN3220070"/>
    <s v="11.1.371 R8/2"/>
    <s v="ICE18"/>
    <x v="0"/>
    <x v="15"/>
    <x v="4"/>
    <x v="1"/>
    <s v="No"/>
    <s v="No"/>
    <s v="No"/>
    <m/>
    <s v="No"/>
    <m/>
    <m/>
    <n v="491608473107"/>
    <n v="440152238945"/>
    <m/>
    <m/>
    <d v="2018-04-09T00:00:00"/>
    <s v="Yes"/>
    <s v="Yes"/>
    <x v="0"/>
  </r>
  <r>
    <s v="Munich"/>
    <s v="MUCSRTL099"/>
    <s v="Yes"/>
    <s v="Pre-INT"/>
    <s v="PCIe"/>
    <s v="SN3220162 "/>
    <s v="11.1.371 R8/2"/>
    <s v="ICE18"/>
    <x v="0"/>
    <x v="15"/>
    <x v="4"/>
    <x v="1"/>
    <s v="No"/>
    <s v="No"/>
    <s v="No"/>
    <m/>
    <s v="Yes(40099)"/>
    <m/>
    <m/>
    <n v="491608452963"/>
    <n v="440152238945"/>
    <m/>
    <m/>
    <d v="2018-04-04T00:00:00"/>
    <s v="Yes"/>
    <s v="Yes"/>
    <x v="0"/>
  </r>
  <r>
    <s v="Munich"/>
    <s v="MUCSRTL100"/>
    <s v="Yes"/>
    <s v="Pre-INT"/>
    <s v="PCIe"/>
    <s v="SN3220246 "/>
    <s v="11.1.371 R6/1"/>
    <s v="ICE18"/>
    <x v="0"/>
    <x v="15"/>
    <x v="4"/>
    <x v="1"/>
    <s v="No"/>
    <s v="No"/>
    <s v="No"/>
    <m/>
    <s v="No"/>
    <m/>
    <m/>
    <n v="491706818065"/>
    <n v="440152238956"/>
    <m/>
    <m/>
    <d v="2018-04-09T00:00:00"/>
    <s v="Yes"/>
    <s v="Yes"/>
    <x v="0"/>
  </r>
  <r>
    <s v="Munich"/>
    <s v="MUCSRTL101"/>
    <s v="Yes"/>
    <s v="Pre-INT"/>
    <s v="PCIe"/>
    <s v="SN3299675 "/>
    <s v="11.1.371 R6/1"/>
    <s v="ICE18"/>
    <x v="0"/>
    <x v="15"/>
    <x v="4"/>
    <x v="1"/>
    <s v="No"/>
    <s v="No"/>
    <s v="No"/>
    <m/>
    <s v="Yes(40101)"/>
    <m/>
    <m/>
    <n v="491608472773"/>
    <n v="440152238964"/>
    <m/>
    <m/>
    <d v="2018-04-04T00:00:00"/>
    <s v="Yes"/>
    <s v="Yes"/>
    <x v="0"/>
  </r>
  <r>
    <s v="Munich"/>
    <s v="MUCSRTL102"/>
    <s v="Yes"/>
    <s v="Pre-INT"/>
    <s v="PCIe"/>
    <s v="SN3299464 "/>
    <s v="11.1.371 R9/1"/>
    <s v="ICE18"/>
    <x v="0"/>
    <x v="15"/>
    <x v="4"/>
    <x v="1"/>
    <s v="No"/>
    <s v="No"/>
    <s v="No"/>
    <m/>
    <s v="No"/>
    <m/>
    <m/>
    <n v="491754337713"/>
    <n v="440152238745"/>
    <m/>
    <m/>
    <d v="2018-04-04T00:00:00"/>
    <s v="Yes"/>
    <s v="Yes"/>
    <x v="0"/>
  </r>
  <r>
    <s v="Munich"/>
    <s v="MUCSRTL103"/>
    <s v="Yes"/>
    <m/>
    <s v="PCIe"/>
    <s v="SN3299475 "/>
    <s v="11.1.371 R3/1"/>
    <s v="ICE18"/>
    <x v="0"/>
    <x v="17"/>
    <x v="2"/>
    <x v="1"/>
    <s v="No"/>
    <s v="No"/>
    <s v="No"/>
    <m/>
    <s v="No"/>
    <m/>
    <m/>
    <n v="33662201571"/>
    <n v="440152238948"/>
    <m/>
    <m/>
    <d v="2018-04-04T00:00:00"/>
    <s v="Yes"/>
    <s v="Yes"/>
    <x v="0"/>
  </r>
  <r>
    <s v="Munich"/>
    <s v="MUCSRTL104"/>
    <s v="Yes"/>
    <m/>
    <s v="PCIe"/>
    <s v="SN3299430 "/>
    <s v="11.1.371 R3/4"/>
    <s v="ICE18"/>
    <x v="0"/>
    <x v="17"/>
    <x v="2"/>
    <x v="1"/>
    <s v="No"/>
    <s v="No"/>
    <s v="No"/>
    <m/>
    <s v="No"/>
    <m/>
    <m/>
    <n v="33662201526"/>
    <n v="440152238947"/>
    <m/>
    <m/>
    <d v="2018-04-04T00:00:00"/>
    <s v="Yes"/>
    <s v="Yes"/>
    <x v="0"/>
  </r>
  <r>
    <s v="Munich"/>
    <s v="MUCSRTL136"/>
    <m/>
    <m/>
    <s v="PCIe"/>
    <s v="SN2510407"/>
    <m/>
    <s v="ICE17"/>
    <x v="0"/>
    <x v="2"/>
    <x v="2"/>
    <x v="3"/>
    <m/>
    <m/>
    <m/>
    <m/>
    <m/>
    <m/>
    <m/>
    <m/>
    <m/>
    <m/>
    <m/>
    <m/>
    <m/>
    <m/>
    <x v="2"/>
  </r>
  <r>
    <s v="Munich"/>
    <s v="MUCSRTL137"/>
    <m/>
    <m/>
    <s v="PCIe"/>
    <s v="SN2510780"/>
    <m/>
    <s v="ICE17"/>
    <x v="0"/>
    <x v="2"/>
    <x v="2"/>
    <x v="3"/>
    <m/>
    <m/>
    <m/>
    <m/>
    <m/>
    <m/>
    <m/>
    <m/>
    <m/>
    <m/>
    <m/>
    <m/>
    <m/>
    <m/>
    <x v="2"/>
  </r>
  <r>
    <s v="Munich"/>
    <s v="MUCSRTL138"/>
    <m/>
    <m/>
    <s v="PCIe"/>
    <s v="SN2510731"/>
    <m/>
    <s v="ICE17"/>
    <x v="0"/>
    <x v="2"/>
    <x v="2"/>
    <x v="3"/>
    <m/>
    <m/>
    <m/>
    <m/>
    <m/>
    <m/>
    <m/>
    <m/>
    <m/>
    <m/>
    <m/>
    <m/>
    <m/>
    <m/>
    <x v="2"/>
  </r>
  <r>
    <s v="Munich"/>
    <s v="MUCSRTL139"/>
    <m/>
    <m/>
    <s v="PCIe"/>
    <s v="SN2510525"/>
    <m/>
    <s v="ICE17"/>
    <x v="0"/>
    <x v="2"/>
    <x v="2"/>
    <x v="3"/>
    <m/>
    <m/>
    <m/>
    <m/>
    <m/>
    <m/>
    <m/>
    <m/>
    <m/>
    <m/>
    <m/>
    <m/>
    <m/>
    <m/>
    <x v="2"/>
  </r>
  <r>
    <s v="Munich"/>
    <s v="MUCSRTL140"/>
    <m/>
    <m/>
    <s v="PCIe"/>
    <s v="SN2250476"/>
    <m/>
    <s v="ICE17"/>
    <x v="0"/>
    <x v="2"/>
    <x v="2"/>
    <x v="3"/>
    <m/>
    <m/>
    <m/>
    <m/>
    <m/>
    <m/>
    <m/>
    <m/>
    <m/>
    <m/>
    <m/>
    <m/>
    <m/>
    <m/>
    <x v="2"/>
  </r>
  <r>
    <s v="Munich"/>
    <s v="MUCSRTL141"/>
    <m/>
    <m/>
    <s v="PCIe"/>
    <s v="SN2510793"/>
    <m/>
    <s v="ICE17"/>
    <x v="0"/>
    <x v="2"/>
    <x v="2"/>
    <x v="3"/>
    <m/>
    <m/>
    <m/>
    <m/>
    <m/>
    <m/>
    <m/>
    <m/>
    <m/>
    <m/>
    <m/>
    <m/>
    <m/>
    <m/>
    <x v="2"/>
  </r>
  <r>
    <s v="Munich"/>
    <s v="MUCSRTL142"/>
    <s v="No"/>
    <m/>
    <s v="PCIe"/>
    <s v="SN2511034"/>
    <m/>
    <s v="ICE19"/>
    <x v="0"/>
    <x v="2"/>
    <x v="2"/>
    <x v="3"/>
    <m/>
    <m/>
    <m/>
    <m/>
    <m/>
    <m/>
    <m/>
    <m/>
    <m/>
    <m/>
    <m/>
    <m/>
    <s v="No"/>
    <s v="No"/>
    <x v="1"/>
  </r>
  <r>
    <s v="Munich"/>
    <s v="MUCSRTL131"/>
    <m/>
    <m/>
    <s v="PCIe"/>
    <s v="SN2794399"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3237N8D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4482XZS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2216H38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3237N7V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3186B5L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4482XZP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3242CVG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53028GY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3186B5J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4482Y04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3237N7Z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2216H2M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53028H7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4482XZJ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21653XL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4482XZZ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21653XQ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53028GR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3242CVJ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53028GL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2216H39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53028GV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ZC2216H3L"/>
    <m/>
    <m/>
    <s v="USB"/>
    <m/>
    <m/>
    <s v="ICE17"/>
    <x v="0"/>
    <x v="2"/>
    <x v="2"/>
    <x v="3"/>
    <m/>
    <m/>
    <m/>
    <m/>
    <m/>
    <m/>
    <m/>
    <m/>
    <m/>
    <m/>
    <m/>
    <m/>
    <m/>
    <m/>
    <x v="2"/>
  </r>
  <r>
    <s v="Munich"/>
    <s v="MUCSRTL004 "/>
    <m/>
    <m/>
    <s v="PCIe"/>
    <s v="SN2511043"/>
    <m/>
    <s v="IBIS"/>
    <x v="0"/>
    <x v="15"/>
    <x v="2"/>
    <x v="5"/>
    <s v="No"/>
    <s v="No"/>
    <s v="No"/>
    <m/>
    <s v="No"/>
    <m/>
    <m/>
    <m/>
    <m/>
    <m/>
    <m/>
    <d v="2018-04-05T00:00:00"/>
    <s v="Yes"/>
    <s v="Yes"/>
    <x v="0"/>
  </r>
  <r>
    <s v="Munich"/>
    <s v="MUCSRTL059"/>
    <m/>
    <m/>
    <s v="PCIe"/>
    <s v="SN3219824 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061"/>
    <m/>
    <m/>
    <s v="PCIe"/>
    <s v="SN3219872 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062"/>
    <m/>
    <m/>
    <s v="PCIe"/>
    <s v="SN3219885  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063"/>
    <m/>
    <m/>
    <s v="PCIe"/>
    <s v="SN3219829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082"/>
    <m/>
    <m/>
    <s v="PCIe"/>
    <s v="SN3219987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084"/>
    <m/>
    <m/>
    <s v="PCIe"/>
    <s v="SN3219881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085"/>
    <m/>
    <m/>
    <s v="PCIe"/>
    <s v="SN3299560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086"/>
    <m/>
    <m/>
    <s v="PCIe"/>
    <s v="SN3299505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087"/>
    <m/>
    <m/>
    <s v="PCIe"/>
    <s v="SN3299585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089"/>
    <m/>
    <m/>
    <s v="PCIe"/>
    <s v="SN3299760"/>
    <m/>
    <s v="IBIS"/>
    <x v="0"/>
    <x v="15"/>
    <x v="2"/>
    <x v="6"/>
    <s v="No"/>
    <s v="No"/>
    <s v="No"/>
    <m/>
    <s v="Yes"/>
    <m/>
    <m/>
    <m/>
    <m/>
    <m/>
    <m/>
    <d v="2018-04-05T00:00:00"/>
    <s v="Yes"/>
    <s v="Yes"/>
    <x v="0"/>
  </r>
  <r>
    <s v="Munich"/>
    <s v="MUCSRTL105"/>
    <m/>
    <m/>
    <s v="PCIe"/>
    <s v="SN3299589"/>
    <m/>
    <s v="IBIS"/>
    <x v="0"/>
    <x v="14"/>
    <x v="2"/>
    <x v="6"/>
    <s v="No"/>
    <s v="No"/>
    <s v="No"/>
    <m/>
    <s v="Yes"/>
    <m/>
    <m/>
    <m/>
    <m/>
    <m/>
    <m/>
    <d v="2018-04-05T00:00:00"/>
    <s v="Yes"/>
    <s v="Yes"/>
    <x v="0"/>
  </r>
  <r>
    <s v="Munich"/>
    <s v="MUCSRTL106"/>
    <m/>
    <m/>
    <s v="PCIe"/>
    <s v="SN3299798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07"/>
    <m/>
    <m/>
    <s v="PCIe"/>
    <s v="SN3299717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08"/>
    <m/>
    <m/>
    <s v="PCIe"/>
    <s v="SN3299693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09"/>
    <m/>
    <m/>
    <s v="PCIe"/>
    <s v="SN3299573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10"/>
    <m/>
    <m/>
    <s v="PCIe"/>
    <s v="SN3299579"/>
    <m/>
    <s v="IBIS"/>
    <x v="0"/>
    <x v="14"/>
    <x v="2"/>
    <x v="6"/>
    <s v="No"/>
    <s v="No"/>
    <s v="No"/>
    <m/>
    <s v="Yes"/>
    <m/>
    <m/>
    <m/>
    <m/>
    <m/>
    <m/>
    <d v="2018-04-05T00:00:00"/>
    <s v="Yes"/>
    <s v="Yes"/>
    <x v="0"/>
  </r>
  <r>
    <s v="Munich"/>
    <s v="MUCSRTL111"/>
    <m/>
    <m/>
    <s v="PCIe"/>
    <s v="SN3299405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12"/>
    <m/>
    <m/>
    <s v="PCIe"/>
    <s v="SN3299677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13"/>
    <m/>
    <m/>
    <s v="PCIe"/>
    <s v="SN3299337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15"/>
    <m/>
    <m/>
    <s v="PCIe"/>
    <s v="SN2510976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16"/>
    <m/>
    <m/>
    <s v="PCIe"/>
    <s v="SN3299668"/>
    <m/>
    <s v="IBIS"/>
    <x v="0"/>
    <x v="14"/>
    <x v="2"/>
    <x v="5"/>
    <s v="No"/>
    <s v="No"/>
    <s v="No"/>
    <m/>
    <s v="No"/>
    <m/>
    <m/>
    <m/>
    <m/>
    <m/>
    <m/>
    <d v="2018-04-05T00:00:00"/>
    <s v="Yes"/>
    <s v="Yes"/>
    <x v="0"/>
  </r>
  <r>
    <s v="Munich"/>
    <s v="MUCSRTL117"/>
    <m/>
    <m/>
    <s v="PCIe"/>
    <s v="SN3299392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18"/>
    <m/>
    <m/>
    <s v="PCIe"/>
    <s v="SN3299519"/>
    <m/>
    <s v="IBIS"/>
    <x v="0"/>
    <x v="14"/>
    <x v="2"/>
    <x v="5"/>
    <s v="No"/>
    <s v="No"/>
    <s v="No"/>
    <m/>
    <s v="No"/>
    <m/>
    <m/>
    <m/>
    <m/>
    <m/>
    <m/>
    <d v="2018-04-05T00:00:00"/>
    <s v="Yes"/>
    <s v="Yes"/>
    <x v="0"/>
  </r>
  <r>
    <s v="Munich"/>
    <s v="MUCSRTL119"/>
    <m/>
    <m/>
    <s v="PCIe"/>
    <s v="SN3299678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20"/>
    <m/>
    <m/>
    <s v="PCIe"/>
    <s v="SN3299514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21"/>
    <m/>
    <m/>
    <s v="PCIe"/>
    <s v="SN3299414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22"/>
    <m/>
    <m/>
    <s v="PCIe"/>
    <s v="SN3299561"/>
    <m/>
    <s v="IBIS"/>
    <x v="0"/>
    <x v="18"/>
    <x v="2"/>
    <x v="6"/>
    <s v="No"/>
    <s v="No"/>
    <s v="SUS"/>
    <m/>
    <s v="No"/>
    <m/>
    <m/>
    <m/>
    <m/>
    <m/>
    <m/>
    <d v="2018-04-05T00:00:00"/>
    <s v="Yes"/>
    <s v="Yes"/>
    <x v="0"/>
  </r>
  <r>
    <s v="Munich"/>
    <s v="MUCSRTL123"/>
    <m/>
    <m/>
    <s v="PCIe"/>
    <s v="SN3299510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24"/>
    <m/>
    <m/>
    <s v="PCIe"/>
    <s v="SN3299636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25"/>
    <m/>
    <m/>
    <s v="PCIe"/>
    <s v="SN3299440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32"/>
    <m/>
    <m/>
    <s v="PCIe"/>
    <s v="SN2388868"/>
    <m/>
    <s v="IBIS"/>
    <x v="0"/>
    <x v="15"/>
    <x v="2"/>
    <x v="5"/>
    <s v="No"/>
    <s v="No"/>
    <s v="No"/>
    <m/>
    <s v="No"/>
    <m/>
    <m/>
    <m/>
    <m/>
    <m/>
    <m/>
    <d v="2018-04-05T00:00:00"/>
    <s v="Yes"/>
    <s v="Yes"/>
    <x v="0"/>
  </r>
  <r>
    <s v="Munich"/>
    <s v="MUCSRTL133"/>
    <m/>
    <m/>
    <s v="PCIe"/>
    <s v="SN2388888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34"/>
    <m/>
    <m/>
    <s v="PCIe"/>
    <s v="SN2388861"/>
    <m/>
    <s v="IBIS"/>
    <x v="0"/>
    <x v="15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CSRTL135"/>
    <m/>
    <m/>
    <s v="PCIe"/>
    <s v="SN2388886"/>
    <m/>
    <s v="IBIS"/>
    <x v="0"/>
    <x v="14"/>
    <x v="2"/>
    <x v="6"/>
    <s v="No"/>
    <s v="No"/>
    <s v="No"/>
    <m/>
    <s v="No"/>
    <m/>
    <m/>
    <m/>
    <m/>
    <m/>
    <m/>
    <d v="2018-04-05T00:00:00"/>
    <s v="Yes"/>
    <s v="Yes"/>
    <x v="0"/>
  </r>
  <r>
    <s v="Munich"/>
    <s v="MU000002388880"/>
    <m/>
    <m/>
    <s v="PCIe"/>
    <s v="MU000002388880"/>
    <s v="GBR"/>
    <s v="ICE16"/>
    <x v="0"/>
    <x v="14"/>
    <x v="2"/>
    <x v="1"/>
    <s v="No"/>
    <s v="No"/>
    <s v="No"/>
    <m/>
    <s v="No"/>
    <m/>
    <m/>
    <n v="4915904263207"/>
    <n v="4999010640000"/>
    <m/>
    <m/>
    <d v="2018-04-06T00:00:00"/>
    <m/>
    <m/>
    <x v="2"/>
  </r>
  <r>
    <s v="Munich"/>
    <s v="MU000002388885"/>
    <m/>
    <m/>
    <s v="PCIe"/>
    <s v="MU000002388885"/>
    <s v="GBR"/>
    <s v="ICE16"/>
    <x v="0"/>
    <x v="14"/>
    <x v="2"/>
    <x v="1"/>
    <s v="No"/>
    <s v="No"/>
    <s v="No"/>
    <m/>
    <s v="No"/>
    <m/>
    <m/>
    <n v="4917610506580"/>
    <n v="4999010640000"/>
    <m/>
    <m/>
    <d v="2018-04-06T00:00:00"/>
    <m/>
    <m/>
    <x v="2"/>
  </r>
  <r>
    <s v="Munich"/>
    <s v="MU000002388877"/>
    <m/>
    <m/>
    <s v="PCIe"/>
    <s v="MU000002388877"/>
    <s v="GBR"/>
    <s v="ICE16"/>
    <x v="0"/>
    <x v="15"/>
    <x v="2"/>
    <x v="1"/>
    <s v="No"/>
    <s v="No"/>
    <s v="No"/>
    <m/>
    <s v="No"/>
    <m/>
    <m/>
    <n v="491608455796"/>
    <n v="4999010640000"/>
    <m/>
    <m/>
    <d v="2018-04-06T00:00:00"/>
    <m/>
    <m/>
    <x v="2"/>
  </r>
  <r>
    <s v="Munich"/>
    <s v="MU000002388931"/>
    <m/>
    <m/>
    <s v="PCIe"/>
    <s v="MU000002388931"/>
    <s v="GBR"/>
    <s v="ICE16"/>
    <x v="0"/>
    <x v="15"/>
    <x v="2"/>
    <x v="1"/>
    <s v="No"/>
    <s v="No"/>
    <s v="No"/>
    <m/>
    <s v="No"/>
    <m/>
    <m/>
    <n v="491608442079"/>
    <n v="4999010640000"/>
    <m/>
    <m/>
    <d v="2018-04-06T00:00:00"/>
    <m/>
    <m/>
    <x v="2"/>
  </r>
  <r>
    <s v="Munich"/>
    <s v="MU000002388873"/>
    <m/>
    <m/>
    <s v="PCIe"/>
    <s v="MU000002388873"/>
    <s v="GBR"/>
    <s v="ICE16"/>
    <x v="0"/>
    <x v="14"/>
    <x v="2"/>
    <x v="1"/>
    <s v="No"/>
    <s v="No"/>
    <s v="No"/>
    <m/>
    <s v="No"/>
    <m/>
    <m/>
    <n v="4915904263204"/>
    <n v="4999010640000"/>
    <m/>
    <m/>
    <d v="2018-04-06T00:00:00"/>
    <m/>
    <m/>
    <x v="2"/>
  </r>
  <r>
    <s v="Munich"/>
    <s v="MU000002388847"/>
    <m/>
    <m/>
    <s v="PCIe"/>
    <s v="MU000002388847"/>
    <s v="GBR"/>
    <s v="ICE16"/>
    <x v="0"/>
    <x v="15"/>
    <x v="2"/>
    <x v="1"/>
    <s v="No"/>
    <s v="No"/>
    <s v="No"/>
    <m/>
    <s v="No"/>
    <m/>
    <m/>
    <m/>
    <n v="4999010640000"/>
    <m/>
    <m/>
    <d v="2018-04-06T00:00:00"/>
    <m/>
    <m/>
    <x v="2"/>
  </r>
  <r>
    <s v="Munich"/>
    <s v="MU000002388908"/>
    <m/>
    <m/>
    <s v="PCIe"/>
    <s v="MU000002388908"/>
    <s v="GBR"/>
    <s v="ICE16"/>
    <x v="0"/>
    <x v="15"/>
    <x v="2"/>
    <x v="1"/>
    <s v="No"/>
    <s v="No"/>
    <s v="No"/>
    <m/>
    <s v="No"/>
    <m/>
    <m/>
    <n v="491706820352"/>
    <n v="4999010640000"/>
    <m/>
    <m/>
    <d v="2018-04-06T00:00:00"/>
    <m/>
    <m/>
    <x v="2"/>
  </r>
  <r>
    <s v="Munich"/>
    <s v="MUCSRTL015"/>
    <m/>
    <m/>
    <s v="PCIe"/>
    <s v="MUCSRTL015"/>
    <s v="ICE RACK 02"/>
    <s v="ICE16"/>
    <x v="0"/>
    <x v="15"/>
    <x v="2"/>
    <x v="1"/>
    <s v="No"/>
    <s v="No"/>
    <s v="No"/>
    <m/>
    <s v="No"/>
    <m/>
    <m/>
    <n v="1608495226"/>
    <n v="440152048071"/>
    <m/>
    <m/>
    <d v="2018-04-06T00:00:00"/>
    <m/>
    <m/>
    <x v="2"/>
  </r>
  <r>
    <s v="Munich"/>
    <s v="MUCSRTL016"/>
    <m/>
    <m/>
    <s v="PCIe"/>
    <n v="2794239"/>
    <s v="ICE RACK 02"/>
    <s v="ICE16"/>
    <x v="0"/>
    <x v="14"/>
    <x v="2"/>
    <x v="1"/>
    <s v="No"/>
    <s v="No"/>
    <s v="No"/>
    <m/>
    <s v="No"/>
    <m/>
    <m/>
    <n v="17610506589"/>
    <n v="440152047700"/>
    <m/>
    <m/>
    <d v="2018-04-06T00:00:00"/>
    <m/>
    <m/>
    <x v="2"/>
  </r>
  <r>
    <s v="San Diego"/>
    <s v="SDSRTL026"/>
    <m/>
    <m/>
    <s v="PCIe"/>
    <n v="3220196"/>
    <m/>
    <s v="IBIS"/>
    <x v="0"/>
    <x v="19"/>
    <x v="4"/>
    <x v="5"/>
    <s v="No"/>
    <s v="No"/>
    <m/>
    <m/>
    <m/>
    <m/>
    <m/>
    <m/>
    <m/>
    <m/>
    <m/>
    <m/>
    <s v="Yes"/>
    <s v="Yes"/>
    <x v="2"/>
  </r>
  <r>
    <s v="San Diego"/>
    <s v="SDSRTL037"/>
    <m/>
    <m/>
    <s v="PCIe"/>
    <n v="3299768"/>
    <m/>
    <s v="IBIS"/>
    <x v="0"/>
    <x v="19"/>
    <x v="4"/>
    <x v="5"/>
    <s v="No"/>
    <s v="No"/>
    <m/>
    <m/>
    <m/>
    <m/>
    <m/>
    <m/>
    <m/>
    <m/>
    <m/>
    <m/>
    <s v="Yes"/>
    <s v="Yes"/>
    <x v="2"/>
  </r>
  <r>
    <s v="San Diego"/>
    <s v="SDSRTL048"/>
    <m/>
    <m/>
    <s v="PCIe"/>
    <n v="2510913"/>
    <m/>
    <s v="IBIS"/>
    <x v="0"/>
    <x v="19"/>
    <x v="4"/>
    <x v="5"/>
    <s v="No"/>
    <s v="No"/>
    <m/>
    <m/>
    <m/>
    <m/>
    <m/>
    <m/>
    <m/>
    <m/>
    <m/>
    <m/>
    <s v="Yes"/>
    <s v="Yes"/>
    <x v="2"/>
  </r>
  <r>
    <s v="San Diego"/>
    <s v="SDSRTL051"/>
    <m/>
    <m/>
    <s v="PCIe"/>
    <n v="3219975"/>
    <m/>
    <s v="IBIS"/>
    <x v="0"/>
    <x v="20"/>
    <x v="4"/>
    <x v="5"/>
    <s v="No"/>
    <s v="No"/>
    <m/>
    <m/>
    <m/>
    <m/>
    <m/>
    <m/>
    <m/>
    <m/>
    <m/>
    <m/>
    <s v="Yes"/>
    <s v="Yes"/>
    <x v="2"/>
  </r>
  <r>
    <s v="San Diego"/>
    <s v="SDSRTL055"/>
    <m/>
    <m/>
    <s v="PCIe"/>
    <n v="3299649"/>
    <m/>
    <s v="IBIS"/>
    <x v="0"/>
    <x v="20"/>
    <x v="4"/>
    <x v="5"/>
    <s v="No"/>
    <s v="No"/>
    <m/>
    <m/>
    <m/>
    <m/>
    <m/>
    <m/>
    <m/>
    <m/>
    <m/>
    <m/>
    <s v="In progress"/>
    <s v="No"/>
    <x v="2"/>
  </r>
  <r>
    <s v="San Diego"/>
    <s v="SDSRTL068"/>
    <m/>
    <m/>
    <s v="PCIe"/>
    <n v="3299426"/>
    <m/>
    <s v="IBIS"/>
    <x v="0"/>
    <x v="21"/>
    <x v="5"/>
    <x v="5"/>
    <s v="No"/>
    <s v="No"/>
    <m/>
    <m/>
    <m/>
    <m/>
    <m/>
    <m/>
    <m/>
    <m/>
    <m/>
    <m/>
    <s v="Yes"/>
    <s v="Yes"/>
    <x v="2"/>
  </r>
  <r>
    <s v="San Diego"/>
    <s v="SDSRTL066"/>
    <m/>
    <m/>
    <s v="PCIe"/>
    <n v="3299342"/>
    <m/>
    <s v="IBIS"/>
    <x v="0"/>
    <x v="2"/>
    <x v="2"/>
    <x v="5"/>
    <s v="No"/>
    <s v="No"/>
    <m/>
    <m/>
    <m/>
    <m/>
    <m/>
    <m/>
    <m/>
    <m/>
    <m/>
    <m/>
    <s v="In progress"/>
    <s v="No"/>
    <x v="2"/>
  </r>
  <r>
    <s v="San Diego"/>
    <s v="SDSRTL069"/>
    <m/>
    <m/>
    <s v="PCIe"/>
    <n v="3299461"/>
    <m/>
    <s v="IBIS"/>
    <x v="0"/>
    <x v="19"/>
    <x v="4"/>
    <x v="5"/>
    <s v="No"/>
    <s v="No"/>
    <m/>
    <m/>
    <m/>
    <m/>
    <m/>
    <m/>
    <m/>
    <m/>
    <m/>
    <m/>
    <s v="Yes"/>
    <s v="Yes"/>
    <x v="2"/>
  </r>
  <r>
    <s v="San Diego"/>
    <s v="SDSRTL067"/>
    <m/>
    <m/>
    <s v="PCIe"/>
    <n v="3299469"/>
    <m/>
    <s v="IBIS"/>
    <x v="0"/>
    <x v="19"/>
    <x v="4"/>
    <x v="5"/>
    <s v="No"/>
    <s v="No"/>
    <m/>
    <m/>
    <m/>
    <m/>
    <m/>
    <m/>
    <m/>
    <m/>
    <m/>
    <m/>
    <s v="Yes"/>
    <s v="Yes"/>
    <x v="2"/>
  </r>
  <r>
    <s v="San Diego"/>
    <s v="SDSRTL036"/>
    <m/>
    <m/>
    <s v="PCIe"/>
    <n v="3299603"/>
    <m/>
    <s v="IBIS"/>
    <x v="0"/>
    <x v="20"/>
    <x v="4"/>
    <x v="5"/>
    <s v="No"/>
    <s v="No"/>
    <m/>
    <m/>
    <m/>
    <m/>
    <m/>
    <m/>
    <m/>
    <m/>
    <m/>
    <m/>
    <s v="Yes"/>
    <s v="Yes"/>
    <x v="2"/>
  </r>
  <r>
    <s v="San Diego"/>
    <s v="SDSRTL038"/>
    <m/>
    <m/>
    <s v="PCIe"/>
    <n v="3299818"/>
    <m/>
    <s v="IBIS"/>
    <x v="0"/>
    <x v="20"/>
    <x v="4"/>
    <x v="5"/>
    <s v="No"/>
    <s v="No"/>
    <m/>
    <m/>
    <m/>
    <m/>
    <m/>
    <m/>
    <m/>
    <m/>
    <m/>
    <m/>
    <s v="In progress"/>
    <s v="No"/>
    <x v="2"/>
  </r>
  <r>
    <s v="San Diego"/>
    <s v="SDSRTL053"/>
    <m/>
    <m/>
    <s v="PCIe"/>
    <n v="3316764"/>
    <m/>
    <s v="IBIS"/>
    <x v="0"/>
    <x v="20"/>
    <x v="4"/>
    <x v="5"/>
    <s v="No"/>
    <s v="No"/>
    <m/>
    <m/>
    <m/>
    <m/>
    <m/>
    <m/>
    <m/>
    <m/>
    <m/>
    <m/>
    <s v="Yes"/>
    <s v="Yes"/>
    <x v="2"/>
  </r>
  <r>
    <s v="San Diego"/>
    <s v="SDSRTL039"/>
    <m/>
    <m/>
    <s v="PCIe"/>
    <n v="3220115"/>
    <m/>
    <s v="IBIS"/>
    <x v="0"/>
    <x v="21"/>
    <x v="4"/>
    <x v="5"/>
    <s v="No"/>
    <s v="No"/>
    <m/>
    <m/>
    <m/>
    <m/>
    <m/>
    <m/>
    <m/>
    <m/>
    <m/>
    <m/>
    <s v="Yes"/>
    <s v="Yes"/>
    <x v="2"/>
  </r>
  <r>
    <s v="San Diego"/>
    <s v="SDSRTL049"/>
    <m/>
    <m/>
    <s v="PCIe"/>
    <n v="3299713"/>
    <m/>
    <s v="IBIS"/>
    <x v="0"/>
    <x v="21"/>
    <x v="4"/>
    <x v="5"/>
    <s v="No"/>
    <s v="No"/>
    <m/>
    <m/>
    <m/>
    <m/>
    <m/>
    <m/>
    <m/>
    <m/>
    <m/>
    <m/>
    <s v="Yes"/>
    <s v="Yes"/>
    <x v="2"/>
  </r>
  <r>
    <s v="San Diego"/>
    <s v="SDSRTL065"/>
    <m/>
    <m/>
    <s v="PCIe"/>
    <n v="3299527"/>
    <m/>
    <s v="IBIS"/>
    <x v="0"/>
    <x v="21"/>
    <x v="4"/>
    <x v="5"/>
    <s v="No"/>
    <s v="No"/>
    <m/>
    <m/>
    <m/>
    <m/>
    <m/>
    <m/>
    <m/>
    <m/>
    <m/>
    <m/>
    <s v="Yes"/>
    <s v="Yes"/>
    <x v="2"/>
  </r>
  <r>
    <s v="San Diego"/>
    <s v="SDSRTL070"/>
    <m/>
    <m/>
    <s v="PCIe"/>
    <n v="3299582"/>
    <m/>
    <s v="IBIS"/>
    <x v="0"/>
    <x v="19"/>
    <x v="4"/>
    <x v="5"/>
    <s v="No"/>
    <s v="No"/>
    <m/>
    <m/>
    <m/>
    <m/>
    <m/>
    <m/>
    <m/>
    <m/>
    <m/>
    <m/>
    <s v="Yes"/>
    <s v="Yes"/>
    <x v="2"/>
  </r>
  <r>
    <s v="San Diego"/>
    <s v="SDSRTL020"/>
    <m/>
    <m/>
    <s v="PCIe"/>
    <n v="3219834"/>
    <m/>
    <s v="IBIS"/>
    <x v="0"/>
    <x v="19"/>
    <x v="4"/>
    <x v="5"/>
    <s v="No"/>
    <s v="No"/>
    <m/>
    <m/>
    <m/>
    <m/>
    <m/>
    <m/>
    <m/>
    <m/>
    <m/>
    <m/>
    <s v="Yes"/>
    <s v="Yes"/>
    <x v="2"/>
  </r>
  <r>
    <s v="San Diego"/>
    <s v="SDSRTL021"/>
    <m/>
    <m/>
    <s v="PCIe"/>
    <n v="3219902"/>
    <m/>
    <s v="IBIS"/>
    <x v="0"/>
    <x v="19"/>
    <x v="4"/>
    <x v="5"/>
    <s v="No"/>
    <s v="No"/>
    <m/>
    <m/>
    <m/>
    <m/>
    <m/>
    <m/>
    <m/>
    <m/>
    <m/>
    <m/>
    <s v="Yes"/>
    <s v="Yes"/>
    <x v="2"/>
  </r>
  <r>
    <s v="San Diego"/>
    <s v="SDSRTL052"/>
    <m/>
    <m/>
    <s v="PCIe"/>
    <n v="3299765"/>
    <m/>
    <s v="IBIS"/>
    <x v="0"/>
    <x v="19"/>
    <x v="4"/>
    <x v="5"/>
    <s v="No"/>
    <s v="No"/>
    <m/>
    <m/>
    <m/>
    <m/>
    <m/>
    <m/>
    <m/>
    <m/>
    <m/>
    <m/>
    <s v="Yes"/>
    <s v="Yes"/>
    <x v="2"/>
  </r>
  <r>
    <s v="San Diego"/>
    <s v="SDSRTL027"/>
    <m/>
    <m/>
    <s v="PCIe"/>
    <n v="3220083"/>
    <m/>
    <s v="IBIS"/>
    <x v="0"/>
    <x v="20"/>
    <x v="5"/>
    <x v="5"/>
    <s v="No"/>
    <s v="No"/>
    <m/>
    <m/>
    <m/>
    <m/>
    <m/>
    <m/>
    <m/>
    <m/>
    <m/>
    <m/>
    <s v="Yes"/>
    <s v="Yes"/>
    <x v="2"/>
  </r>
  <r>
    <s v="San Diego"/>
    <s v="SDSRTL028"/>
    <m/>
    <m/>
    <s v="PCIe"/>
    <n v="3220110"/>
    <m/>
    <s v="IBIS"/>
    <x v="0"/>
    <x v="20"/>
    <x v="4"/>
    <x v="5"/>
    <s v="No"/>
    <s v="No"/>
    <m/>
    <m/>
    <m/>
    <m/>
    <m/>
    <m/>
    <m/>
    <m/>
    <m/>
    <m/>
    <s v="Yes"/>
    <s v="Yes"/>
    <x v="2"/>
  </r>
  <r>
    <s v="San Diego"/>
    <s v="SDSRTL050"/>
    <m/>
    <m/>
    <s v="PCIe"/>
    <n v="3299614"/>
    <m/>
    <s v="IBIS"/>
    <x v="0"/>
    <x v="20"/>
    <x v="4"/>
    <x v="5"/>
    <s v="No"/>
    <s v="No"/>
    <m/>
    <m/>
    <m/>
    <m/>
    <m/>
    <m/>
    <m/>
    <m/>
    <m/>
    <m/>
    <s v="Yes"/>
    <s v="Yes"/>
    <x v="2"/>
  </r>
  <r>
    <s v="San Diego"/>
    <s v="SDSRTL054"/>
    <m/>
    <m/>
    <s v="PCIe"/>
    <n v="3299569"/>
    <m/>
    <s v="IBIS"/>
    <x v="0"/>
    <x v="20"/>
    <x v="5"/>
    <x v="5"/>
    <s v="No"/>
    <s v="No"/>
    <m/>
    <m/>
    <m/>
    <m/>
    <m/>
    <m/>
    <m/>
    <m/>
    <m/>
    <m/>
    <s v="Yes"/>
    <s v="Yes"/>
    <x v="2"/>
  </r>
  <r>
    <s v="San Diego"/>
    <s v="SDSRTL057"/>
    <m/>
    <m/>
    <s v="PCIe"/>
    <n v="3299443"/>
    <m/>
    <s v="IBIS"/>
    <x v="0"/>
    <x v="20"/>
    <x v="5"/>
    <x v="5"/>
    <s v="No"/>
    <s v="No"/>
    <m/>
    <m/>
    <m/>
    <m/>
    <m/>
    <m/>
    <m/>
    <m/>
    <m/>
    <m/>
    <s v="Yes"/>
    <s v="Yes"/>
    <x v="2"/>
  </r>
  <r>
    <s v="San Diego"/>
    <s v="SDSRTL040"/>
    <m/>
    <m/>
    <s v="PCIe"/>
    <n v="3299597"/>
    <m/>
    <s v="IBIS"/>
    <x v="0"/>
    <x v="21"/>
    <x v="5"/>
    <x v="5"/>
    <s v="No"/>
    <s v="No"/>
    <m/>
    <m/>
    <m/>
    <m/>
    <m/>
    <m/>
    <m/>
    <m/>
    <m/>
    <m/>
    <s v="Yes"/>
    <s v="Yes"/>
    <x v="2"/>
  </r>
  <r>
    <s v="San Diego"/>
    <s v="SDSRTL041"/>
    <m/>
    <m/>
    <s v="PCIe"/>
    <n v="3299821"/>
    <m/>
    <s v="IBIS"/>
    <x v="0"/>
    <x v="21"/>
    <x v="4"/>
    <x v="5"/>
    <s v="No"/>
    <s v="No"/>
    <m/>
    <m/>
    <m/>
    <m/>
    <m/>
    <m/>
    <m/>
    <m/>
    <m/>
    <m/>
    <s v="Yes"/>
    <s v="Yes"/>
    <x v="2"/>
  </r>
  <r>
    <s v="San Diego"/>
    <s v="SDSRTL042"/>
    <m/>
    <m/>
    <s v="PCIe"/>
    <n v="3299703"/>
    <m/>
    <s v="IBIS"/>
    <x v="0"/>
    <x v="21"/>
    <x v="4"/>
    <x v="5"/>
    <s v="No"/>
    <s v="No"/>
    <m/>
    <m/>
    <m/>
    <m/>
    <m/>
    <m/>
    <m/>
    <m/>
    <m/>
    <m/>
    <s v="Yes"/>
    <s v="Yes"/>
    <x v="2"/>
  </r>
  <r>
    <s v="San Diego"/>
    <s v="SDSRTL043"/>
    <m/>
    <m/>
    <s v="PCIe"/>
    <n v="3299382"/>
    <m/>
    <s v="IBIS"/>
    <x v="0"/>
    <x v="21"/>
    <x v="4"/>
    <x v="5"/>
    <s v="No"/>
    <s v="No"/>
    <m/>
    <m/>
    <m/>
    <m/>
    <m/>
    <m/>
    <m/>
    <m/>
    <m/>
    <m/>
    <s v="Yes"/>
    <s v="Yes"/>
    <x v="2"/>
  </r>
  <r>
    <s v="San Diego"/>
    <s v="SDSRTL056"/>
    <m/>
    <m/>
    <s v="PCIe"/>
    <n v="3299611"/>
    <m/>
    <s v="IBIS"/>
    <x v="0"/>
    <x v="21"/>
    <x v="4"/>
    <x v="5"/>
    <s v="No"/>
    <s v="No"/>
    <m/>
    <m/>
    <m/>
    <m/>
    <m/>
    <m/>
    <m/>
    <m/>
    <m/>
    <m/>
    <s v="Yes"/>
    <s v="Yes"/>
    <x v="2"/>
  </r>
  <r>
    <s v="San Diego"/>
    <s v="SDSRTL058"/>
    <m/>
    <m/>
    <s v="PCIe"/>
    <n v="3299432"/>
    <m/>
    <s v="IBIS"/>
    <x v="0"/>
    <x v="21"/>
    <x v="4"/>
    <x v="5"/>
    <s v="No"/>
    <s v="No"/>
    <m/>
    <m/>
    <m/>
    <m/>
    <m/>
    <m/>
    <m/>
    <m/>
    <m/>
    <m/>
    <s v="Yes"/>
    <s v="Yes"/>
    <x v="2"/>
  </r>
  <r>
    <s v="San Diego"/>
    <s v="SDSRTL081"/>
    <m/>
    <m/>
    <s v="PCIe"/>
    <n v="3516418"/>
    <m/>
    <s v="IBIS"/>
    <x v="0"/>
    <x v="19"/>
    <x v="4"/>
    <x v="5"/>
    <s v="No"/>
    <s v="No"/>
    <m/>
    <m/>
    <m/>
    <m/>
    <m/>
    <m/>
    <m/>
    <m/>
    <m/>
    <m/>
    <s v="Yes"/>
    <s v="Yes"/>
    <x v="2"/>
  </r>
  <r>
    <s v="San Diego"/>
    <s v="SDSRTL082"/>
    <m/>
    <m/>
    <s v="PCIe"/>
    <n v="3516433"/>
    <m/>
    <s v="IBIS"/>
    <x v="0"/>
    <x v="20"/>
    <x v="4"/>
    <x v="5"/>
    <s v="No"/>
    <s v="No"/>
    <m/>
    <m/>
    <m/>
    <m/>
    <m/>
    <m/>
    <m/>
    <m/>
    <m/>
    <m/>
    <s v="Yes"/>
    <s v="Yes"/>
    <x v="2"/>
  </r>
  <r>
    <s v="San Diego"/>
    <s v="SDSRTL006"/>
    <s v="Yes"/>
    <s v="SEB"/>
    <s v="PCIe"/>
    <n v="2511046"/>
    <m/>
    <s v="ICE18"/>
    <x v="0"/>
    <x v="20"/>
    <x v="4"/>
    <x v="1"/>
    <s v="No"/>
    <s v="No"/>
    <s v="No"/>
    <m/>
    <m/>
    <m/>
    <m/>
    <m/>
    <m/>
    <m/>
    <m/>
    <m/>
    <s v="Yes"/>
    <s v="Yes"/>
    <x v="0"/>
  </r>
  <r>
    <s v="San Diego"/>
    <s v="SDSRTL008"/>
    <s v="Yes"/>
    <s v="SEB"/>
    <s v="PCIe"/>
    <n v="2510990"/>
    <m/>
    <s v="ICE18"/>
    <x v="0"/>
    <x v="20"/>
    <x v="4"/>
    <x v="1"/>
    <s v="No"/>
    <s v="No"/>
    <s v="4x"/>
    <m/>
    <m/>
    <m/>
    <m/>
    <m/>
    <m/>
    <m/>
    <m/>
    <m/>
    <s v="Yes"/>
    <s v="Yes"/>
    <x v="0"/>
  </r>
  <r>
    <s v="San Diego"/>
    <s v="SDSRTL009"/>
    <s v="Yes"/>
    <s v="Pre-INT"/>
    <s v="PCIe"/>
    <n v="2510450"/>
    <m/>
    <s v="ICE18"/>
    <x v="0"/>
    <x v="21"/>
    <x v="4"/>
    <x v="9"/>
    <s v="No"/>
    <s v="No"/>
    <s v="No"/>
    <m/>
    <m/>
    <m/>
    <m/>
    <m/>
    <m/>
    <m/>
    <m/>
    <m/>
    <s v="Yes"/>
    <s v="Yes"/>
    <x v="0"/>
  </r>
  <r>
    <s v="San Diego"/>
    <s v="SDSRTL010"/>
    <s v="Yes"/>
    <s v="CR"/>
    <s v="PCIe"/>
    <n v="2510464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011"/>
    <s v="Yes"/>
    <s v="UTC"/>
    <s v="PCIe"/>
    <n v="3219923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012"/>
    <s v="Yes"/>
    <s v="CR"/>
    <s v="PCIe"/>
    <n v="3219935"/>
    <m/>
    <s v="ICE18"/>
    <x v="0"/>
    <x v="20"/>
    <x v="4"/>
    <x v="1"/>
    <s v="No"/>
    <s v="No"/>
    <s v="No"/>
    <m/>
    <m/>
    <m/>
    <m/>
    <m/>
    <m/>
    <m/>
    <m/>
    <m/>
    <s v="Yes"/>
    <s v="Yes"/>
    <x v="0"/>
  </r>
  <r>
    <s v="San Diego"/>
    <s v="SDSRTL013"/>
    <s v="Yes"/>
    <s v="CEB"/>
    <s v="PCIe"/>
    <n v="3219988"/>
    <m/>
    <s v="ICE18"/>
    <x v="0"/>
    <x v="21"/>
    <x v="4"/>
    <x v="1"/>
    <s v="No"/>
    <s v="No"/>
    <s v="4x"/>
    <m/>
    <m/>
    <m/>
    <m/>
    <m/>
    <m/>
    <m/>
    <m/>
    <m/>
    <s v="Yes"/>
    <s v="Yes"/>
    <x v="0"/>
  </r>
  <r>
    <s v="San Diego"/>
    <s v="SDSRTL014"/>
    <s v="Yes"/>
    <s v="CR"/>
    <s v="PCIe"/>
    <n v="3219860"/>
    <m/>
    <s v="ICE18"/>
    <x v="0"/>
    <x v="21"/>
    <x v="4"/>
    <x v="1"/>
    <s v="No"/>
    <s v="No"/>
    <s v="4x"/>
    <m/>
    <m/>
    <m/>
    <m/>
    <m/>
    <m/>
    <m/>
    <m/>
    <m/>
    <s v="Yes"/>
    <s v="Yes"/>
    <x v="0"/>
  </r>
  <r>
    <s v="San Diego"/>
    <s v="SDSRTL016"/>
    <s v="Yes"/>
    <s v="CR"/>
    <s v="PCIe"/>
    <n v="3219878"/>
    <m/>
    <s v="ICE18"/>
    <x v="0"/>
    <x v="20"/>
    <x v="4"/>
    <x v="1"/>
    <s v="No"/>
    <s v="No"/>
    <s v="No"/>
    <m/>
    <m/>
    <m/>
    <m/>
    <m/>
    <m/>
    <m/>
    <m/>
    <m/>
    <s v="Yes"/>
    <s v="Yes"/>
    <x v="0"/>
  </r>
  <r>
    <s v="San Diego"/>
    <s v="SDSRTL017"/>
    <s v="Yes"/>
    <s v="UTC"/>
    <s v="PCIe"/>
    <n v="3220046"/>
    <m/>
    <s v="ICE18"/>
    <x v="0"/>
    <x v="21"/>
    <x v="6"/>
    <x v="1"/>
    <s v="No"/>
    <s v="No"/>
    <s v="No"/>
    <m/>
    <m/>
    <m/>
    <m/>
    <m/>
    <m/>
    <m/>
    <m/>
    <m/>
    <s v="Yes"/>
    <s v="Yes"/>
    <x v="0"/>
  </r>
  <r>
    <s v="San Diego"/>
    <s v="SDSRTL018"/>
    <s v="Yes"/>
    <s v="Pre-INT"/>
    <s v="PCIe"/>
    <n v="3220059"/>
    <m/>
    <s v="ICE18"/>
    <x v="0"/>
    <x v="21"/>
    <x v="4"/>
    <x v="9"/>
    <s v="No"/>
    <s v="No"/>
    <s v="No"/>
    <m/>
    <m/>
    <m/>
    <m/>
    <m/>
    <m/>
    <m/>
    <m/>
    <m/>
    <s v="Yes"/>
    <s v="Yes"/>
    <x v="0"/>
  </r>
  <r>
    <s v="San Diego"/>
    <s v="SDSRTL019"/>
    <s v="Yes"/>
    <s v="CR"/>
    <s v="PCIe"/>
    <n v="3219884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022"/>
    <s v="Yes"/>
    <s v="CEB"/>
    <s v="PCIe"/>
    <n v="3219970"/>
    <m/>
    <s v="ICE18"/>
    <x v="0"/>
    <x v="21"/>
    <x v="4"/>
    <x v="1"/>
    <s v="No"/>
    <s v="No"/>
    <s v="4x"/>
    <m/>
    <m/>
    <m/>
    <m/>
    <m/>
    <m/>
    <m/>
    <m/>
    <m/>
    <s v="Yes"/>
    <s v="Yes"/>
    <x v="0"/>
  </r>
  <r>
    <s v="San Diego"/>
    <s v="SDSRTL023"/>
    <s v="Yes"/>
    <s v="Pre-INT"/>
    <s v="PCIe"/>
    <n v="3219891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024"/>
    <s v="Yes"/>
    <s v="CR"/>
    <s v="PCIe"/>
    <n v="3219919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025"/>
    <s v="Yes"/>
    <s v="CEB"/>
    <s v="PCIe"/>
    <n v="3219938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029"/>
    <s v="Yes"/>
    <s v="CEB"/>
    <s v="PCIe"/>
    <n v="3220093"/>
    <m/>
    <s v="ICE18"/>
    <x v="0"/>
    <x v="21"/>
    <x v="4"/>
    <x v="1"/>
    <s v="No"/>
    <s v="No"/>
    <s v="4x"/>
    <m/>
    <m/>
    <m/>
    <m/>
    <m/>
    <m/>
    <m/>
    <m/>
    <m/>
    <s v="Yes"/>
    <s v="Yes"/>
    <x v="0"/>
  </r>
  <r>
    <s v="San Diego"/>
    <s v="SDSRTL031"/>
    <s v="Yes"/>
    <s v="CR"/>
    <s v="PCIe"/>
    <n v="3220292"/>
    <m/>
    <s v="ICE18"/>
    <x v="0"/>
    <x v="21"/>
    <x v="6"/>
    <x v="1"/>
    <s v="No"/>
    <s v="No"/>
    <s v="No"/>
    <m/>
    <m/>
    <m/>
    <m/>
    <m/>
    <m/>
    <m/>
    <m/>
    <m/>
    <s v="Yes"/>
    <s v="Yes"/>
    <x v="0"/>
  </r>
  <r>
    <s v="San Diego"/>
    <s v="SDSRTL032"/>
    <s v="Yes"/>
    <s v="UTC"/>
    <s v="PCIe"/>
    <n v="3220092"/>
    <m/>
    <s v="ICE18"/>
    <x v="0"/>
    <x v="20"/>
    <x v="5"/>
    <x v="1"/>
    <s v="No"/>
    <s v="No"/>
    <s v="No"/>
    <m/>
    <m/>
    <m/>
    <m/>
    <m/>
    <m/>
    <m/>
    <m/>
    <m/>
    <s v="Yes"/>
    <s v="Yes"/>
    <x v="0"/>
  </r>
  <r>
    <s v="San Diego"/>
    <s v="SDSRTL033"/>
    <s v="Yes"/>
    <s v="CR"/>
    <s v="PCIe"/>
    <n v="3220178"/>
    <m/>
    <s v="ICE18"/>
    <x v="0"/>
    <x v="20"/>
    <x v="4"/>
    <x v="1"/>
    <s v="No"/>
    <s v="No"/>
    <s v="No"/>
    <m/>
    <m/>
    <m/>
    <m/>
    <m/>
    <m/>
    <m/>
    <m/>
    <m/>
    <s v="Yes"/>
    <s v="Yes"/>
    <x v="0"/>
  </r>
  <r>
    <s v="San Diego"/>
    <s v="SDSRTL034"/>
    <s v="Yes"/>
    <s v="UTC"/>
    <s v="PCIe"/>
    <n v="3220085"/>
    <m/>
    <s v="ICE18"/>
    <x v="0"/>
    <x v="20"/>
    <x v="5"/>
    <x v="1"/>
    <s v="No"/>
    <s v="No"/>
    <s v="No"/>
    <m/>
    <m/>
    <m/>
    <m/>
    <m/>
    <m/>
    <m/>
    <m/>
    <m/>
    <s v="Yes"/>
    <s v="Yes"/>
    <x v="0"/>
  </r>
  <r>
    <s v="San Diego"/>
    <s v="SDSRTL035"/>
    <s v="Yes"/>
    <s v="CEB"/>
    <s v="PCIe"/>
    <n v="3299726"/>
    <m/>
    <s v="ICE18"/>
    <x v="0"/>
    <x v="21"/>
    <x v="5"/>
    <x v="1"/>
    <s v="No"/>
    <s v="No"/>
    <s v="No"/>
    <m/>
    <m/>
    <m/>
    <m/>
    <m/>
    <m/>
    <m/>
    <m/>
    <m/>
    <s v="Yes"/>
    <s v="Yes"/>
    <x v="0"/>
  </r>
  <r>
    <s v="San Diego"/>
    <s v="SDSRTL044"/>
    <s v="Yes"/>
    <s v="Pre-INT"/>
    <s v="PCIe"/>
    <n v="3299340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045"/>
    <s v="Yes"/>
    <s v="CEB"/>
    <s v="PCIe"/>
    <n v="3299437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046"/>
    <s v="Yes"/>
    <s v="CR"/>
    <s v="PCIe"/>
    <n v="3299802"/>
    <m/>
    <s v="ICE18"/>
    <x v="0"/>
    <x v="21"/>
    <x v="6"/>
    <x v="1"/>
    <s v="No"/>
    <s v="No"/>
    <s v="No"/>
    <m/>
    <m/>
    <m/>
    <m/>
    <m/>
    <m/>
    <m/>
    <m/>
    <m/>
    <s v="Yes"/>
    <s v="Yes"/>
    <x v="0"/>
  </r>
  <r>
    <s v="San Diego"/>
    <s v="SDSRTL047"/>
    <s v="Yes"/>
    <s v="SEB"/>
    <s v="PCIe"/>
    <n v="3299676"/>
    <m/>
    <s v="ICE18"/>
    <x v="0"/>
    <x v="21"/>
    <x v="6"/>
    <x v="1"/>
    <s v="No"/>
    <s v="No"/>
    <s v="No"/>
    <m/>
    <m/>
    <m/>
    <m/>
    <m/>
    <m/>
    <m/>
    <m/>
    <m/>
    <s v="Yes"/>
    <s v="Yes"/>
    <x v="0"/>
  </r>
  <r>
    <s v="San Diego"/>
    <s v="SDSRTL060"/>
    <s v="Yes"/>
    <s v="SEB"/>
    <s v="PCIe"/>
    <n v="3299759"/>
    <m/>
    <s v="ICE18"/>
    <x v="0"/>
    <x v="20"/>
    <x v="5"/>
    <x v="1"/>
    <s v="No"/>
    <s v="No"/>
    <s v="No"/>
    <m/>
    <m/>
    <m/>
    <m/>
    <m/>
    <m/>
    <m/>
    <m/>
    <m/>
    <s v="Yes"/>
    <s v="Yes"/>
    <x v="0"/>
  </r>
  <r>
    <s v="San Diego"/>
    <s v="SDSRTL061"/>
    <s v="Yes"/>
    <s v="CR"/>
    <s v="PCIe"/>
    <n v="3299653"/>
    <m/>
    <s v="ICE18"/>
    <x v="0"/>
    <x v="20"/>
    <x v="5"/>
    <x v="1"/>
    <s v="No"/>
    <s v="No"/>
    <s v="No"/>
    <m/>
    <m/>
    <m/>
    <m/>
    <m/>
    <m/>
    <m/>
    <m/>
    <m/>
    <s v="Yes"/>
    <s v="Yes"/>
    <x v="0"/>
  </r>
  <r>
    <s v="San Diego"/>
    <s v="SDSRTL062"/>
    <s v="Yes"/>
    <s v="SEB"/>
    <s v="PCIe"/>
    <n v="3299409"/>
    <m/>
    <s v="ICE18"/>
    <x v="0"/>
    <x v="22"/>
    <x v="14"/>
    <x v="1"/>
    <s v="No"/>
    <s v="Yes"/>
    <s v="4x"/>
    <m/>
    <m/>
    <m/>
    <m/>
    <m/>
    <m/>
    <m/>
    <m/>
    <m/>
    <s v="Yes"/>
    <s v="Yes"/>
    <x v="0"/>
  </r>
  <r>
    <s v="San Diego"/>
    <s v="SDSRTL064"/>
    <s v="Yes"/>
    <s v="CEB"/>
    <s v="PCIe"/>
    <n v="3299634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075"/>
    <s v="Yes"/>
    <s v="CR"/>
    <s v="PCIe"/>
    <n v="3299563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077"/>
    <s v="Yes"/>
    <s v="CR"/>
    <s v="PCIe"/>
    <n v="3299785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078"/>
    <s v="Yes"/>
    <s v="CR"/>
    <s v="PCIe"/>
    <n v="2510795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079"/>
    <s v="Yes"/>
    <s v="CR"/>
    <s v="PCIe"/>
    <n v="3299831"/>
    <m/>
    <s v="ICE18"/>
    <x v="0"/>
    <x v="19"/>
    <x v="14"/>
    <x v="1"/>
    <s v="No"/>
    <s v="Yes"/>
    <s v="No"/>
    <m/>
    <m/>
    <m/>
    <m/>
    <m/>
    <m/>
    <m/>
    <m/>
    <m/>
    <s v="Yes"/>
    <s v="Yes"/>
    <x v="0"/>
  </r>
  <r>
    <s v="San Diego"/>
    <s v="SDSRTL080"/>
    <s v="Yes"/>
    <s v="UTC"/>
    <s v="PCIe"/>
    <n v="3299452"/>
    <m/>
    <s v="ICE18"/>
    <x v="0"/>
    <x v="19"/>
    <x v="14"/>
    <x v="1"/>
    <s v="No"/>
    <s v="Yes"/>
    <s v="No"/>
    <m/>
    <m/>
    <m/>
    <m/>
    <m/>
    <m/>
    <m/>
    <m/>
    <m/>
    <s v="Yes"/>
    <s v="Yes"/>
    <x v="0"/>
  </r>
  <r>
    <s v="San Diego"/>
    <s v="SDSRTL083"/>
    <s v="Yes"/>
    <s v="Pre-INT"/>
    <s v="PCIe"/>
    <n v="3516395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084"/>
    <s v="Yes"/>
    <s v="UTC"/>
    <s v="PCIe"/>
    <n v="3219839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085"/>
    <s v="Yes"/>
    <s v="CR"/>
    <s v="PCIe"/>
    <n v="3219874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086"/>
    <s v="Yes"/>
    <s v="UTC"/>
    <s v="PCIe"/>
    <n v="3219972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087"/>
    <s v="Yes"/>
    <s v="UTC"/>
    <s v="PCIe"/>
    <n v="2794293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088"/>
    <s v="Yes"/>
    <s v="Pre-INT"/>
    <s v="PCIe"/>
    <n v="3516408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089"/>
    <s v="Yes"/>
    <s v="CR"/>
    <s v="PCIe"/>
    <n v="3516368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090"/>
    <s v="Yes"/>
    <s v="CEB"/>
    <s v="PCIe"/>
    <n v="3516385"/>
    <m/>
    <s v="ICE18"/>
    <x v="0"/>
    <x v="22"/>
    <x v="14"/>
    <x v="1"/>
    <s v="No"/>
    <s v="Yes"/>
    <s v="4x"/>
    <m/>
    <m/>
    <m/>
    <m/>
    <m/>
    <m/>
    <m/>
    <m/>
    <m/>
    <s v="Yes"/>
    <s v="Yes"/>
    <x v="0"/>
  </r>
  <r>
    <s v="San Diego"/>
    <s v="SDSRTL091"/>
    <s v="Yes"/>
    <s v="SUS"/>
    <s v="PCIe"/>
    <n v="3516388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092"/>
    <s v="Yes"/>
    <s v="CEB"/>
    <s v="PCIe"/>
    <n v="3516434"/>
    <m/>
    <s v="ICE18"/>
    <x v="0"/>
    <x v="22"/>
    <x v="14"/>
    <x v="1"/>
    <s v="No"/>
    <s v="Yes"/>
    <s v="4x"/>
    <m/>
    <m/>
    <m/>
    <m/>
    <m/>
    <m/>
    <m/>
    <m/>
    <m/>
    <s v="Yes"/>
    <s v="Yes"/>
    <x v="0"/>
  </r>
  <r>
    <s v="San Diego"/>
    <s v="SDSRTL093"/>
    <s v="Yes"/>
    <s v="SUS"/>
    <s v="PCIe"/>
    <n v="3516431"/>
    <m/>
    <s v="ICE18"/>
    <x v="0"/>
    <x v="22"/>
    <x v="13"/>
    <x v="1"/>
    <s v="No"/>
    <s v="Yes"/>
    <s v="4x"/>
    <m/>
    <m/>
    <m/>
    <m/>
    <m/>
    <m/>
    <m/>
    <m/>
    <m/>
    <s v="Yes"/>
    <s v="Yes"/>
    <x v="1"/>
  </r>
  <r>
    <s v="San Diego"/>
    <s v="SDSRTL094"/>
    <s v="Yes"/>
    <s v="Pre-INT"/>
    <s v="PCIe"/>
    <n v="3516369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104"/>
    <s v="Yes"/>
    <s v="Pre-INT"/>
    <s v="PCIe"/>
    <n v="2510760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105"/>
    <s v="Yes"/>
    <s v="Pre-INT"/>
    <s v="PCIe"/>
    <n v="2511064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106"/>
    <s v="Yes"/>
    <s v="SUS"/>
    <s v="PCIe"/>
    <n v="2510972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107"/>
    <s v="Yes"/>
    <s v="Pre-INT"/>
    <s v="PCIe"/>
    <n v="2510460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108"/>
    <s v="Yes"/>
    <s v="SEB"/>
    <s v="PCIe"/>
    <n v="2250508"/>
    <m/>
    <s v="ICE18"/>
    <x v="0"/>
    <x v="19"/>
    <x v="13"/>
    <x v="1"/>
    <s v="No"/>
    <s v="Yes"/>
    <s v="No"/>
    <m/>
    <m/>
    <m/>
    <m/>
    <m/>
    <m/>
    <m/>
    <m/>
    <m/>
    <s v="Yes"/>
    <s v="Yes"/>
    <x v="0"/>
  </r>
  <r>
    <s v="San Diego"/>
    <s v="SDSRTL109"/>
    <s v="Yes"/>
    <s v="UTC"/>
    <s v="PCIe"/>
    <n v="2511000"/>
    <m/>
    <s v="ICE18"/>
    <x v="0"/>
    <x v="19"/>
    <x v="13"/>
    <x v="1"/>
    <s v="No"/>
    <s v="Yes"/>
    <s v="No"/>
    <m/>
    <m/>
    <m/>
    <m/>
    <m/>
    <m/>
    <m/>
    <m/>
    <m/>
    <s v="Yes"/>
    <s v="Yes"/>
    <x v="0"/>
  </r>
  <r>
    <s v="San Diego"/>
    <s v="SDSRTL110"/>
    <s v="Yes"/>
    <s v="CEB"/>
    <s v="PCIe"/>
    <n v="3648534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111"/>
    <s v="Yes"/>
    <s v="CEB"/>
    <s v="PCIe"/>
    <n v="3648327"/>
    <m/>
    <s v="ICE18"/>
    <x v="0"/>
    <x v="21"/>
    <x v="5"/>
    <x v="1"/>
    <s v="No"/>
    <s v="No"/>
    <s v="No"/>
    <m/>
    <m/>
    <m/>
    <m/>
    <m/>
    <m/>
    <m/>
    <m/>
    <m/>
    <s v="Yes"/>
    <s v="Yes"/>
    <x v="0"/>
  </r>
  <r>
    <s v="San Diego"/>
    <s v="SDSRTL112"/>
    <s v="Yes"/>
    <s v="CR"/>
    <s v="PCIe"/>
    <n v="3648206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113"/>
    <s v="Yes"/>
    <s v="Pre-INT"/>
    <s v="PCIe"/>
    <n v="3648270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114"/>
    <s v="Yes"/>
    <s v="CEB"/>
    <s v="PCIe"/>
    <n v="3648549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115"/>
    <s v="Yes"/>
    <s v="Pre-INT"/>
    <s v="PCIe"/>
    <n v="3633233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116"/>
    <s v="Yes"/>
    <s v="Pre-INT"/>
    <s v="PCIe"/>
    <n v="3648450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117"/>
    <s v="Yes"/>
    <s v="Pre-INT"/>
    <s v="PCIe"/>
    <n v="3648256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118"/>
    <s v="Yes"/>
    <s v="CEB"/>
    <s v="PCIe"/>
    <n v="3648443"/>
    <m/>
    <s v="ICE18"/>
    <x v="0"/>
    <x v="21"/>
    <x v="4"/>
    <x v="1"/>
    <s v="No"/>
    <s v="Yes"/>
    <s v="No"/>
    <m/>
    <m/>
    <m/>
    <m/>
    <m/>
    <m/>
    <m/>
    <m/>
    <m/>
    <s v="Yes"/>
    <s v="Yes"/>
    <x v="0"/>
  </r>
  <r>
    <s v="San Diego"/>
    <s v="SDSRTL119"/>
    <s v="Yes"/>
    <s v="Pre-INT"/>
    <s v="PCIe"/>
    <n v="3648399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120"/>
    <s v="Yes"/>
    <s v="Pre-INT"/>
    <s v="PCIe"/>
    <n v="3648253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121"/>
    <s v="Yes"/>
    <s v="Pre-INT"/>
    <s v="PCIe"/>
    <n v="3648266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122"/>
    <s v="Yes"/>
    <s v="CEB"/>
    <s v="PCIe"/>
    <n v="3648273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123"/>
    <s v="Yes"/>
    <s v="Pre-INT"/>
    <s v="PCIe"/>
    <n v="3648458"/>
    <m/>
    <s v="ICE18"/>
    <x v="0"/>
    <x v="22"/>
    <x v="14"/>
    <x v="1"/>
    <s v="No"/>
    <s v="Yes"/>
    <s v="No"/>
    <m/>
    <m/>
    <m/>
    <m/>
    <m/>
    <m/>
    <m/>
    <m/>
    <m/>
    <s v="Yes"/>
    <s v="Yes"/>
    <x v="0"/>
  </r>
  <r>
    <s v="San Diego"/>
    <s v="SDSRTL124"/>
    <s v="Yes"/>
    <s v="CEB"/>
    <s v="PCIe"/>
    <n v="3648542"/>
    <m/>
    <s v="ICE18"/>
    <x v="0"/>
    <x v="22"/>
    <x v="13"/>
    <x v="1"/>
    <s v="No"/>
    <s v="Yes"/>
    <s v="No"/>
    <m/>
    <m/>
    <m/>
    <m/>
    <m/>
    <m/>
    <m/>
    <m/>
    <m/>
    <s v="Yes"/>
    <s v="Yes"/>
    <x v="0"/>
  </r>
  <r>
    <s v="San Diego"/>
    <s v="SDSRTL125"/>
    <s v="Yes"/>
    <s v="CEB"/>
    <s v="PCIe"/>
    <n v="3648333"/>
    <m/>
    <s v="ICE18"/>
    <x v="0"/>
    <x v="22"/>
    <x v="13"/>
    <x v="1"/>
    <s v="No"/>
    <s v="Yes"/>
    <s v="No"/>
    <m/>
    <m/>
    <m/>
    <m/>
    <m/>
    <m/>
    <m/>
    <m/>
    <d v="2018-03-28T00:00:00"/>
    <s v="Yes"/>
    <s v="Yes"/>
    <x v="0"/>
  </r>
  <r>
    <s v="San Diego"/>
    <s v="SDSRTL126"/>
    <s v="Yes"/>
    <s v="Pre-INT"/>
    <s v="PCIe"/>
    <n v="3648229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128"/>
    <s v="Yes"/>
    <s v="UTC"/>
    <s v="PCIe"/>
    <n v="3648456"/>
    <m/>
    <s v="ICE18"/>
    <x v="0"/>
    <x v="20"/>
    <x v="4"/>
    <x v="1"/>
    <s v="No"/>
    <s v="No"/>
    <s v="No"/>
    <m/>
    <m/>
    <m/>
    <m/>
    <m/>
    <m/>
    <m/>
    <m/>
    <m/>
    <s v="Yes"/>
    <s v="Yes"/>
    <x v="0"/>
  </r>
  <r>
    <s v="San Diego"/>
    <s v="SDSRTL139"/>
    <s v="Yes"/>
    <s v="SUS"/>
    <s v="PCIe"/>
    <n v="3648478"/>
    <m/>
    <s v="ICE18"/>
    <x v="0"/>
    <x v="2"/>
    <x v="4"/>
    <x v="1"/>
    <s v="No"/>
    <s v="No"/>
    <s v="SUS"/>
    <m/>
    <m/>
    <m/>
    <m/>
    <m/>
    <m/>
    <m/>
    <m/>
    <m/>
    <s v="Yes"/>
    <s v="Yes"/>
    <x v="0"/>
  </r>
  <r>
    <s v="San Diego"/>
    <s v="SDSRTL140"/>
    <s v="Yes"/>
    <s v="CEB"/>
    <s v="PCIe"/>
    <n v="3648446"/>
    <m/>
    <s v="ICE18"/>
    <x v="0"/>
    <x v="21"/>
    <x v="4"/>
    <x v="1"/>
    <s v="No"/>
    <s v="No"/>
    <s v="4x"/>
    <m/>
    <m/>
    <m/>
    <m/>
    <m/>
    <m/>
    <m/>
    <m/>
    <m/>
    <s v="Yes"/>
    <s v="Yes"/>
    <x v="0"/>
  </r>
  <r>
    <s v="San Diego"/>
    <s v="SDSRTL141"/>
    <s v="Yes"/>
    <s v="Pre-INT"/>
    <s v="PCIe"/>
    <n v="3648292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San Diego"/>
    <s v="SDSRTL142"/>
    <s v="Yes"/>
    <s v="Pre-INT"/>
    <s v="PCIe"/>
    <n v="3648475"/>
    <m/>
    <s v="ICE18"/>
    <x v="0"/>
    <x v="21"/>
    <x v="4"/>
    <x v="1"/>
    <s v="No"/>
    <s v="No"/>
    <s v="No"/>
    <m/>
    <m/>
    <m/>
    <m/>
    <m/>
    <m/>
    <m/>
    <m/>
    <m/>
    <s v="Yes"/>
    <s v="Yes"/>
    <x v="0"/>
  </r>
  <r>
    <s v="Hillsboro"/>
    <s v="HILSRTL002"/>
    <s v="Yes"/>
    <s v="Pre-INT"/>
    <s v="PCIe"/>
    <s v="SN2250522"/>
    <m/>
    <s v="ICE18"/>
    <x v="0"/>
    <x v="21"/>
    <x v="4"/>
    <x v="1"/>
    <s v="No"/>
    <s v="No"/>
    <s v="4x"/>
    <s v="HILSRTM004sMini.hf.intel.com"/>
    <n v="70002"/>
    <m/>
    <s v="C7H741200EUHXNKG9"/>
    <n v="4846495811"/>
    <n v="440152238700"/>
    <m/>
    <m/>
    <n v="43168"/>
    <s v="Yes"/>
    <s v="Yes"/>
    <x v="0"/>
  </r>
  <r>
    <s v="Hillsboro"/>
    <s v="HILSRTL003"/>
    <s v="Yes"/>
    <s v="Pre-INT"/>
    <s v="PCIe"/>
    <s v="SN2510491"/>
    <m/>
    <s v="ICE18"/>
    <x v="0"/>
    <x v="19"/>
    <x v="14"/>
    <x v="1"/>
    <s v="No"/>
    <s v="Yes"/>
    <s v="4x"/>
    <s v="HILSRTL006sMini.hf.intel.com"/>
    <n v="70003"/>
    <m/>
    <s v="C7H750600E8HXNKKJ"/>
    <n v="440152249345"/>
    <n v="440152249345"/>
    <m/>
    <m/>
    <m/>
    <s v="Yes"/>
    <s v="Yes"/>
    <x v="0"/>
  </r>
  <r>
    <s v="Hillsboro"/>
    <s v="HILSRTL004"/>
    <s v="Yes"/>
    <s v="Pre-INT"/>
    <s v="PCIe"/>
    <s v="SN2361030"/>
    <m/>
    <s v="ICE18"/>
    <x v="0"/>
    <x v="20"/>
    <x v="4"/>
    <x v="1"/>
    <s v="No"/>
    <s v="No"/>
    <s v="4x"/>
    <s v="HILSRTMAC003.hf.intel.com"/>
    <n v="70004"/>
    <m/>
    <s v="C7H741200EKHXNKGJ"/>
    <n v="4845158223"/>
    <n v="440152238689"/>
    <m/>
    <m/>
    <m/>
    <s v="Yes"/>
    <s v="Yes"/>
    <x v="0"/>
  </r>
  <r>
    <s v="Hillsboro"/>
    <s v="HILSRTL005"/>
    <s v="No"/>
    <s v="Pre-INT"/>
    <s v="PCIe"/>
    <s v="SN2361026"/>
    <m/>
    <s v="ICE18"/>
    <x v="0"/>
    <x v="20"/>
    <x v="4"/>
    <x v="9"/>
    <s v="No"/>
    <s v="Yes"/>
    <s v="4x"/>
    <s v="HILSRTM005sMini.hf.intel.com"/>
    <n v="70004"/>
    <m/>
    <s v="C7H750600BVHXNKK6"/>
    <n v="9717277633"/>
    <n v="440152249238"/>
    <m/>
    <m/>
    <m/>
    <s v="Yes"/>
    <s v="Yes"/>
    <x v="0"/>
  </r>
  <r>
    <s v="Hillsboro"/>
    <s v="HILSRTL006"/>
    <s v="Yes"/>
    <s v="CEB"/>
    <s v="PCIe"/>
    <s v="SN2299806"/>
    <m/>
    <s v="ICE18"/>
    <x v="0"/>
    <x v="21"/>
    <x v="4"/>
    <x v="1"/>
    <s v="No"/>
    <s v="No"/>
    <s v="4x"/>
    <s v="HILSRTM004sMini.hf.intel.com"/>
    <n v="70004"/>
    <m/>
    <s v="C7H74120062HXNKGR"/>
    <n v="5034427037"/>
    <n v="440152239030"/>
    <m/>
    <m/>
    <m/>
    <s v="Yes"/>
    <s v="Yes"/>
    <x v="0"/>
  </r>
  <r>
    <s v="Hillsboro"/>
    <s v="HILSRTL007"/>
    <s v="Yes"/>
    <s v="Daily"/>
    <s v="PCIe"/>
    <s v="SN2510843"/>
    <m/>
    <s v="ICE18"/>
    <x v="1"/>
    <x v="23"/>
    <x v="1"/>
    <x v="1"/>
    <s v="No"/>
    <s v="No"/>
    <s v="4x"/>
    <s v="HILSRTMAC003.hf.intel.com"/>
    <n v="70004"/>
    <m/>
    <s v="C7H7412003YHXNKG4"/>
    <n v="5034443872"/>
    <n v="440152239034"/>
    <m/>
    <m/>
    <m/>
    <s v="Yes"/>
    <s v="Yes"/>
    <x v="0"/>
  </r>
  <r>
    <s v="Hillsboro"/>
    <s v="HILSRTL009"/>
    <s v="Yes"/>
    <s v="Pre-INT"/>
    <s v="PCIe"/>
    <s v="SN2361081"/>
    <m/>
    <s v="ICE18"/>
    <x v="0"/>
    <x v="20"/>
    <x v="4"/>
    <x v="1"/>
    <s v="No"/>
    <s v="No"/>
    <s v="4x"/>
    <s v="HILSRTMAC003.hf.intel.com"/>
    <n v="70004"/>
    <m/>
    <s v="C7H74120083HXNKGJ"/>
    <n v="4084768449"/>
    <n v="440152239035"/>
    <m/>
    <m/>
    <m/>
    <s v="Yes"/>
    <s v="Yes"/>
    <x v="0"/>
  </r>
  <r>
    <s v="Hillsboro"/>
    <s v="HILSRTL010"/>
    <s v="Yes"/>
    <m/>
    <s v="PCIe"/>
    <s v="SN3220214"/>
    <m/>
    <s v="ICE18"/>
    <x v="0"/>
    <x v="21"/>
    <x v="4"/>
    <x v="1"/>
    <s v="No"/>
    <s v="No"/>
    <m/>
    <m/>
    <n v="70004"/>
    <m/>
    <s v="C7H741200C2HXNKG7"/>
    <n v="5033804525"/>
    <n v="440152238690"/>
    <m/>
    <m/>
    <m/>
    <s v="Yes"/>
    <s v="Yes"/>
    <x v="1"/>
  </r>
  <r>
    <s v="Hillsboro"/>
    <s v="HILSRTL011"/>
    <s v="Yes"/>
    <s v="Pre-INT"/>
    <s v="PCIe"/>
    <s v="SN3219932"/>
    <m/>
    <s v="ICE18"/>
    <x v="0"/>
    <x v="21"/>
    <x v="4"/>
    <x v="1"/>
    <s v="No"/>
    <s v="No"/>
    <s v="4x"/>
    <s v="HILSRTM004sMini.hf.intel.com"/>
    <n v="70004"/>
    <m/>
    <s v="C7H7412007THXNKGX"/>
    <n v="6105704834"/>
    <n v="440152239031"/>
    <m/>
    <m/>
    <m/>
    <s v="Yes"/>
    <s v="Yes"/>
    <x v="0"/>
  </r>
  <r>
    <s v="Hillsboro"/>
    <s v="HILSRTL012"/>
    <s v="Yes"/>
    <s v="Pre-INT"/>
    <s v="PCIe"/>
    <s v="SN3219873"/>
    <m/>
    <s v="ICE18"/>
    <x v="0"/>
    <x v="20"/>
    <x v="4"/>
    <x v="1"/>
    <s v="No"/>
    <s v="No"/>
    <s v="4x"/>
    <s v="HILSRTMAC003.hf.intel.com"/>
    <n v="70004"/>
    <m/>
    <s v="C7H741200EJHXNKGK"/>
    <n v="4843755068"/>
    <n v="440152238686"/>
    <m/>
    <m/>
    <m/>
    <s v="Yes"/>
    <s v="Yes"/>
    <x v="0"/>
  </r>
  <r>
    <s v="Hillsboro"/>
    <s v="HILSRTL013"/>
    <s v="Yes"/>
    <s v="CEB"/>
    <s v="PCIe"/>
    <s v="SN3219859"/>
    <m/>
    <s v="ICE18"/>
    <x v="0"/>
    <x v="19"/>
    <x v="14"/>
    <x v="1"/>
    <s v="No"/>
    <s v="Yes"/>
    <s v="4x"/>
    <s v="HILSRTL006sMini.hf.intel.com"/>
    <n v="70004"/>
    <m/>
    <s v="C7H750600DCHXNKKH"/>
    <n v="4087617688"/>
    <n v="440152249322"/>
    <m/>
    <m/>
    <m/>
    <s v="Yes"/>
    <s v="Yes"/>
    <x v="0"/>
  </r>
  <r>
    <s v="Hillsboro"/>
    <s v="HILSRTL014"/>
    <s v="Yes"/>
    <s v="Daily"/>
    <s v="PCIe"/>
    <s v="SN3219576"/>
    <m/>
    <s v="ICE18"/>
    <x v="0"/>
    <x v="21"/>
    <x v="4"/>
    <x v="1"/>
    <s v="No"/>
    <s v="No"/>
    <s v="4x"/>
    <s v="ReplicantsMini2.hf.intel.com"/>
    <n v="70004"/>
    <m/>
    <s v="C7H750600FDHXNKKA"/>
    <n v="5035160031"/>
    <n v="440152249253"/>
    <m/>
    <m/>
    <m/>
    <s v="Yes"/>
    <s v="Yes"/>
    <x v="0"/>
  </r>
  <r>
    <s v="Hillsboro"/>
    <s v="HILSRTL016"/>
    <s v="Yes"/>
    <s v="Daily"/>
    <s v="PCIe"/>
    <s v="SN3219577"/>
    <m/>
    <s v="ICE18"/>
    <x v="0"/>
    <x v="20"/>
    <x v="4"/>
    <x v="1"/>
    <s v="No"/>
    <s v="No"/>
    <s v="4x"/>
    <s v="HILSRTMAC003.hf.intel.com"/>
    <n v="70004"/>
    <m/>
    <s v="C7H741200DXHXNKG9"/>
    <n v="4084398108"/>
    <n v="440152238702"/>
    <m/>
    <m/>
    <m/>
    <s v="Yes"/>
    <s v="Yes"/>
    <x v="0"/>
  </r>
  <r>
    <s v="Hillsboro"/>
    <s v="HILSRTL017"/>
    <s v="Yes"/>
    <s v="Weekly"/>
    <s v="PCIe"/>
    <s v="SN3120196"/>
    <m/>
    <s v="ICE18"/>
    <x v="0"/>
    <x v="21"/>
    <x v="4"/>
    <x v="1"/>
    <s v="No"/>
    <s v="No"/>
    <s v="4x"/>
    <s v="HILSRTM004sMini.hf.intel.com"/>
    <n v="70004"/>
    <m/>
    <s v="C7H741200G8HXNKGP"/>
    <n v="5038518687"/>
    <n v="440152238683"/>
    <m/>
    <m/>
    <m/>
    <s v="Yes"/>
    <s v="Yes"/>
    <x v="0"/>
  </r>
  <r>
    <s v="Hillsboro"/>
    <s v="HILSRTL018"/>
    <s v="Yes"/>
    <s v="Pre-INT"/>
    <s v="PCIe"/>
    <s v="SN2510971"/>
    <m/>
    <s v="ICE18"/>
    <x v="0"/>
    <x v="21"/>
    <x v="4"/>
    <x v="1"/>
    <s v="No"/>
    <s v="No"/>
    <s v="4x"/>
    <s v="HILSRTM004sMini.hf.intel.com"/>
    <n v="70004"/>
    <m/>
    <s v="C7H74120059HXNKGM"/>
    <n v="4843409040"/>
    <n v="440152239032"/>
    <m/>
    <m/>
    <m/>
    <s v="Yes"/>
    <s v="Yes"/>
    <x v="0"/>
  </r>
  <r>
    <s v="Hillsboro"/>
    <s v="HILSRTL019"/>
    <s v="Yes"/>
    <s v="Pre-INT"/>
    <s v="PCIe"/>
    <s v="SN3219773"/>
    <m/>
    <s v="ICE18"/>
    <x v="0"/>
    <x v="19"/>
    <x v="13"/>
    <x v="1"/>
    <s v="No"/>
    <s v="Yes"/>
    <s v="4x"/>
    <s v="HILSRTL006sMini.hf.intel.com"/>
    <n v="70004"/>
    <m/>
    <s v="C7H741200DTHXNKGD"/>
    <n v="9717088358"/>
    <n v="440152238696"/>
    <m/>
    <m/>
    <m/>
    <s v="Yes"/>
    <s v="Yes"/>
    <x v="0"/>
  </r>
  <r>
    <s v="Hillsboro"/>
    <s v="HILSRTL020"/>
    <s v="Yes"/>
    <s v="CEB"/>
    <s v="PCIe"/>
    <s v="SN3219967"/>
    <m/>
    <s v="ICE18"/>
    <x v="0"/>
    <x v="20"/>
    <x v="4"/>
    <x v="1"/>
    <s v="No"/>
    <s v="No"/>
    <s v="4x"/>
    <s v="HILSRTM004sMini.hf.intel.com"/>
    <n v="70004"/>
    <m/>
    <s v="C7H741200BEHXNKGY"/>
    <n v="9713305230"/>
    <n v="440152238644"/>
    <m/>
    <m/>
    <m/>
    <s v="Yes"/>
    <s v="Yes"/>
    <x v="0"/>
  </r>
  <r>
    <s v="Hillsboro"/>
    <s v="HILSRTL021"/>
    <s v="Yes"/>
    <s v="Pre-INT"/>
    <s v="PCIe"/>
    <s v="SN3219962"/>
    <m/>
    <s v="ICE18"/>
    <x v="0"/>
    <x v="20"/>
    <x v="4"/>
    <x v="1"/>
    <s v="No"/>
    <s v="No"/>
    <s v="4x"/>
    <s v="HILSRTM005sMini.hf.intel.com"/>
    <n v="70004"/>
    <m/>
    <s v="C7H750600DRHXNKK4"/>
    <n v="4845228082"/>
    <n v="440152249237"/>
    <m/>
    <m/>
    <m/>
    <s v="Yes"/>
    <s v="Yes"/>
    <x v="0"/>
  </r>
  <r>
    <s v="Hillsboro"/>
    <s v="HILSRTL022"/>
    <s v="Yes"/>
    <s v="CEB"/>
    <s v="PCIe"/>
    <s v="SN3220053"/>
    <m/>
    <s v="ICE18"/>
    <x v="0"/>
    <x v="20"/>
    <x v="4"/>
    <x v="1"/>
    <s v="No"/>
    <s v="No"/>
    <s v="4x"/>
    <s v="HILSRTMAC003.hf.intel.com"/>
    <n v="70004"/>
    <m/>
    <s v="C7H750600CDHXNKKK"/>
    <n v="6103908910"/>
    <n v="440152249319"/>
    <m/>
    <m/>
    <d v="2018-02-23T00:00:00"/>
    <s v="Yes"/>
    <s v="Yes"/>
    <x v="0"/>
  </r>
  <r>
    <s v="Hillsboro"/>
    <s v="HILSRTL023"/>
    <s v="Yes"/>
    <s v="Pre-INT"/>
    <s v="PCIe"/>
    <s v="SN3219683"/>
    <m/>
    <s v="ICE18"/>
    <x v="0"/>
    <x v="21"/>
    <x v="4"/>
    <x v="1"/>
    <s v="No"/>
    <s v="No"/>
    <s v="4x"/>
    <s v="HILSRTM004sMini.hf.intel.com"/>
    <n v="70004"/>
    <m/>
    <s v="C7H7393001NHXNKGW"/>
    <n v="6109695907"/>
    <n v="440152238179"/>
    <m/>
    <m/>
    <m/>
    <s v="Yes"/>
    <s v="Yes"/>
    <x v="0"/>
  </r>
  <r>
    <s v="Hillsboro"/>
    <s v="HILSRTL024"/>
    <s v="Yes"/>
    <s v="Pre-INT"/>
    <s v="PCIe"/>
    <s v="SN3219736"/>
    <m/>
    <s v="ICE18"/>
    <x v="0"/>
    <x v="20"/>
    <x v="4"/>
    <x v="1"/>
    <s v="No"/>
    <s v="No"/>
    <s v="4x"/>
    <s v="HILSRTMAC003.hf.intel.com"/>
    <n v="70004"/>
    <m/>
    <s v="C7H750600G2HXNKKJ"/>
    <n v="4842688854"/>
    <n v="440152249234"/>
    <m/>
    <m/>
    <m/>
    <s v="Yes"/>
    <s v="Yes"/>
    <x v="0"/>
  </r>
  <r>
    <s v="Hillsboro"/>
    <s v="HILSRTL025"/>
    <s v="Yes"/>
    <s v="Daily"/>
    <s v="PCIe"/>
    <s v="SN3220064"/>
    <m/>
    <s v="ICE18"/>
    <x v="0"/>
    <x v="21"/>
    <x v="4"/>
    <x v="1"/>
    <s v="No"/>
    <s v="No"/>
    <s v="4x"/>
    <s v="Replicants-Mini.hf.intel.com"/>
    <n v="70004"/>
    <m/>
    <s v="C7H7412002CHXNKGT"/>
    <n v="4846495812"/>
    <n v="440152239014"/>
    <m/>
    <m/>
    <m/>
    <s v="Yes"/>
    <s v="Yes"/>
    <x v="0"/>
  </r>
  <r>
    <s v="Hillsboro"/>
    <s v="HILSRTL026"/>
    <s v="Yes"/>
    <s v="Pre-INT/CEB"/>
    <s v="PCIe"/>
    <s v="SN3220040"/>
    <m/>
    <s v="ICE18"/>
    <x v="1"/>
    <x v="20"/>
    <x v="4"/>
    <x v="1"/>
    <s v="No"/>
    <s v="No"/>
    <s v="4x"/>
    <s v="HILSRTL006sMini.hf.intel.com"/>
    <n v="70004"/>
    <m/>
    <s v="C7H741200BBHXNKG1"/>
    <n v="9717082984"/>
    <n v="440152238641"/>
    <m/>
    <m/>
    <m/>
    <s v="Yes"/>
    <s v="Yes"/>
    <x v="0"/>
  </r>
  <r>
    <s v="Hillsboro"/>
    <s v="HILSRTL027"/>
    <s v="Yes"/>
    <s v="CR"/>
    <s v="PCIe"/>
    <s v="SN3219836"/>
    <m/>
    <s v="ICE18"/>
    <x v="1"/>
    <x v="20"/>
    <x v="4"/>
    <x v="1"/>
    <s v="No"/>
    <s v="No"/>
    <s v="4x"/>
    <s v="Replicants-Mini.hf.intel.com"/>
    <n v="70004"/>
    <m/>
    <s v="C7H741200B1HXNKGB"/>
    <n v="9717246941"/>
    <n v="440152238645"/>
    <m/>
    <m/>
    <m/>
    <s v="Yes"/>
    <s v="Yes"/>
    <x v="0"/>
  </r>
  <r>
    <s v="Hillsboro"/>
    <s v="HILSRTL028"/>
    <s v="Yes"/>
    <s v="CR"/>
    <s v="PCIe"/>
    <s v="SN3220043"/>
    <m/>
    <s v="ICE18"/>
    <x v="0"/>
    <x v="20"/>
    <x v="4"/>
    <x v="1"/>
    <s v="No"/>
    <s v="No"/>
    <s v="4x"/>
    <s v="HILSRTM011sMini.hf.intel.com"/>
    <n v="70004"/>
    <m/>
    <s v="C7H741200G4HXNKGT"/>
    <n v="9717083189"/>
    <n v="440152238684"/>
    <m/>
    <m/>
    <m/>
    <s v="Yes"/>
    <s v="Yes"/>
    <x v="0"/>
  </r>
  <r>
    <s v="Hillsboro"/>
    <s v="HILSRTL029"/>
    <s v="Yes"/>
    <s v="CR"/>
    <s v="PCIe"/>
    <s v="SN3219825"/>
    <m/>
    <s v="ICE18"/>
    <x v="0"/>
    <x v="19"/>
    <x v="4"/>
    <x v="1"/>
    <s v="Yes"/>
    <s v="No"/>
    <s v="4x"/>
    <s v="Replicants-Mini.hf.intel.com"/>
    <n v="70004"/>
    <m/>
    <s v="C7H741200AJHXNKGX"/>
    <n v="9712711124"/>
    <n v="440152238632"/>
    <m/>
    <m/>
    <m/>
    <s v="Yes"/>
    <s v="Yes"/>
    <x v="0"/>
  </r>
  <r>
    <s v="Hillsboro"/>
    <s v="HILSRTL030"/>
    <s v="Yes"/>
    <s v="CEB"/>
    <s v="PCIe"/>
    <s v="SN3219810"/>
    <m/>
    <s v="ICE18"/>
    <x v="0"/>
    <x v="21"/>
    <x v="4"/>
    <x v="1"/>
    <s v="No"/>
    <s v="No"/>
    <s v="4x"/>
    <s v="HILSRTM004sMini.hf.intel.com"/>
    <n v="70004"/>
    <m/>
    <s v="C7H741200JTHXNKGY"/>
    <n v="5033809878"/>
    <n v="440152239516"/>
    <m/>
    <m/>
    <m/>
    <s v="Yes"/>
    <s v="Yes"/>
    <x v="0"/>
  </r>
  <r>
    <s v="Hillsboro"/>
    <s v="HILSRTL031"/>
    <s v="Yes"/>
    <s v="Boot"/>
    <s v="PCIe"/>
    <s v="SN2510914"/>
    <m/>
    <s v="ICE18"/>
    <x v="1"/>
    <x v="24"/>
    <x v="4"/>
    <x v="1"/>
    <s v="No"/>
    <s v="No"/>
    <m/>
    <s v="HILSRTL006sMini.hf.intel.com"/>
    <n v="70004"/>
    <m/>
    <s v="C7H7412005ZHXNKGX"/>
    <n v="5036869214"/>
    <n v="440152239021"/>
    <m/>
    <m/>
    <m/>
    <s v="Yes"/>
    <s v="Yes"/>
    <x v="0"/>
  </r>
  <r>
    <s v="Hillsboro"/>
    <s v="HILSRTL032"/>
    <s v="Yes"/>
    <s v="CEB"/>
    <s v="PCIe"/>
    <s v="SN3220328"/>
    <m/>
    <s v="ICE18"/>
    <x v="0"/>
    <x v="20"/>
    <x v="4"/>
    <x v="1"/>
    <s v="No"/>
    <s v="No"/>
    <s v="4x"/>
    <s v="HILSRTMAC003.hf.intel.com"/>
    <n v="70004"/>
    <m/>
    <s v="C7H741200EMHXNKGG"/>
    <n v="5034438815"/>
    <n v="440152238681"/>
    <m/>
    <m/>
    <m/>
    <s v="Yes"/>
    <s v="Yes"/>
    <x v="0"/>
  </r>
  <r>
    <s v="Hillsboro"/>
    <s v="HILSRTL033"/>
    <s v="Yes"/>
    <s v="Pre-INT/CEB"/>
    <s v="PCIe"/>
    <s v="SN3220231"/>
    <m/>
    <s v="ICE18"/>
    <x v="1"/>
    <x v="20"/>
    <x v="4"/>
    <x v="1"/>
    <s v="No"/>
    <s v="No"/>
    <s v="4x"/>
    <s v="HILSRTMAC003.hf.intel.com"/>
    <n v="70004"/>
    <m/>
    <s v="C7H74120058HXNKGN"/>
    <n v="9717083913"/>
    <n v="440152239024"/>
    <m/>
    <m/>
    <m/>
    <s v="Yes"/>
    <s v="Yes"/>
    <x v="0"/>
  </r>
  <r>
    <s v="Hillsboro"/>
    <s v="HILSRTL034"/>
    <s v="Yes"/>
    <s v="CEB"/>
    <s v="PCIe"/>
    <s v="SN3220193"/>
    <m/>
    <s v="ICE18"/>
    <x v="0"/>
    <x v="21"/>
    <x v="4"/>
    <x v="1"/>
    <s v="No"/>
    <s v="No"/>
    <s v="4x"/>
    <s v="HILSRTM004sMini.hf.intel.com"/>
    <n v="70004"/>
    <m/>
    <s v="C7H741200LVHXNKGQ"/>
    <n v="5034385789"/>
    <n v="440152239515"/>
    <m/>
    <m/>
    <m/>
    <s v="Yes"/>
    <s v="Yes"/>
    <x v="0"/>
  </r>
  <r>
    <s v="Hillsboro"/>
    <s v="HILSRTL035"/>
    <s v="Yes"/>
    <s v="CR"/>
    <s v="PCIe"/>
    <s v="SN3220250"/>
    <m/>
    <s v="ICE18"/>
    <x v="0"/>
    <x v="21"/>
    <x v="4"/>
    <x v="1"/>
    <s v="No"/>
    <s v="No"/>
    <s v="4x"/>
    <s v="Replicants-Mini.hf.intel.com"/>
    <n v="70004"/>
    <m/>
    <s v="C7H74120060HXNKGT"/>
    <n v="5034810875"/>
    <n v="440152239017"/>
    <m/>
    <m/>
    <m/>
    <s v="Yes"/>
    <s v="Yes"/>
    <x v="0"/>
  </r>
  <r>
    <s v="Hillsboro"/>
    <s v="HILSRTL036"/>
    <s v="Yes"/>
    <s v="CR"/>
    <s v="PCIe"/>
    <s v="SN3219689"/>
    <m/>
    <s v="ICE18"/>
    <x v="0"/>
    <x v="20"/>
    <x v="4"/>
    <x v="1"/>
    <s v="No"/>
    <s v="No"/>
    <s v="4x"/>
    <s v="HILSRTM009sMini.hf.intel.com"/>
    <n v="70004"/>
    <m/>
    <s v="C7H741200LRHXNKGU"/>
    <n v="9714705860"/>
    <n v="440152239510"/>
    <m/>
    <m/>
    <m/>
    <s v="Yes"/>
    <s v="Yes"/>
    <x v="0"/>
  </r>
  <r>
    <s v="Hillsboro"/>
    <s v="HILSRTL035"/>
    <s v="Yes"/>
    <s v="CR"/>
    <s v="PCIe"/>
    <s v="SN3219803"/>
    <m/>
    <s v="ICE18"/>
    <x v="0"/>
    <x v="20"/>
    <x v="4"/>
    <x v="1"/>
    <s v="No"/>
    <s v="No"/>
    <s v="4x"/>
    <s v="Replicants-Mini.hf.intel.com"/>
    <n v="70004"/>
    <m/>
    <s v="C7H74120021HXNKG4"/>
    <n v="5032689984"/>
    <n v="440152239018"/>
    <m/>
    <m/>
    <m/>
    <s v="Yes"/>
    <s v="Yes"/>
    <x v="0"/>
  </r>
  <r>
    <s v="Hillsboro"/>
    <s v="HILSRTL038"/>
    <s v="Yes"/>
    <s v="CR"/>
    <s v="PCIe"/>
    <s v="SN3220075"/>
    <m/>
    <s v="ICE18"/>
    <x v="0"/>
    <x v="22"/>
    <x v="13"/>
    <x v="1"/>
    <s v="No"/>
    <s v="Yes"/>
    <s v="4x"/>
    <s v="HILSRTM005sMini.hf.intel.com"/>
    <n v="70004"/>
    <m/>
    <s v="C7H750600ECHXNKKE"/>
    <n v="9135269047"/>
    <n v="440152249323"/>
    <m/>
    <m/>
    <m/>
    <s v="Yes"/>
    <s v="Yes"/>
    <x v="0"/>
  </r>
  <r>
    <s v="Hillsboro"/>
    <s v="HILSRTL039"/>
    <s v="Yes"/>
    <s v="CEB"/>
    <s v="PCIe"/>
    <s v="SN3219744"/>
    <m/>
    <s v="ICE18"/>
    <x v="0"/>
    <x v="20"/>
    <x v="13"/>
    <x v="1"/>
    <s v="No"/>
    <s v="No"/>
    <s v="4x"/>
    <s v="HILSRTMAC003.hf.intel.com"/>
    <n v="70004"/>
    <m/>
    <s v="C7H74120020HXNKG5"/>
    <n v="5032708800"/>
    <n v="440152239016"/>
    <m/>
    <m/>
    <m/>
    <s v="Yes"/>
    <s v="Yes"/>
    <x v="0"/>
  </r>
  <r>
    <s v="Hillsboro"/>
    <s v="HILSRTL040"/>
    <s v="Yes"/>
    <s v="CR"/>
    <s v="PCIe"/>
    <s v="SN3220177"/>
    <m/>
    <s v="ICE18"/>
    <x v="0"/>
    <x v="20"/>
    <x v="13"/>
    <x v="1"/>
    <s v="No"/>
    <s v="No"/>
    <s v="4x"/>
    <s v="HILSRTMAC003.hf.intel.com"/>
    <n v="70004"/>
    <m/>
    <s v="Need Feb Time sheet by EOD tomorrow (6 Mar) "/>
    <n v="9717083913"/>
    <n v="440152239023"/>
    <m/>
    <m/>
    <m/>
    <s v="Yes"/>
    <s v="Yes"/>
    <x v="0"/>
  </r>
  <r>
    <s v="Hillsboro"/>
    <s v="HILSRTL041"/>
    <s v="Yes"/>
    <s v="CR"/>
    <s v="PCIe"/>
    <s v="SN3220190"/>
    <m/>
    <s v="ICE18"/>
    <x v="0"/>
    <x v="21"/>
    <x v="13"/>
    <x v="1"/>
    <s v="No"/>
    <s v="No"/>
    <s v="4x"/>
    <s v="HILSRTMAC003.hf.intel.com"/>
    <n v="70004"/>
    <m/>
    <s v="C7H7412003BHXNKGR"/>
    <m/>
    <n v="440152239020"/>
    <m/>
    <m/>
    <m/>
    <s v="Yes"/>
    <s v="Yes"/>
    <x v="0"/>
  </r>
  <r>
    <s v="Hillsboro"/>
    <s v="HILSRTL042"/>
    <s v="Yes"/>
    <s v="Pre-INT"/>
    <s v="PCIe"/>
    <s v="SN3220237"/>
    <m/>
    <s v="ICE18"/>
    <x v="0"/>
    <x v="21"/>
    <x v="13"/>
    <x v="1"/>
    <s v="No"/>
    <s v="No"/>
    <s v="4x"/>
    <s v="HILSRTM004sMini.hf.intel.com"/>
    <n v="70004"/>
    <m/>
    <s v="C7H750600G0HXNKKL"/>
    <n v="6109695975"/>
    <n v="440152249235"/>
    <m/>
    <m/>
    <m/>
    <s v="Yes"/>
    <s v="Yes"/>
    <x v="0"/>
  </r>
  <r>
    <s v="Hillsboro"/>
    <s v="HILSRTL043"/>
    <s v="Yes"/>
    <s v="Pre-INT/CEB"/>
    <s v="PCIe"/>
    <s v="SN3220263"/>
    <m/>
    <s v="ICE18"/>
    <x v="1"/>
    <x v="22"/>
    <x v="13"/>
    <x v="1"/>
    <s v="Yes"/>
    <s v="No"/>
    <s v="4x"/>
    <s v="ReplicantsMini2.hf.intel.com"/>
    <n v="70004"/>
    <m/>
    <s v="C7H741200ALHXNKGV"/>
    <n v="9135268081"/>
    <n v="4401522390182"/>
    <m/>
    <m/>
    <m/>
    <s v="Yes"/>
    <s v="Yes"/>
    <x v="0"/>
  </r>
  <r>
    <s v="Hillsboro"/>
    <s v="HILSRTL044"/>
    <s v="Yes"/>
    <s v="Pre-INT/CEB"/>
    <s v="PCIe"/>
    <s v="SN3220255"/>
    <m/>
    <s v="ICE18"/>
    <x v="1"/>
    <x v="21"/>
    <x v="13"/>
    <x v="1"/>
    <s v="No"/>
    <s v="No"/>
    <s v="4x"/>
    <s v="HILSRTM008sMini.hf.intel.com"/>
    <n v="70004"/>
    <m/>
    <s v="C7H7412001AHXNKGY"/>
    <m/>
    <n v="440152239027"/>
    <m/>
    <m/>
    <m/>
    <s v="Yes"/>
    <s v="Yes"/>
    <x v="0"/>
  </r>
  <r>
    <s v="Hillsboro"/>
    <s v="HILSRTL045"/>
    <s v="Yes"/>
    <s v="CR"/>
    <s v="PCIe"/>
    <s v="SN3220238"/>
    <m/>
    <s v="ICE18"/>
    <x v="0"/>
    <x v="21"/>
    <x v="13"/>
    <x v="1"/>
    <s v="No"/>
    <s v="No"/>
    <s v="4x"/>
    <s v="ReplicantsMini2.hf.intel.com"/>
    <n v="70004"/>
    <m/>
    <s v="C7H741200AZHXNKGG"/>
    <m/>
    <n v="440152238643"/>
    <m/>
    <m/>
    <m/>
    <s v="Yes"/>
    <s v="Yes"/>
    <x v="0"/>
  </r>
  <r>
    <s v="Hillsboro"/>
    <s v="HILSRTL046"/>
    <s v="Yes"/>
    <s v="Pre-INT"/>
    <s v="PCIe"/>
    <s v="SN3220234"/>
    <m/>
    <s v="ICE18"/>
    <x v="0"/>
    <x v="20"/>
    <x v="13"/>
    <x v="1"/>
    <s v="No"/>
    <s v="No"/>
    <s v="4x"/>
    <s v="HILSRTMAC003.hf.intel.com"/>
    <n v="70004"/>
    <m/>
    <s v="C7H7412006BHXNKGG"/>
    <m/>
    <n v="440152239026"/>
    <m/>
    <m/>
    <m/>
    <s v="Yes"/>
    <s v="Yes"/>
    <x v="0"/>
  </r>
  <r>
    <s v="Hillsboro"/>
    <s v="HILSRTL047"/>
    <s v="Yes"/>
    <s v="Pre-INT"/>
    <s v="PCIe"/>
    <s v="SN3220217"/>
    <m/>
    <s v="ICE18"/>
    <x v="0"/>
    <x v="20"/>
    <x v="13"/>
    <x v="1"/>
    <s v="No"/>
    <s v="No"/>
    <s v="4x"/>
    <s v="Replicants-Mini.hf.intel.com"/>
    <n v="70004"/>
    <m/>
    <s v="C7H750600CFHXNKKH"/>
    <m/>
    <n v="440152249321"/>
    <m/>
    <m/>
    <m/>
    <s v="Yes"/>
    <s v="Yes"/>
    <x v="0"/>
  </r>
  <r>
    <s v="Hillsboro"/>
    <s v="HILSRTL052"/>
    <s v="Yes"/>
    <s v="CR"/>
    <s v="PCIe"/>
    <s v="SN3219871"/>
    <m/>
    <s v="ICE18"/>
    <x v="0"/>
    <x v="21"/>
    <x v="13"/>
    <x v="1"/>
    <s v="No"/>
    <s v="No"/>
    <s v="4x"/>
    <s v="HILSRTM010sMini.hf.intel.com"/>
    <n v="70004"/>
    <m/>
    <s v="C7H7412002VHXNKGA"/>
    <m/>
    <n v="440152239037"/>
    <m/>
    <m/>
    <m/>
    <s v="Yes"/>
    <s v="Yes"/>
    <x v="0"/>
  </r>
  <r>
    <s v="Hillsboro"/>
    <s v="HILSRTL069"/>
    <s v="Yes"/>
    <s v="CR"/>
    <s v="PCIe"/>
    <s v="SN3299707"/>
    <m/>
    <s v="ICE18"/>
    <x v="0"/>
    <x v="21"/>
    <x v="13"/>
    <x v="1"/>
    <s v="No"/>
    <s v="No"/>
    <s v="4x"/>
    <s v="HILSRTM004sMini.hf.intel.com"/>
    <n v="70004"/>
    <m/>
    <s v="C7H741200AHHXNKGY"/>
    <m/>
    <n v="440152238697"/>
    <m/>
    <m/>
    <m/>
    <s v="Yes"/>
    <s v="Yes"/>
    <x v="0"/>
  </r>
  <r>
    <s v="Hillsboro"/>
    <s v="HILSRTL070"/>
    <s v="Yes"/>
    <s v="Weekly"/>
    <s v="PCIe"/>
    <s v="SN3299531"/>
    <m/>
    <s v="ICE18"/>
    <x v="0"/>
    <x v="21"/>
    <x v="13"/>
    <x v="1"/>
    <s v="No"/>
    <s v="No"/>
    <s v="4x"/>
    <s v="Replicants-Mini.hf.intel.com"/>
    <n v="70004"/>
    <m/>
    <s v="C7H7412005BHXNKGK"/>
    <m/>
    <n v="440152239019"/>
    <m/>
    <m/>
    <m/>
    <s v="Yes"/>
    <s v="Yes"/>
    <x v="0"/>
  </r>
  <r>
    <s v="Hillsboro"/>
    <s v="HILSRTL071"/>
    <s v="Yes"/>
    <s v="CEB"/>
    <s v="PCIe"/>
    <s v="SN3299667"/>
    <m/>
    <s v="ICE18"/>
    <x v="0"/>
    <x v="20"/>
    <x v="13"/>
    <x v="1"/>
    <s v="No"/>
    <s v="No"/>
    <s v="4x"/>
    <s v="HILSRTMAC003.hf.intel.com"/>
    <n v="70004"/>
    <m/>
    <m/>
    <m/>
    <m/>
    <m/>
    <m/>
    <m/>
    <s v="Yes"/>
    <s v="Yes"/>
    <x v="0"/>
  </r>
  <r>
    <s v="Hillsboro"/>
    <s v="HILSRTL072"/>
    <s v="No"/>
    <s v="Pre-INT/CEB"/>
    <s v="PCIe"/>
    <s v="SN3299627"/>
    <m/>
    <s v="ICE18"/>
    <x v="0"/>
    <x v="20"/>
    <x v="13"/>
    <x v="1"/>
    <s v="No"/>
    <s v="No"/>
    <s v="4x"/>
    <s v="Replicants-Mini.hf.intel.com"/>
    <n v="70004"/>
    <m/>
    <m/>
    <m/>
    <m/>
    <m/>
    <m/>
    <m/>
    <s v="Yes"/>
    <s v="Yes"/>
    <x v="3"/>
  </r>
  <r>
    <s v="Hillsboro"/>
    <s v="HILSRTL073"/>
    <s v="Yes"/>
    <s v="CR"/>
    <s v="PCIe"/>
    <s v="SN3299538"/>
    <m/>
    <s v="ICE18"/>
    <x v="0"/>
    <x v="22"/>
    <x v="13"/>
    <x v="1"/>
    <s v="No"/>
    <s v="No"/>
    <s v="4x"/>
    <s v="ReplicantsMini2.hf.intel.com"/>
    <n v="70004"/>
    <m/>
    <m/>
    <m/>
    <m/>
    <m/>
    <m/>
    <m/>
    <s v="Yes"/>
    <s v="Yes"/>
    <x v="0"/>
  </r>
  <r>
    <s v="Hillsboro"/>
    <s v="HILSRTL074"/>
    <s v="Yes"/>
    <s v="CR"/>
    <s v="PCIe"/>
    <s v="SN3299583"/>
    <m/>
    <s v="ICE18"/>
    <x v="0"/>
    <x v="19"/>
    <x v="13"/>
    <x v="1"/>
    <s v="No"/>
    <s v="No"/>
    <s v="4x"/>
    <s v="HILSRTL006sMini.hf.intel.com"/>
    <n v="70004"/>
    <m/>
    <m/>
    <m/>
    <m/>
    <m/>
    <m/>
    <m/>
    <s v="Yes"/>
    <s v="Yes"/>
    <x v="0"/>
  </r>
  <r>
    <s v="Hillsboro"/>
    <s v="HILSRTL075"/>
    <s v="Yes"/>
    <s v="Weekly"/>
    <s v="PCIe"/>
    <s v="SN3299672"/>
    <m/>
    <s v="ICE18"/>
    <x v="0"/>
    <x v="22"/>
    <x v="13"/>
    <x v="1"/>
    <s v="No"/>
    <s v="No"/>
    <s v="4x"/>
    <s v="ReplicantsMini2.hf.intel.com"/>
    <n v="70004"/>
    <m/>
    <m/>
    <m/>
    <m/>
    <m/>
    <m/>
    <m/>
    <s v="Yes"/>
    <s v="Yes"/>
    <x v="0"/>
  </r>
  <r>
    <s v="Hillsboro"/>
    <s v="HILSRTL076"/>
    <s v="Yes"/>
    <s v="CEB"/>
    <s v="PCIe"/>
    <s v="SN3299783"/>
    <m/>
    <s v="ICE18"/>
    <x v="0"/>
    <x v="19"/>
    <x v="13"/>
    <x v="1"/>
    <s v="No"/>
    <s v="No"/>
    <s v="4x"/>
    <s v="HILSRTL006sMini.hf.intel.com"/>
    <n v="70004"/>
    <m/>
    <m/>
    <m/>
    <m/>
    <m/>
    <m/>
    <m/>
    <s v="Yes"/>
    <s v="Yes"/>
    <x v="0"/>
  </r>
  <r>
    <s v="Hillsboro"/>
    <s v="HILSRTL077"/>
    <s v="Yes"/>
    <s v="Weekly"/>
    <s v="PCIe"/>
    <s v="SN3299516"/>
    <m/>
    <s v="ICE18"/>
    <x v="0"/>
    <x v="19"/>
    <x v="13"/>
    <x v="1"/>
    <s v="No"/>
    <s v="No"/>
    <s v="4x"/>
    <s v="Replicants-Mini.hf.intel.com"/>
    <n v="70004"/>
    <m/>
    <m/>
    <m/>
    <m/>
    <m/>
    <m/>
    <m/>
    <s v="Yes"/>
    <s v="Yes"/>
    <x v="0"/>
  </r>
  <r>
    <s v="Hillsboro"/>
    <s v="HILSRTL078"/>
    <s v="Yes"/>
    <s v="Pre-INT/CEB"/>
    <s v="PCIe"/>
    <s v="SN3299522"/>
    <m/>
    <s v="ICE18"/>
    <x v="1"/>
    <x v="19"/>
    <x v="13"/>
    <x v="1"/>
    <s v="No"/>
    <s v="No"/>
    <s v="4x"/>
    <s v="HILSRTM007sMini.hf.intel.com"/>
    <n v="70004"/>
    <m/>
    <m/>
    <m/>
    <m/>
    <m/>
    <m/>
    <m/>
    <s v="Yes"/>
    <s v="Yes"/>
    <x v="0"/>
  </r>
  <r>
    <s v="Hillsboro"/>
    <s v="HILSRTL079"/>
    <s v="No"/>
    <s v="Pre-INT/CEB"/>
    <s v="PCIe"/>
    <m/>
    <m/>
    <m/>
    <x v="2"/>
    <x v="2"/>
    <x v="13"/>
    <x v="1"/>
    <s v="No"/>
    <s v="No"/>
    <s v="4x"/>
    <m/>
    <n v="70004"/>
    <m/>
    <m/>
    <m/>
    <m/>
    <m/>
    <m/>
    <m/>
    <s v="Yes"/>
    <s v="Yes"/>
    <x v="4"/>
  </r>
  <r>
    <s v="Hillsboro"/>
    <s v="HILSRTL080"/>
    <s v="Yes"/>
    <s v="Weekly"/>
    <s v="PCIe"/>
    <s v="SN3299433"/>
    <m/>
    <s v="ICE18"/>
    <x v="0"/>
    <x v="19"/>
    <x v="13"/>
    <x v="1"/>
    <s v="No"/>
    <s v="Yes"/>
    <s v="4x"/>
    <s v="HILSRTM005sMini.hf.intel.com"/>
    <n v="70004"/>
    <m/>
    <m/>
    <m/>
    <m/>
    <m/>
    <m/>
    <m/>
    <s v="Yes"/>
    <s v="Yes"/>
    <x v="0"/>
  </r>
  <r>
    <s v="Hillsboro"/>
    <s v="HILSRTL116"/>
    <s v="Yes"/>
    <s v="Daily"/>
    <s v="PCIe"/>
    <s v="SN2794342"/>
    <m/>
    <s v="ICE18"/>
    <x v="1"/>
    <x v="24"/>
    <x v="15"/>
    <x v="1"/>
    <s v="No"/>
    <s v="Yes"/>
    <s v="4x"/>
    <s v="HILSRTM005sMini.hf.intel.com"/>
    <n v="70004"/>
    <m/>
    <m/>
    <m/>
    <m/>
    <m/>
    <m/>
    <m/>
    <s v="Yes"/>
    <s v="Yes"/>
    <x v="0"/>
  </r>
  <r>
    <s v="Hillsboro"/>
    <s v="HILSRTL117"/>
    <s v="Yes"/>
    <s v="CEB"/>
    <s v="PCIe"/>
    <s v="SN2510778"/>
    <m/>
    <s v="ICE18"/>
    <x v="0"/>
    <x v="19"/>
    <x v="13"/>
    <x v="1"/>
    <s v="No"/>
    <s v="Yes"/>
    <s v="4x"/>
    <s v="HILSRTL006sMini.hf.intel.com"/>
    <n v="70004"/>
    <m/>
    <m/>
    <m/>
    <m/>
    <m/>
    <m/>
    <m/>
    <s v="Yes"/>
    <s v="Yes"/>
    <x v="0"/>
  </r>
  <r>
    <s v="Hillsboro"/>
    <s v="HILSRTL118"/>
    <s v="Yes"/>
    <s v="CR"/>
    <s v="PCIe"/>
    <s v="SN2510434"/>
    <m/>
    <s v="ICE18"/>
    <x v="0"/>
    <x v="19"/>
    <x v="13"/>
    <x v="1"/>
    <s v="No"/>
    <s v="Yes"/>
    <s v="4x"/>
    <s v="HILSRTM005sMini.hf.intel.com"/>
    <n v="70004"/>
    <m/>
    <m/>
    <m/>
    <m/>
    <m/>
    <m/>
    <m/>
    <s v="Yes"/>
    <s v="Yes"/>
    <x v="0"/>
  </r>
  <r>
    <s v="Hillsboro"/>
    <s v="HILSRTL131"/>
    <s v="Yes"/>
    <s v="Pre-INT/CEB"/>
    <s v="PCIe"/>
    <s v="SN3516415"/>
    <m/>
    <s v="ICE18"/>
    <x v="1"/>
    <x v="19"/>
    <x v="13"/>
    <x v="1"/>
    <s v="No"/>
    <s v="Yes"/>
    <s v="4x"/>
    <s v="HILSRTM009sMini.hf.intel.com"/>
    <n v="70004"/>
    <m/>
    <s v="C7H750600D1HXNKKU"/>
    <n v="4087610356"/>
    <n v="440152249318"/>
    <m/>
    <m/>
    <d v="2018-02-20T00:00:00"/>
    <s v="Yes"/>
    <s v="Yes"/>
    <x v="0"/>
  </r>
  <r>
    <s v="Hillsboro"/>
    <s v="HILSRTL132"/>
    <s v="Yes"/>
    <s v="CEB"/>
    <s v="PCIe"/>
    <s v="SN3516416"/>
    <m/>
    <s v="ICE18"/>
    <x v="0"/>
    <x v="19"/>
    <x v="13"/>
    <x v="1"/>
    <s v="No"/>
    <s v="Yes"/>
    <s v="4x"/>
    <s v="HILSRTL006sMini.hf.intel.com"/>
    <n v="70004"/>
    <m/>
    <s v="C7H750600CHHXNKKF"/>
    <n v="5038670752"/>
    <n v="440152249320"/>
    <m/>
    <m/>
    <d v="2018-02-20T00:00:00"/>
    <s v="Yes"/>
    <s v="Yes"/>
    <x v="0"/>
  </r>
  <r>
    <s v="Hillsboro"/>
    <s v="HILSRTL133"/>
    <s v="Yes"/>
    <s v="CR"/>
    <s v="PCIe"/>
    <s v="SN3516384"/>
    <m/>
    <s v="ICE18"/>
    <x v="0"/>
    <x v="19"/>
    <x v="13"/>
    <x v="1"/>
    <s v="No"/>
    <s v="Yes"/>
    <s v="4x"/>
    <s v="ReplicantsMini2.hf.intel.com"/>
    <n v="70004"/>
    <m/>
    <s v="C7H750600CKHXNKKD"/>
    <n v="9712913192"/>
    <n v="440152249324"/>
    <m/>
    <m/>
    <d v="2018-03-01T00:00:00"/>
    <s v="Yes"/>
    <s v="Yes"/>
    <x v="0"/>
  </r>
  <r>
    <s v="Hillsboro"/>
    <s v="HILSRTL134"/>
    <s v="Yes"/>
    <s v="Pre-INT/CEB"/>
    <s v="PCIe"/>
    <s v="SN3516440"/>
    <m/>
    <s v="ICE18"/>
    <x v="1"/>
    <x v="19"/>
    <x v="13"/>
    <x v="1"/>
    <s v="No"/>
    <s v="Yes"/>
    <s v="4x"/>
    <s v="HILSRTM005sMini.hf.intel.com"/>
    <n v="70004"/>
    <m/>
    <m/>
    <m/>
    <m/>
    <m/>
    <m/>
    <m/>
    <s v="Yes"/>
    <s v="Yes"/>
    <x v="0"/>
  </r>
  <r>
    <s v="Hillsboro"/>
    <s v="HILSRTL135"/>
    <s v="Yes"/>
    <s v="Daily"/>
    <s v="PCIe"/>
    <s v="SN3516743"/>
    <m/>
    <s v="ICE18"/>
    <x v="0"/>
    <x v="19"/>
    <x v="13"/>
    <x v="1"/>
    <s v="No"/>
    <s v="Yes"/>
    <s v="4x"/>
    <s v="HILSRTM005sMini.hf.intel.com"/>
    <n v="70004"/>
    <m/>
    <s v="C7H750600DAHXNKKK"/>
    <n v="5037292826"/>
    <n v="440152249245"/>
    <m/>
    <m/>
    <d v="2018-02-16T00:00:00"/>
    <s v="Yes"/>
    <s v="Yes"/>
    <x v="0"/>
  </r>
  <r>
    <s v="Hillsboro"/>
    <s v="HILSRTL136"/>
    <s v="Yes"/>
    <s v="CR"/>
    <s v="PCIe"/>
    <s v="SN3299438"/>
    <m/>
    <s v="ICE18"/>
    <x v="0"/>
    <x v="19"/>
    <x v="13"/>
    <x v="1"/>
    <s v="No"/>
    <s v="Yes"/>
    <s v="4x"/>
    <s v="HILSRTM005sMini.hf.intel.com"/>
    <n v="70004"/>
    <m/>
    <s v="C7H750600BXHXNKK4"/>
    <n v="4087610432"/>
    <n v="440152249240"/>
    <m/>
    <m/>
    <d v="2018-02-14T00:00:00"/>
    <s v="Yes"/>
    <s v="Yes"/>
    <x v="0"/>
  </r>
  <r>
    <s v="Hillsboro"/>
    <s v="HILSRTL137"/>
    <s v="Yes"/>
    <s v="CR"/>
    <s v="PCIe"/>
    <s v="SN3299358"/>
    <m/>
    <s v="ICE18"/>
    <x v="0"/>
    <x v="19"/>
    <x v="13"/>
    <x v="1"/>
    <s v="No"/>
    <s v="Yes"/>
    <s v="4x"/>
    <s v="HILSRTM005sMini.hf.intel.com"/>
    <n v="70004"/>
    <m/>
    <s v="C7H750600DDHXNKKG"/>
    <n v="9712913190"/>
    <n v="440152249325"/>
    <m/>
    <m/>
    <d v="2018-03-01T00:00:00"/>
    <s v="Yes"/>
    <s v="Yes"/>
    <x v="0"/>
  </r>
  <r>
    <s v="Hillsboro"/>
    <s v="HILSRTL138"/>
    <s v="Yes"/>
    <s v="Pre-INT/CEB"/>
    <s v="PCIe"/>
    <s v="SN3516415"/>
    <m/>
    <s v="ICE18"/>
    <x v="1"/>
    <x v="19"/>
    <x v="13"/>
    <x v="1"/>
    <s v="No"/>
    <s v="Yes"/>
    <s v="4x"/>
    <s v="HILSRTM009sMini.hf.intel.com"/>
    <n v="70004"/>
    <m/>
    <s v="C7H750600EWHXNKKW"/>
    <n v="4087612745"/>
    <n v="440152249241"/>
    <m/>
    <m/>
    <d v="2018-02-14T00:00:00"/>
    <s v="Yes"/>
    <s v="Yes"/>
    <x v="0"/>
  </r>
  <r>
    <s v="Hillsboro"/>
    <s v="HILSRTL139"/>
    <s v="Yes"/>
    <s v="Daily"/>
    <s v="PCIe"/>
    <s v="SN3299417"/>
    <m/>
    <s v="ICE18"/>
    <x v="0"/>
    <x v="19"/>
    <x v="13"/>
    <x v="1"/>
    <s v="No"/>
    <s v="Yes"/>
    <s v="4x"/>
    <s v="HILSRTM005sMini.hf.intel.com"/>
    <n v="70004"/>
    <m/>
    <s v="C7H750600G1HXNKKK"/>
    <n v="4087613620"/>
    <n v="440152249243"/>
    <m/>
    <m/>
    <d v="2018-02-14T00:00:00"/>
    <s v="Yes"/>
    <s v="Yes"/>
    <x v="0"/>
  </r>
  <r>
    <s v="Hillsboro"/>
    <s v="HILSRTL140"/>
    <s v="Yes"/>
    <s v="Daily"/>
    <s v="PCIe"/>
    <s v="SN3516390"/>
    <m/>
    <s v="ICE18"/>
    <x v="0"/>
    <x v="22"/>
    <x v="13"/>
    <x v="1"/>
    <s v="No"/>
    <s v="Yes"/>
    <s v="4x"/>
    <s v="ReplicantsMini2.hf.intel.com"/>
    <n v="70004"/>
    <m/>
    <s v="C7H750600FJHXNKK5"/>
    <m/>
    <n v="440152249236"/>
    <m/>
    <m/>
    <d v="2018-02-14T00:00:00"/>
    <s v="Yes"/>
    <s v="Yes"/>
    <x v="0"/>
  </r>
  <r>
    <s v="Hillsboro"/>
    <s v="HILSRTL141"/>
    <s v="Yes"/>
    <s v="Pre-INT/CEB"/>
    <s v="PCIe"/>
    <s v="SN3516355"/>
    <m/>
    <s v="ICE18"/>
    <x v="1"/>
    <x v="19"/>
    <x v="13"/>
    <x v="1"/>
    <s v="No"/>
    <s v="Yes"/>
    <s v="4x"/>
    <s v="HILSRTM005sMini.hf.intel.com"/>
    <n v="70004"/>
    <m/>
    <s v="C7H750600F2HXNKKM"/>
    <n v="4087612499"/>
    <n v="440152249249"/>
    <m/>
    <m/>
    <d v="2018-02-14T00:00:00"/>
    <s v="Yes"/>
    <s v="Yes"/>
    <x v="0"/>
  </r>
  <r>
    <s v="Hillsboro"/>
    <s v="HILSRTL142"/>
    <s v="Yes"/>
    <s v="Weekly"/>
    <s v="PCIe"/>
    <s v="SN3516437"/>
    <m/>
    <s v="ICE18"/>
    <x v="0"/>
    <x v="19"/>
    <x v="13"/>
    <x v="1"/>
    <s v="No"/>
    <s v="Yes"/>
    <s v="4x"/>
    <s v="HILSRTM005sMini.hf.intel.com"/>
    <n v="70004"/>
    <m/>
    <s v="C7H750600FTHXNKKW"/>
    <n v="4087612499"/>
    <n v="440152249242"/>
    <m/>
    <m/>
    <d v="2018-02-14T00:00:00"/>
    <s v="Yes"/>
    <s v="Yes"/>
    <x v="0"/>
  </r>
  <r>
    <s v="Hillsboro"/>
    <s v="HILSRTL346"/>
    <s v="Yes"/>
    <s v="CEB"/>
    <s v="PCIe"/>
    <s v="SN3516415"/>
    <m/>
    <s v="ICE18"/>
    <x v="0"/>
    <x v="19"/>
    <x v="13"/>
    <x v="1"/>
    <s v="No"/>
    <s v="Yes"/>
    <s v="4x"/>
    <s v="HILSRTM005sMini.hf.intel.com"/>
    <n v="70004"/>
    <m/>
    <s v="C7H750600CMHXNKKB"/>
    <n v="9714132781"/>
    <n v="440152249329"/>
    <m/>
    <m/>
    <d v="2018-03-02T00:00:00"/>
    <s v="Yes"/>
    <s v="Yes"/>
    <x v="0"/>
  </r>
  <r>
    <s v="Hillsboro"/>
    <s v="HILSRTL567"/>
    <s v="Yes"/>
    <s v="CR"/>
    <s v="PCIe"/>
    <s v="SN3516415"/>
    <m/>
    <s v="ICE18"/>
    <x v="0"/>
    <x v="19"/>
    <x v="13"/>
    <x v="1"/>
    <s v="No"/>
    <s v="No"/>
    <s v="4x"/>
    <s v="Replicants-Mini.hf.intel.com"/>
    <n v="70004"/>
    <m/>
    <m/>
    <m/>
    <m/>
    <m/>
    <m/>
    <m/>
    <s v="Yes"/>
    <s v="Yes"/>
    <x v="0"/>
  </r>
  <r>
    <s v="Hillsboro"/>
    <s v="HILSRTL143"/>
    <s v="Yes"/>
    <s v="CEB"/>
    <s v="PCIe"/>
    <s v="SN2794331"/>
    <m/>
    <s v="ICE18"/>
    <x v="0"/>
    <x v="19"/>
    <x v="13"/>
    <x v="1"/>
    <s v="No"/>
    <s v="Yes"/>
    <s v="4x"/>
    <s v="HILSRTL006sMini.hf.intel.com"/>
    <n v="70004"/>
    <m/>
    <s v="C7H750600CGHXNKKG"/>
    <n v="9712913187"/>
    <n v="440152249308"/>
    <m/>
    <m/>
    <m/>
    <s v="Yes"/>
    <s v="Yes"/>
    <x v="0"/>
  </r>
  <r>
    <s v="Hillsboro"/>
    <s v="HILSRTL144"/>
    <s v="Yes"/>
    <s v="Pre-INT"/>
    <s v="PCIe"/>
    <s v="SN2510444"/>
    <m/>
    <s v="ICE18"/>
    <x v="0"/>
    <x v="19"/>
    <x v="13"/>
    <x v="1"/>
    <s v="No"/>
    <s v="Yes"/>
    <s v="4x"/>
    <s v="HILSRTM005sMini.hf.intel.com"/>
    <n v="70004"/>
    <m/>
    <m/>
    <m/>
    <m/>
    <m/>
    <m/>
    <m/>
    <s v="Yes"/>
    <s v="Yes"/>
    <x v="0"/>
  </r>
  <r>
    <s v="Hillsboro"/>
    <s v="HILSRTL145"/>
    <s v="Yes"/>
    <s v="CEB"/>
    <s v="PCIe"/>
    <s v="SN3219969"/>
    <m/>
    <s v="ICE18"/>
    <x v="1"/>
    <x v="19"/>
    <x v="13"/>
    <x v="1"/>
    <s v="No"/>
    <s v="Yes"/>
    <s v="4x"/>
    <s v="HILSRTL006sMini.hf.intel.com"/>
    <n v="70004"/>
    <m/>
    <s v="C7H750600EPHXNKK3"/>
    <n v="9712913185"/>
    <n v="440152249314"/>
    <m/>
    <m/>
    <m/>
    <s v="Yes"/>
    <s v="Yes"/>
    <x v="0"/>
  </r>
  <r>
    <s v="Hillsboro"/>
    <s v="HILSRTL146"/>
    <s v="Yes"/>
    <s v="CEB"/>
    <s v="PCIe"/>
    <s v="SN2510977"/>
    <m/>
    <s v="ICE18"/>
    <x v="0"/>
    <x v="19"/>
    <x v="13"/>
    <x v="1"/>
    <s v="No"/>
    <s v="Yes"/>
    <s v="4x"/>
    <s v="HILSRTM005sMini.hf.intel.com"/>
    <n v="70004"/>
    <m/>
    <m/>
    <m/>
    <m/>
    <m/>
    <m/>
    <m/>
    <s v="Yes"/>
    <s v="Yes"/>
    <x v="0"/>
  </r>
  <r>
    <s v="Hillsboro"/>
    <s v="HILSRTL157"/>
    <s v="Yes"/>
    <s v="Pre-INT"/>
    <s v="PCIe"/>
    <s v="SN2794331"/>
    <m/>
    <s v="ICE18"/>
    <x v="0"/>
    <x v="19"/>
    <x v="13"/>
    <x v="1"/>
    <s v="No"/>
    <s v="Yes"/>
    <s v="4x"/>
    <s v="HILSRTM007sMini.hf.intel.com"/>
    <n v="70004"/>
    <m/>
    <s v="C7H750600C3HXNKKV"/>
    <n v="9712913191"/>
    <n v="440152249343"/>
    <m/>
    <m/>
    <m/>
    <s v="Yes"/>
    <s v="Yes"/>
    <x v="0"/>
  </r>
  <r>
    <s v="Hillsboro"/>
    <s v="HILSRTL159"/>
    <s v="Yes"/>
    <s v="CEB"/>
    <s v="PCIe"/>
    <s v="SN2794279"/>
    <m/>
    <s v="ICE18"/>
    <x v="0"/>
    <x v="19"/>
    <x v="13"/>
    <x v="1"/>
    <s v="No"/>
    <s v="Yes"/>
    <s v="4x"/>
    <s v="HILSRTL006sMini.hf.intel.com"/>
    <n v="70004"/>
    <m/>
    <s v="C7H750600E2HXNKKQ"/>
    <n v="9712913183"/>
    <n v="440152249311"/>
    <m/>
    <m/>
    <d v="2018-03-21T00:00:00"/>
    <s v="Yes"/>
    <s v="Yes"/>
    <x v="0"/>
  </r>
  <r>
    <s v="Hillsboro"/>
    <s v="HILSRTL161"/>
    <s v="Yes"/>
    <s v="Weekly"/>
    <s v="PCIe"/>
    <s v="SN2794366"/>
    <m/>
    <s v="ICE18"/>
    <x v="0"/>
    <x v="19"/>
    <x v="13"/>
    <x v="1"/>
    <s v="No"/>
    <s v="No"/>
    <s v="4x"/>
    <s v="HILSRTM005sMini.hf.intel.com"/>
    <n v="70004"/>
    <m/>
    <m/>
    <m/>
    <m/>
    <m/>
    <m/>
    <d v="2018-03-21T00:00:00"/>
    <s v="Yes"/>
    <s v="Yes"/>
    <x v="0"/>
  </r>
  <r>
    <s v="Hillsboro"/>
    <s v="HILSRTL162"/>
    <s v="Yes"/>
    <s v="CR"/>
    <s v="PCIe"/>
    <s v="SN2510942"/>
    <m/>
    <s v="ICE18"/>
    <x v="0"/>
    <x v="19"/>
    <x v="13"/>
    <x v="1"/>
    <s v="No"/>
    <s v="Yes"/>
    <s v="4x"/>
    <s v="HILSRTM005sMini.hf.intel.com"/>
    <n v="70004"/>
    <m/>
    <m/>
    <m/>
    <m/>
    <m/>
    <m/>
    <d v="2018-03-21T00:00:00"/>
    <s v="Yes"/>
    <s v="Yes"/>
    <x v="0"/>
  </r>
  <r>
    <s v="Hillsboro"/>
    <s v="HILSRTL163"/>
    <s v="Yes"/>
    <s v="Pre-INT"/>
    <s v="PCIe"/>
    <s v="SN2510560"/>
    <m/>
    <s v="ICE18"/>
    <x v="0"/>
    <x v="19"/>
    <x v="13"/>
    <x v="1"/>
    <s v="No"/>
    <s v="Yes"/>
    <s v="4x"/>
    <s v="HILSRTM005sMini.hf.intel.com"/>
    <n v="70004"/>
    <m/>
    <m/>
    <m/>
    <m/>
    <m/>
    <m/>
    <d v="2018-03-21T00:00:00"/>
    <s v="Yes"/>
    <s v="Yes"/>
    <x v="0"/>
  </r>
  <r>
    <s v="Hillsboro"/>
    <s v="HILSRTL169"/>
    <s v="Yes"/>
    <s v="Pre-INT"/>
    <s v="PCIe"/>
    <s v="SN2794411"/>
    <m/>
    <s v="ICE18"/>
    <x v="0"/>
    <x v="19"/>
    <x v="13"/>
    <x v="1"/>
    <s v="No"/>
    <s v="Yes"/>
    <s v="4x"/>
    <s v="HILSRTL006sMini.hf.intel.com"/>
    <n v="70004"/>
    <m/>
    <s v="C7H750600ETHXNKKZ"/>
    <n v="9717277497"/>
    <n v="4401522493459"/>
    <m/>
    <m/>
    <d v="2018-03-21T00:00:00"/>
    <s v="Yes"/>
    <s v="Yes"/>
    <x v="0"/>
  </r>
  <r>
    <s v="Hillsboro"/>
    <s v="HILSRTL170"/>
    <s v="Yes"/>
    <s v="Pre-INT"/>
    <s v="PCIe"/>
    <s v="SN2510563"/>
    <m/>
    <s v="ICE18"/>
    <x v="0"/>
    <x v="19"/>
    <x v="13"/>
    <x v="1"/>
    <s v="No"/>
    <s v="Yes"/>
    <s v="4x"/>
    <s v="HILSRTM007sMini.hf.intel.com"/>
    <n v="70004"/>
    <m/>
    <s v="C7H750600CAHXNKKN"/>
    <n v="9717274291"/>
    <n v="440152249351"/>
    <m/>
    <m/>
    <d v="2018-03-21T00:00:00"/>
    <s v="Yes"/>
    <s v="Yes"/>
    <x v="0"/>
  </r>
  <r>
    <s v="Hillsboro"/>
    <s v="HILSRTL172"/>
    <s v="Yes"/>
    <s v="Pre-INT"/>
    <s v="PCIe"/>
    <s v="SN2794292"/>
    <m/>
    <s v="ICE18"/>
    <x v="0"/>
    <x v="19"/>
    <x v="13"/>
    <x v="1"/>
    <s v="No"/>
    <s v="Yes"/>
    <s v="4x"/>
    <s v="HILSRTL006sMini.hf.intel.com"/>
    <n v="70004"/>
    <m/>
    <s v="C7H750600DGHXNKKD"/>
    <n v="9717277295"/>
    <n v="440152249353"/>
    <m/>
    <m/>
    <d v="2018-03-21T00:00:00"/>
    <s v="Yes"/>
    <s v="Yes"/>
    <x v="0"/>
  </r>
  <r>
    <s v="Hillsboro"/>
    <s v="HILSRTL173"/>
    <s v="Yes"/>
    <s v="Pre-INT"/>
    <s v="PCIe"/>
    <s v="SN2794382"/>
    <m/>
    <s v="ICE18"/>
    <x v="0"/>
    <x v="19"/>
    <x v="13"/>
    <x v="1"/>
    <s v="No"/>
    <s v="Yes"/>
    <s v="4x"/>
    <s v="HILSRTL006sMini.hf.intel.com"/>
    <n v="70004"/>
    <m/>
    <s v="C7H750600E7HXNKKK"/>
    <n v="9717277292"/>
    <n v="440152249347"/>
    <m/>
    <m/>
    <d v="2018-03-21T00:00:00"/>
    <s v="Yes"/>
    <s v="Yes"/>
    <x v="0"/>
  </r>
  <r>
    <s v="Hillsboro"/>
    <s v="HILSRTL174"/>
    <s v="Yes"/>
    <s v="Daily"/>
    <s v="PCIe"/>
    <s v="SN2510761"/>
    <m/>
    <s v="ICE18"/>
    <x v="0"/>
    <x v="19"/>
    <x v="13"/>
    <x v="1"/>
    <s v="No"/>
    <s v="Yes"/>
    <s v="4x"/>
    <s v="HILSRTM004sMini.hf.intel.com"/>
    <n v="70004"/>
    <m/>
    <s v="C7H750600EQHXNKK2"/>
    <n v="9717276967"/>
    <n v="440152249348"/>
    <m/>
    <m/>
    <d v="2018-03-21T00:00:00"/>
    <s v="Yes"/>
    <s v="Yes"/>
    <x v="0"/>
  </r>
  <r>
    <s v="Hillsboro"/>
    <s v="HILSRTL175"/>
    <s v="Yes"/>
    <s v="Pre-INT"/>
    <s v="PCIe"/>
    <s v="SN2510492"/>
    <m/>
    <s v="ICE18"/>
    <x v="0"/>
    <x v="19"/>
    <x v="13"/>
    <x v="1"/>
    <s v="No"/>
    <s v="Yes"/>
    <s v="4x"/>
    <s v="HILSRTL006sMini.hf.intel.com"/>
    <n v="70004"/>
    <m/>
    <s v="C7H750600E6HXNKKL"/>
    <n v="5037184985"/>
    <n v="440152249346"/>
    <m/>
    <m/>
    <d v="2018-03-26T00:00:00"/>
    <s v="Yes"/>
    <s v="Yes"/>
    <x v="0"/>
  </r>
  <r>
    <s v="Hillsboro"/>
    <s v="HILSRTL176"/>
    <s v="Yes"/>
    <s v="Pre-INT"/>
    <s v="PCIe"/>
    <s v="SN2510595"/>
    <m/>
    <s v="ICE18"/>
    <x v="0"/>
    <x v="19"/>
    <x v="14"/>
    <x v="1"/>
    <s v="No"/>
    <s v="Yes"/>
    <s v="4x"/>
    <m/>
    <n v="70004"/>
    <m/>
    <s v="C7H750600DKHXNKKA"/>
    <n v="971727403"/>
    <n v="440152249352"/>
    <m/>
    <m/>
    <d v="2018-03-26T00:00:00"/>
    <s v="Yes"/>
    <s v="Yes"/>
    <x v="0"/>
  </r>
  <r>
    <s v="Hillsboro"/>
    <s v="HILSRTL171"/>
    <s v="Yes"/>
    <s v="CEB"/>
    <s v="PCIe"/>
    <m/>
    <m/>
    <s v="ICE18"/>
    <x v="0"/>
    <x v="19"/>
    <x v="14"/>
    <x v="1"/>
    <s v="No"/>
    <s v="Yes"/>
    <s v="4x"/>
    <s v="HILSRTM007sMini.hf.intel.com"/>
    <n v="70004"/>
    <m/>
    <s v="C7H750600DKHXNKKA"/>
    <n v="971727403"/>
    <n v="440152249352"/>
    <m/>
    <m/>
    <d v="2018-03-26T00:00:00"/>
    <s v="Yes"/>
    <s v="Yes"/>
    <x v="0"/>
  </r>
  <r>
    <s v="Hillsboro"/>
    <s v="HILSRTL182"/>
    <s v="Yes"/>
    <s v="Pre-INT"/>
    <s v="PCIe"/>
    <s v="SN3633313"/>
    <m/>
    <s v="ICE18"/>
    <x v="0"/>
    <x v="19"/>
    <x v="14"/>
    <x v="1"/>
    <s v="No"/>
    <s v="Yes"/>
    <s v="4x"/>
    <s v="HILSRTM007sMini.hf.intel.com"/>
    <n v="70004"/>
    <m/>
    <s v="C7H750600DKHXNKKA"/>
    <n v="971727403"/>
    <n v="440152249352"/>
    <m/>
    <m/>
    <d v="2018-03-26T00:00:00"/>
    <s v="Yes"/>
    <s v="Yes"/>
    <x v="0"/>
  </r>
  <r>
    <s v="Beijing"/>
    <s v="BEJSRTL101"/>
    <s v="Yes"/>
    <s v="Pre-INT/CEB"/>
    <s v="PCIe"/>
    <n v="2510408"/>
    <s v="459/R42/7"/>
    <s v="ICE18"/>
    <x v="1"/>
    <x v="25"/>
    <x v="16"/>
    <x v="1"/>
    <s v="No"/>
    <s v="Yes"/>
    <s v="4x"/>
    <s v="bejsrtm008smini.bj.intel.com"/>
    <s v="40101"/>
    <s v="E1DFEAA217040300FFFFFFFF"/>
    <s v="C7H7513007THXNKKL"/>
    <n v="13910404844"/>
    <s v="00440152217931"/>
    <s v="00440152218831"/>
    <n v="18911034661"/>
    <d v="2018-07-20T00:00:00"/>
    <s v="Yes"/>
    <s v="Yes"/>
    <x v="0"/>
  </r>
  <r>
    <s v="Beijing"/>
    <s v="BEJSRTL102"/>
    <s v="Yes"/>
    <s v="Daily(SEB)"/>
    <s v="PCIe"/>
    <n v="2510479"/>
    <s v="439/R10/5"/>
    <s v="ICE18"/>
    <x v="0"/>
    <x v="26"/>
    <x v="14"/>
    <x v="1"/>
    <s v="No"/>
    <s v="Yes"/>
    <s v="4x"/>
    <s v="bejsrtm007smini.bj.intel.com"/>
    <s v="40102"/>
    <s v="E15F09F3944D0800FFFFFFFF"/>
    <s v="C7H752300BQHXNKK8"/>
    <n v="15321617389"/>
    <s v="00440152217745"/>
    <s v="00440152218645"/>
    <m/>
    <d v="2018-06-01T00:00:00"/>
    <s v="Yes"/>
    <s v="Yes"/>
    <x v="0"/>
  </r>
  <r>
    <s v="Beijing"/>
    <s v="BEJSRTL103"/>
    <s v="Yes"/>
    <s v="CR"/>
    <s v="PCIe"/>
    <n v="2250585"/>
    <s v="439/R15/5"/>
    <s v="ICE18"/>
    <x v="1"/>
    <x v="27"/>
    <x v="17"/>
    <x v="1"/>
    <s v="No"/>
    <s v="No"/>
    <s v="4x"/>
    <s v="bijsrtm012smini.bj.intel.com"/>
    <s v="40103"/>
    <s v="E1DF19D2B7790800FFFFFFFF"/>
    <s v="C7H75130199HXNKKX"/>
    <n v="13910409924"/>
    <s v="00440152218006"/>
    <s v="00440152218906"/>
    <n v="13810859312"/>
    <d v="2018-04-10T00:00:00"/>
    <s v="Yes"/>
    <s v="Yes"/>
    <x v="0"/>
  </r>
  <r>
    <s v="Beijing"/>
    <s v="BEJSRTL104"/>
    <s v="Yes"/>
    <s v="CR"/>
    <s v="PCIe"/>
    <n v="2510712"/>
    <s v="439/R33/1"/>
    <s v="ICE18"/>
    <x v="1"/>
    <x v="28"/>
    <x v="18"/>
    <x v="1"/>
    <s v="No"/>
    <s v="No"/>
    <s v="Yes"/>
    <s v="bejsrtm010smini.bj.intel.com"/>
    <s v="40104"/>
    <s v="E1DFBA42C52E0B00FFFFFFFF"/>
    <s v="C7H7513008EHXNKKW"/>
    <n v="13800001332"/>
    <s v="00440152219524"/>
    <s v="00440152264314"/>
    <n v="13800001333"/>
    <d v="2018-07-09T00:00:00"/>
    <s v="Yes"/>
    <s v="Yes"/>
    <x v="0"/>
  </r>
  <r>
    <s v="Beijing"/>
    <s v="BEJSRTL105"/>
    <s v="Yes"/>
    <s v="Pre-INT/CEB"/>
    <s v="PCIe"/>
    <n v="2510554"/>
    <s v="439/R10/8"/>
    <s v="ICE18"/>
    <x v="1"/>
    <x v="29"/>
    <x v="19"/>
    <x v="1"/>
    <s v="No"/>
    <s v="Yes"/>
    <s v="4x"/>
    <s v="bejsrtm009smini.bj.intel.com"/>
    <s v="40105"/>
    <s v="E15FF9F2C8820A00FFFFFFFF"/>
    <s v="C7H752300C8HXNKKM"/>
    <n v="18911034663"/>
    <s v="00440152218007"/>
    <s v="00440152218907"/>
    <n v="13810331714"/>
    <d v="2018-04-25T00:00:00"/>
    <s v="Yes"/>
    <s v="Yes"/>
    <x v="0"/>
  </r>
  <r>
    <s v="Beijing"/>
    <s v="BEJSRTL106"/>
    <s v="Yes"/>
    <s v="Daily(SEB)"/>
    <s v="PCIe"/>
    <n v="2510721"/>
    <s v="439/R10/6"/>
    <s v="ICE18"/>
    <x v="0"/>
    <x v="26"/>
    <x v="14"/>
    <x v="1"/>
    <s v="No"/>
    <s v="Yes"/>
    <s v="4x"/>
    <s v="7560utt235smini.bj.intel.com"/>
    <s v="40106"/>
    <s v="E15FD8BC5A1C0500FFFFFFFF"/>
    <s v="C7H749700DGHXNKKL"/>
    <n v="18911473170"/>
    <s v="00440152218008"/>
    <s v="00440152218908"/>
    <m/>
    <d v="2018-04-27T00:00:00"/>
    <s v="Yes"/>
    <s v="Yes"/>
    <x v="0"/>
  </r>
  <r>
    <s v="Beijing"/>
    <s v="BEJSRTL107"/>
    <s v="Yes"/>
    <s v="CR"/>
    <s v="PCIe"/>
    <n v="2510498"/>
    <s v="439/R10/6"/>
    <s v="ICE18"/>
    <x v="1"/>
    <x v="30"/>
    <x v="20"/>
    <x v="1"/>
    <s v="No"/>
    <s v="No"/>
    <s v="4x"/>
    <s v="7560utt236smini.bj.intel.com"/>
    <s v="40107"/>
    <s v="E1DFBA0E45190F00FFFFFFFF"/>
    <s v="C7H75130129HXNKKJ"/>
    <n v="18618480753"/>
    <s v="00440152218026"/>
    <s v="00440152218926"/>
    <n v="13810711215"/>
    <d v="2018-04-24T00:00:00"/>
    <s v="Yes"/>
    <s v="Yes"/>
    <x v="0"/>
  </r>
  <r>
    <s v="Beijing"/>
    <s v="BEJSRTL108"/>
    <s v="Yes"/>
    <s v="CR"/>
    <s v="PCIe"/>
    <n v="2510929"/>
    <s v="439/R1/2"/>
    <s v="ICE18"/>
    <x v="0"/>
    <x v="26"/>
    <x v="13"/>
    <x v="1"/>
    <s v="No"/>
    <s v="Yes"/>
    <s v="4x"/>
    <s v="7560utt235smini.bj.intel.com"/>
    <s v="40108"/>
    <s v="E1DF09B23C570800FFFFFFFF"/>
    <s v="C7H752300DRHXNKK1"/>
    <n v="18911473504"/>
    <s v="00440152262030"/>
    <s v="00440152262232"/>
    <m/>
    <d v="2018-04-27T00:00:00"/>
    <s v="Yes"/>
    <s v="Yes"/>
    <x v="0"/>
  </r>
  <r>
    <s v="Beijing"/>
    <s v="BEJSRTL110"/>
    <s v="Yes"/>
    <s v="Pre-INT/CEB"/>
    <s v="PCIe"/>
    <n v="2510954"/>
    <s v="439/R1/4"/>
    <s v="ICE18"/>
    <x v="0"/>
    <x v="31"/>
    <x v="0"/>
    <x v="1"/>
    <s v="No"/>
    <s v="No"/>
    <s v="4x"/>
    <s v="bejsrtm005smini.bj.intel.com"/>
    <s v="40110"/>
    <s v="E15F09B7529B0A00FFFFFFFF"/>
    <s v="C7H752300CBHXNKKJ"/>
    <n v="13811653692"/>
    <s v="00440152219585"/>
    <s v="00440152264375"/>
    <m/>
    <d v="2018-04-23T00:00:00"/>
    <s v="Yes"/>
    <s v="Yes"/>
    <x v="0"/>
  </r>
  <r>
    <s v="Beijing"/>
    <s v="BEJSRTL111"/>
    <s v="Yes"/>
    <s v="CR"/>
    <s v="PCIe"/>
    <n v="2510582"/>
    <s v="439/R1/3"/>
    <s v="ICE18"/>
    <x v="1"/>
    <x v="32"/>
    <x v="21"/>
    <x v="1"/>
    <s v="No"/>
    <s v="No"/>
    <s v="4x"/>
    <s v="7560utt243smini.bj.intel.com"/>
    <s v="40111"/>
    <s v="E1DFAA3A2C520C00FFFFFFFF"/>
    <s v="C7H75130095HXNKK2"/>
    <n v="13811021282"/>
    <s v="00440152218032"/>
    <s v="00440152218932"/>
    <n v="13051119001"/>
    <d v="2018-04-24T00:00:00"/>
    <s v="Yes"/>
    <s v="Yes"/>
    <x v="0"/>
  </r>
  <r>
    <s v="Beijing"/>
    <s v="BEJSRTL112"/>
    <s v="Yes"/>
    <s v="Daily(SEB)"/>
    <s v="PCIe"/>
    <n v="2511059"/>
    <s v="439/R1/1"/>
    <s v="ICE18"/>
    <x v="1"/>
    <x v="25"/>
    <x v="16"/>
    <x v="1"/>
    <s v="No"/>
    <s v="Yes"/>
    <s v="4x"/>
    <s v="bijsrtm012smini.bj.intel.com"/>
    <s v="40112"/>
    <s v="E1DF5A9F1C950500FFFFFFFF"/>
    <s v="C7H751300C5HXNKKT"/>
    <n v="13810018074"/>
    <s v="00440452217936"/>
    <s v="00440152218836"/>
    <n v="18911124235"/>
    <d v="2018-04-24T00:00:00"/>
    <s v="Yes"/>
    <s v="Yes"/>
    <x v="0"/>
  </r>
  <r>
    <s v="Beijing"/>
    <s v="BEJSRTL115"/>
    <s v="Yes"/>
    <s v="Daily(SEB)"/>
    <s v="PCIe"/>
    <n v="2250577"/>
    <s v="439/R6/2"/>
    <s v="ICE18"/>
    <x v="1"/>
    <x v="33"/>
    <x v="1"/>
    <x v="1"/>
    <s v="No"/>
    <s v="No"/>
    <s v="4x"/>
    <s v="7560utt127smini.bj.intel.com"/>
    <s v="40115"/>
    <s v="E15F590F0EE20A00FFFFFFFF"/>
    <s v="C7H751301CCHXNKKK"/>
    <n v="13121819332"/>
    <s v="00440152218087"/>
    <s v="00440152218987"/>
    <n v="18501967551"/>
    <d v="2018-08-22T00:00:00"/>
    <s v="Yes"/>
    <s v="Yes"/>
    <x v="0"/>
  </r>
  <r>
    <s v="Beijing"/>
    <s v="BEJSRTL118"/>
    <s v="Yes"/>
    <s v="Pre-INT/CEB"/>
    <s v="PCIe"/>
    <n v="2250566"/>
    <s v="439/R2/4"/>
    <s v="ICE18"/>
    <x v="1"/>
    <x v="30"/>
    <x v="20"/>
    <x v="1"/>
    <s v="No"/>
    <s v="No"/>
    <s v="4x"/>
    <s v="7560utt241smini.bj.intel.com"/>
    <s v="40118"/>
    <s v="E1DFAAD84C140F00FFFFFFFF"/>
    <s v="C7H7513009VHXNKKC"/>
    <n v="15600242251"/>
    <s v="00440152218088"/>
    <s v="00440152218988"/>
    <n v="13810832971"/>
    <d v="2018-08-22T00:00:00"/>
    <s v="Yes"/>
    <s v="Yes"/>
    <x v="0"/>
  </r>
  <r>
    <s v="Beijing"/>
    <s v="BEJSRTL119"/>
    <s v="Yes"/>
    <s v="Pre-INT/CEB"/>
    <s v="PCIe"/>
    <n v="2510734"/>
    <s v="439/R6/3"/>
    <s v="ICE18"/>
    <x v="0"/>
    <x v="26"/>
    <x v="13"/>
    <x v="1"/>
    <s v="No"/>
    <s v="Yes"/>
    <s v="4x"/>
    <s v="bejsrtm005smini.bj.intel.com"/>
    <s v="40119"/>
    <s v="E15FE9B2E5380800FFFFFFFF"/>
    <s v="C7H752300D0HXNKKS"/>
    <n v="15321837105"/>
    <s v="00440152219497"/>
    <s v="00440152264287"/>
    <m/>
    <d v="2018-04-23T00:00:00"/>
    <s v="Yes"/>
    <s v="Yes"/>
    <x v="0"/>
  </r>
  <r>
    <s v="Beijing"/>
    <s v="BEJSRTL121"/>
    <s v="Yes"/>
    <s v="Pre-INT/CEB"/>
    <s v="PCIe"/>
    <n v="2510896"/>
    <s v="439/R1/8"/>
    <s v="ICE18"/>
    <x v="1"/>
    <x v="32"/>
    <x v="21"/>
    <x v="1"/>
    <s v="No"/>
    <s v="No"/>
    <s v="4x"/>
    <s v="bejsrtm009smini.bj.intel.com"/>
    <s v="40121"/>
    <s v="E15FC84A99020B00FFFFFFFF"/>
    <s v="C7H749700D7HXNKKV"/>
    <n v="13810274084"/>
    <s v="00440152218117"/>
    <s v="00440152219017"/>
    <n v="18514727175"/>
    <d v="2018-07-20T00:00:00"/>
    <s v="Yes"/>
    <s v="Yes"/>
    <x v="0"/>
  </r>
  <r>
    <s v="Beijing"/>
    <s v="BEJSRTL122"/>
    <s v="No"/>
    <s v="Daily(SEB)"/>
    <s v="PCIe"/>
    <n v="2510856"/>
    <s v="439/R18/2"/>
    <s v="ICE18"/>
    <x v="1"/>
    <x v="25"/>
    <x v="16"/>
    <x v="1"/>
    <s v="No"/>
    <s v="Yes"/>
    <s v="NA"/>
    <s v="bejsrtm002smini.bj.intel.com"/>
    <s v="40122"/>
    <s v="E15F59C1ED480800FFFFFFFF"/>
    <s v="C7H751301BAHXNKKQ"/>
    <n v="13810719763"/>
    <s v="00440152218134"/>
    <s v="00440152219034"/>
    <n v="18911175845"/>
    <d v="2018-08-22T00:00:00"/>
    <s v="Yes"/>
    <s v="Yes"/>
    <x v="0"/>
  </r>
  <r>
    <s v="Beijing"/>
    <s v="BEJSRTL123"/>
    <s v="Yes"/>
    <s v="Pre-INT/CEB"/>
    <s v="PCIe"/>
    <n v="2510566"/>
    <s v="439/R1/5"/>
    <s v="ICE18"/>
    <x v="0"/>
    <x v="26"/>
    <x v="13"/>
    <x v="1"/>
    <s v="No"/>
    <s v="Yes"/>
    <s v="4x"/>
    <s v="bejsrtm006smini.bj.intel.com"/>
    <s v="40123"/>
    <s v="E15F5933AEFB0A00FFFFFFFF"/>
    <s v="C7H7523009HHXNKKM"/>
    <n v="18911473634"/>
    <s v="00440152219511"/>
    <s v="00440152264301"/>
    <m/>
    <m/>
    <s v="Yes"/>
    <s v="Yes"/>
    <x v="0"/>
  </r>
  <r>
    <s v="Beijing"/>
    <s v="BEJSRTL125"/>
    <s v="Yes"/>
    <s v="CR"/>
    <s v="PCIe"/>
    <n v="2794259"/>
    <s v="439/R3/4"/>
    <s v="ICE18"/>
    <x v="0"/>
    <x v="31"/>
    <x v="6"/>
    <x v="1"/>
    <s v="No"/>
    <s v="No"/>
    <s v="4x"/>
    <s v="bejsrtm004smini.bj.intel.com"/>
    <s v="40125"/>
    <s v="E15FB804E20B0B00FFFFFFFF"/>
    <s v="C7H749700AQHXNKKM"/>
    <n v="13810419362"/>
    <s v="00440152218090"/>
    <s v="00440152218990"/>
    <m/>
    <d v="2018-04-25T00:00:00"/>
    <s v="Yes"/>
    <s v="Yes"/>
    <x v="0"/>
  </r>
  <r>
    <s v="Beijing"/>
    <s v="BEJSRTL127"/>
    <s v="Yes"/>
    <s v="CR"/>
    <s v="PCIe"/>
    <n v="2794278"/>
    <s v="439/R3/1"/>
    <s v="ICE18"/>
    <x v="0"/>
    <x v="31"/>
    <x v="22"/>
    <x v="1"/>
    <s v="No"/>
    <s v="No"/>
    <s v="4x"/>
    <s v="7560utt235smini.bj.intel.com"/>
    <s v="40127"/>
    <s v="E15FD804E27A0500FFFFFFFF"/>
    <s v="C7H749700DHHXNKKK"/>
    <n v="13810917290"/>
    <s v="00440152219605"/>
    <s v="00440152264395"/>
    <m/>
    <d v="2018-04-27T00:00:00"/>
    <s v="Yes"/>
    <s v="Yes"/>
    <x v="0"/>
  </r>
  <r>
    <s v="Beijing"/>
    <s v="BEJSRTL131"/>
    <s v="Yes"/>
    <s v="Daily(SEB)"/>
    <s v="PCIe"/>
    <n v="2510449"/>
    <s v="459/R34/4"/>
    <s v="ICE18"/>
    <x v="0"/>
    <x v="26"/>
    <x v="14"/>
    <x v="1"/>
    <s v="No"/>
    <s v="Yes"/>
    <s v="4x"/>
    <s v="7560utt235smini.bj.intel.com"/>
    <s v="40131"/>
    <s v="E15F39F7B1300F00FFFFFFFF"/>
    <s v="C7H751301AEHXNKKP"/>
    <n v="13381264089"/>
    <s v="00440152217712"/>
    <s v="00440152218612"/>
    <m/>
    <m/>
    <s v="Yes"/>
    <s v="Yes"/>
    <x v="0"/>
  </r>
  <r>
    <s v="Beijing"/>
    <s v="BEJSRTL134"/>
    <s v="Yes"/>
    <s v="Daily(SEB)"/>
    <s v="PCIe"/>
    <n v="2510472"/>
    <s v="459/R39/5"/>
    <s v="ICE18"/>
    <x v="0"/>
    <x v="26"/>
    <x v="14"/>
    <x v="1"/>
    <s v="No"/>
    <s v="Yes"/>
    <s v="4x"/>
    <s v="bejsrtm007smini.bj.intel.com"/>
    <s v="40134"/>
    <s v="E1DF5A5FE3C20500FFFFFFFF"/>
    <s v="C7H7513006THXNKKP"/>
    <n v="15321700580"/>
    <s v="00440152218139"/>
    <s v="00440152219039"/>
    <m/>
    <d v="2018-06-01T00:00:00"/>
    <s v="Yes"/>
    <s v="Yes"/>
    <x v="0"/>
  </r>
  <r>
    <s v="Beijing"/>
    <s v="BEJSRTL135"/>
    <s v="Yes"/>
    <s v="CR"/>
    <s v="PCIe"/>
    <n v="2794351"/>
    <s v="439/R3/4"/>
    <s v="ICE18"/>
    <x v="0"/>
    <x v="31"/>
    <x v="0"/>
    <x v="1"/>
    <s v="No"/>
    <s v="No"/>
    <s v="4x"/>
    <s v="bejsrtm008smini.bj.intel.com"/>
    <s v="40135"/>
    <s v="E1DF5A53278C0700FFFFFFFF"/>
    <s v="C7H751300AQHXNKKE"/>
    <n v="13811053671"/>
    <s v="00440152219471"/>
    <s v="00440152264261"/>
    <m/>
    <d v="2018-04-23T00:00:00"/>
    <s v="Yes"/>
    <s v="Yes"/>
    <x v="0"/>
  </r>
  <r>
    <s v="Beijing"/>
    <s v="BEJSRTL136"/>
    <s v="Yes"/>
    <s v="CR"/>
    <s v="PCIe"/>
    <n v="2794261"/>
    <s v="439/R3/3"/>
    <s v="ICE18"/>
    <x v="0"/>
    <x v="34"/>
    <x v="4"/>
    <x v="1"/>
    <s v="No"/>
    <s v="No"/>
    <s v="4x"/>
    <s v="bejsrtm004smini.bj.intel.com"/>
    <s v="40136"/>
    <s v="E15FD902092C0800FFFFFFFF"/>
    <s v="C7H752300DGHXNKKA"/>
    <n v="13121815027"/>
    <s v="00440152218144"/>
    <s v="00440152219044"/>
    <m/>
    <d v="2018-04-27T00:00:00"/>
    <s v="Yes"/>
    <s v="Yes"/>
    <x v="0"/>
  </r>
  <r>
    <s v="Beijing"/>
    <s v="BEJSRTL137"/>
    <s v="Yes"/>
    <s v="CR"/>
    <s v="PCIe"/>
    <n v="2794238"/>
    <s v="439/R4/2"/>
    <s v="ICE18"/>
    <x v="1"/>
    <x v="32"/>
    <x v="9"/>
    <x v="1"/>
    <s v="No"/>
    <s v="No"/>
    <s v="4x"/>
    <s v="7560utt236smini.bj.intel.com"/>
    <s v="40137"/>
    <s v="E15F295F7C340F00FFFFFFFF"/>
    <s v="C7H752300CQHXNKK5"/>
    <n v="13810421462"/>
    <s v="00440152218148"/>
    <s v="00440152219048"/>
    <n v="18611415619"/>
    <d v="2018-04-25T00:00:00"/>
    <s v="Yes"/>
    <s v="Yes"/>
    <x v="0"/>
  </r>
  <r>
    <s v="Beijing"/>
    <s v="BEJSRTL138"/>
    <s v="Yes"/>
    <s v="CR"/>
    <s v="PCIe"/>
    <n v="2794254"/>
    <s v="439/R3/7"/>
    <s v="ICE18"/>
    <x v="0"/>
    <x v="31"/>
    <x v="0"/>
    <x v="1"/>
    <s v="No"/>
    <s v="No"/>
    <s v="4x"/>
    <s v="bejsrtm007smini.bj.intel.com"/>
    <s v="40138"/>
    <s v="E1DFCA3EDD060C00FFFFFFFF"/>
    <s v="C7H7513008RHXNKKK"/>
    <n v="13810012874"/>
    <s v="00440152219594"/>
    <s v="00440152264384"/>
    <m/>
    <d v="2018-04-24T00:00:00"/>
    <s v="Yes"/>
    <s v="Yes"/>
    <x v="0"/>
  </r>
  <r>
    <s v="Beijing"/>
    <s v="BEJSRTL139"/>
    <s v="Yes"/>
    <s v="Daily(SEB)"/>
    <s v="PCIe"/>
    <n v="2510508"/>
    <s v="439/R11/5"/>
    <s v="ICE18"/>
    <x v="1"/>
    <x v="30"/>
    <x v="20"/>
    <x v="1"/>
    <s v="No"/>
    <s v="No"/>
    <s v="4x"/>
    <s v="bijsrtm012smini.bj.intel.com"/>
    <s v="40139"/>
    <s v="E15F295BA5300500FFFFFFFF"/>
    <s v="C7H752300BYHXNKK0"/>
    <n v="13240004792"/>
    <s v="00440152218133"/>
    <s v="00440152219033"/>
    <n v="13810014974"/>
    <d v="2018-08-22T00:00:00"/>
    <s v="Yes"/>
    <s v="Yes"/>
    <x v="0"/>
  </r>
  <r>
    <s v="Beijing"/>
    <s v="BEJSRTL140"/>
    <s v="Yes"/>
    <s v="Daily(SEB)"/>
    <s v="PCIe"/>
    <n v="2794335"/>
    <s v="439/R4/6"/>
    <s v="ICE18"/>
    <x v="1"/>
    <x v="32"/>
    <x v="23"/>
    <x v="1"/>
    <s v="No"/>
    <s v="No"/>
    <s v="4x"/>
    <s v="7560utt236smini.bj.intel.com"/>
    <s v="40140"/>
    <s v="E15F492BC6B40500FFFFFFFF"/>
    <s v="C7H751301B8HXNKKS"/>
    <n v="13810737621"/>
    <s v="00440152219586"/>
    <s v="00440152264376"/>
    <n v="13021924290"/>
    <d v="2018-06-01T00:00:00"/>
    <s v="Yes"/>
    <s v="Yes"/>
    <x v="0"/>
  </r>
  <r>
    <s v="Beijing"/>
    <s v="BEJSRTL141"/>
    <s v="Yes"/>
    <s v="CR"/>
    <s v="PCIe"/>
    <n v="2510665"/>
    <s v="439/R4/4"/>
    <s v="ICE18"/>
    <x v="1"/>
    <x v="35"/>
    <x v="15"/>
    <x v="1"/>
    <s v="No"/>
    <s v="Yes"/>
    <s v="4x"/>
    <s v="bijsrtm012smini.bj.intel.com"/>
    <s v="40141"/>
    <s v="E15FE954919D0A00FFFFFFFF"/>
    <s v="C7H752300CZHXNKKW"/>
    <n v="18911124173"/>
    <s v="00440152219587"/>
    <s v="00440152264377"/>
    <n v="15510204789"/>
    <d v="2018-04-25T00:00:00"/>
    <s v="Yes"/>
    <s v="Yes"/>
    <x v="0"/>
  </r>
  <r>
    <s v="Beijing"/>
    <s v="BEJSRTL142"/>
    <s v="Yes"/>
    <s v="Daily(SEB)"/>
    <s v="PCIe"/>
    <n v="2794266"/>
    <s v="439/R3/5"/>
    <s v="ICE18"/>
    <x v="1"/>
    <x v="32"/>
    <x v="9"/>
    <x v="1"/>
    <s v="No"/>
    <s v="No"/>
    <s v="4x"/>
    <s v="bejsrtm009smini.bj.intel.com"/>
    <s v="40142"/>
    <s v="E15F09E170870A00FFFFFFFF"/>
    <s v="C7H752300CCHXNKKH"/>
    <n v="13810503615"/>
    <s v="00440152219593"/>
    <s v="00440152264383"/>
    <n v="13269092273"/>
    <d v="2018-08-11T00:00:00"/>
    <s v="Yes"/>
    <s v="Yes"/>
    <x v="0"/>
  </r>
  <r>
    <s v="Beijing"/>
    <s v="BEJSRTL143"/>
    <s v="Yes"/>
    <s v="Weekly(UTC)"/>
    <s v="PCIe"/>
    <n v="2510403"/>
    <s v="439/R3/1"/>
    <s v="ICE18"/>
    <x v="0"/>
    <x v="26"/>
    <x v="13"/>
    <x v="1"/>
    <s v="No"/>
    <s v="Yes"/>
    <s v="4x"/>
    <s v="7560utt275smini.bj.intel.com"/>
    <s v="40143"/>
    <s v="E15F091349CD0A00FFFFFFFF"/>
    <s v="C7H752300ASHXNKK9"/>
    <n v="13381264192"/>
    <s v="00440152218107"/>
    <s v="00440152219007"/>
    <m/>
    <d v="2018-04-26T00:00:00"/>
    <s v="Yes"/>
    <s v="Yes"/>
    <x v="0"/>
  </r>
  <r>
    <s v="Beijing"/>
    <s v="BEJSRTL144"/>
    <s v="Yes"/>
    <s v="Pre-INT/CEB"/>
    <s v="PCIe"/>
    <n v="2794316"/>
    <s v="439/R16/7"/>
    <s v="ICE18"/>
    <x v="1"/>
    <x v="30"/>
    <x v="20"/>
    <x v="1"/>
    <s v="No"/>
    <s v="No"/>
    <s v="4x"/>
    <s v="7560utt243smini.bj.intel.com"/>
    <s v="40144"/>
    <s v="E1DFAAD2F9280300FFFFFFFF"/>
    <s v="C7H7513006KHXNKKX"/>
    <n v="13121817129"/>
    <s v="00440152219493"/>
    <s v="00440152264283"/>
    <n v="13811271442"/>
    <d v="2018-08-22T00:00:00"/>
    <s v="Yes"/>
    <s v="Yes"/>
    <x v="0"/>
  </r>
  <r>
    <s v="Beijing"/>
    <s v="BEJSRTL145"/>
    <s v="Yes"/>
    <s v="Pre-INT/CEB"/>
    <s v="PCIe"/>
    <n v="2794256"/>
    <s v="439/R2/5"/>
    <s v="ICE18"/>
    <x v="1"/>
    <x v="29"/>
    <x v="19"/>
    <x v="1"/>
    <s v="No"/>
    <s v="Yes"/>
    <s v="4x"/>
    <s v="bejsrtm011smini.bj.intel.com"/>
    <s v="40145"/>
    <s v="E15FD80CF7581000FFFFFFFF"/>
    <s v="C7H749700BPHXNKKK"/>
    <n v="13331048816"/>
    <s v="00440152219494"/>
    <s v="00440152264284"/>
    <n v="13811021750"/>
    <d v="2018-04-24T00:00:00"/>
    <s v="Yes"/>
    <s v="Yes"/>
    <x v="0"/>
  </r>
  <r>
    <s v="Beijing"/>
    <s v="BEJSRTL146"/>
    <s v="Yes"/>
    <s v="CR"/>
    <s v="PCIe"/>
    <n v="2794216"/>
    <s v="459/R39/6"/>
    <s v="ICE18"/>
    <x v="0"/>
    <x v="31"/>
    <x v="0"/>
    <x v="1"/>
    <s v="No"/>
    <s v="No"/>
    <s v="4x"/>
    <s v="bejsrtm004smini.bj.intel.com"/>
    <s v="40146"/>
    <s v="E1DFCA944DC30A00FFFFFFFF"/>
    <s v="C7H7513012RHXNKK2"/>
    <n v="13810431494"/>
    <s v="00440152219478"/>
    <s v="00440152264268"/>
    <m/>
    <m/>
    <s v="Yes"/>
    <s v="Yes"/>
    <x v="0"/>
  </r>
  <r>
    <s v="Beijing"/>
    <s v="BEJSRTL147"/>
    <s v="Yes"/>
    <s v="Pre-INT/CEB"/>
    <s v="PCIe"/>
    <n v="2794405"/>
    <s v="439/R3/2"/>
    <s v="ICE18"/>
    <x v="0"/>
    <x v="26"/>
    <x v="14"/>
    <x v="1"/>
    <s v="No"/>
    <s v="Yes"/>
    <s v="4x"/>
    <s v="bejsrtm006smini.bj.intel.com"/>
    <s v="40147"/>
    <s v="E1DFDA0EE4740C00FFFFFFFF"/>
    <s v="C7H751300BBHXNKKQ"/>
    <n v="13381264659"/>
    <s v="00440152219513"/>
    <s v="00440152264303"/>
    <m/>
    <d v="2018-04-24T00:00:00"/>
    <s v="Yes"/>
    <s v="Yes"/>
    <x v="0"/>
  </r>
  <r>
    <s v="Beijing"/>
    <s v="BEJSRTL148"/>
    <s v="Yes"/>
    <s v="Daily(SEB)"/>
    <s v="PCIe"/>
    <n v="2794343"/>
    <s v="439/R4/3"/>
    <s v="ICE18"/>
    <x v="0"/>
    <x v="26"/>
    <x v="13"/>
    <x v="1"/>
    <s v="No"/>
    <s v="Yes"/>
    <s v="4x"/>
    <s v="7560utt235smini.bj.intel.com"/>
    <s v="40148"/>
    <s v="E15FB872183C0500FFFFFFFF"/>
    <s v="C7H749700FJHXNKKC"/>
    <n v="15321726283"/>
    <s v="00440152218149"/>
    <s v="00440152219049"/>
    <m/>
    <d v="2018-04-27T00:00:00"/>
    <s v="Yes"/>
    <s v="Yes"/>
    <x v="0"/>
  </r>
  <r>
    <s v="Beijing"/>
    <s v="BEJSRTL149"/>
    <s v="Yes"/>
    <s v="CR"/>
    <s v="PCIe"/>
    <n v="2794264"/>
    <s v="439/R3/3"/>
    <s v="ICE18"/>
    <x v="0"/>
    <x v="31"/>
    <x v="0"/>
    <x v="1"/>
    <s v="No"/>
    <s v="No"/>
    <s v="4x"/>
    <s v="bejsrtm006smini.bj.intel.com"/>
    <s v="40149"/>
    <s v="E15F29B5F62E0E00FFFFFFFF"/>
    <s v="C7H7523009BHXNKKT"/>
    <n v="13811021052"/>
    <s v="00440152218030"/>
    <s v="00440152218930"/>
    <m/>
    <m/>
    <s v="Yes"/>
    <s v="Yes"/>
    <x v="0"/>
  </r>
  <r>
    <s v="Beijing"/>
    <s v="BEJSRTL151"/>
    <s v="Yes"/>
    <s v="Pre-INT/CEB"/>
    <s v="PCIe"/>
    <n v="2794281"/>
    <s v="439/R6/5"/>
    <s v="ICE18"/>
    <x v="1"/>
    <x v="29"/>
    <x v="19"/>
    <x v="1"/>
    <s v="No"/>
    <s v="Yes"/>
    <s v="4x"/>
    <s v="7560utt009smini.bj.intel.com"/>
    <s v="40151"/>
    <s v="E28F79C9611D1300FFFFFFFF"/>
    <s v="C7H81030033HXNKXQ"/>
    <n v="17310575392"/>
    <s v="00440152219488"/>
    <s v="00440152264278"/>
    <n v="13810274748"/>
    <m/>
    <s v="Yes"/>
    <s v="Yes"/>
    <x v="0"/>
  </r>
  <r>
    <s v="Beijing"/>
    <s v="BEJSRTL152"/>
    <s v="Yes"/>
    <s v="Daily(SEB)"/>
    <s v="PCIe"/>
    <n v="2794270"/>
    <s v="439/R33/2"/>
    <s v="ICE18"/>
    <x v="0"/>
    <x v="36"/>
    <x v="14"/>
    <x v="1"/>
    <s v="No"/>
    <s v="No"/>
    <s v="Yes"/>
    <s v="7560utt277smini.bj.intel.com"/>
    <s v="40152"/>
    <s v="E15F798158E20A00FFFFFFFF"/>
    <s v="C7H751301BEHXNKKL"/>
    <n v="18900670335"/>
    <s v="00440152219581"/>
    <s v="00440152264371"/>
    <m/>
    <m/>
    <s v="Yes"/>
    <s v="Yes"/>
    <x v="0"/>
  </r>
  <r>
    <s v="Beijing"/>
    <s v="BEJSRTL153"/>
    <s v="No"/>
    <s v="Daily(SEB)"/>
    <s v="PCIe"/>
    <n v="2794423"/>
    <s v="459/R42/1"/>
    <s v="ICE18"/>
    <x v="1"/>
    <x v="25"/>
    <x v="16"/>
    <x v="1"/>
    <s v="No"/>
    <s v="Yes"/>
    <s v="NA"/>
    <s v="bejsrtm002smini.bj.intel.com"/>
    <s v="40153"/>
    <s v="E15F795DF8060800FFFFFFFF"/>
    <s v="C7H7523008CHXNKKV"/>
    <n v="13810309107"/>
    <s v="00440152219583"/>
    <s v="00440152264373"/>
    <n v="18010341439"/>
    <d v="2018-08-22T00:00:00"/>
    <s v="Yes"/>
    <s v="Yes"/>
    <x v="0"/>
  </r>
  <r>
    <s v="Beijing"/>
    <s v="BEJSRTL154"/>
    <s v="Yes"/>
    <s v="Daily(SEB)"/>
    <s v="PCIe"/>
    <n v="2794218"/>
    <s v="439/R16/6"/>
    <s v="ICE18"/>
    <x v="1"/>
    <x v="35"/>
    <x v="15"/>
    <x v="1"/>
    <s v="No"/>
    <s v="Yes"/>
    <s v="4x"/>
    <s v="7560utt127smini.bj.intel.com"/>
    <s v="40154"/>
    <s v="E1DF394CA6E30A00FFFFFFFF"/>
    <s v="C7H751301B2HXNKKY"/>
    <n v="18910224067"/>
    <s v="00440152219575"/>
    <s v="00440152264365"/>
    <n v="18611422157"/>
    <d v="2018-03-31T00:00:00"/>
    <s v="Yes"/>
    <s v="Yes"/>
    <x v="0"/>
  </r>
  <r>
    <s v="Beijing"/>
    <s v="BEJSRTL155"/>
    <s v="Yes"/>
    <s v="CR"/>
    <s v="PCIe"/>
    <n v="2794297"/>
    <s v="439/R5/3"/>
    <s v="ICE18"/>
    <x v="0"/>
    <x v="34"/>
    <x v="5"/>
    <x v="1"/>
    <s v="No"/>
    <s v="No"/>
    <s v="4x"/>
    <s v="bejsrtm004smini.bj.intel.com"/>
    <s v="40155"/>
    <s v="E15FB98EF3A10A00FFFFFFFF"/>
    <s v="C7H7513017PHXNKKP"/>
    <n v="13121817832"/>
    <s v="00440152217744"/>
    <s v="00440152218644"/>
    <m/>
    <m/>
    <s v="Yes"/>
    <s v="Yes"/>
    <x v="0"/>
  </r>
  <r>
    <s v="Beijing"/>
    <s v="BEJSRTL156"/>
    <s v="Yes"/>
    <s v="CR"/>
    <s v="PCIe"/>
    <n v="2794395"/>
    <s v="459/R42/5"/>
    <s v="ICE18"/>
    <x v="0"/>
    <x v="31"/>
    <x v="0"/>
    <x v="1"/>
    <s v="No"/>
    <s v="No"/>
    <s v="4x"/>
    <s v="7560utt235smini.bj.intel.com"/>
    <s v="40156"/>
    <s v="E15F090DD4320800FFFFFFFF"/>
    <s v="C7H752300DTHXNKKZ"/>
    <n v="13810673179"/>
    <s v="00440152217717"/>
    <s v="00440152218617"/>
    <m/>
    <d v="2018-04-27T00:00:00"/>
    <s v="Yes"/>
    <s v="Yes"/>
    <x v="0"/>
  </r>
  <r>
    <s v="Beijing"/>
    <s v="BEJSRTL157"/>
    <s v="No"/>
    <s v="Daily(SEB)"/>
    <s v="PCIe"/>
    <n v="2794284"/>
    <s v="439/R19/6"/>
    <s v="ICE18"/>
    <x v="1"/>
    <x v="29"/>
    <x v="19"/>
    <x v="1"/>
    <s v="No"/>
    <s v="Yes"/>
    <s v="NA"/>
    <s v="bejsrtm001smini.bj.intel.com"/>
    <s v="40157"/>
    <s v="E1DF295E6D690800FFFFFFFF"/>
    <s v="C7H751301A5HXNKKY"/>
    <n v="18911034659"/>
    <s v="00440152219632"/>
    <s v="00440152264422"/>
    <n v="13810278704"/>
    <d v="2018-08-22T00:00:00"/>
    <s v="Yes"/>
    <s v="Yes"/>
    <x v="0"/>
  </r>
  <r>
    <s v="Beijing"/>
    <s v="BEJSRTL158"/>
    <s v="Yes"/>
    <s v="Pre-INT/CEB"/>
    <s v="PCIe"/>
    <n v="2511031"/>
    <s v="439/R5/2"/>
    <s v="ICE18"/>
    <x v="1"/>
    <x v="25"/>
    <x v="16"/>
    <x v="1"/>
    <s v="No"/>
    <s v="Yes"/>
    <s v="4x"/>
    <s v="bejsrtm008smini.bj.intel.com"/>
    <s v="40158"/>
    <s v="E15FA91CE2110800FFFFFFFF"/>
    <s v="C7H7513018MHXNKKN"/>
    <n v="13910624014"/>
    <s v="00440152219595"/>
    <s v="00440152264385"/>
    <n v="13381264126"/>
    <d v="2018-04-10T00:00:00"/>
    <s v="Yes"/>
    <s v="Yes"/>
    <x v="0"/>
  </r>
  <r>
    <s v="Beijing"/>
    <s v="BEJSRTL160"/>
    <s v="Yes"/>
    <s v="Weekly(UTC)"/>
    <s v="PCIe"/>
    <n v="2794217"/>
    <s v="439/R5/3"/>
    <s v="ICE18"/>
    <x v="0"/>
    <x v="31"/>
    <x v="0"/>
    <x v="1"/>
    <s v="No"/>
    <s v="No"/>
    <s v="4x"/>
    <s v="bejsrtm007smini.bj.intel.com"/>
    <s v="40160"/>
    <s v="E15FD9BE68100800FFFFFFFF"/>
    <s v="C7H752300BSHXNKK6"/>
    <n v="13810746302"/>
    <s v="00440152219650"/>
    <s v="00440152264440"/>
    <m/>
    <d v="2018-06-01T00:00:00"/>
    <s v="Yes"/>
    <s v="Yes"/>
    <x v="0"/>
  </r>
  <r>
    <s v="Beijing"/>
    <s v="BEJSRTL161"/>
    <s v="Yes"/>
    <s v="Daily(SEB)"/>
    <s v="PCIe"/>
    <n v="2794274"/>
    <s v="439/R4/7"/>
    <s v="ICE18"/>
    <x v="1"/>
    <x v="33"/>
    <x v="1"/>
    <x v="1"/>
    <s v="No"/>
    <s v="No"/>
    <s v="4x"/>
    <s v="7560utt127smini.bj.intel.com"/>
    <s v="40161"/>
    <s v="E15FF9ECC9A50A00FFFFFFFF"/>
    <s v="C7H752300C9HXNKKL"/>
    <n v="18618442550"/>
    <s v="00440152217743"/>
    <s v="00440152218643"/>
    <n v="13051113736"/>
    <d v="2018-08-22T00:00:00"/>
    <s v="Yes"/>
    <s v="Yes"/>
    <x v="0"/>
  </r>
  <r>
    <s v="Beijing"/>
    <s v="BEJSRTL162"/>
    <s v="No"/>
    <s v="Daily(SEB)"/>
    <s v="PCIe"/>
    <n v="2794252"/>
    <s v="439/R4/7"/>
    <s v="ICE18"/>
    <x v="1"/>
    <x v="29"/>
    <x v="19"/>
    <x v="1"/>
    <s v="No"/>
    <s v="Yes"/>
    <s v="NA"/>
    <s v="7560utt243smini.bj.intel.com"/>
    <s v="40162"/>
    <s v="E15F599361A50500FFFFFFFF"/>
    <s v="C7H7523008THXNKKE"/>
    <n v="17310163142"/>
    <s v="00440152219738"/>
    <s v="00440152264528"/>
    <n v="13810021134"/>
    <d v="2018-08-22T00:00:00"/>
    <s v="Yes"/>
    <s v="Yes"/>
    <x v="0"/>
  </r>
  <r>
    <s v="Beijing"/>
    <s v="BEJSRTL163"/>
    <s v="Yes"/>
    <s v="Daily(SEB)"/>
    <s v="PCIe"/>
    <n v="2794280"/>
    <s v="459/R41/2"/>
    <s v="ICE18"/>
    <x v="1"/>
    <x v="32"/>
    <x v="23"/>
    <x v="1"/>
    <s v="No"/>
    <s v="No"/>
    <s v="4x"/>
    <s v="bijsrtm012smini.bj.intel.com"/>
    <s v="40163"/>
    <s v="E15F294941020E00FFFFFFFF"/>
    <s v="C7H75230080HXNKK7"/>
    <n v="13810023914"/>
    <s v="00440152218033"/>
    <s v="00440152218933"/>
    <n v="13146394285"/>
    <d v="2018-06-01T00:00:00"/>
    <s v="Yes"/>
    <s v="Yes"/>
    <x v="0"/>
  </r>
  <r>
    <s v="Beijing"/>
    <s v="BEJSRTL164"/>
    <s v="No"/>
    <s v="Daily(SEB)"/>
    <s v="PCIe"/>
    <n v="2794385"/>
    <s v="439/R4/8"/>
    <s v="ICE18"/>
    <x v="1"/>
    <x v="29"/>
    <x v="19"/>
    <x v="1"/>
    <s v="No"/>
    <s v="Yes"/>
    <s v="NA"/>
    <s v="7560utt236smini.bj.intel.com"/>
    <s v="40164"/>
    <s v="E15FB9821D5D0800FFFFFFFF"/>
    <s v="C7H7513018NHXNKKM"/>
    <n v="18911124236"/>
    <s v="00440152219822"/>
    <s v="00440152264612"/>
    <n v="13810018964"/>
    <d v="2018-08-22T00:00:00"/>
    <s v="Yes"/>
    <s v="Yes"/>
    <x v="0"/>
  </r>
  <r>
    <s v="Beijing"/>
    <s v="BEJSRTL165"/>
    <s v="Yes"/>
    <s v="CR"/>
    <s v="PCIe"/>
    <n v="2794242"/>
    <s v="439/R5/1"/>
    <s v="ICE18"/>
    <x v="0"/>
    <x v="34"/>
    <x v="4"/>
    <x v="1"/>
    <s v="No"/>
    <s v="No"/>
    <s v="4x"/>
    <s v="bejsrtm004smini.bj.intel.com"/>
    <s v="40165"/>
    <s v="E15FB82A1C0E0B00FFFFFFFF"/>
    <s v="C7H749700BLHXNKKN"/>
    <n v="18611413035"/>
    <s v="00440152219834"/>
    <s v="00440152264624"/>
    <m/>
    <d v="2018-04-27T00:00:00"/>
    <s v="Yes"/>
    <s v="Yes"/>
    <x v="0"/>
  </r>
  <r>
    <s v="Beijing"/>
    <s v="BEJSRTL166"/>
    <s v="Yes"/>
    <s v="Pre-INT/CEB"/>
    <s v="PCIe"/>
    <n v="2794313"/>
    <s v="439/R5/1"/>
    <s v="ICE18"/>
    <x v="1"/>
    <x v="30"/>
    <x v="24"/>
    <x v="1"/>
    <s v="No"/>
    <s v="No"/>
    <s v="4x"/>
    <s v="bejsrtm009smini.bj.intel.com"/>
    <s v="40166"/>
    <s v="E15FF9A40FD00A00FFFFFFFF"/>
    <s v="C7H752300DJHXNKK8"/>
    <n v="13021026457"/>
    <s v="00440152262000"/>
    <s v="00440152262202"/>
    <n v="13810065574"/>
    <d v="2018-04-26T00:00:00"/>
    <s v="Yes"/>
    <s v="Yes"/>
    <x v="0"/>
  </r>
  <r>
    <s v="Beijing"/>
    <s v="BEJSRTL167"/>
    <s v="No"/>
    <s v="Daily(SEB)"/>
    <s v="PCIe"/>
    <n v="2794243"/>
    <s v="439/R5/4"/>
    <s v="ICE18"/>
    <x v="1"/>
    <x v="25"/>
    <x v="16"/>
    <x v="1"/>
    <s v="No"/>
    <s v="Yes"/>
    <s v="NA"/>
    <s v="bejsrtm002smini.bj.intel.com"/>
    <s v="40167"/>
    <s v="E1DFEA36A4040300FFFFFFFF"/>
    <s v="C7H751300AYHXNKK6"/>
    <n v="13810069147"/>
    <s v="00440152262001"/>
    <s v="00440152262203"/>
    <n v="18911175674"/>
    <d v="2018-08-22T00:00:00"/>
    <s v="Yes"/>
    <s v="Yes"/>
    <x v="0"/>
  </r>
  <r>
    <s v="Beijing"/>
    <s v="BEJSRTL168"/>
    <s v="No"/>
    <s v="Daily(SEB)"/>
    <s v="PCIe"/>
    <n v="2794410"/>
    <s v="439/R5/2"/>
    <s v="ICE18"/>
    <x v="1"/>
    <x v="25"/>
    <x v="16"/>
    <x v="1"/>
    <s v="No"/>
    <s v="Yes"/>
    <s v="NA"/>
    <s v="bejsrtm002smini.bj.intel.com"/>
    <s v="40168"/>
    <s v="E15FD9B2C44E0800FFFFFFFF"/>
    <s v="C7H752300C6HXNKKP"/>
    <n v="13810713965"/>
    <s v="00440152218056"/>
    <s v="00440152218956"/>
    <n v="18911034613"/>
    <d v="2018-08-22T00:00:00"/>
    <s v="Yes"/>
    <s v="Yes"/>
    <x v="0"/>
  </r>
  <r>
    <s v="Beijing"/>
    <s v="BEJSRTL169"/>
    <s v="Yes"/>
    <s v="Weekly(UTC)"/>
    <s v="PCIe"/>
    <n v="2510413"/>
    <s v="459/R40/4"/>
    <s v="ICE18"/>
    <x v="0"/>
    <x v="31"/>
    <x v="0"/>
    <x v="1"/>
    <s v="No"/>
    <s v="No"/>
    <s v="4x"/>
    <s v="bejsrtm007smini.bj.intel.com"/>
    <s v="40169"/>
    <s v="E15FD912F8B40A00FFFFFFFF"/>
    <s v="C7H752300C5HXNKKQ"/>
    <n v="13810278443"/>
    <s v="00440152218091"/>
    <s v="00440152218991"/>
    <m/>
    <d v="2018-04-23T00:00:00"/>
    <s v="Yes"/>
    <s v="Yes"/>
    <x v="0"/>
  </r>
  <r>
    <s v="Beijing"/>
    <s v="BEJSRTL170"/>
    <s v="Yes"/>
    <s v="Pre-INT/CEB"/>
    <s v="PCIe"/>
    <n v="2510493"/>
    <s v="459/R40/1"/>
    <s v="ICE18"/>
    <x v="1"/>
    <x v="29"/>
    <x v="19"/>
    <x v="1"/>
    <s v="No"/>
    <s v="Yes"/>
    <s v="4x"/>
    <s v="bejsrtm009smini.bj.intel.com"/>
    <s v="40170"/>
    <s v="E1DFCA167D3D0B00FFFFFFFF"/>
    <s v="C7H7513008ZHXNKKB"/>
    <n v="18911124221"/>
    <s v="00440152217713"/>
    <s v="00440152218613"/>
    <n v="13810017734"/>
    <m/>
    <s v="Yes"/>
    <s v="Yes"/>
    <x v="0"/>
  </r>
  <r>
    <s v="Beijing"/>
    <s v="BEJSRTL171"/>
    <s v="Yes"/>
    <s v="Pre-INT/CEB"/>
    <s v="PCIe"/>
    <n v="2794325"/>
    <s v="439/R5/4"/>
    <s v="ICE18"/>
    <x v="1"/>
    <x v="32"/>
    <x v="9"/>
    <x v="1"/>
    <s v="No"/>
    <s v="No"/>
    <s v="4x"/>
    <s v="bejsrtm008smini.bj.intel.com"/>
    <s v="40171"/>
    <s v="E15FD9D6E9760800FFFFFFFF"/>
    <s v="C7H752300BTHXNKK5"/>
    <n v="13810012943"/>
    <s v="00440152219659"/>
    <s v="00440152264449"/>
    <n v="18610416471"/>
    <d v="2018-08-22T00:00:00"/>
    <s v="Yes"/>
    <s v="Yes"/>
    <x v="0"/>
  </r>
  <r>
    <s v="Beijing"/>
    <s v="BEJSRTL172"/>
    <s v="Yes"/>
    <s v="CR"/>
    <s v="PCIe"/>
    <n v="2794222"/>
    <s v="439/R12/2"/>
    <s v="ICE18"/>
    <x v="1"/>
    <x v="29"/>
    <x v="19"/>
    <x v="1"/>
    <s v="Yes"/>
    <s v="Yes"/>
    <s v="No"/>
    <e v="#N/A"/>
    <m/>
    <s v="E20F1A887C1F1300FFFFFFFF"/>
    <s v="C7H81030029HXNKXM"/>
    <n v="18911175040"/>
    <s v="00440152219709"/>
    <s v="00440152264499"/>
    <n v="13810760572"/>
    <d v="2018-04-25T00:00:00"/>
    <s v="Yes"/>
    <s v="Yes"/>
    <x v="0"/>
  </r>
  <r>
    <s v="Beijing"/>
    <s v="BEJSRTL174"/>
    <s v="Yes"/>
    <s v="Pre-INT/CEB"/>
    <s v="PCIe"/>
    <n v="3220130"/>
    <s v="439/R9/4"/>
    <s v="ICE18"/>
    <x v="1"/>
    <x v="32"/>
    <x v="9"/>
    <x v="1"/>
    <s v="No"/>
    <s v="No"/>
    <s v="4x"/>
    <s v="7560utt243smini.bj.intel.com"/>
    <s v="40174"/>
    <s v="E15F1919B32A0800FFFFFFFF"/>
    <s v="C7H7523007XHXNKKD"/>
    <n v="13810769681"/>
    <s v="00440152218040"/>
    <s v="00440152218940"/>
    <n v="13167589227"/>
    <d v="2018-08-22T00:00:00"/>
    <s v="Yes"/>
    <s v="Yes"/>
    <x v="0"/>
  </r>
  <r>
    <s v="Beijing"/>
    <s v="BEJSRTL175"/>
    <s v="Yes"/>
    <s v="CR"/>
    <s v="PCIe"/>
    <n v="3220102"/>
    <s v="459/R39/1"/>
    <s v="ICE18"/>
    <x v="0"/>
    <x v="26"/>
    <x v="13"/>
    <x v="1"/>
    <s v="No"/>
    <s v="Yes"/>
    <s v="4x"/>
    <s v="7560utt235smini.bj.intel.com"/>
    <s v="40175"/>
    <s v="E15FB8BAD32B1000FFFFFFFF"/>
    <s v="C7H749700BDHXNKKV"/>
    <n v="17310344182"/>
    <s v="00440152219774"/>
    <s v="00440152264564"/>
    <m/>
    <d v="2018-04-27T00:00:00"/>
    <s v="Yes"/>
    <s v="Yes"/>
    <x v="0"/>
  </r>
  <r>
    <s v="Beijing"/>
    <s v="BEJSRTL176"/>
    <s v="Yes"/>
    <s v="Daily(SEB)"/>
    <s v="PCIe"/>
    <n v="2510744"/>
    <s v="439/R5/6"/>
    <s v="ICE18"/>
    <x v="1"/>
    <x v="30"/>
    <x v="20"/>
    <x v="1"/>
    <s v="No"/>
    <s v="No"/>
    <s v="4x"/>
    <s v="bejsrtm011smini.bj.intel.com"/>
    <s v="40176"/>
    <s v="E15F394F85730800FFFFFFFF"/>
    <s v="C7H7523008UHXNKKD"/>
    <n v="18511270971"/>
    <s v="00440152218113"/>
    <s v="00440152219013"/>
    <n v="13810331542"/>
    <d v="2018-08-11T00:00:00"/>
    <s v="Yes"/>
    <s v="Yes"/>
    <x v="0"/>
  </r>
  <r>
    <s v="Beijing"/>
    <s v="BEJSRTL177"/>
    <s v="Yes"/>
    <s v="CR"/>
    <s v="PCIe"/>
    <n v="2510979"/>
    <s v="439/R9/1"/>
    <s v="ICE18"/>
    <x v="0"/>
    <x v="34"/>
    <x v="5"/>
    <x v="1"/>
    <s v="No"/>
    <s v="No"/>
    <s v="4x"/>
    <s v="bejsrtm004smini.bj.intel.com"/>
    <s v="40177"/>
    <s v="E15FD8F6B13A0B00FFFFFFFF"/>
    <s v="C7H749700FUHXNKK2"/>
    <n v="18611415722"/>
    <s v="00440152262002"/>
    <s v="00440152262204"/>
    <m/>
    <d v="2018-04-27T00:00:00"/>
    <s v="Yes"/>
    <s v="Yes"/>
    <x v="0"/>
  </r>
  <r>
    <s v="Beijing"/>
    <s v="BEJSRTL178"/>
    <s v="Yes"/>
    <s v="Pre-INT/CEB"/>
    <s v="PCIe"/>
    <n v="3220240"/>
    <s v="439/R9/5"/>
    <s v="ICE18"/>
    <x v="1"/>
    <x v="32"/>
    <x v="9"/>
    <x v="1"/>
    <s v="No"/>
    <s v="No"/>
    <s v="4x"/>
    <s v="bijsrtm012smini.bj.intel.com"/>
    <s v="40178"/>
    <s v="E15FD9863BEB0A00FFFFFFFF"/>
    <s v="C7H752300BMHXNKKB"/>
    <n v="13810503772"/>
    <s v="00440152262003"/>
    <s v="00440152262205"/>
    <n v="13260159171"/>
    <d v="2018-08-22T00:00:00"/>
    <s v="Yes"/>
    <s v="Yes"/>
    <x v="0"/>
  </r>
  <r>
    <s v="Beijing"/>
    <s v="BEJSRTL179"/>
    <s v="Yes"/>
    <s v="CR"/>
    <s v="PCIe"/>
    <n v="3220100"/>
    <s v="439/R9/7"/>
    <s v="ICE18"/>
    <x v="1"/>
    <x v="32"/>
    <x v="21"/>
    <x v="1"/>
    <s v="No"/>
    <s v="No"/>
    <s v="4x"/>
    <s v="7560utt243smini.bj.intel.com"/>
    <s v="40179"/>
    <s v="E15F79D199680800FFFFFFFF"/>
    <s v="C7H751301CEHXNKKH"/>
    <n v="13810797353"/>
    <s v="00440152262004"/>
    <s v="00440152262206"/>
    <n v="15600127804"/>
    <d v="2018-08-22T00:00:00"/>
    <s v="Yes"/>
    <s v="Yes"/>
    <x v="0"/>
  </r>
  <r>
    <s v="Beijing"/>
    <s v="BEJSRTL180"/>
    <s v="Yes"/>
    <s v="Pre-INT/CEB"/>
    <s v="PCIe"/>
    <n v="3220223"/>
    <s v="439/R11/7"/>
    <s v="ICE18"/>
    <x v="1"/>
    <x v="27"/>
    <x v="17"/>
    <x v="1"/>
    <s v="No"/>
    <s v="No"/>
    <s v="4x"/>
    <s v="bejsrtm009smini.bj.intel.com"/>
    <s v="40180"/>
    <s v="E1DFEAB8EE1D0C00FFFFFFFF"/>
    <s v="C7H7513008THXNKKH"/>
    <n v="13810069341"/>
    <s v="00440152262005"/>
    <s v="00440152262207"/>
    <n v="13910636724"/>
    <d v="2018-08-11T00:00:00"/>
    <s v="Yes"/>
    <s v="Yes"/>
    <x v="0"/>
  </r>
  <r>
    <s v="Beijing"/>
    <s v="BEJSRTL181"/>
    <s v="Yes"/>
    <s v="Pre-INT/CEB"/>
    <s v="PCIe"/>
    <n v="3220107"/>
    <s v="439/R11/3"/>
    <s v="ICE18"/>
    <x v="1"/>
    <x v="32"/>
    <x v="21"/>
    <x v="1"/>
    <s v="No"/>
    <s v="No"/>
    <s v="4x"/>
    <s v="bejsrtm010smini.bj.intel.com"/>
    <s v="40181"/>
    <s v="E1DFDA0679580300FFFFFFFF"/>
    <s v="C7H75130092HXNKK5"/>
    <n v="13810420435"/>
    <s v="00440152218150"/>
    <s v="00440152219050"/>
    <n v="13120044507"/>
    <d v="2018-07-20T00:00:00"/>
    <s v="Yes"/>
    <s v="Yes"/>
    <x v="0"/>
  </r>
  <r>
    <s v="Beijing"/>
    <s v="BEJSRTL182"/>
    <s v="Yes"/>
    <s v="CR"/>
    <s v="PCIe"/>
    <n v="3220086"/>
    <s v="439/R11/3"/>
    <s v="ICE18"/>
    <x v="0"/>
    <x v="36"/>
    <x v="14"/>
    <x v="1"/>
    <s v="No"/>
    <s v="No"/>
    <s v="Yes"/>
    <s v="7560utt277smini.bj.intel.com"/>
    <s v="40182"/>
    <s v="E1DFAA5481780C00FFFFFFFF"/>
    <s v="C7H75130128HXNKKK"/>
    <n v="18900670341"/>
    <s v="00440152219589"/>
    <s v="00440152264379"/>
    <m/>
    <m/>
    <s v="Yes"/>
    <s v="Yes"/>
    <x v="0"/>
  </r>
  <r>
    <s v="Beijing"/>
    <s v="BEJSRTL184"/>
    <s v="Yes"/>
    <s v="Pre-INT/CEB"/>
    <s v="PCIe"/>
    <n v="3220194"/>
    <s v="439/R9/3"/>
    <s v="ICE18"/>
    <x v="0"/>
    <x v="31"/>
    <x v="0"/>
    <x v="1"/>
    <s v="No"/>
    <s v="No"/>
    <s v="4x"/>
    <s v="bejsrtm007smini.bj.intel.com"/>
    <s v="40184"/>
    <s v="E15FF942D17C0800FFFFFFFF"/>
    <s v="C7H752300CAHXNKKK"/>
    <n v="13810616327"/>
    <s v="00440152218145"/>
    <s v="00440152219045"/>
    <m/>
    <d v="2018-07-20T00:00:00"/>
    <s v="Yes"/>
    <s v="Yes"/>
    <x v="0"/>
  </r>
  <r>
    <s v="Beijing"/>
    <s v="BEJSRTL273"/>
    <s v="Yes"/>
    <s v="Weekly(UTC)"/>
    <s v="PCIe"/>
    <n v="3220215"/>
    <s v="439/R11/8"/>
    <s v="ICE18"/>
    <x v="0"/>
    <x v="31"/>
    <x v="22"/>
    <x v="1"/>
    <s v="No"/>
    <s v="No"/>
    <s v="4x"/>
    <s v="7560utt275smini.bj.intel.com"/>
    <s v="40273"/>
    <s v="E15FF80A39380500FFFFFFFF"/>
    <s v="C7H749700DVHXNKK7"/>
    <n v="13811090671"/>
    <s v="00440152218031"/>
    <s v="00440152218931"/>
    <m/>
    <d v="2018-04-26T00:00:00"/>
    <s v="Yes"/>
    <s v="Yes"/>
    <x v="0"/>
  </r>
  <r>
    <s v="Beijing"/>
    <s v="BEJSRTL186"/>
    <s v="Yes"/>
    <s v="CR"/>
    <s v="PCIe"/>
    <n v="3220213"/>
    <s v="439/R11/2"/>
    <s v="ICE18"/>
    <x v="0"/>
    <x v="26"/>
    <x v="13"/>
    <x v="1"/>
    <s v="No"/>
    <s v="Yes"/>
    <s v="4x"/>
    <s v="7560utt275smini.bj.intel.com"/>
    <s v="40186"/>
    <s v="E1DF6A17B7B80500FFFFFFFF"/>
    <s v="C7H7513006MHXNKKV"/>
    <n v="17316073679"/>
    <s v="00440152262006"/>
    <s v="00440152262208"/>
    <m/>
    <m/>
    <s v="Yes"/>
    <s v="Yes"/>
    <x v="0"/>
  </r>
  <r>
    <s v="Beijing"/>
    <s v="BEJSRTL187"/>
    <s v="Yes"/>
    <s v="Daily(SEB)"/>
    <s v="PCIe"/>
    <n v="3220108"/>
    <s v="459/R39/1"/>
    <s v="ICE18"/>
    <x v="0"/>
    <x v="31"/>
    <x v="6"/>
    <x v="1"/>
    <s v="No"/>
    <s v="No"/>
    <s v="4x"/>
    <s v="7560utt235smini.bj.intel.com"/>
    <s v="40187"/>
    <s v="E15FC8147B6D1000FFFFFFFF"/>
    <s v="C7H749700B4HXNKK4"/>
    <n v="13810465496"/>
    <s v="00440152262007"/>
    <s v="00440152262209"/>
    <m/>
    <d v="2018-04-27T00:00:00"/>
    <s v="Yes"/>
    <s v="Yes"/>
    <x v="0"/>
  </r>
  <r>
    <s v="Beijing"/>
    <s v="BEJSRTL188"/>
    <s v="Yes"/>
    <s v="Pre-INT/CEB"/>
    <s v="PCIe"/>
    <n v="3220084"/>
    <s v="439/R18/7"/>
    <s v="ICE18"/>
    <x v="1"/>
    <x v="32"/>
    <x v="21"/>
    <x v="1"/>
    <s v="No"/>
    <s v="No"/>
    <s v="4x"/>
    <s v="bejsrtm009smini.bj.intel.com"/>
    <s v="40188"/>
    <s v="E1DFBA6A81260B00FFFFFFFF"/>
    <s v="C7H75130080HXNKKA"/>
    <n v="13811264942"/>
    <s v="00440152262008"/>
    <s v="00440152262210"/>
    <n v="18518928551"/>
    <d v="2018-07-20T00:00:00"/>
    <s v="Yes"/>
    <s v="Yes"/>
    <x v="0"/>
  </r>
  <r>
    <s v="Beijing"/>
    <s v="BEJSRTL189"/>
    <s v="Yes"/>
    <s v="Daily(SEB)"/>
    <s v="PCIe"/>
    <n v="3220101"/>
    <s v="459/R41/5"/>
    <s v="ICE18"/>
    <x v="1"/>
    <x v="32"/>
    <x v="21"/>
    <x v="1"/>
    <s v="No"/>
    <s v="No"/>
    <s v="4x"/>
    <s v="7560utt236smini.bj.intel.com"/>
    <s v="40189"/>
    <s v="E15FF99E2F910A00FFFFFFFF"/>
    <s v="C7H752300CGHXNKKD"/>
    <n v="13810018984"/>
    <s v="00440152262009"/>
    <s v="00440152262211"/>
    <n v="13011842454"/>
    <d v="2018-04-25T00:00:00"/>
    <s v="Yes"/>
    <s v="Yes"/>
    <x v="0"/>
  </r>
  <r>
    <s v="Beijing"/>
    <s v="BEJSRTL190"/>
    <s v="No"/>
    <s v="Daily(SEB)"/>
    <s v="PCIe"/>
    <n v="3220242"/>
    <s v="459/R42/1"/>
    <s v="ICE18"/>
    <x v="1"/>
    <x v="25"/>
    <x v="16"/>
    <x v="1"/>
    <s v="No"/>
    <s v="Yes"/>
    <s v="NA"/>
    <s v="bejsrtm003smini.bj.intel.com"/>
    <s v="40190"/>
    <s v="E15F09DBB0E90A00FFFFFFFF"/>
    <s v="C7H752300BCHXNKKL"/>
    <n v="13810659173"/>
    <s v="00440152262010"/>
    <s v="00440152262212"/>
    <n v="18911034373"/>
    <d v="2018-08-22T00:00:00"/>
    <s v="Yes"/>
    <s v="Yes"/>
    <x v="0"/>
  </r>
  <r>
    <s v="Beijing"/>
    <s v="BEJSRTL191"/>
    <s v="Yes"/>
    <s v="Pre-INT/CEB"/>
    <s v="PCIe"/>
    <n v="3220103"/>
    <s v="439/R11/2"/>
    <s v="ICE18"/>
    <x v="1"/>
    <x v="29"/>
    <x v="19"/>
    <x v="1"/>
    <s v="No"/>
    <s v="Yes"/>
    <s v="4x"/>
    <s v="bejsrtm009smini.bj.intel.com"/>
    <s v="40191"/>
    <s v="E15FF948CF5F0800FFFFFFFF"/>
    <s v="C7H752300AMHXNKKE"/>
    <n v="18911034675"/>
    <s v="00440152262011"/>
    <s v="00440152262213"/>
    <n v="13810990395"/>
    <d v="2018-04-26T00:00:00"/>
    <s v="Yes"/>
    <s v="Yes"/>
    <x v="0"/>
  </r>
  <r>
    <s v="Beijing"/>
    <s v="BEJSRTL193"/>
    <s v="Yes"/>
    <s v="Daily(SEB)"/>
    <s v="PCIe"/>
    <n v="3120168"/>
    <s v="439/R11/6"/>
    <s v="ICE18"/>
    <x v="0"/>
    <x v="34"/>
    <x v="25"/>
    <x v="1"/>
    <s v="No"/>
    <s v="No"/>
    <s v="4x"/>
    <s v="bejsrtm004smini.bj.intel.com"/>
    <s v="40193"/>
    <s v="E15FB884AB5C0D00FFFFFFFF"/>
    <s v="C7H749700DRHXNKKB"/>
    <n v="13051118707"/>
    <s v="00440152218191"/>
    <s v="00440152219091"/>
    <m/>
    <d v="2018-04-27T00:00:00"/>
    <s v="Yes"/>
    <s v="Yes"/>
    <x v="0"/>
  </r>
  <r>
    <s v="Beijing"/>
    <s v="BEJSRTL194"/>
    <s v="Yes"/>
    <s v="CR"/>
    <s v="PCIe"/>
    <n v="3219625"/>
    <s v="439/R12/4"/>
    <s v="ICE18"/>
    <x v="0"/>
    <x v="26"/>
    <x v="14"/>
    <x v="1"/>
    <s v="No"/>
    <s v="Yes"/>
    <s v="4x"/>
    <s v="7560utt175smini.bj.intel.com"/>
    <s v="40194"/>
    <s v="E15FF84C8D140500FFFFFFFF"/>
    <s v="C7H749700EDHXNKKL"/>
    <n v="18911474307"/>
    <s v="00440152219611"/>
    <s v="00440152264401"/>
    <m/>
    <d v="2018-04-25T00:00:00"/>
    <s v="Yes"/>
    <s v="Yes"/>
    <x v="0"/>
  </r>
  <r>
    <s v="Beijing"/>
    <s v="BEJSRTL195"/>
    <s v="Yes"/>
    <s v="Daily(SEB)"/>
    <s v="PCIe"/>
    <n v="3219547"/>
    <s v="439/R11/1"/>
    <s v="ICE18"/>
    <x v="1"/>
    <x v="32"/>
    <x v="9"/>
    <x v="1"/>
    <s v="No"/>
    <s v="No"/>
    <s v="4x"/>
    <s v="7560utt236smini.bj.intel.com"/>
    <s v="40195"/>
    <s v="E15F59C7D10D0300FFFFFFFF"/>
    <s v="C7H751301B7HXNKKT"/>
    <n v="13810767912"/>
    <s v="00440152219519"/>
    <s v="00440152264309"/>
    <n v="18518914875"/>
    <d v="2018-08-11T00:00:00"/>
    <s v="Yes"/>
    <s v="Yes"/>
    <x v="0"/>
  </r>
  <r>
    <s v="Beijing"/>
    <s v="BEJSRTL196"/>
    <s v="Yes"/>
    <s v="Daily(SEB)"/>
    <s v="PCIe"/>
    <n v="3220302"/>
    <s v="459/R39/6"/>
    <s v="ICE18"/>
    <x v="0"/>
    <x v="26"/>
    <x v="13"/>
    <x v="1"/>
    <s v="No"/>
    <s v="Yes"/>
    <s v="4x"/>
    <s v="bejsrtm007smini.bj.intel.com"/>
    <s v="40196"/>
    <s v="E15FE9989DF00A00FFFFFFFF"/>
    <s v="C7H752300BPHXNKK9"/>
    <n v="18910224650"/>
    <s v="00440152218118"/>
    <s v="00440152219018"/>
    <m/>
    <d v="2018-06-01T00:00:00"/>
    <s v="Yes"/>
    <s v="Yes"/>
    <x v="0"/>
  </r>
  <r>
    <s v="Beijing"/>
    <s v="BEJSRTL197"/>
    <s v="Yes"/>
    <s v="CR"/>
    <s v="PCIe"/>
    <n v="3220324"/>
    <s v="439/R11/1"/>
    <s v="ICE18"/>
    <x v="0"/>
    <x v="26"/>
    <x v="13"/>
    <x v="1"/>
    <s v="No"/>
    <s v="Yes"/>
    <s v="4x"/>
    <s v="7560utt175smini.bj.intel.com"/>
    <s v="40197"/>
    <s v="E15FC88ED53C1000FFFFFFFF"/>
    <s v="C7H749700BNHXNKKL"/>
    <n v="17310344509"/>
    <s v="00440152262012"/>
    <s v="00440152262214"/>
    <m/>
    <d v="2018-04-27T00:00:00"/>
    <s v="Yes"/>
    <s v="Yes"/>
    <x v="0"/>
  </r>
  <r>
    <s v="Beijing"/>
    <s v="BEJSRTL198"/>
    <s v="Yes"/>
    <s v="CR"/>
    <s v="PCIe"/>
    <n v="3220259"/>
    <s v="439/R12/1"/>
    <s v="ICE18"/>
    <x v="1"/>
    <x v="29"/>
    <x v="19"/>
    <x v="1"/>
    <s v="Yes"/>
    <s v="Yes"/>
    <s v="No"/>
    <e v="#N/A"/>
    <m/>
    <s v="E28F59217B241300FFFFFFFF"/>
    <s v="C7H8103001NHXNKXB"/>
    <n v="13381264736"/>
    <s v="00440152218012"/>
    <s v="00440152218912"/>
    <n v="13810224127"/>
    <d v="2018-04-25T00:00:00"/>
    <s v="Yes"/>
    <s v="Yes"/>
    <x v="0"/>
  </r>
  <r>
    <s v="Beijing"/>
    <s v="BEJSRTL203"/>
    <s v="Yes"/>
    <s v="CR"/>
    <s v="PCIe"/>
    <n v="3219917"/>
    <s v="439/R13/4"/>
    <s v="ICE18"/>
    <x v="0"/>
    <x v="26"/>
    <x v="14"/>
    <x v="1"/>
    <s v="Yes"/>
    <s v="Yes"/>
    <s v="No"/>
    <e v="#N/A"/>
    <m/>
    <s v="E1DF5A3FF29C0700FFFFFFFF"/>
    <s v="C7H7513007VHXNKKJ"/>
    <n v="17310461939"/>
    <s v="00440152219755"/>
    <s v="00440152264545"/>
    <m/>
    <d v="2018-05-17T00:00:00"/>
    <s v="Yes"/>
    <s v="Yes"/>
    <x v="0"/>
  </r>
  <r>
    <s v="Beijing"/>
    <s v="BEJSRTL204"/>
    <s v="Yes"/>
    <s v="CR"/>
    <s v="PCIe"/>
    <n v="3219953"/>
    <s v="439/R13/2"/>
    <s v="ICE18"/>
    <x v="1"/>
    <x v="29"/>
    <x v="19"/>
    <x v="9"/>
    <s v="Yes"/>
    <s v="Yes"/>
    <s v="No"/>
    <e v="#N/A"/>
    <m/>
    <s v="E20F0AEA4DE90000FFFFFFFF"/>
    <s v="C7H8103001JHXNKXF"/>
    <n v="18911034676"/>
    <s v="00440152219763"/>
    <s v="00440152264553"/>
    <n v="13910433130"/>
    <d v="2018-04-24T00:00:00"/>
    <s v="Yes"/>
    <s v="Yes"/>
    <x v="0"/>
  </r>
  <r>
    <s v="Beijing"/>
    <s v="BEJSRTL205"/>
    <s v="Yes"/>
    <s v="Weekly(UTC)"/>
    <s v="PCIe"/>
    <n v="3219865"/>
    <s v="439/R13/5"/>
    <s v="ICE18"/>
    <x v="0"/>
    <x v="31"/>
    <x v="0"/>
    <x v="1"/>
    <s v="No"/>
    <s v="No"/>
    <s v="4x"/>
    <s v="7560utt275smini.bj.intel.com"/>
    <s v="40205"/>
    <s v="E15FA854B04F0D00FFFFFFFF"/>
    <s v="C7H749700DLHXNKKG"/>
    <n v="13810573975"/>
    <s v="00440152217746"/>
    <s v="00440152218646"/>
    <m/>
    <d v="2018-04-26T00:00:00"/>
    <s v="Yes"/>
    <s v="Yes"/>
    <x v="0"/>
  </r>
  <r>
    <s v="Beijing"/>
    <s v="BEJSRTL207"/>
    <s v="No"/>
    <s v="Daily(SEB)"/>
    <s v="PCIe"/>
    <n v="3219897"/>
    <s v="439/R14/3"/>
    <s v="ICE18"/>
    <x v="1"/>
    <x v="25"/>
    <x v="16"/>
    <x v="1"/>
    <s v="No"/>
    <s v="Yes"/>
    <s v="NA"/>
    <s v="7560utt243smini.bj.intel.com"/>
    <s v="40207"/>
    <s v="E1DF394A5B770800FFFFFFFF"/>
    <s v="C7H75130197HXNKKZ"/>
    <n v="13810010194"/>
    <s v="00440152262014"/>
    <s v="00440152262216"/>
    <n v="18911175464"/>
    <d v="2018-08-22T00:00:00"/>
    <s v="Yes"/>
    <s v="Yes"/>
    <x v="0"/>
  </r>
  <r>
    <s v="Beijing"/>
    <s v="BEJSRTL208"/>
    <s v="Yes"/>
    <s v="Pre-INT/CEB"/>
    <s v="PCIe"/>
    <n v="3219866"/>
    <s v="439/R14/6"/>
    <s v="ICE18"/>
    <x v="0"/>
    <x v="26"/>
    <x v="13"/>
    <x v="1"/>
    <s v="No"/>
    <s v="Yes"/>
    <s v="4x"/>
    <s v="bejsrtm006smini.bj.intel.com"/>
    <s v="40208"/>
    <s v="E15FD9C48A650800FFFFFFFF"/>
    <s v="C7H752300AQHXNKKB"/>
    <n v="18911473782"/>
    <s v="00440152218142"/>
    <s v="00440152219042"/>
    <m/>
    <d v="2018-04-26T00:00:00"/>
    <s v="Yes"/>
    <s v="Yes"/>
    <x v="0"/>
  </r>
  <r>
    <s v="Beijing"/>
    <s v="BEJSRTL209"/>
    <s v="Yes"/>
    <s v="CR"/>
    <s v="PCIe"/>
    <n v="3219820"/>
    <s v="439/R14/2"/>
    <s v="ICE18"/>
    <x v="1"/>
    <x v="32"/>
    <x v="21"/>
    <x v="1"/>
    <s v="No"/>
    <s v="No"/>
    <s v="4x"/>
    <s v="7560utt243smini.bj.intel.com"/>
    <s v="40209"/>
    <s v="E1DFBA0281640B00FFFFFFFF"/>
    <s v="C7H7513006VHXNKKM"/>
    <n v="13810430494"/>
    <s v="00440152217710"/>
    <s v="00440152218610"/>
    <n v="13260055830"/>
    <d v="2018-08-22T00:00:00"/>
    <s v="Yes"/>
    <s v="Yes"/>
    <x v="0"/>
  </r>
  <r>
    <s v="Beijing"/>
    <s v="BEJSRTL210"/>
    <s v="Yes"/>
    <s v="CR"/>
    <s v="PCIe"/>
    <n v="3219555"/>
    <s v="439/R8/1"/>
    <s v="ICE18"/>
    <x v="1"/>
    <x v="35"/>
    <x v="15"/>
    <x v="1"/>
    <s v="No"/>
    <s v="Yes"/>
    <s v="4x"/>
    <s v="bijsrtm012smini.bj.intel.com"/>
    <s v="40210"/>
    <s v="E1DF5A5909840700FFFFFFFF"/>
    <s v="C7H751300BDHXNKKN"/>
    <n v="18911124191"/>
    <s v="00440152262015"/>
    <s v="00440152262217"/>
    <n v="13167579171"/>
    <d v="2018-04-24T00:00:00"/>
    <s v="Yes"/>
    <s v="Yes"/>
    <x v="0"/>
  </r>
  <r>
    <s v="Beijing"/>
    <s v="BEJSRTL211"/>
    <s v="Yes"/>
    <s v="CR"/>
    <s v="PCIe"/>
    <n v="3219816"/>
    <s v="439/R14/6"/>
    <s v="ICE18"/>
    <x v="0"/>
    <x v="26"/>
    <x v="14"/>
    <x v="1"/>
    <s v="No"/>
    <s v="Yes"/>
    <s v="4x"/>
    <s v="7560utt235smini.bj.intel.com"/>
    <s v="40211"/>
    <s v="E15FC9A6A6500800FFFFFFFF"/>
    <s v="C7H752300DMHXNKK5"/>
    <n v="18911477914"/>
    <s v="00440152262016"/>
    <s v="00440152262218"/>
    <m/>
    <d v="2018-04-27T00:00:00"/>
    <s v="Yes"/>
    <s v="Yes"/>
    <x v="0"/>
  </r>
  <r>
    <s v="Beijing"/>
    <s v="BEJSRTL212"/>
    <s v="Yes"/>
    <s v="CR"/>
    <s v="PCIe"/>
    <n v="3219925"/>
    <s v="459/R42/8"/>
    <s v="ICE18"/>
    <x v="0"/>
    <x v="31"/>
    <x v="6"/>
    <x v="1"/>
    <s v="No"/>
    <s v="No"/>
    <s v="4x"/>
    <s v="7560utt175smini.bj.intel.com"/>
    <s v="40212"/>
    <s v="E15FB96E02E10A00FFFFFFFF"/>
    <s v="C7H751301AGHXNKKM"/>
    <n v="13810872517"/>
    <s v="00440152262017"/>
    <s v="00440152262219"/>
    <m/>
    <d v="2018-03-28T00:00:00"/>
    <s v="Yes"/>
    <s v="Yes"/>
    <x v="0"/>
  </r>
  <r>
    <s v="Beijing"/>
    <s v="BEJSRTL213"/>
    <s v="Yes"/>
    <s v="CR"/>
    <s v="PCIe"/>
    <n v="3219814"/>
    <s v="439/R32/3"/>
    <s v="ICE18"/>
    <x v="1"/>
    <x v="28"/>
    <x v="18"/>
    <x v="1"/>
    <s v="No"/>
    <s v="No"/>
    <s v="Yes"/>
    <s v="bejsrtm009smini.bj.intel.com"/>
    <s v="40213"/>
    <s v="E15FF95ACF360800FFFFFFFF"/>
    <s v="C7H752300C0HXNKKV"/>
    <n v="13800001335"/>
    <s v="00440152219468"/>
    <s v="00440152264258"/>
    <n v="13800001331"/>
    <d v="2018-07-06T00:00:00"/>
    <s v="Yes"/>
    <s v="Yes"/>
    <x v="0"/>
  </r>
  <r>
    <s v="Beijing"/>
    <s v="BEJSRTL214"/>
    <s v="Yes"/>
    <s v="Pre-INT/CEB"/>
    <s v="PCIe"/>
    <n v="3219857"/>
    <s v="439/R14/1"/>
    <s v="ICE18"/>
    <x v="0"/>
    <x v="31"/>
    <x v="0"/>
    <x v="1"/>
    <s v="No"/>
    <s v="No"/>
    <s v="4x"/>
    <s v="bejsrtm005smini.bj.intel.com"/>
    <s v="40214"/>
    <s v="E15FE9B679F50A00FFFFFFFF"/>
    <s v="C7H752300CPHXNKK6"/>
    <n v="13800001326"/>
    <s v="00440152218015"/>
    <s v="00440152218915"/>
    <m/>
    <d v="2018-04-25T00:00:00"/>
    <s v="Yes"/>
    <s v="Yes"/>
    <x v="0"/>
  </r>
  <r>
    <s v="Beijing"/>
    <s v="BEJSRTL215"/>
    <s v="Yes"/>
    <s v="Daily(SEB)"/>
    <s v="PCIe"/>
    <n v="3219808"/>
    <s v="459/R36/4"/>
    <s v="ICE18"/>
    <x v="0"/>
    <x v="31"/>
    <x v="0"/>
    <x v="1"/>
    <s v="No"/>
    <s v="No"/>
    <s v="4x"/>
    <s v="7560utt175smini.bj.intel.com"/>
    <s v="40215"/>
    <s v="E15FE962051E0F00FFFFFFFF"/>
    <s v="C7H75130191HXNKK5"/>
    <n v="13810286441"/>
    <s v="00440152262018"/>
    <s v="00440152262220"/>
    <m/>
    <d v="2018-03-28T00:00:00"/>
    <s v="Yes"/>
    <s v="Yes"/>
    <x v="0"/>
  </r>
  <r>
    <s v="Beijing"/>
    <s v="BEJSRTL216"/>
    <s v="Yes"/>
    <s v="Daily(SEB)"/>
    <s v="PCIe"/>
    <n v="2794224"/>
    <s v="439/R14/5"/>
    <s v="ICE18"/>
    <x v="1"/>
    <x v="29"/>
    <x v="19"/>
    <x v="1"/>
    <s v="No"/>
    <s v="Yes"/>
    <s v="4x"/>
    <s v="bejsrtm001smini.bj.intel.com"/>
    <s v="40216"/>
    <s v="E15F49B5F60D0800FFFFFFFF"/>
    <s v="C7H751301B9HXNKKR"/>
    <n v="18010341443"/>
    <s v="00440152218011"/>
    <s v="00440152218911"/>
    <n v="13910409544"/>
    <m/>
    <s v="Yes"/>
    <s v="Yes"/>
    <x v="0"/>
  </r>
  <r>
    <s v="Beijing"/>
    <s v="BEJSRTL217"/>
    <s v="Yes"/>
    <s v="CR"/>
    <s v="PCIe"/>
    <n v="3219852"/>
    <s v="439/R13/2"/>
    <s v="ICE18"/>
    <x v="0"/>
    <x v="26"/>
    <x v="14"/>
    <x v="1"/>
    <s v="Yes"/>
    <s v="Yes"/>
    <s v="No"/>
    <e v="#N/A"/>
    <m/>
    <s v="E1DF6A9FC0840500FFFFFFFF"/>
    <s v="C7H75130067HXNKK9"/>
    <n v="17310493075"/>
    <s v="00440152218140"/>
    <s v="00440152219040"/>
    <m/>
    <d v="2018-05-17T00:00:00"/>
    <s v="Yes"/>
    <s v="Yes"/>
    <x v="0"/>
  </r>
  <r>
    <s v="Beijing"/>
    <s v="BEJSRTL218"/>
    <s v="Yes"/>
    <s v="Daily(SEB)"/>
    <s v="PCIe"/>
    <n v="3219847"/>
    <s v="439/R8/4"/>
    <s v="ICE18"/>
    <x v="0"/>
    <x v="36"/>
    <x v="14"/>
    <x v="1"/>
    <s v="No"/>
    <s v="No"/>
    <s v="Yes"/>
    <s v="7560utt277smini.bj.intel.com"/>
    <s v="40218"/>
    <s v="E1DFAA5E3A080300FFFFFFFF"/>
    <s v="C7H7513012AHXNKKH"/>
    <n v="18900670336"/>
    <s v="00440152219596"/>
    <s v="00440152264386"/>
    <m/>
    <m/>
    <s v="Yes"/>
    <s v="Yes"/>
    <x v="0"/>
  </r>
  <r>
    <s v="Beijing"/>
    <s v="BEJSRTL219"/>
    <s v="Yes"/>
    <s v="Daily(SEB)"/>
    <s v="PCIe"/>
    <n v="3220060"/>
    <s v="439/R28/4"/>
    <s v="ICE18"/>
    <x v="1"/>
    <x v="37"/>
    <x v="19"/>
    <x v="1"/>
    <s v="No"/>
    <s v="No"/>
    <s v="Yes"/>
    <s v="7560utt277smini.bj.intel.com"/>
    <s v="40219"/>
    <s v="E15FE938476A0800FFFFFFFF"/>
    <s v="C7H752300AUHXNKK7"/>
    <n v="18900670307"/>
    <s v="00440152219655"/>
    <s v="00440152264445"/>
    <n v="13800001326"/>
    <d v="2018-07-06T00:00:00"/>
    <s v="Yes"/>
    <s v="Yes"/>
    <x v="0"/>
  </r>
  <r>
    <s v="Beijing"/>
    <s v="BEJSRTL220"/>
    <s v="Yes"/>
    <s v="other site"/>
    <s v="PCIe"/>
    <n v="3220048"/>
    <s v="459/R39/7"/>
    <s v="ICE18"/>
    <x v="0"/>
    <x v="31"/>
    <x v="0"/>
    <x v="1"/>
    <s v="No"/>
    <s v="No"/>
    <s v="4x"/>
    <s v="bejsrtm007smini.bj.intel.com"/>
    <s v="40220"/>
    <s v="E15F29B106470F00FFFFFFFF"/>
    <s v="C7H752300B7HXNKKR"/>
    <n v="13911711495"/>
    <s v="00440152218060"/>
    <s v="00440152218960"/>
    <m/>
    <d v="2018-04-26T00:00:00"/>
    <s v="Yes"/>
    <s v="Yes"/>
    <x v="0"/>
  </r>
  <r>
    <s v="Beijing"/>
    <s v="BEJSRTL221"/>
    <s v="Yes"/>
    <s v="Pre-INT/CEB"/>
    <s v="PCIe"/>
    <n v="2794226"/>
    <s v="439/R13/6"/>
    <s v="ICE18"/>
    <x v="0"/>
    <x v="31"/>
    <x v="0"/>
    <x v="1"/>
    <s v="No"/>
    <s v="No"/>
    <s v="4x"/>
    <s v="bejsrtm007smini.bj.intel.com"/>
    <s v="40221"/>
    <s v="E1DF3A5955860700FFFFFFFF"/>
    <s v="C7H7513008QHXNKKL"/>
    <n v="13810561823"/>
    <s v="00440152219654"/>
    <s v="00440152264444"/>
    <m/>
    <d v="2018-04-24T00:00:00"/>
    <s v="Yes"/>
    <s v="Yes"/>
    <x v="0"/>
  </r>
  <r>
    <s v="Beijing"/>
    <s v="BEJSRTL222"/>
    <s v="Yes"/>
    <s v="CR"/>
    <s v="PCIe"/>
    <n v="2794386"/>
    <s v="439/R13/4"/>
    <s v="ICE18"/>
    <x v="0"/>
    <x v="31"/>
    <x v="0"/>
    <x v="1"/>
    <s v="Yes"/>
    <s v="No"/>
    <s v="4x"/>
    <e v="#N/A"/>
    <m/>
    <s v="E1DFCA96F6550F00FFFFFFFF"/>
    <s v="C7H751300A6HXNKKY"/>
    <n v="13810788923"/>
    <m/>
    <m/>
    <m/>
    <d v="2018-05-17T00:00:00"/>
    <s v="Yes"/>
    <s v="Yes"/>
    <x v="0"/>
  </r>
  <r>
    <s v="Beijing"/>
    <s v="BEJSRTL224"/>
    <s v="Yes"/>
    <s v="Pre-INT/CEB"/>
    <s v="PCIe"/>
    <n v="3219754"/>
    <s v="439/R13/6"/>
    <s v="ICE18"/>
    <x v="1"/>
    <x v="32"/>
    <x v="9"/>
    <x v="1"/>
    <s v="No"/>
    <s v="No"/>
    <s v="4x"/>
    <s v="bejsrtm010smini.bj.intel.com"/>
    <s v="40224"/>
    <s v="E1DFCA80771E0C00FFFFFFFF"/>
    <s v="C7H7513007UHXNKKK"/>
    <n v="13811080285"/>
    <s v="00440152219597"/>
    <s v="00440152264387"/>
    <n v="13260033301"/>
    <d v="2018-08-11T00:00:00"/>
    <s v="Yes"/>
    <s v="Yes"/>
    <x v="0"/>
  </r>
  <r>
    <s v="Beijing"/>
    <s v="BEJSRTL225"/>
    <s v="Yes"/>
    <s v="Daily(SEB)"/>
    <s v="PCIe"/>
    <n v="3219697"/>
    <s v="439/R13/5"/>
    <s v="ICE18"/>
    <x v="1"/>
    <x v="29"/>
    <x v="19"/>
    <x v="1"/>
    <s v="No"/>
    <s v="Yes"/>
    <s v="4x"/>
    <s v="bejsrtm001smini.bj.intel.com"/>
    <s v="40225"/>
    <s v="E1DF2A7541710C00FFFFFFFF"/>
    <s v="C7H75130156HXNKKC"/>
    <n v="18010341445"/>
    <s v="00440152262020"/>
    <s v="00440152262222"/>
    <n v="13810595890"/>
    <d v="2018-04-07T00:00:00"/>
    <s v="Yes"/>
    <s v="Yes"/>
    <x v="0"/>
  </r>
  <r>
    <s v="Beijing"/>
    <s v="BEJSRTL226"/>
    <s v="Yes"/>
    <s v="CR"/>
    <s v="PCIe"/>
    <n v="3219869"/>
    <s v="439/R12/2"/>
    <s v="ICE18"/>
    <x v="0"/>
    <x v="31"/>
    <x v="0"/>
    <x v="9"/>
    <s v="Yes"/>
    <s v="No"/>
    <s v="4x"/>
    <e v="#N/A"/>
    <m/>
    <s v="E1DF7A9F563B0E00FFFFFFFF"/>
    <s v="C7H7513006EHXNKK2"/>
    <n v="13811021835"/>
    <s v="00440152218093"/>
    <s v="00440152218993"/>
    <m/>
    <d v="2018-05-17T00:00:00"/>
    <s v="Yes"/>
    <s v="Yes"/>
    <x v="0"/>
  </r>
  <r>
    <s v="Beijing"/>
    <s v="BEJSRTL382"/>
    <s v="Yes"/>
    <s v="Weekly(UTC)"/>
    <s v="PCIe"/>
    <n v="3220317"/>
    <s v="439/R2/2"/>
    <s v="ICE18"/>
    <x v="0"/>
    <x v="34"/>
    <x v="4"/>
    <x v="1"/>
    <s v="No"/>
    <s v="No"/>
    <s v="4x"/>
    <s v="7560utt275smini.bj.intel.com"/>
    <s v="40382"/>
    <s v="E15FD8F69B0C1000FFFFFFFF"/>
    <s v="C7H749700BFHXNKKT"/>
    <n v="18612498409"/>
    <s v="00440152262021"/>
    <s v="00440152262223"/>
    <m/>
    <d v="2018-04-26T00:00:00"/>
    <s v="Yes"/>
    <s v="Yes"/>
    <x v="0"/>
  </r>
  <r>
    <s v="Beijing"/>
    <s v="BEJSRTL228"/>
    <s v="Yes"/>
    <s v="Pre-INT/CEB"/>
    <s v="PCIe"/>
    <n v="3220309"/>
    <s v="439/R6/1"/>
    <s v="ICE18"/>
    <x v="0"/>
    <x v="31"/>
    <x v="0"/>
    <x v="1"/>
    <s v="No"/>
    <s v="No"/>
    <s v="4x"/>
    <s v="bejsrtm005smini.bj.intel.com"/>
    <s v="40228"/>
    <s v="E15FF9CE0D030800FFFFFFFF"/>
    <s v="C7H752300CUHXNKK1"/>
    <n v="13810396281"/>
    <s v="00440152262022"/>
    <s v="00440152262224"/>
    <m/>
    <d v="2018-04-23T00:00:00"/>
    <s v="Yes"/>
    <s v="Yes"/>
    <x v="0"/>
  </r>
  <r>
    <s v="Beijing"/>
    <s v="BEJSRTL229"/>
    <s v="Yes"/>
    <s v="Pre-INT/CEB"/>
    <s v="PCIe"/>
    <n v="3220229"/>
    <s v="459/R42/3"/>
    <s v="ICE18"/>
    <x v="1"/>
    <x v="32"/>
    <x v="9"/>
    <x v="1"/>
    <s v="No"/>
    <s v="No"/>
    <s v="4x"/>
    <s v="7560utt243smini.bj.intel.com"/>
    <s v="40229"/>
    <s v="E15F2981A5E40A00FFFFFFFF"/>
    <s v="C7H7523008RHXNKKG"/>
    <n v="13810825702"/>
    <s v="00440152262023"/>
    <s v="00440152262225"/>
    <n v="13121576971"/>
    <d v="2018-08-22T00:00:00"/>
    <s v="Yes"/>
    <s v="Yes"/>
    <x v="0"/>
  </r>
  <r>
    <s v="Beijing"/>
    <s v="BEJSRTL230"/>
    <s v="No"/>
    <s v="Daily(SEB)"/>
    <s v="PCIe"/>
    <n v="3220166"/>
    <s v="439/R11/4"/>
    <s v="ICE18"/>
    <x v="1"/>
    <x v="29"/>
    <x v="19"/>
    <x v="1"/>
    <s v="No"/>
    <s v="Yes"/>
    <s v="NA"/>
    <s v="bejsrtm001smini.bj.intel.com"/>
    <s v="40230"/>
    <s v="E1DF1970BABC0A00FFFFFFFF"/>
    <s v="C7H75130171HXNKKB"/>
    <n v="18010341446"/>
    <s v="00440152262024"/>
    <s v="00440152262226"/>
    <n v="13810670535"/>
    <d v="2018-08-22T00:00:00"/>
    <s v="Yes"/>
    <s v="Yes"/>
    <x v="0"/>
  </r>
  <r>
    <s v="Beijing"/>
    <s v="BEJSRTL231"/>
    <s v="Yes"/>
    <s v="Daily(SEB)"/>
    <s v="PCIe"/>
    <n v="3220151"/>
    <s v="439/R28/1"/>
    <s v="ICE18"/>
    <x v="0"/>
    <x v="36"/>
    <x v="13"/>
    <x v="1"/>
    <s v="No"/>
    <s v="No"/>
    <s v="Yes"/>
    <s v="7560utt277smini.bj.intel.com"/>
    <s v="40231"/>
    <s v="E1DFCA223D210B00FFFFFFFF"/>
    <s v="C7H751300ARHXNKKD"/>
    <n v="18900670344"/>
    <s v="00440152262025"/>
    <s v="00440152262227"/>
    <m/>
    <d v="2018-04-24T00:00:00"/>
    <s v="Yes"/>
    <s v="Yes"/>
    <x v="0"/>
  </r>
  <r>
    <s v="Beijing"/>
    <s v="BEJSRTL232"/>
    <s v="Yes"/>
    <s v="Daily(SEB)"/>
    <s v="PCIe"/>
    <n v="3220239"/>
    <s v="439/R2/2"/>
    <s v="ICE18"/>
    <x v="0"/>
    <x v="26"/>
    <x v="14"/>
    <x v="1"/>
    <s v="No"/>
    <s v="Yes"/>
    <s v="4x"/>
    <s v="bejsrtm007smini.bj.intel.com"/>
    <s v="40232"/>
    <s v="E1DFDA10AB310B00FFFFFFFF"/>
    <s v="C7H7513008YHXNKKC"/>
    <n v="13381264537"/>
    <s v="00440152262026"/>
    <s v="00440152262228"/>
    <m/>
    <d v="2018-06-01T00:00:00"/>
    <s v="Yes"/>
    <s v="Yes"/>
    <x v="0"/>
  </r>
  <r>
    <s v="Beijing"/>
    <s v="BEJSRTL233"/>
    <s v="Yes"/>
    <s v="Daily(SEB)"/>
    <s v="PCIe"/>
    <n v="3220235"/>
    <s v="439/R8/2"/>
    <s v="ICE18"/>
    <x v="1"/>
    <x v="29"/>
    <x v="26"/>
    <x v="1"/>
    <s v="No"/>
    <s v="Yes"/>
    <s v="4x"/>
    <s v="bejsrtm001smini.bj.intel.com"/>
    <s v="40233"/>
    <s v="E1DF39D828960A00FFFFFFFF"/>
    <s v="C7H75130187HXNKK2"/>
    <n v="18010341440"/>
    <s v="00440152262027"/>
    <s v="00440152262229"/>
    <n v="13810723193"/>
    <m/>
    <s v="Yes"/>
    <s v="Yes"/>
    <x v="0"/>
  </r>
  <r>
    <s v="Beijing"/>
    <s v="BEJSRTL234"/>
    <s v="Yes"/>
    <s v="Pre-INT/CEB"/>
    <s v="PCIe"/>
    <n v="3219794"/>
    <s v="439/R8/2"/>
    <s v="ICE18"/>
    <x v="0"/>
    <x v="31"/>
    <x v="0"/>
    <x v="1"/>
    <s v="No"/>
    <s v="No"/>
    <s v="4x"/>
    <s v="7560utt276smini.bj.intel.com"/>
    <s v="40234"/>
    <s v="E1DF2A0D377B0400FFFFFFFF"/>
    <s v="C7H751300BFHXNKKL"/>
    <n v="13810420937"/>
    <s v="00440152219693"/>
    <s v="00440152264483"/>
    <m/>
    <d v="2018-06-01T00:00:00"/>
    <s v="Yes"/>
    <s v="Yes"/>
    <x v="0"/>
  </r>
  <r>
    <s v="Beijing"/>
    <s v="BEJSRTL235"/>
    <s v="Yes"/>
    <s v="CR"/>
    <s v="PCIe"/>
    <n v="3219971"/>
    <s v="439/R15/1"/>
    <s v="ICE18"/>
    <x v="0"/>
    <x v="31"/>
    <x v="0"/>
    <x v="1"/>
    <s v="No"/>
    <s v="No"/>
    <s v="4x"/>
    <s v="7560utt235smini.bj.intel.com"/>
    <s v="40235"/>
    <s v="E15FE85016300D00FFFFFFFF"/>
    <s v="C7H749700FLHXNKKA"/>
    <n v="13911453146"/>
    <s v="00440152280443"/>
    <s v="00440152262406"/>
    <m/>
    <d v="2018-04-25T00:00:00"/>
    <s v="Yes"/>
    <s v="Yes"/>
    <x v="0"/>
  </r>
  <r>
    <s v="Beijing"/>
    <s v="BEJSRTL236"/>
    <s v="Yes"/>
    <s v="Daily(SEB)"/>
    <s v="PCIe"/>
    <n v="3220116"/>
    <s v="439/R15/3"/>
    <s v="ICE18"/>
    <x v="0"/>
    <x v="31"/>
    <x v="0"/>
    <x v="1"/>
    <s v="No"/>
    <s v="No"/>
    <s v="4x"/>
    <s v="7560utt235smini.bj.intel.com"/>
    <s v="40236"/>
    <s v="E15FC890A5730B00FFFFFFFF"/>
    <s v="C7H749700CGHXNKKP"/>
    <n v="13810503573"/>
    <s v="00440152262028"/>
    <s v="00440152262230"/>
    <m/>
    <d v="2018-04-27T00:00:00"/>
    <s v="Yes"/>
    <s v="Yes"/>
    <x v="0"/>
  </r>
  <r>
    <s v="Beijing"/>
    <s v="BEJSRTL237"/>
    <s v="Yes"/>
    <s v="CR"/>
    <s v="PCIe"/>
    <n v="3220274"/>
    <s v="439/R10/1"/>
    <s v="ICE18"/>
    <x v="1"/>
    <x v="32"/>
    <x v="9"/>
    <x v="1"/>
    <s v="No"/>
    <s v="No"/>
    <s v="4x"/>
    <s v="7560utt127smini.bj.intel.com"/>
    <s v="40237"/>
    <s v="E15F29936C1F0F00FFFFFFFF"/>
    <s v="C7H752300CXHXNKKY"/>
    <n v="13810010441"/>
    <s v="00440152262029"/>
    <s v="00440152262231"/>
    <n v="13269667764"/>
    <d v="2018-04-25T00:00:00"/>
    <s v="Yes"/>
    <s v="Yes"/>
    <x v="0"/>
  </r>
  <r>
    <s v="Beijing"/>
    <s v="BEJSRTL238"/>
    <s v="Yes"/>
    <s v="Daily(SEB)"/>
    <s v="PCIe"/>
    <n v="3219846"/>
    <s v="439/R1/6"/>
    <s v="ICE18"/>
    <x v="1"/>
    <x v="30"/>
    <x v="24"/>
    <x v="1"/>
    <s v="No"/>
    <s v="No"/>
    <s v="4x"/>
    <s v="bijsrtm012smini.bj.intel.com"/>
    <s v="40238"/>
    <s v="E15F190770B20A00FFFFFFFF"/>
    <s v="C7H752300BEHXNKKJ"/>
    <n v="18515563967"/>
    <s v="00440152262031"/>
    <s v="00440152262233"/>
    <n v="13810830353"/>
    <d v="2018-04-23T00:00:00"/>
    <s v="Yes"/>
    <s v="Yes"/>
    <x v="0"/>
  </r>
  <r>
    <s v="Beijing"/>
    <s v="BEJSRTL239"/>
    <s v="Yes"/>
    <s v="Daily(SEB)"/>
    <s v="PCIe"/>
    <n v="3219861"/>
    <s v="439/R12/6"/>
    <s v="ICE18"/>
    <x v="0"/>
    <x v="36"/>
    <x v="13"/>
    <x v="1"/>
    <s v="No"/>
    <s v="No"/>
    <s v="Yes"/>
    <s v="7560utt277smini.bj.intel.com"/>
    <s v="40239"/>
    <s v="E1DFCAAACC3B0400FFFFFFFF"/>
    <s v="C7H751300ZFHXNKKN"/>
    <n v="18900670337"/>
    <s v="00440152262032"/>
    <s v="00440152262234"/>
    <m/>
    <m/>
    <s v="Yes"/>
    <s v="Yes"/>
    <x v="0"/>
  </r>
  <r>
    <s v="Beijing"/>
    <s v="BEJSRTL240"/>
    <s v="Yes"/>
    <s v="Pre-INT/CEB"/>
    <s v="PCIe"/>
    <n v="3219739"/>
    <s v="459/R42/5"/>
    <s v="ICE18"/>
    <x v="0"/>
    <x v="31"/>
    <x v="0"/>
    <x v="1"/>
    <s v="No"/>
    <s v="No"/>
    <s v="4x"/>
    <s v="bejsrtm008smini.bj.intel.com"/>
    <s v="40240"/>
    <s v="E1DFAAA843020B00FFFFFFFF"/>
    <s v="C7H751300B9HXNKKS"/>
    <n v="13811294872"/>
    <s v="00440152262033"/>
    <s v="00440152262235"/>
    <m/>
    <d v="2018-04-23T00:00:00"/>
    <s v="Yes"/>
    <s v="Yes"/>
    <x v="0"/>
  </r>
  <r>
    <s v="Beijing"/>
    <s v="BEJSRTL241"/>
    <s v="Yes"/>
    <s v="Daily(SEB)"/>
    <s v="PCIe"/>
    <n v="3219747"/>
    <s v="439/R12/4"/>
    <s v="ICE18"/>
    <x v="0"/>
    <x v="26"/>
    <x v="13"/>
    <x v="1"/>
    <s v="No"/>
    <s v="Yes"/>
    <s v="4x"/>
    <s v="7560utt235smini.bj.intel.com"/>
    <s v="40241"/>
    <s v="E15FB8A8632A1000FFFFFFFF"/>
    <s v="C7H749700FVHXNKK1"/>
    <n v="18911474634"/>
    <s v="00440152218115"/>
    <s v="00440152219015"/>
    <m/>
    <d v="2018-04-27T00:00:00"/>
    <s v="Yes"/>
    <s v="Yes"/>
    <x v="0"/>
  </r>
  <r>
    <s v="Beijing"/>
    <s v="BEJSRTL242"/>
    <s v="Yes"/>
    <s v="Pre-INT/CEB"/>
    <s v="PCIe"/>
    <n v="3219966"/>
    <s v="439/R8/5"/>
    <s v="ICE18"/>
    <x v="0"/>
    <x v="31"/>
    <x v="0"/>
    <x v="1"/>
    <s v="No"/>
    <s v="No"/>
    <s v="4x"/>
    <s v="bejsrtm007smini.bj.intel.com"/>
    <s v="40242"/>
    <s v="E1DFEA6AD0690300FFFFFFFF"/>
    <s v="C7H751300BCHXNKKP"/>
    <n v="13810339102"/>
    <s v="00440152262034"/>
    <s v="00440152262236"/>
    <m/>
    <d v="2018-04-25T00:00:00"/>
    <s v="Yes"/>
    <s v="Yes"/>
    <x v="0"/>
  </r>
  <r>
    <s v="Beijing"/>
    <s v="BEJSRTL244"/>
    <s v="Yes"/>
    <s v="Pre-INT/CEB"/>
    <s v="PCIe"/>
    <n v="3220091"/>
    <s v="439/R13/3"/>
    <s v="ICE18"/>
    <x v="1"/>
    <x v="27"/>
    <x v="17"/>
    <x v="1"/>
    <s v="No"/>
    <s v="No"/>
    <s v="4x"/>
    <s v="bejsrtm014smini.bj.intel.com"/>
    <s v="40244"/>
    <s v="E15FE938FDD60D00FFFFFFFF"/>
    <s v="C7H7523008WHXNKKB"/>
    <n v="13811593751"/>
    <s v="00440152219460"/>
    <s v="00440152264250"/>
    <n v="13810012904"/>
    <d v="2018-08-22T00:00:00"/>
    <s v="Yes"/>
    <s v="Yes"/>
    <x v="0"/>
  </r>
  <r>
    <s v="Beijing"/>
    <s v="BEJSRTL246"/>
    <s v="Yes"/>
    <s v="Weekly(UTC)"/>
    <s v="PCIe"/>
    <n v="3220198"/>
    <s v="439/R8/6"/>
    <s v="ICE18"/>
    <x v="0"/>
    <x v="34"/>
    <x v="5"/>
    <x v="1"/>
    <s v="No"/>
    <s v="No"/>
    <s v="4x"/>
    <s v="bejsrtm004smini.bj.intel.com"/>
    <s v="40246"/>
    <s v="E15FE912DCF50A00FFFFFFFF"/>
    <s v="C7H752300AXHXNKK4"/>
    <n v="13121810391"/>
    <s v="00440152262035"/>
    <s v="00440152262237"/>
    <m/>
    <d v="2018-04-26T00:00:00"/>
    <s v="Yes"/>
    <s v="Yes"/>
    <x v="0"/>
  </r>
  <r>
    <s v="Beijing"/>
    <s v="BEJSRTL247"/>
    <s v="Yes"/>
    <s v="Pre-INT/CEB"/>
    <s v="PCIe"/>
    <n v="3219890"/>
    <s v="459/R40/5"/>
    <s v="ICE18"/>
    <x v="0"/>
    <x v="31"/>
    <x v="0"/>
    <x v="1"/>
    <s v="No"/>
    <s v="No"/>
    <s v="4x"/>
    <s v="bejsrtm007smini.bj.intel.com"/>
    <s v="40247"/>
    <s v="E15F396575100F00FFFFFFFF"/>
    <s v="C7H752300CSHXNKK3"/>
    <n v="13810419470"/>
    <s v="00440152262036"/>
    <s v="00440152262238"/>
    <m/>
    <d v="2018-04-23T00:00:00"/>
    <s v="Yes"/>
    <s v="Yes"/>
    <x v="0"/>
  </r>
  <r>
    <s v="Beijing"/>
    <s v="BEJSRTL248"/>
    <s v="Yes"/>
    <s v="Daily(SEB)"/>
    <s v="PCIe"/>
    <n v="3219928"/>
    <s v="439/R10/2"/>
    <s v="ICE18"/>
    <x v="1"/>
    <x v="29"/>
    <x v="26"/>
    <x v="1"/>
    <s v="No"/>
    <s v="Yes"/>
    <s v="4x"/>
    <s v="bejsrtm001smini.bj.intel.com"/>
    <s v="40248"/>
    <s v="E15FD9CE6EC50A00FFFFFFFF"/>
    <s v="C7H752300B1HXNKKX"/>
    <n v="18910224601"/>
    <s v="00440152280445"/>
    <s v="00440152262420"/>
    <n v="13811011967"/>
    <d v="2018-04-24T00:00:00"/>
    <s v="Yes"/>
    <s v="Yes"/>
    <x v="0"/>
  </r>
  <r>
    <s v="Beijing"/>
    <s v="BEJSRTL249"/>
    <s v="No"/>
    <s v="Daily(SEB)"/>
    <s v="PCIe"/>
    <n v="3220330"/>
    <s v="439/R9/5"/>
    <s v="ICE18"/>
    <x v="1"/>
    <x v="25"/>
    <x v="16"/>
    <x v="1"/>
    <s v="No"/>
    <s v="Yes"/>
    <s v="NA"/>
    <s v="bejsrtm002smini.bj.intel.com"/>
    <s v="40249"/>
    <s v="E1DF299CEA050800FFFFFFFF"/>
    <s v="C7H751301AYHXNKK5"/>
    <n v="13810076614"/>
    <s v="00440152262037"/>
    <s v="00440152262239"/>
    <n v="18911175647"/>
    <d v="2018-08-22T00:00:00"/>
    <s v="Yes"/>
    <s v="Yes"/>
    <x v="0"/>
  </r>
  <r>
    <s v="Beijing"/>
    <s v="BEJSRTL250"/>
    <s v="Yes"/>
    <s v="CR"/>
    <s v="PCIe"/>
    <n v="3219995"/>
    <s v="439/R18/4"/>
    <s v="ICE18"/>
    <x v="0"/>
    <x v="31"/>
    <x v="0"/>
    <x v="1"/>
    <s v="No"/>
    <s v="No"/>
    <s v="4x"/>
    <s v="bejsrtm004smini.bj.intel.com"/>
    <s v="40250"/>
    <s v="E15FE9DC81070800FFFFFFFF"/>
    <s v="C7H752300CFHXNKKE"/>
    <n v="13910626914"/>
    <s v="00440152262038"/>
    <s v="00440152262240"/>
    <m/>
    <d v="2018-04-25T00:00:00"/>
    <s v="Yes"/>
    <s v="Yes"/>
    <x v="0"/>
  </r>
  <r>
    <s v="Beijing"/>
    <s v="BEJSRTL251"/>
    <s v="Yes"/>
    <s v="Pre-INT/CEB"/>
    <s v="PCIe"/>
    <n v="3219826"/>
    <s v="439/R4/6"/>
    <s v="ICE18"/>
    <x v="1"/>
    <x v="32"/>
    <x v="9"/>
    <x v="1"/>
    <s v="No"/>
    <s v="No"/>
    <s v="4x"/>
    <s v="7560utt127smini.bj.intel.com"/>
    <s v="40251"/>
    <s v="E15FE94296F60A00FFFFFFFF"/>
    <s v="C7H752300CEHXNKKF"/>
    <n v="13810500253"/>
    <s v="00440152262039"/>
    <s v="00440152262241"/>
    <n v="18514731180"/>
    <d v="2018-08-22T00:00:00"/>
    <s v="Yes"/>
    <s v="Yes"/>
    <x v="0"/>
  </r>
  <r>
    <s v="Beijing"/>
    <s v="BEJSRTL252"/>
    <s v="Yes"/>
    <s v="Daily(SEB)"/>
    <s v="PCIe"/>
    <n v="3219854"/>
    <s v="439/R11/6"/>
    <s v="ICE18"/>
    <x v="1"/>
    <x v="33"/>
    <x v="1"/>
    <x v="1"/>
    <s v="No"/>
    <s v="No"/>
    <s v="4x"/>
    <s v="bijsrtm012smini.bj.intel.com"/>
    <s v="40252"/>
    <s v="E15F29EDA43F0E00FFFFFFFF"/>
    <s v="C7H75230098HXNKKW"/>
    <n v="18612650843"/>
    <s v="00440152262040"/>
    <s v="00440152262242"/>
    <n v="18611412875"/>
    <d v="2018-08-22T00:00:00"/>
    <s v="Yes"/>
    <s v="Yes"/>
    <x v="0"/>
  </r>
  <r>
    <s v="Beijing"/>
    <s v="BEJSRTL253"/>
    <s v="Yes"/>
    <s v="Pre-INT/CEB"/>
    <s v="PCIe"/>
    <n v="3120169"/>
    <s v="439/R15/6"/>
    <s v="ICE18"/>
    <x v="0"/>
    <x v="31"/>
    <x v="0"/>
    <x v="1"/>
    <s v="No"/>
    <s v="No"/>
    <s v="4x"/>
    <s v="bejsrtm006smini.bj.intel.com"/>
    <s v="40253"/>
    <s v="E1DF091EAEE40A00FFFFFFFF"/>
    <s v="C7H7513018RHXNKKJ"/>
    <n v="13811021597"/>
    <s v="00440152262041"/>
    <s v="00440152262243"/>
    <m/>
    <m/>
    <s v="Yes"/>
    <s v="Yes"/>
    <x v="0"/>
  </r>
  <r>
    <s v="Beijing"/>
    <s v="BEJSRTL254"/>
    <s v="Yes"/>
    <s v="CR"/>
    <s v="PCIe"/>
    <n v="3219797"/>
    <s v="439/R15/5"/>
    <s v="ICE18"/>
    <x v="1"/>
    <x v="35"/>
    <x v="15"/>
    <x v="1"/>
    <s v="No"/>
    <s v="Yes"/>
    <s v="4x"/>
    <s v="7560utt243smini.bj.intel.com"/>
    <s v="40254"/>
    <s v="E15FE956684A0F00FFFFFFFF"/>
    <s v="C7H75230085HXNKK2"/>
    <n v="18911124257"/>
    <s v="00440152262042"/>
    <s v="00440152262244"/>
    <n v="17601642057"/>
    <m/>
    <s v="Yes"/>
    <s v="Yes"/>
    <x v="0"/>
  </r>
  <r>
    <s v="Beijing"/>
    <s v="BEJSRTL255"/>
    <s v="Yes"/>
    <s v="Pre-INT/CEB"/>
    <s v="PCIe"/>
    <n v="3219848"/>
    <s v="439/R15/3"/>
    <s v="ICE18"/>
    <x v="0"/>
    <x v="31"/>
    <x v="0"/>
    <x v="1"/>
    <s v="No"/>
    <s v="No"/>
    <s v="4x"/>
    <s v="bejsrtm007smini.bj.intel.com"/>
    <s v="40255"/>
    <s v="E1DF5AB9EAA90500FFFFFFFF"/>
    <s v="C7H75130091HXNKK6"/>
    <n v="13810419375"/>
    <s v="00440152218065"/>
    <s v="00440152218965"/>
    <m/>
    <d v="2018-04-24T00:00:00"/>
    <s v="Yes"/>
    <s v="Yes"/>
    <x v="0"/>
  </r>
  <r>
    <s v="Beijing"/>
    <s v="BEJSRTL256"/>
    <s v="Yes"/>
    <s v="Pre-INT/CEB"/>
    <s v="PCIe"/>
    <n v="3219959"/>
    <s v="439/R15/6"/>
    <s v="ICE18"/>
    <x v="0"/>
    <x v="31"/>
    <x v="0"/>
    <x v="1"/>
    <s v="No"/>
    <s v="No"/>
    <s v="4x"/>
    <s v="bejsrtm007smini.bj.intel.com"/>
    <s v="40256"/>
    <s v="E15F1981D5380800FFFFFFFF"/>
    <s v="C7H752300B6HXNKKS"/>
    <n v="13810419731"/>
    <s v="00440152262052"/>
    <s v="00440152262254"/>
    <m/>
    <d v="2018-06-01T00:00:00"/>
    <s v="Yes"/>
    <s v="Yes"/>
    <x v="0"/>
  </r>
  <r>
    <s v="Beijing"/>
    <s v="BEJSRTL257"/>
    <s v="Yes"/>
    <s v="Weekly(UTC)"/>
    <s v="PCIe"/>
    <n v="3219882"/>
    <s v="439/R2/8"/>
    <s v="ICE18"/>
    <x v="0"/>
    <x v="31"/>
    <x v="6"/>
    <x v="1"/>
    <s v="No"/>
    <s v="No"/>
    <s v="4x"/>
    <s v="7560utt275smini.bj.intel.com"/>
    <s v="40257"/>
    <s v="E15FB808043B1000FFFFFFFF"/>
    <s v="C7H749700FTHXNKK3"/>
    <n v="13810863571"/>
    <s v="00440152218137"/>
    <s v="00440152219037"/>
    <m/>
    <d v="2018-04-26T00:00:00"/>
    <s v="Yes"/>
    <s v="Yes"/>
    <x v="0"/>
  </r>
  <r>
    <s v="Beijing"/>
    <s v="BEJSRTL258"/>
    <s v="Yes"/>
    <s v="CR"/>
    <s v="PCIe"/>
    <n v="3299697"/>
    <s v="439/R10/7"/>
    <s v="ICE18"/>
    <x v="1"/>
    <x v="30"/>
    <x v="24"/>
    <x v="1"/>
    <s v="No"/>
    <s v="No"/>
    <s v="4x"/>
    <s v="7560utt127smini.bj.intel.com"/>
    <s v="40258"/>
    <s v="E1DF39AE41570800FFFFFFFF"/>
    <s v="C7H75130194HXNKK2"/>
    <n v="18519336220"/>
    <s v="00440152262043"/>
    <s v="00440152262245"/>
    <n v="13811927923"/>
    <d v="2018-08-22T00:00:00"/>
    <s v="Yes"/>
    <s v="Yes"/>
    <x v="0"/>
  </r>
  <r>
    <s v="Beijing"/>
    <s v="BEJSRTL259"/>
    <s v="Yes"/>
    <s v="Weekly(UTC)"/>
    <s v="PCIe"/>
    <n v="3219895"/>
    <s v="439/R15/2"/>
    <s v="ICE18"/>
    <x v="0"/>
    <x v="31"/>
    <x v="0"/>
    <x v="1"/>
    <s v="No"/>
    <s v="No"/>
    <s v="4x"/>
    <s v="7560utt275smini.bj.intel.com"/>
    <s v="40259"/>
    <s v="E15FA876653C0D00FFFFFFFF"/>
    <s v="C7H749700DMHXNKKF"/>
    <n v="13810273942"/>
    <s v="00440152262044"/>
    <s v="00440152262246"/>
    <m/>
    <d v="2018-04-26T00:00:00"/>
    <s v="Yes"/>
    <s v="Yes"/>
    <x v="0"/>
  </r>
  <r>
    <s v="Beijing"/>
    <s v="BEJSRTL260"/>
    <s v="Yes"/>
    <s v="Pre-INT/CEB"/>
    <s v="PCIe"/>
    <n v="3120183"/>
    <s v="439/R10/7"/>
    <s v="ICE18"/>
    <x v="1"/>
    <x v="29"/>
    <x v="19"/>
    <x v="1"/>
    <s v="No"/>
    <s v="Yes"/>
    <s v="4x"/>
    <s v="bejsrtm009smini.bj.intel.com"/>
    <s v="40260"/>
    <s v="E15FC99E38C60A00FFFFFFFF"/>
    <s v="C7H752300B8HXNKKQ"/>
    <n v="13381264081"/>
    <s v="00440152262045"/>
    <s v="00440152262247"/>
    <n v="13810174249"/>
    <d v="2018-04-25T00:00:00"/>
    <s v="Yes"/>
    <s v="Yes"/>
    <x v="0"/>
  </r>
  <r>
    <s v="Beijing"/>
    <s v="BEJSRTL261"/>
    <s v="Yes"/>
    <s v="Pre-INT/CEB"/>
    <s v="PCIe"/>
    <n v="3299571"/>
    <s v="439/R15/1"/>
    <s v="ICE18"/>
    <x v="1"/>
    <x v="32"/>
    <x v="21"/>
    <x v="1"/>
    <s v="No"/>
    <s v="No"/>
    <s v="4x"/>
    <s v="bejsrtm010smini.bj.intel.com"/>
    <s v="40261"/>
    <s v="E15FC84A03581000FFFFFFFF"/>
    <s v="C7H749700BSHXNKKG"/>
    <n v="13810284045"/>
    <s v="00440152262046"/>
    <s v="00440152262248"/>
    <n v="13240180795"/>
    <d v="2018-04-26T00:00:00"/>
    <s v="Yes"/>
    <s v="Yes"/>
    <x v="0"/>
  </r>
  <r>
    <s v="Beijing"/>
    <s v="BEJSRTL262"/>
    <s v="Yes"/>
    <s v="Daily(SEB)"/>
    <s v="PCIe"/>
    <n v="3219955"/>
    <s v="439/R19/5"/>
    <s v="ICE18"/>
    <x v="0"/>
    <x v="31"/>
    <x v="22"/>
    <x v="1"/>
    <s v="No"/>
    <s v="No"/>
    <s v="4x"/>
    <s v="7560utt235smini.bj.intel.com"/>
    <s v="40262"/>
    <s v="E15F78BCCF0F0400FFFFFFFF"/>
    <s v="C7H749700CFHXNKKQ"/>
    <n v="13810432240"/>
    <s v="00440152262047"/>
    <s v="00440152262249"/>
    <m/>
    <d v="2018-04-27T00:00:00"/>
    <s v="Yes"/>
    <s v="Yes"/>
    <x v="0"/>
  </r>
  <r>
    <s v="Beijing"/>
    <s v="BEJSRTL263"/>
    <s v="Yes"/>
    <s v="Pre-INT/CEB"/>
    <s v="PCIe"/>
    <n v="3299368"/>
    <s v="439/R4/2"/>
    <s v="ICE18"/>
    <x v="0"/>
    <x v="31"/>
    <x v="0"/>
    <x v="1"/>
    <s v="No"/>
    <s v="No"/>
    <s v="4x"/>
    <s v="bejsrtm007smini.bj.intel.com"/>
    <s v="40263"/>
    <s v="E1DFCADC52401000FFFFFFFF"/>
    <s v="C7H7513012KHXNKK8"/>
    <n v="13810837135"/>
    <s v="00440152262048"/>
    <s v="00440152262250"/>
    <m/>
    <m/>
    <s v="Yes"/>
    <s v="Yes"/>
    <x v="0"/>
  </r>
  <r>
    <s v="Beijing"/>
    <s v="BEJSRTL264"/>
    <s v="Yes"/>
    <s v="Pre-INT/CEB"/>
    <s v="PCIe"/>
    <n v="3299380"/>
    <s v="439/R15/2"/>
    <s v="ICE18"/>
    <x v="1"/>
    <x v="32"/>
    <x v="9"/>
    <x v="1"/>
    <s v="No"/>
    <s v="No"/>
    <s v="4x"/>
    <s v="7560utt236smini.bj.intel.com"/>
    <s v="40264"/>
    <s v="E15F59652C530800FFFFFFFF"/>
    <s v="C7H7523007YHXNKKC"/>
    <n v="13810019974"/>
    <s v="00440152262049"/>
    <s v="00440152262251"/>
    <n v="18514507141"/>
    <d v="2018-08-22T00:00:00"/>
    <s v="Yes"/>
    <s v="Yes"/>
    <x v="0"/>
  </r>
  <r>
    <s v="Beijing"/>
    <s v="BEJSRTL265"/>
    <s v="Yes"/>
    <s v="Pre-INT/CEB"/>
    <s v="PCIe"/>
    <n v="3219841"/>
    <s v="439/R11/7"/>
    <s v="ICE18"/>
    <x v="0"/>
    <x v="31"/>
    <x v="0"/>
    <x v="1"/>
    <s v="No"/>
    <s v="No"/>
    <s v="4x"/>
    <s v="bejsrtm005smini.bj.intel.com"/>
    <s v="40265"/>
    <s v="E15FB85AAF2F0B00FFFFFFFF"/>
    <s v="C7H749700BHHXNKKR"/>
    <n v="13910697346"/>
    <s v="00440152262050"/>
    <s v="00440152262252"/>
    <m/>
    <d v="2018-06-01T00:00:00"/>
    <s v="Yes"/>
    <s v="Yes"/>
    <x v="0"/>
  </r>
  <r>
    <s v="Beijing"/>
    <s v="BEJSRTL266"/>
    <s v="Yes"/>
    <s v="CR"/>
    <s v="PCIe"/>
    <n v="3219976"/>
    <s v="439/R10/1"/>
    <s v="ICE18"/>
    <x v="1"/>
    <x v="32"/>
    <x v="9"/>
    <x v="1"/>
    <s v="No"/>
    <s v="No"/>
    <s v="4x"/>
    <s v="bejsrtm010smini.bj.intel.com"/>
    <s v="40266"/>
    <s v="E1DFAA600C6D0B00FFFFFFFF"/>
    <s v="C7H751300BGHXNKKK"/>
    <n v="13810465739"/>
    <s v="00440152262051"/>
    <s v="00440152262253"/>
    <n v="13121662781"/>
    <d v="2018-08-11T00:00:00"/>
    <s v="Yes"/>
    <s v="Yes"/>
    <x v="0"/>
  </r>
  <r>
    <s v="Beijing"/>
    <s v="BEJSRTL267"/>
    <s v="Yes"/>
    <s v="Weekly(UTC)"/>
    <s v="PCIe"/>
    <n v="3219979"/>
    <s v="439/R11/8"/>
    <s v="ICE18"/>
    <x v="0"/>
    <x v="26"/>
    <x v="14"/>
    <x v="1"/>
    <s v="No"/>
    <s v="Yes"/>
    <s v="4x"/>
    <s v="7560utt275smini.bj.intel.com"/>
    <s v="40267"/>
    <s v="E1DF39226FFC0A00FFFFFFFF"/>
    <s v="C7H751301BNHXNKKC"/>
    <n v="18910548934"/>
    <s v="00440152280423"/>
    <s v="00440152262408"/>
    <m/>
    <d v="2018-04-09T00:00:00"/>
    <s v="Yes"/>
    <s v="Yes"/>
    <x v="0"/>
  </r>
  <r>
    <s v="Beijing"/>
    <s v="BEJSRTL268"/>
    <s v="Yes"/>
    <s v="Pre-INT/CEB"/>
    <s v="PCIe"/>
    <n v="3219868"/>
    <s v="439/R16/3"/>
    <s v="ICE18"/>
    <x v="0"/>
    <x v="26"/>
    <x v="13"/>
    <x v="1"/>
    <s v="No"/>
    <s v="Yes"/>
    <s v="4x"/>
    <s v="bejsrtm006smini.bj.intel.com"/>
    <s v="40268"/>
    <s v="E1DFCA8222090300FFFFFFFF"/>
    <s v="C7H751300BNHXNKKD"/>
    <n v="18910224170"/>
    <s v="00440152262053"/>
    <s v="00440152262255"/>
    <m/>
    <d v="2018-06-01T00:00:00"/>
    <s v="Yes"/>
    <s v="Yes"/>
    <x v="0"/>
  </r>
  <r>
    <s v="Beijing"/>
    <s v="BEJSRTL270"/>
    <s v="Yes"/>
    <s v="Pre-INT/CEB"/>
    <s v="PCIe"/>
    <n v="3120210"/>
    <s v="439/R6/3"/>
    <s v="ICE18"/>
    <x v="0"/>
    <x v="26"/>
    <x v="13"/>
    <x v="1"/>
    <s v="No"/>
    <s v="Yes"/>
    <s v="4x"/>
    <s v="bejsrtm006smini.bj.intel.com"/>
    <s v="40270"/>
    <s v="E15FC9E63A9D0A00FFFFFFFF"/>
    <s v="C7H752300C3HXNKKS"/>
    <n v="13381264913"/>
    <s v="00440152262055"/>
    <s v="00440152262257"/>
    <m/>
    <d v="2018-06-01T00:00:00"/>
    <s v="Yes"/>
    <s v="Yes"/>
    <x v="0"/>
  </r>
  <r>
    <s v="Beijing"/>
    <s v="BEJSRTL514"/>
    <s v="Yes"/>
    <s v="Pre-INT/CEB"/>
    <s v="PCIe"/>
    <n v="3219964"/>
    <s v="459/R36/2"/>
    <s v="ICE18"/>
    <x v="1"/>
    <x v="30"/>
    <x v="24"/>
    <x v="1"/>
    <s v="No"/>
    <s v="No"/>
    <s v="4x"/>
    <s v="bejsrtm009smini.bj.intel.com"/>
    <s v="40514"/>
    <s v="E15FF93077080800FFFFFFFF"/>
    <s v="C7H752300BLHXNKKC"/>
    <n v="13051118761"/>
    <s v="00440152262056"/>
    <s v="00440152262258"/>
    <n v="13810857535"/>
    <d v="2018-04-25T00:00:00"/>
    <s v="Yes"/>
    <s v="Yes"/>
    <x v="0"/>
  </r>
  <r>
    <s v="Beijing"/>
    <s v="BEJSRTL272"/>
    <s v="Yes"/>
    <s v="CR"/>
    <s v="PCIe"/>
    <n v="3219994"/>
    <s v="439/R8/3"/>
    <s v="ICE18"/>
    <x v="0"/>
    <x v="26"/>
    <x v="14"/>
    <x v="1"/>
    <s v="No"/>
    <s v="Yes"/>
    <s v="4x"/>
    <s v="7560utt175smini.bj.intel.com"/>
    <s v="40272"/>
    <s v="E1DFEAC4920E0C00FFFFFFFF"/>
    <s v="C7H751300B4HXNKKX"/>
    <n v="18911473640"/>
    <s v="00440152262057"/>
    <s v="00440152262259"/>
    <m/>
    <d v="2018-04-28T00:00:00"/>
    <s v="Yes"/>
    <s v="Yes"/>
    <x v="0"/>
  </r>
  <r>
    <s v="Beijing"/>
    <s v="BEJSRTL274"/>
    <s v="Yes"/>
    <s v="Pre-INT/CEB"/>
    <s v="PCIe"/>
    <n v="3219851"/>
    <s v="439/R8/3"/>
    <s v="ICE18"/>
    <x v="0"/>
    <x v="26"/>
    <x v="14"/>
    <x v="1"/>
    <s v="No"/>
    <s v="Yes"/>
    <s v="4x"/>
    <s v="bejsrtm005smini.bj.intel.com"/>
    <s v="40274"/>
    <s v="E15FF99E58060800FFFFFFFF"/>
    <s v="C7H752300D1HXNKKR"/>
    <n v="13381264389"/>
    <s v="00440152262059"/>
    <s v="00440152262261"/>
    <m/>
    <d v="2018-04-24T00:00:00"/>
    <s v="Yes"/>
    <s v="Yes"/>
    <x v="0"/>
  </r>
  <r>
    <s v="Beijing"/>
    <s v="BEJSRTL275"/>
    <s v="No"/>
    <m/>
    <s v="PCIe"/>
    <n v="3219691"/>
    <s v="439/R5/7"/>
    <s v="ICE18"/>
    <x v="0"/>
    <x v="26"/>
    <x v="14"/>
    <x v="2"/>
    <s v="No"/>
    <s v="Yes"/>
    <s v="4x"/>
    <s v="7560utt275smini.bj.intel.com"/>
    <s v="40275"/>
    <s v="E157F3C267D40400FFFFFFFF"/>
    <s v="C7H741200JSHXNKGZ"/>
    <m/>
    <s v="00440152262060"/>
    <s v="00440152262262"/>
    <m/>
    <m/>
    <s v="Yes"/>
    <s v="Yes"/>
    <x v="0"/>
  </r>
  <r>
    <s v="Beijing"/>
    <s v="BEJSRTL276"/>
    <s v="Yes"/>
    <s v="CR"/>
    <s v="PCIe"/>
    <n v="3219963"/>
    <s v="439/R8/5"/>
    <s v="ICE18"/>
    <x v="0"/>
    <x v="26"/>
    <x v="13"/>
    <x v="1"/>
    <s v="No"/>
    <s v="Yes"/>
    <s v="4x"/>
    <s v="7560utt175smini.bj.intel.com"/>
    <s v="40276"/>
    <s v="E157F3C267D40400FFFFFFFF"/>
    <s v="C7H749700BPHXNKKK"/>
    <n v="13381264552"/>
    <s v="00440152262061"/>
    <s v="00440152262263"/>
    <m/>
    <d v="2018-04-28T00:00:00"/>
    <s v="Yes"/>
    <s v="Yes"/>
    <x v="0"/>
  </r>
  <r>
    <s v="Beijing"/>
    <s v="BEJSRTL277"/>
    <s v="Yes"/>
    <s v="CR"/>
    <s v="PCIe"/>
    <n v="3219845"/>
    <s v="439/R28/3"/>
    <s v="ICE18"/>
    <x v="0"/>
    <x v="36"/>
    <x v="13"/>
    <x v="1"/>
    <s v="No"/>
    <s v="No"/>
    <s v="Yes"/>
    <s v="7560utt277smini.bj.intel.com"/>
    <s v="40277"/>
    <s v="E15F0967319B0A00FFFFFFFF"/>
    <s v="C7H752300BRHXNKK7"/>
    <n v="18900670343"/>
    <s v="00440152262062"/>
    <s v="00440152262264"/>
    <m/>
    <m/>
    <s v="Yes"/>
    <s v="Yes"/>
    <x v="0"/>
  </r>
  <r>
    <s v="Beijing"/>
    <s v="BEJSRTL278"/>
    <s v="Yes"/>
    <s v="Weekly(UTC)"/>
    <s v="PCIe"/>
    <n v="3299364"/>
    <s v="439/R28/5"/>
    <s v="ICE18"/>
    <x v="0"/>
    <x v="36"/>
    <x v="13"/>
    <x v="1"/>
    <s v="No"/>
    <s v="No"/>
    <s v="Yes"/>
    <s v="7560utt277smini.bj.intel.com"/>
    <s v="40278"/>
    <s v="E15F88449BD00D00FFFFFFFF"/>
    <s v="C7H749700CTHXNKKC"/>
    <n v="18900670342"/>
    <s v="00440152262063"/>
    <s v="00440152262265"/>
    <m/>
    <m/>
    <s v="Yes"/>
    <s v="Yes"/>
    <x v="0"/>
  </r>
  <r>
    <s v="Beijing"/>
    <s v="BEJSRTL279"/>
    <s v="Yes"/>
    <s v="Pre-INT/CEB"/>
    <s v="PCIe"/>
    <n v="3299485"/>
    <s v="439/R13/3"/>
    <s v="ICE18"/>
    <x v="1"/>
    <x v="30"/>
    <x v="20"/>
    <x v="1"/>
    <s v="No"/>
    <s v="No"/>
    <s v="4x"/>
    <s v="7560utt276smini.bj.intel.com"/>
    <s v="40279"/>
    <s v="E1DFDACE6C650200FFFFFFFF"/>
    <s v="C7H7513012BHXNKKG"/>
    <n v="13001925784"/>
    <s v="00440152280441"/>
    <s v="00440152262418"/>
    <n v="13810012946"/>
    <d v="2018-08-11T00:00:00"/>
    <s v="Yes"/>
    <s v="Yes"/>
    <x v="0"/>
  </r>
  <r>
    <s v="Beijing"/>
    <s v="BEJSRTL280"/>
    <s v="Yes"/>
    <s v="Daily(SEB)"/>
    <s v="PCIe"/>
    <n v="3299639"/>
    <s v="439/R10/3"/>
    <s v="ICE18"/>
    <x v="0"/>
    <x v="26"/>
    <x v="14"/>
    <x v="1"/>
    <s v="No"/>
    <s v="Yes"/>
    <s v="4x"/>
    <s v="7560utt175smini.bj.intel.com"/>
    <s v="40280"/>
    <s v="E15FE9CA78BD0D00FFFFFFFF"/>
    <s v="C7H751301BBHXNKKP"/>
    <n v="13381264271"/>
    <s v="00440152262064"/>
    <s v="00440152262266"/>
    <m/>
    <d v="2018-04-13T00:00:00"/>
    <s v="Yes"/>
    <s v="Yes"/>
    <x v="0"/>
  </r>
  <r>
    <s v="Beijing"/>
    <s v="BEJSRTL281"/>
    <s v="Yes"/>
    <s v="Pre-INT/CEB"/>
    <s v="PCIe"/>
    <n v="3299564"/>
    <s v="439/R10/3"/>
    <s v="ICE18"/>
    <x v="0"/>
    <x v="26"/>
    <x v="14"/>
    <x v="1"/>
    <s v="No"/>
    <s v="Yes"/>
    <s v="4x"/>
    <s v="bejsrtm008smini.bj.intel.com"/>
    <s v="40281"/>
    <s v="E15F09B1B0F70A00FFFFFFFF"/>
    <s v="C7H752300ANHXNKKD"/>
    <n v="13381264632"/>
    <s v="00440152262065"/>
    <s v="00440152262267"/>
    <m/>
    <d v="2018-04-23T00:00:00"/>
    <s v="Yes"/>
    <s v="Yes"/>
    <x v="0"/>
  </r>
  <r>
    <s v="Beijing"/>
    <s v="BEJSRTL282"/>
    <s v="Yes"/>
    <s v="Pre-INT/CEB"/>
    <s v="PCIe"/>
    <n v="3299766"/>
    <s v="439/R11/4"/>
    <s v="ICE18"/>
    <x v="1"/>
    <x v="32"/>
    <x v="9"/>
    <x v="1"/>
    <s v="No"/>
    <s v="No"/>
    <s v="4x"/>
    <s v="bejsrtm008smini.bj.intel.com"/>
    <s v="40282"/>
    <s v="E15FF9B64DDB0A00FFFFFFFF"/>
    <s v="C7H752300AYHXNKK3"/>
    <n v="13810019404"/>
    <s v="00440152262066"/>
    <s v="00440152262268"/>
    <n v="18519397649"/>
    <d v="2018-08-22T00:00:00"/>
    <s v="Yes"/>
    <s v="Yes"/>
    <x v="0"/>
  </r>
  <r>
    <s v="Beijing"/>
    <s v="BEJSRTL283"/>
    <s v="Yes"/>
    <s v="Daily(SEB)"/>
    <s v="PCIe"/>
    <n v="3299586"/>
    <s v="459/R40/4"/>
    <s v="ICE18"/>
    <x v="1"/>
    <x v="29"/>
    <x v="26"/>
    <x v="1"/>
    <s v="No"/>
    <s v="Yes"/>
    <s v="4x"/>
    <s v="bejsrtm001smini.bj.intel.com"/>
    <s v="40283"/>
    <s v="E15FC90848030800FFFFFFFF"/>
    <s v="C7H752300D2HXNKKQ"/>
    <n v="13381264962"/>
    <s v="00440152219578"/>
    <s v="00440152264368"/>
    <n v="13911453623"/>
    <d v="2018-04-25T00:00:00"/>
    <s v="Yes"/>
    <s v="Yes"/>
    <x v="0"/>
  </r>
  <r>
    <s v="Beijing"/>
    <s v="BEJSRTL284"/>
    <s v="Yes"/>
    <s v="Pre-INT/CEB"/>
    <s v="PCIe"/>
    <n v="3299479"/>
    <s v="439/R2/7"/>
    <s v="ICE18"/>
    <x v="1"/>
    <x v="27"/>
    <x v="17"/>
    <x v="1"/>
    <s v="No"/>
    <s v="No"/>
    <s v="4x"/>
    <s v="7560utt241smini.bj.intel.com"/>
    <s v="40284"/>
    <s v="E15FE9F2FD660800FFFFFFFF"/>
    <s v="C7H752300CYHXNKKX"/>
    <n v="13811738780"/>
    <s v="00440152262067"/>
    <s v="00440152262269"/>
    <n v="13810147274"/>
    <d v="2018-08-22T00:00:00"/>
    <s v="Yes"/>
    <s v="Yes"/>
    <x v="0"/>
  </r>
  <r>
    <s v="Beijing"/>
    <s v="BEJSRTL285"/>
    <s v="Yes"/>
    <s v="Weekly(UTC)"/>
    <s v="PCIe"/>
    <n v="3299803"/>
    <s v="439/R15/4"/>
    <s v="ICE18"/>
    <x v="0"/>
    <x v="26"/>
    <x v="13"/>
    <x v="1"/>
    <s v="No"/>
    <s v="Yes"/>
    <s v="4x"/>
    <s v="7560utt275smini.bj.intel.com"/>
    <s v="40285"/>
    <s v="E15FD9A0470E0800FFFFFFFF"/>
    <s v="C7H752300DVHXNKKX"/>
    <n v="13381264890"/>
    <s v="00440152262068"/>
    <s v="00440152262270"/>
    <m/>
    <d v="2018-04-26T00:00:00"/>
    <s v="Yes"/>
    <s v="Yes"/>
    <x v="0"/>
  </r>
  <r>
    <s v="Beijing"/>
    <s v="BEJSRTL286"/>
    <s v="Yes"/>
    <s v="Pre-INT/CEB"/>
    <s v="PCIe"/>
    <n v="3299530"/>
    <s v="439/R15/4"/>
    <s v="ICE18"/>
    <x v="0"/>
    <x v="26"/>
    <x v="13"/>
    <x v="1"/>
    <s v="No"/>
    <s v="Yes"/>
    <s v="4x"/>
    <s v="bejsrtm005smini.bj.intel.com"/>
    <s v="40286"/>
    <s v="E15FD9C2EEAD0A00FFFFFFFF"/>
    <s v="C7H752300BXHXNKK1"/>
    <n v="13381264315"/>
    <s v="00440152262069"/>
    <s v="00440152262271"/>
    <m/>
    <d v="2018-06-01T00:00:00"/>
    <s v="Yes"/>
    <s v="Yes"/>
    <x v="0"/>
  </r>
  <r>
    <s v="Beijing"/>
    <s v="BEJSRTL287"/>
    <s v="Yes"/>
    <s v="CR"/>
    <s v="PCIe"/>
    <n v="3299539"/>
    <s v="439/R14/4"/>
    <s v="ICE18"/>
    <x v="0"/>
    <x v="26"/>
    <x v="13"/>
    <x v="1"/>
    <s v="No"/>
    <s v="Yes"/>
    <s v="4x"/>
    <s v="7560utt175smini.bj.intel.com"/>
    <s v="40287"/>
    <s v="E15FB8A412100D00FFFFFFFF"/>
    <s v="C7H749700E1HXNKKY"/>
    <n v="13381264916"/>
    <s v="00440152262070"/>
    <s v="00440152262272"/>
    <m/>
    <d v="2018-04-25T00:00:00"/>
    <s v="Yes"/>
    <s v="Yes"/>
    <x v="0"/>
  </r>
  <r>
    <s v="Beijing"/>
    <s v="BEJSRTL288"/>
    <s v="No"/>
    <m/>
    <s v="PCIe"/>
    <n v="3299341"/>
    <s v="439/R14/4"/>
    <s v="ICE18"/>
    <x v="1"/>
    <x v="32"/>
    <x v="9"/>
    <x v="1"/>
    <s v="No"/>
    <s v="No"/>
    <s v="4x"/>
    <e v="#N/A"/>
    <s v="40288"/>
    <s v="E1DF1A57E0190C00FFFFFFFF"/>
    <s v="C7H7513013GHXNKK8"/>
    <n v="13810976225"/>
    <s v="00440152262071"/>
    <s v="00440152262273"/>
    <n v="18611978470"/>
    <m/>
    <s v="Yes"/>
    <s v="Yes"/>
    <x v="0"/>
  </r>
  <r>
    <s v="Beijing"/>
    <s v="BEJSRTL289"/>
    <s v="Yes"/>
    <s v="Pre-INT/CEB"/>
    <s v="PCIe"/>
    <n v="3299491"/>
    <s v="439/R11/9"/>
    <s v="ICE18"/>
    <x v="0"/>
    <x v="31"/>
    <x v="0"/>
    <x v="1"/>
    <s v="No"/>
    <s v="No"/>
    <s v="4x"/>
    <s v="7560utt276smini.bj.intel.com"/>
    <s v="40289"/>
    <s v="E1DFAA2847740300FFFFFFFF"/>
    <s v="C7H7513007XHXNKKG"/>
    <n v="13810018247"/>
    <s v="00440152262072"/>
    <s v="00440152262274"/>
    <m/>
    <m/>
    <s v="Yes"/>
    <s v="Yes"/>
    <x v="0"/>
  </r>
  <r>
    <s v="Beijing"/>
    <s v="BEJSRTL290"/>
    <s v="No"/>
    <s v="Daily(SEB)"/>
    <s v="PCIe"/>
    <n v="3299808"/>
    <s v="439/R11/9"/>
    <s v="ICE18"/>
    <x v="1"/>
    <x v="29"/>
    <x v="19"/>
    <x v="1"/>
    <s v="No"/>
    <s v="Yes"/>
    <s v="NA"/>
    <s v="bejsrtm001smini.bj.intel.com"/>
    <s v="40290"/>
    <s v="E1DF5A4BBCDC0700FFFFFFFF"/>
    <s v="C7H75130081HXNKK9"/>
    <n v="18010341442"/>
    <s v="00440152219699"/>
    <s v="00440152264489"/>
    <n v="13810697732"/>
    <d v="2018-08-22T00:00:00"/>
    <s v="Yes"/>
    <s v="Yes"/>
    <x v="0"/>
  </r>
  <r>
    <s v="Beijing"/>
    <s v="BEJSRTL291"/>
    <s v="Yes"/>
    <s v="CR"/>
    <s v="PCIe"/>
    <n v="3299494"/>
    <s v="439/R9/8"/>
    <s v="ICE18"/>
    <x v="0"/>
    <x v="31"/>
    <x v="6"/>
    <x v="1"/>
    <s v="No"/>
    <s v="No"/>
    <s v="4x"/>
    <s v="7560utt275smini.bj.intel.com"/>
    <s v="40291"/>
    <s v="E15FF9CEE9FC0A00FFFFFFFF"/>
    <s v="C7H752300BZHXNKKZ"/>
    <n v="13810224073"/>
    <s v="00440152262073"/>
    <s v="00440152262275"/>
    <m/>
    <d v="2018-04-27T00:00:00"/>
    <s v="Yes"/>
    <s v="Yes"/>
    <x v="0"/>
  </r>
  <r>
    <s v="Beijing"/>
    <s v="BEJSRTL292"/>
    <s v="Yes"/>
    <s v="Daily(SEB)"/>
    <s v="PCIe"/>
    <n v="3299355"/>
    <s v="439/R1/6"/>
    <s v="ICE18"/>
    <x v="0"/>
    <x v="26"/>
    <x v="13"/>
    <x v="1"/>
    <s v="No"/>
    <s v="Yes"/>
    <s v="4x"/>
    <s v="7560utt175smini.bj.intel.com"/>
    <s v="40292"/>
    <s v="E15F689DE33F0D00FFFFFFFF"/>
    <s v="C7H749700B1HXNKK7"/>
    <n v="18910548747"/>
    <s v="00440152262074"/>
    <s v="00440152262276"/>
    <m/>
    <d v="2018-04-27T00:00:00"/>
    <s v="Yes"/>
    <s v="Yes"/>
    <x v="0"/>
  </r>
  <r>
    <s v="Beijing"/>
    <s v="BEJSRTL293"/>
    <s v="Yes"/>
    <s v="Daily(SEB)"/>
    <s v="PCIe"/>
    <n v="3299652"/>
    <s v="459/R40/5"/>
    <s v="ICE18"/>
    <x v="0"/>
    <x v="31"/>
    <x v="22"/>
    <x v="1"/>
    <s v="No"/>
    <s v="No"/>
    <s v="4x"/>
    <s v="7560utt235smini.bj.intel.com"/>
    <s v="40293"/>
    <s v="E15FD8F06E701000FFFFFFFF"/>
    <s v="C7H749700BAHXNKKY"/>
    <n v="13810589105"/>
    <s v="00440152262075"/>
    <s v="00440152262277"/>
    <m/>
    <d v="2018-04-27T00:00:00"/>
    <s v="Yes"/>
    <s v="Yes"/>
    <x v="0"/>
  </r>
  <r>
    <s v="Beijing"/>
    <s v="BEJSRTL294"/>
    <s v="Yes"/>
    <s v="Daily(SEB)"/>
    <s v="PCIe"/>
    <n v="3299810"/>
    <s v="439/R10/9"/>
    <s v="ICE18"/>
    <x v="1"/>
    <x v="25"/>
    <x v="16"/>
    <x v="1"/>
    <s v="No"/>
    <s v="Yes"/>
    <s v="4x"/>
    <s v="7560utt243smini.bj.intel.com"/>
    <s v="40294"/>
    <s v="E1DF6A179D8B0700FFFFFFFF"/>
    <s v="C7H751300AMHXNKKH"/>
    <n v="13810719187"/>
    <s v="00440152262076"/>
    <s v="00440152262278"/>
    <n v="18911034609"/>
    <d v="2018-04-24T00:00:00"/>
    <s v="Yes"/>
    <s v="Yes"/>
    <x v="0"/>
  </r>
  <r>
    <s v="Beijing"/>
    <s v="BEJSRTL295"/>
    <s v="Yes"/>
    <s v="Daily(SEB)"/>
    <s v="PCIe"/>
    <n v="3299523"/>
    <s v="439/R10/9"/>
    <s v="ICE18"/>
    <x v="1"/>
    <x v="30"/>
    <x v="24"/>
    <x v="1"/>
    <s v="No"/>
    <s v="No"/>
    <s v="4x"/>
    <s v="7560utt127smini.bj.intel.com"/>
    <s v="40295"/>
    <s v="E15FF99099540900FFFFFFFF"/>
    <s v="C7H7523009UHXNKKA"/>
    <n v="18614045493"/>
    <s v="00440152262077"/>
    <s v="00440152262279"/>
    <n v="13911725424"/>
    <d v="2018-04-07T00:00:00"/>
    <s v="Yes"/>
    <s v="Yes"/>
    <x v="0"/>
  </r>
  <r>
    <s v="Beijing"/>
    <s v="BEJSRTL296"/>
    <s v="Yes"/>
    <s v="Pre-INT/CEB"/>
    <s v="PCIe"/>
    <n v="3299600"/>
    <s v="439/R2/5"/>
    <s v="ICE18"/>
    <x v="1"/>
    <x v="25"/>
    <x v="16"/>
    <x v="1"/>
    <s v="No"/>
    <s v="Yes"/>
    <s v="4x"/>
    <s v="bejsrtm008smini.bj.intel.com"/>
    <s v="40296"/>
    <s v="E1DF3AD34CDD0700FFFFFFFF"/>
    <s v="C7H7513006XHXNKKK"/>
    <n v="15901036991"/>
    <s v="00440152262078"/>
    <s v="00440152262280"/>
    <n v="18910548547"/>
    <d v="2018-04-25T00:00:00"/>
    <s v="Yes"/>
    <s v="Yes"/>
    <x v="0"/>
  </r>
  <r>
    <s v="Beijing"/>
    <s v="BEJSRTL301"/>
    <s v="Yes"/>
    <s v="Pre-INT/CEB"/>
    <s v="PCIe"/>
    <n v="3299741"/>
    <s v="459/R39/5"/>
    <s v="ICE18"/>
    <x v="1"/>
    <x v="29"/>
    <x v="19"/>
    <x v="1"/>
    <s v="No"/>
    <s v="Yes"/>
    <s v="4x"/>
    <e v="#N/A"/>
    <s v="40301"/>
    <s v="E15FE92ADBEF0A00FFFFFFFF"/>
    <s v="C7H752300CDHXNKKG"/>
    <n v="13381264920"/>
    <s v="00440152262058"/>
    <s v="00440152262260"/>
    <n v="13810075346"/>
    <d v="2018-04-25T00:00:00"/>
    <s v="Yes"/>
    <s v="Yes"/>
    <x v="0"/>
  </r>
  <r>
    <s v="Beijing"/>
    <s v="BEJSRTL302"/>
    <s v="Yes"/>
    <s v="Pre-INT/CEB"/>
    <s v="PCIe"/>
    <n v="3299477"/>
    <s v="439/R10/2"/>
    <s v="ICE18"/>
    <x v="1"/>
    <x v="30"/>
    <x v="20"/>
    <x v="1"/>
    <s v="No"/>
    <s v="No"/>
    <s v="4x"/>
    <s v="7560utt276smini.bj.intel.com"/>
    <s v="40302"/>
    <s v="E15FC9E01BAB0A00FFFFFFFF"/>
    <s v="C7H752300BNHXNKKA"/>
    <n v="13124779284"/>
    <s v="00440152262080"/>
    <s v="00440152262282"/>
    <n v="13810717857"/>
    <d v="2018-08-22T00:00:00"/>
    <s v="Yes"/>
    <s v="Yes"/>
    <x v="0"/>
  </r>
  <r>
    <s v="Beijing"/>
    <s v="BEJSRTL303"/>
    <s v="Yes"/>
    <s v="Pre-INT/CEB"/>
    <s v="PCIe"/>
    <n v="3299756"/>
    <s v="439/R11/5"/>
    <s v="ICE18"/>
    <x v="0"/>
    <x v="26"/>
    <x v="14"/>
    <x v="1"/>
    <s v="No"/>
    <s v="Yes"/>
    <s v="4x"/>
    <s v="bejsrtm006smini.bj.intel.com"/>
    <s v="40303"/>
    <s v="E1DF39AE41570800FFFFFFFF"/>
    <s v="C7H75130194HXNKK2"/>
    <n v="18910224372"/>
    <s v="00440152262081"/>
    <s v="00440152262283"/>
    <m/>
    <m/>
    <s v="Yes"/>
    <s v="Yes"/>
    <x v="0"/>
  </r>
  <r>
    <s v="Beijing"/>
    <s v="BEJSRTL304"/>
    <s v="Yes"/>
    <s v="CR"/>
    <s v="PCIe"/>
    <n v="3299795"/>
    <s v="2F/R47/3"/>
    <s v="ICE18"/>
    <x v="0"/>
    <x v="31"/>
    <x v="0"/>
    <x v="1"/>
    <s v="No"/>
    <s v="No"/>
    <s v="4x"/>
    <s v="7560utt175smini.bj.intel.com"/>
    <s v="40304"/>
    <s v="E1DF09062FCA0A00FFFFFFFF"/>
    <s v="C7H751301CBHXNKKL"/>
    <n v="13810928672"/>
    <s v="00440152218005"/>
    <s v="00440152218905"/>
    <m/>
    <d v="2018-04-10T00:00:00"/>
    <s v="Yes"/>
    <s v="Yes"/>
    <x v="0"/>
  </r>
  <r>
    <s v="Beijing"/>
    <s v="BEJSRTL305"/>
    <s v="Yes"/>
    <s v="Weekly(UTC)"/>
    <s v="PCIe"/>
    <n v="3299472"/>
    <s v="439/R3/6"/>
    <s v="ICE18"/>
    <x v="0"/>
    <x v="26"/>
    <x v="14"/>
    <x v="1"/>
    <s v="No"/>
    <s v="Yes"/>
    <s v="4x"/>
    <s v="7560utt275smini.bj.intel.com"/>
    <s v="40305"/>
    <s v="E15FF9B6343F0800FFFFFFFF"/>
    <s v="C7H752300DFHXNKKB"/>
    <n v="18911175646"/>
    <s v="00440152217748"/>
    <s v="00440152218648"/>
    <m/>
    <d v="2018-04-26T00:00:00"/>
    <s v="Yes"/>
    <s v="Yes"/>
    <x v="0"/>
  </r>
  <r>
    <s v="Beijing"/>
    <s v="BEJSRTL306"/>
    <s v="Yes"/>
    <s v="Pre-INT/CEB"/>
    <s v="PCIe"/>
    <n v="3299767"/>
    <s v="439/R4/5"/>
    <s v="ICE18"/>
    <x v="1"/>
    <x v="30"/>
    <x v="20"/>
    <x v="1"/>
    <s v="No"/>
    <s v="No"/>
    <s v="4x"/>
    <s v="bejsrtm006smini.bj.intel.com"/>
    <s v="40306"/>
    <s v="E15F49A9A2E50A00FFFFFFFF"/>
    <s v="C7H751301BVHXNKK5"/>
    <n v="13269005510"/>
    <s v="00440152262082"/>
    <s v="00440152262284"/>
    <n v="13810560252"/>
    <d v="2018-08-22T00:00:00"/>
    <s v="Yes"/>
    <s v="Yes"/>
    <x v="0"/>
  </r>
  <r>
    <s v="Beijing"/>
    <s v="BEJSRTL307"/>
    <s v="Yes"/>
    <s v="Pre-INT/CEB"/>
    <s v="PCIe"/>
    <n v="3299809"/>
    <s v="459/R39/4"/>
    <s v="ICE18"/>
    <x v="1"/>
    <x v="25"/>
    <x v="16"/>
    <x v="1"/>
    <s v="No"/>
    <s v="Yes"/>
    <s v="4x"/>
    <s v="bejsrtm008smini.bj.intel.com"/>
    <s v="40307"/>
    <s v="E15F59D7D08C0A00FFFFFFFF"/>
    <s v="C7H75230093HXNKK1"/>
    <n v="13810573825"/>
    <s v="00440152262083"/>
    <s v="00440152262285"/>
    <n v="13331048796"/>
    <d v="2018-04-11T00:00:00"/>
    <s v="Yes"/>
    <s v="Yes"/>
    <x v="0"/>
  </r>
  <r>
    <s v="Beijing"/>
    <s v="BEJSRTL308"/>
    <s v="Yes"/>
    <s v="Pre-INT/CEB"/>
    <s v="PCIe"/>
    <n v="3299824"/>
    <s v="459/R39/7"/>
    <s v="ICE18"/>
    <x v="1"/>
    <x v="32"/>
    <x v="21"/>
    <x v="1"/>
    <s v="No"/>
    <s v="No"/>
    <s v="4x"/>
    <s v="bejsrtm009smini.bj.intel.com"/>
    <s v="40308"/>
    <s v="E15FE9A0C72A0800FFFFFFFF"/>
    <s v="C7H752300B2HXNKKW"/>
    <n v="13810224637"/>
    <s v="00440152262084"/>
    <s v="00440152262286"/>
    <n v="13146613092"/>
    <m/>
    <s v="Yes"/>
    <s v="Yes"/>
    <x v="0"/>
  </r>
  <r>
    <s v="Beijing"/>
    <s v="BEJSRTL310"/>
    <s v="Yes"/>
    <s v="Pre-INT/CEB"/>
    <s v="PCIe"/>
    <n v="2510468"/>
    <s v="439/R4/4"/>
    <s v="ICE18"/>
    <x v="1"/>
    <x v="25"/>
    <x v="16"/>
    <x v="1"/>
    <s v="No"/>
    <s v="Yes"/>
    <s v="4x"/>
    <s v="bejsrtm008smini.bj.intel.com"/>
    <s v="40310"/>
    <s v="E1DF5AAD6FA60700FFFFFFFF"/>
    <s v="C7H7513008PHXNKKM"/>
    <n v="13910782847"/>
    <s v="00440152262085"/>
    <s v="00440152262287"/>
    <n v="18910548846"/>
    <d v="2018-04-11T00:00:00"/>
    <s v="Yes"/>
    <s v="Yes"/>
    <x v="0"/>
  </r>
  <r>
    <s v="Beijing"/>
    <s v="BEJSRTL311"/>
    <s v="Yes"/>
    <s v="Pre-INT/CEB"/>
    <s v="PCIe"/>
    <n v="2510484"/>
    <s v="439/R16/7"/>
    <s v="ICE18"/>
    <x v="0"/>
    <x v="26"/>
    <x v="13"/>
    <x v="1"/>
    <s v="No"/>
    <s v="Yes"/>
    <s v="4x"/>
    <s v="bejsrtm006smini.bj.intel.com"/>
    <s v="40311"/>
    <s v="E15FC9BC1B800A00FFFFFFFF"/>
    <s v="C7H752300C4HXNKKR"/>
    <n v="18910224636"/>
    <s v="00440152262086"/>
    <s v="00440152262288"/>
    <m/>
    <d v="2018-06-01T00:00:00"/>
    <s v="Yes"/>
    <s v="Yes"/>
    <x v="0"/>
  </r>
  <r>
    <s v="Beijing"/>
    <s v="BEJSRTL313"/>
    <s v="Yes"/>
    <s v="CR"/>
    <s v="PCIe"/>
    <n v="2510952"/>
    <s v="439/R16/4"/>
    <s v="ICE18"/>
    <x v="1"/>
    <x v="25"/>
    <x v="16"/>
    <x v="1"/>
    <s v="No"/>
    <s v="Yes"/>
    <s v="4x"/>
    <s v="bejsrtm003smini.bj.intel.com"/>
    <s v="40313"/>
    <s v="E1DFCAAE7C340B00FFFFFFFF"/>
    <s v="C7H7513008BHXNKKZ"/>
    <n v="13910781547"/>
    <s v="00440152262087"/>
    <s v="00440152262289"/>
    <n v="18910224657"/>
    <d v="2018-04-10T00:00:00"/>
    <s v="Yes"/>
    <s v="Yes"/>
    <x v="0"/>
  </r>
  <r>
    <s v="Beijing"/>
    <s v="BEJSRTL314"/>
    <s v="Yes"/>
    <s v="CR"/>
    <s v="PCIe"/>
    <n v="2510790"/>
    <s v="439/R16/3"/>
    <s v="ICE18"/>
    <x v="1"/>
    <x v="25"/>
    <x v="16"/>
    <x v="1"/>
    <s v="No"/>
    <s v="Yes"/>
    <s v="4x"/>
    <s v="bijsrtm012smini.bj.intel.com"/>
    <s v="40314"/>
    <s v="E1DFAA1AFA680B00FFFFFFFF"/>
    <s v="C7H7513007FHXNKKY"/>
    <n v="13810607162"/>
    <s v="00440152262088"/>
    <s v="00440152262290"/>
    <n v="18910224263"/>
    <d v="2018-04-24T00:00:00"/>
    <s v="Yes"/>
    <s v="Yes"/>
    <x v="0"/>
  </r>
  <r>
    <s v="Beijing"/>
    <s v="BEJSRTL315"/>
    <s v="Yes"/>
    <s v="CR"/>
    <s v="PCIe"/>
    <n v="2510784"/>
    <s v="439/R16/5"/>
    <s v="ICE18"/>
    <x v="1"/>
    <x v="25"/>
    <x v="16"/>
    <x v="1"/>
    <s v="No"/>
    <s v="Yes"/>
    <s v="4x"/>
    <s v="bejsrtm003smini.bj.intel.com"/>
    <s v="40315"/>
    <s v="E1DF6A2568CA0700FFFFFFFF"/>
    <s v="C7H7513008AHXNKK0"/>
    <n v="13810274143"/>
    <s v="00440152262089"/>
    <s v="00440152262291"/>
    <n v="18910224076"/>
    <d v="2018-06-01T00:00:00"/>
    <s v="Yes"/>
    <s v="Yes"/>
    <x v="0"/>
  </r>
  <r>
    <s v="Beijing"/>
    <s v="BEJSRTL316"/>
    <s v="Yes"/>
    <s v="Pre-INT/CEB"/>
    <s v="PCIe"/>
    <n v="2510868"/>
    <s v="439/R17/1"/>
    <s v="ICE18"/>
    <x v="1"/>
    <x v="30"/>
    <x v="20"/>
    <x v="1"/>
    <s v="No"/>
    <s v="No"/>
    <s v="4x"/>
    <s v="7560utt127smini.bj.intel.com"/>
    <s v="40316"/>
    <s v="E15FE91E7CD10A00FFFFFFFF"/>
    <s v="C7H752300BGHXNKKG"/>
    <n v="18519337841"/>
    <s v="00440152219506"/>
    <s v="00440152264296"/>
    <n v="13810017934"/>
    <d v="2018-08-22T00:00:00"/>
    <s v="Yes"/>
    <s v="Yes"/>
    <x v="0"/>
  </r>
  <r>
    <s v="Beijing"/>
    <s v="BEJSRTL318"/>
    <s v="Yes"/>
    <s v="Pre-INT/CEB"/>
    <s v="PCIe"/>
    <n v="2510597"/>
    <s v="439/R16/2"/>
    <s v="ICE18"/>
    <x v="1"/>
    <x v="27"/>
    <x v="17"/>
    <x v="1"/>
    <s v="No"/>
    <s v="No"/>
    <s v="4x"/>
    <s v="7560utt241smini.bj.intel.com"/>
    <s v="40318"/>
    <s v="E1DF1AE7AF810300FFFFFFFF"/>
    <s v="C7H7513015EHXNKK4"/>
    <n v="13810019947"/>
    <s v="00440152262090"/>
    <s v="00440152262292"/>
    <n v="13810021154"/>
    <d v="2018-08-22T00:00:00"/>
    <s v="Yes"/>
    <s v="Yes"/>
    <x v="0"/>
  </r>
  <r>
    <s v="Beijing"/>
    <s v="BEJSRTL319"/>
    <s v="Yes"/>
    <s v="CR"/>
    <s v="PCIe"/>
    <n v="2510613"/>
    <s v="459/R41/2"/>
    <s v="ICE18"/>
    <x v="1"/>
    <x v="35"/>
    <x v="15"/>
    <x v="1"/>
    <s v="No"/>
    <s v="Yes"/>
    <s v="4x"/>
    <s v="7560utt243smini.bj.intel.com"/>
    <s v="40319"/>
    <s v="E15FF98823260F00FFFFFFFF"/>
    <s v="C7H752300A1HXNKK0"/>
    <n v="17310742415"/>
    <s v="00440152262091"/>
    <s v="00440152262293"/>
    <n v="13263474146"/>
    <d v="2018-06-01T00:00:00"/>
    <s v="Yes"/>
    <s v="Yes"/>
    <x v="0"/>
  </r>
  <r>
    <s v="Beijing"/>
    <s v="BEJSRTL321"/>
    <s v="Yes"/>
    <s v="Pre-INT/CEB"/>
    <s v="PCIe"/>
    <n v="2510655"/>
    <s v="459/R41/3"/>
    <s v="ICE18"/>
    <x v="1"/>
    <x v="32"/>
    <x v="9"/>
    <x v="1"/>
    <s v="No"/>
    <s v="No"/>
    <s v="4x"/>
    <s v="bijsrtm012smini.bj.intel.com"/>
    <s v="40321"/>
    <s v="E1DFBA8437D70A00FFFFFFFF"/>
    <s v="C7H7513014HHXNKK4"/>
    <n v="13810830751"/>
    <s v="00440152262092"/>
    <s v="00440152262294"/>
    <n v="13264213427"/>
    <d v="2018-08-22T00:00:00"/>
    <s v="Yes"/>
    <s v="Yes"/>
    <x v="0"/>
  </r>
  <r>
    <s v="Beijing"/>
    <s v="BEJSRTL322"/>
    <s v="No"/>
    <s v="Daily(SEB)"/>
    <s v="PCIe"/>
    <n v="2511033"/>
    <s v="439/R16/4"/>
    <s v="ICE18"/>
    <x v="1"/>
    <x v="29"/>
    <x v="19"/>
    <x v="1"/>
    <s v="No"/>
    <s v="Yes"/>
    <s v="NA"/>
    <s v="bijsrtm012smini.bj.intel.com"/>
    <s v="40322"/>
    <s v="E1DFAA62AB571000FFFFFFFF"/>
    <s v="C7H7513012CHXNKKF"/>
    <n v="18911124192"/>
    <s v="00440152262093"/>
    <s v="00440152262295"/>
    <n v="13810018814"/>
    <d v="2018-08-22T00:00:00"/>
    <s v="Yes"/>
    <s v="Yes"/>
    <x v="0"/>
  </r>
  <r>
    <s v="Beijing"/>
    <s v="BEJSRTL323"/>
    <s v="Yes"/>
    <s v="CR"/>
    <s v="PCIe"/>
    <n v="2510962"/>
    <s v="439/R9/7"/>
    <s v="ICE18"/>
    <x v="1"/>
    <x v="25"/>
    <x v="16"/>
    <x v="1"/>
    <s v="No"/>
    <s v="Yes"/>
    <s v="4x"/>
    <s v="bejsrtm003smini.bj.intel.com"/>
    <s v="40323"/>
    <s v="E1DF4A6754C60700FFFFFFFF"/>
    <s v="C7H7513006DHXNKK3"/>
    <n v="13810016794"/>
    <s v="00440152262094"/>
    <s v="00440152262296"/>
    <n v="18911124276"/>
    <d v="2018-03-31T00:00:00"/>
    <s v="Yes"/>
    <s v="Yes"/>
    <x v="0"/>
  </r>
  <r>
    <s v="Beijing"/>
    <s v="BEJSRTL324"/>
    <s v="No"/>
    <s v="Daily(SEB)"/>
    <s v="PCIe"/>
    <n v="2510812"/>
    <s v="439/R17/2"/>
    <s v="ICE18"/>
    <x v="1"/>
    <x v="29"/>
    <x v="19"/>
    <x v="1"/>
    <s v="No"/>
    <s v="Yes"/>
    <s v="NA"/>
    <s v="bejsrtm001smini.bj.intel.com"/>
    <s v="40324"/>
    <s v="E15FF9B00EE80A00FFFFFFFF"/>
    <s v="C7H752300BWHXNKK2"/>
    <n v="18911124283"/>
    <s v="00440152219495"/>
    <s v="00440152264285"/>
    <n v="13810020154"/>
    <d v="2018-08-22T00:00:00"/>
    <s v="Yes"/>
    <s v="Yes"/>
    <x v="0"/>
  </r>
  <r>
    <s v="Beijing"/>
    <s v="BEJSRTL325"/>
    <s v="Yes"/>
    <s v="Pre-INT/CEB"/>
    <s v="PCIe"/>
    <n v="2510838"/>
    <s v="439/R16/5"/>
    <s v="ICE18"/>
    <x v="1"/>
    <x v="30"/>
    <x v="20"/>
    <x v="1"/>
    <s v="No"/>
    <s v="No"/>
    <s v="4x"/>
    <s v="7560utt127smini.bj.intel.com"/>
    <s v="40325"/>
    <s v="E15FD9DA56980A00FFFFFFFF"/>
    <s v="C7H752300CNHXNKK7"/>
    <n v="18519337027"/>
    <s v="00440152218114"/>
    <s v="00440152219014"/>
    <n v="13810717051"/>
    <d v="2018-08-22T00:00:00"/>
    <s v="Yes"/>
    <s v="Yes"/>
    <x v="0"/>
  </r>
  <r>
    <s v="Beijing"/>
    <s v="BEJSRTL326"/>
    <s v="Yes"/>
    <s v="CR"/>
    <s v="PCIe"/>
    <n v="2510670"/>
    <s v="439/R16/1"/>
    <s v="ICE18"/>
    <x v="1"/>
    <x v="30"/>
    <x v="20"/>
    <x v="1"/>
    <s v="No"/>
    <s v="No"/>
    <s v="4x"/>
    <s v="7560utt127smini.bj.intel.com"/>
    <s v="40326"/>
    <s v="E15F09C9391A0800FFFFFFFF"/>
    <s v="C7H752300CVHXNKK0"/>
    <n v="13263275812"/>
    <s v="00440152262095"/>
    <s v="00440152262297"/>
    <n v="13811081035"/>
    <d v="2018-08-22T00:00:00"/>
    <s v="Yes"/>
    <s v="Yes"/>
    <x v="0"/>
  </r>
  <r>
    <s v="Beijing"/>
    <s v="BEJSRTL327"/>
    <s v="No"/>
    <s v="Daily(SEB)"/>
    <s v="PCIe"/>
    <n v="2510716"/>
    <s v="439/R16/1"/>
    <s v="ICE18"/>
    <x v="1"/>
    <x v="29"/>
    <x v="19"/>
    <x v="1"/>
    <s v="No"/>
    <s v="Yes"/>
    <s v="NA"/>
    <s v="7560utt127smini.bj.intel.com"/>
    <s v="40327"/>
    <s v="E15F98A4AF110500FFFFFFFF"/>
    <s v="C7H749700DPHXNKKD"/>
    <n v="18911124287"/>
    <s v="00440152262096"/>
    <s v="00440152262298"/>
    <n v="13810019704"/>
    <d v="2018-08-22T00:00:00"/>
    <s v="Yes"/>
    <s v="Yes"/>
    <x v="0"/>
  </r>
  <r>
    <s v="Beijing"/>
    <s v="BEJSRTL328"/>
    <s v="Yes"/>
    <s v="Pre-INT/CEB"/>
    <s v="PCIe"/>
    <n v="2510863"/>
    <s v="439/R16/6"/>
    <s v="ICE18"/>
    <x v="1"/>
    <x v="27"/>
    <x v="17"/>
    <x v="1"/>
    <s v="No"/>
    <s v="No"/>
    <s v="4x"/>
    <s v="bejsrtm009smini.bj.intel.com"/>
    <s v="40328"/>
    <s v="E1DFCA08E46C0300FFFFFFFF"/>
    <s v="C7H751300AWHXNKK8"/>
    <n v="13810618197"/>
    <s v="00440152262097"/>
    <s v="00440152262299"/>
    <n v="13810702951"/>
    <d v="2018-08-16T00:00:00"/>
    <s v="Yes"/>
    <s v="Yes"/>
    <x v="0"/>
  </r>
  <r>
    <s v="Beijing"/>
    <s v="BEJSRTL329"/>
    <s v="Yes"/>
    <s v="CR"/>
    <s v="PCIe"/>
    <n v="2510864"/>
    <s v="439/R16/2"/>
    <s v="ICE18"/>
    <x v="1"/>
    <x v="30"/>
    <x v="24"/>
    <x v="1"/>
    <s v="No"/>
    <s v="No"/>
    <s v="4x"/>
    <s v="7560utt241smini.bj.intel.com"/>
    <s v="40329"/>
    <s v="E1DF4A4FE6800700FFFFFFFF"/>
    <s v="C7H7513009CHXNKKV"/>
    <n v="18516913746"/>
    <s v="00440152218075"/>
    <s v="00440152218975"/>
    <n v="13810021354"/>
    <d v="2018-04-24T00:00:00"/>
    <s v="Yes"/>
    <s v="Yes"/>
    <x v="0"/>
  </r>
  <r>
    <s v="Beijing"/>
    <s v="BEJSRTL330"/>
    <s v="Yes"/>
    <s v="CR"/>
    <s v="PCIe"/>
    <n v="2510540"/>
    <s v="439/R8/1"/>
    <s v="ICE18"/>
    <x v="1"/>
    <x v="30"/>
    <x v="24"/>
    <x v="1"/>
    <s v="No"/>
    <s v="No"/>
    <s v="4x"/>
    <s v="7560utt241smini.bj.intel.com"/>
    <s v="40330"/>
    <s v="E15F39F7D61F0500FFFFFFFF"/>
    <s v="C7H75130161HXNKKE"/>
    <n v="13124703554"/>
    <s v="00440152218067"/>
    <s v="00440152218967"/>
    <n v="13810024174"/>
    <d v="2018-08-22T00:00:00"/>
    <s v="Yes"/>
    <s v="Yes"/>
    <x v="0"/>
  </r>
  <r>
    <s v="Beijing"/>
    <s v="BEJSRTL331"/>
    <s v="No"/>
    <s v="Daily(SEB)"/>
    <s v="PCIe"/>
    <n v="2510837"/>
    <s v="459/R36/2"/>
    <s v="ICE18"/>
    <x v="1"/>
    <x v="25"/>
    <x v="16"/>
    <x v="1"/>
    <s v="No"/>
    <s v="Yes"/>
    <s v="NA"/>
    <s v="7560utt127smini.bj.intel.com"/>
    <s v="40331"/>
    <s v="E15F59A14E8F0A00FFFFFFFF"/>
    <s v="C7H751301AQHXNKKD"/>
    <n v="13810715530"/>
    <s v="00440152262098"/>
    <s v="00440152262300"/>
    <n v="18010341436"/>
    <d v="2018-08-22T00:00:00"/>
    <s v="Yes"/>
    <s v="Yes"/>
    <x v="0"/>
  </r>
  <r>
    <s v="Beijing"/>
    <s v="BEJSRTL332"/>
    <s v="Yes"/>
    <s v="CR"/>
    <s v="PCIe"/>
    <n v="2250558"/>
    <s v="459/R40/6"/>
    <s v="ICE18"/>
    <x v="1"/>
    <x v="29"/>
    <x v="19"/>
    <x v="1"/>
    <s v="No"/>
    <s v="Yes"/>
    <s v="4x"/>
    <s v="bejsrtm001smini.bj.intel.com"/>
    <s v="40332"/>
    <s v="E15F79DB95F00A00FFFFFFFF"/>
    <s v="C7H7523009THXNKKB"/>
    <n v="18911124202"/>
    <s v="00440152262099"/>
    <s v="00440152262301"/>
    <n v="13810023894"/>
    <m/>
    <s v="Yes"/>
    <s v="Yes"/>
    <x v="0"/>
  </r>
  <r>
    <s v="Beijing"/>
    <s v="BEJSRTL333"/>
    <s v="No"/>
    <s v="Daily(SEB)"/>
    <s v="PCIe"/>
    <n v="2510546"/>
    <s v="459/R40/3"/>
    <s v="ICE18"/>
    <x v="1"/>
    <x v="29"/>
    <x v="19"/>
    <x v="1"/>
    <s v="No"/>
    <s v="Yes"/>
    <s v="NA"/>
    <s v="7560utt236smini.bj.intel.com"/>
    <s v="40333"/>
    <s v="E1DF3A1B48251000FFFFFFFF"/>
    <s v="C7H751300A0HXNKK4"/>
    <n v="18911124185"/>
    <s v="00440152262100"/>
    <s v="00440152262302"/>
    <n v="13810833935"/>
    <d v="2018-08-22T00:00:00"/>
    <s v="Yes"/>
    <s v="Yes"/>
    <x v="0"/>
  </r>
  <r>
    <s v="Beijing"/>
    <s v="BEJSRTL334"/>
    <s v="Yes"/>
    <s v="CR"/>
    <s v="PCIe"/>
    <n v="2510747"/>
    <s v="459/R40/3"/>
    <s v="ICE18"/>
    <x v="1"/>
    <x v="32"/>
    <x v="21"/>
    <x v="1"/>
    <s v="No"/>
    <s v="No"/>
    <s v="4x"/>
    <s v="7560utt243smini.bj.intel.com"/>
    <s v="40334"/>
    <s v="E15F79D747E80F00FFFFFFFF"/>
    <s v="C7H7523008QHXNKKH"/>
    <n v="13810471639"/>
    <s v="00440152262101"/>
    <s v="00440152262303"/>
    <n v="18601041402"/>
    <m/>
    <s v="Yes"/>
    <s v="Yes"/>
    <x v="0"/>
  </r>
  <r>
    <s v="Beijing"/>
    <s v="BEJSRTL337"/>
    <s v="Yes"/>
    <s v="CR"/>
    <s v="PCIe"/>
    <n v="2510677"/>
    <s v="459/R41/3"/>
    <s v="ICE18"/>
    <x v="1"/>
    <x v="29"/>
    <x v="19"/>
    <x v="1"/>
    <s v="No"/>
    <s v="Yes"/>
    <s v="4x"/>
    <s v="bijsrtm012smini.bj.intel.com"/>
    <s v="40337"/>
    <s v="E1DF19DEDDB90A00FFFFFFFF"/>
    <s v="C7H7513017BHXNKK1"/>
    <n v="17310351349"/>
    <s v="00440152219768"/>
    <s v="00440152264558"/>
    <n v="13810021284"/>
    <d v="2018-04-07T00:00:00"/>
    <s v="Yes"/>
    <s v="Yes"/>
    <x v="0"/>
  </r>
  <r>
    <s v="Beijing"/>
    <s v="BEJSRTL338"/>
    <s v="Yes"/>
    <s v="CR"/>
    <s v="PCIe"/>
    <n v="2510599"/>
    <s v="459/R40/2"/>
    <s v="ICE18"/>
    <x v="1"/>
    <x v="32"/>
    <x v="21"/>
    <x v="1"/>
    <s v="No"/>
    <s v="No"/>
    <s v="4x"/>
    <s v="7560utt236smini.bj.intel.com"/>
    <s v="40338"/>
    <s v="E1DFCA7479580B00FFFFFFFF"/>
    <s v="C7H7513007ZHXNKKE"/>
    <n v="13810639771"/>
    <s v="00440152262102"/>
    <s v="00440152262304"/>
    <n v="13263323831"/>
    <d v="2018-04-24T00:00:00"/>
    <s v="Yes"/>
    <s v="Yes"/>
    <x v="0"/>
  </r>
  <r>
    <s v="Beijing"/>
    <s v="BEJSRTL339"/>
    <s v="Yes"/>
    <s v="Daily(SEB)"/>
    <s v="PCIe"/>
    <n v="2510844"/>
    <s v="459/R40/6"/>
    <s v="ICE18"/>
    <x v="1"/>
    <x v="29"/>
    <x v="27"/>
    <x v="1"/>
    <s v="No"/>
    <s v="Yes"/>
    <s v="4x"/>
    <s v="bejsrtm001smini.bj.intel.com"/>
    <s v="40339"/>
    <s v="E1DFDA8861070C00FFFFFFFF"/>
    <s v="C7H7513008UHXNKKG"/>
    <n v="18911473219"/>
    <s v="00440152219598"/>
    <s v="00440152264388"/>
    <n v="13810419657"/>
    <d v="2018-04-24T00:00:00"/>
    <s v="Yes"/>
    <s v="Yes"/>
    <x v="0"/>
  </r>
  <r>
    <s v="Beijing"/>
    <s v="BEJSRTL340"/>
    <s v="Yes"/>
    <s v="CR"/>
    <s v="PCIe"/>
    <n v="2510694"/>
    <s v="459/R39/2"/>
    <s v="ICE18"/>
    <x v="1"/>
    <x v="25"/>
    <x v="16"/>
    <x v="1"/>
    <s v="No"/>
    <s v="Yes"/>
    <s v="4x"/>
    <s v="bejsrtm003smini.bj.intel.com"/>
    <s v="40340"/>
    <s v="E15F49A3F42C0500FFFFFFFF"/>
    <s v="C7H751301BLHXNKKE"/>
    <n v="13810021745"/>
    <s v="00440152262103"/>
    <s v="00440152262305"/>
    <n v="18911124295"/>
    <d v="2018-06-01T00:00:00"/>
    <s v="Yes"/>
    <s v="Yes"/>
    <x v="0"/>
  </r>
  <r>
    <s v="Beijing"/>
    <s v="BEJSRTL341"/>
    <s v="Yes"/>
    <s v="Pre-INT/CEB"/>
    <s v="PCIe"/>
    <n v="2510748"/>
    <s v="459/R39/2"/>
    <s v="ICE18"/>
    <x v="1"/>
    <x v="25"/>
    <x v="16"/>
    <x v="1"/>
    <s v="No"/>
    <s v="Yes"/>
    <s v="4x"/>
    <s v="7560utt276smini.bj.intel.com"/>
    <s v="40341"/>
    <s v="E15F494538DA0A00FFFFFFFF"/>
    <s v="C7H752300DSHXNKK0"/>
    <n v="13810599702"/>
    <s v="00440152218082"/>
    <s v="00440152218982"/>
    <n v="18911124251"/>
    <d v="2018-04-26T00:00:00"/>
    <s v="Yes"/>
    <s v="Yes"/>
    <x v="0"/>
  </r>
  <r>
    <s v="Beijing"/>
    <s v="BEJSRTL345"/>
    <s v="Yes"/>
    <s v="CR"/>
    <s v="PCIe"/>
    <n v="2510713"/>
    <s v="439/R13/1"/>
    <s v="ICE18"/>
    <x v="1"/>
    <x v="25"/>
    <x v="16"/>
    <x v="9"/>
    <s v="Yes"/>
    <s v="Yes"/>
    <s v="4x"/>
    <e v="#N/A"/>
    <m/>
    <s v="E20F0A0C69151300FFFFFFFF"/>
    <s v="C7H8103002LHXNKXA"/>
    <n v="13810826170"/>
    <s v="00440152217742"/>
    <s v="00440152218642"/>
    <n v="13381264225"/>
    <d v="2018-04-25T00:00:00"/>
    <s v="Yes"/>
    <s v="Yes"/>
    <x v="0"/>
  </r>
  <r>
    <s v="Beijing"/>
    <s v="BEJSRTL346"/>
    <s v="Yes"/>
    <s v="CR"/>
    <s v="PCIe"/>
    <n v="2510883"/>
    <s v="459/R40/2"/>
    <s v="ICE18"/>
    <x v="1"/>
    <x v="27"/>
    <x v="17"/>
    <x v="1"/>
    <s v="No"/>
    <s v="No"/>
    <s v="4x"/>
    <s v="bejsrtm011smini.bj.intel.com"/>
    <s v="40346"/>
    <s v="E15FF9084D950D00FFFFFFFF"/>
    <s v="C7H7523008VHXNKKC"/>
    <n v="13810419753"/>
    <s v="00440152219522"/>
    <s v="00440152264312"/>
    <n v="13810618773"/>
    <d v="2018-08-16T00:00:00"/>
    <s v="Yes"/>
    <s v="Yes"/>
    <x v="0"/>
  </r>
  <r>
    <s v="Beijing"/>
    <s v="BEJSRTL348"/>
    <s v="Yes"/>
    <s v="Pre-INT/CEB"/>
    <s v="PCIe"/>
    <n v="2510775"/>
    <s v="459/R42/4"/>
    <s v="ICE18"/>
    <x v="1"/>
    <x v="30"/>
    <x v="20"/>
    <x v="1"/>
    <s v="No"/>
    <s v="No"/>
    <s v="4x"/>
    <s v="bijsrtm012smini.bj.intel.com"/>
    <s v="40348"/>
    <s v="E15FE9E2C2080800FFFFFFFF"/>
    <s v="C7H752300CMHXNKK8"/>
    <n v="18614269145"/>
    <s v="00440152262104"/>
    <s v="00440152262306"/>
    <n v="13810831760"/>
    <d v="2018-08-22T00:00:00"/>
    <s v="Yes"/>
    <s v="Yes"/>
    <x v="0"/>
  </r>
  <r>
    <s v="Beijing"/>
    <s v="BEJSRTL350"/>
    <s v="Yes"/>
    <s v="CR"/>
    <s v="PCIe"/>
    <n v="2510860"/>
    <s v="439/R18/2"/>
    <s v="ICE18"/>
    <x v="1"/>
    <x v="25"/>
    <x v="16"/>
    <x v="1"/>
    <s v="No"/>
    <s v="Yes"/>
    <s v="4x"/>
    <s v="7560utt243smini.bj.intel.com"/>
    <s v="40350"/>
    <s v="E15FA97435BE0A00FFFFFFFF"/>
    <s v="C7H751301A7HXNKKW"/>
    <n v="13810695923"/>
    <s v="00440152218077"/>
    <s v="00440152218977"/>
    <n v="18911034305"/>
    <m/>
    <s v="Yes"/>
    <s v="Yes"/>
    <x v="0"/>
  </r>
  <r>
    <s v="Beijing"/>
    <s v="BEJSRTL354"/>
    <s v="Yes"/>
    <s v="CR"/>
    <s v="PCIe"/>
    <n v="3516426"/>
    <s v="439/R33/1"/>
    <s v="ICE18"/>
    <x v="1"/>
    <x v="28"/>
    <x v="17"/>
    <x v="1"/>
    <s v="No"/>
    <s v="No"/>
    <s v="Yes"/>
    <s v="7560utt277smini.bj.intel.com"/>
    <s v="40354"/>
    <s v="E1DF2A1311F10700FFFFFFFF"/>
    <s v="C7H7513006GHXNKK0"/>
    <n v="13800001334"/>
    <s v="00440152262134"/>
    <s v="00440152262336"/>
    <n v="13800001326"/>
    <d v="2018-07-06T00:00:00"/>
    <s v="Yes"/>
    <s v="Yes"/>
    <x v="0"/>
  </r>
  <r>
    <s v="Beijing"/>
    <s v="BEJSRTL356"/>
    <s v="Yes"/>
    <s v="CR"/>
    <s v="PCIe"/>
    <n v="3316676"/>
    <s v="439/R3/8"/>
    <s v="ICE18"/>
    <x v="1"/>
    <x v="25"/>
    <x v="16"/>
    <x v="1"/>
    <s v="No"/>
    <s v="Yes"/>
    <s v="4x"/>
    <s v="bejsrtm003smini.bj.intel.com"/>
    <s v="40356"/>
    <s v="E15FB9BECAD10A00FFFFFFFF"/>
    <s v="C7H751301A1HXNKK2"/>
    <n v="13810420587"/>
    <s v="00440152218078"/>
    <s v="00440152218978"/>
    <n v="18911034357"/>
    <m/>
    <s v="Yes"/>
    <s v="Yes"/>
    <x v="0"/>
  </r>
  <r>
    <s v="Beijing"/>
    <s v="BEJSRTL357"/>
    <s v="Yes"/>
    <s v="CR"/>
    <s v="PCIe"/>
    <n v="3316702"/>
    <s v="439/R19/7"/>
    <s v="ICE18"/>
    <x v="1"/>
    <x v="32"/>
    <x v="21"/>
    <x v="1"/>
    <s v="No"/>
    <s v="No"/>
    <s v="4x"/>
    <s v="7560utt243smini.bj.intel.com"/>
    <s v="40357"/>
    <s v="E15F79B93B5F0800FFFFFFFF"/>
    <s v="C7H7513018THXNKKG"/>
    <n v="13810991205"/>
    <s v="00440152280425"/>
    <s v="00440152262410"/>
    <n v="18501960583"/>
    <d v="2018-06-01T00:00:00"/>
    <s v="Yes"/>
    <s v="Yes"/>
    <x v="0"/>
  </r>
  <r>
    <s v="Beijing"/>
    <s v="BEJSRTL359"/>
    <s v="Yes"/>
    <s v="Daily(SEB)"/>
    <s v="PCIe"/>
    <n v="3316767"/>
    <s v="439/R4/3"/>
    <s v="ICE18"/>
    <x v="0"/>
    <x v="31"/>
    <x v="6"/>
    <x v="1"/>
    <s v="No"/>
    <s v="No"/>
    <s v="4x"/>
    <s v="7560utt175smini.bj.intel.com"/>
    <s v="40359"/>
    <s v="E15FF8D455420D00FFFFFFFF"/>
    <s v="C7H749700FNHXNKK8"/>
    <n v="13810500381"/>
    <s v="00440152219820"/>
    <s v="00440152264610"/>
    <m/>
    <d v="2018-04-27T00:00:00"/>
    <s v="Yes"/>
    <s v="Yes"/>
    <x v="0"/>
  </r>
  <r>
    <s v="Beijing"/>
    <s v="BEJSRTL360"/>
    <s v="Yes"/>
    <s v="Daily(SEB)"/>
    <s v="PCIe"/>
    <n v="3316669"/>
    <s v="2F/R50/2"/>
    <s v="ICE18"/>
    <x v="0"/>
    <x v="31"/>
    <x v="22"/>
    <x v="1"/>
    <s v="No"/>
    <s v="No"/>
    <s v="4x"/>
    <s v="bejsrtm014smini.bj.intel.com"/>
    <s v="40360"/>
    <s v="E1DF2A53CAD50700FFFFFFFF"/>
    <s v="C7H75130082HXNKK8"/>
    <n v="13810013042"/>
    <s v="00440152262144"/>
    <s v="00440152262346"/>
    <m/>
    <d v="2018-06-04T00:00:00"/>
    <s v="Yes"/>
    <s v="Yes"/>
    <x v="0"/>
  </r>
  <r>
    <s v="Beijing"/>
    <s v="BEJSRTL362"/>
    <s v="Yes"/>
    <s v="CR"/>
    <s v="PCIe"/>
    <n v="3299834"/>
    <s v="439/R2/3"/>
    <s v="ICE18"/>
    <x v="1"/>
    <x v="27"/>
    <x v="17"/>
    <x v="1"/>
    <s v="No"/>
    <s v="No"/>
    <s v="4x"/>
    <s v="bejsrtm011smini.bj.intel.com"/>
    <s v="40362"/>
    <s v="E15FB9D073260800FFFFFFFF"/>
    <s v="C7H75130178HXNKK4"/>
    <n v="13810545738"/>
    <s v="00440152262105"/>
    <s v="00440152262307"/>
    <n v="13810019564"/>
    <d v="2018-08-11T00:00:00"/>
    <s v="Yes"/>
    <s v="Yes"/>
    <x v="0"/>
  </r>
  <r>
    <s v="Beijing"/>
    <s v="BEJSRTL363"/>
    <s v="Yes"/>
    <s v="CR"/>
    <s v="PCIe"/>
    <n v="3516348"/>
    <s v="439/R6/6"/>
    <s v="ICE18"/>
    <x v="1"/>
    <x v="30"/>
    <x v="20"/>
    <x v="1"/>
    <s v="No"/>
    <s v="No"/>
    <s v="4x"/>
    <s v="7560utt241smini.bj.intel.com"/>
    <s v="40363"/>
    <s v="E15F5915CFA60A00FFFFFFFF"/>
    <s v="C7H751301ARHXNKKC"/>
    <n v="13167378873"/>
    <s v="00440152262106"/>
    <s v="00440152262308"/>
    <n v="13810672895"/>
    <m/>
    <s v="Yes"/>
    <s v="Yes"/>
    <x v="0"/>
  </r>
  <r>
    <s v="Beijing"/>
    <s v="BEJSRTL364"/>
    <s v="Yes"/>
    <s v="Pre-INT/CEB"/>
    <s v="PCIe"/>
    <n v="3316648"/>
    <s v="439/R5/5"/>
    <s v="ICE18"/>
    <x v="1"/>
    <x v="27"/>
    <x v="17"/>
    <x v="1"/>
    <s v="No"/>
    <s v="No"/>
    <s v="4x"/>
    <s v="7560utt241smini.bj.intel.com"/>
    <s v="40364"/>
    <s v="E1DFDA4EEAF40A00FFFFFFFF"/>
    <s v="C7H751300ZEHXNKKP"/>
    <n v="13810771157"/>
    <s v="00440152262107"/>
    <s v="00440152262309"/>
    <n v="13810773160"/>
    <d v="2018-08-22T00:00:00"/>
    <s v="Yes"/>
    <s v="Yes"/>
    <x v="0"/>
  </r>
  <r>
    <s v="Beijing"/>
    <s v="BEJSRTL365"/>
    <s v="No"/>
    <s v="Daily(SEB)"/>
    <s v="PCIe"/>
    <n v="3316799"/>
    <s v="439/R18/5"/>
    <s v="ICE18"/>
    <x v="1"/>
    <x v="25"/>
    <x v="16"/>
    <x v="1"/>
    <s v="No"/>
    <s v="Yes"/>
    <s v="NA"/>
    <s v="7560utt127smini.bj.intel.com"/>
    <s v="40365"/>
    <s v="E1DF09AA0CBE0A00FFFFFFFF"/>
    <s v="C7H751301CDHXNKKJ"/>
    <n v="13910449749"/>
    <s v="00440152217715"/>
    <s v="00440152218615"/>
    <n v="18911175846"/>
    <d v="2018-08-22T00:00:00"/>
    <s v="Yes"/>
    <s v="Yes"/>
    <x v="0"/>
  </r>
  <r>
    <s v="Beijing"/>
    <s v="BEJSRTL366"/>
    <s v="Yes"/>
    <s v="Pre-INT/CEB"/>
    <s v="PCIe"/>
    <n v="3316814"/>
    <s v="439/R18/6"/>
    <s v="ICE18"/>
    <x v="1"/>
    <x v="32"/>
    <x v="21"/>
    <x v="1"/>
    <s v="No"/>
    <s v="No"/>
    <s v="4x"/>
    <s v="bejsrtm010smini.bj.intel.com"/>
    <s v="40366"/>
    <s v="E15FF9F23B720900FFFFFFFF"/>
    <s v="C7H751301CPHXNKK8"/>
    <n v="13810154346"/>
    <s v="00440152262108"/>
    <s v="00440152262310"/>
    <n v="15501061879"/>
    <m/>
    <s v="Yes"/>
    <s v="Yes"/>
    <x v="0"/>
  </r>
  <r>
    <s v="Beijing"/>
    <s v="BEJSRTL367"/>
    <s v="Yes"/>
    <s v="CR"/>
    <s v="PCIe"/>
    <n v="2250567"/>
    <s v="439/R3/7"/>
    <s v="ICE18"/>
    <x v="1"/>
    <x v="30"/>
    <x v="20"/>
    <x v="1"/>
    <s v="No"/>
    <s v="No"/>
    <s v="4x"/>
    <s v="bejsrtm010smini.bj.intel.com"/>
    <s v="40367"/>
    <s v="E15F699527E50A00FFFFFFFF"/>
    <s v="C7H7513018YHXNKKB"/>
    <n v="18519332575"/>
    <s v="00440152262109"/>
    <s v="00440152262311"/>
    <n v="13810331604"/>
    <d v="2018-08-11T00:00:00"/>
    <s v="Yes"/>
    <s v="Yes"/>
    <x v="0"/>
  </r>
  <r>
    <s v="Beijing"/>
    <s v="BEJSRTL368"/>
    <s v="Yes"/>
    <s v="CR"/>
    <s v="PCIe"/>
    <n v="3516354"/>
    <s v="439/R2/3"/>
    <s v="ICE18"/>
    <x v="1"/>
    <x v="29"/>
    <x v="27"/>
    <x v="1"/>
    <s v="No"/>
    <s v="Yes"/>
    <s v="4x"/>
    <s v="bejsrtm001smini.bj.intel.com"/>
    <s v="40368"/>
    <s v="E1DF39BE1B370800FFFFFFFF"/>
    <s v="C7H7513019ZHXNKK7"/>
    <n v="18010341447"/>
    <s v="00440152262110"/>
    <s v="00440152262312"/>
    <n v="13810609301"/>
    <m/>
    <s v="Yes"/>
    <s v="Yes"/>
    <x v="0"/>
  </r>
  <r>
    <s v="Beijing"/>
    <s v="BEJSRTL369"/>
    <s v="Yes"/>
    <s v="CR"/>
    <s v="PCIe"/>
    <n v="3516386"/>
    <s v="439/R2/4"/>
    <s v="ICE18"/>
    <x v="1"/>
    <x v="32"/>
    <x v="21"/>
    <x v="1"/>
    <s v="No"/>
    <s v="No"/>
    <s v="4x"/>
    <s v="7560utt243smini.bj.intel.com"/>
    <s v="40369"/>
    <s v="E15F490BC4F40A00FFFFFFFF"/>
    <s v="C7H751301CQHXNKK7"/>
    <n v="13810012748"/>
    <s v="00440152262111"/>
    <s v="00440152262313"/>
    <n v="15652478763"/>
    <d v="2018-04-07T00:00:00"/>
    <s v="Yes"/>
    <s v="Yes"/>
    <x v="0"/>
  </r>
  <r>
    <s v="Beijing"/>
    <s v="BEJSRTL370"/>
    <s v="Yes"/>
    <s v="CR"/>
    <s v="PCIe"/>
    <n v="3516401"/>
    <s v="439/R18/4"/>
    <s v="ICE18"/>
    <x v="1"/>
    <x v="25"/>
    <x v="16"/>
    <x v="1"/>
    <s v="No"/>
    <s v="Yes"/>
    <s v="4x"/>
    <s v="bijsrtm012smini.bj.intel.com"/>
    <s v="40370"/>
    <s v="E15F198B93350F00FFFFFFFF"/>
    <s v="C7H7513018SHXNKKH"/>
    <n v="13810269346"/>
    <s v="00440152219490"/>
    <s v="00440152264280"/>
    <n v="18911124216"/>
    <d v="2018-06-01T00:00:00"/>
    <s v="Yes"/>
    <s v="Yes"/>
    <x v="0"/>
  </r>
  <r>
    <s v="Beijing"/>
    <s v="BEJSRTL371"/>
    <s v="Yes"/>
    <s v="CR"/>
    <s v="PCIe"/>
    <n v="3299557"/>
    <s v="459/R37/1"/>
    <s v="ICE18"/>
    <x v="1"/>
    <x v="29"/>
    <x v="19"/>
    <x v="1"/>
    <s v="No"/>
    <s v="Yes"/>
    <s v="4x"/>
    <s v="bejsrtm014smini.bj.intel.com"/>
    <s v="40371"/>
    <s v="E15FB9143A020800FFFFFFFF"/>
    <s v="C7H7513018KHXNKKQ"/>
    <n v="18911034315"/>
    <s v="00440152262112"/>
    <s v="00440152262314"/>
    <n v="13810753202"/>
    <d v="2018-04-10T00:00:00"/>
    <s v="Yes"/>
    <s v="Yes"/>
    <x v="0"/>
  </r>
  <r>
    <s v="Beijing"/>
    <s v="BEJSRTL372"/>
    <s v="Yes"/>
    <s v="CR"/>
    <s v="PCIe"/>
    <n v="3516435"/>
    <s v="459/R37/1"/>
    <s v="ICE18"/>
    <x v="1"/>
    <x v="29"/>
    <x v="19"/>
    <x v="1"/>
    <s v="No"/>
    <s v="Yes"/>
    <s v="4x"/>
    <s v="bijsrtm012smini.bj.intel.com"/>
    <s v="40372"/>
    <s v="E1DF39A8223C0800FFFFFFFF"/>
    <s v="C7H751301BKHXNKKF"/>
    <n v="18010341437"/>
    <s v="00440152219590"/>
    <s v="00440152264380"/>
    <n v="13810163971"/>
    <d v="2018-04-10T00:00:00"/>
    <s v="Yes"/>
    <s v="Yes"/>
    <x v="0"/>
  </r>
  <r>
    <s v="Beijing"/>
    <s v="BEJSRTL373"/>
    <s v="Yes"/>
    <s v="Weekly(UTC)"/>
    <s v="PCIe"/>
    <n v="3516394"/>
    <s v="439/R33/3"/>
    <s v="ICE18"/>
    <x v="0"/>
    <x v="36"/>
    <x v="14"/>
    <x v="1"/>
    <s v="No"/>
    <s v="No"/>
    <s v="Yes"/>
    <s v="7560utt277smini.bj.intel.com"/>
    <s v="40373"/>
    <s v="E1DF2A8D73740200FFFFFFFF"/>
    <s v="C7H751300AAHXNKKU"/>
    <n v="18900670333"/>
    <s v="00440152262113"/>
    <s v="00440152262315"/>
    <m/>
    <m/>
    <s v="Yes"/>
    <s v="Yes"/>
    <x v="0"/>
  </r>
  <r>
    <s v="Beijing"/>
    <s v="BEJSRTL375"/>
    <s v="No"/>
    <s v="Pre-INT/CEB"/>
    <s v="PCIe"/>
    <n v="3316661"/>
    <s v="459/R42/2"/>
    <s v="ICE18"/>
    <x v="1"/>
    <x v="25"/>
    <x v="16"/>
    <x v="1"/>
    <s v="No"/>
    <s v="Yes"/>
    <s v="NA"/>
    <s v="bejsrtm008smini.bj.intel.com"/>
    <s v="40375"/>
    <s v="E15F0999A8A00A00FFFFFFFF"/>
    <s v="C7H752300BVHXNKK3"/>
    <n v="13810274074"/>
    <s v="00440152262114"/>
    <s v="00440152262316"/>
    <n v="18911034365"/>
    <d v="2018-08-22T00:00:00"/>
    <s v="Yes"/>
    <s v="Yes"/>
    <x v="0"/>
  </r>
  <r>
    <s v="Beijing"/>
    <s v="BEJSRTL376"/>
    <s v="Yes"/>
    <s v="Daily(SEB)"/>
    <s v="PCIe"/>
    <n v="3299695"/>
    <s v="2F/R50/2"/>
    <s v="ICE18"/>
    <x v="0"/>
    <x v="31"/>
    <x v="22"/>
    <x v="1"/>
    <s v="No"/>
    <s v="No"/>
    <s v="4x"/>
    <s v="bejsrtm014smini.bj.intel.com"/>
    <s v="40376"/>
    <s v="E1DF5AF759C80700FFFFFFFF"/>
    <s v="C7H75130079HXNKK4"/>
    <n v="13810013224"/>
    <s v="00440152262145"/>
    <s v="00440152262347"/>
    <m/>
    <d v="2018-06-04T00:00:00"/>
    <s v="Yes"/>
    <s v="Yes"/>
    <x v="0"/>
  </r>
  <r>
    <s v="Beijing"/>
    <s v="BEJSRTL513"/>
    <s v="Yes"/>
    <s v="CR"/>
    <s v="PCIe"/>
    <n v="2510671"/>
    <s v="439/R12/3"/>
    <s v="ICE18"/>
    <x v="0"/>
    <x v="26"/>
    <x v="14"/>
    <x v="9"/>
    <s v="Yes"/>
    <s v="Yes"/>
    <s v="4x"/>
    <e v="#N/A"/>
    <m/>
    <s v="E20F2A8499090700FFFFFFFF"/>
    <s v="C7H8103001QHXNKX9"/>
    <n v="18101234774"/>
    <s v="00440152218057"/>
    <s v="00440152218957"/>
    <m/>
    <d v="2018-05-04T00:00:00"/>
    <s v="Yes"/>
    <s v="Yes"/>
    <x v="0"/>
  </r>
  <r>
    <s v="Beijing"/>
    <s v="BEJSRTL378"/>
    <s v="Yes"/>
    <s v="CR"/>
    <s v="PCIe"/>
    <n v="3299704"/>
    <s v="439/R6/6"/>
    <s v="ICE18"/>
    <x v="1"/>
    <x v="27"/>
    <x v="17"/>
    <x v="1"/>
    <s v="No"/>
    <s v="No"/>
    <s v="4x"/>
    <s v="bejsrtm011smini.bj.intel.com"/>
    <s v="40378"/>
    <s v="E1DF398A57E60A00FFFFFFFF"/>
    <s v="C7H751301A3HXNKK0"/>
    <n v="13910438667"/>
    <s v="00440152262115"/>
    <s v="00440152262317"/>
    <n v="13810024314"/>
    <d v="2018-08-16T00:00:00"/>
    <s v="Yes"/>
    <s v="Yes"/>
    <x v="0"/>
  </r>
  <r>
    <s v="Beijing"/>
    <s v="BEJSRTL379"/>
    <s v="Yes"/>
    <s v="Pre-INT/CEB"/>
    <s v="PCIe"/>
    <n v="2510699"/>
    <s v="439/R3/8"/>
    <s v="ICE18"/>
    <x v="1"/>
    <x v="29"/>
    <x v="19"/>
    <x v="1"/>
    <s v="No"/>
    <s v="Yes"/>
    <s v="4x"/>
    <s v="bejsrtm011smini.bj.intel.com"/>
    <s v="40379"/>
    <s v="E15FB93ED6100800FFFFFFFF"/>
    <s v="C7H751301A4HXNKKZ"/>
    <n v="18911034363"/>
    <s v="00440152218076"/>
    <s v="00440152218976"/>
    <n v="13811077820"/>
    <d v="2018-06-12T00:00:00"/>
    <s v="Yes"/>
    <s v="Yes"/>
    <x v="0"/>
  </r>
  <r>
    <s v="Beijing"/>
    <s v="BEJSRTL381"/>
    <s v="Yes"/>
    <s v="Pre-INT/CEB"/>
    <s v="PCIe"/>
    <n v="2510679"/>
    <s v="439/R8/6"/>
    <s v="ICE18"/>
    <x v="1"/>
    <x v="32"/>
    <x v="9"/>
    <x v="1"/>
    <s v="No"/>
    <s v="No"/>
    <s v="4x"/>
    <s v="bejsrtm010smini.bj.intel.com"/>
    <s v="40381"/>
    <s v="E1DF9A68A3310F00FFFFFFFF"/>
    <s v="C7H751300YJHXNKKN"/>
    <n v="13810503592"/>
    <s v="00440152219704"/>
    <s v="00440152264494"/>
    <n v="13220103536"/>
    <d v="2018-08-22T00:00:00"/>
    <s v="Yes"/>
    <s v="Yes"/>
    <x v="0"/>
  </r>
  <r>
    <s v="Beijing"/>
    <s v="BEJSRTL385"/>
    <s v="Yes"/>
    <s v="CR"/>
    <s v="PCIe"/>
    <n v="2510809"/>
    <s v="459/R42/8"/>
    <s v="ICE18"/>
    <x v="1"/>
    <x v="30"/>
    <x v="24"/>
    <x v="1"/>
    <s v="No"/>
    <s v="No"/>
    <s v="4x"/>
    <s v="7560utt241smini.bj.intel.com"/>
    <s v="40385"/>
    <s v="E15F097754700F00FFFFFFFF"/>
    <s v="C7H75230082HXNKK5"/>
    <n v="15652449018"/>
    <s v="00440152218037"/>
    <s v="00440152218937"/>
    <n v="13810147974"/>
    <d v="2018-04-07T00:00:00"/>
    <s v="Yes"/>
    <s v="Yes"/>
    <x v="0"/>
  </r>
  <r>
    <s v="Beijing"/>
    <s v="BEJSRTL386"/>
    <s v="Yes"/>
    <s v="CR"/>
    <s v="PCIe"/>
    <n v="2510861"/>
    <s v="439/R18/1"/>
    <s v="ICE18"/>
    <x v="1"/>
    <x v="32"/>
    <x v="21"/>
    <x v="1"/>
    <s v="No"/>
    <s v="No"/>
    <s v="4x"/>
    <s v="7560utt236smini.bj.intel.com"/>
    <s v="40386"/>
    <s v="E1DFBA5458391000FFFFFFFF"/>
    <s v="C7H7513012MHXNKK6"/>
    <n v="13810857613"/>
    <s v="00440152219466"/>
    <s v="00440152264256"/>
    <n v="18519789075"/>
    <d v="2018-06-01T00:00:00"/>
    <s v="Yes"/>
    <s v="Yes"/>
    <x v="0"/>
  </r>
  <r>
    <s v="Beijing"/>
    <s v="BEJSRTL388"/>
    <s v="Yes"/>
    <s v="Pre-INT/CEB"/>
    <s v="PCIe"/>
    <n v="2510905"/>
    <s v="439/R3/6"/>
    <s v="ICE18"/>
    <x v="1"/>
    <x v="25"/>
    <x v="16"/>
    <x v="1"/>
    <s v="No"/>
    <s v="Yes"/>
    <s v="4x"/>
    <s v="bejsrtm011smini.bj.intel.com"/>
    <s v="40388"/>
    <s v="E15F69A7A6B00A00FFFFFFFF"/>
    <s v="C7H7523007VHXNKKF"/>
    <n v="13810259675"/>
    <s v="00440152262116"/>
    <s v="00440152262318"/>
    <n v="13331048797"/>
    <d v="2018-04-10T00:00:00"/>
    <s v="Yes"/>
    <s v="Yes"/>
    <x v="0"/>
  </r>
  <r>
    <s v="Beijing"/>
    <s v="BEJSRTL390"/>
    <s v="Yes"/>
    <s v="CR"/>
    <s v="PCIe"/>
    <n v="2510845"/>
    <s v="439/R12/6"/>
    <s v="ICE18"/>
    <x v="1"/>
    <x v="30"/>
    <x v="20"/>
    <x v="1"/>
    <s v="No"/>
    <s v="No"/>
    <s v="4x"/>
    <s v="bejsrtm010smini.bj.intel.com"/>
    <s v="40390"/>
    <s v="E1DFBA8CFC060200FFFFFFFF"/>
    <s v="C7H751300ZHHXNKKL"/>
    <n v="18518946562"/>
    <s v="00440152217944"/>
    <s v="00440152218844"/>
    <n v="13810282494"/>
    <d v="2018-08-11T00:00:00"/>
    <s v="Yes"/>
    <s v="Yes"/>
    <x v="0"/>
  </r>
  <r>
    <s v="Beijing"/>
    <s v="BEJSRTL392"/>
    <s v="No"/>
    <s v="CR"/>
    <s v="PCIe"/>
    <n v="2510807"/>
    <s v="2F/R43/5"/>
    <s v="ICE18"/>
    <x v="1"/>
    <x v="32"/>
    <x v="21"/>
    <x v="1"/>
    <s v="No"/>
    <s v="No"/>
    <s v="4x"/>
    <s v="7560utt236smini.bj.intel.com"/>
    <s v="40392"/>
    <s v="E15F692DE5BE0A00FFFFFFFF"/>
    <s v="C7H7523007UHXNKKG"/>
    <n v="13810069194"/>
    <s v="00440152262117"/>
    <s v="00440152262319"/>
    <n v="13164299413"/>
    <m/>
    <s v="Yes"/>
    <s v="Yes"/>
    <x v="0"/>
  </r>
  <r>
    <s v="Beijing"/>
    <s v="BEJSRTL393"/>
    <s v="Yes"/>
    <s v="CR"/>
    <s v="PCIe"/>
    <n v="2510719"/>
    <s v="2F/R43/1"/>
    <s v="ICE18"/>
    <x v="1"/>
    <x v="29"/>
    <x v="19"/>
    <x v="1"/>
    <s v="No"/>
    <s v="Yes"/>
    <s v="4x"/>
    <s v="7560utt236smini.bj.intel.com"/>
    <s v="40393"/>
    <s v="E15F490586FB0A00FFFFFFFF"/>
    <s v="C7H75230084HXNKK3"/>
    <n v="18911175941"/>
    <s v="00440152218085"/>
    <s v="00440152218985"/>
    <n v="13810144648"/>
    <m/>
    <s v="Yes"/>
    <s v="Yes"/>
    <x v="0"/>
  </r>
  <r>
    <s v="Beijing"/>
    <s v="BEJSRTL394"/>
    <s v="Yes"/>
    <s v="CR"/>
    <s v="PCIe"/>
    <n v="2250547"/>
    <s v="439/R6/7"/>
    <s v="ICE18"/>
    <x v="1"/>
    <x v="29"/>
    <x v="19"/>
    <x v="1"/>
    <s v="No"/>
    <s v="Yes"/>
    <s v="4x"/>
    <s v="7560utt236smini.bj.intel.com"/>
    <s v="40394"/>
    <s v="E15F09EF66620900FFFFFFFF"/>
    <s v="C7H7523007THXNKKH"/>
    <n v="18911175844"/>
    <s v="00440152262118"/>
    <s v="00440152262320"/>
    <n v="13810419451"/>
    <d v="2018-03-08T00:00:00"/>
    <s v="Yes"/>
    <s v="Yes"/>
    <x v="0"/>
  </r>
  <r>
    <s v="Beijing"/>
    <s v="BEJSRTL395"/>
    <s v="Yes"/>
    <s v="CR"/>
    <s v="PCIe"/>
    <n v="3516393"/>
    <s v="439/R6/4"/>
    <s v="ICE18"/>
    <x v="1"/>
    <x v="30"/>
    <x v="24"/>
    <x v="1"/>
    <s v="No"/>
    <s v="No"/>
    <s v="4x"/>
    <s v="7560utt241smini.bj.intel.com"/>
    <s v="40395"/>
    <s v="E1DF195A61CE0A00FFFFFFFF"/>
    <s v="C7H751301AWHXNKK7"/>
    <n v="13011829457"/>
    <s v="00440152218061"/>
    <s v="00440152218961"/>
    <n v="13910436925"/>
    <d v="2018-04-07T00:00:00"/>
    <s v="Yes"/>
    <s v="Yes"/>
    <x v="0"/>
  </r>
  <r>
    <s v="Beijing"/>
    <s v="BEJSRTL396"/>
    <s v="Yes"/>
    <s v="Daily(SEB)"/>
    <s v="PCIe"/>
    <n v="3516376"/>
    <s v="459/R42/7"/>
    <s v="ICE18"/>
    <x v="1"/>
    <x v="27"/>
    <x v="17"/>
    <x v="1"/>
    <s v="No"/>
    <s v="No"/>
    <s v="4x"/>
    <s v="bejsrtm011smini.bj.intel.com"/>
    <s v="40396"/>
    <s v="E1DF19063AC80A00FFFFFFFF"/>
    <s v="C7H751301CRHXNKK6"/>
    <n v="13810573781"/>
    <s v="00440152219651"/>
    <s v="00440152264441"/>
    <n v="13810020441"/>
    <d v="2018-08-16T00:00:00"/>
    <s v="Yes"/>
    <s v="Yes"/>
    <x v="0"/>
  </r>
  <r>
    <s v="Beijing"/>
    <s v="BEJSRTL397"/>
    <s v="Yes"/>
    <s v="CR"/>
    <s v="PCIe"/>
    <n v="3516380"/>
    <s v="439/R6/7"/>
    <s v="ICE18"/>
    <x v="1"/>
    <x v="29"/>
    <x v="19"/>
    <x v="1"/>
    <s v="No"/>
    <s v="Yes"/>
    <s v="4x"/>
    <s v="bejsrtm001smini.bj.intel.com"/>
    <s v="40397"/>
    <s v="E15F59970E380800FFFFFFFF"/>
    <s v="C7H7523008ZHXNKK8"/>
    <n v="18911175542"/>
    <s v="00440152262119"/>
    <s v="00440152262321"/>
    <n v="13810286245"/>
    <d v="2018-06-01T00:00:00"/>
    <s v="Yes"/>
    <s v="Yes"/>
    <x v="0"/>
  </r>
  <r>
    <s v="Beijing"/>
    <s v="BEJSRTL398"/>
    <s v="No"/>
    <s v="Daily(SEB)"/>
    <s v="PCIe"/>
    <n v="3316803"/>
    <s v="439/R6/4"/>
    <s v="ICE18"/>
    <x v="1"/>
    <x v="25"/>
    <x v="16"/>
    <x v="1"/>
    <s v="No"/>
    <s v="Yes"/>
    <s v="NA"/>
    <s v="bejsrtm003smini.bj.intel.com"/>
    <s v="40398"/>
    <s v="E15F783641AE0D00FFFFFFFF"/>
    <s v="C7H749700CUHXNKKB"/>
    <n v="13810137974"/>
    <s v="00440152262120"/>
    <s v="00440152262322"/>
    <n v="18101234764"/>
    <d v="2018-08-22T00:00:00"/>
    <s v="Yes"/>
    <s v="Yes"/>
    <x v="0"/>
  </r>
  <r>
    <s v="Beijing"/>
    <s v="BEJSRTL399"/>
    <s v="Yes"/>
    <s v="CR"/>
    <s v="PCIe"/>
    <n v="3516361"/>
    <s v="439/R6/5"/>
    <s v="ICE18"/>
    <x v="1"/>
    <x v="27"/>
    <x v="17"/>
    <x v="1"/>
    <s v="No"/>
    <s v="No"/>
    <s v="4x"/>
    <s v="bejsrtm011smini.bj.intel.com"/>
    <s v="40399"/>
    <s v="E15FE9B82C780F00FFFFFFFF"/>
    <s v="C7H752300AKHXNKKG"/>
    <n v="13810420673"/>
    <s v="00440152262121"/>
    <s v="00440152262323"/>
    <n v="13810171523"/>
    <d v="2018-08-11T00:00:00"/>
    <s v="Yes"/>
    <s v="Yes"/>
    <x v="0"/>
  </r>
  <r>
    <s v="Beijing"/>
    <s v="BEJSRTL400"/>
    <s v="Yes"/>
    <s v="CR"/>
    <s v="PCIe"/>
    <n v="3516445"/>
    <s v="439/R1/1"/>
    <s v="ICE18"/>
    <x v="1"/>
    <x v="27"/>
    <x v="17"/>
    <x v="1"/>
    <s v="No"/>
    <s v="No"/>
    <s v="4x"/>
    <s v="bejsrtm011smini.bj.intel.com"/>
    <s v="40400"/>
    <s v="E1DF1AEB27D90600FFFFFFFF"/>
    <s v="C7H751300YMHXNKKK"/>
    <n v="13811815477"/>
    <s v="00440152218071"/>
    <s v="00440152218971"/>
    <n v="13910673247"/>
    <d v="2018-08-11T00:00:00"/>
    <s v="Yes"/>
    <s v="Yes"/>
    <x v="0"/>
  </r>
  <r>
    <s v="Beijing"/>
    <s v="BEJSRTL401"/>
    <s v="No"/>
    <s v="Pre-INT/CEB"/>
    <s v="PCIe"/>
    <n v="2510456"/>
    <s v="439/R5/7"/>
    <s v="ICE18"/>
    <x v="1"/>
    <x v="25"/>
    <x v="16"/>
    <x v="1"/>
    <s v="No"/>
    <s v="Yes"/>
    <s v="NA"/>
    <s v="bejsrtm011smini.bj.intel.com"/>
    <s v="40401"/>
    <s v="E15F69EDD7E40A00FFFFFFFF"/>
    <s v="C7H7523007ZHXNKKB"/>
    <n v="13811080351"/>
    <s v="00440152218073"/>
    <s v="00440152218973"/>
    <n v="18911175584"/>
    <d v="2018-08-22T00:00:00"/>
    <s v="Yes"/>
    <s v="Yes"/>
    <x v="0"/>
  </r>
  <r>
    <s v="Beijing"/>
    <s v="BEJSRTL402"/>
    <s v="Yes"/>
    <s v="CR"/>
    <s v="PCIe"/>
    <n v="2510422"/>
    <s v="439/R5/5"/>
    <s v="ICE18"/>
    <x v="1"/>
    <x v="27"/>
    <x v="17"/>
    <x v="1"/>
    <s v="No"/>
    <s v="No"/>
    <s v="4x"/>
    <s v="bejsrtm011smini.bj.intel.com"/>
    <s v="40402"/>
    <s v="E1DF2A93C3741000FFFFFFFF"/>
    <s v="C7H751300Y0HXNKK6"/>
    <n v="13810559861"/>
    <s v="00440152262122"/>
    <s v="00440152262324"/>
    <n v="13810593751"/>
    <d v="2018-08-11T00:00:00"/>
    <s v="Yes"/>
    <s v="Yes"/>
    <x v="0"/>
  </r>
  <r>
    <s v="Beijing"/>
    <s v="BEJSRTL404"/>
    <s v="Yes"/>
    <s v="Pre-INT/CEB"/>
    <s v="PCIe"/>
    <n v="2250546"/>
    <s v="2F/R50/3"/>
    <s v="ICE18"/>
    <x v="0"/>
    <x v="31"/>
    <x v="22"/>
    <x v="1"/>
    <s v="No"/>
    <s v="No"/>
    <s v="4x"/>
    <s v="bejsrtm014smini.bj.intel.com"/>
    <s v="40404"/>
    <s v="E1DFDAB61D020400FFFFFFFF"/>
    <s v="C7H7513009PHXNKKJ"/>
    <n v="13810013243"/>
    <s v="00440152262143"/>
    <s v="00440152262345"/>
    <m/>
    <d v="2018-06-14T00:00:00"/>
    <s v="Yes"/>
    <s v="Yes"/>
    <x v="0"/>
  </r>
  <r>
    <s v="Beijing"/>
    <s v="BEJSRTL405"/>
    <s v="Yes"/>
    <s v="Pre-INT/CEB"/>
    <s v="PCIe"/>
    <n v="2510548"/>
    <s v="439/R1/4"/>
    <s v="ICE18"/>
    <x v="1"/>
    <x v="25"/>
    <x v="16"/>
    <x v="1"/>
    <s v="No"/>
    <s v="Yes"/>
    <s v="4x"/>
    <s v="bejsrtm011smini.bj.intel.com"/>
    <s v="40405"/>
    <s v="E1DF4A87320B1000FFFFFFFF"/>
    <s v="C7H7513012QHXNKK3"/>
    <n v="13910643947"/>
    <s v="00440152262123"/>
    <s v="00440152262325"/>
    <n v="13331048802"/>
    <d v="2018-04-11T00:00:00"/>
    <s v="Yes"/>
    <s v="Yes"/>
    <x v="0"/>
  </r>
  <r>
    <s v="Beijing"/>
    <s v="BEJSRTL406"/>
    <s v="Yes"/>
    <s v="CR"/>
    <s v="PCIe"/>
    <n v="2250559"/>
    <s v="459/R42/3"/>
    <s v="ICE18"/>
    <x v="1"/>
    <x v="35"/>
    <x v="15"/>
    <x v="1"/>
    <s v="No"/>
    <s v="Yes"/>
    <s v="4x"/>
    <s v="bejsrtm002smini.bj.intel.com"/>
    <s v="40406"/>
    <s v="E1DFEA002C320C00FFFFFFFF"/>
    <s v="C7H751300BEHXNKKM"/>
    <n v="18911034562"/>
    <s v="00440152218116"/>
    <s v="00440152219016"/>
    <n v="15510093952"/>
    <d v="2018-06-14T00:00:00"/>
    <s v="Yes"/>
    <s v="Yes"/>
    <x v="0"/>
  </r>
  <r>
    <s v="Beijing"/>
    <s v="BEJSRTL408"/>
    <s v="Yes"/>
    <s v="CR"/>
    <s v="PCIe"/>
    <n v="2510615"/>
    <s v="439/R9/6"/>
    <s v="ICE18"/>
    <x v="1"/>
    <x v="30"/>
    <x v="24"/>
    <x v="1"/>
    <s v="No"/>
    <s v="No"/>
    <s v="4x"/>
    <s v="7560utt241smini.bj.intel.com"/>
    <s v="40408"/>
    <s v="E1DF3A13BB810700FFFFFFFF"/>
    <s v="C7H75130070HXNKKD  "/>
    <n v="18519359248"/>
    <s v="00440152262124"/>
    <s v="00440152262326"/>
    <n v="13811011003"/>
    <d v="2018-04-07T00:00:00"/>
    <s v="Yes"/>
    <s v="Yes"/>
    <x v="0"/>
  </r>
  <r>
    <s v="Beijing"/>
    <s v="BEJSRTL409"/>
    <s v="No"/>
    <s v="Daily(SEB)"/>
    <s v="PCIe"/>
    <n v="2510686"/>
    <s v="439/R4/8"/>
    <s v="ICE18"/>
    <x v="1"/>
    <x v="2"/>
    <x v="2"/>
    <x v="1"/>
    <s v="No"/>
    <s v="No"/>
    <s v="NA"/>
    <s v="7560utt241smini.bj.intel.com"/>
    <s v="40409"/>
    <s v="E1DF2ACD6F551000FFFFFFFF"/>
    <s v="C7H7513009UHXNKKD"/>
    <m/>
    <s v="00440152218136"/>
    <s v="00440152219036"/>
    <m/>
    <d v="2018-08-22T00:00:00"/>
    <s v="Yes"/>
    <s v="Yes"/>
    <x v="0"/>
  </r>
  <r>
    <s v="Beijing"/>
    <s v="BEJSRTL420"/>
    <s v="Yes"/>
    <s v="Pre-INT/CEB"/>
    <s v="PCIe"/>
    <n v="2983375"/>
    <s v="439/R1/2"/>
    <s v="ICE18"/>
    <x v="1"/>
    <x v="25"/>
    <x v="16"/>
    <x v="1"/>
    <s v="No"/>
    <s v="Yes"/>
    <s v="4x"/>
    <s v="bejsrtm011smini.bj.intel.com"/>
    <s v="40420"/>
    <s v="E1DFEA9E39270C00FFFFFFFF"/>
    <s v="C7H7513012PHXNKK4"/>
    <n v="13810145154"/>
    <s v="00440152219658"/>
    <s v="00440152264448"/>
    <n v="13331048803"/>
    <d v="2018-04-10T00:00:00"/>
    <s v="Yes"/>
    <s v="Yes"/>
    <x v="0"/>
  </r>
  <r>
    <s v="Beijing"/>
    <s v="BEJSRTL421"/>
    <s v="Yes"/>
    <s v="Daily(SEB)"/>
    <s v="PCIe"/>
    <n v="3516370"/>
    <s v="439/R5/7"/>
    <s v="ICE18"/>
    <x v="1"/>
    <x v="29"/>
    <x v="28"/>
    <x v="1"/>
    <s v="No"/>
    <s v="Yes"/>
    <s v="4x"/>
    <s v="bejsrtm002smini.bj.intel.com"/>
    <s v="40421"/>
    <s v="E15F59B934FB0A00FFFFFFFF"/>
    <s v="C7H75230096HXNKKY"/>
    <n v="18911175841"/>
    <s v="00440152219499"/>
    <s v="00440152264289"/>
    <n v="13810068254"/>
    <m/>
    <s v="Yes"/>
    <s v="Yes"/>
    <x v="0"/>
  </r>
  <r>
    <s v="Beijing"/>
    <s v="BEJSRTL422"/>
    <s v="Yes"/>
    <s v="Pre-INT/CEB"/>
    <s v="PCIe"/>
    <n v="3633215"/>
    <s v="439/R9/6"/>
    <s v="ICE18"/>
    <x v="1"/>
    <x v="29"/>
    <x v="19"/>
    <x v="1"/>
    <s v="No"/>
    <s v="Yes"/>
    <s v="4x"/>
    <s v="bejsrtm009smini.bj.intel.com"/>
    <s v="40422"/>
    <s v="E1DF4A5508950700FFFFFFFF"/>
    <s v="C7H751300B0HXNKK1"/>
    <n v="18910548489"/>
    <s v="00440152262079"/>
    <s v="00440152262281"/>
    <n v="13810252248"/>
    <d v="2018-04-26T00:00:00"/>
    <s v="Yes"/>
    <s v="Yes"/>
    <x v="0"/>
  </r>
  <r>
    <s v="Beijing"/>
    <s v="BEJSRTL423"/>
    <s v="Yes"/>
    <s v="Pre-INT/CEB"/>
    <s v="PCIe"/>
    <n v="3516371"/>
    <s v="459/R40/1"/>
    <s v="ICE18"/>
    <x v="1"/>
    <x v="32"/>
    <x v="21"/>
    <x v="1"/>
    <s v="No"/>
    <s v="No"/>
    <s v="4x"/>
    <s v="bejsrtm010smini.bj.intel.com"/>
    <s v="40423"/>
    <s v="E1DFBAF2A4450F00FFFFFFFF"/>
    <s v="C7H7513012LHXNKK7"/>
    <n v="13810072841"/>
    <s v="00440152262125"/>
    <s v="00440152262327"/>
    <n v="18511891450"/>
    <m/>
    <s v="Yes"/>
    <s v="Yes"/>
    <x v="0"/>
  </r>
  <r>
    <s v="Beijing"/>
    <s v="BEJSRTL424"/>
    <s v="Yes"/>
    <s v="CR"/>
    <s v="PCIe"/>
    <n v="3516359"/>
    <s v="459/R36/1"/>
    <s v="ICE18"/>
    <x v="1"/>
    <x v="29"/>
    <x v="19"/>
    <x v="1"/>
    <s v="No"/>
    <s v="Yes"/>
    <s v="4x"/>
    <s v="7560utt236smini.bj.intel.com"/>
    <s v="40424"/>
    <s v="E15FB926D1D80A00FFFFFFFF"/>
    <s v="C7H7513017MHXNKKR"/>
    <n v="18911175814"/>
    <s v="00400152217714"/>
    <s v="00440152218614"/>
    <n v="13810077934"/>
    <d v="2018-06-01T00:00:00"/>
    <s v="Yes"/>
    <s v="Yes"/>
    <x v="0"/>
  </r>
  <r>
    <s v="Beijing"/>
    <s v="BEJSRTL425"/>
    <s v="Yes"/>
    <s v="other site"/>
    <s v="PCIe"/>
    <n v="3220222"/>
    <s v="2F/R43/7"/>
    <s v="ICE18"/>
    <x v="0"/>
    <x v="31"/>
    <x v="0"/>
    <x v="1"/>
    <s v="No"/>
    <s v="No"/>
    <s v="4x"/>
    <s v="bejsrtm005smini.bj.intel.com"/>
    <s v="40425"/>
    <s v="E1DFDAEE926A0300FFFFFFFF"/>
    <s v="C7H75130094HXNKK3"/>
    <n v="13911713141"/>
    <s v="00440152219516"/>
    <s v="00440152264306"/>
    <m/>
    <d v="2018-04-03T00:00:00"/>
    <s v="Yes"/>
    <s v="Yes"/>
    <x v="0"/>
  </r>
  <r>
    <s v="Beijing"/>
    <s v="BEJSRTL426"/>
    <s v="Yes"/>
    <s v="CR"/>
    <s v="PCIe"/>
    <n v="3633247"/>
    <s v="2F/R45/7"/>
    <s v="ICE18"/>
    <x v="1"/>
    <x v="38"/>
    <x v="29"/>
    <x v="1"/>
    <s v="No"/>
    <s v="Yes"/>
    <s v="4x"/>
    <s v="7560utt241smini.bj.intel.com"/>
    <s v="40426"/>
    <s v="E15F695B19FA0A00FFFFFFFF"/>
    <s v="C7H75130190HXNKK6"/>
    <n v="18516976471"/>
    <s v="00440152219604"/>
    <s v="00440152264394"/>
    <n v="18910826413"/>
    <d v="2018-04-08T00:00:00"/>
    <s v="Yes"/>
    <s v="Yes"/>
    <x v="0"/>
  </r>
  <r>
    <s v="Beijing"/>
    <s v="BEJSRTL427"/>
    <s v="Yes"/>
    <s v="Daily(SEB)"/>
    <s v="PCIe"/>
    <n v="3633152"/>
    <s v="439/R17/1"/>
    <s v="ICE18"/>
    <x v="1"/>
    <x v="38"/>
    <x v="29"/>
    <x v="1"/>
    <s v="No"/>
    <s v="Yes"/>
    <s v="4x"/>
    <s v="bejsrtm002smini.bj.intel.com"/>
    <s v="40427"/>
    <s v="E1DFCABE80530F00FFFFFFFF"/>
    <s v="C7H7513012NHXNKK5"/>
    <n v="13260033179"/>
    <s v="00440152262126"/>
    <s v="00440152262328"/>
    <n v="18911175564"/>
    <d v="2018-04-09T00:00:00"/>
    <s v="Yes"/>
    <s v="Yes"/>
    <x v="0"/>
  </r>
  <r>
    <s v="Beijing"/>
    <s v="BEJSRTL428"/>
    <s v="Yes"/>
    <s v="CR"/>
    <s v="PCIe"/>
    <n v="3633224"/>
    <s v="439/R6/1"/>
    <s v="ICE18"/>
    <x v="1"/>
    <x v="38"/>
    <x v="29"/>
    <x v="1"/>
    <s v="No"/>
    <s v="Yes"/>
    <s v="4x"/>
    <s v="bejsrtm002smini.bj.intel.com"/>
    <s v="40428"/>
    <s v="E1DF3A2156531000FFFFFFFF"/>
    <s v="C7H751300ZZHXNKK4"/>
    <n v="18519264772"/>
    <s v="00440152219473"/>
    <s v="00440152264263"/>
    <n v="18911175634"/>
    <d v="2018-04-09T00:00:00"/>
    <s v="Yes"/>
    <s v="Yes"/>
    <x v="0"/>
  </r>
  <r>
    <s v="Beijing"/>
    <s v="BEJSRTL429"/>
    <s v="Yes"/>
    <s v="CR"/>
    <s v="PCIe"/>
    <n v="3648251"/>
    <s v="439/R1/3"/>
    <s v="ICE18"/>
    <x v="1"/>
    <x v="30"/>
    <x v="24"/>
    <x v="1"/>
    <s v="No"/>
    <s v="No"/>
    <s v="4x"/>
    <s v="7560utt236smini.bj.intel.com"/>
    <s v="40429"/>
    <s v="E1DF2A4741CE0700FFFFFFFF"/>
    <s v="C7H7513008CHXNKKY"/>
    <n v="13141364077"/>
    <s v="00440152262127"/>
    <s v="00440152262329"/>
    <n v="13910617462"/>
    <d v="2018-03-20T00:00:00"/>
    <s v="Yes"/>
    <s v="Yes"/>
    <x v="0"/>
  </r>
  <r>
    <s v="Beijing"/>
    <s v="BEJSRTL430"/>
    <s v="Yes"/>
    <s v="CR"/>
    <s v="PCIe"/>
    <n v="3648215"/>
    <s v="2F/R44/ 5"/>
    <s v="ICE18"/>
    <x v="1"/>
    <x v="38"/>
    <x v="29"/>
    <x v="1"/>
    <s v="No"/>
    <s v="Yes"/>
    <s v="4x"/>
    <s v="bejsrtm002smini.bj.intel.com"/>
    <s v="40430"/>
    <s v="E15FE94A0B0D0F00FFFFFFFF"/>
    <s v="C7H7523008LHXNKKM"/>
    <n v="13263416594"/>
    <s v="00440152262128"/>
    <s v="00440152262330"/>
    <n v="13331048805"/>
    <d v="2018-04-09T00:00:00"/>
    <s v="Yes"/>
    <s v="Yes"/>
    <x v="0"/>
  </r>
  <r>
    <s v="Beijing"/>
    <s v="BEJSRTL431"/>
    <s v="Yes"/>
    <s v="Pre-INT/CEB"/>
    <s v="PCIe"/>
    <n v="3648232"/>
    <s v="2F/R44/ 2"/>
    <s v="ICE18"/>
    <x v="0"/>
    <x v="26"/>
    <x v="13"/>
    <x v="1"/>
    <s v="No"/>
    <s v="Yes"/>
    <s v="4x"/>
    <s v="bejsrtm005smini.bj.intel.com"/>
    <s v="40431"/>
    <s v="E15F393B53890A00FFFFFFFF"/>
    <s v="C7H7523009RHXNKKD"/>
    <n v="13331048806"/>
    <s v="00440152218147"/>
    <s v="00440152219047"/>
    <m/>
    <d v="2018-04-06T00:00:00"/>
    <s v="Yes"/>
    <s v="Yes"/>
    <x v="0"/>
  </r>
  <r>
    <s v="Beijing"/>
    <s v="BEJSRTL432"/>
    <s v="Yes"/>
    <s v="CR"/>
    <s v="PCIe"/>
    <n v="3648384"/>
    <s v="439/R2/1"/>
    <s v="ICE18"/>
    <x v="1"/>
    <x v="38"/>
    <x v="29"/>
    <x v="1"/>
    <s v="No"/>
    <s v="Yes"/>
    <s v="4x"/>
    <s v="bejsrtm001smini.bj.intel.com"/>
    <s v="40432"/>
    <s v="E1DFAA40D4470C00FFFFFFFF"/>
    <s v="C7H751300ZXHXNKK6"/>
    <n v="18519784971"/>
    <s v="00440152262129"/>
    <s v="00440152262331"/>
    <n v="18911175554"/>
    <d v="2018-04-09T00:00:00"/>
    <s v="Yes"/>
    <s v="Yes"/>
    <x v="0"/>
  </r>
  <r>
    <s v="Beijing"/>
    <s v="BEJSRTL433"/>
    <s v="Yes"/>
    <s v="other site"/>
    <s v="PCIe"/>
    <n v="3648408"/>
    <s v="2F/R43/6"/>
    <s v="ICE18"/>
    <x v="0"/>
    <x v="31"/>
    <x v="0"/>
    <x v="1"/>
    <s v="No"/>
    <s v="No"/>
    <s v="4x"/>
    <s v="bejsrtm005smini.bj.intel.com"/>
    <s v="40433"/>
    <s v="E15F1909980C0900FFFFFFFF"/>
    <s v="C7H75230086HXNKK1"/>
    <n v="13911453476"/>
    <s v="00440152218131"/>
    <s v="00440152219031"/>
    <m/>
    <d v="2018-04-03T00:00:00"/>
    <s v="Yes"/>
    <s v="Yes"/>
    <x v="0"/>
  </r>
  <r>
    <s v="Beijing"/>
    <s v="BEJSRTL434"/>
    <s v="Yes"/>
    <s v="Pre-INT/CEB"/>
    <s v="PCIe"/>
    <n v="3648462"/>
    <s v="2F/R43/2"/>
    <s v="ICE18"/>
    <x v="0"/>
    <x v="31"/>
    <x v="0"/>
    <x v="1"/>
    <s v="No"/>
    <s v="No"/>
    <s v="4x"/>
    <s v="bejsrtm005smini.bj.intel.com"/>
    <s v="40434"/>
    <s v="E15FE9DC264B0F00FFFFFFFF"/>
    <s v="C7H752300A8HXNKKT"/>
    <n v="13911725844"/>
    <s v="00440152219470"/>
    <s v="00440152264260"/>
    <m/>
    <d v="2018-04-03T00:00:00"/>
    <s v="Yes"/>
    <s v="Yes"/>
    <x v="0"/>
  </r>
  <r>
    <s v="Beijing"/>
    <s v="BEJSRTL435"/>
    <s v="Yes"/>
    <s v="Weekly(UTC)"/>
    <s v="PCIe"/>
    <n v="3648240"/>
    <s v="459/R41/5"/>
    <s v="ICE18"/>
    <x v="0"/>
    <x v="31"/>
    <x v="22"/>
    <x v="1"/>
    <s v="No"/>
    <s v="No"/>
    <s v="4x"/>
    <s v="7560utt275smini.bj.intel.com"/>
    <s v="40435"/>
    <s v="E15FA9AE625B0800FFFFFFFF"/>
    <s v="C7H7513019FHXNKKR"/>
    <n v="13810736781"/>
    <s v="00440152262130"/>
    <s v="00440152262332"/>
    <m/>
    <d v="2018-03-28T00:00:00"/>
    <s v="Yes"/>
    <s v="Yes"/>
    <x v="0"/>
  </r>
  <r>
    <s v="Beijing"/>
    <s v="BEJSRTL436"/>
    <s v="Yes"/>
    <s v="Pre-INT/CEB"/>
    <s v="PCIe"/>
    <n v="3648214"/>
    <s v="2F/R43/7"/>
    <s v="ICE18"/>
    <x v="1"/>
    <x v="30"/>
    <x v="20"/>
    <x v="1"/>
    <s v="No"/>
    <s v="No"/>
    <s v="4x"/>
    <s v="bejsrtm002smini.bj.intel.com"/>
    <s v="40436"/>
    <s v="E15F792BD88C0A00FFFFFFFF"/>
    <s v="C7H7523009PHXNKKF"/>
    <n v="13269732038"/>
    <s v="00440152262131"/>
    <s v="00440152262333"/>
    <n v="13810732503"/>
    <d v="2018-08-22T00:00:00"/>
    <s v="Yes"/>
    <s v="Yes"/>
    <x v="0"/>
  </r>
  <r>
    <s v="Beijing"/>
    <s v="BEJSRTL437"/>
    <s v="Yes"/>
    <s v="Pre-INT/CEB"/>
    <s v="PCIe"/>
    <n v="3648303"/>
    <s v="2F/R46/1"/>
    <s v="ICE18"/>
    <x v="1"/>
    <x v="27"/>
    <x v="17"/>
    <x v="1"/>
    <s v="No"/>
    <s v="No"/>
    <s v="4x"/>
    <s v="7560utt241smini.bj.intel.com"/>
    <s v="40437"/>
    <s v="E1DF09A63A780800FFFFFFFF"/>
    <s v="C7H7523008EHXNKKT"/>
    <n v="13911725495"/>
    <s v="00440152219479"/>
    <s v="00440152264259"/>
    <n v="13810419537"/>
    <d v="2018-08-22T00:00:00"/>
    <s v="Yes"/>
    <s v="Yes"/>
    <x v="0"/>
  </r>
  <r>
    <s v="Beijing"/>
    <s v="BEJSRTL438"/>
    <s v="Yes"/>
    <s v="Pre-INT/CEB"/>
    <s v="PCIe"/>
    <n v="3648404"/>
    <s v="2F/R46/2"/>
    <s v="ICE18"/>
    <x v="1"/>
    <x v="27"/>
    <x v="17"/>
    <x v="1"/>
    <s v="No"/>
    <s v="No"/>
    <s v="4x"/>
    <s v="7560utt241smini.bj.intel.com"/>
    <s v="40438"/>
    <s v="E15F496395810A00FFFFFFFF"/>
    <s v="C7H752300A2HXNKKZ"/>
    <n v="13910632574"/>
    <s v="00440152217934"/>
    <s v="00440152218834"/>
    <n v="13810909937"/>
    <d v="2018-08-22T00:00:00"/>
    <s v="Yes"/>
    <s v="Yes"/>
    <x v="0"/>
  </r>
  <r>
    <s v="Beijing"/>
    <s v="BEJSRTL439"/>
    <s v="Yes"/>
    <s v="CR"/>
    <s v="PCIe"/>
    <n v="3648460"/>
    <s v="439/R4/1"/>
    <s v="ICE18"/>
    <x v="1"/>
    <x v="38"/>
    <x v="29"/>
    <x v="1"/>
    <s v="No"/>
    <s v="Yes"/>
    <s v="4x"/>
    <s v="bejsrtm002smini.bj.intel.com"/>
    <s v="40439"/>
    <s v="E15F7925F7D80A00FFFFFFFF"/>
    <s v="C7H751301ALHXNKKH"/>
    <n v="18518617394"/>
    <s v="00440152218089"/>
    <s v="00440152218989"/>
    <n v="18911175574"/>
    <d v="2018-04-09T00:00:00"/>
    <s v="Yes"/>
    <s v="Yes"/>
    <x v="0"/>
  </r>
  <r>
    <s v="Beijing"/>
    <s v="BEJSRTL440"/>
    <s v="Yes"/>
    <s v="CR"/>
    <s v="PCIe"/>
    <n v="3648300"/>
    <s v="459/R42/4"/>
    <s v="ICE18"/>
    <x v="0"/>
    <x v="31"/>
    <x v="22"/>
    <x v="1"/>
    <s v="No"/>
    <s v="No"/>
    <s v="4x"/>
    <s v="7560utt275smini.bj.intel.com"/>
    <s v="40440"/>
    <s v="E15F29078D300800FFFFFFFF"/>
    <s v="C7H751301CMHXNKKA"/>
    <n v="13810601732"/>
    <s v="00440152262132"/>
    <s v="00440152262334"/>
    <m/>
    <d v="2018-03-28T00:00:00"/>
    <s v="Yes"/>
    <s v="Yes"/>
    <x v="0"/>
  </r>
  <r>
    <s v="Beijing"/>
    <s v="BEJSRTL441"/>
    <s v="Yes"/>
    <s v="CR"/>
    <s v="PCIe"/>
    <n v="3648287"/>
    <s v="2F/R43/4"/>
    <s v="ICE18"/>
    <x v="1"/>
    <x v="30"/>
    <x v="20"/>
    <x v="1"/>
    <s v="No"/>
    <s v="No"/>
    <s v="4x"/>
    <s v="bejsrtm011smini.bj.intel.com"/>
    <s v="40441"/>
    <s v="E15F09E559730F00FFFFFFFF"/>
    <s v="C7H7523009MHXNKKH"/>
    <n v="18511274375"/>
    <s v="00440152262133"/>
    <s v="00440152262335"/>
    <n v="13810486051"/>
    <d v="2018-08-21T00:00:00"/>
    <s v="Yes"/>
    <s v="Yes"/>
    <x v="0"/>
  </r>
  <r>
    <s v="Beijing"/>
    <s v="BEJSRTL442"/>
    <s v="No"/>
    <s v="Daily(SEB)"/>
    <s v="PCIe"/>
    <n v="3648477"/>
    <s v="2F/R45/6"/>
    <s v="ICE18"/>
    <x v="1"/>
    <x v="2"/>
    <x v="2"/>
    <x v="1"/>
    <s v="No"/>
    <s v="No"/>
    <s v="NA"/>
    <s v="7560utt241smini.bj.intel.com"/>
    <s v="40442"/>
    <s v="E15FB932F46D0800FFFFFFFF"/>
    <s v="C7H751301A9HXNKKU"/>
    <m/>
    <s v="00440152219608"/>
    <s v="00440152264398"/>
    <m/>
    <d v="2018-08-22T00:00:00"/>
    <s v="Yes"/>
    <s v="Yes"/>
    <x v="0"/>
  </r>
  <r>
    <s v="Beijing"/>
    <s v="BEJSRTL443"/>
    <s v="Yes"/>
    <s v="CR"/>
    <s v="PCIe"/>
    <n v="3648350"/>
    <s v="2F/R45/4"/>
    <s v="ICE18"/>
    <x v="1"/>
    <x v="35"/>
    <x v="15"/>
    <x v="1"/>
    <s v="No"/>
    <s v="Yes"/>
    <s v="4x"/>
    <s v="bejsrtm004smini.bj.intel.com"/>
    <s v="40443"/>
    <s v="E15FA922A5570800FFFFFFFF"/>
    <s v="C7H751301BZHXNKK1"/>
    <n v="13331048823"/>
    <s v="00440152218192"/>
    <s v="00440152219092"/>
    <n v="18612327143"/>
    <d v="2018-04-12T00:00:00"/>
    <s v="Yes"/>
    <s v="Yes"/>
    <x v="0"/>
  </r>
  <r>
    <s v="Beijing"/>
    <s v="BEJSRTL444"/>
    <s v="No"/>
    <s v="Daily(SEB)"/>
    <s v="PCIe"/>
    <n v="3648414"/>
    <s v="2F/R43/6"/>
    <s v="ICE18"/>
    <x v="1"/>
    <x v="35"/>
    <x v="15"/>
    <x v="1"/>
    <s v="No"/>
    <s v="Yes"/>
    <s v="4x"/>
    <s v="bejsrtm002smini.bj.intel.com"/>
    <s v="40444"/>
    <s v="E15F69F3778F0A00FFFFFFFF"/>
    <s v="C7H7523009ZHXNKK5"/>
    <n v="18911175594"/>
    <s v="00440152262135"/>
    <s v="00440152262337"/>
    <n v="18510546189"/>
    <d v="2018-04-10T00:00:00"/>
    <s v="Yes"/>
    <s v="Yes"/>
    <x v="0"/>
  </r>
  <r>
    <s v="Beijing"/>
    <s v="BEJSRTL445"/>
    <s v="No"/>
    <m/>
    <s v="PCIe"/>
    <n v="3648258"/>
    <s v="2F/R44/ 6"/>
    <s v="ICE18"/>
    <x v="1"/>
    <x v="2"/>
    <x v="2"/>
    <x v="1"/>
    <s v="No"/>
    <s v="No"/>
    <s v="NA"/>
    <s v="bejsrtm008smini.bj.intel.com"/>
    <s v="40445"/>
    <s v="E15FE93401CE0D00FFFFFFFF"/>
    <s v="C7H752300AGHXNKKK"/>
    <m/>
    <s v="00440152218097"/>
    <s v="00440152218997"/>
    <m/>
    <d v="2018-08-14T00:00:00"/>
    <s v="Yes"/>
    <s v="Yes"/>
    <x v="0"/>
  </r>
  <r>
    <s v="Beijing"/>
    <s v="BEJSRTL446"/>
    <s v="Yes"/>
    <s v="Daily(SEB)"/>
    <s v="PCIe"/>
    <n v="3648246"/>
    <s v="439/R33/4"/>
    <s v="ICE18"/>
    <x v="1"/>
    <x v="37"/>
    <x v="19"/>
    <x v="1"/>
    <s v="No"/>
    <s v="No"/>
    <s v="Yes"/>
    <s v="bejsrtm011smini.bj.intel.com"/>
    <s v="40446"/>
    <s v="E1DFCAC692440300FFFFFFFF"/>
    <s v="C7H751300BYHXNKK3"/>
    <n v="18900670308"/>
    <s v="00440152262136"/>
    <s v="00440152262338"/>
    <n v="13800001330"/>
    <d v="2018-04-06T00:00:00"/>
    <s v="Yes"/>
    <s v="Yes"/>
    <x v="0"/>
  </r>
  <r>
    <s v="Beijing"/>
    <s v="BEJSRTL447"/>
    <s v="Yes"/>
    <s v="CR"/>
    <s v="PCIe"/>
    <n v="3648326"/>
    <s v="2F/R43/3"/>
    <s v="ICE18"/>
    <x v="1"/>
    <x v="32"/>
    <x v="9"/>
    <x v="1"/>
    <s v="No"/>
    <s v="No"/>
    <s v="4x"/>
    <s v="bejsrtm003smini.bj.intel.com"/>
    <s v="40447"/>
    <s v="E15FE91A716F0F00FFFFFFFF"/>
    <s v="C7H752300A9HXNKKS"/>
    <n v="13810016594"/>
    <s v="00440152219498"/>
    <s v="00440152264288"/>
    <n v="18610808439"/>
    <d v="2018-08-11T00:00:00"/>
    <s v="Yes"/>
    <s v="Yes"/>
    <x v="0"/>
  </r>
  <r>
    <s v="Beijing"/>
    <s v="BEJSRTL448"/>
    <s v="Yes"/>
    <s v="Daily(SEB)"/>
    <s v="PCIe"/>
    <n v="3648524"/>
    <s v="2F/R45/1"/>
    <s v="ICE18"/>
    <x v="1"/>
    <x v="35"/>
    <x v="15"/>
    <x v="1"/>
    <s v="No"/>
    <s v="Yes"/>
    <s v="4x"/>
    <s v="7560utt127smini.bj.intel.com"/>
    <s v="40448"/>
    <s v="E1DF09C0BC6F0E00FFFFFFFF"/>
    <s v="C7H75230089HXNKKY"/>
    <n v="17310163475"/>
    <s v="00440152219588"/>
    <s v="00440152264378"/>
    <n v="18511956143"/>
    <d v="2018-04-08T00:00:00"/>
    <s v="Yes"/>
    <s v="Yes"/>
    <x v="0"/>
  </r>
  <r>
    <s v="Beijing"/>
    <s v="BEJSRTL449"/>
    <s v="Yes"/>
    <s v="CR"/>
    <s v="PCIe"/>
    <n v="3648409"/>
    <s v="459/R42/2"/>
    <s v="ICE18"/>
    <x v="0"/>
    <x v="31"/>
    <x v="22"/>
    <x v="1"/>
    <s v="No"/>
    <s v="No"/>
    <s v="4x"/>
    <s v="7560utt275smini.bj.intel.com"/>
    <s v="40449"/>
    <s v="E1DFAAF2150B0B00FFFFFFFF"/>
    <s v="C7H75130083HXNKK7"/>
    <n v="13810721920"/>
    <s v="00440152219803"/>
    <s v="00440152264593"/>
    <m/>
    <d v="2018-03-28T00:00:00"/>
    <s v="Yes"/>
    <s v="Yes"/>
    <x v="0"/>
  </r>
  <r>
    <s v="Beijing"/>
    <s v="BEJSRTL450"/>
    <s v="Yes"/>
    <s v="CR"/>
    <s v="PCIe"/>
    <n v="3648510"/>
    <s v="2F/R43/5"/>
    <s v="ICE18"/>
    <x v="1"/>
    <x v="32"/>
    <x v="9"/>
    <x v="1"/>
    <s v="No"/>
    <s v="No"/>
    <s v="4x"/>
    <s v="bejsrtm003smini.bj.intel.com"/>
    <s v="40450"/>
    <s v="E15F595FAE5A0800FFFFFFFF"/>
    <s v="C7H752300A7HXNKKU"/>
    <n v="13810280448"/>
    <s v="00440152218081"/>
    <s v="00440152218981"/>
    <n v="13051110361"/>
    <d v="2018-08-11T00:00:00"/>
    <s v="Yes"/>
    <s v="Yes"/>
    <x v="0"/>
  </r>
  <r>
    <s v="Beijing"/>
    <s v="BEJSRTL451"/>
    <s v="Yes"/>
    <s v="Pre-INT/CEB"/>
    <s v="PCIe"/>
    <n v="3648209"/>
    <s v="2F/R44/ 4"/>
    <s v="ICE18"/>
    <x v="0"/>
    <x v="26"/>
    <x v="14"/>
    <x v="1"/>
    <s v="No"/>
    <s v="Yes"/>
    <s v="4x"/>
    <s v="bejsrtm005smini.bj.intel.com"/>
    <s v="40451"/>
    <s v="E15F794978AD0A00FFFFFFFF"/>
    <s v="C7H752300AHHXNKKJ"/>
    <n v="13331048812"/>
    <s v="00440152219515"/>
    <s v="00440152264305"/>
    <m/>
    <d v="2018-06-01T00:00:00"/>
    <s v="Yes"/>
    <s v="Yes"/>
    <x v="0"/>
  </r>
  <r>
    <s v="Beijing"/>
    <s v="BEJSRTL452"/>
    <s v="Yes"/>
    <s v="Daily(SEB)"/>
    <s v="PCIe"/>
    <n v="3648317"/>
    <s v="2F/R45/ 3 "/>
    <s v="ICE18"/>
    <x v="1"/>
    <x v="27"/>
    <x v="17"/>
    <x v="1"/>
    <s v="No"/>
    <s v="No"/>
    <s v="4x"/>
    <s v="bejsrtm008smini.bj.intel.com"/>
    <s v="40452"/>
    <s v="E15F6929861D0800FFFFFFFF"/>
    <s v="C7H7523008AHXNKKX"/>
    <n v="13810462637"/>
    <s v="00440152219510"/>
    <s v="00440152264300"/>
    <n v="13910407834"/>
    <d v="2018-08-16T00:00:00"/>
    <s v="Yes"/>
    <s v="Yes"/>
    <x v="0"/>
  </r>
  <r>
    <s v="Beijing"/>
    <s v="BEJSRTL453"/>
    <s v="Yes"/>
    <s v="Pre-INT/CEB"/>
    <s v="PCIe"/>
    <n v="3648222"/>
    <s v="2F/R44/ 7"/>
    <s v="ICE18"/>
    <x v="1"/>
    <x v="32"/>
    <x v="21"/>
    <x v="1"/>
    <s v="No"/>
    <s v="No"/>
    <s v="4x"/>
    <s v="7560utt276smini.bj.intel.com"/>
    <s v="40453"/>
    <s v="E15F59E34F970A00FFFFFFFF"/>
    <s v="C7H752300A6HXNKKV"/>
    <n v="13810221452"/>
    <s v="00440152219649"/>
    <s v="00440152264439"/>
    <n v="15611594814"/>
    <d v="2018-04-09T00:00:00"/>
    <s v="Yes"/>
    <s v="Yes"/>
    <x v="0"/>
  </r>
  <r>
    <s v="Beijing"/>
    <s v="BEJSRTL454"/>
    <s v="Yes"/>
    <s v="CR"/>
    <s v="PCIe"/>
    <n v="3648394"/>
    <s v="2F/R45/ 2"/>
    <s v="ICE18"/>
    <x v="1"/>
    <x v="32"/>
    <x v="9"/>
    <x v="1"/>
    <s v="No"/>
    <s v="No"/>
    <s v="4x"/>
    <s v="bejsrtm010smini.bj.intel.com"/>
    <s v="40454"/>
    <s v="E15F0971751A0F00FFFFFFFF"/>
    <s v="C7H7523008GHXNKKR"/>
    <n v="13810364043"/>
    <s v="00440152219496"/>
    <s v="00440152264286"/>
    <n v="18515697901"/>
    <d v="2018-08-11T00:00:00"/>
    <s v="Yes"/>
    <s v="Yes"/>
    <x v="0"/>
  </r>
  <r>
    <s v="Beijing"/>
    <s v="BEJSRTL455"/>
    <s v="Yes"/>
    <s v="CR"/>
    <s v="PCIe"/>
    <n v="3648281"/>
    <s v="2F/R43/3"/>
    <s v="ICE18"/>
    <x v="1"/>
    <x v="32"/>
    <x v="9"/>
    <x v="1"/>
    <s v="No"/>
    <s v="No"/>
    <s v="4x"/>
    <s v="bejsrtm003smini.bj.intel.com"/>
    <s v="40455"/>
    <s v="E15F791FF6A80A00FFFFFFFF"/>
    <s v="C7H7523009YHXNKK6"/>
    <n v="13810280494"/>
    <s v="00440152219500"/>
    <s v="00440152264290"/>
    <n v="18612029422"/>
    <d v="2018-08-22T00:00:00"/>
    <s v="Yes"/>
    <s v="Yes"/>
    <x v="0"/>
  </r>
  <r>
    <s v="Beijing"/>
    <s v="BEJSRTL456"/>
    <s v="Yes"/>
    <s v="Pre-INT/CEB"/>
    <s v="PCIe"/>
    <n v="3648422"/>
    <s v="2F/R43/2"/>
    <s v="ICE18"/>
    <x v="0"/>
    <x v="26"/>
    <x v="14"/>
    <x v="1"/>
    <s v="No"/>
    <s v="Yes"/>
    <s v="4x"/>
    <s v="bejsrtm006smini.bj.intel.com"/>
    <s v="40456"/>
    <s v="E15F79B3FD0E0800FFFFFFFF"/>
    <s v="C7H7523008DHXNKKU"/>
    <n v="13331048817"/>
    <s v="00440152219656"/>
    <s v="00440152264446"/>
    <m/>
    <d v="2018-04-06T00:00:00"/>
    <s v="Yes"/>
    <s v="Yes"/>
    <x v="0"/>
  </r>
  <r>
    <s v="Beijing"/>
    <s v="BEJSRTL457"/>
    <s v="No"/>
    <s v="Daily(SEB)"/>
    <s v="PCIe"/>
    <n v="3648242"/>
    <s v="2F/R44/1"/>
    <s v="ICE18"/>
    <x v="1"/>
    <x v="2"/>
    <x v="2"/>
    <x v="1"/>
    <s v="No"/>
    <s v="No"/>
    <s v="NA"/>
    <s v="bejsrtm002smini.bj.intel.com"/>
    <s v="40457"/>
    <s v="E1DF090EDB080800FFFFFFFF"/>
    <s v="C7H7523009XHXNKK7"/>
    <m/>
    <s v="00440152218070"/>
    <s v="00440152218970"/>
    <m/>
    <d v="2018-08-22T00:00:00"/>
    <s v="Yes"/>
    <s v="Yes"/>
    <x v="0"/>
  </r>
  <r>
    <s v="Beijing"/>
    <s v="BEJSRTL458"/>
    <s v="Yes"/>
    <s v="CR"/>
    <s v="PCIe"/>
    <n v="3648249"/>
    <s v="459/R39/4"/>
    <s v="ICE18"/>
    <x v="0"/>
    <x v="26"/>
    <x v="14"/>
    <x v="1"/>
    <s v="No"/>
    <s v="Yes"/>
    <s v="4x"/>
    <s v="7560utt175smini.bj.intel.com"/>
    <s v="40458"/>
    <s v="E15F497131290800FFFFFFFF"/>
    <s v="C7H752300AFHXNKKL"/>
    <n v="17310496476"/>
    <s v="00440152219492"/>
    <s v="00440152264282"/>
    <m/>
    <m/>
    <s v="Yes"/>
    <s v="Yes"/>
    <x v="0"/>
  </r>
  <r>
    <s v="Beijing"/>
    <s v="BEJSRTL459"/>
    <s v="Yes"/>
    <s v="CR"/>
    <s v="PCIe"/>
    <n v="3648265"/>
    <s v="439/R14/3"/>
    <s v="ICE18"/>
    <x v="0"/>
    <x v="31"/>
    <x v="22"/>
    <x v="1"/>
    <s v="No"/>
    <s v="No"/>
    <s v="4x"/>
    <s v="bejsrtm004smini.bj.intel.com"/>
    <s v="40459"/>
    <s v="E15F882C2AC70D00FFFFFFFF"/>
    <s v="C7H749700FMHXNKK9"/>
    <n v="13810928530"/>
    <s v="00440152219607"/>
    <s v="00440152264397"/>
    <m/>
    <d v="2018-04-25T00:00:00"/>
    <s v="Yes"/>
    <s v="Yes"/>
    <x v="0"/>
  </r>
  <r>
    <s v="Beijing"/>
    <s v="BEJSRTL460"/>
    <s v="Yes"/>
    <s v="Weekly(UTC)"/>
    <s v="PCIe"/>
    <n v="3648211"/>
    <s v="2F/R47/3"/>
    <s v="ICE18"/>
    <x v="0"/>
    <x v="31"/>
    <x v="22"/>
    <x v="1"/>
    <s v="No"/>
    <s v="No"/>
    <s v="4x"/>
    <s v="7560utt175smini.bj.intel.com"/>
    <s v="40460"/>
    <s v="E15F79ED11900A00FFFFFFFF"/>
    <s v="C7H751301BCHXNKKN"/>
    <n v="13810772825"/>
    <s v="00440152262137"/>
    <s v="00440152262339"/>
    <m/>
    <d v="2018-04-10T00:00:00"/>
    <s v="Yes"/>
    <s v="Yes"/>
    <x v="0"/>
  </r>
  <r>
    <s v="Beijing"/>
    <s v="BEJSRTL461"/>
    <s v="Yes"/>
    <s v="Daily(SEB)"/>
    <s v="PCIe"/>
    <n v="3648311"/>
    <s v="2F/R44/ 3"/>
    <s v="ICE18"/>
    <x v="1"/>
    <x v="38"/>
    <x v="29"/>
    <x v="1"/>
    <s v="No"/>
    <s v="Yes"/>
    <s v="4x"/>
    <s v="bejsrtm002smini.bj.intel.com"/>
    <s v="40461"/>
    <s v="E15F4941F4610800FFFFFFFF"/>
    <s v="C7H752300ACHXNKKP"/>
    <s v="18516808495"/>
    <s v="00440152262138"/>
    <s v="00440152262340"/>
    <n v="13331048820"/>
    <d v="2018-04-09T00:00:00"/>
    <s v="Yes"/>
    <s v="Yes"/>
    <x v="0"/>
  </r>
  <r>
    <s v="Beijing"/>
    <s v="BEJSRTL463"/>
    <s v="Yes"/>
    <s v="CR"/>
    <s v="PCIe"/>
    <n v="3648330"/>
    <s v="2F/R45/5"/>
    <s v="ICE18"/>
    <x v="1"/>
    <x v="38"/>
    <x v="29"/>
    <x v="1"/>
    <s v="No"/>
    <s v="Yes"/>
    <s v="4x"/>
    <s v="bejsrtm001smini.bj.intel.com"/>
    <s v="40463"/>
    <s v="E1DF0914FA030800FFFFFFFF"/>
    <s v="C7H7513018VHXNKKE"/>
    <n v="18519712497"/>
    <s v="00440152262139"/>
    <s v="00440152262341"/>
    <n v="18911124296"/>
    <d v="2018-04-08T00:00:00"/>
    <s v="Yes"/>
    <s v="Yes"/>
    <x v="0"/>
  </r>
  <r>
    <s v="Beijing"/>
    <s v="BEJSRTL464"/>
    <s v="Yes"/>
    <s v="CR"/>
    <s v="PCIe"/>
    <n v="3648548"/>
    <s v="2F/R43/1"/>
    <s v="ICE18"/>
    <x v="1"/>
    <x v="30"/>
    <x v="20"/>
    <x v="1"/>
    <s v="No"/>
    <s v="No"/>
    <s v="4x"/>
    <s v="bejsrtm010smini.bj.intel.com"/>
    <s v="40464"/>
    <s v="E15F79A3204D0800FFFFFFFF"/>
    <s v="C7H7523009LHXNKKJ"/>
    <n v="18614084369"/>
    <s v="00440152217711"/>
    <s v="00440152218611"/>
    <n v="13810016924"/>
    <d v="2018-08-11T00:00:00"/>
    <s v="Yes"/>
    <s v="Yes"/>
    <x v="0"/>
  </r>
  <r>
    <s v="Beijing"/>
    <s v="BEJSRTL467"/>
    <s v="Yes"/>
    <s v="Pre-INT/CEB"/>
    <s v="PCIe"/>
    <n v="3648416"/>
    <s v="2F/R47/ 2"/>
    <s v="ICE18"/>
    <x v="0"/>
    <x v="26"/>
    <x v="14"/>
    <x v="1"/>
    <s v="No"/>
    <s v="Yes"/>
    <s v="4x"/>
    <s v="bejsrtm006smini.bj.intel.com"/>
    <s v="40467"/>
    <s v="E15FB9C44A9A0A00FFFFFFFF"/>
    <s v="C7H751301BMHXNKKD"/>
    <n v="18911034603"/>
    <s v="00440152219523"/>
    <s v="00440152264313"/>
    <m/>
    <d v="2018-04-11T00:00:00"/>
    <s v="Yes"/>
    <s v="Yes"/>
    <x v="0"/>
  </r>
  <r>
    <s v="Beijing"/>
    <s v="BEJSRTL468"/>
    <s v="Yes"/>
    <s v="EB"/>
    <s v="PCIe"/>
    <n v="3648247"/>
    <s v="2F/R48/6"/>
    <s v="ICE18"/>
    <x v="0"/>
    <x v="34"/>
    <x v="5"/>
    <x v="1"/>
    <s v="No"/>
    <s v="No"/>
    <s v="4x"/>
    <s v="bejsrtm010smini.bj.intel.com"/>
    <s v="40468"/>
    <s v="E15F799181470800FFFFFFFF"/>
    <s v="C7H7523008SHXNKKF"/>
    <n v="18519747298"/>
    <s v="00440152262140"/>
    <s v="00440152262342"/>
    <m/>
    <d v="2018-08-22T00:00:00"/>
    <s v="Yes"/>
    <s v="Yes"/>
    <x v="0"/>
  </r>
  <r>
    <s v="Beijing"/>
    <s v="BEJSRTL469"/>
    <s v="Yes"/>
    <s v="Pre-INT/CEB"/>
    <s v="PCIe"/>
    <n v="3648430"/>
    <s v="2F/R48/2"/>
    <s v="ICE18"/>
    <x v="1"/>
    <x v="30"/>
    <x v="24"/>
    <x v="1"/>
    <s v="No"/>
    <s v="No"/>
    <s v="4x"/>
    <s v="bejsrtm010smini.bj.intel.com"/>
    <s v="40469"/>
    <s v="E15F5911F03E0800FFFFFFFF"/>
    <s v="C7H752300A5HXNKKW"/>
    <n v="18618497590"/>
    <s v="00440152262141"/>
    <s v="00440152262343"/>
    <n v="13810798137"/>
    <d v="2018-04-10T00:00:00"/>
    <s v="Yes"/>
    <s v="Yes"/>
    <x v="0"/>
  </r>
  <r>
    <s v="Beijing"/>
    <s v="BEJSRTL470"/>
    <s v="Yes"/>
    <s v="EB"/>
    <s v="PCIe"/>
    <n v="3648526"/>
    <s v="2F/R48/4"/>
    <s v="ICE18"/>
    <x v="0"/>
    <x v="34"/>
    <x v="5"/>
    <x v="1"/>
    <s v="No"/>
    <s v="No"/>
    <s v="4x"/>
    <s v="bejsrtm010smini.bj.intel.com"/>
    <s v="40470"/>
    <s v="E15F794315E00A00FFFFFFFF"/>
    <s v="C7H7523008PHXNKKJ"/>
    <n v="18519359542"/>
    <s v="00440152218143"/>
    <s v="00440152219043"/>
    <m/>
    <d v="2018-08-22T00:00:00"/>
    <s v="Yes"/>
    <s v="Yes"/>
    <x v="0"/>
  </r>
  <r>
    <s v="Beijing"/>
    <s v="BEJSRTL471"/>
    <s v="Yes"/>
    <s v="Pre-INT/CEB"/>
    <s v="PCIe"/>
    <n v="3648514"/>
    <s v="2F/R48/1"/>
    <s v="ICE18"/>
    <x v="1"/>
    <x v="27"/>
    <x v="17"/>
    <x v="1"/>
    <s v="No"/>
    <s v="No"/>
    <s v="4x"/>
    <s v="bejsrtm003smini.bj.intel.com"/>
    <s v="40471"/>
    <s v="E15FA95676B20A00FFFFFFFF"/>
    <s v="C7H7513018PHXNKKL"/>
    <n v="13810480261"/>
    <s v="00440152280438"/>
    <s v="00440152262412"/>
    <n v="13910473448"/>
    <d v="2018-08-22T00:00:00"/>
    <s v="Yes"/>
    <s v="Yes"/>
    <x v="0"/>
  </r>
  <r>
    <s v="Beijing"/>
    <s v="BEJSRTL472"/>
    <s v="Yes"/>
    <s v="Pre-INT/CEB"/>
    <s v="PCIe"/>
    <n v="3648484"/>
    <s v="2F/R48/7"/>
    <s v="ICE18"/>
    <x v="0"/>
    <x v="26"/>
    <x v="14"/>
    <x v="1"/>
    <s v="No"/>
    <s v="Yes"/>
    <s v="4x"/>
    <s v="bejsrtm006smini.bj.intel.com"/>
    <s v="40472"/>
    <s v="E15FE9A090680F00FFFFFFFF"/>
    <s v="C7H7523009CHXNKKS"/>
    <n v="13331048821"/>
    <s v="00440152219526"/>
    <s v="00440152264316"/>
    <m/>
    <d v="2018-04-12T00:00:00"/>
    <s v="Yes"/>
    <s v="Yes"/>
    <x v="0"/>
  </r>
  <r>
    <s v="Beijing"/>
    <s v="BEJSRTL473"/>
    <s v="Yes"/>
    <s v="Pre-INT/CEB"/>
    <s v="PCIe"/>
    <n v="3648356"/>
    <s v="2F/R48/3"/>
    <s v="ICE18"/>
    <x v="1"/>
    <x v="30"/>
    <x v="24"/>
    <x v="1"/>
    <s v="No"/>
    <s v="No"/>
    <s v="4x"/>
    <s v="bejsrtm010smini.bj.intel.com"/>
    <s v="40473"/>
    <s v="E1DF4984E2D80A00FFFFFFFF"/>
    <s v="C7H7513019BHXNKKV"/>
    <n v="18515814057"/>
    <s v="00440152219518"/>
    <s v="00440152264308"/>
    <n v="13810018254"/>
    <d v="2018-04-10T00:00:00"/>
    <s v="Yes"/>
    <s v="Yes"/>
    <x v="0"/>
  </r>
  <r>
    <s v="Beijing"/>
    <s v="BEJSRTL474"/>
    <s v="Yes"/>
    <s v="Pre-INT/CEB"/>
    <s v="PCIe"/>
    <n v="3648314"/>
    <s v="2F/R46/7"/>
    <s v="ICE18"/>
    <x v="1"/>
    <x v="27"/>
    <x v="17"/>
    <x v="1"/>
    <s v="No"/>
    <s v="No"/>
    <s v="4x"/>
    <s v="bejsrtm003smini.bj.intel.com"/>
    <s v="40474"/>
    <s v="E15F1997936D0F00FFFFFFFF"/>
    <s v="C7H752300A0HXNKK1"/>
    <n v="13810305494"/>
    <s v="00440152219601"/>
    <s v="00440152264391"/>
    <n v="13810291057"/>
    <d v="2018-08-22T00:00:00"/>
    <s v="Yes"/>
    <s v="Yes"/>
    <x v="0"/>
  </r>
  <r>
    <s v="Beijing"/>
    <s v="BEJSRTL475"/>
    <s v="Yes"/>
    <s v="Pre-INT/CEB"/>
    <s v="PCIe"/>
    <n v="3648377"/>
    <s v="2F/R47/1"/>
    <s v="ICE18"/>
    <x v="1"/>
    <x v="27"/>
    <x v="17"/>
    <x v="1"/>
    <s v="No"/>
    <s v="No"/>
    <s v="4x"/>
    <s v="7560utt276smini.bj.intel.com"/>
    <s v="40475"/>
    <s v="E15F690B264D0800FFFFFFFF"/>
    <s v="C7H7523009DHXNKKR"/>
    <n v="13810780267"/>
    <s v="00440152219509"/>
    <s v="00440152264299"/>
    <n v="13810420761"/>
    <d v="2018-08-16T00:00:00"/>
    <s v="Yes"/>
    <s v="Yes"/>
    <x v="0"/>
  </r>
  <r>
    <s v="Beijing"/>
    <s v="BEJSRTL476"/>
    <s v="Yes"/>
    <s v="Pre-INT/CEB"/>
    <s v="PCIe"/>
    <n v="3648337"/>
    <s v="2F/R46/4"/>
    <s v="ICE18"/>
    <x v="1"/>
    <x v="27"/>
    <x v="17"/>
    <x v="1"/>
    <s v="No"/>
    <s v="No"/>
    <s v="4x"/>
    <s v="bejsrtm003smini.bj.intel.com"/>
    <s v="40476"/>
    <s v="E15F69E7659E0F00FFFFFFFF"/>
    <s v="C7H7523009GHXNKKN"/>
    <n v="13810395872"/>
    <s v="00440152217937"/>
    <s v="00440152218837"/>
    <n v="13810271654"/>
    <d v="2018-08-22T00:00:00"/>
    <s v="Yes"/>
    <s v="Yes"/>
    <x v="0"/>
  </r>
  <r>
    <s v="Beijing"/>
    <s v="BEJSRTL477"/>
    <s v="Yes"/>
    <s v="Pre-INT/CEB"/>
    <s v="PCIe"/>
    <n v="3648235"/>
    <s v="2F/R48/5"/>
    <s v="ICE18"/>
    <x v="1"/>
    <x v="30"/>
    <x v="24"/>
    <x v="1"/>
    <s v="No"/>
    <s v="No"/>
    <s v="4x"/>
    <s v="7560utt276smini.bj.intel.com"/>
    <s v="40477"/>
    <s v="E15F499D56370800FFFFFFFF"/>
    <s v="C7H75230097HXNKKX"/>
    <n v="18510014772"/>
    <s v="00440152219472"/>
    <s v="00440152264262"/>
    <n v="13910780247"/>
    <d v="2018-04-10T00:00:00"/>
    <s v="Yes"/>
    <s v="Yes"/>
    <x v="0"/>
  </r>
  <r>
    <s v="Beijing"/>
    <s v="BEJSRTL478"/>
    <s v="Yes"/>
    <s v="CR"/>
    <s v="PCIe"/>
    <n v="3648221"/>
    <s v="439/R12/5"/>
    <s v="ICE18"/>
    <x v="0"/>
    <x v="31"/>
    <x v="6"/>
    <x v="1"/>
    <s v="No"/>
    <s v="No"/>
    <s v="4x"/>
    <s v="7560utt009smini.bj.intel.com"/>
    <s v="40478"/>
    <s v="E1DFAA3A4E360B00FFFFFFFF"/>
    <s v="C7H75130099HXNKKY"/>
    <n v="13810421702"/>
    <s v="00440152217919"/>
    <s v="00440152218819"/>
    <m/>
    <d v="2018-05-08T00:00:00"/>
    <s v="Yes"/>
    <s v="Yes"/>
    <x v="0"/>
  </r>
  <r>
    <s v="Beijing"/>
    <s v="BEJSRTL479"/>
    <s v="Yes"/>
    <s v="Pre-INT/CEB"/>
    <s v="PCIe"/>
    <n v="3648348"/>
    <s v="2F/R46/6"/>
    <s v="ICE18"/>
    <x v="1"/>
    <x v="27"/>
    <x v="17"/>
    <x v="1"/>
    <s v="No"/>
    <s v="No"/>
    <s v="4x"/>
    <s v="bejsrtm003smini.bj.intel.com"/>
    <s v="40479"/>
    <s v="E1DF098CEDF60A00FFFFFFFF"/>
    <s v="C7H7523008FHXNKKS"/>
    <n v="13810021364"/>
    <s v="00440152219618"/>
    <s v="00440152264408"/>
    <n v="13810017049"/>
    <d v="2018-08-22T00:00:00"/>
    <s v="Yes"/>
    <s v="Yes"/>
    <x v="0"/>
  </r>
  <r>
    <s v="Beijing"/>
    <s v="BEJSRTL480"/>
    <s v="Yes"/>
    <s v="CR"/>
    <s v="PCIe"/>
    <n v="3648406"/>
    <s v="2F/R46/3"/>
    <s v="ICE18"/>
    <x v="1"/>
    <x v="27"/>
    <x v="17"/>
    <x v="1"/>
    <s v="No"/>
    <s v="No"/>
    <s v="4x"/>
    <s v="bejsrtm004smini.bj.intel.com"/>
    <s v="40480"/>
    <s v="E1DF29F04A090800FFFFFFFF"/>
    <s v="C7H751301BPHXNKKB"/>
    <n v="13811090657"/>
    <s v="00440152219491"/>
    <s v="00440152264281"/>
    <n v="13810363424"/>
    <d v="2018-04-12T00:00:00"/>
    <s v="Yes"/>
    <s v="Yes"/>
    <x v="0"/>
  </r>
  <r>
    <s v="Beijing"/>
    <s v="BEJSRTL481"/>
    <s v="Yes"/>
    <s v="Pre-INT/CEB"/>
    <s v="PCIe"/>
    <n v="3648418"/>
    <s v="2F/R47/2"/>
    <s v="ICE18"/>
    <x v="0"/>
    <x v="31"/>
    <x v="0"/>
    <x v="1"/>
    <s v="No"/>
    <s v="No"/>
    <s v="4x"/>
    <s v="bejsrtm006smini.bj.intel.com"/>
    <s v="40481"/>
    <s v="E1DF1928D9E80A00FFFFFFFF"/>
    <s v="C7H751301BQHXNKKA"/>
    <n v="13811090127"/>
    <s v="00440152280442"/>
    <s v="00440152262414"/>
    <m/>
    <d v="2018-04-12T00:00:00"/>
    <s v="Yes"/>
    <s v="Yes"/>
    <x v="0"/>
  </r>
  <r>
    <s v="Beijing"/>
    <s v="BEJSRTL482"/>
    <s v="Yes"/>
    <s v="Pre-INT/CEB"/>
    <s v="PCIe"/>
    <n v="3633322"/>
    <s v="2F/R47/1"/>
    <s v="ICE18"/>
    <x v="1"/>
    <x v="27"/>
    <x v="17"/>
    <x v="1"/>
    <s v="No"/>
    <s v="No"/>
    <s v="4x"/>
    <s v="bejsrtm008smini.bj.intel.com"/>
    <s v="40482"/>
    <s v="E1DF29CCB7C80A00FFFFFFFF"/>
    <s v="C7H7513018QHXNKKK"/>
    <n v="13810268994"/>
    <s v="00440152262142"/>
    <s v="00440152262344"/>
    <n v="13810331242"/>
    <d v="2018-08-16T00:00:00"/>
    <s v="Yes"/>
    <s v="Yes"/>
    <x v="0"/>
  </r>
  <r>
    <s v="Beijing"/>
    <s v="BEJSRTL483"/>
    <s v="Yes"/>
    <s v="Daily(SEB)"/>
    <s v="PCIe"/>
    <n v="3648420"/>
    <s v="2F/R48/6"/>
    <s v="ICE18"/>
    <x v="1"/>
    <x v="29"/>
    <x v="26"/>
    <x v="1"/>
    <s v="No"/>
    <s v="Yes"/>
    <s v="4x"/>
    <s v="bejsrtm004smini.bj.intel.com"/>
    <s v="40483"/>
    <s v="E15F4917B2620500FFFFFFFF"/>
    <s v="C7H75130198HXNKKY"/>
    <n v="15321689937"/>
    <s v="00440152219591"/>
    <s v="00440152264381"/>
    <n v="13810284274"/>
    <d v="2018-04-12T00:00:00"/>
    <s v="Yes"/>
    <s v="Yes"/>
    <x v="0"/>
  </r>
  <r>
    <s v="Beijing"/>
    <s v="BEJSRTL484"/>
    <s v="Yes"/>
    <s v="CR"/>
    <s v="PCIe"/>
    <n v="3648262"/>
    <s v="2F/R46/3"/>
    <s v="ICE18"/>
    <x v="1"/>
    <x v="32"/>
    <x v="9"/>
    <x v="1"/>
    <s v="No"/>
    <s v="No"/>
    <s v="4x"/>
    <s v="bejsrtm003smini.bj.intel.com"/>
    <s v="40484"/>
    <s v="E1DF19C07CB20A00FFFFFFFF"/>
    <s v="C7H7513019CHXNKKU"/>
    <n v="13810154043"/>
    <s v="00440152219507"/>
    <s v="00440152264297"/>
    <n v="13264379164"/>
    <d v="2018-08-11T00:00:00"/>
    <s v="Yes"/>
    <s v="Yes"/>
    <x v="0"/>
  </r>
  <r>
    <s v="Beijing"/>
    <s v="BEJSRTL485"/>
    <s v="Yes"/>
    <s v="Pre-INT/CEB"/>
    <s v="PCIe"/>
    <n v="3648381"/>
    <s v="2F/R47/6"/>
    <s v="ICE18"/>
    <x v="1"/>
    <x v="25"/>
    <x v="16"/>
    <x v="9"/>
    <s v="No"/>
    <s v="Yes"/>
    <s v="4x"/>
    <s v="7560utt009smini.bj.intel.com"/>
    <s v="40485"/>
    <s v="E28F69B9AAA80500FFFFFFFF"/>
    <s v="C7H809500BRHXNKXJ"/>
    <n v="13810715135"/>
    <s v="00440152219592"/>
    <s v="00440152264382"/>
    <n v="17310253945"/>
    <d v="2018-04-19T00:00:00"/>
    <s v="Yes"/>
    <s v="Yes"/>
    <x v="0"/>
  </r>
  <r>
    <s v="Beijing"/>
    <s v="BEJSRTL486"/>
    <s v="Yes"/>
    <s v="Pre-INT/CEB"/>
    <s v="PCIe"/>
    <n v="3648531"/>
    <s v="2F/R47/6"/>
    <s v="ICE18"/>
    <x v="0"/>
    <x v="31"/>
    <x v="0"/>
    <x v="9"/>
    <s v="No"/>
    <s v="No"/>
    <s v="4x"/>
    <s v="7560utt009smini.bj.intel.com"/>
    <s v="40486"/>
    <s v="E28F6983543C1200FFFFFFFF"/>
    <s v="C7H809500FVHXNKX2"/>
    <n v="13810771775"/>
    <s v="00440152219606"/>
    <s v="00440152264396"/>
    <m/>
    <d v="2018-04-19T00:00:00"/>
    <s v="Yes"/>
    <s v="Yes"/>
    <x v="0"/>
  </r>
  <r>
    <s v="Beijing"/>
    <s v="BEJSRTL487"/>
    <s v="No"/>
    <m/>
    <s v="PCIe"/>
    <n v="3633170"/>
    <s v="2F/R47/5"/>
    <s v="ICE18"/>
    <x v="1"/>
    <x v="2"/>
    <x v="2"/>
    <x v="9"/>
    <s v="No"/>
    <s v="No"/>
    <s v="NA"/>
    <s v="7560utt014smini.bj.intel.com"/>
    <s v="40487"/>
    <s v="E1DF5A4BB7D20500FFFFFFFF"/>
    <s v="C7H75130093HXNKK4"/>
    <m/>
    <s v="00440152280444"/>
    <s v="00440152262416"/>
    <m/>
    <d v="2018-08-14T00:00:00"/>
    <s v="Yes"/>
    <s v="Yes"/>
    <x v="0"/>
  </r>
  <r>
    <s v="Beijing"/>
    <s v="BEJSRTL489"/>
    <s v="Yes"/>
    <s v="Pre-INT/CEB"/>
    <s v="PCIe"/>
    <n v="3633318"/>
    <s v="2F/R47/5"/>
    <s v="ICE18"/>
    <x v="1"/>
    <x v="30"/>
    <x v="24"/>
    <x v="9"/>
    <s v="No"/>
    <s v="No"/>
    <s v="4x"/>
    <s v="7560utt009smini.bj.intel.com"/>
    <s v="40489"/>
    <s v="E28F59DDA1820300FFFFFFFF"/>
    <s v="C7H809500CXHXNKX9"/>
    <n v="13041046044"/>
    <s v="00440152218143"/>
    <s v="00440152219043"/>
    <n v="13810776903"/>
    <d v="2018-04-19T00:00:00"/>
    <s v="Yes"/>
    <s v="Yes"/>
    <x v="0"/>
  </r>
  <r>
    <s v="Beijing"/>
    <s v="BEJSRTL491"/>
    <s v="Yes"/>
    <s v="CR"/>
    <s v="PCIe"/>
    <n v="3648541"/>
    <s v="2F/R49/1"/>
    <s v="ICE18"/>
    <x v="0"/>
    <x v="31"/>
    <x v="22"/>
    <x v="1"/>
    <s v="No"/>
    <s v="No"/>
    <s v="4x"/>
    <s v="7560utt009smini.bj.intel.com"/>
    <s v="40491"/>
    <s v="E15F29B5F3460300FFFFFFFF"/>
    <s v="C7H752300CHHXNKKC"/>
    <n v="13911712455"/>
    <s v="00440152219526"/>
    <s v="00440152264316"/>
    <m/>
    <d v="2018-05-03T00:00:00"/>
    <s v="Yes"/>
    <s v="Yes"/>
    <x v="0"/>
  </r>
  <r>
    <s v="Beijing"/>
    <s v="BEJSRTL492"/>
    <s v="Yes"/>
    <s v="CR"/>
    <s v="PCIe"/>
    <n v="3648398"/>
    <s v="2F/R49/1"/>
    <s v="ICE18"/>
    <x v="0"/>
    <x v="31"/>
    <x v="22"/>
    <x v="1"/>
    <s v="No"/>
    <s v="No"/>
    <s v="4x"/>
    <s v="7560utt009smini.bj.intel.com"/>
    <s v="40492"/>
    <s v="E15F296BFC250500FFFFFFFF"/>
    <s v="C7H752300DKHXNKK7"/>
    <n v="13810114527"/>
    <s v="00440152219518"/>
    <s v="00440152264308"/>
    <m/>
    <d v="2018-05-03T00:00:00"/>
    <s v="Yes"/>
    <s v="Yes"/>
    <x v="0"/>
  </r>
  <r>
    <s v="Beijing"/>
    <s v="BEJSRTL493"/>
    <s v="Yes"/>
    <s v="CR"/>
    <s v="PCIe"/>
    <n v="3633159"/>
    <s v="2F/R49/2"/>
    <s v="ICE18"/>
    <x v="0"/>
    <x v="31"/>
    <x v="6"/>
    <x v="1"/>
    <s v="No"/>
    <s v="No"/>
    <s v="4x"/>
    <s v="7560utt009smini.bj.intel.com"/>
    <s v="40493"/>
    <s v="E15FF960EE0F0800FFFFFFFF"/>
    <s v="C7H752300DUHXNKKY"/>
    <n v="13810114265"/>
    <s v="00440152219601"/>
    <s v="00440152264391"/>
    <m/>
    <d v="2018-05-03T00:00:00"/>
    <s v="Yes"/>
    <s v="Yes"/>
    <x v="0"/>
  </r>
  <r>
    <s v="Beijing"/>
    <s v="BEJSRTL494"/>
    <s v="Yes"/>
    <s v="CR"/>
    <s v="PCIe"/>
    <n v="3648453"/>
    <s v="2F/R49/2"/>
    <s v="ICE18"/>
    <x v="0"/>
    <x v="31"/>
    <x v="6"/>
    <x v="1"/>
    <s v="No"/>
    <s v="No"/>
    <s v="4x"/>
    <s v="7560utt009smini.bj.intel.com"/>
    <s v="40494"/>
    <s v="E15FD924B49E0A00FFFFFFFF"/>
    <s v="C7H752300APHXNKKC"/>
    <n v="13811683073"/>
    <s v="00440152219509"/>
    <s v="00440152264299"/>
    <m/>
    <d v="2018-05-03T00:00:00"/>
    <s v="Yes"/>
    <s v="Yes"/>
    <x v="0"/>
  </r>
  <r>
    <s v="Beijing"/>
    <s v="BEJSRTL495"/>
    <s v="Yes"/>
    <s v="Daily(SEB)"/>
    <s v="PCIe"/>
    <n v="3633253"/>
    <s v="2F/R49/3"/>
    <s v="ICE18"/>
    <x v="1"/>
    <x v="27"/>
    <x v="18"/>
    <x v="1"/>
    <s v="No"/>
    <s v="No"/>
    <s v="4x"/>
    <s v="7560utt009smini.bj.intel.com"/>
    <s v="40495"/>
    <s v="E15F98848F5B0900FFFFFFFF"/>
    <s v="C7H749700B8HXNKK0"/>
    <n v="13811689013"/>
    <s v="00440152217937"/>
    <s v="00440152218837"/>
    <n v="13811603792"/>
    <d v="2018-08-22T00:00:00"/>
    <s v="Yes"/>
    <s v="Yes"/>
    <x v="0"/>
  </r>
  <r>
    <s v="Beijing"/>
    <s v="BEJSRTL496"/>
    <s v="Yes"/>
    <s v="CR"/>
    <s v="PCIe"/>
    <n v="3633197"/>
    <s v="2F/R49/3"/>
    <s v="ICE18"/>
    <x v="1"/>
    <x v="30"/>
    <x v="24"/>
    <x v="1"/>
    <s v="No"/>
    <s v="No"/>
    <s v="4x"/>
    <s v="7560utt009smini.bj.intel.com"/>
    <s v="40496"/>
    <s v="E15FB8A4F6290B00FFFFFFFF"/>
    <s v="C7H749700BGHXNKKS"/>
    <n v="18511273048"/>
    <s v="00440152219472"/>
    <s v="00440152264262"/>
    <n v="13811517285"/>
    <d v="2018-08-22T00:00:00"/>
    <s v="Yes"/>
    <s v="Yes"/>
    <x v="0"/>
  </r>
  <r>
    <s v="Beijing"/>
    <s v="BEJSRTL497"/>
    <s v="Yes"/>
    <s v="Pre-INT/CEB"/>
    <s v="PCIe"/>
    <n v="3633189"/>
    <s v="2F/R49/4"/>
    <s v="ICE18"/>
    <x v="0"/>
    <x v="31"/>
    <x v="0"/>
    <x v="9"/>
    <s v="No"/>
    <s v="No"/>
    <s v="4x"/>
    <s v="7560utt009smini.bj.intel.com"/>
    <s v="40497"/>
    <s v="E20F0A9837350700FFFFFFFF"/>
    <s v="C7H8103001THXNKX6"/>
    <n v="13811686732"/>
    <s v="00440152219620"/>
    <s v="00440152264410"/>
    <m/>
    <d v="2018-05-03T00:00:00"/>
    <s v="Yes"/>
    <s v="Yes"/>
    <x v="0"/>
  </r>
  <r>
    <s v="Beijing"/>
    <s v="BEJSRTL498"/>
    <s v="Yes"/>
    <s v="Pre-INT/CEB"/>
    <s v="PCIe"/>
    <n v="3299689"/>
    <s v="2F/R49/4"/>
    <s v="ICE18"/>
    <x v="0"/>
    <x v="31"/>
    <x v="0"/>
    <x v="9"/>
    <s v="No"/>
    <s v="No"/>
    <s v="4x"/>
    <s v="7560utt009smini.bj.intel.com"/>
    <s v="40498"/>
    <s v="E28F69B35A641300FFFFFFFF"/>
    <s v="C7H8103001PHXNKXA"/>
    <n v="13811685301"/>
    <s v="00440152219618"/>
    <s v="00440152264408"/>
    <m/>
    <d v="2018-05-17T00:00:00"/>
    <s v="Yes"/>
    <s v="Yes"/>
    <x v="0"/>
  </r>
  <r>
    <s v="Beijing"/>
    <s v="BEJSRTL499"/>
    <s v="Yes"/>
    <s v="Pre-INT/CEB"/>
    <s v="PCIe"/>
    <n v="3316729"/>
    <s v="2F/R49/5"/>
    <s v="ICE18"/>
    <x v="1"/>
    <x v="32"/>
    <x v="21"/>
    <x v="9"/>
    <s v="No"/>
    <s v="No"/>
    <s v="4x"/>
    <s v="7560utt009smini.bj.intel.com"/>
    <s v="40499"/>
    <s v="E28F69E380091300FFFFFFFF"/>
    <s v="C7H81030027HXNKXP"/>
    <n v="13810500951"/>
    <s v="00440152219491"/>
    <s v="00440152264281"/>
    <n v="18511270837"/>
    <d v="2018-05-17T00:00:00"/>
    <s v="Yes"/>
    <s v="Yes"/>
    <x v="0"/>
  </r>
  <r>
    <s v="Beijing"/>
    <s v="BEJSRTL500"/>
    <s v="Yes"/>
    <s v="Pre-INT/CEB"/>
    <s v="PCIe"/>
    <n v="3633182"/>
    <s v="2F/R49/5"/>
    <s v="ICE18"/>
    <x v="0"/>
    <x v="26"/>
    <x v="14"/>
    <x v="9"/>
    <s v="No"/>
    <s v="Yes"/>
    <s v="4x"/>
    <s v="7560utt009smini.bj.intel.com"/>
    <s v="40500"/>
    <s v="E28F69E958AB0000FFFFFFFF"/>
    <s v="C7H8103002EHXNKXG"/>
    <n v="15321682041"/>
    <s v="00440152264283"/>
    <s v="00440152219493"/>
    <m/>
    <d v="2018-05-03T00:00:00"/>
    <s v="Yes"/>
    <s v="Yes"/>
    <x v="0"/>
  </r>
  <r>
    <s v="Beijing"/>
    <s v="BEJSRTL501"/>
    <s v="Yes"/>
    <s v="CR"/>
    <s v="PCIe"/>
    <n v="3633270"/>
    <s v="439/R12/3"/>
    <s v="ICE18"/>
    <x v="1"/>
    <x v="25"/>
    <x v="16"/>
    <x v="1"/>
    <s v="Yes"/>
    <s v="Yes"/>
    <s v="4x"/>
    <n v="4"/>
    <m/>
    <s v="E15FC8DC9AB40A00FFFFFFFF"/>
    <s v="C7H749700FPHXNKK7"/>
    <n v="13811620335"/>
    <s v="00440152280442"/>
    <s v="00440152262414"/>
    <n v="18101234834"/>
    <d v="2018-05-17T00:00:00"/>
    <s v="Yes"/>
    <s v="Yes"/>
    <x v="0"/>
  </r>
  <r>
    <s v="Beijing"/>
    <s v="BEJSRTL502"/>
    <s v="Yes"/>
    <s v="Pre-INT/CEB"/>
    <s v="PCIe"/>
    <n v="3633218"/>
    <s v="2F/R49/6"/>
    <s v="ICE18"/>
    <x v="0"/>
    <x v="26"/>
    <x v="13"/>
    <x v="9"/>
    <s v="No"/>
    <s v="Yes"/>
    <s v="4x"/>
    <s v="bejsrtm014smini.bj.intel.com"/>
    <s v="40502"/>
    <s v="E28F59C32CE40000FFFFFFFF"/>
    <s v="C7H8103002ZHXNKXX"/>
    <n v="17310524405"/>
    <s v="00440152219578"/>
    <m/>
    <m/>
    <d v="2018-05-17T00:00:00"/>
    <s v="Yes"/>
    <s v="Yes"/>
    <x v="0"/>
  </r>
  <r>
    <s v="Beijing"/>
    <s v="BEJSRTL503"/>
    <s v="Yes"/>
    <s v="Daily(SEB)"/>
    <s v="PCIe"/>
    <n v="3633145"/>
    <s v="2F/R49/6"/>
    <s v="ICE18"/>
    <x v="1"/>
    <x v="29"/>
    <x v="28"/>
    <x v="1"/>
    <s v="No"/>
    <s v="Yes"/>
    <s v="4x"/>
    <s v="bejsrtm014smini.bj.intel.com"/>
    <s v="40503"/>
    <s v="E15F68A03D2E0400FFFFFFFF"/>
    <s v="C7H749700CNHXNKKH"/>
    <n v="17310344976"/>
    <s v="00440152219591"/>
    <s v="00440152264381"/>
    <n v="13811653293"/>
    <d v="2018-05-04T00:00:00"/>
    <s v="Yes"/>
    <s v="Yes"/>
    <x v="0"/>
  </r>
  <r>
    <s v="Beijing"/>
    <s v="BEJSRTL504"/>
    <s v="No"/>
    <s v="Daily(SEB)"/>
    <s v="PCIe"/>
    <n v="3633137"/>
    <s v="2F/R49/7"/>
    <s v="ICE18"/>
    <x v="1"/>
    <x v="29"/>
    <x v="19"/>
    <x v="1"/>
    <s v="No"/>
    <s v="Yes"/>
    <s v="NA"/>
    <s v="bejsrtm014smini.bj.intel.com"/>
    <s v="40504"/>
    <s v="E15FC8CECD4D0500FFFFFFFF"/>
    <s v="C7H749700ECHXNKKM"/>
    <n v="17310496184"/>
    <s v="00440152262615"/>
    <s v="00440152262616"/>
    <n v="13811201627"/>
    <d v="2018-08-22T00:00:00"/>
    <s v="Yes"/>
    <s v="Yes"/>
    <x v="0"/>
  </r>
  <r>
    <s v="Beijing"/>
    <s v="BEJSRTL505"/>
    <s v="Yes"/>
    <s v="Daily(SEB)"/>
    <s v="PCIe"/>
    <n v="3633155"/>
    <s v="2F/R49/7"/>
    <s v="ICE18"/>
    <x v="1"/>
    <x v="32"/>
    <x v="21"/>
    <x v="1"/>
    <s v="No"/>
    <s v="No"/>
    <s v="4x"/>
    <s v="bejsrtm014smini.bj.intel.com"/>
    <s v="40505"/>
    <s v="E15FE80CB5681000FFFFFFFF"/>
    <s v="C7H749700B7HXNKK1"/>
    <n v="13811515392"/>
    <s v="00440152219507"/>
    <s v="00440152264297"/>
    <n v="18511273358"/>
    <d v="2018-05-04T00:00:00"/>
    <s v="Yes"/>
    <s v="Yes"/>
    <x v="0"/>
  </r>
  <r>
    <s v="Beijing"/>
    <s v="BEJSRTL506"/>
    <s v="Yes"/>
    <s v="Pre-INT/CEB"/>
    <s v="PCIe"/>
    <n v="3633168"/>
    <s v="2F/R50/1"/>
    <s v="ICE18"/>
    <x v="1"/>
    <x v="30"/>
    <x v="24"/>
    <x v="1"/>
    <s v="No"/>
    <s v="No"/>
    <s v="4x"/>
    <s v="bejsrtm014smini.bj.intel.com"/>
    <s v="40506"/>
    <s v="E15F783C6B9D0D00FFFFFFFF"/>
    <s v="C7H749700CRHXNKKE"/>
    <n v="18511279291"/>
    <s v="00440152219592"/>
    <s v="00440152264382"/>
    <n v="13811306507"/>
    <d v="2018-05-04T00:00:00"/>
    <s v="Yes"/>
    <s v="Yes"/>
    <x v="0"/>
  </r>
  <r>
    <s v="Beijing"/>
    <s v="BEJSRTL507"/>
    <s v="Yes"/>
    <s v="CR"/>
    <s v="PCIe"/>
    <n v="3633287"/>
    <s v="2F/R50/1"/>
    <s v="ICE18"/>
    <x v="1"/>
    <x v="30"/>
    <x v="20"/>
    <x v="1"/>
    <s v="No"/>
    <s v="No"/>
    <s v="4x"/>
    <s v="bejsrtm014smini.bj.intel.com"/>
    <s v="40507"/>
    <s v="E15FC8F208050B00FFFFFFFF"/>
    <s v="C7H749700AXHXNKKE"/>
    <n v="18511279122"/>
    <s v="00440152219606"/>
    <s v="00440152264396"/>
    <n v="13811683562"/>
    <d v="2018-08-11T00:00:00"/>
    <s v="Yes"/>
    <s v="Yes"/>
    <x v="0"/>
  </r>
  <r>
    <s v="Beijing"/>
    <s v="BEJSRTL508"/>
    <s v="Yes"/>
    <s v="CR"/>
    <s v="PCIe"/>
    <n v="3633296"/>
    <s v="439/R12/5"/>
    <s v="ICE18"/>
    <x v="1"/>
    <x v="25"/>
    <x v="16"/>
    <x v="1"/>
    <s v="Yes"/>
    <s v="Yes"/>
    <s v="4x"/>
    <e v="#N/A"/>
    <m/>
    <s v="E1DF5A3343D70500FFFFFFFF"/>
    <s v="C7H751300ADHXNKKR"/>
    <n v="13811682190"/>
    <s v="00440152280444"/>
    <s v="00440152262416"/>
    <n v="18101234840"/>
    <d v="2018-05-04T00:00:00"/>
    <s v="Yes"/>
    <s v="Yes"/>
    <x v="0"/>
  </r>
  <r>
    <s v="Beijing"/>
    <s v="BEJSRTL509"/>
    <s v="Yes"/>
    <s v="Daily(SEB)"/>
    <s v="PCIe"/>
    <n v="3299832"/>
    <s v="439/R33/1"/>
    <s v="ICE18"/>
    <x v="1"/>
    <x v="28"/>
    <x v="18"/>
    <x v="1"/>
    <s v="No"/>
    <s v="No"/>
    <s v="Yes"/>
    <s v="7560utt277smini.bj.intel.com"/>
    <s v="40509"/>
    <s v="E1DFBA3C694A0300FFFFFFFF"/>
    <s v="C7H751300A8HXNKKW"/>
    <n v="13800001344"/>
    <s v="00440152219620"/>
    <s v="00440152264410"/>
    <n v="13800001329"/>
    <d v="2018-07-06T00:00:00"/>
    <s v="Yes"/>
    <s v="Yes"/>
    <x v="0"/>
  </r>
  <r>
    <s v="Beijing"/>
    <s v="BEJSRTL510"/>
    <s v="Yes"/>
    <s v="CR"/>
    <s v="PCIe"/>
    <n v="2510953"/>
    <s v="439/R33/1"/>
    <s v="ICE18"/>
    <x v="1"/>
    <x v="28"/>
    <x v="17"/>
    <x v="1"/>
    <s v="No"/>
    <s v="No"/>
    <s v="Yes"/>
    <s v="7560utt277smini.bj.intel.com"/>
    <s v="40510"/>
    <s v="E1DFAA14D8170300FFFFFFFF"/>
    <s v="C7H751300ATHXNKKB"/>
    <n v="13800001336"/>
    <s v="00440152262146"/>
    <s v="00440152262348"/>
    <n v="13800001337"/>
    <d v="2018-07-10T00:00:00"/>
    <s v="Yes"/>
    <s v="Yes"/>
    <x v="0"/>
  </r>
  <r>
    <s v="Beijing"/>
    <s v="BEJSRTL419"/>
    <s v="Yes"/>
    <s v="CR"/>
    <s v="PCIe"/>
    <n v="2510630"/>
    <s v="439/R33/1"/>
    <s v="ICE18"/>
    <x v="1"/>
    <x v="37"/>
    <x v="19"/>
    <x v="1"/>
    <s v="No"/>
    <s v="No"/>
    <s v="Yes"/>
    <s v="7560utt277smini.bj.intel.com"/>
    <s v="40419"/>
    <s v="E1DFAA88860C0C00FFFFFFFF"/>
    <s v="C7H751300BKHXNKKG"/>
    <n v="18900670309"/>
    <s v="00440152262147"/>
    <s v="00440152262349"/>
    <n v="13800001341"/>
    <d v="2018-07-13T00:00:00"/>
    <s v="Yes"/>
    <s v="Yes"/>
    <x v="0"/>
  </r>
  <r>
    <s v="Beijing"/>
    <s v="BEJSRTL511"/>
    <s v="Yes"/>
    <s v="CR"/>
    <s v="PCIe"/>
    <n v="2510858"/>
    <s v="439/R33/1"/>
    <s v="ICE18"/>
    <x v="1"/>
    <x v="37"/>
    <x v="19"/>
    <x v="1"/>
    <s v="No"/>
    <s v="No"/>
    <s v="Yes"/>
    <s v="7560utt277smini.bj.intel.com"/>
    <s v="40511"/>
    <s v="E1DF1A4330E70600FFFFFFFF"/>
    <s v="C7H7513009WHXNKKB"/>
    <n v="18900670311"/>
    <s v="00440152262148"/>
    <s v="00440152262350"/>
    <n v="13800001339"/>
    <d v="2018-07-13T00:00:00"/>
    <s v="Yes"/>
    <s v="Yes"/>
    <x v="0"/>
  </r>
  <r>
    <s v="Beijing"/>
    <s v="bejsrtl047"/>
    <m/>
    <m/>
    <s v="PCIe"/>
    <n v="3316739"/>
    <s v="R24/7"/>
    <s v="IBIS"/>
    <x v="0"/>
    <x v="34"/>
    <x v="2"/>
    <x v="5"/>
    <s v="No"/>
    <s v="No"/>
    <m/>
    <m/>
    <m/>
    <m/>
    <s v="C0374720762T379B1"/>
    <n v="18548907901"/>
    <s v="00440152211047"/>
    <m/>
    <m/>
    <d v="2018-03-13T00:00:00"/>
    <s v="Yes"/>
    <s v="Yes"/>
    <x v="0"/>
  </r>
  <r>
    <s v="Beijing"/>
    <s v="bejsrtl048"/>
    <m/>
    <m/>
    <s v="PCIe"/>
    <n v="3316786"/>
    <s v="R24/8"/>
    <s v="IBIS"/>
    <x v="0"/>
    <x v="34"/>
    <x v="2"/>
    <x v="5"/>
    <s v="No"/>
    <s v="No"/>
    <m/>
    <m/>
    <m/>
    <m/>
    <s v="C0374721195T379BS"/>
    <n v="13021983072"/>
    <s v="00440152211048"/>
    <m/>
    <m/>
    <d v="2018-03-13T00:00:00"/>
    <s v="Yes"/>
    <s v="Yes"/>
    <x v="0"/>
  </r>
  <r>
    <s v="Beijing"/>
    <s v="bejsrtl049"/>
    <m/>
    <m/>
    <s v="PCIe"/>
    <n v="3316760"/>
    <s v="R24/9"/>
    <s v="IBIS"/>
    <x v="0"/>
    <x v="31"/>
    <x v="2"/>
    <x v="5"/>
    <s v="No"/>
    <s v="No"/>
    <m/>
    <m/>
    <m/>
    <m/>
    <s v="C0374720964T379BX"/>
    <n v="13811090671"/>
    <s v="00440152211049"/>
    <m/>
    <m/>
    <d v="2018-03-13T00:00:00"/>
    <s v="Yes"/>
    <s v="Yes"/>
    <x v="0"/>
  </r>
  <r>
    <s v="Beijing"/>
    <s v="bejsrtl052"/>
    <m/>
    <m/>
    <s v="PCIe"/>
    <n v="3220270"/>
    <s v="R23/3"/>
    <s v="IBIS"/>
    <x v="0"/>
    <x v="34"/>
    <x v="2"/>
    <x v="5"/>
    <s v="No"/>
    <s v="No"/>
    <m/>
    <m/>
    <m/>
    <m/>
    <s v="C0374720808T379BC"/>
    <n v="13121817216"/>
    <s v="00440152211052"/>
    <m/>
    <m/>
    <d v="2018-03-13T00:00:00"/>
    <s v="Yes"/>
    <s v="Yes"/>
    <x v="0"/>
  </r>
  <r>
    <s v="Beijing"/>
    <s v="bejsrtl053"/>
    <m/>
    <m/>
    <s v="PCIe"/>
    <n v="3219566"/>
    <s v="R23/4"/>
    <s v="IBIS"/>
    <x v="0"/>
    <x v="34"/>
    <x v="2"/>
    <x v="5"/>
    <s v="No"/>
    <s v="No"/>
    <m/>
    <m/>
    <m/>
    <m/>
    <s v="C0374720807T379BD"/>
    <n v="13051117912"/>
    <s v="00440152211053"/>
    <m/>
    <m/>
    <d v="2018-03-13T00:00:00"/>
    <s v="Yes"/>
    <s v="Yes"/>
    <x v="0"/>
  </r>
  <r>
    <s v="Beijing"/>
    <s v="bejsrtl054"/>
    <m/>
    <m/>
    <s v="PCIe"/>
    <n v="3220175"/>
    <s v="R23/5"/>
    <s v="IBIS"/>
    <x v="0"/>
    <x v="34"/>
    <x v="2"/>
    <x v="5"/>
    <s v="No"/>
    <s v="No"/>
    <m/>
    <m/>
    <m/>
    <m/>
    <s v="C0374721169T379BX"/>
    <n v="15601278446"/>
    <s v="00440152211054"/>
    <m/>
    <m/>
    <d v="2018-03-13T00:00:00"/>
    <s v="Yes"/>
    <s v="Yes"/>
    <x v="0"/>
  </r>
  <r>
    <s v="Beijing"/>
    <s v="bejsrtl055"/>
    <m/>
    <m/>
    <s v="PCIe"/>
    <n v="3220230"/>
    <s v="R23/6"/>
    <s v="IBIS"/>
    <x v="0"/>
    <x v="34"/>
    <x v="2"/>
    <x v="5"/>
    <s v="No"/>
    <s v="No"/>
    <m/>
    <m/>
    <m/>
    <m/>
    <s v="C0374721181T379BZ"/>
    <n v="18600423378"/>
    <s v="00440152211055"/>
    <m/>
    <m/>
    <d v="2018-03-13T00:00:00"/>
    <s v="Yes"/>
    <s v="Yes"/>
    <x v="0"/>
  </r>
  <r>
    <s v="Beijing"/>
    <s v="bejsrtl056"/>
    <m/>
    <m/>
    <s v="PCIe"/>
    <n v="3220154"/>
    <s v="R23/7"/>
    <s v="IBIS"/>
    <x v="0"/>
    <x v="31"/>
    <x v="2"/>
    <x v="5"/>
    <s v="No"/>
    <s v="No"/>
    <m/>
    <m/>
    <m/>
    <m/>
    <m/>
    <n v="13910406817"/>
    <s v="00440152211056"/>
    <m/>
    <m/>
    <d v="2018-03-18T00:00:00"/>
    <s v="Yes"/>
    <s v="Yes"/>
    <x v="0"/>
  </r>
  <r>
    <s v="Beijing"/>
    <s v="bejsrtl057"/>
    <m/>
    <m/>
    <s v="PCIe"/>
    <n v="3220164"/>
    <s v="R23/8"/>
    <s v="IBIS"/>
    <x v="0"/>
    <x v="31"/>
    <x v="2"/>
    <x v="6"/>
    <s v="No"/>
    <s v="No"/>
    <m/>
    <m/>
    <m/>
    <m/>
    <s v="C0380740175T379ER"/>
    <n v="13810283494"/>
    <s v="00440152211057"/>
    <m/>
    <m/>
    <d v="2018-03-18T00:00:00"/>
    <s v="Yes"/>
    <s v="Yes"/>
    <x v="0"/>
  </r>
  <r>
    <s v="Beijing"/>
    <s v="bejsrtl058"/>
    <m/>
    <m/>
    <s v="PCIe"/>
    <n v="3220327"/>
    <s v="R23/2"/>
    <s v="IBIS"/>
    <x v="0"/>
    <x v="31"/>
    <x v="2"/>
    <x v="6"/>
    <s v="No"/>
    <s v="No"/>
    <m/>
    <m/>
    <m/>
    <m/>
    <s v=" C0380740192T379EN   "/>
    <n v="13810465796"/>
    <s v="00440152211058"/>
    <m/>
    <m/>
    <d v="2018-03-18T00:00:00"/>
    <s v="Yes"/>
    <s v="Yes"/>
    <x v="0"/>
  </r>
  <r>
    <s v="Beijing"/>
    <s v="bejsrtl059"/>
    <m/>
    <m/>
    <s v="PCIe"/>
    <n v="3220311"/>
    <s v="R23/1"/>
    <s v="IBIS"/>
    <x v="0"/>
    <x v="31"/>
    <x v="2"/>
    <x v="5"/>
    <s v="No"/>
    <s v="No"/>
    <m/>
    <m/>
    <m/>
    <m/>
    <s v="C0374721003T379BN"/>
    <n v="13811233652"/>
    <s v="00440152211059"/>
    <m/>
    <m/>
    <d v="2018-03-13T00:00:00"/>
    <s v="Yes"/>
    <s v="Yes"/>
    <x v="0"/>
  </r>
  <r>
    <s v="Beijing"/>
    <s v="bejsrtl060"/>
    <m/>
    <m/>
    <s v="PCIe"/>
    <n v="3220245"/>
    <s v="R22/1"/>
    <s v="IBIS"/>
    <x v="0"/>
    <x v="31"/>
    <x v="2"/>
    <x v="5"/>
    <s v="No"/>
    <s v="No"/>
    <m/>
    <m/>
    <m/>
    <m/>
    <s v="C0374720927T379B6"/>
    <n v="13810364724"/>
    <s v="00440152211060"/>
    <m/>
    <m/>
    <d v="2018-03-13T00:00:00"/>
    <s v="Yes"/>
    <s v="Yes"/>
    <x v="0"/>
  </r>
  <r>
    <s v="Beijing"/>
    <s v="bejsrtl061"/>
    <m/>
    <m/>
    <s v="PCIe"/>
    <n v="3219768"/>
    <s v="R22/2"/>
    <s v="IBIS"/>
    <x v="0"/>
    <x v="31"/>
    <x v="2"/>
    <x v="6"/>
    <s v="No"/>
    <s v="No"/>
    <m/>
    <m/>
    <m/>
    <m/>
    <s v="C0380740165T379EU"/>
    <n v="13910436476"/>
    <s v="00440152211061"/>
    <m/>
    <m/>
    <d v="2018-03-13T00:00:00"/>
    <s v="Yes"/>
    <s v="Yes"/>
    <x v="0"/>
  </r>
  <r>
    <s v="Beijing"/>
    <s v="bejsrtl062"/>
    <m/>
    <m/>
    <s v="PCIe"/>
    <n v="3219715"/>
    <s v="R22/2"/>
    <s v="IBIS"/>
    <x v="0"/>
    <x v="31"/>
    <x v="2"/>
    <x v="6"/>
    <s v="No"/>
    <s v="No"/>
    <m/>
    <m/>
    <m/>
    <m/>
    <s v="C0380740033T379E6"/>
    <n v="13810274784"/>
    <s v="00440152211062"/>
    <m/>
    <m/>
    <d v="2018-03-13T00:00:00"/>
    <s v="Yes"/>
    <s v="Yes"/>
    <x v="0"/>
  </r>
  <r>
    <s v="Beijing"/>
    <s v="bejsrtl063"/>
    <m/>
    <m/>
    <s v="PCIe"/>
    <n v="3219812"/>
    <s v="R22/3"/>
    <s v="IBIS"/>
    <x v="0"/>
    <x v="31"/>
    <x v="2"/>
    <x v="6"/>
    <s v="No"/>
    <s v="No"/>
    <m/>
    <m/>
    <m/>
    <m/>
    <s v="C0380740030T379E9"/>
    <s v="13811011862"/>
    <s v="00440152211063"/>
    <m/>
    <m/>
    <d v="2018-03-13T00:00:00"/>
    <s v="Yes"/>
    <s v="Yes"/>
    <x v="0"/>
  </r>
  <r>
    <s v="Beijing"/>
    <s v="bejsrtl064"/>
    <m/>
    <m/>
    <s v="PCIe"/>
    <n v="3219783"/>
    <s v="R22/3"/>
    <s v="IBIS"/>
    <x v="0"/>
    <x v="31"/>
    <x v="2"/>
    <x v="5"/>
    <s v="No"/>
    <s v="No"/>
    <m/>
    <m/>
    <m/>
    <m/>
    <s v="C0374720901T379BJ"/>
    <s v="13810863052"/>
    <s v="00440152211064"/>
    <m/>
    <m/>
    <d v="2018-03-13T00:00:00"/>
    <s v="Yes"/>
    <s v="Yes"/>
    <x v="0"/>
  </r>
  <r>
    <s v="Beijing"/>
    <s v="bejsrtl065"/>
    <m/>
    <m/>
    <s v="PCIe"/>
    <n v="3219894"/>
    <s v="R22/4"/>
    <s v="IBIS"/>
    <x v="0"/>
    <x v="31"/>
    <x v="2"/>
    <x v="5"/>
    <s v="No"/>
    <s v="No"/>
    <m/>
    <m/>
    <m/>
    <m/>
    <s v="C0374721339T379B4"/>
    <s v="13810279504"/>
    <s v="00440152211065"/>
    <m/>
    <m/>
    <d v="2018-03-13T00:00:00"/>
    <s v="Yes"/>
    <s v="Yes"/>
    <x v="0"/>
  </r>
  <r>
    <s v="Beijing"/>
    <s v="bejsrtl066"/>
    <m/>
    <m/>
    <s v="PCIe"/>
    <n v="3219933"/>
    <s v="R22/4"/>
    <s v="IBIS"/>
    <x v="0"/>
    <x v="31"/>
    <x v="2"/>
    <x v="6"/>
    <s v="No"/>
    <s v="No"/>
    <m/>
    <m/>
    <m/>
    <m/>
    <s v="C0380740006T379EC"/>
    <n v="13910631084"/>
    <s v="00440152211066"/>
    <m/>
    <m/>
    <d v="2018-03-13T00:00:00"/>
    <s v="Yes"/>
    <s v="Yes"/>
    <x v="0"/>
  </r>
  <r>
    <s v="Beijing"/>
    <s v="bejsrtl067"/>
    <m/>
    <m/>
    <s v="PCIe"/>
    <n v="3299594"/>
    <s v="R22/5"/>
    <s v="IBIS"/>
    <x v="0"/>
    <x v="31"/>
    <x v="2"/>
    <x v="6"/>
    <s v="No"/>
    <s v="No"/>
    <m/>
    <m/>
    <m/>
    <m/>
    <s v="C0380740013T379EC"/>
    <s v="13811090670"/>
    <s v="00440152211067"/>
    <m/>
    <m/>
    <d v="2018-03-13T00:00:00"/>
    <s v="Yes"/>
    <s v="Yes"/>
    <x v="0"/>
  </r>
  <r>
    <s v="Beijing"/>
    <s v="bejsrtl068"/>
    <m/>
    <m/>
    <s v="PCIe"/>
    <n v="3299400"/>
    <s v="R22/6"/>
    <s v="IBIS"/>
    <x v="0"/>
    <x v="31"/>
    <x v="2"/>
    <x v="5"/>
    <s v="No"/>
    <s v="No"/>
    <m/>
    <m/>
    <m/>
    <m/>
    <s v="C0374720865T379BX"/>
    <s v="13811020730"/>
    <s v="00440152211068"/>
    <m/>
    <m/>
    <d v="2018-03-13T00:00:00"/>
    <s v="Yes"/>
    <s v="Yes"/>
    <x v="0"/>
  </r>
  <r>
    <s v="Beijing"/>
    <s v="bejsrtl069"/>
    <m/>
    <m/>
    <s v="PCIe"/>
    <n v="3299535"/>
    <s v="R22/6"/>
    <s v="IBIS"/>
    <x v="0"/>
    <x v="31"/>
    <x v="2"/>
    <x v="5"/>
    <s v="No"/>
    <s v="No"/>
    <m/>
    <m/>
    <m/>
    <m/>
    <s v="C0374720893T379BQ"/>
    <s v="13811020853"/>
    <s v="00440152211069"/>
    <m/>
    <m/>
    <d v="2018-03-13T00:00:00"/>
    <s v="Yes"/>
    <s v="Yes"/>
    <x v="0"/>
  </r>
  <r>
    <s v="Beijing"/>
    <s v="bejsrtl070"/>
    <m/>
    <m/>
    <s v="PCIe"/>
    <n v="3299473"/>
    <s v="R22/7"/>
    <s v="IBIS"/>
    <x v="0"/>
    <x v="31"/>
    <x v="2"/>
    <x v="5"/>
    <s v="No"/>
    <s v="No"/>
    <m/>
    <m/>
    <m/>
    <m/>
    <s v="C0374721223T3798E"/>
    <n v="13810618197"/>
    <s v="00440152211070"/>
    <m/>
    <m/>
    <d v="2018-03-18T00:00:00"/>
    <s v="Yes"/>
    <s v="Yes"/>
    <x v="0"/>
  </r>
  <r>
    <s v="Beijing"/>
    <s v="bejsrtl071"/>
    <m/>
    <m/>
    <s v="PCIe"/>
    <n v="3299710"/>
    <s v="R22/7"/>
    <s v="IBIS"/>
    <x v="0"/>
    <x v="31"/>
    <x v="2"/>
    <x v="5"/>
    <s v="No"/>
    <s v="No"/>
    <m/>
    <m/>
    <m/>
    <m/>
    <s v="C0374721002T379BP"/>
    <n v="13810262125"/>
    <s v="00440152211071"/>
    <m/>
    <m/>
    <d v="2018-03-18T00:00:00"/>
    <s v="Yes"/>
    <s v="Yes"/>
    <x v="0"/>
  </r>
  <r>
    <s v="Beijing"/>
    <s v="bejsrtl072"/>
    <m/>
    <m/>
    <s v="PCIe"/>
    <n v="3299434"/>
    <s v="R26/1"/>
    <s v="IBIS"/>
    <x v="0"/>
    <x v="31"/>
    <x v="2"/>
    <x v="6"/>
    <s v="No"/>
    <s v="No"/>
    <m/>
    <m/>
    <m/>
    <m/>
    <s v="C0380870599T379E5"/>
    <n v="13810431494"/>
    <s v="00440152211072"/>
    <m/>
    <m/>
    <d v="2018-03-18T00:00:00"/>
    <s v="Yes"/>
    <s v="Yes"/>
    <x v="0"/>
  </r>
  <r>
    <s v="Beijing"/>
    <s v="bejsrtl073"/>
    <m/>
    <m/>
    <s v="PCIe"/>
    <n v="3299424"/>
    <s v="R26/2"/>
    <s v="IBIS"/>
    <x v="0"/>
    <x v="31"/>
    <x v="2"/>
    <x v="6"/>
    <s v="No"/>
    <s v="No"/>
    <m/>
    <m/>
    <m/>
    <m/>
    <s v="C0380870964T379EF"/>
    <n v="13911711451"/>
    <s v="00440152211073"/>
    <m/>
    <m/>
    <d v="2018-03-18T00:00:00"/>
    <s v="Yes"/>
    <s v="Yes"/>
    <x v="0"/>
  </r>
  <r>
    <s v="Beijing"/>
    <s v="bejsrtl074"/>
    <m/>
    <m/>
    <s v="PCIe"/>
    <n v="3299415"/>
    <s v="R26/2"/>
    <s v="IBIS"/>
    <x v="0"/>
    <x v="31"/>
    <x v="2"/>
    <x v="6"/>
    <s v="No"/>
    <s v="No"/>
    <m/>
    <m/>
    <m/>
    <m/>
    <s v="C0380740243T379E1"/>
    <n v="13810669120"/>
    <s v="00440152211074"/>
    <m/>
    <m/>
    <d v="2018-03-18T00:00:00"/>
    <s v="Yes"/>
    <s v="Yes"/>
    <x v="0"/>
  </r>
  <r>
    <s v="Beijing"/>
    <s v="bejsrtl075"/>
    <m/>
    <m/>
    <s v="PCIe"/>
    <n v="3299554"/>
    <s v="R26/3"/>
    <s v="IBIS"/>
    <x v="0"/>
    <x v="34"/>
    <x v="2"/>
    <x v="6"/>
    <s v="No"/>
    <s v="No"/>
    <m/>
    <m/>
    <m/>
    <m/>
    <s v="C0380740117T379E7"/>
    <n v="13051116036"/>
    <s v="00440152211075"/>
    <m/>
    <m/>
    <d v="2018-03-18T00:00:00"/>
    <s v="Yes"/>
    <s v="Yes"/>
    <x v="0"/>
  </r>
  <r>
    <s v="Beijing"/>
    <s v="bejsrtl076"/>
    <m/>
    <m/>
    <s v="PCIe"/>
    <n v="3299789"/>
    <s v="R26/3"/>
    <s v="IBIS"/>
    <x v="0"/>
    <x v="31"/>
    <x v="2"/>
    <x v="6"/>
    <s v="No"/>
    <s v="No"/>
    <m/>
    <m/>
    <m/>
    <m/>
    <s v="C0380870593T379EB"/>
    <n v="13811090597"/>
    <s v="00440152211076"/>
    <m/>
    <m/>
    <d v="2018-03-18T00:00:00"/>
    <s v="Yes"/>
    <s v="Yes"/>
    <x v="0"/>
  </r>
  <r>
    <s v="Beijing"/>
    <s v="bejsrtl077"/>
    <m/>
    <m/>
    <s v="PCIe"/>
    <n v="3299449"/>
    <s v="R26/4"/>
    <s v="IBIS"/>
    <x v="0"/>
    <x v="34"/>
    <x v="2"/>
    <x v="6"/>
    <s v="No"/>
    <s v="No"/>
    <m/>
    <m/>
    <m/>
    <m/>
    <s v="C0380740163T379EW"/>
    <n v="13051115719"/>
    <s v="00440152211077"/>
    <m/>
    <m/>
    <d v="2018-03-18T00:00:00"/>
    <s v="Yes"/>
    <s v="Yes"/>
    <x v="0"/>
  </r>
  <r>
    <s v="Beijing"/>
    <s v="bejsrtl078"/>
    <m/>
    <m/>
    <s v="PCIe"/>
    <n v="3316726"/>
    <s v="R26/5"/>
    <s v="IBIS"/>
    <x v="0"/>
    <x v="31"/>
    <x v="2"/>
    <x v="6"/>
    <s v="No"/>
    <s v="No"/>
    <m/>
    <m/>
    <m/>
    <m/>
    <s v="C0380870960T379EK"/>
    <n v="13911721847"/>
    <s v="00440152211078"/>
    <m/>
    <m/>
    <d v="2018-03-18T00:00:00"/>
    <s v="Yes"/>
    <s v="Yes"/>
    <x v="0"/>
  </r>
  <r>
    <s v="Beijing"/>
    <s v="bejsrtl079"/>
    <m/>
    <m/>
    <s v="PCIe"/>
    <n v="3299467"/>
    <s v="R26/6"/>
    <s v="IBIS"/>
    <x v="0"/>
    <x v="31"/>
    <x v="2"/>
    <x v="6"/>
    <s v="No"/>
    <s v="No"/>
    <m/>
    <m/>
    <m/>
    <m/>
    <s v="C0380870418T379EX"/>
    <n v="13810339623"/>
    <s v="00440152211079"/>
    <m/>
    <m/>
    <d v="2018-03-18T00:00:00"/>
    <s v="Yes"/>
    <s v="Yes"/>
    <x v="0"/>
  </r>
  <r>
    <s v="Beijing"/>
    <s v="bejsrtl080"/>
    <m/>
    <m/>
    <s v="PCIe"/>
    <n v="3299657"/>
    <s v="R26/7"/>
    <s v="IBIS"/>
    <x v="0"/>
    <x v="31"/>
    <x v="2"/>
    <x v="6"/>
    <s v="No"/>
    <s v="No"/>
    <m/>
    <m/>
    <m/>
    <m/>
    <s v="C0380870492T379ED"/>
    <n v="13811056251"/>
    <s v="00440152211080"/>
    <m/>
    <m/>
    <d v="2018-03-18T00:00:00"/>
    <s v="Yes"/>
    <s v="Yes"/>
    <x v="0"/>
  </r>
  <r>
    <s v="Beijing"/>
    <s v="bejsrtl081"/>
    <m/>
    <m/>
    <s v="PCIe"/>
    <n v="3299651"/>
    <s v="R26/8"/>
    <s v="IBIS"/>
    <x v="0"/>
    <x v="31"/>
    <x v="2"/>
    <x v="5"/>
    <s v="No"/>
    <s v="No"/>
    <m/>
    <m/>
    <m/>
    <m/>
    <s v="C0374721001T379BQ"/>
    <n v="13811080913"/>
    <s v="00440152211081"/>
    <m/>
    <m/>
    <d v="2018-03-18T00:00:00"/>
    <s v="Yes"/>
    <s v="Yes"/>
    <x v="0"/>
  </r>
  <r>
    <s v="Beijing"/>
    <s v="bejsrtl082"/>
    <m/>
    <m/>
    <s v="PCIe"/>
    <n v="3299728"/>
    <s v="R26/8"/>
    <s v="IBIS"/>
    <x v="0"/>
    <x v="2"/>
    <x v="2"/>
    <x v="7"/>
    <s v="No"/>
    <s v="No"/>
    <m/>
    <m/>
    <m/>
    <m/>
    <s v="C0373440847T3798J"/>
    <m/>
    <s v="00440152211082"/>
    <m/>
    <m/>
    <d v="2018-03-18T00:00:00"/>
    <s v="Yes"/>
    <s v="Yes"/>
    <x v="0"/>
  </r>
  <r>
    <s v="Beijing"/>
    <s v="bejsrtl083"/>
    <m/>
    <m/>
    <s v="PCIe"/>
    <n v="3299775"/>
    <s v="R26/9"/>
    <s v="IBIS"/>
    <x v="0"/>
    <x v="2"/>
    <x v="2"/>
    <x v="5"/>
    <s v="No"/>
    <s v="No"/>
    <m/>
    <m/>
    <m/>
    <m/>
    <s v="C0374721341T379B9"/>
    <m/>
    <s v="00440152211083"/>
    <m/>
    <m/>
    <d v="2018-03-18T00:00:00"/>
    <s v="Yes"/>
    <s v="Yes"/>
    <x v="0"/>
  </r>
  <r>
    <s v="Beijing"/>
    <s v="bejsrtl084"/>
    <m/>
    <m/>
    <s v="PCIe"/>
    <n v="3299566"/>
    <s v="R25/1"/>
    <s v="IBIS"/>
    <x v="0"/>
    <x v="34"/>
    <x v="2"/>
    <x v="6"/>
    <s v="No"/>
    <s v="No"/>
    <m/>
    <m/>
    <m/>
    <m/>
    <s v="C0380740078T379EP"/>
    <n v="13051113538"/>
    <s v="00440152211084"/>
    <m/>
    <m/>
    <d v="2018-03-18T00:00:00"/>
    <s v="Yes"/>
    <s v="Yes"/>
    <x v="0"/>
  </r>
  <r>
    <s v="Beijing"/>
    <s v="bejsrtl085"/>
    <m/>
    <m/>
    <s v="PCIe"/>
    <n v="3299354"/>
    <s v="R25/2"/>
    <s v="IBIS"/>
    <x v="0"/>
    <x v="34"/>
    <x v="2"/>
    <x v="6"/>
    <s v="No"/>
    <s v="No"/>
    <m/>
    <m/>
    <m/>
    <m/>
    <s v="C0380740073T379ER"/>
    <n v="18612939847"/>
    <s v="00440152211085"/>
    <m/>
    <m/>
    <d v="2018-03-18T00:00:00"/>
    <s v="Yes"/>
    <s v="Yes"/>
    <x v="0"/>
  </r>
  <r>
    <s v="Beijing"/>
    <s v="bejsrtl086"/>
    <m/>
    <m/>
    <s v="PCIe"/>
    <n v="3299526"/>
    <s v="R25/3"/>
    <s v="IBIS"/>
    <x v="0"/>
    <x v="34"/>
    <x v="2"/>
    <x v="6"/>
    <s v="No"/>
    <s v="No"/>
    <m/>
    <m/>
    <m/>
    <m/>
    <s v="C0380740099T379EG"/>
    <n v="18618459257"/>
    <s v="00440152211086"/>
    <m/>
    <m/>
    <d v="2018-03-18T00:00:00"/>
    <s v="Yes"/>
    <s v="Yes"/>
    <x v="0"/>
  </r>
  <r>
    <s v="Beijing"/>
    <s v="bejsrtl087"/>
    <m/>
    <m/>
    <s v="PCIe"/>
    <n v="3299567"/>
    <s v="R25/4"/>
    <s v="IBIS"/>
    <x v="0"/>
    <x v="34"/>
    <x v="2"/>
    <x v="6"/>
    <s v="No"/>
    <s v="No"/>
    <m/>
    <m/>
    <m/>
    <m/>
    <s v="C0380740069T379ER"/>
    <n v="18618143487"/>
    <s v="00440152211087"/>
    <m/>
    <m/>
    <d v="2018-03-18T00:00:00"/>
    <s v="Yes"/>
    <s v="Yes"/>
    <x v="0"/>
  </r>
  <r>
    <s v="Beijing"/>
    <s v="bejsrtl088"/>
    <m/>
    <m/>
    <s v="PCIe"/>
    <n v="3299512"/>
    <s v="R25/5"/>
    <s v="IBIS"/>
    <x v="0"/>
    <x v="34"/>
    <x v="2"/>
    <x v="6"/>
    <s v="No"/>
    <s v="No"/>
    <m/>
    <m/>
    <m/>
    <m/>
    <s v="C0380740274T379ER"/>
    <n v="18613358214"/>
    <s v="00440152211088"/>
    <m/>
    <m/>
    <d v="2018-03-18T00:00:00"/>
    <s v="Yes"/>
    <s v="Yes"/>
    <x v="0"/>
  </r>
  <r>
    <s v="Beijing"/>
    <s v="bejsrtl089"/>
    <m/>
    <m/>
    <s v="PCIe"/>
    <n v="3299511"/>
    <s v="R25/6"/>
    <s v="IBIS"/>
    <x v="0"/>
    <x v="34"/>
    <x v="2"/>
    <x v="5"/>
    <s v="No"/>
    <s v="No"/>
    <m/>
    <m/>
    <m/>
    <m/>
    <s v="C0374720930T379BA"/>
    <n v="13121815792"/>
    <s v="00440152211089"/>
    <m/>
    <m/>
    <d v="2018-03-18T00:00:00"/>
    <s v="Yes"/>
    <s v="Yes"/>
    <x v="0"/>
  </r>
  <r>
    <s v="Beijing"/>
    <s v="bejsrtl090"/>
    <m/>
    <m/>
    <s v="PCIe"/>
    <n v="3299466"/>
    <s v="R25/7"/>
    <s v="IBIS"/>
    <x v="0"/>
    <x v="34"/>
    <x v="2"/>
    <x v="6"/>
    <s v="No"/>
    <s v="No"/>
    <m/>
    <m/>
    <m/>
    <m/>
    <s v="C0380870365T379EL"/>
    <n v="13121816092"/>
    <s v="00440152211090"/>
    <m/>
    <m/>
    <d v="2018-03-18T00:00:00"/>
    <s v="Yes"/>
    <s v="Yes"/>
    <x v="0"/>
  </r>
  <r>
    <s v="Beijing"/>
    <s v="bejsrtl091"/>
    <m/>
    <m/>
    <s v="PCIe"/>
    <n v="3299463"/>
    <s v="R25/8"/>
    <s v="IBIS"/>
    <x v="0"/>
    <x v="34"/>
    <x v="2"/>
    <x v="6"/>
    <s v="No"/>
    <s v="No"/>
    <m/>
    <m/>
    <m/>
    <m/>
    <s v="C0380870364T379EM"/>
    <n v="13121819387"/>
    <s v="00440152211091"/>
    <m/>
    <m/>
    <d v="2018-03-18T00:00:00"/>
    <s v="Yes"/>
    <s v="Yes"/>
    <x v="0"/>
  </r>
  <r>
    <s v="Beijing"/>
    <s v="bejsrtl092"/>
    <m/>
    <m/>
    <s v="PCIe"/>
    <n v="3299407"/>
    <s v="R25/9"/>
    <s v="IBIS"/>
    <x v="0"/>
    <x v="31"/>
    <x v="2"/>
    <x v="6"/>
    <s v="No"/>
    <s v="No"/>
    <m/>
    <m/>
    <m/>
    <m/>
    <s v="C0380870495T379EA"/>
    <n v="13910499847"/>
    <s v="00440152211092"/>
    <m/>
    <m/>
    <d v="2018-03-18T00:00:00"/>
    <s v="Yes"/>
    <s v="Yes"/>
    <x v="0"/>
  </r>
  <r>
    <s v="Beijing"/>
    <s v="bejsrtl093"/>
    <m/>
    <m/>
    <s v="PCIe"/>
    <n v="3299711"/>
    <s v="R20/1"/>
    <s v="IBIS"/>
    <x v="0"/>
    <x v="34"/>
    <x v="2"/>
    <x v="6"/>
    <s v="No"/>
    <s v="No"/>
    <m/>
    <m/>
    <m/>
    <m/>
    <s v="C0380870644T379EQ"/>
    <n v="13269433059"/>
    <s v="00440152211093"/>
    <m/>
    <m/>
    <d v="2018-03-18T00:00:00"/>
    <s v="Yes"/>
    <s v="Yes"/>
    <x v="0"/>
  </r>
  <r>
    <s v="Beijing"/>
    <s v="bejsrtl094"/>
    <m/>
    <m/>
    <s v="PCIe"/>
    <n v="3299498"/>
    <s v="R20/2"/>
    <s v="IBIS"/>
    <x v="0"/>
    <x v="34"/>
    <x v="2"/>
    <x v="6"/>
    <s v="No"/>
    <s v="No"/>
    <m/>
    <m/>
    <m/>
    <m/>
    <s v="C0380870582T379EF"/>
    <n v="18511190842"/>
    <s v="00440152211094"/>
    <m/>
    <m/>
    <d v="2018-03-18T00:00:00"/>
    <s v="Yes"/>
    <s v="Yes"/>
    <x v="0"/>
  </r>
  <r>
    <s v="Beijing"/>
    <s v="bejsrtl095"/>
    <m/>
    <m/>
    <s v="PCIe"/>
    <n v="3299391"/>
    <s v="R20/3"/>
    <s v="IBIS"/>
    <x v="0"/>
    <x v="34"/>
    <x v="2"/>
    <x v="6"/>
    <s v="No"/>
    <s v="No"/>
    <m/>
    <m/>
    <m/>
    <m/>
    <s v="C0380870662T379EL"/>
    <n v="18501935094"/>
    <s v="00440152211095"/>
    <m/>
    <m/>
    <d v="2018-03-18T00:00:00"/>
    <s v="Yes"/>
    <s v="Yes"/>
    <x v="0"/>
  </r>
  <r>
    <s v="Beijing"/>
    <s v="bejsrtl096"/>
    <m/>
    <m/>
    <s v="PCIe"/>
    <n v="3299418"/>
    <s v="R20/4"/>
    <s v="IBIS"/>
    <x v="0"/>
    <x v="34"/>
    <x v="2"/>
    <x v="5"/>
    <s v="No"/>
    <s v="No"/>
    <m/>
    <m/>
    <m/>
    <m/>
    <s v="C0374720741T379B8"/>
    <n v="18601984298"/>
    <s v="00440152211096"/>
    <m/>
    <m/>
    <d v="2018-03-18T00:00:00"/>
    <s v="Yes"/>
    <s v="Yes"/>
    <x v="0"/>
  </r>
  <r>
    <s v="Beijing"/>
    <s v="bejsrtl097"/>
    <m/>
    <m/>
    <s v="PCIe"/>
    <n v="3299462"/>
    <s v="R20/5"/>
    <s v="IBIS"/>
    <x v="0"/>
    <x v="34"/>
    <x v="2"/>
    <x v="5"/>
    <s v="No"/>
    <s v="No"/>
    <m/>
    <m/>
    <m/>
    <m/>
    <s v="C0374720716T379BC"/>
    <n v="18614019509"/>
    <s v="00440152211097"/>
    <m/>
    <m/>
    <d v="2018-03-18T00:00:00"/>
    <s v="Yes"/>
    <s v="Yes"/>
    <x v="0"/>
  </r>
  <r>
    <s v="Beijing"/>
    <s v="bejsrtl098"/>
    <m/>
    <m/>
    <s v="PCIe"/>
    <n v="3299716"/>
    <s v="R20/6"/>
    <s v="IBIS"/>
    <x v="0"/>
    <x v="34"/>
    <x v="2"/>
    <x v="5"/>
    <s v="No"/>
    <s v="No"/>
    <m/>
    <m/>
    <m/>
    <m/>
    <s v="C0374720944T379B3"/>
    <n v="13051115367"/>
    <s v="00440152211098"/>
    <m/>
    <m/>
    <d v="2018-03-18T00:00:00"/>
    <s v="Yes"/>
    <s v="Yes"/>
    <x v="0"/>
  </r>
  <r>
    <s v="Beijing"/>
    <s v="bejsrtl099"/>
    <m/>
    <m/>
    <s v="PCIe"/>
    <n v="3299633"/>
    <s v="R20/7"/>
    <s v="IBIS"/>
    <x v="0"/>
    <x v="34"/>
    <x v="2"/>
    <x v="6"/>
    <s v="No"/>
    <s v="No"/>
    <m/>
    <m/>
    <m/>
    <m/>
    <s v="C0380870655T379EL"/>
    <n v="13264286473"/>
    <s v="00440152211099"/>
    <m/>
    <m/>
    <d v="2018-03-18T00:00:00"/>
    <s v="Yes"/>
    <s v="Yes"/>
    <x v="0"/>
  </r>
  <r>
    <s v="Beijing"/>
    <s v="bejsrtl041"/>
    <m/>
    <m/>
    <s v="PCIe"/>
    <n v="3249826"/>
    <s v="R24/1"/>
    <s v="IBIS"/>
    <x v="0"/>
    <x v="34"/>
    <x v="2"/>
    <x v="6"/>
    <s v="No"/>
    <s v="No"/>
    <m/>
    <m/>
    <m/>
    <m/>
    <s v="C0380740110T379EE"/>
    <n v="13263362761"/>
    <s v="00440152211041"/>
    <m/>
    <m/>
    <d v="2018-03-18T00:00:00"/>
    <s v="Yes"/>
    <s v="Yes"/>
    <x v="0"/>
  </r>
  <r>
    <s v="Beijing"/>
    <s v="bejsrtl042"/>
    <m/>
    <m/>
    <s v="PCIe"/>
    <n v="3316819"/>
    <s v="R24/2"/>
    <s v="IBIS"/>
    <x v="0"/>
    <x v="34"/>
    <x v="2"/>
    <x v="6"/>
    <s v="No"/>
    <s v="No"/>
    <m/>
    <m/>
    <m/>
    <m/>
    <s v="C0380740046T379E0"/>
    <n v="13021044747"/>
    <s v="00440152211042"/>
    <m/>
    <m/>
    <d v="2018-03-18T00:00:00"/>
    <s v="Yes"/>
    <s v="Yes"/>
    <x v="0"/>
  </r>
  <r>
    <s v="Beijing"/>
    <s v="bejsrtl043"/>
    <m/>
    <m/>
    <s v="PCIe"/>
    <n v="3316644"/>
    <s v="R24/3"/>
    <s v="IBIS"/>
    <x v="0"/>
    <x v="34"/>
    <x v="2"/>
    <x v="6"/>
    <s v="No"/>
    <s v="No"/>
    <m/>
    <m/>
    <m/>
    <m/>
    <s v="C0380740143T379E2"/>
    <n v="18600587512"/>
    <s v="00440152211043"/>
    <m/>
    <m/>
    <d v="2018-03-18T00:00:00"/>
    <s v="Yes"/>
    <s v="Yes"/>
    <x v="0"/>
  </r>
  <r>
    <s v="Beijing"/>
    <s v="bejsrtl044"/>
    <m/>
    <m/>
    <s v="PCIe"/>
    <n v="3316783"/>
    <s v="R24/4"/>
    <s v="IBIS"/>
    <x v="0"/>
    <x v="34"/>
    <x v="2"/>
    <x v="6"/>
    <s v="No"/>
    <s v="No"/>
    <m/>
    <m/>
    <m/>
    <m/>
    <s v="C0380740247T379EX"/>
    <n v="13269329416"/>
    <s v="00440152211044"/>
    <m/>
    <m/>
    <d v="2018-03-18T00:00:00"/>
    <s v="Yes"/>
    <s v="Yes"/>
    <x v="0"/>
  </r>
  <r>
    <s v="Beijing"/>
    <s v="bejsrtl030"/>
    <m/>
    <m/>
    <s v="PCIe"/>
    <n v="3299616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031"/>
    <m/>
    <m/>
    <s v="PCIe"/>
    <n v="3316781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032"/>
    <m/>
    <m/>
    <s v="PCIe"/>
    <n v="3299779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033"/>
    <m/>
    <m/>
    <s v="PCIe"/>
    <n v="3316795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034"/>
    <m/>
    <m/>
    <s v="PCIe"/>
    <n v="3316785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035"/>
    <m/>
    <m/>
    <s v="PCIe"/>
    <n v="3299787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036"/>
    <m/>
    <m/>
    <s v="PCIe"/>
    <n v="3299753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037"/>
    <m/>
    <m/>
    <s v="PCIe"/>
    <n v="3299720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038"/>
    <m/>
    <m/>
    <s v="PCIe"/>
    <n v="3249825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039"/>
    <m/>
    <m/>
    <s v="PCIe"/>
    <n v="3316707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040"/>
    <m/>
    <m/>
    <s v="PCIe"/>
    <n v="3249828"/>
    <s v="?"/>
    <s v="IBIS"/>
    <x v="0"/>
    <x v="2"/>
    <x v="2"/>
    <x v="3"/>
    <s v="No"/>
    <s v="No"/>
    <m/>
    <m/>
    <m/>
    <m/>
    <m/>
    <m/>
    <m/>
    <m/>
    <m/>
    <d v="2018-03-18T00:00:00"/>
    <s v="Yes"/>
    <s v="No"/>
    <x v="1"/>
  </r>
  <r>
    <s v="Beijing"/>
    <s v="bejsrtl245"/>
    <m/>
    <m/>
    <s v="PCIe"/>
    <n v="3219822"/>
    <s v="R36/6"/>
    <s v="ICE17"/>
    <x v="0"/>
    <x v="31"/>
    <x v="30"/>
    <x v="2"/>
    <s v="No"/>
    <s v="No"/>
    <s v="No"/>
    <m/>
    <s v="No"/>
    <s v="933104298002EED1F9CED106"/>
    <s v="C0765140033OHHH1"/>
    <n v="13810633251"/>
    <n v="440152219656"/>
    <m/>
    <m/>
    <d v="2018-04-12T00:00:00"/>
    <s v="Yes"/>
    <s v="Yes"/>
    <x v="0"/>
  </r>
  <r>
    <s v="Beijing"/>
    <s v="bejsrtl351"/>
    <m/>
    <m/>
    <s v="PCIe"/>
    <n v="3299624"/>
    <s v="R35/6"/>
    <s v="ICE17"/>
    <x v="0"/>
    <x v="31"/>
    <x v="30"/>
    <x v="2"/>
    <s v="No"/>
    <s v="No"/>
    <s v="No"/>
    <m/>
    <s v="No"/>
    <s v="9331042980022FD1F8F83704"/>
    <s v="C076505005RH2WH1 "/>
    <n v="13810827595"/>
    <n v="440152219656"/>
    <m/>
    <m/>
    <d v="2018-04-12T00:00:00"/>
    <s v="Yes"/>
    <s v="Yes"/>
    <x v="0"/>
  </r>
  <r>
    <s v="Beijing"/>
    <s v="bejsrtl358"/>
    <m/>
    <m/>
    <s v="PCIe"/>
    <n v="3316734"/>
    <s v="R36/3"/>
    <s v="ICE17"/>
    <x v="0"/>
    <x v="31"/>
    <x v="6"/>
    <x v="2"/>
    <s v="No"/>
    <s v="No"/>
    <s v="No"/>
    <m/>
    <s v="No"/>
    <s v="9331042980028F81F932A386 "/>
    <s v="C07645500AWOHHH1"/>
    <n v="13811011910"/>
    <n v="440152219656"/>
    <m/>
    <m/>
    <d v="2018-04-12T00:00:00"/>
    <s v="Yes"/>
    <s v="Yes"/>
    <x v="0"/>
  </r>
  <r>
    <s v="Beijing"/>
    <s v="bejsrtl374"/>
    <m/>
    <m/>
    <s v="PCIe"/>
    <n v="3516407"/>
    <s v="R35/8"/>
    <s v="ICE17"/>
    <x v="0"/>
    <x v="31"/>
    <x v="6"/>
    <x v="2"/>
    <s v="No"/>
    <s v="No"/>
    <s v="No"/>
    <m/>
    <s v="No"/>
    <s v="2C330D0A0D0A2B5042524541 "/>
    <s v="C076503000KH2WH1"/>
    <n v="13811011263"/>
    <n v="440152219656"/>
    <m/>
    <m/>
    <d v="2018-04-12T00:00:00"/>
    <s v="Yes"/>
    <s v="Yes"/>
    <x v="0"/>
  </r>
  <r>
    <s v="Beijing"/>
    <s v="bejsrtl389"/>
    <m/>
    <m/>
    <s v="PCIe"/>
    <n v="2511035"/>
    <s v="R37/7"/>
    <s v="ICE17"/>
    <x v="0"/>
    <x v="31"/>
    <x v="30"/>
    <x v="2"/>
    <s v="No"/>
    <s v="No"/>
    <s v="No"/>
    <m/>
    <s v="No"/>
    <s v="9331042980026E61F93CE305"/>
    <s v="C0765140012OHHH1"/>
    <n v="13910407834"/>
    <n v="440152219656"/>
    <m/>
    <m/>
    <d v="2018-04-12T00:00:00"/>
    <s v="Yes"/>
    <s v="Yes"/>
    <x v="0"/>
  </r>
  <r>
    <s v="Beijing"/>
    <s v="bejsrtl391"/>
    <m/>
    <m/>
    <s v="PCIe"/>
    <n v="2510865"/>
    <s v="R37/7"/>
    <s v="ICE17"/>
    <x v="0"/>
    <x v="31"/>
    <x v="6"/>
    <x v="2"/>
    <s v="No"/>
    <s v="No"/>
    <s v="No"/>
    <m/>
    <s v="No"/>
    <s v="9331042980024203F90A0805"/>
    <s v="C076503003BH2WH1"/>
    <n v="13810990625"/>
    <n v="440152219656"/>
    <m/>
    <m/>
    <d v="2018-04-12T00:00:00"/>
    <s v="Yes"/>
    <s v="Yes"/>
    <x v="0"/>
  </r>
  <r>
    <s v="Beijing"/>
    <s v="bejsrtl465"/>
    <m/>
    <m/>
    <s v="PCIe"/>
    <n v="3316810"/>
    <s v="R37/3"/>
    <s v="ICE17"/>
    <x v="0"/>
    <x v="31"/>
    <x v="6"/>
    <x v="2"/>
    <s v="No"/>
    <s v="No"/>
    <s v="No"/>
    <m/>
    <s v="No"/>
    <s v="933104298002E351F822BA85"/>
    <s v="C0765140012OHHH1"/>
    <n v="13911453546"/>
    <n v="440152219656"/>
    <m/>
    <m/>
    <d v="2018-04-12T00:00:00"/>
    <s v="Yes"/>
    <s v="Yes"/>
    <x v="0"/>
  </r>
  <r>
    <s v="Beijing"/>
    <s v="bejsrtl466"/>
    <m/>
    <m/>
    <s v="PCIe"/>
    <n v="3299842"/>
    <s v="R36/5"/>
    <s v="ICE17"/>
    <x v="0"/>
    <x v="31"/>
    <x v="30"/>
    <x v="2"/>
    <s v="No"/>
    <s v="No"/>
    <s v="No"/>
    <m/>
    <s v="No"/>
    <s v="933104298002EE31F914D486"/>
    <s v="C076514002UOHHH1"/>
    <n v="13810503761"/>
    <n v="440152219656"/>
    <m/>
    <m/>
    <d v="2018-04-12T00:00:00"/>
    <s v="Yes"/>
    <s v="Yes"/>
    <x v="0"/>
  </r>
  <r>
    <s v="Beijing"/>
    <s v="bejsrtl403"/>
    <m/>
    <m/>
    <s v="PCIe"/>
    <n v="2511022"/>
    <s v="R29/1"/>
    <s v="ICE17"/>
    <x v="0"/>
    <x v="31"/>
    <x v="31"/>
    <x v="2"/>
    <s v="No"/>
    <s v="No"/>
    <s v="SUS"/>
    <m/>
    <s v="No"/>
    <s v="9331042980024F61F9E43104"/>
    <s v="C0765050069H2WH1"/>
    <n v="13800001338"/>
    <n v="440152219656"/>
    <m/>
    <m/>
    <d v="2018-04-12T00:00:00"/>
    <s v="Yes"/>
    <s v="Yes"/>
    <x v="0"/>
  </r>
  <r>
    <s v="Hillsboro"/>
    <s v="HILSRTL183"/>
    <s v="Yes"/>
    <s v="Pre-INT"/>
    <s v="PCIe"/>
    <s v="SN3633310"/>
    <m/>
    <s v="ICE18"/>
    <x v="0"/>
    <x v="21"/>
    <x v="32"/>
    <x v="1"/>
    <s v="No"/>
    <s v="Yes"/>
    <s v="4x"/>
    <s v="HILSRTM007sMini.hf.intel.com"/>
    <n v="40182"/>
    <m/>
    <s v="C7H750600DKHXNKKA"/>
    <n v="971727403"/>
    <n v="440152249352"/>
    <m/>
    <m/>
    <d v="2018-04-11T00:00:00"/>
    <s v="Yes"/>
    <s v="Yes"/>
    <x v="0"/>
  </r>
  <r>
    <s v="Hillsboro"/>
    <s v="HILSRTL184"/>
    <s v="Yes"/>
    <s v="Pre-INT"/>
    <s v="PCIe"/>
    <s v="SN3633290"/>
    <m/>
    <s v="ICE18"/>
    <x v="0"/>
    <x v="21"/>
    <x v="32"/>
    <x v="1"/>
    <s v="No"/>
    <s v="Yes"/>
    <s v="4x"/>
    <s v="HILSRTM007sMini.hf.intel.com"/>
    <n v="40184"/>
    <m/>
    <s v="C7H750600DKHXNKKA"/>
    <n v="971727403"/>
    <n v="440152249352"/>
    <m/>
    <m/>
    <d v="2018-04-11T00:00:00"/>
    <s v="Yes"/>
    <s v="Yes"/>
    <x v="0"/>
  </r>
  <r>
    <s v="Hillsboro"/>
    <s v="HILSRTL185"/>
    <s v="Yes"/>
    <s v="Pre-INT"/>
    <s v="PCIe"/>
    <s v="SN3633273"/>
    <m/>
    <s v="ICE18"/>
    <x v="0"/>
    <x v="20"/>
    <x v="32"/>
    <x v="1"/>
    <s v="No"/>
    <s v="Yes"/>
    <s v="4x"/>
    <s v="HILSRTM007sMini.hf.intel.com"/>
    <n v="40185"/>
    <m/>
    <s v="C7H750600DKHXNKKA"/>
    <n v="971727403"/>
    <n v="440152249352"/>
    <m/>
    <m/>
    <d v="2018-04-11T00:00:00"/>
    <s v="Yes"/>
    <s v="Yes"/>
    <x v="0"/>
  </r>
  <r>
    <s v="Hillsboro"/>
    <s v="HILSRTL181"/>
    <s v="Yes"/>
    <s v="Pre-INT"/>
    <s v="PCIe"/>
    <s v="SN3220225"/>
    <m/>
    <s v="ICE18"/>
    <x v="0"/>
    <x v="20"/>
    <x v="32"/>
    <x v="1"/>
    <s v="No"/>
    <s v="Yes"/>
    <s v="4x"/>
    <s v="HILSRTM007sMini.hf.intel.com"/>
    <n v="40181"/>
    <m/>
    <s v="C7H750600DKHXNKKA"/>
    <n v="971727403"/>
    <n v="440152249352"/>
    <m/>
    <m/>
    <d v="2018-04-11T00:00:00"/>
    <s v="Yes"/>
    <s v="Yes"/>
    <x v="0"/>
  </r>
  <r>
    <s v="Hillsboro"/>
    <s v="HILSRTL186"/>
    <s v="Yes"/>
    <s v="CEB"/>
    <s v="PCIe"/>
    <s v="SN3633313"/>
    <m/>
    <s v="ICE18"/>
    <x v="0"/>
    <x v="21"/>
    <x v="32"/>
    <x v="1"/>
    <s v="No"/>
    <s v="Yes"/>
    <s v="4x"/>
    <s v="HILSRTM007sMini.hf.intel.com"/>
    <n v="40186"/>
    <m/>
    <s v="C7H750600DKHXNKKA"/>
    <n v="971727403"/>
    <n v="440152249352"/>
    <m/>
    <m/>
    <d v="2018-04-11T00:00:00"/>
    <s v="Yes"/>
    <s v="Yes"/>
    <x v="0"/>
  </r>
  <r>
    <s v="Bangalore"/>
    <s v="BASRTL354"/>
    <s v="Yes"/>
    <s v="Weekly"/>
    <s v="PCIe"/>
    <s v="SN3648219"/>
    <m/>
    <s v="ICE19"/>
    <x v="0"/>
    <x v="2"/>
    <x v="2"/>
    <x v="8"/>
    <s v="No"/>
    <m/>
    <m/>
    <m/>
    <n v="40354"/>
    <m/>
    <m/>
    <m/>
    <m/>
    <m/>
    <m/>
    <d v="2018-04-17T00:00:00"/>
    <s v="Yes"/>
    <s v="Yes"/>
    <x v="1"/>
  </r>
  <r>
    <s v="Bangalore"/>
    <s v="BASRTL355"/>
    <s v="No"/>
    <m/>
    <s v="PCIe"/>
    <s v="SN3648375"/>
    <m/>
    <s v="ICE18"/>
    <x v="1"/>
    <x v="6"/>
    <x v="1"/>
    <x v="1"/>
    <s v="No"/>
    <s v="No"/>
    <m/>
    <m/>
    <n v="40355"/>
    <m/>
    <m/>
    <m/>
    <m/>
    <m/>
    <m/>
    <d v="2018-04-17T00:00:00"/>
    <s v="Yes"/>
    <s v="Yes"/>
    <x v="1"/>
  </r>
  <r>
    <s v="Bangalore"/>
    <s v="BASRTL356"/>
    <s v="No"/>
    <m/>
    <s v="PCIe"/>
    <s v="SN3648439"/>
    <m/>
    <s v="ICE18"/>
    <x v="1"/>
    <x v="6"/>
    <x v="1"/>
    <x v="1"/>
    <s v="No"/>
    <s v="No"/>
    <m/>
    <m/>
    <n v="40356"/>
    <m/>
    <m/>
    <m/>
    <m/>
    <m/>
    <m/>
    <d v="2018-04-17T00:00:00"/>
    <s v="Yes"/>
    <s v="Yes"/>
    <x v="1"/>
  </r>
  <r>
    <s v="Bangalore"/>
    <s v="BASRTL357"/>
    <s v="Yes"/>
    <s v="CEB"/>
    <s v="PCIe"/>
    <s v="SN3648331"/>
    <m/>
    <s v="ICE19"/>
    <x v="0"/>
    <x v="4"/>
    <x v="4"/>
    <x v="8"/>
    <s v="No"/>
    <m/>
    <m/>
    <m/>
    <n v="40357"/>
    <m/>
    <m/>
    <m/>
    <m/>
    <m/>
    <m/>
    <d v="2018-04-17T00:00:00"/>
    <s v="Yes"/>
    <s v="Yes"/>
    <x v="0"/>
  </r>
  <r>
    <s v="Bangalore"/>
    <s v="BASRTL358"/>
    <s v="Yes"/>
    <s v="Weekly"/>
    <s v="PCIe"/>
    <s v="SN3648366"/>
    <m/>
    <s v="ICE19"/>
    <x v="0"/>
    <x v="4"/>
    <x v="4"/>
    <x v="8"/>
    <s v="No"/>
    <m/>
    <m/>
    <m/>
    <n v="40358"/>
    <m/>
    <m/>
    <m/>
    <m/>
    <m/>
    <m/>
    <d v="2018-04-17T00:00:00"/>
    <s v="Yes"/>
    <s v="Yes"/>
    <x v="0"/>
  </r>
  <r>
    <s v="Bangalore"/>
    <s v="BASRTL359"/>
    <s v="No"/>
    <m/>
    <s v="PCIe"/>
    <s v="SN3648363"/>
    <m/>
    <s v="ICE18"/>
    <x v="1"/>
    <x v="2"/>
    <x v="2"/>
    <x v="1"/>
    <s v="No"/>
    <s v="No"/>
    <m/>
    <m/>
    <n v="40359"/>
    <m/>
    <m/>
    <m/>
    <m/>
    <m/>
    <m/>
    <d v="2018-04-17T00:00:00"/>
    <s v="Yes"/>
    <s v="In progress"/>
    <x v="2"/>
  </r>
  <r>
    <s v="Bangalore"/>
    <s v="BASRTL360"/>
    <s v="No"/>
    <m/>
    <s v="PCIe"/>
    <s v="SN3648400"/>
    <m/>
    <s v="ICE19"/>
    <x v="0"/>
    <x v="4"/>
    <x v="4"/>
    <x v="4"/>
    <s v="No"/>
    <s v="No"/>
    <m/>
    <m/>
    <n v="40360"/>
    <m/>
    <m/>
    <m/>
    <m/>
    <m/>
    <m/>
    <d v="2018-04-17T00:00:00"/>
    <s v="Yes"/>
    <s v="Yes"/>
    <x v="0"/>
  </r>
  <r>
    <s v="Bangalore"/>
    <m/>
    <s v="No"/>
    <m/>
    <s v="PCIe"/>
    <s v="SN3648376"/>
    <m/>
    <s v="ICE18"/>
    <x v="1"/>
    <x v="2"/>
    <x v="2"/>
    <x v="1"/>
    <s v="No"/>
    <s v="No"/>
    <m/>
    <m/>
    <n v="40361"/>
    <m/>
    <m/>
    <m/>
    <m/>
    <m/>
    <m/>
    <d v="2018-04-17T00:00:00"/>
    <s v="Yes"/>
    <s v="In progress"/>
    <x v="2"/>
  </r>
  <r>
    <s v="Munich"/>
    <s v="MU000003299562"/>
    <s v="No"/>
    <s v="Boot"/>
    <s v="PCIe"/>
    <s v="SN3299562"/>
    <m/>
    <s v="ICE18"/>
    <x v="2"/>
    <x v="2"/>
    <x v="2"/>
    <x v="3"/>
    <m/>
    <m/>
    <m/>
    <m/>
    <m/>
    <m/>
    <m/>
    <m/>
    <m/>
    <m/>
    <m/>
    <m/>
    <s v="Yes"/>
    <s v="Yes"/>
    <x v="1"/>
  </r>
  <r>
    <s v="Munich"/>
    <s v="MUCSRTL091"/>
    <s v="No"/>
    <s v="Boot"/>
    <s v="PCIe"/>
    <s v="SN3299694"/>
    <m/>
    <s v="ICE18"/>
    <x v="2"/>
    <x v="2"/>
    <x v="2"/>
    <x v="1"/>
    <m/>
    <m/>
    <m/>
    <m/>
    <m/>
    <m/>
    <m/>
    <m/>
    <m/>
    <m/>
    <m/>
    <d v="2018-02-05T00:00:00"/>
    <s v="Yes"/>
    <s v="Yes"/>
    <x v="0"/>
  </r>
  <r>
    <s v="Munich"/>
    <s v="MUCSRTL090"/>
    <s v="No"/>
    <s v="Boot"/>
    <s v="PCIe"/>
    <s v="SN3299542"/>
    <m/>
    <s v="ICE18"/>
    <x v="2"/>
    <x v="2"/>
    <x v="2"/>
    <x v="3"/>
    <m/>
    <m/>
    <m/>
    <m/>
    <m/>
    <m/>
    <m/>
    <m/>
    <m/>
    <m/>
    <m/>
    <m/>
    <s v="Yes"/>
    <s v="Yes"/>
    <x v="1"/>
  </r>
  <r>
    <s v="Munich"/>
    <s v="MUCSRTL093"/>
    <s v="No"/>
    <s v="Boot"/>
    <s v="PCIe"/>
    <s v="SN3299399"/>
    <m/>
    <s v="ICE18"/>
    <x v="2"/>
    <x v="2"/>
    <x v="2"/>
    <x v="1"/>
    <m/>
    <m/>
    <m/>
    <m/>
    <m/>
    <m/>
    <m/>
    <m/>
    <m/>
    <m/>
    <m/>
    <d v="2018-02-05T00:00:00"/>
    <s v="Yes"/>
    <s v="Yes"/>
    <x v="0"/>
  </r>
  <r>
    <s v="Munich"/>
    <s v="MUCSRTL092"/>
    <s v="No"/>
    <s v="Boot"/>
    <s v="PCIe"/>
    <s v="SN3299813"/>
    <m/>
    <s v="ICE18"/>
    <x v="2"/>
    <x v="2"/>
    <x v="2"/>
    <x v="3"/>
    <m/>
    <m/>
    <m/>
    <m/>
    <m/>
    <m/>
    <m/>
    <m/>
    <m/>
    <m/>
    <m/>
    <m/>
    <s v="Yes"/>
    <s v="Yes"/>
    <x v="1"/>
  </r>
  <r>
    <s v="Munich"/>
    <s v="MU000003299487 "/>
    <s v="No"/>
    <s v="Boot"/>
    <s v="PCIe"/>
    <s v="SN3299487"/>
    <m/>
    <s v="ICE18"/>
    <x v="2"/>
    <x v="2"/>
    <x v="2"/>
    <x v="3"/>
    <m/>
    <m/>
    <m/>
    <m/>
    <m/>
    <m/>
    <m/>
    <m/>
    <m/>
    <m/>
    <m/>
    <m/>
    <s v="Yes"/>
    <s v="Yes"/>
    <x v="1"/>
  </r>
  <r>
    <s v="Bangalore"/>
    <s v="BASRTL107"/>
    <s v="Yes"/>
    <s v="Weekly"/>
    <s v="PCIe"/>
    <s v="SN2794308"/>
    <m/>
    <s v="ICE19"/>
    <x v="0"/>
    <x v="4"/>
    <x v="4"/>
    <x v="4"/>
    <s v="No"/>
    <m/>
    <m/>
    <s v="labuser4-mini.iind.intel.com "/>
    <m/>
    <m/>
    <m/>
    <m/>
    <m/>
    <m/>
    <m/>
    <d v="2018-05-02T00:00:00"/>
    <s v="Yes"/>
    <s v="Yes"/>
    <x v="0"/>
  </r>
  <r>
    <s v="Bangalore"/>
    <s v="BASRTL137"/>
    <s v="Yes"/>
    <s v="Daily"/>
    <s v="PCIe"/>
    <s v="SN2510541"/>
    <m/>
    <s v="ICE19"/>
    <x v="1"/>
    <x v="10"/>
    <x v="33"/>
    <x v="8"/>
    <s v="No"/>
    <m/>
    <m/>
    <m/>
    <m/>
    <m/>
    <m/>
    <m/>
    <m/>
    <m/>
    <m/>
    <d v="2018-05-02T00:00:00"/>
    <s v="Yes"/>
    <s v="Yes"/>
    <x v="0"/>
  </r>
  <r>
    <s v="Hillsboro"/>
    <s v="HILSRTL198"/>
    <s v="No"/>
    <s v="Pre-INT"/>
    <s v="PCIe"/>
    <s v="SN3633325"/>
    <m/>
    <s v="ICE18"/>
    <x v="0"/>
    <x v="21"/>
    <x v="32"/>
    <x v="9"/>
    <s v="No"/>
    <s v="No"/>
    <s v="4x"/>
    <s v="HILSRTM007sMini.hf.intel.com"/>
    <m/>
    <m/>
    <m/>
    <m/>
    <m/>
    <m/>
    <m/>
    <m/>
    <s v="Yes"/>
    <s v="Yes"/>
    <x v="0"/>
  </r>
  <r>
    <s v="Hillsboro"/>
    <s v="HILSRTL190"/>
    <s v="Yes"/>
    <s v="CR"/>
    <s v="PCIe"/>
    <s v="SN3633275"/>
    <m/>
    <s v="ICE18"/>
    <x v="0"/>
    <x v="22"/>
    <x v="13"/>
    <x v="1"/>
    <s v="No"/>
    <s v="Yes"/>
    <s v="4x"/>
    <s v="HILSRTM009sMini.hf.intel.com"/>
    <n v="40190"/>
    <m/>
    <s v="C7H750600D0HXNKKV"/>
    <n v="9135268599"/>
    <n v="4401522390166"/>
    <m/>
    <m/>
    <m/>
    <s v="Yes"/>
    <s v="Yes"/>
    <x v="0"/>
  </r>
  <r>
    <s v="Hillsboro"/>
    <s v="HILSRTL192"/>
    <s v="Yes"/>
    <s v="CR"/>
    <s v="PCIe"/>
    <s v="SN3633293"/>
    <m/>
    <s v="ICE18"/>
    <x v="1"/>
    <x v="24"/>
    <x v="34"/>
    <x v="1"/>
    <s v="No"/>
    <s v="Yes"/>
    <s v="4x"/>
    <s v="HILSRTM005sMini.hf.intel.com"/>
    <n v="40192"/>
    <m/>
    <m/>
    <m/>
    <m/>
    <m/>
    <m/>
    <m/>
    <s v="Yes"/>
    <s v="Yes"/>
    <x v="0"/>
  </r>
  <r>
    <s v="Hillsboro"/>
    <s v="HILSRTL193"/>
    <s v="Yes"/>
    <s v="CR"/>
    <s v="PCIe"/>
    <s v="SN3633311"/>
    <m/>
    <s v="ICE18"/>
    <x v="1"/>
    <x v="24"/>
    <x v="34"/>
    <x v="1"/>
    <s v="No"/>
    <s v="Yes"/>
    <s v="4x"/>
    <s v="HILSRTM005sMini.hf.intel.com"/>
    <n v="40193"/>
    <m/>
    <m/>
    <m/>
    <m/>
    <m/>
    <m/>
    <m/>
    <s v="Yes"/>
    <s v="Yes"/>
    <x v="0"/>
  </r>
  <r>
    <s v="Hillsboro"/>
    <s v="HILSRTL199"/>
    <s v="Yes"/>
    <s v="CR"/>
    <s v="PCIe"/>
    <s v="SN3633326"/>
    <m/>
    <s v="ICE18"/>
    <x v="1"/>
    <x v="24"/>
    <x v="34"/>
    <x v="9"/>
    <s v="No"/>
    <s v="Yes"/>
    <s v="4x"/>
    <s v="HILSRTM005sMini.hf.intel.com"/>
    <n v="40199"/>
    <m/>
    <m/>
    <m/>
    <m/>
    <m/>
    <m/>
    <m/>
    <s v="Yes"/>
    <s v="Yes"/>
    <x v="0"/>
  </r>
  <r>
    <s v="Hillsboro"/>
    <s v="HILSRTL200"/>
    <s v="Yes"/>
    <s v="CR"/>
    <s v="PCIe"/>
    <s v="SN3633295"/>
    <m/>
    <s v="ICE18"/>
    <x v="1"/>
    <x v="24"/>
    <x v="34"/>
    <x v="1"/>
    <s v="No"/>
    <s v="Yes"/>
    <s v="4x"/>
    <s v="HILSRTM009sMini.hf.intel.com"/>
    <n v="40200"/>
    <m/>
    <m/>
    <m/>
    <m/>
    <m/>
    <m/>
    <m/>
    <s v="Yes"/>
    <s v="Yes"/>
    <x v="0"/>
  </r>
  <r>
    <s v="Hillsboro"/>
    <s v="HILSRTL205"/>
    <s v="Yes"/>
    <s v="CR"/>
    <s v="PCIe"/>
    <s v="SN3648487"/>
    <m/>
    <s v="ICE18"/>
    <x v="1"/>
    <x v="24"/>
    <x v="34"/>
    <x v="1"/>
    <s v="No"/>
    <s v="Yes"/>
    <s v="4x"/>
    <s v="HILSRTM009sMini.hf.intel.com"/>
    <n v="40205"/>
    <m/>
    <m/>
    <m/>
    <m/>
    <m/>
    <m/>
    <m/>
    <s v="Yes"/>
    <s v="Yes"/>
    <x v="0"/>
  </r>
  <r>
    <s v="Hillsboro"/>
    <s v="HILSRTL206"/>
    <s v="Yes"/>
    <s v="CR"/>
    <s v="PCIe"/>
    <s v="SN3648307"/>
    <m/>
    <s v="ICE18"/>
    <x v="1"/>
    <x v="24"/>
    <x v="34"/>
    <x v="1"/>
    <s v="No"/>
    <s v="Yes"/>
    <s v="4x"/>
    <s v="HILSRTM009sMini.hf.intel.com"/>
    <n v="40206"/>
    <m/>
    <m/>
    <m/>
    <m/>
    <m/>
    <m/>
    <m/>
    <s v="Yes"/>
    <s v="Yes"/>
    <x v="0"/>
  </r>
  <r>
    <s v="Hillsboro"/>
    <s v="HILSRTL207"/>
    <s v="Yes"/>
    <s v="CR"/>
    <s v="PCIe"/>
    <s v="SN3648213"/>
    <m/>
    <s v="ICE18"/>
    <x v="1"/>
    <x v="24"/>
    <x v="34"/>
    <x v="1"/>
    <s v="No"/>
    <s v="Yes"/>
    <s v="4x"/>
    <s v="HILSRTM008sMini.hf.intel.com"/>
    <n v="40207"/>
    <m/>
    <m/>
    <m/>
    <m/>
    <m/>
    <m/>
    <m/>
    <s v="Yes"/>
    <s v="Yes"/>
    <x v="0"/>
  </r>
  <r>
    <s v="Hillsboro"/>
    <s v="HILSRTL208"/>
    <s v="Yes"/>
    <s v="CR"/>
    <s v="PCIe"/>
    <s v="SN3648316"/>
    <m/>
    <s v="ICE18"/>
    <x v="1"/>
    <x v="24"/>
    <x v="34"/>
    <x v="1"/>
    <s v="No"/>
    <s v="Yes"/>
    <s v="4x"/>
    <s v="HILSRTM008sMini.hf.intel.com"/>
    <n v="20408"/>
    <m/>
    <m/>
    <m/>
    <m/>
    <m/>
    <m/>
    <m/>
    <s v="Yes"/>
    <s v="Yes"/>
    <x v="0"/>
  </r>
  <r>
    <s v="Hillsboro"/>
    <s v="HILSRTL209"/>
    <s v="Yes"/>
    <s v="CR"/>
    <s v="PCIe"/>
    <s v="SN3648516"/>
    <m/>
    <s v="ICE18"/>
    <x v="1"/>
    <x v="24"/>
    <x v="34"/>
    <x v="1"/>
    <s v="No"/>
    <s v="Yes"/>
    <s v="4x"/>
    <s v="HILSRTM005sMini.hf.intel.com"/>
    <n v="40209"/>
    <m/>
    <m/>
    <m/>
    <m/>
    <m/>
    <m/>
    <m/>
    <s v="Yes"/>
    <s v="Yes"/>
    <x v="0"/>
  </r>
  <r>
    <s v="Hillsboro"/>
    <s v="HILSRTL240"/>
    <s v="Yes"/>
    <s v="CR"/>
    <s v="PCIe"/>
    <s v="SN3648252"/>
    <m/>
    <s v="ICE18"/>
    <x v="1"/>
    <x v="24"/>
    <x v="34"/>
    <x v="1"/>
    <s v="No"/>
    <s v="Yes"/>
    <s v="4x"/>
    <s v="HILSRTM005sMini.hf.intel.com"/>
    <n v="40240"/>
    <m/>
    <m/>
    <m/>
    <m/>
    <m/>
    <m/>
    <m/>
    <s v="Yes"/>
    <s v="Yes"/>
    <x v="0"/>
  </r>
  <r>
    <s v="Hillsboro"/>
    <s v="HILSRTL242"/>
    <s v="Yes"/>
    <s v="CR"/>
    <s v="PCIe"/>
    <s v="SN3648427"/>
    <m/>
    <s v="ICE18"/>
    <x v="1"/>
    <x v="24"/>
    <x v="34"/>
    <x v="1"/>
    <s v="No"/>
    <s v="Yes"/>
    <s v="4x"/>
    <s v="HILSRTM006sMini.hf.intel.com"/>
    <n v="40242"/>
    <m/>
    <m/>
    <m/>
    <m/>
    <m/>
    <m/>
    <m/>
    <s v="Yes"/>
    <s v="Yes"/>
    <x v="0"/>
  </r>
  <r>
    <s v="Hillsboro"/>
    <s v="HILSRTL241"/>
    <s v="Yes"/>
    <s v="CR"/>
    <s v="PCIe"/>
    <s v="SN3648440"/>
    <m/>
    <s v="ICE18"/>
    <x v="1"/>
    <x v="24"/>
    <x v="34"/>
    <x v="1"/>
    <s v="No"/>
    <s v="Yes"/>
    <s v="4x"/>
    <s v="HILSRTM009sMini.hf.intel.com"/>
    <n v="40243"/>
    <m/>
    <m/>
    <m/>
    <m/>
    <m/>
    <m/>
    <m/>
    <s v="Yes"/>
    <s v="Yes"/>
    <x v="0"/>
  </r>
  <r>
    <s v="Hillsboro"/>
    <s v="HILSRTL243"/>
    <s v="Yes"/>
    <s v="CR"/>
    <s v="PCIe"/>
    <s v="SN3648535"/>
    <m/>
    <s v="ICE18"/>
    <x v="1"/>
    <x v="24"/>
    <x v="34"/>
    <x v="1"/>
    <s v="No"/>
    <s v="Yes"/>
    <s v="4x"/>
    <s v="HILSRTM007sMini.hf.intel.com"/>
    <m/>
    <m/>
    <m/>
    <m/>
    <m/>
    <m/>
    <m/>
    <m/>
    <s v="Yes"/>
    <s v="Yes"/>
    <x v="0"/>
  </r>
  <r>
    <s v="Hillsboro"/>
    <s v="HILSRTL196"/>
    <s v="Yes"/>
    <m/>
    <s v="PCIe"/>
    <s v="SN3648320"/>
    <m/>
    <s v="ICE18"/>
    <x v="1"/>
    <x v="24"/>
    <x v="34"/>
    <x v="1"/>
    <s v="No"/>
    <s v="No"/>
    <s v="4x"/>
    <s v="HILSRTM009sMini.hf.intel.com"/>
    <n v="40196"/>
    <m/>
    <m/>
    <m/>
    <m/>
    <m/>
    <m/>
    <m/>
    <s v="Yes"/>
    <s v="Yes"/>
    <x v="0"/>
  </r>
  <r>
    <s v="Hillsboro"/>
    <s v="HILSRTL244"/>
    <s v="Yes"/>
    <s v="CR"/>
    <s v="PCIe"/>
    <s v="SN3647747"/>
    <m/>
    <s v="ICE18"/>
    <x v="1"/>
    <x v="24"/>
    <x v="34"/>
    <x v="1"/>
    <s v="No"/>
    <s v="No"/>
    <s v="4x"/>
    <s v="HILSRTM011sMini.hf.intel.com"/>
    <n v="40244"/>
    <m/>
    <m/>
    <m/>
    <m/>
    <m/>
    <m/>
    <m/>
    <s v="Yes"/>
    <s v="Yes"/>
    <x v="0"/>
  </r>
  <r>
    <s v="Hillsboro"/>
    <s v="HILSRTL245"/>
    <s v="Yes"/>
    <s v="CR"/>
    <s v="PCIe"/>
    <s v="SN3648142"/>
    <m/>
    <s v="ICE18"/>
    <x v="1"/>
    <x v="39"/>
    <x v="34"/>
    <x v="1"/>
    <s v="No"/>
    <s v="No"/>
    <s v="4x"/>
    <s v="HILSRTM011sMini.hf.intel.com"/>
    <n v="40245"/>
    <m/>
    <m/>
    <m/>
    <m/>
    <m/>
    <m/>
    <m/>
    <s v="Yes"/>
    <s v="Yes"/>
    <x v="0"/>
  </r>
  <r>
    <s v="Hillsboro"/>
    <s v="HILSRTL247"/>
    <s v="Yes"/>
    <s v="CR"/>
    <s v="PCIe"/>
    <s v="SN3647643"/>
    <m/>
    <s v="ICE18"/>
    <x v="1"/>
    <x v="39"/>
    <x v="34"/>
    <x v="1"/>
    <s v="No"/>
    <s v="No"/>
    <s v="4x"/>
    <s v="HILSRTM011sMini.hf.intel.com"/>
    <n v="40247"/>
    <m/>
    <m/>
    <m/>
    <m/>
    <m/>
    <m/>
    <m/>
    <s v="Yes"/>
    <s v="Yes"/>
    <x v="0"/>
  </r>
  <r>
    <s v="Hillsboro"/>
    <s v="HILSRTL248"/>
    <s v="Yes"/>
    <s v="CR"/>
    <s v="PCIe"/>
    <s v="SN3647964"/>
    <m/>
    <s v="ICE18"/>
    <x v="1"/>
    <x v="39"/>
    <x v="34"/>
    <x v="1"/>
    <s v="No"/>
    <s v="No"/>
    <s v="4x"/>
    <s v="HILSRTM011sMini.hf.intel.com"/>
    <n v="40248"/>
    <m/>
    <m/>
    <m/>
    <m/>
    <m/>
    <m/>
    <m/>
    <s v="Yes"/>
    <s v="Yes"/>
    <x v="0"/>
  </r>
  <r>
    <s v="Hillsboro"/>
    <s v="HILSRTL249"/>
    <s v="Yes"/>
    <s v="CR"/>
    <s v="PCIe"/>
    <s v="SN3647898"/>
    <m/>
    <s v="ICE18"/>
    <x v="1"/>
    <x v="39"/>
    <x v="34"/>
    <x v="1"/>
    <s v="No"/>
    <s v="No"/>
    <s v="4x"/>
    <s v="HILSRTM010sMini.hf.intel.com"/>
    <n v="40249"/>
    <m/>
    <m/>
    <m/>
    <m/>
    <m/>
    <m/>
    <m/>
    <s v="Yes"/>
    <s v="Yes"/>
    <x v="0"/>
  </r>
  <r>
    <s v="Hillsboro"/>
    <s v="HILSRTL250"/>
    <s v="Yes"/>
    <s v="CR"/>
    <s v="PCIe"/>
    <s v="SN3648089"/>
    <m/>
    <s v="ICE18"/>
    <x v="1"/>
    <x v="39"/>
    <x v="34"/>
    <x v="1"/>
    <s v="No"/>
    <s v="No"/>
    <s v="4x"/>
    <s v="HILSRTM010sMini.hf.intel.com"/>
    <n v="40250"/>
    <m/>
    <m/>
    <m/>
    <m/>
    <m/>
    <m/>
    <m/>
    <s v="Yes"/>
    <s v="Yes"/>
    <x v="0"/>
  </r>
  <r>
    <s v="Hillsboro"/>
    <s v="HILSRTL251"/>
    <s v="Yes"/>
    <s v="CR"/>
    <s v="PCIe"/>
    <s v="SN3647847"/>
    <m/>
    <s v="ICE18"/>
    <x v="1"/>
    <x v="39"/>
    <x v="34"/>
    <x v="1"/>
    <s v="No"/>
    <s v="No"/>
    <s v="4x"/>
    <s v="HILSRTM010sMini.hf.intel.com"/>
    <n v="40251"/>
    <m/>
    <m/>
    <m/>
    <m/>
    <m/>
    <m/>
    <m/>
    <s v="Yes"/>
    <s v="Yes"/>
    <x v="0"/>
  </r>
  <r>
    <s v="Hillsboro"/>
    <s v="HILSRTL252"/>
    <s v="No"/>
    <s v="CR"/>
    <s v="PCIe"/>
    <s v="SN3647862"/>
    <m/>
    <s v="ICE18"/>
    <x v="1"/>
    <x v="39"/>
    <x v="34"/>
    <x v="1"/>
    <s v="No"/>
    <s v="No"/>
    <s v="4x"/>
    <s v="HILSRTM010sMini.hf.intel.com"/>
    <n v="40252"/>
    <m/>
    <m/>
    <m/>
    <m/>
    <m/>
    <m/>
    <m/>
    <s v="Yes"/>
    <s v="Yes"/>
    <x v="1"/>
  </r>
  <r>
    <s v="Hillsboro"/>
    <s v="HILSRTL253"/>
    <s v="Yes"/>
    <s v="CR"/>
    <s v="PCIe"/>
    <s v="SN3647991"/>
    <m/>
    <s v="ICE18"/>
    <x v="1"/>
    <x v="39"/>
    <x v="34"/>
    <x v="1"/>
    <s v="No"/>
    <s v="No"/>
    <s v="4x"/>
    <s v="HILSRTM010sMini.hf.intel.com"/>
    <n v="40253"/>
    <m/>
    <m/>
    <m/>
    <m/>
    <m/>
    <m/>
    <m/>
    <s v="Yes"/>
    <s v="Yes"/>
    <x v="0"/>
  </r>
  <r>
    <s v="Hillsboro"/>
    <s v="HILSRTL255"/>
    <s v="Yes"/>
    <s v="CR"/>
    <s v="PCIe"/>
    <s v="SN3647827"/>
    <m/>
    <s v="ICE18"/>
    <x v="1"/>
    <x v="39"/>
    <x v="34"/>
    <x v="1"/>
    <s v="No"/>
    <s v="No"/>
    <s v="4x"/>
    <s v="HILSRTM011sMini.hf.intel.com"/>
    <n v="40255"/>
    <m/>
    <m/>
    <m/>
    <m/>
    <m/>
    <m/>
    <m/>
    <s v="Yes"/>
    <s v="Yes"/>
    <x v="0"/>
  </r>
  <r>
    <s v="San Diego"/>
    <s v="SDSRTL145"/>
    <s v="Yes"/>
    <s v="CR"/>
    <s v="PCIe"/>
    <n v="2299817"/>
    <m/>
    <s v="ICE18"/>
    <x v="1"/>
    <x v="40"/>
    <x v="35"/>
    <x v="1"/>
    <s v="No"/>
    <s v="Yes"/>
    <s v="No"/>
    <m/>
    <m/>
    <m/>
    <m/>
    <m/>
    <m/>
    <m/>
    <m/>
    <m/>
    <s v="Yes"/>
    <s v="Yes"/>
    <x v="0"/>
  </r>
  <r>
    <s v="San Diego"/>
    <s v="SDSRTL147"/>
    <s v="Yes"/>
    <s v="CR"/>
    <s v="PCIe"/>
    <n v="2361016"/>
    <m/>
    <s v="ICE18"/>
    <x v="1"/>
    <x v="40"/>
    <x v="35"/>
    <x v="1"/>
    <s v="No"/>
    <s v="Yes"/>
    <s v="No"/>
    <m/>
    <m/>
    <m/>
    <m/>
    <m/>
    <m/>
    <m/>
    <m/>
    <m/>
    <s v="Yes"/>
    <s v="Yes"/>
    <x v="0"/>
  </r>
  <r>
    <s v="San Diego"/>
    <s v="SDSRTL150"/>
    <s v="Yes"/>
    <s v="CR"/>
    <s v="PCIe"/>
    <n v="2361085"/>
    <m/>
    <s v="ICE18"/>
    <x v="1"/>
    <x v="40"/>
    <x v="35"/>
    <x v="1"/>
    <s v="No"/>
    <s v="Yes"/>
    <s v="No"/>
    <m/>
    <m/>
    <m/>
    <m/>
    <m/>
    <m/>
    <m/>
    <m/>
    <m/>
    <s v="Yes"/>
    <s v="Yes"/>
    <x v="0"/>
  </r>
  <r>
    <s v="San Diego"/>
    <s v="SDSRTL151"/>
    <s v="Yes"/>
    <s v="CR"/>
    <s v="PCIe"/>
    <n v="3648491"/>
    <m/>
    <s v="ICE18"/>
    <x v="1"/>
    <x v="40"/>
    <x v="35"/>
    <x v="1"/>
    <s v="No"/>
    <s v="Yes"/>
    <s v="No"/>
    <m/>
    <m/>
    <m/>
    <m/>
    <m/>
    <m/>
    <m/>
    <m/>
    <m/>
    <s v="Yes"/>
    <s v="Yes"/>
    <x v="0"/>
  </r>
  <r>
    <s v="San Diego"/>
    <s v="SDSRTL152"/>
    <s v="Yes"/>
    <s v="CR"/>
    <s v="PCIe"/>
    <n v="3648471"/>
    <m/>
    <s v="ICE18"/>
    <x v="1"/>
    <x v="40"/>
    <x v="35"/>
    <x v="1"/>
    <s v="No"/>
    <s v="Yes"/>
    <s v="No"/>
    <m/>
    <m/>
    <m/>
    <m/>
    <m/>
    <m/>
    <m/>
    <m/>
    <m/>
    <s v="Yes"/>
    <s v="Yes"/>
    <x v="0"/>
  </r>
  <r>
    <s v="San Diego"/>
    <s v="SDSRTL153"/>
    <s v="Yes"/>
    <s v="CR"/>
    <s v="PCIe"/>
    <n v="3648361"/>
    <m/>
    <s v="ICE18"/>
    <x v="1"/>
    <x v="40"/>
    <x v="35"/>
    <x v="1"/>
    <s v="No"/>
    <s v="Yes"/>
    <s v="No"/>
    <m/>
    <m/>
    <m/>
    <m/>
    <m/>
    <m/>
    <m/>
    <m/>
    <m/>
    <s v="Yes"/>
    <s v="Yes"/>
    <x v="0"/>
  </r>
  <r>
    <s v="San Diego"/>
    <s v="SDSRTL154"/>
    <s v="Yes"/>
    <s v="CR"/>
    <s v="PCIe"/>
    <n v="2361066"/>
    <m/>
    <s v="ICE18"/>
    <x v="1"/>
    <x v="40"/>
    <x v="35"/>
    <x v="1"/>
    <s v="No"/>
    <s v="Yes"/>
    <s v="No"/>
    <m/>
    <m/>
    <m/>
    <m/>
    <m/>
    <m/>
    <m/>
    <m/>
    <m/>
    <s v="Yes"/>
    <s v="Yes"/>
    <x v="0"/>
  </r>
  <r>
    <s v="San Diego"/>
    <s v="SDSRTL155"/>
    <s v="Yes"/>
    <s v="CR"/>
    <s v="PCIe"/>
    <n v="3647717"/>
    <m/>
    <s v="ICE18"/>
    <x v="1"/>
    <x v="41"/>
    <x v="35"/>
    <x v="1"/>
    <s v="No"/>
    <s v="Yes"/>
    <s v="No"/>
    <m/>
    <m/>
    <m/>
    <m/>
    <m/>
    <m/>
    <m/>
    <m/>
    <m/>
    <s v="Yes"/>
    <s v="Yes"/>
    <x v="0"/>
  </r>
  <r>
    <s v="San Diego"/>
    <s v="SDSRTL156"/>
    <s v="Yes"/>
    <s v="CR"/>
    <s v="PCIe"/>
    <n v="3374835"/>
    <m/>
    <s v="ICE18"/>
    <x v="1"/>
    <x v="40"/>
    <x v="35"/>
    <x v="1"/>
    <s v="No"/>
    <s v="Yes"/>
    <s v="No"/>
    <m/>
    <m/>
    <m/>
    <m/>
    <m/>
    <m/>
    <m/>
    <m/>
    <m/>
    <s v="Yes"/>
    <s v="Yes"/>
    <x v="0"/>
  </r>
  <r>
    <s v="Beijing"/>
    <s v="BEJSRTL020"/>
    <s v="Yes"/>
    <s v="Daily"/>
    <s v="PCIe"/>
    <n v="3316809"/>
    <s v="459/R54/4"/>
    <s v="ICE19"/>
    <x v="0"/>
    <x v="34"/>
    <x v="4"/>
    <x v="8"/>
    <s v="No"/>
    <s v="No"/>
    <s v="No"/>
    <s v="7660utt001smini.bj.intel.com"/>
    <s v="40020"/>
    <s v="FC54A4829834DE5DFFFFFFFF"/>
    <s v="C07826600Z2X1R36"/>
    <s v="18511279429"/>
    <s v="00440152289213"/>
    <s v="00440152299213"/>
    <m/>
    <m/>
    <s v="Yes"/>
    <s v="Yes"/>
    <x v="0"/>
  </r>
  <r>
    <s v="Beijing"/>
    <s v="BEJSRTL021"/>
    <s v="Yes"/>
    <s v="Pre-INT"/>
    <s v="PCIe"/>
    <n v="3516352"/>
    <s v="459/R54/5"/>
    <s v="ICE19"/>
    <x v="0"/>
    <x v="26"/>
    <x v="14"/>
    <x v="8"/>
    <s v="No"/>
    <s v="Yes"/>
    <s v="No"/>
    <s v="7660utt001smini.bj.intel.com"/>
    <s v="40021"/>
    <s v="C5E5BC4F4823EF56FFFFFFFF"/>
    <s v="C07826600UEX1R36"/>
    <n v="18101234804"/>
    <s v="00440152289235"/>
    <s v="00440152299235"/>
    <m/>
    <d v="2018-09-29T00:00:00"/>
    <s v="Yes"/>
    <s v="Yes"/>
    <x v="0"/>
  </r>
  <r>
    <s v="Beijing"/>
    <s v="BEJSRTL022"/>
    <s v="Yes"/>
    <s v="Weekly"/>
    <s v="PCIe"/>
    <n v="3299836"/>
    <s v="459/R54/7"/>
    <s v="ICE19"/>
    <x v="0"/>
    <x v="31"/>
    <x v="0"/>
    <x v="8"/>
    <s v="No"/>
    <s v="No"/>
    <s v="No"/>
    <s v="7660utt001smini.bj.intel.com"/>
    <s v="40022"/>
    <s v="434C408C2EE53F7EFFFFFFFF"/>
    <s v="C0782630048X1R36"/>
    <s v="13810019104"/>
    <s v="00440152289188"/>
    <s v="00440152299188"/>
    <m/>
    <m/>
    <s v="Yes"/>
    <s v="Yes"/>
    <x v="0"/>
  </r>
  <r>
    <s v="Beijing"/>
    <s v="BEJSRTL025"/>
    <s v="Yes"/>
    <s v="Weekly"/>
    <s v="PCIe"/>
    <n v="3633203"/>
    <s v="459/R54/3"/>
    <s v="ICE19"/>
    <x v="0"/>
    <x v="34"/>
    <x v="4"/>
    <x v="8"/>
    <s v="No"/>
    <s v="No"/>
    <s v="No"/>
    <s v="7660utt001smini.bj.intel.com"/>
    <s v="40025"/>
    <s v="E2B77C2852E3A7B3FFFFFFFF"/>
    <s v="C078257003FX1R36"/>
    <n v="18519334565"/>
    <s v="00440152289182"/>
    <s v="00440152299182"/>
    <m/>
    <m/>
    <s v="Yes"/>
    <s v="Yes"/>
    <x v="0"/>
  </r>
  <r>
    <s v="Beijing"/>
    <s v="BEJSRTL173"/>
    <s v="Yes"/>
    <s v="Weekly"/>
    <s v="PCIe"/>
    <n v="2794260"/>
    <s v="459/R54/6"/>
    <s v="ICE19"/>
    <x v="0"/>
    <x v="26"/>
    <x v="13"/>
    <x v="8"/>
    <s v="No"/>
    <s v="Yes"/>
    <s v="No"/>
    <s v="7660utt001smini.bj.intel.com"/>
    <s v="40173"/>
    <s v="878DFCBD6EFCE117FFFFFFFF"/>
    <s v="C0782570066X1R36"/>
    <s v="18101349360"/>
    <s v="00440152289179"/>
    <s v="00440152299179"/>
    <m/>
    <m/>
    <s v="Yes"/>
    <s v="Yes"/>
    <x v="0"/>
  </r>
  <r>
    <s v="Beijing"/>
    <s v="BEJSRTL175"/>
    <s v="No"/>
    <s v="Weekly"/>
    <s v="PCIe"/>
    <n v="3220102"/>
    <s v="4F/R7/1"/>
    <s v="ICE19"/>
    <x v="1"/>
    <x v="42"/>
    <x v="16"/>
    <x v="8"/>
    <s v="No"/>
    <s v="No"/>
    <s v="Yes"/>
    <s v="7560utt235smini.bj.intel.com"/>
    <s v="40175"/>
    <s v="CF1E367F35121AD2FFFFFFFF"/>
    <s v="C07826600WVX1R36"/>
    <s v="13800001328"/>
    <s v="00440152289231"/>
    <s v="00440152299231"/>
    <s v="18900670334"/>
    <d v="2019-01-04T00:00:00"/>
    <s v="Yes"/>
    <s v="Yes"/>
    <x v="3"/>
  </r>
  <r>
    <s v="Beijing"/>
    <s v="BEJSRTL490"/>
    <s v="No"/>
    <s v="Weekly"/>
    <s v="PCIe"/>
    <n v="3633194"/>
    <s v="459/R12/6"/>
    <s v="ICE19"/>
    <x v="0"/>
    <x v="31"/>
    <x v="0"/>
    <x v="8"/>
    <s v="Yes"/>
    <s v="No"/>
    <s v="No"/>
    <s v="7560utt014smini.bj.intel.com"/>
    <s v="40490"/>
    <s v="06D2062701DD7BF0FFFFFFFF"/>
    <s v="C07826400K3X1R36"/>
    <s v="13810431072"/>
    <s v="00440152289205"/>
    <s v="00440152299205"/>
    <m/>
    <s v="12/18/2018"/>
    <s v="Yes"/>
    <s v="Yes"/>
    <x v="3"/>
  </r>
  <r>
    <s v="Beijing"/>
    <s v="BEJSRTL492"/>
    <s v="No"/>
    <s v="Weekly"/>
    <s v="PCIe"/>
    <n v="3648398"/>
    <s v="4F/R7/1"/>
    <s v="ICE19"/>
    <x v="1"/>
    <x v="43"/>
    <x v="9"/>
    <x v="8"/>
    <s v="No"/>
    <s v="No"/>
    <s v="Yes"/>
    <s v="7560utt009smini.bj.intel.com"/>
    <s v="40492"/>
    <s v="485C13CCADA0FA5BFFFFFFFF"/>
    <s v="C078263000PX1R36"/>
    <s v="13800001326"/>
    <s v="00440152287672"/>
    <s v="00440152297672"/>
    <s v="13800461344"/>
    <s v="1/4/2019"/>
    <s v="Yes"/>
    <s v="Yes"/>
    <x v="3"/>
  </r>
  <r>
    <s v="Beijing"/>
    <s v="BEJSRTL493"/>
    <s v="No"/>
    <s v="Weekly"/>
    <s v="PCIe"/>
    <n v="3633159"/>
    <s v="4F/R7/1"/>
    <s v="ICE19"/>
    <x v="1"/>
    <x v="44"/>
    <x v="36"/>
    <x v="8"/>
    <s v="No"/>
    <s v="No"/>
    <s v="Yes"/>
    <s v="7560utt009smini.bj.intel.com"/>
    <s v="40493"/>
    <s v="0000E25E45E2C74DFFFFFFFF"/>
    <s v="C0782630014X1R36"/>
    <s v="18900670332"/>
    <s v="00440152287677"/>
    <s v="00440152297677"/>
    <s v="13800001327"/>
    <s v="1/4/2019"/>
    <s v="Yes"/>
    <s v="Yes"/>
    <x v="3"/>
  </r>
  <r>
    <s v="Beijing"/>
    <s v="BEJSRTL600"/>
    <s v="No"/>
    <s v="Weekly"/>
    <s v="PCIe"/>
    <n v="3648372"/>
    <s v="2F/R51/1"/>
    <s v="ICE19"/>
    <x v="0"/>
    <x v="31"/>
    <x v="0"/>
    <x v="8"/>
    <s v="No"/>
    <s v="No"/>
    <s v="No"/>
    <s v="7660utt001smini.bj.intel.com"/>
    <s v="40600"/>
    <s v="78523D61766C4874FFFFFFFF"/>
    <s v="C07826701EYX1R36"/>
    <s v="13810224061"/>
    <s v="00440308050667"/>
    <s v="00440308055667"/>
    <m/>
    <d v="2018-12-19T00:00:00"/>
    <s v="Yes"/>
    <s v="Yes"/>
    <x v="0"/>
  </r>
  <r>
    <s v="Beijing"/>
    <s v="BEJSRTL601"/>
    <s v="Yes"/>
    <s v="Daily"/>
    <s v="PCIe"/>
    <n v="3648354"/>
    <s v="2F/R51/1"/>
    <s v="ICE19"/>
    <x v="0"/>
    <x v="34"/>
    <x v="5"/>
    <x v="8"/>
    <s v="No"/>
    <s v="No"/>
    <s v="No"/>
    <s v="7660utt001smini.bj.intel.com"/>
    <s v="40601"/>
    <s v="E64BFE5DF5A1CD87FFFFFFFF"/>
    <s v="C078257003PX1R36"/>
    <s v="13051113538"/>
    <s v="00440152289181"/>
    <s v="00440152299181"/>
    <m/>
    <m/>
    <s v="Yes"/>
    <s v="Yes"/>
    <x v="0"/>
  </r>
  <r>
    <s v="Beijing"/>
    <s v="BEJSRTL602"/>
    <s v="No"/>
    <s v="Weekly"/>
    <s v="PCIe"/>
    <n v="3648334"/>
    <s v="2F/R51/2"/>
    <s v="ICE19"/>
    <x v="0"/>
    <x v="31"/>
    <x v="0"/>
    <x v="8"/>
    <s v="No"/>
    <s v="No"/>
    <s v="No"/>
    <s v="7660utt001smini.bj.intel.com"/>
    <s v="40602"/>
    <e v="#N/A"/>
    <e v="#N/A"/>
    <s v="13810503570"/>
    <e v="#N/A"/>
    <e v="#N/A"/>
    <m/>
    <d v="2018-12-19T00:00:00"/>
    <s v="Yes"/>
    <s v="Yes"/>
    <x v="0"/>
  </r>
  <r>
    <s v="Beijing"/>
    <s v="BEJSRTL603"/>
    <s v="Yes"/>
    <s v="Weekly"/>
    <s v="PCIe"/>
    <n v="3648353"/>
    <s v="2F/R51/2"/>
    <s v="ICE19"/>
    <x v="1"/>
    <x v="32"/>
    <x v="9"/>
    <x v="8"/>
    <s v="No"/>
    <s v="No"/>
    <s v="No"/>
    <s v="7660utt001smini.bj.intel.com"/>
    <s v="40603"/>
    <s v="6F65799927DC53ADFFFFFFFF"/>
    <s v="C07826600VLX1R36"/>
    <s v="13810018814"/>
    <s v="00440152289215"/>
    <s v="00440152299215"/>
    <s v="18511273032"/>
    <d v="2018-09-18T00:00:00"/>
    <s v="Yes"/>
    <s v="Yes"/>
    <x v="0"/>
  </r>
  <r>
    <s v="Beijing"/>
    <s v="BEJSRTL604"/>
    <s v="No"/>
    <s v="Pre-INT"/>
    <s v="PCIe"/>
    <n v="3648284"/>
    <s v="2F/R51/3"/>
    <s v="ICE19"/>
    <x v="0"/>
    <x v="31"/>
    <x v="0"/>
    <x v="8"/>
    <s v="No"/>
    <s v="No"/>
    <s v="No"/>
    <s v="7660utt001smini.bj.intel.com"/>
    <s v="40604"/>
    <s v="AA08D2BF41B832D6FFFFFFFF"/>
    <s v="C07826701EFX1R36"/>
    <s v="13810012914"/>
    <s v="00440308050661"/>
    <s v="00440308055661"/>
    <m/>
    <d v="2018-12-19T00:00:00"/>
    <s v="Yes"/>
    <s v="Yes"/>
    <x v="0"/>
  </r>
  <r>
    <s v="Beijing"/>
    <s v="BEJSRTL605"/>
    <s v="Yes"/>
    <s v="Weekly"/>
    <s v="PCIe"/>
    <n v="3648464"/>
    <s v="2F/R51/3"/>
    <s v="ICE19"/>
    <x v="0"/>
    <x v="31"/>
    <x v="0"/>
    <x v="8"/>
    <s v="No"/>
    <s v="No"/>
    <s v="No"/>
    <s v="7660utt001smini.bj.intel.com"/>
    <s v="40605"/>
    <s v="34550609EFDD8E9BFFFFFFFF"/>
    <s v="C07826600WLX1R36"/>
    <s v="13810274964"/>
    <s v="00440152289229"/>
    <s v="00440152299229"/>
    <m/>
    <m/>
    <s v="Yes"/>
    <s v="Yes"/>
    <x v="0"/>
  </r>
  <r>
    <s v="Beijing"/>
    <s v="BEJSRTL606"/>
    <s v="Yes"/>
    <s v="Weekly"/>
    <s v="PCIe"/>
    <n v="3648275"/>
    <s v="2F/R51/4"/>
    <s v="ICE19"/>
    <x v="0"/>
    <x v="26"/>
    <x v="14"/>
    <x v="8"/>
    <s v="No"/>
    <s v="Yes"/>
    <s v="No"/>
    <s v="7660utt001smini.bj.intel.com"/>
    <s v="40606"/>
    <s v="844DFF2A08B3F6C1FFFFFFFF"/>
    <s v="C07826600ZRX1R36"/>
    <n v="18010341436"/>
    <s v="00440152289218"/>
    <s v="00440152299218"/>
    <m/>
    <m/>
    <s v="Yes"/>
    <s v="Yes"/>
    <x v="0"/>
  </r>
  <r>
    <s v="Beijing"/>
    <s v="BEJSRTL607"/>
    <s v="Yes"/>
    <s v="Weekly"/>
    <s v="PCIe"/>
    <n v="3648299"/>
    <s v="2F/R51/4"/>
    <s v="ICE19"/>
    <x v="0"/>
    <x v="26"/>
    <x v="13"/>
    <x v="8"/>
    <s v="No"/>
    <s v="Yes"/>
    <s v="No"/>
    <s v="7660utt001smini.bj.intel.com"/>
    <s v="40607"/>
    <n v="0"/>
    <s v="C07826701E8X1R36"/>
    <n v="17319044051"/>
    <s v="00440308050662"/>
    <s v="00440308055662"/>
    <m/>
    <d v="2018-12-05T00:00:00"/>
    <s v="Yes"/>
    <s v="Yes"/>
    <x v="0"/>
  </r>
  <r>
    <s v="Beijing"/>
    <s v="BEJSRTL608"/>
    <s v="Yes"/>
    <s v="Weekly"/>
    <s v="PCIe"/>
    <n v="3648374"/>
    <s v="2F/R51/5"/>
    <s v="ICE19"/>
    <x v="0"/>
    <x v="34"/>
    <x v="5"/>
    <x v="8"/>
    <s v="No"/>
    <s v="No"/>
    <s v="No"/>
    <s v="7660utt001smini.bj.intel.com"/>
    <s v="40608"/>
    <s v="C30BB2D7F3BFDD13FFFFFFFF"/>
    <s v="C078263001FX1R36"/>
    <n v="18511270549"/>
    <s v="00440152287669"/>
    <s v="00440152297669"/>
    <m/>
    <m/>
    <s v="Yes"/>
    <s v="Yes"/>
    <x v="0"/>
  </r>
  <r>
    <s v="Beijing"/>
    <s v="BEJSRTL609"/>
    <s v="No"/>
    <s v="Weekly"/>
    <s v="PCIe"/>
    <n v="3648512"/>
    <s v="2F/R51/5"/>
    <s v="ICE19"/>
    <x v="0"/>
    <x v="31"/>
    <x v="6"/>
    <x v="10"/>
    <s v="No"/>
    <s v="No"/>
    <s v="No"/>
    <s v="7660utt001smini.bj.intel.com"/>
    <s v="40609"/>
    <s v="890900795A800D00FFFFFFFF"/>
    <s v="C03816109861369B6"/>
    <s v="13810715530"/>
    <s v="004999010640016"/>
    <n v="0"/>
    <m/>
    <d v="2018-12-05T00:00:00"/>
    <s v="Yes"/>
    <s v="Yes"/>
    <x v="0"/>
  </r>
  <r>
    <s v="Beijing"/>
    <s v="BEJSRTL610"/>
    <s v="No"/>
    <s v="OTHER"/>
    <s v="PCIe"/>
    <n v="3648225"/>
    <s v="2F/R52/1"/>
    <s v="ICE19"/>
    <x v="0"/>
    <x v="31"/>
    <x v="0"/>
    <x v="8"/>
    <s v="No"/>
    <s v="No"/>
    <s v="No"/>
    <s v="7660utt001smini.bj.intel.com"/>
    <s v="40610"/>
    <s v="33D290EBBFC38FADFFFFFFFF"/>
    <s v="C07826701EEX1R36"/>
    <s v="13810825702"/>
    <s v="00440308050666"/>
    <s v="00440308055666"/>
    <m/>
    <d v="2018-12-19T00:00:00"/>
    <s v="Yes"/>
    <s v="Yes"/>
    <x v="0"/>
  </r>
  <r>
    <s v="Beijing"/>
    <s v="BEJSRTL612"/>
    <s v="No"/>
    <s v="OTHER"/>
    <s v="PCIe"/>
    <n v="3648546"/>
    <m/>
    <s v="ICE19"/>
    <x v="2"/>
    <x v="2"/>
    <x v="2"/>
    <x v="3"/>
    <s v="No"/>
    <s v="No"/>
    <s v="No"/>
    <s v="bejsrtm015smini.bj.intel.com"/>
    <s v="40612"/>
    <e v="#N/A"/>
    <e v="#N/A"/>
    <m/>
    <e v="#N/A"/>
    <e v="#N/A"/>
    <m/>
    <d v="2018-11-26T00:00:00"/>
    <s v="Broken"/>
    <s v="No"/>
    <x v="4"/>
  </r>
  <r>
    <s v="Beijing"/>
    <s v="BEJSRTL615"/>
    <s v="Yes"/>
    <s v="Weekly"/>
    <s v="PCIe"/>
    <n v="3648051"/>
    <s v="2F/R52/3"/>
    <s v="ICE19"/>
    <x v="0"/>
    <x v="31"/>
    <x v="0"/>
    <x v="2"/>
    <s v="No"/>
    <s v="No"/>
    <s v="No"/>
    <s v="7660utt001smini.bj.intel.com"/>
    <s v="40615"/>
    <s v="254A7DED4A066F02FFFFFFFF"/>
    <s v="C078487002HLQ935"/>
    <s v="13811515392"/>
    <s v="00440308051394"/>
    <s v="00440308056394"/>
    <m/>
    <d v="2018-12-22T00:00:00"/>
    <s v="Yes"/>
    <s v="Yes"/>
    <x v="0"/>
  </r>
  <r>
    <s v="Beijing"/>
    <s v="BEJSRTL616"/>
    <s v="Yes"/>
    <s v="Weekly"/>
    <s v="PCIe"/>
    <n v="3647716"/>
    <s v="459/R55/4"/>
    <s v="ICE19"/>
    <x v="0"/>
    <x v="31"/>
    <x v="0"/>
    <x v="8"/>
    <s v="No"/>
    <s v="No"/>
    <s v="No"/>
    <s v="7660utt001smini.bj.intel.com"/>
    <s v="40616"/>
    <s v="53D3D4C4F7EF3A1BFFFFFFFF"/>
    <s v="C07826400HFX1R36"/>
    <s v="13810051246"/>
    <s v="00440152289366"/>
    <s v="00440152299366"/>
    <m/>
    <m/>
    <s v="Yes"/>
    <s v="Yes"/>
    <x v="0"/>
  </r>
  <r>
    <s v="Beijing"/>
    <s v="BEJSRTL619"/>
    <s v="No"/>
    <s v="Weekly"/>
    <s v="PCIe"/>
    <n v="3648272"/>
    <s v="2F/R52/2"/>
    <s v="ICE19"/>
    <x v="1"/>
    <x v="30"/>
    <x v="37"/>
    <x v="10"/>
    <s v="No"/>
    <s v="No"/>
    <s v="No"/>
    <s v="7660utt001smini.bj.intel.com"/>
    <s v="40619"/>
    <s v="400620805A800D00FFFFFFFF"/>
    <s v="C03816113461369BM"/>
    <n v="13121815792"/>
    <s v="004999010640022"/>
    <s v="004999010640080"/>
    <m/>
    <d v="2018-12-05T00:00:00"/>
    <s v="Yes"/>
    <s v="Yes"/>
    <x v="0"/>
  </r>
  <r>
    <s v="Beijing"/>
    <s v="BEJSRTL620"/>
    <s v="Yes"/>
    <s v="Daily"/>
    <s v="PCIe"/>
    <n v="4079882"/>
    <s v="2F/R52/1"/>
    <s v="ICE19"/>
    <x v="0"/>
    <x v="31"/>
    <x v="0"/>
    <x v="8"/>
    <s v="No"/>
    <s v="No"/>
    <s v="No"/>
    <s v="7660utt001smini.bj.intel.com"/>
    <s v="40620"/>
    <s v="2074BB03800C062FFFFFFFFF"/>
    <s v="C07826600YZX1R36"/>
    <s v="13810713965"/>
    <s v="00440152289219"/>
    <s v="00440152299219"/>
    <m/>
    <d v="2018-09-18T00:00:00"/>
    <s v="Yes"/>
    <s v="Yes"/>
    <x v="0"/>
  </r>
  <r>
    <s v="Beijing"/>
    <s v="BEJSRTL621"/>
    <s v="Yes"/>
    <s v="Weekly"/>
    <s v="PCIe"/>
    <n v="4079810"/>
    <s v="2F/R51/6"/>
    <s v="ICE19"/>
    <x v="0"/>
    <x v="34"/>
    <x v="4"/>
    <x v="8"/>
    <s v="No"/>
    <s v="No"/>
    <s v="No"/>
    <s v="7660utt001smini.bj.intel.com"/>
    <s v="40621"/>
    <e v="#N/A"/>
    <e v="#N/A"/>
    <n v="13260231457"/>
    <e v="#N/A"/>
    <e v="#N/A"/>
    <m/>
    <d v="2018-12-05T00:00:00"/>
    <s v="Yes"/>
    <s v="Yes"/>
    <x v="0"/>
  </r>
  <r>
    <s v="Beijing"/>
    <s v="BEJSRTL622"/>
    <s v="Yes"/>
    <s v="Weekly"/>
    <s v="PCIe"/>
    <n v="4079917"/>
    <s v="2F/R51/6"/>
    <s v="ICE19"/>
    <x v="0"/>
    <x v="31"/>
    <x v="22"/>
    <x v="8"/>
    <s v="No"/>
    <s v="No"/>
    <s v="No"/>
    <s v="7660utt001smini.bj.intel.com"/>
    <s v="40622"/>
    <s v="89D61D9144C51A11FFFFFFFF"/>
    <s v="C07826400JTX1R36"/>
    <s v="13810069147"/>
    <s v="00440152289358"/>
    <s v="00440152299358"/>
    <m/>
    <d v="2018-09-18T00:00:00"/>
    <s v="Yes"/>
    <s v="Yes"/>
    <x v="0"/>
  </r>
  <r>
    <s v="Beijing"/>
    <s v="BEJSRTL623"/>
    <s v="Yes"/>
    <s v="Daily"/>
    <s v="PCIe"/>
    <n v="4079845"/>
    <s v="2F/R52/4"/>
    <s v="ICE19"/>
    <x v="0"/>
    <x v="31"/>
    <x v="22"/>
    <x v="8"/>
    <s v="No"/>
    <s v="No"/>
    <s v="No"/>
    <s v="7660utt001smini.bj.intel.com"/>
    <s v="40623"/>
    <s v="C83FFBC893DE09E9FFFFFFFF"/>
    <s v="C07826400E0X1R36"/>
    <s v="13810692607"/>
    <s v="00440152289357"/>
    <s v="00440152299357"/>
    <m/>
    <d v="2018-09-18T00:00:00"/>
    <s v="Yes"/>
    <s v="Yes"/>
    <x v="0"/>
  </r>
  <r>
    <s v="Beijing"/>
    <s v="BEJSRTL624"/>
    <s v="Yes"/>
    <s v="Weekly"/>
    <s v="PCIe"/>
    <n v="4079896"/>
    <s v="2F/R52/4"/>
    <s v="ICE19"/>
    <x v="0"/>
    <x v="31"/>
    <x v="6"/>
    <x v="8"/>
    <s v="No"/>
    <s v="No"/>
    <s v="No"/>
    <s v="7660utt001smini.bj.intel.com"/>
    <s v="40624"/>
    <s v="C8FE44722A476F26FFFFFFFF"/>
    <s v="C078263005YX1R36"/>
    <s v="13810736993"/>
    <s v="00440152289184"/>
    <s v="00440152299184"/>
    <m/>
    <d v="2018-09-18T00:00:00"/>
    <s v="Yes"/>
    <s v="Yes"/>
    <x v="0"/>
  </r>
  <r>
    <s v="Beijing"/>
    <s v="BEJSRTL625"/>
    <s v="Yes"/>
    <s v="Weekly"/>
    <s v="PCIe"/>
    <n v="4079874"/>
    <s v="2F/R52/5"/>
    <s v="ICE19"/>
    <x v="0"/>
    <x v="26"/>
    <x v="13"/>
    <x v="8"/>
    <s v="No"/>
    <s v="Yes"/>
    <s v="No"/>
    <s v="bejsrtm015smini.bj.intel.com"/>
    <s v="40625"/>
    <s v="ED540CDD20D0EF7CFFFFFFFF"/>
    <s v="C07826300BYX1R36"/>
    <s v="18911175674"/>
    <s v="00440152289345"/>
    <s v="00440152299345"/>
    <m/>
    <d v="2018-09-13T00:00:00"/>
    <s v="Yes"/>
    <s v="Yes"/>
    <x v="0"/>
  </r>
  <r>
    <s v="Beijing"/>
    <s v="BEJSRTL626"/>
    <s v="Yes"/>
    <s v="Weekly"/>
    <s v="PCIe"/>
    <n v="4079921"/>
    <s v="2F/R52/5"/>
    <s v="ICE19"/>
    <x v="0"/>
    <x v="26"/>
    <x v="13"/>
    <x v="8"/>
    <s v="No"/>
    <s v="Yes"/>
    <s v="No"/>
    <s v="bejsrtm015smini.bj.intel.com"/>
    <s v="40626"/>
    <s v="F11E35D2760FC5C8FFFFFFFF"/>
    <s v="C07826400J9X1R36"/>
    <s v="15321691705"/>
    <s v="00440152289359"/>
    <s v="00440152299359"/>
    <m/>
    <d v="2018-09-13T00:00:00"/>
    <s v="Yes"/>
    <s v="Yes"/>
    <x v="0"/>
  </r>
  <r>
    <s v="Beijing"/>
    <s v="BEJSRTL627"/>
    <s v="Yes"/>
    <s v="Daily"/>
    <s v="PCIe"/>
    <n v="4079851"/>
    <s v="2F/R52/6"/>
    <s v="ICE19"/>
    <x v="1"/>
    <x v="29"/>
    <x v="27"/>
    <x v="8"/>
    <s v="No"/>
    <s v="Yes"/>
    <s v="No"/>
    <s v="bejsrtm015smini.bj.intel.com"/>
    <s v="40627"/>
    <s v="DD7ACA3771E0AEAFFFFFFFFF"/>
    <s v="C07826400CNX1R36"/>
    <s v="18911124205"/>
    <s v="00440152289362"/>
    <s v="00440152299362"/>
    <s v="13910409538"/>
    <d v="2018-10-08T00:00:00"/>
    <s v="Yes"/>
    <s v="Yes"/>
    <x v="0"/>
  </r>
  <r>
    <s v="Beijing"/>
    <s v="BEJSRTL628"/>
    <s v="Yes"/>
    <s v="CEB"/>
    <s v="PCIe"/>
    <n v="4079870"/>
    <s v="2F/R52/6"/>
    <s v="ICE19"/>
    <x v="0"/>
    <x v="31"/>
    <x v="0"/>
    <x v="8"/>
    <s v="No"/>
    <s v="No"/>
    <s v="No"/>
    <s v="bejsrtm015smini.bj.intel.com"/>
    <s v="40628"/>
    <s v="23780B50DFE2F58BFFFFFFFF"/>
    <s v="C07826600YDX1R36"/>
    <n v="13810284084"/>
    <s v="00440152289217"/>
    <s v="00440152299217"/>
    <m/>
    <d v="2018-09-13T00:00:00"/>
    <s v="Yes"/>
    <s v="Yes"/>
    <x v="0"/>
  </r>
  <r>
    <s v="Beijing"/>
    <s v="BEJSRTL629"/>
    <s v="Yes"/>
    <s v="Weekly"/>
    <s v="PCIe"/>
    <n v="4079803"/>
    <s v="2F/R57/4"/>
    <s v="ICE19"/>
    <x v="1"/>
    <x v="35"/>
    <x v="38"/>
    <x v="8"/>
    <s v="No"/>
    <s v="Yes"/>
    <s v="No"/>
    <s v="bejsrtm017.bj.intel.com"/>
    <s v="40629"/>
    <s v="59F26AE645E95CE8FFFFFFFF"/>
    <s v="C07826600YMX1R36"/>
    <s v="18911034337"/>
    <s v="00440152289221"/>
    <s v="00440152299221"/>
    <s v="13263362761"/>
    <d v="2018-10-08T00:00:00"/>
    <s v="Yes"/>
    <s v="Yes"/>
    <x v="0"/>
  </r>
  <r>
    <s v="Beijing"/>
    <s v="BEJSRTL630"/>
    <s v="Yes"/>
    <s v="Weekly"/>
    <s v="PCIe"/>
    <n v="4079881"/>
    <s v="2F/R55/3"/>
    <s v="ICE19"/>
    <x v="0"/>
    <x v="26"/>
    <x v="14"/>
    <x v="8"/>
    <s v="No"/>
    <s v="Yes"/>
    <s v="No"/>
    <s v="bejsrtm015smini.bj.intel.com"/>
    <s v="40630"/>
    <s v="446CB453DFC1E3CDFFFFFFFF"/>
    <s v="C07826400E4X1R36"/>
    <n v="17310342482"/>
    <s v="00440152289363"/>
    <s v="00440152299363"/>
    <m/>
    <d v="2018-09-18T00:00:00"/>
    <s v="Yes"/>
    <s v="Yes"/>
    <x v="0"/>
  </r>
  <r>
    <s v="Beijing"/>
    <s v="BEJSRTL631"/>
    <s v="Yes"/>
    <s v="Weekly"/>
    <s v="PCIe"/>
    <n v="4079830"/>
    <s v="2F/R55/3"/>
    <s v="ICE19"/>
    <x v="0"/>
    <x v="26"/>
    <x v="14"/>
    <x v="8"/>
    <s v="No"/>
    <s v="Yes"/>
    <s v="No"/>
    <s v="bejsrtm015smini.bj.intel.com"/>
    <s v="40631"/>
    <s v="4DE42DBBF5FD0BFBFFFFFFFF"/>
    <s v="C07826400EBX1R36"/>
    <n v="13331048825"/>
    <s v="00440152289355"/>
    <s v="00440152299355"/>
    <m/>
    <d v="2018-09-18T00:00:00"/>
    <s v="Yes"/>
    <s v="Yes"/>
    <x v="0"/>
  </r>
  <r>
    <s v="Beijing"/>
    <s v="BEJSRTL632"/>
    <s v="Yes"/>
    <s v="Pre-INT"/>
    <s v="PCIe"/>
    <n v="4079864"/>
    <s v="2F/R55/4"/>
    <s v="ICE19"/>
    <x v="0"/>
    <x v="26"/>
    <x v="14"/>
    <x v="8"/>
    <s v="No"/>
    <s v="Yes"/>
    <s v="No"/>
    <s v="bejsrtm015smini.bj.intel.com"/>
    <s v="40632"/>
    <s v="92B08AB88DCF683BFFFFFFFF"/>
    <s v="C07826400ENX1R36"/>
    <n v="18911175647"/>
    <s v="00440152289365"/>
    <s v="00440152299365"/>
    <m/>
    <d v="2018-09-18T00:00:00"/>
    <s v="Yes"/>
    <s v="Yes"/>
    <x v="0"/>
  </r>
  <r>
    <s v="Beijing"/>
    <s v="BEJSRTL633"/>
    <s v="Yes"/>
    <s v="CEB"/>
    <s v="PCIe"/>
    <n v="4079962"/>
    <s v="2F/R55/1"/>
    <s v="ICE19"/>
    <x v="0"/>
    <x v="31"/>
    <x v="22"/>
    <x v="8"/>
    <s v="No"/>
    <s v="No"/>
    <s v="No"/>
    <s v="bejsrtm015smini.bj.intel.com"/>
    <s v="40633"/>
    <s v="A666C4735BC8137FFFFFFFFF"/>
    <s v="C07826400DEX1R36"/>
    <n v="13810337950"/>
    <s v="00440152289367"/>
    <s v="00440152299367"/>
    <m/>
    <d v="2018-09-13T00:00:00"/>
    <s v="Yes"/>
    <s v="Yes"/>
    <x v="0"/>
  </r>
  <r>
    <s v="Beijing"/>
    <s v="BEJSRTL634"/>
    <s v="Yes"/>
    <s v="CEB"/>
    <s v="PCIe"/>
    <n v="4079840"/>
    <s v="2F/R55/1"/>
    <s v="ICE19"/>
    <x v="0"/>
    <x v="26"/>
    <x v="14"/>
    <x v="8"/>
    <s v="No"/>
    <s v="Yes"/>
    <s v="No"/>
    <s v="bejsrtm015smini.bj.intel.com"/>
    <s v="40634"/>
    <s v="2497CBCCDEE8834CFFFFFFFF"/>
    <s v="C078263003XX1R36"/>
    <n v="17310978792"/>
    <s v="00440152289185"/>
    <s v="00440152299185"/>
    <m/>
    <d v="2018-09-18T00:00:00"/>
    <s v="Yes"/>
    <s v="Yes"/>
    <x v="0"/>
  </r>
  <r>
    <s v="Beijing"/>
    <s v="BEJSRTL635"/>
    <s v="Yes"/>
    <s v="Daily"/>
    <s v="PCIe"/>
    <n v="4079873"/>
    <s v="2F/R55/2"/>
    <s v="ICE19"/>
    <x v="0"/>
    <x v="26"/>
    <x v="39"/>
    <x v="8"/>
    <s v="No"/>
    <s v="Yes"/>
    <s v="No"/>
    <s v="bejsrtm015smini.bj.intel.com"/>
    <s v="40635"/>
    <s v="6CD7B2D8B3F9D97CFFFFFFFF"/>
    <s v="C07826400H1X1R36"/>
    <n v="17310212413"/>
    <s v="00440152289360"/>
    <s v="00440152299360"/>
    <m/>
    <d v="2018-09-18T00:00:00"/>
    <s v="Yes"/>
    <s v="Yes"/>
    <x v="0"/>
  </r>
  <r>
    <s v="Beijing"/>
    <s v="BEJSRTL636"/>
    <s v="Yes"/>
    <s v="Daily"/>
    <s v="PCIe"/>
    <n v="4079919"/>
    <s v="2F/R55/2"/>
    <s v="ICE19"/>
    <x v="0"/>
    <x v="31"/>
    <x v="40"/>
    <x v="2"/>
    <s v="No"/>
    <s v="No"/>
    <s v="No"/>
    <s v="bejsrtm015smini.bj.intel.com"/>
    <s v="40636"/>
    <s v="360A1344CA376B02FFFFFFFF"/>
    <s v="C0784870049LQ935"/>
    <s v="13810281449"/>
    <s v="00440308051332"/>
    <s v="00440308056332"/>
    <s v="18519747298"/>
    <d v="2018-12-05T00:00:00"/>
    <s v="Yes"/>
    <s v="Yes"/>
    <x v="0"/>
  </r>
  <r>
    <s v="Beijing"/>
    <s v="BEJSRTL637"/>
    <s v="Yes"/>
    <s v="Pre-INT"/>
    <s v="PCIe"/>
    <n v="4079901"/>
    <s v="2F/R55/4"/>
    <s v="ICE19"/>
    <x v="0"/>
    <x v="26"/>
    <x v="13"/>
    <x v="8"/>
    <s v="No"/>
    <s v="Yes"/>
    <s v="No"/>
    <s v="bejsrtm015smini.bj.intel.com"/>
    <s v="40637"/>
    <s v="8867DAEB8D9A15DAFFFFFFFF"/>
    <s v="C07826400J4X1R36"/>
    <n v="18911124185"/>
    <s v="00440152289353"/>
    <s v="00440152299353"/>
    <m/>
    <d v="2018-09-18T00:00:00"/>
    <s v="Yes"/>
    <s v="Yes"/>
    <x v="0"/>
  </r>
  <r>
    <s v="Beijing"/>
    <s v="BEJSRTL638"/>
    <s v="Yes"/>
    <s v="Pre-INT"/>
    <s v="PCIe"/>
    <n v="4079849"/>
    <s v="2F/R55/5"/>
    <s v="ICE19"/>
    <x v="1"/>
    <x v="32"/>
    <x v="9"/>
    <x v="2"/>
    <s v="No"/>
    <s v="No"/>
    <s v="No"/>
    <s v="bejsrtm015smini.bj.intel.com"/>
    <s v="40638"/>
    <s v="121EFDCF4D426B02FFFFFFFF"/>
    <s v="C078486002XLQ935"/>
    <s v="13810992905"/>
    <s v="00440308051175"/>
    <s v="00440308056175"/>
    <s v="13121819271"/>
    <d v="2018-09-18T00:00:00"/>
    <s v="Yes"/>
    <s v="Yes"/>
    <x v="0"/>
  </r>
  <r>
    <s v="Beijing"/>
    <s v="BEJSRTL639"/>
    <s v="Yes"/>
    <s v="Pre-INT"/>
    <s v="PCIe"/>
    <n v="4079908"/>
    <s v="2F/R55/5"/>
    <s v="ICE19"/>
    <x v="0"/>
    <x v="26"/>
    <x v="13"/>
    <x v="8"/>
    <s v="No"/>
    <s v="Yes"/>
    <s v="No"/>
    <s v="bejsrtm015smini.bj.intel.com"/>
    <s v="40639"/>
    <s v="43DB8FE8B8BC0BDFFFFFFFFF"/>
    <s v="C07826400DFX1R36"/>
    <n v="18911034669"/>
    <s v="00440152289356"/>
    <s v="00440152299356"/>
    <m/>
    <d v="2018-09-18T00:00:00"/>
    <s v="Yes"/>
    <s v="Yes"/>
    <x v="0"/>
  </r>
  <r>
    <s v="Beijing"/>
    <s v="BEJSRTL640"/>
    <s v="No"/>
    <s v="OTHER"/>
    <s v="PCIe"/>
    <n v="4079769"/>
    <m/>
    <s v="ICE19"/>
    <x v="2"/>
    <x v="2"/>
    <x v="2"/>
    <x v="3"/>
    <s v="No"/>
    <s v="No"/>
    <s v="No"/>
    <s v="bejsrtm015smini.bj.intel.com"/>
    <s v="40640"/>
    <e v="#N/A"/>
    <e v="#N/A"/>
    <m/>
    <e v="#N/A"/>
    <e v="#N/A"/>
    <m/>
    <s v="11/26/2018"/>
    <s v="Broken"/>
    <s v="No"/>
    <x v="4"/>
  </r>
  <r>
    <s v="Beijing"/>
    <s v="BEJSRTL641"/>
    <s v="Yes"/>
    <s v="CEB"/>
    <s v="PCIe"/>
    <n v="4079828"/>
    <s v=" "/>
    <s v="ICE19"/>
    <x v="0"/>
    <x v="31"/>
    <x v="0"/>
    <x v="8"/>
    <s v="No"/>
    <s v="No"/>
    <s v="No"/>
    <s v="bejsrtm015smini.bj.intel.com"/>
    <s v="40641"/>
    <s v="16ED81143029B1B4FFFFFFFF"/>
    <s v="C07826400ELX1R36"/>
    <n v="13810051346"/>
    <s v="00440152289194"/>
    <s v="00440152299194"/>
    <m/>
    <d v="2018-09-18T00:00:00"/>
    <s v="Yes"/>
    <s v="Yes"/>
    <x v="0"/>
  </r>
  <r>
    <s v="Beijing"/>
    <s v="BEJSRTL642"/>
    <s v="Yes"/>
    <s v="Pre-INT"/>
    <s v="PCIe"/>
    <n v="4079872"/>
    <s v="2F/R55/7"/>
    <s v="ICE19"/>
    <x v="0"/>
    <x v="31"/>
    <x v="0"/>
    <x v="8"/>
    <s v="No"/>
    <s v="No"/>
    <s v="No"/>
    <s v="bejsrtm015smini.bj.intel.com"/>
    <s v="40642"/>
    <s v="D3228C943DA03651FFFFFFFF"/>
    <s v="C078263006GX1R36"/>
    <n v="13811057193"/>
    <s v="00440152289335"/>
    <s v="00440152299335"/>
    <m/>
    <d v="2018-09-18T00:00:00"/>
    <s v="Yes"/>
    <s v="Yes"/>
    <x v="0"/>
  </r>
  <r>
    <s v="Beijing"/>
    <s v="BEJSRTL643"/>
    <s v="Yes"/>
    <s v="Daily"/>
    <s v="PCIe"/>
    <n v="4079842"/>
    <s v="2F/R55/7"/>
    <s v="ICE19"/>
    <x v="1"/>
    <x v="27"/>
    <x v="17"/>
    <x v="8"/>
    <s v="No"/>
    <s v="No"/>
    <s v="No"/>
    <s v="bejsrtm015smini.bj.intel.com"/>
    <s v="40643"/>
    <s v="CC75D23CFD3715B8FFFFFFFF"/>
    <s v="C0782630046X1R36"/>
    <n v="13810961703"/>
    <s v="00440152289329"/>
    <s v="00440152299329"/>
    <n v="13810020154"/>
    <d v="2018-09-29T00:00:00"/>
    <s v="Yes"/>
    <s v="Yes"/>
    <x v="0"/>
  </r>
  <r>
    <s v="Beijing"/>
    <s v="BEJSRTL644"/>
    <s v="Yes"/>
    <s v="Weekly"/>
    <s v="PCIe"/>
    <n v="4079966"/>
    <s v="2F/R56/10"/>
    <s v="ICE19"/>
    <x v="1"/>
    <x v="30"/>
    <x v="37"/>
    <x v="8"/>
    <s v="No"/>
    <s v="No"/>
    <s v="No"/>
    <s v="bejsrtm017.bj.intel.com"/>
    <s v="40644"/>
    <s v="B90B4BEE12BED77BFFFFFFFF"/>
    <s v="C07826600ZYX1R36"/>
    <s v="18618484354"/>
    <s v="00440152289233"/>
    <s v="00440152299233"/>
    <s v="13910617349"/>
    <d v="2018-11-15T00:00:00"/>
    <s v="Yes"/>
    <s v="Yes"/>
    <x v="0"/>
  </r>
  <r>
    <s v="Beijing"/>
    <s v="BEJSRTL645"/>
    <s v="Yes"/>
    <s v="Pre-INT"/>
    <s v="PCIe"/>
    <n v="4079927"/>
    <s v="2F/R56/1"/>
    <s v="ICE19"/>
    <x v="0"/>
    <x v="31"/>
    <x v="0"/>
    <x v="8"/>
    <s v="No"/>
    <s v="No"/>
    <s v="No"/>
    <s v="bejsrtm016.bj.intel.com"/>
    <s v="40645"/>
    <s v="53308B243FED8EA7FFFFFFFF"/>
    <s v="C07826300B7X1R36"/>
    <n v="13810572935"/>
    <s v="00440152289332"/>
    <s v="00440152299332"/>
    <m/>
    <d v="2018-09-20T00:00:00"/>
    <s v="Yes"/>
    <s v="Yes"/>
    <x v="0"/>
  </r>
  <r>
    <s v="Beijing"/>
    <s v="BEJSRTL646"/>
    <s v="Yes"/>
    <s v="Weekly"/>
    <s v="PCIe"/>
    <n v="4079854"/>
    <s v="2F/R52/2"/>
    <s v="ICE19"/>
    <x v="0"/>
    <x v="26"/>
    <x v="13"/>
    <x v="8"/>
    <s v="No"/>
    <s v="Yes"/>
    <s v="No"/>
    <s v="7660utt001smini.bj.intel.com"/>
    <s v="40646"/>
    <s v="C01269483E0502FCFFFFFFFF"/>
    <s v="C07826600YEX1R36"/>
    <n v="18911034659"/>
    <s v="00440152289224"/>
    <s v="00440152299224"/>
    <m/>
    <m/>
    <s v="Yes"/>
    <s v="Yes"/>
    <x v="0"/>
  </r>
  <r>
    <s v="Beijing"/>
    <s v="BEJSRTL647"/>
    <s v="Yes"/>
    <s v="Pre-INT"/>
    <s v="PCIe"/>
    <n v="4079938"/>
    <s v="2F/R56/2"/>
    <s v="ICE19"/>
    <x v="0"/>
    <x v="31"/>
    <x v="0"/>
    <x v="8"/>
    <s v="No"/>
    <s v="No"/>
    <s v="No"/>
    <s v="bejsrtm016.bj.intel.com"/>
    <s v="40647"/>
    <s v="7BEB4560C46F6385FFFFFFFF"/>
    <s v="C07826300BDX1R36"/>
    <n v="13810679130"/>
    <s v="00440152289337"/>
    <s v="00440152299337"/>
    <m/>
    <d v="2018-09-20T00:00:00"/>
    <s v="Yes"/>
    <s v="Yes"/>
    <x v="0"/>
  </r>
  <r>
    <s v="Beijing"/>
    <s v="BEJSRTL648"/>
    <s v="Yes"/>
    <s v="Pre-INT"/>
    <s v="PCIe"/>
    <n v="4079827"/>
    <s v="2F/R56/2"/>
    <s v="ICE19"/>
    <x v="0"/>
    <x v="31"/>
    <x v="0"/>
    <x v="8"/>
    <s v="No"/>
    <s v="No"/>
    <s v="No"/>
    <s v="bejsrtm016.bj.intel.com"/>
    <s v="40648"/>
    <s v="29950EF9FFE5A5BEFFFFFFFF"/>
    <s v="C07826300AEX1R36"/>
    <n v="13810917935"/>
    <s v="00440152289342"/>
    <s v="00440152299342"/>
    <m/>
    <d v="2018-09-20T00:00:00"/>
    <s v="Yes"/>
    <s v="Yes"/>
    <x v="0"/>
  </r>
  <r>
    <s v="Beijing"/>
    <s v="BEJSRTL649"/>
    <s v="No"/>
    <s v="Pre-INT"/>
    <s v="PCIe"/>
    <n v="4079947"/>
    <s v="2F/R56/3"/>
    <s v="ICE19"/>
    <x v="0"/>
    <x v="31"/>
    <x v="0"/>
    <x v="8"/>
    <s v="No"/>
    <s v="No"/>
    <s v="No"/>
    <s v="bejsrtm016.bj.intel.com"/>
    <s v="40649"/>
    <n v="0"/>
    <s v="C07826701E1X1R36"/>
    <n v="13810857613"/>
    <s v="00440308050664"/>
    <s v="00440308055664"/>
    <m/>
    <d v="2018-12-05T00:00:00"/>
    <s v="Yes"/>
    <s v="Yes"/>
    <x v="1"/>
  </r>
  <r>
    <s v="Beijing"/>
    <s v="BEJSRTL650"/>
    <s v="Yes"/>
    <s v="Pre-INT"/>
    <s v="PCIe"/>
    <n v="4079909"/>
    <s v="2F/R56/3"/>
    <s v="ICE19"/>
    <x v="0"/>
    <x v="31"/>
    <x v="0"/>
    <x v="8"/>
    <s v="No"/>
    <s v="No"/>
    <s v="No"/>
    <s v="bejsrtm016.bj.intel.com"/>
    <s v="40650"/>
    <s v="649B77C5F291AEB5FFFFFFFF"/>
    <s v="C0782630054X1R36"/>
    <n v="13810523627"/>
    <s v="00440152289330"/>
    <s v="00440152299330"/>
    <m/>
    <d v="2018-09-20T00:00:00"/>
    <s v="Yes"/>
    <s v="Yes"/>
    <x v="0"/>
  </r>
  <r>
    <s v="Beijing"/>
    <s v="BEJSRTL651"/>
    <s v="Yes"/>
    <s v="CEB"/>
    <s v="PCIe"/>
    <n v="4079824"/>
    <s v="2F/R56/4"/>
    <s v="ICE19"/>
    <x v="0"/>
    <x v="31"/>
    <x v="0"/>
    <x v="8"/>
    <s v="No"/>
    <s v="No"/>
    <s v="No"/>
    <s v="bejsrtm016.bj.intel.com"/>
    <s v="40651"/>
    <s v="0DEBB338DAABC373FFFFFFFF"/>
    <s v="C07826300BKX1R36"/>
    <n v="13810866027"/>
    <s v="00440152289351"/>
    <s v="00440152299351"/>
    <m/>
    <d v="2018-09-20T00:00:00"/>
    <s v="Yes"/>
    <s v="Yes"/>
    <x v="0"/>
  </r>
  <r>
    <s v="Beijing"/>
    <s v="BEJSRTL652"/>
    <s v="Yes"/>
    <s v="OTHER"/>
    <s v="PCIe"/>
    <n v="4079818"/>
    <s v="4F/R7/1"/>
    <s v="ICE19"/>
    <x v="0"/>
    <x v="31"/>
    <x v="0"/>
    <x v="8"/>
    <s v="No"/>
    <s v="No"/>
    <s v="No"/>
    <s v="bejsrtm015smini.bj.intel.com"/>
    <s v="40652"/>
    <s v="E18AC7250D3DE892FFFFFFFF"/>
    <s v="C078263008SX1R36"/>
    <s v="13810269474"/>
    <s v="00440152289349"/>
    <s v="00440152299349"/>
    <m/>
    <d v="2018-12-19T00:00:00"/>
    <s v="Yes"/>
    <s v="Yes"/>
    <x v="0"/>
  </r>
  <r>
    <s v="Beijing"/>
    <s v="BEJSRTL653"/>
    <s v="Yes"/>
    <s v="Weekly"/>
    <s v="PCIe"/>
    <n v="4079970"/>
    <s v="2F/R56/5"/>
    <s v="ICE19"/>
    <x v="1"/>
    <x v="29"/>
    <x v="27"/>
    <x v="8"/>
    <s v="No"/>
    <s v="Yes"/>
    <s v="No"/>
    <s v="bejsrtm016.bj.intel.com"/>
    <s v="40653"/>
    <s v="CE93B7F41E44846FFFFFFFFF"/>
    <s v="C07826300A8X1R36"/>
    <n v="18911124287"/>
    <s v="00440152289339"/>
    <s v="00440152299339"/>
    <s v="13810670535"/>
    <d v="2018-10-10T00:00:00"/>
    <s v="Yes"/>
    <s v="Yes"/>
    <x v="0"/>
  </r>
  <r>
    <s v="Beijing"/>
    <s v="BEJSRTL654"/>
    <s v="Yes"/>
    <s v="Weekly"/>
    <s v="PCIe"/>
    <n v="4079887"/>
    <s v="4F/R7/1"/>
    <s v="ICE19"/>
    <x v="1"/>
    <x v="28"/>
    <x v="17"/>
    <x v="8"/>
    <s v="No"/>
    <s v="No"/>
    <s v="Yes"/>
    <s v="bejsrtm016.bj.intel.com"/>
    <s v="40654"/>
    <s v="4052DFFF666852FEFFFFFFFF"/>
    <s v="C07826600WFX1R36"/>
    <s v="13800001364"/>
    <s v="00440152289228"/>
    <s v="00440152299228"/>
    <s v="13800001365"/>
    <d v="2018-10-10T00:00:00"/>
    <s v="Yes"/>
    <s v="Yes"/>
    <x v="0"/>
  </r>
  <r>
    <s v="Beijing"/>
    <s v="BEJSRTL655"/>
    <s v="Yes"/>
    <s v="Weekly"/>
    <s v="PCIe"/>
    <n v="4079856"/>
    <s v="2F/R56/6"/>
    <s v="ICE19"/>
    <x v="1"/>
    <x v="27"/>
    <x v="17"/>
    <x v="8"/>
    <s v="No"/>
    <s v="No"/>
    <s v="No"/>
    <s v="bejsrtm016.bj.intel.com"/>
    <s v="40655"/>
    <s v="92ABFD0F678EABFDFFFFFFFF"/>
    <s v="C07826300A5X1R36"/>
    <s v="13810650117"/>
    <s v="00440152289334"/>
    <s v="00440152299334"/>
    <s v="13810017314"/>
    <d v="2018-10-10T00:00:00"/>
    <s v="Yes"/>
    <s v="Yes"/>
    <x v="0"/>
  </r>
  <r>
    <s v="Beijing"/>
    <s v="BEJSRTL656"/>
    <s v="Yes"/>
    <s v="Weekly"/>
    <s v="PCIe"/>
    <n v="4079786"/>
    <s v="2F/R57/3"/>
    <s v="ICE19"/>
    <x v="1"/>
    <x v="35"/>
    <x v="38"/>
    <x v="8"/>
    <s v="No"/>
    <s v="Yes"/>
    <s v="No"/>
    <s v="bejsrtm017.bj.intel.com"/>
    <s v="40656"/>
    <s v="8F9B9BDDCB33E678FFFFFFFF"/>
    <s v="C07826600YNX1R36"/>
    <n v="17310496184"/>
    <s v="00440152289222"/>
    <s v="00440152299222"/>
    <s v="18211964905"/>
    <d v="2018-11-15T00:00:00"/>
    <s v="Yes"/>
    <s v="Yes"/>
    <x v="0"/>
  </r>
  <r>
    <s v="Beijing"/>
    <s v="BEJSRTL657"/>
    <s v="Yes"/>
    <s v="Weekly"/>
    <s v="PCIe"/>
    <n v="4079912"/>
    <s v="2F/R56/7"/>
    <s v="ICE19"/>
    <x v="1"/>
    <x v="35"/>
    <x v="38"/>
    <x v="8"/>
    <s v="No"/>
    <s v="Yes"/>
    <s v="No"/>
    <s v="bejsrtm016.bj.intel.com"/>
    <s v="40657"/>
    <s v="0BEB930FA02F91A3FFFFFFFF"/>
    <s v="C0782630006X1R36"/>
    <s v="13331048801"/>
    <s v="00440152287676"/>
    <s v="00440152297676"/>
    <s v="18618442550"/>
    <d v="2018-11-15T00:00:00"/>
    <s v="Yes"/>
    <s v="Yes"/>
    <x v="0"/>
  </r>
  <r>
    <s v="Beijing"/>
    <s v="BEJSRTL658"/>
    <s v="Yes"/>
    <s v="Weekly"/>
    <s v="PCIe"/>
    <n v="4079931"/>
    <s v="2F/R56/7"/>
    <s v="ICE19"/>
    <x v="1"/>
    <x v="35"/>
    <x v="38"/>
    <x v="8"/>
    <s v="No"/>
    <s v="Yes"/>
    <s v="No"/>
    <s v="bejsrtm016.bj.intel.com"/>
    <s v="40658"/>
    <s v="2DE15ADBB2651A2EFFFFFFFF"/>
    <s v="C07826600TZX1R36"/>
    <s v="18910548642"/>
    <s v="00499901061658"/>
    <s v="00499901062658"/>
    <s v="18511006485"/>
    <d v="2018-11-15T00:00:00"/>
    <s v="Yes"/>
    <s v="Yes"/>
    <x v="0"/>
  </r>
  <r>
    <s v="Beijing"/>
    <s v="BEJSRTL659"/>
    <s v="Yes"/>
    <s v="Weekly"/>
    <s v="PCIe"/>
    <n v="4079973"/>
    <s v="2F/R57/1"/>
    <s v="ICE19"/>
    <x v="1"/>
    <x v="29"/>
    <x v="27"/>
    <x v="8"/>
    <s v="No"/>
    <s v="Yes"/>
    <s v="No"/>
    <s v="bejsrtm017.bj.intel.com"/>
    <s v="40659"/>
    <s v="EA76B80EC0620247FFFFFFFF"/>
    <s v="C0782660101X1R36"/>
    <n v="18101234794"/>
    <s v="00440152289223"/>
    <s v="00440152299223"/>
    <s v="13810734472"/>
    <d v="2018-09-29T00:00:00"/>
    <s v="Yes"/>
    <s v="Yes"/>
    <x v="0"/>
  </r>
  <r>
    <s v="Beijing"/>
    <s v="BEJSRTL660"/>
    <s v="Yes"/>
    <s v="Weekly"/>
    <s v="PCIe"/>
    <n v="4079806"/>
    <s v="2F/R57/1"/>
    <s v="ICE19"/>
    <x v="1"/>
    <x v="29"/>
    <x v="27"/>
    <x v="8"/>
    <s v="No"/>
    <s v="Yes"/>
    <s v="No"/>
    <s v="bejsrtm017.bj.intel.com"/>
    <s v="40660"/>
    <s v="D80E97B27D4B4E90FFFFFFFF"/>
    <s v="C07826600U9X1R36"/>
    <n v="17319106459"/>
    <s v="00440152289227"/>
    <s v="00440152299227"/>
    <n v="13810021134"/>
    <d v="2018-09-29T00:00:00"/>
    <s v="Yes"/>
    <s v="Yes"/>
    <x v="0"/>
  </r>
  <r>
    <s v="Beijing"/>
    <s v="BEJSRTL661"/>
    <s v="Yes"/>
    <s v="Weekly"/>
    <s v="PCIe"/>
    <n v="4079883"/>
    <s v="2F/R56/4"/>
    <s v="ICE19"/>
    <x v="1"/>
    <x v="30"/>
    <x v="37"/>
    <x v="8"/>
    <s v="No"/>
    <s v="No"/>
    <s v="No"/>
    <s v="bejsrtm016.bj.intel.com"/>
    <s v="40661"/>
    <s v="65D3F15BCE7CC2ACFFFFFFFF"/>
    <s v="C078263008AX1R36"/>
    <n v="15501291801"/>
    <s v="00440152289340"/>
    <s v="00440152299340"/>
    <n v="13811693572"/>
    <d v="2018-09-21T00:00:00"/>
    <s v="Yes"/>
    <s v="Yes"/>
    <x v="0"/>
  </r>
  <r>
    <s v="Beijing"/>
    <s v="BEJSRTL662"/>
    <s v="Yes"/>
    <s v="Weekly"/>
    <s v="PCIe"/>
    <n v="4079767"/>
    <s v="2F/R56/5"/>
    <s v="ICE19"/>
    <x v="1"/>
    <x v="30"/>
    <x v="37"/>
    <x v="8"/>
    <s v="No"/>
    <s v="No"/>
    <s v="No"/>
    <s v="bejsrtm017.bj.intel.com"/>
    <s v="40662"/>
    <s v="23C4E8092A6978FEFFFFFFFF"/>
    <s v="C07826600ZSX1R36"/>
    <s v="15501179261"/>
    <s v="00440152289234"/>
    <s v="00440152299234"/>
    <n v="13910449749"/>
    <d v="2018-09-29T00:00:00"/>
    <s v="Yes"/>
    <s v="Yes"/>
    <x v="0"/>
  </r>
  <r>
    <s v="Beijing"/>
    <s v="BEJSRTL663"/>
    <s v="Yes"/>
    <s v="Weekly"/>
    <s v="PCIe"/>
    <n v="4079897"/>
    <s v="2F/R57/2"/>
    <s v="ICE19"/>
    <x v="1"/>
    <x v="30"/>
    <x v="37"/>
    <x v="8"/>
    <s v="No"/>
    <s v="No"/>
    <s v="No"/>
    <s v="bejsrtm017.bj.intel.com"/>
    <s v="40663"/>
    <s v="81EC1AB0740B8328FFFFFFFF"/>
    <s v="C078257006TX1R36"/>
    <s v="15501299671"/>
    <s v="00440152289178"/>
    <s v="00440152299178"/>
    <n v="13810019704"/>
    <d v="2018-09-29T00:00:00"/>
    <s v="Yes"/>
    <s v="Yes"/>
    <x v="0"/>
  </r>
  <r>
    <s v="Beijing"/>
    <s v="BEJSRTL664"/>
    <s v="Yes"/>
    <s v="Weekly"/>
    <s v="PCIe"/>
    <n v="4079826"/>
    <s v="2F/R57/2"/>
    <s v="ICE19"/>
    <x v="1"/>
    <x v="27"/>
    <x v="17"/>
    <x v="2"/>
    <s v="No"/>
    <s v="No"/>
    <s v="No"/>
    <s v="bejsrtm017.bj.intel.com"/>
    <s v="40664"/>
    <s v="22098471CE2B6F02FFFFFFFF"/>
    <s v="C078486002FLQ935"/>
    <s v="13810471509"/>
    <s v="00440308051099"/>
    <s v="00440308056099"/>
    <s v="13810910807"/>
    <d v="2018-11-15T00:00:00"/>
    <s v="Yes"/>
    <s v="Yes"/>
    <x v="0"/>
  </r>
  <r>
    <s v="Beijing"/>
    <s v="BEJSRTL665"/>
    <s v="Yes"/>
    <s v="Daily"/>
    <s v="PCIe"/>
    <n v="4079809"/>
    <s v="2F/R57/6"/>
    <s v="ICE19"/>
    <x v="1"/>
    <x v="35"/>
    <x v="38"/>
    <x v="8"/>
    <s v="No"/>
    <s v="Yes"/>
    <s v="No"/>
    <s v="bejsrtm017.bj.intel.com"/>
    <s v="40665"/>
    <s v="F3E3C7F2E5BC5C1AFFFFFFFF"/>
    <s v="C07826600ZTX1R36"/>
    <s v="18911034312"/>
    <s v="00440152289216"/>
    <s v="00440152299216"/>
    <s v="15510359289"/>
    <d v="2018-10-08T00:00:00"/>
    <s v="Yes"/>
    <s v="Yes"/>
    <x v="0"/>
  </r>
  <r>
    <s v="Beijing"/>
    <s v="BEJSRTL666"/>
    <s v="Yes"/>
    <s v="Weekly"/>
    <s v="PCIe"/>
    <n v="4079838"/>
    <s v="2F/R57/7"/>
    <s v="ICE19"/>
    <x v="1"/>
    <x v="27"/>
    <x v="17"/>
    <x v="8"/>
    <s v="No"/>
    <s v="No"/>
    <s v="No"/>
    <s v="bejsrtm017.bj.intel.com"/>
    <s v="40666"/>
    <s v="EEBA77F119E17078FFFFFFFF"/>
    <s v="C07826600XJX1R36"/>
    <s v="13810309107"/>
    <s v="00440152289232"/>
    <s v="00440152299232"/>
    <s v="13810957902"/>
    <d v="2018-10-08T00:00:00"/>
    <s v="Yes"/>
    <s v="Yes"/>
    <x v="0"/>
  </r>
  <r>
    <s v="Beijing"/>
    <s v="BEJSRTL667"/>
    <s v="Yes"/>
    <s v="Weekly"/>
    <s v="PCIe"/>
    <n v="4079868"/>
    <s v="2F/R57/7"/>
    <s v="ICE19"/>
    <x v="1"/>
    <x v="27"/>
    <x v="17"/>
    <x v="8"/>
    <s v="No"/>
    <s v="No"/>
    <s v="No"/>
    <s v="bejsrtm017.bj.intel.com"/>
    <s v="40667"/>
    <s v="DF6781A4EAF53DBDFFFFFFFF"/>
    <s v="C07826600W6X1R36"/>
    <s v="13810420561"/>
    <s v="00440152289230"/>
    <s v="00440152299230"/>
    <s v="13810833935"/>
    <d v="2018-10-10T00:00:00"/>
    <s v="Yes"/>
    <s v="Yes"/>
    <x v="0"/>
  </r>
  <r>
    <s v="Beijing"/>
    <s v="BEJSRTL668"/>
    <s v="Yes"/>
    <s v="Weekly"/>
    <s v="PCIe"/>
    <n v="4079967"/>
    <s v="2F/R58/1"/>
    <s v="ICE19"/>
    <x v="1"/>
    <x v="30"/>
    <x v="37"/>
    <x v="8"/>
    <s v="No"/>
    <s v="No"/>
    <s v="No"/>
    <s v="bejsrtm017.bj.intel.com"/>
    <s v="40668"/>
    <s v="22455BB9A9EDA27DFFFFFFFF"/>
    <s v="C07826600T8X1R36"/>
    <s v="18612650843"/>
    <s v="00440152289225"/>
    <s v="00440152299225"/>
    <s v="13810697732"/>
    <d v="2018-11-15T00:00:00"/>
    <s v="Yes"/>
    <s v="Yes"/>
    <x v="0"/>
  </r>
  <r>
    <s v="Beijing"/>
    <s v="BEJSRTL669"/>
    <s v="Yes"/>
    <s v="Weekly"/>
    <s v="PCIe"/>
    <n v="4079835"/>
    <s v="2F/R57/4"/>
    <s v="ICE19"/>
    <x v="1"/>
    <x v="32"/>
    <x v="9"/>
    <x v="8"/>
    <s v="No"/>
    <s v="No"/>
    <s v="No"/>
    <s v="bejsrtm017.bj.intel.com"/>
    <s v="40669"/>
    <s v="E77FC95F053559C9FFFFFFFF"/>
    <s v="C07826600TYX1R36"/>
    <s v="13810274074"/>
    <s v="00440152289220"/>
    <s v="00440152299220"/>
    <s v="15501261637"/>
    <d v="2018-09-18T00:00:00"/>
    <s v="Yes"/>
    <s v="Yes"/>
    <x v="0"/>
  </r>
  <r>
    <s v="Beijing"/>
    <s v="BEJSRTL670"/>
    <s v="Yes"/>
    <s v="Weekly"/>
    <s v="PCIe"/>
    <n v="4079833"/>
    <s v="2F/R57/6"/>
    <s v="ICE19"/>
    <x v="1"/>
    <x v="29"/>
    <x v="36"/>
    <x v="8"/>
    <s v="No"/>
    <s v="Yes"/>
    <s v="No"/>
    <s v="bejsrtm017.bj.intel.com"/>
    <s v="40670"/>
    <s v="2A6136519F928831FFFFFFFF"/>
    <s v="C07826600YWX1R36"/>
    <s v="18911175549"/>
    <s v="00440152289214"/>
    <s v="00440152299214"/>
    <s v="13810274794"/>
    <d v="2018-11-15T00:00:00"/>
    <s v="Yes"/>
    <s v="Yes"/>
    <x v="0"/>
  </r>
  <r>
    <s v="Beijing"/>
    <s v="BEJSRTL671"/>
    <s v="Yes"/>
    <s v="Weekly"/>
    <s v="PCIe"/>
    <n v="4079782"/>
    <s v="2F/R62/2"/>
    <s v="ICE19"/>
    <x v="1"/>
    <x v="27"/>
    <x v="17"/>
    <x v="2"/>
    <s v="No"/>
    <s v="No"/>
    <s v="No"/>
    <s v="bejsrtm017.bj.intel.com"/>
    <s v="40671"/>
    <s v="27F6F0654CF66E02FFFFFFFF"/>
    <s v="C078486002ULQ935"/>
    <s v="13810437502"/>
    <s v="00440308051096"/>
    <s v="00440308056096"/>
    <s v="13810284534"/>
    <s v="12/27/2018"/>
    <s v="Yes"/>
    <s v="Yes"/>
    <x v="0"/>
  </r>
  <r>
    <s v="Beijing"/>
    <s v="BEJSRTL672"/>
    <s v="Yes"/>
    <s v="Weekly"/>
    <s v="PCIe"/>
    <n v="4079858"/>
    <s v="2F/R57/5"/>
    <s v="ICE19"/>
    <x v="1"/>
    <x v="29"/>
    <x v="36"/>
    <x v="8"/>
    <s v="No"/>
    <s v="Yes"/>
    <s v="No"/>
    <s v="bejsrtm017.bj.intel.com"/>
    <s v="40672"/>
    <s v="D0485918C6C3618BFFFFFFFF"/>
    <s v="C07826600Z3X1R36"/>
    <s v="18911175584"/>
    <s v="00440152289236"/>
    <s v="00440152299236"/>
    <s v="13911724214"/>
    <d v="2018-11-15T00:00:00"/>
    <s v="Yes"/>
    <s v="Yes"/>
    <x v="0"/>
  </r>
  <r>
    <s v="Beijing"/>
    <s v="BEJSRTL673"/>
    <s v="Yes"/>
    <s v="Weekly"/>
    <s v="PCIe"/>
    <n v="4079422"/>
    <s v="4F/R7/1"/>
    <s v="ICE19"/>
    <x v="1"/>
    <x v="28"/>
    <x v="18"/>
    <x v="8"/>
    <s v="No"/>
    <s v="No"/>
    <s v="Yes"/>
    <s v="7660utt001smini.bj.intel.com"/>
    <s v="40673"/>
    <s v="8D7563F965924EE6FFFFFFFF"/>
    <s v="C07826400JZX1R36"/>
    <s v="13800001362"/>
    <s v="00440152289202"/>
    <s v="00440152299202"/>
    <s v="13800001363"/>
    <d v="2018-09-29T00:00:00"/>
    <s v="Yes"/>
    <s v="Yes"/>
    <x v="0"/>
  </r>
  <r>
    <s v="Beijing"/>
    <s v="BEJSRTL674"/>
    <s v="Yes"/>
    <s v="Weekly"/>
    <s v="PCIe"/>
    <n v="4079440"/>
    <s v="2F/R57/5"/>
    <s v="ICE19"/>
    <x v="1"/>
    <x v="32"/>
    <x v="9"/>
    <x v="8"/>
    <s v="No"/>
    <s v="No"/>
    <s v="No"/>
    <s v="bejsrtm017.bj.intel.com"/>
    <s v="40674"/>
    <s v="F8C789D6A9A30487FFFFFFFF"/>
    <s v="C07826600XQX1R36"/>
    <n v="13810016794"/>
    <s v="00440152289211"/>
    <s v="00440152299211"/>
    <n v="18610941293"/>
    <d v="2018-10-19T00:00:00"/>
    <s v="Yes"/>
    <s v="Yes"/>
    <x v="0"/>
  </r>
  <r>
    <s v="Beijing"/>
    <s v="BEJSRTL675"/>
    <s v="Yes"/>
    <s v="Weekly"/>
    <s v="PCIe"/>
    <n v="4079418"/>
    <s v="2F/R56/1"/>
    <s v="ICE19"/>
    <x v="1"/>
    <x v="35"/>
    <x v="41"/>
    <x v="8"/>
    <s v="No"/>
    <s v="Yes"/>
    <s v="No"/>
    <s v="bejsrtm016.bj.intel.com"/>
    <s v="40675"/>
    <s v="52371970C2787726FFFFFFFF"/>
    <s v="C078257003SX1R36"/>
    <s v="18911473764"/>
    <s v="00440152289177"/>
    <s v="00440152299177"/>
    <s v="18511004983"/>
    <d v="2018-11-15T00:00:00"/>
    <s v="Yes"/>
    <s v="Yes"/>
    <x v="0"/>
  </r>
  <r>
    <s v="Beijing"/>
    <s v="BEJSRTL676"/>
    <s v="Yes"/>
    <s v="Daily"/>
    <s v="PCIe"/>
    <n v="4079438"/>
    <s v="2F/R58/1"/>
    <s v="ICE19"/>
    <x v="1"/>
    <x v="32"/>
    <x v="9"/>
    <x v="2"/>
    <s v="No"/>
    <s v="No"/>
    <s v="No"/>
    <s v="bejsrtm016.bj.intel.com"/>
    <s v="40676"/>
    <s v="579411664D5F6B02FFFFFFFF"/>
    <s v="C078486003JLQ935"/>
    <s v="13810286441"/>
    <s v="00440308051094"/>
    <s v="00440308056094"/>
    <s v="18511007409"/>
    <s v="11/5/2018"/>
    <s v="Yes"/>
    <s v="Yes"/>
    <x v="0"/>
  </r>
  <r>
    <s v="Beijing"/>
    <s v="BEJSRTL677"/>
    <s v="Yes"/>
    <s v="Weekly"/>
    <s v="PCIe"/>
    <n v="4079622"/>
    <s v="2F/R58/2"/>
    <s v="ICE19"/>
    <x v="0"/>
    <x v="31"/>
    <x v="0"/>
    <x v="8"/>
    <s v="No"/>
    <s v="No"/>
    <s v="No"/>
    <s v="bejsrtm016.bj.intel.com"/>
    <s v="40677"/>
    <s v="F34C06B48FDDE756FFFFFFFF"/>
    <s v="C07826400EMX1R36"/>
    <n v="13810278704"/>
    <s v="00440152289201"/>
    <s v="00440152299201"/>
    <m/>
    <s v="11/5/2018"/>
    <s v="Yes"/>
    <s v="Yes"/>
    <x v="0"/>
  </r>
  <r>
    <s v="Beijing"/>
    <s v="BEJSRTL678"/>
    <s v="Yes"/>
    <s v="Weekly"/>
    <s v="PCIe"/>
    <n v="4079451"/>
    <s v="2F/R58/2"/>
    <s v="ICE19"/>
    <x v="0"/>
    <x v="31"/>
    <x v="0"/>
    <x v="8"/>
    <s v="No"/>
    <s v="No"/>
    <s v="No"/>
    <s v="bejsrtm016.bj.intel.com"/>
    <s v="40678"/>
    <s v="27616398608973CCFFFFFFFF"/>
    <s v="C07826400KTX1R36"/>
    <n v="13811021052"/>
    <s v="00440152289206"/>
    <s v="00440152299206"/>
    <m/>
    <s v="11/5/2018"/>
    <s v="Yes"/>
    <s v="Yes"/>
    <x v="0"/>
  </r>
  <r>
    <s v="Beijing"/>
    <s v="BEJSRTL679"/>
    <s v="Yes"/>
    <s v="Weekly"/>
    <s v="PCIe"/>
    <n v="4079703"/>
    <s v="2F/R58/3"/>
    <s v="ICE19"/>
    <x v="1"/>
    <x v="35"/>
    <x v="41"/>
    <x v="8"/>
    <s v="No"/>
    <s v="Yes"/>
    <s v="No"/>
    <s v="bejsrtm016.bj.intel.com"/>
    <s v="40679"/>
    <s v="2136CD89B66336EDFFFFFFFF"/>
    <s v="C07826400KQX1R36"/>
    <s v="13331048819"/>
    <s v="00440152289195"/>
    <s v="00440152299195"/>
    <s v="13051118761"/>
    <s v="11/15/2018"/>
    <s v="Yes"/>
    <s v="Yes"/>
    <x v="0"/>
  </r>
  <r>
    <s v="Beijing"/>
    <s v="BEJSRTL680"/>
    <s v="Yes"/>
    <s v="Weekly"/>
    <s v="PCIe"/>
    <n v="4079532"/>
    <s v="2F/R58/3"/>
    <s v="ICE19"/>
    <x v="0"/>
    <x v="31"/>
    <x v="22"/>
    <x v="8"/>
    <s v="No"/>
    <s v="No"/>
    <s v="No"/>
    <s v="bejsrtm016.bj.intel.com"/>
    <s v="40680"/>
    <s v="7909D9330BA152A0FFFFFFFF"/>
    <s v="C07826400HNX1R36"/>
    <s v="13810982575"/>
    <s v="00440152289196"/>
    <s v="00440152299196"/>
    <m/>
    <s v="11/15/2018"/>
    <s v="Yes"/>
    <s v="Yes"/>
    <x v="0"/>
  </r>
  <r>
    <s v="Beijing"/>
    <s v="BEJSRTL681"/>
    <s v="Yes"/>
    <s v="Weekly"/>
    <s v="PCIe"/>
    <n v="4079653"/>
    <s v="2F/R58/4"/>
    <s v="ICE19"/>
    <x v="0"/>
    <x v="31"/>
    <x v="22"/>
    <x v="8"/>
    <s v="No"/>
    <s v="No"/>
    <s v="No"/>
    <s v="bejsrtm016.bj.intel.com"/>
    <s v="40681"/>
    <s v="C537F4925FACB774FFFFFFFF"/>
    <s v="C0782660103X1R36"/>
    <s v="13810471639"/>
    <s v="00440152289208"/>
    <s v="00440152299208"/>
    <m/>
    <s v="11/15/2018"/>
    <s v="Yes"/>
    <s v="Yes"/>
    <x v="0"/>
  </r>
  <r>
    <s v="Beijing"/>
    <s v="BEJSRTL682"/>
    <s v="Yes"/>
    <s v="Weekly"/>
    <s v="PCIe"/>
    <n v="4079567"/>
    <s v="2F/R58/4"/>
    <s v="ICE19"/>
    <x v="0"/>
    <x v="34"/>
    <x v="5"/>
    <x v="8"/>
    <s v="No"/>
    <s v="No"/>
    <s v="No"/>
    <s v="bejsrtm017.bj.intel.com"/>
    <s v="40682"/>
    <s v="8492B1450364ED7EFFFFFFFF"/>
    <s v="C07826400CZX1R36"/>
    <n v="13011842454"/>
    <s v="00440152289189"/>
    <s v="00440152299189"/>
    <m/>
    <s v="10/31/2018"/>
    <s v="Yes"/>
    <s v="Yes"/>
    <x v="0"/>
  </r>
  <r>
    <s v="Beijing"/>
    <s v="BEJSRTL683"/>
    <s v="Yes"/>
    <s v="Weekly"/>
    <s v="PCIe"/>
    <n v="4079560"/>
    <s v="2F/R58/5"/>
    <s v="ICE19"/>
    <x v="0"/>
    <x v="34"/>
    <x v="4"/>
    <x v="8"/>
    <s v="No"/>
    <s v="No"/>
    <s v="No"/>
    <s v="bejsrtm017.bj.intel.com"/>
    <s v="40683"/>
    <s v="DF2F0B19EFFD9A2FFFFFFFFF"/>
    <s v="C07826400DZX1R36"/>
    <n v="15501280367"/>
    <s v="00440152289191"/>
    <s v="00440152299191"/>
    <m/>
    <s v="10/31/2018"/>
    <s v="Yes"/>
    <s v="Yes"/>
    <x v="0"/>
  </r>
  <r>
    <s v="Beijing"/>
    <s v="BEJSRTL684"/>
    <s v="Yes"/>
    <s v="Weekly"/>
    <s v="PCIe"/>
    <n v="4079541"/>
    <s v="2F/R58/5"/>
    <s v="ICE19"/>
    <x v="1"/>
    <x v="32"/>
    <x v="9"/>
    <x v="8"/>
    <s v="No"/>
    <s v="No"/>
    <s v="No"/>
    <s v="bejsrtm018smini.bj.intel.com"/>
    <s v="40684"/>
    <s v="793B348563774620FFFFFFFF"/>
    <s v="C07826300BZX1R36"/>
    <s v="13810830353"/>
    <s v="00440152289186"/>
    <s v="00440152299186"/>
    <s v="15501295070"/>
    <s v="10/24/2018"/>
    <s v="Yes"/>
    <s v="Yes"/>
    <x v="0"/>
  </r>
  <r>
    <s v="Beijing"/>
    <s v="BEJSRTL685"/>
    <s v="Yes"/>
    <s v="Weekly"/>
    <s v="PCIe"/>
    <n v="4079357"/>
    <s v="2F/R58/6"/>
    <s v="ICE19"/>
    <x v="1"/>
    <x v="32"/>
    <x v="9"/>
    <x v="8"/>
    <s v="No"/>
    <s v="No"/>
    <s v="No"/>
    <s v="bejsrtm018smini.bj.intel.com"/>
    <s v="40685"/>
    <s v="26567ED45D61C7F7FFFFFFFF"/>
    <s v="C07826400ETX1R36"/>
    <s v="13810931323"/>
    <s v="00440152289200"/>
    <s v="00440152299200"/>
    <s v=" "/>
    <s v="10/24/2018"/>
    <s v="Yes"/>
    <s v="Yes"/>
    <x v="0"/>
  </r>
  <r>
    <s v="Beijing"/>
    <s v="BEJSRTL686"/>
    <s v="No"/>
    <s v="Weekly"/>
    <s v="PCIe"/>
    <n v="4079720"/>
    <m/>
    <s v="ICE19"/>
    <x v="2"/>
    <x v="2"/>
    <x v="2"/>
    <x v="3"/>
    <s v="No"/>
    <s v="No"/>
    <s v="No"/>
    <s v="bejsrtm018smini.bj.intel.com"/>
    <s v="40686"/>
    <e v="#N/A"/>
    <e v="#N/A"/>
    <m/>
    <e v="#N/A"/>
    <e v="#N/A"/>
    <m/>
    <s v="11/15/2018"/>
    <s v="Broken"/>
    <s v="No"/>
    <x v="4"/>
  </r>
  <r>
    <s v="Beijing"/>
    <s v="BEJSRTL687"/>
    <s v="Yes"/>
    <s v="Weekly"/>
    <s v="PCIe"/>
    <n v="4079339"/>
    <s v="2F/R58/7"/>
    <s v="ICE19"/>
    <x v="1"/>
    <x v="27"/>
    <x v="17"/>
    <x v="8"/>
    <s v="No"/>
    <s v="No"/>
    <s v="No"/>
    <s v="bejsrtm018smini.bj.intel.com"/>
    <s v="40687"/>
    <s v="7D6F9DB7AB72B2CEFFFFFFFF"/>
    <s v="C07826600ZCX1R36"/>
    <s v="13810018174"/>
    <s v="00440152289209"/>
    <s v="00440152299209"/>
    <s v="13810657082"/>
    <s v="11/15/2018"/>
    <s v="Yes"/>
    <s v="Yes"/>
    <x v="0"/>
  </r>
  <r>
    <s v="Beijing"/>
    <s v="BEJSRTL688"/>
    <s v="Yes"/>
    <s v="Weekly"/>
    <s v="PCIe"/>
    <n v="4079517"/>
    <s v="2F/R58/7"/>
    <s v="ICE19"/>
    <x v="1"/>
    <x v="29"/>
    <x v="27"/>
    <x v="8"/>
    <s v="No"/>
    <s v="Yes"/>
    <s v="No"/>
    <s v="bejsrtm018smini.bj.intel.com"/>
    <s v="40688"/>
    <s v="DC9D3FF86F2C1174FFFFFFFF"/>
    <s v="C07826400D3X1R36"/>
    <s v="17310529042"/>
    <s v="00440152289204"/>
    <s v="00440152299204"/>
    <s v="13810585913"/>
    <s v="10/24/2018"/>
    <s v="Yes"/>
    <s v="Yes"/>
    <x v="0"/>
  </r>
  <r>
    <s v="Beijing"/>
    <s v="BEJSRTL689"/>
    <s v="Yes"/>
    <s v="Weekly"/>
    <s v="PCIe"/>
    <n v="4079390"/>
    <s v="2F/R60/1"/>
    <s v="ICE19"/>
    <x v="1"/>
    <x v="29"/>
    <x v="27"/>
    <x v="8"/>
    <s v="No"/>
    <s v="Yes"/>
    <s v="No"/>
    <s v="bejsrtm018smini.bj.intel.com"/>
    <s v="40689"/>
    <s v="D1DD1D17FC0DE80DFFFFFFFF"/>
    <s v="C07826400G2X1R36"/>
    <s v="13331048813"/>
    <s v="00440152289198"/>
    <s v="00440152299198"/>
    <s v="13910407834"/>
    <s v="10/24/2018"/>
    <s v="Yes"/>
    <s v="Yes"/>
    <x v="0"/>
  </r>
  <r>
    <s v="Beijing"/>
    <s v="BEJSRTL690"/>
    <s v="Yes"/>
    <s v="Daily"/>
    <s v="PCIe"/>
    <n v="4079581"/>
    <s v="2F/R60/1"/>
    <s v="ICE19"/>
    <x v="1"/>
    <x v="32"/>
    <x v="9"/>
    <x v="8"/>
    <s v="No"/>
    <s v="No"/>
    <s v="No"/>
    <s v="bejsrtm018smini.bj.intel.com"/>
    <s v="40690"/>
    <s v="76DD1C6B5566D90BFFFFFFFF"/>
    <s v="C078263007NX1R36"/>
    <s v="13810018984"/>
    <s v="00440152289348"/>
    <s v="00440152299348"/>
    <s v="15501298796"/>
    <s v="10/24/2018"/>
    <s v="Yes"/>
    <s v="Yes"/>
    <x v="0"/>
  </r>
  <r>
    <s v="Beijing"/>
    <s v="BEJSRTL692"/>
    <s v="Yes"/>
    <s v="Weekly"/>
    <s v="PCIe"/>
    <n v="4079714"/>
    <s v="4F/R7/1"/>
    <s v="ICE19"/>
    <x v="0"/>
    <x v="36"/>
    <x v="14"/>
    <x v="10"/>
    <s v="No"/>
    <s v="No"/>
    <s v="Yes"/>
    <s v="bejsrtm018smini.bj.intel.com"/>
    <s v="40692"/>
    <s v="080800795A800D00FFFFFFFF"/>
    <s v="C03816111111369B3"/>
    <s v="189000670348"/>
    <s v="00499901061607"/>
    <n v="0"/>
    <m/>
    <d v="2018-12-20T00:00:00"/>
    <s v="Yes"/>
    <s v="Yes"/>
    <x v="0"/>
  </r>
  <r>
    <s v="Beijing"/>
    <s v="BEJSRTL693"/>
    <s v="Yes"/>
    <s v="Weekly"/>
    <s v="PCIe"/>
    <n v="4079380"/>
    <s v="2F/R60/3"/>
    <s v="ICE19"/>
    <x v="0"/>
    <x v="31"/>
    <x v="22"/>
    <x v="8"/>
    <s v="No"/>
    <s v="No"/>
    <s v="No"/>
    <s v="bejsrtm018smini.bj.intel.com"/>
    <s v="40693"/>
    <s v="0F9EAA4B46F7D867FFFFFFFF"/>
    <s v="C0782630042X1R36"/>
    <s v="13910632574"/>
    <s v="00440152289346"/>
    <s v="00440152299346"/>
    <m/>
    <s v="11/15/2018"/>
    <s v="Yes"/>
    <s v="Yes"/>
    <x v="0"/>
  </r>
  <r>
    <s v="Beijing"/>
    <s v="BEJSRTL696"/>
    <s v="Yes"/>
    <s v="Weekly"/>
    <s v="PCIe"/>
    <n v="4079706"/>
    <s v="2F/R60/4"/>
    <s v="ICE19"/>
    <x v="0"/>
    <x v="31"/>
    <x v="22"/>
    <x v="8"/>
    <s v="No"/>
    <s v="No"/>
    <s v="No"/>
    <s v="bejsrtm018smini.bj.intel.com"/>
    <s v="40696"/>
    <s v="6DB166FC7937C643FFFFFFFF"/>
    <s v="C07826400FJX1R36"/>
    <s v="13810076614"/>
    <s v="00440152289193"/>
    <s v="00440152299193"/>
    <m/>
    <s v="11/15/2018"/>
    <s v="Yes"/>
    <s v="Yes"/>
    <x v="0"/>
  </r>
  <r>
    <s v="Beijing"/>
    <s v="BEJSRTL706"/>
    <s v="No"/>
    <s v="Weekly"/>
    <s v="PCIe"/>
    <n v="4079423"/>
    <m/>
    <s v="ICE19"/>
    <x v="2"/>
    <x v="2"/>
    <x v="2"/>
    <x v="3"/>
    <s v="No"/>
    <s v="No"/>
    <s v="No"/>
    <s v="bejsrtm020smini.bj.intel.com"/>
    <s v="40706"/>
    <e v="#N/A"/>
    <e v="#N/A"/>
    <m/>
    <e v="#N/A"/>
    <e v="#N/A"/>
    <m/>
    <s v="12/20/2018"/>
    <s v="Broken"/>
    <s v="No"/>
    <x v="4"/>
  </r>
  <r>
    <s v="Beijing"/>
    <s v="BEJSRTL707"/>
    <s v="Yes"/>
    <s v="Weekly"/>
    <s v="PCIe"/>
    <n v="4079615"/>
    <s v="2F/R61/3"/>
    <s v="ICE19"/>
    <x v="1"/>
    <x v="27"/>
    <x v="17"/>
    <x v="2"/>
    <s v="No"/>
    <s v="No"/>
    <s v="No"/>
    <s v="bejsrtm020smini.bj.intel.com"/>
    <s v="40707"/>
    <s v="52F72C98CC5C6B02FFFFFFFF"/>
    <s v="C078486003GLQ935"/>
    <s v="13810990625"/>
    <s v="00440308051090"/>
    <s v="00440308056090"/>
    <s v="13811021282"/>
    <s v="12/27/2018"/>
    <s v="Yes"/>
    <s v="Yes"/>
    <x v="0"/>
  </r>
  <r>
    <s v="Beijing"/>
    <s v="BEJSRTL708"/>
    <s v="No"/>
    <s v="OTHER"/>
    <s v="PCIe"/>
    <n v="4079680"/>
    <m/>
    <s v="ICE19"/>
    <x v="2"/>
    <x v="2"/>
    <x v="2"/>
    <x v="3"/>
    <s v="No"/>
    <s v="No"/>
    <s v="No"/>
    <m/>
    <m/>
    <e v="#N/A"/>
    <e v="#N/A"/>
    <m/>
    <e v="#N/A"/>
    <e v="#N/A"/>
    <m/>
    <m/>
    <s v="Broken"/>
    <s v="No"/>
    <x v="4"/>
  </r>
  <r>
    <s v="Beijing"/>
    <s v="BEJSRTL709"/>
    <s v="Yes"/>
    <s v="Weekly"/>
    <s v="BLACK RAY"/>
    <n v="4079660"/>
    <s v="2F/R61/4"/>
    <s v="ICE19"/>
    <x v="0"/>
    <x v="26"/>
    <x v="13"/>
    <x v="2"/>
    <s v="No"/>
    <s v="Yes"/>
    <s v="No"/>
    <s v="bejsrtm020smini.bj.intel.com"/>
    <s v="40709"/>
    <s v="3E3D24EB4B3D6F02FFFFFFFF"/>
    <s v="C078486003CLQ935"/>
    <s v="18911175464"/>
    <s v="00440308051087"/>
    <s v="00440308056087"/>
    <m/>
    <s v="12/13/2018"/>
    <s v="Yes"/>
    <s v="Yes"/>
    <x v="0"/>
  </r>
  <r>
    <s v="Beijing"/>
    <s v="BEJSRTL710"/>
    <s v="Yes"/>
    <s v="Weekly"/>
    <s v="BLACK RAY"/>
    <n v="4079607"/>
    <s v="2F/R61/4"/>
    <s v="ICE19"/>
    <x v="0"/>
    <x v="31"/>
    <x v="42"/>
    <x v="2"/>
    <s v="No"/>
    <s v="No"/>
    <s v="No"/>
    <s v="bejsrtm020smini.bj.intel.com"/>
    <s v="40710"/>
    <s v="16755B6CCB4A6B02FFFFFFFF"/>
    <s v="C078486002WLQ935"/>
    <s v="13810781532"/>
    <s v="00440308051177"/>
    <s v="00440308056177"/>
    <m/>
    <s v="12/20/2018"/>
    <s v="Yes"/>
    <s v="Yes"/>
    <x v="0"/>
  </r>
  <r>
    <s v="Beijing"/>
    <s v="BEJSRTL711"/>
    <s v="Yes"/>
    <s v="Weekly"/>
    <s v="BLACK RAY"/>
    <n v="4079608"/>
    <s v="2F/R61/5"/>
    <s v="ICE19"/>
    <x v="0"/>
    <x v="31"/>
    <x v="6"/>
    <x v="2"/>
    <s v="No"/>
    <s v="No"/>
    <s v="No"/>
    <s v="bejsrtm020smini.bj.intel.com"/>
    <s v="40711"/>
    <s v="16E042364C576B02FFFFFFFF"/>
    <s v="C078486002YLQ935"/>
    <s v="13810137974"/>
    <s v="00440308051181"/>
    <s v="00440308056181"/>
    <m/>
    <s v="12/20/2018"/>
    <s v="Yes"/>
    <s v="Yes"/>
    <x v="0"/>
  </r>
  <r>
    <s v="Beijing"/>
    <s v="BEJSRTL712"/>
    <s v="Yes"/>
    <s v="Weekly"/>
    <s v="BLACK RAY"/>
    <n v="4079509"/>
    <s v="2F/R61/5"/>
    <s v="ICE19"/>
    <x v="0"/>
    <x v="34"/>
    <x v="42"/>
    <x v="2"/>
    <s v="No"/>
    <s v="No"/>
    <s v="No"/>
    <s v="bejsrtm020smini.bj.intel.com"/>
    <s v="40712"/>
    <s v="6FED570DCB266B02FFFFFFFF"/>
    <s v="C078486002PLQ935"/>
    <s v="18511279122"/>
    <s v="00440308051182"/>
    <s v="00440308056182"/>
    <m/>
    <s v="12/20/2018"/>
    <s v="Yes"/>
    <s v="Yes"/>
    <x v="0"/>
  </r>
  <r>
    <s v="Beijing"/>
    <s v="BEJSRTL713"/>
    <s v="Yes"/>
    <s v="Weekly"/>
    <s v="PCIe"/>
    <n v="4079709"/>
    <s v="2F/R61/6"/>
    <s v="ICE19"/>
    <x v="1"/>
    <x v="27"/>
    <x v="17"/>
    <x v="2"/>
    <s v="No"/>
    <s v="No"/>
    <s v="No"/>
    <s v="bejsrtm020smini.bj.intel.com"/>
    <s v="40713"/>
    <s v="23E23B8ACAF36E02FFFFFFFF"/>
    <s v="C078486004FLQ935"/>
    <s v="13810272047"/>
    <s v="00440308051093"/>
    <s v="00440308056093"/>
    <s v="13811056251"/>
    <s v="12/27/2018"/>
    <s v="Yes"/>
    <s v="Yes"/>
    <x v="0"/>
  </r>
  <r>
    <s v="Beijing"/>
    <s v="BEJSRTL714"/>
    <s v="Yes"/>
    <s v="Weekly"/>
    <s v="BLACK RAY"/>
    <n v="4079644"/>
    <s v="2F/R61/6"/>
    <s v="ICE19"/>
    <x v="0"/>
    <x v="31"/>
    <x v="42"/>
    <x v="2"/>
    <s v="No"/>
    <s v="No"/>
    <s v="No"/>
    <s v="bejsrtm020smini.bj.intel.com"/>
    <s v="40714"/>
    <s v="7BAAE20ACC2D6F02FFFFFFFF"/>
    <s v="C0784860047LQ935"/>
    <s v="13811517285"/>
    <s v="00440308051176"/>
    <s v="00440308056176"/>
    <m/>
    <s v="12/21/2018"/>
    <s v="Yes"/>
    <s v="Yes"/>
    <x v="0"/>
  </r>
  <r>
    <s v="Beijing"/>
    <s v="BEJSRTL715"/>
    <s v="Yes"/>
    <s v="Weekly"/>
    <s v="PCIe"/>
    <n v="4079502"/>
    <s v="2F/R61/7"/>
    <s v="ICE19"/>
    <x v="1"/>
    <x v="27"/>
    <x v="17"/>
    <x v="2"/>
    <s v="No"/>
    <s v="No"/>
    <s v="No"/>
    <s v="bejsrtm020smini.bj.intel.com"/>
    <s v="40715"/>
    <s v="7BB831534B596B02FFFFFFFF"/>
    <s v="C078486004MLQ935"/>
    <s v="13811446790"/>
    <s v="00440308051091"/>
    <s v="00440308056091"/>
    <s v="13811902571"/>
    <s v="12/27/2018"/>
    <s v="Yes"/>
    <s v="Yes"/>
    <x v="0"/>
  </r>
  <r>
    <s v="Beijing"/>
    <s v="BEJSRTL716"/>
    <s v="Yes"/>
    <s v="Weekly"/>
    <s v="BLACK RAY"/>
    <n v="4079510"/>
    <s v="2F/R61/7"/>
    <s v="ICE19"/>
    <x v="0"/>
    <x v="31"/>
    <x v="42"/>
    <x v="2"/>
    <s v="No"/>
    <s v="No"/>
    <s v="No"/>
    <s v="bejsrtm020smini.bj.intel.com"/>
    <s v="40716"/>
    <s v="26F0075F4CF36E02FFFFFFFF"/>
    <s v="C078486004LLQ935"/>
    <s v="13910404239"/>
    <s v="00440308051086"/>
    <s v="00440308056086"/>
    <m/>
    <s v="12/21/2018"/>
    <s v="Yes"/>
    <s v="Yes"/>
    <x v="0"/>
  </r>
  <r>
    <s v="Beijing"/>
    <s v="BEJSRTL717"/>
    <s v="Yes"/>
    <s v="OTHER"/>
    <s v="PCIe"/>
    <n v="4079514"/>
    <s v="2F/R59/1"/>
    <s v="ICE19"/>
    <x v="1"/>
    <x v="32"/>
    <x v="9"/>
    <x v="2"/>
    <s v="No"/>
    <s v="No"/>
    <s v="No"/>
    <s v="bejsrtm020smini.bj.intel.com"/>
    <s v="40717"/>
    <s v="39AA52DCCCFC6E02FFFFFFFF"/>
    <s v="C078486004PLQ935"/>
    <s v="138110111862"/>
    <s v="00440308051088"/>
    <s v="00440308056088"/>
    <s v="18614045493"/>
    <s v="12/27/2018"/>
    <s v="Yes"/>
    <s v="Yes"/>
    <x v="0"/>
  </r>
  <r>
    <s v="Beijing"/>
    <s v="BEJSRTL718"/>
    <s v="Yes"/>
    <s v="OTHER"/>
    <s v="PCIe"/>
    <n v="4079515"/>
    <s v="2F/R59/1"/>
    <s v="ICE19"/>
    <x v="0"/>
    <x v="26"/>
    <x v="13"/>
    <x v="2"/>
    <s v="No"/>
    <s v="No"/>
    <s v="No"/>
    <s v="bejsrtm020smini.bj.intel.com"/>
    <s v="40718"/>
    <s v="500FE98ECB496B02FFFFFFFF"/>
    <s v="C078486002QLQ935"/>
    <s v="13331048809"/>
    <s v="00440308051180"/>
    <s v="00440308056180"/>
    <m/>
    <s v="12/28/2018"/>
    <s v="Yes"/>
    <s v="Yes"/>
    <x v="0"/>
  </r>
  <r>
    <s v="Beijing"/>
    <s v="BEJSRTL719"/>
    <s v="No"/>
    <s v="OTHER"/>
    <s v="PCIe"/>
    <n v="4079530"/>
    <s v="2F/R59/2"/>
    <s v="ICE19"/>
    <x v="1"/>
    <x v="27"/>
    <x v="17"/>
    <x v="8"/>
    <s v="No"/>
    <s v="No"/>
    <s v="No"/>
    <s v="bejsrtm020smini.bj.intel.com"/>
    <s v="40719"/>
    <s v="34435C45702B6FB2FFFFFFFF"/>
    <s v="C07826400DCX1R36"/>
    <s v="13810480261"/>
    <s v="00440152289192"/>
    <s v="00440152299192"/>
    <s v="13810719763"/>
    <s v="12/28/2018"/>
    <s v="Yes"/>
    <s v="Yes"/>
    <x v="3"/>
  </r>
  <r>
    <s v="Beijing"/>
    <s v="BEJSRTL720"/>
    <s v="Yes"/>
    <s v="OTHER"/>
    <s v="PCIe"/>
    <n v="4079612"/>
    <s v="2F/R59/2"/>
    <s v="ICE19"/>
    <x v="0"/>
    <x v="26"/>
    <x v="14"/>
    <x v="2"/>
    <s v="No"/>
    <s v="No"/>
    <s v="No"/>
    <s v="bejsrtm020smini.bj.intel.com"/>
    <s v="40720"/>
    <s v="44CB2EC94D296B02FFFFFFFF"/>
    <s v="C078487004BLQ935"/>
    <s v="18911175847"/>
    <s v="00440308051325"/>
    <s v="00440308056325"/>
    <m/>
    <s v="12/28/2018"/>
    <s v="Yes"/>
    <s v="Yes"/>
    <x v="0"/>
  </r>
  <r>
    <s v="Beijing"/>
    <s v="BEJSRTL721"/>
    <s v="Yes"/>
    <s v="OTHER"/>
    <s v="PCIe"/>
    <n v="4079666"/>
    <s v="2F/R59/3"/>
    <s v="ICE19"/>
    <x v="0"/>
    <x v="26"/>
    <x v="14"/>
    <x v="2"/>
    <s v="No"/>
    <s v="No"/>
    <s v="No"/>
    <s v="bejsrtm020smini.bj.intel.com"/>
    <s v="40721"/>
    <s v="0A2D3C844A1D6F02FFFFFFFF"/>
    <s v="C0784870052LQ935"/>
    <s v="17343167116"/>
    <s v="00440308051333"/>
    <s v="00440308056333"/>
    <m/>
    <s v="12/28/2018"/>
    <s v="Yes"/>
    <s v="Yes"/>
    <x v="0"/>
  </r>
  <r>
    <s v="Beijing"/>
    <s v="BEJSRTL722"/>
    <s v="Yes"/>
    <s v="OTHER"/>
    <s v="PCIe"/>
    <n v="4079565"/>
    <s v="2F/R59/3"/>
    <s v="ICE19"/>
    <x v="0"/>
    <x v="26"/>
    <x v="14"/>
    <x v="2"/>
    <s v="No"/>
    <s v="No"/>
    <s v="No"/>
    <s v="bejsrtm021smini.bj.intel.com"/>
    <s v="40722"/>
    <s v="46176EB6CA016F02FFFFFFFF"/>
    <s v="C078487003ELQ935"/>
    <s v="18101234841"/>
    <s v="00440308051330"/>
    <s v="00440308056330"/>
    <m/>
    <s v="12/28/2018"/>
    <s v="Yes"/>
    <s v="Yes"/>
    <x v="0"/>
  </r>
  <r>
    <s v="Beijing"/>
    <s v="BEJSRTL723"/>
    <s v="Yes"/>
    <s v="OTHER"/>
    <s v="PCIe"/>
    <n v="4079568"/>
    <s v="2F/R59/4"/>
    <s v="ICE19"/>
    <x v="1"/>
    <x v="27"/>
    <x v="17"/>
    <x v="2"/>
    <s v="No"/>
    <s v="No"/>
    <s v="No"/>
    <s v="bejsrtm021smini.bj.intel.com"/>
    <s v="40723"/>
    <s v="274FBF2BC9F66E02FFFFFFFF"/>
    <s v="C078487003FLQ935"/>
    <s v="13811233682"/>
    <s v="00440308051326"/>
    <s v="00440308056326"/>
    <s v="13810274347"/>
    <s v="12/28/2018"/>
    <s v="Yes"/>
    <s v="Yes"/>
    <x v="0"/>
  </r>
  <r>
    <s v="Beijing"/>
    <s v="BEJSRTL724"/>
    <s v="Yes"/>
    <s v="OTHER"/>
    <s v="PCIe"/>
    <n v="4079358"/>
    <s v="2F/R59/4"/>
    <s v="ICE19"/>
    <x v="1"/>
    <x v="27"/>
    <x v="17"/>
    <x v="2"/>
    <s v="No"/>
    <s v="No"/>
    <s v="No"/>
    <s v="bejsrtm021smini.bj.intel.com"/>
    <s v="40724"/>
    <s v="3600D3A94AFC6E02FFFFFFFF"/>
    <s v="C078487003NLQ935"/>
    <s v="13810262125"/>
    <s v="00440308051385"/>
    <s v="00440308056385"/>
    <s v="13810013204"/>
    <s v="12/28/2018"/>
    <s v="Yes"/>
    <s v="Yes"/>
    <x v="0"/>
  </r>
  <r>
    <s v="Beijing"/>
    <s v="BEJSRTL725"/>
    <s v="Yes"/>
    <s v="OTHER"/>
    <s v="PCIe"/>
    <n v="4079508"/>
    <s v="2F/R59/5"/>
    <s v="ICE19"/>
    <x v="0"/>
    <x v="31"/>
    <x v="40"/>
    <x v="2"/>
    <s v="No"/>
    <s v="No"/>
    <s v="No"/>
    <s v="bejsrtm021smini.bj.intel.com"/>
    <s v="40725"/>
    <s v="4D4F8403CA2B6B02FFFFFFFF"/>
    <s v="C078487003YLQ935"/>
    <s v="13911725844"/>
    <s v="00440308051393"/>
    <s v="00440308056393"/>
    <m/>
    <s v="1/2/2019"/>
    <s v="Yes"/>
    <s v="Yes"/>
    <x v="0"/>
  </r>
  <r>
    <s v="Beijing"/>
    <s v="BEJSRTL726"/>
    <s v="Yes"/>
    <s v="OTHER"/>
    <s v="PCIe"/>
    <n v="4079521"/>
    <s v="2F/R59/5"/>
    <s v="ICE19"/>
    <x v="0"/>
    <x v="31"/>
    <x v="0"/>
    <x v="2"/>
    <s v="No"/>
    <s v="No"/>
    <s v="No"/>
    <s v="bejsrtm021smini.bj.intel.com"/>
    <s v="40726"/>
    <s v="4470A52D4E216F02FFFFFFFF"/>
    <s v="C078487004PLQ935"/>
    <s v="13810561823"/>
    <s v="00440308051395"/>
    <s v="00440308056395"/>
    <m/>
    <s v="1/2/2019"/>
    <s v="Yes"/>
    <s v="Yes"/>
    <x v="0"/>
  </r>
  <r>
    <s v="Beijing"/>
    <s v="BEJSRTL727"/>
    <s v="Yes"/>
    <s v="OTHER"/>
    <s v="PCIe"/>
    <n v="4079655"/>
    <s v="2F/R59/6"/>
    <s v="ICE19"/>
    <x v="0"/>
    <x v="31"/>
    <x v="22"/>
    <x v="2"/>
    <s v="No"/>
    <s v="No"/>
    <s v="No"/>
    <s v="bejsrtm021smini.bj.intel.com"/>
    <s v="40727"/>
    <s v="42011E0ACB326B02FFFFFFFF"/>
    <s v="C078487002ULQ935"/>
    <s v="13810331242"/>
    <s v="00440308051388"/>
    <s v="00440308056388"/>
    <m/>
    <s v="1/2/2019"/>
    <s v="Yes"/>
    <s v="Yes"/>
    <x v="0"/>
  </r>
  <r>
    <s v="Beijing"/>
    <s v="BEJSRTL728"/>
    <s v="No"/>
    <s v="OTHER"/>
    <s v="PCIe"/>
    <n v="4079702"/>
    <s v="2F/R59/6"/>
    <s v="ICE19"/>
    <x v="2"/>
    <x v="2"/>
    <x v="2"/>
    <x v="3"/>
    <s v="No"/>
    <s v="No"/>
    <s v="No"/>
    <s v="bejsrtm021smini.bj.intel.com"/>
    <s v="40728"/>
    <e v="#N/A"/>
    <e v="#N/A"/>
    <m/>
    <e v="#N/A"/>
    <e v="#N/A"/>
    <m/>
    <s v="12/31/2018"/>
    <s v="Broken"/>
    <s v="No"/>
    <x v="1"/>
  </r>
  <r>
    <s v="Beijing"/>
    <s v="BEJSRTL729"/>
    <s v="Yes"/>
    <s v="OTHER"/>
    <s v="PCIe"/>
    <n v="4079659"/>
    <s v="2F/R59/7"/>
    <s v="ICE19"/>
    <x v="0"/>
    <x v="34"/>
    <x v="6"/>
    <x v="2"/>
    <s v="No"/>
    <s v="No"/>
    <s v="No"/>
    <s v="bejsrtm021smini.bj.intel.com"/>
    <s v="40729"/>
    <s v="4EE56C5E4E266B02FFFFFFFF"/>
    <s v="C0784870035LQ935"/>
    <s v="15501297983"/>
    <s v="00440308051324"/>
    <s v="00440308056324"/>
    <m/>
    <s v="1/2/2019"/>
    <s v="Yes"/>
    <s v="Yes"/>
    <x v="0"/>
  </r>
  <r>
    <s v="Beijing"/>
    <s v="BEJSRTL730"/>
    <s v="Yes"/>
    <s v="OTHER"/>
    <s v="PCIe"/>
    <n v="4079437"/>
    <m/>
    <s v="ICE19"/>
    <x v="0"/>
    <x v="26"/>
    <x v="14"/>
    <x v="2"/>
    <s v="No"/>
    <s v="No"/>
    <s v="No"/>
    <s v="bejsrtm021smini.bj.intel.com"/>
    <s v="40730"/>
    <s v="563F1008CD006F02FFFFFFFF"/>
    <s v="C0784870039LQ935"/>
    <s v="18911175489"/>
    <s v="00440308051328"/>
    <s v="00440308056328"/>
    <m/>
    <s v="1/2/2019"/>
    <s v="Yes"/>
    <s v="Yes"/>
    <x v="0"/>
  </r>
  <r>
    <s v="Beijing"/>
    <s v="BEJSRTL731"/>
    <s v="Yes"/>
    <s v="OTHER"/>
    <s v="PCIe"/>
    <n v="4079467"/>
    <s v="2F/R62/1"/>
    <s v="ICE19"/>
    <x v="1"/>
    <x v="29"/>
    <x v="27"/>
    <x v="2"/>
    <s v="No"/>
    <s v="No"/>
    <s v="No"/>
    <s v="bejsrtm021smini.bj.intel.com"/>
    <s v="40731"/>
    <s v="28384DA8CD216B02FFFFFFFF"/>
    <s v="C078487005PLQ935"/>
    <s v="13381264315"/>
    <s v="00440308051391"/>
    <s v="00440308056391"/>
    <s v="13811021750"/>
    <s v="1/2/2019"/>
    <s v="Yes"/>
    <s v="Yes"/>
    <x v="0"/>
  </r>
  <r>
    <s v="Beijing"/>
    <s v="BEJSRTL732"/>
    <s v="Yes"/>
    <s v="OTHER"/>
    <s v="PCIe"/>
    <n v="4079511"/>
    <s v="2F/R62/1"/>
    <s v="ICE19"/>
    <x v="0"/>
    <x v="31"/>
    <x v="0"/>
    <x v="11"/>
    <s v="No"/>
    <s v="No"/>
    <s v="No"/>
    <s v="bejsrtm021smini.bj.intel.com"/>
    <s v="40732"/>
    <s v="B17DD0A87A23E2A9FFFFFFFF"/>
    <s v="C078497000MX1R38"/>
    <s v="13810837135"/>
    <s v="00440308052631"/>
    <s v="00440308057631"/>
    <m/>
    <s v="1/2/2019"/>
    <s v="Yes"/>
    <s v="Yes"/>
    <x v="0"/>
  </r>
  <r>
    <s v="Beijing"/>
    <s v="BEJSRTL733"/>
    <s v="No"/>
    <s v="OTHER"/>
    <s v="PCIe"/>
    <n v="4079576"/>
    <s v="2F/R62/2"/>
    <s v="ICE19"/>
    <x v="0"/>
    <x v="34"/>
    <x v="4"/>
    <x v="11"/>
    <s v="No"/>
    <s v="No"/>
    <s v="No"/>
    <s v="bejsrtm021smini.bj.intel.com"/>
    <s v="40733"/>
    <s v="1710ED083821F1FAFFFFFFFF"/>
    <s v="C078497001EX1R38"/>
    <s v="18515814057"/>
    <s v="00440308052663"/>
    <s v="00440308057663"/>
    <m/>
    <s v="1/2/2019"/>
    <s v="Yes"/>
    <s v="Yes"/>
    <x v="3"/>
  </r>
  <r>
    <s v="Beijing"/>
    <s v="BEJSRTL734"/>
    <s v="Yes"/>
    <s v="OTHER"/>
    <s v="PCIe"/>
    <n v="4079338"/>
    <s v="2F/R62/2"/>
    <s v="ICE19"/>
    <x v="0"/>
    <x v="31"/>
    <x v="0"/>
    <x v="11"/>
    <s v="No"/>
    <s v="No"/>
    <s v="No"/>
    <s v="bejsrtm021smini.bj.intel.com"/>
    <s v="40734"/>
    <s v="F30061F445F1DDD2FFFFFFFF"/>
    <s v="C078497003TX1R38"/>
    <s v="13910643947"/>
    <s v="00440308052724"/>
    <s v="00440308057724"/>
    <m/>
    <s v="12/28/2018"/>
    <s v="Yes"/>
    <s v="Yes"/>
    <x v="0"/>
  </r>
  <r>
    <s v="Beijing"/>
    <s v="BEJSRTL735"/>
    <s v="Yes"/>
    <s v="Weekly"/>
    <s v="BLACK RAY"/>
    <n v="3647714"/>
    <m/>
    <s v="ICE19"/>
    <x v="0"/>
    <x v="26"/>
    <x v="14"/>
    <x v="2"/>
    <s v="No"/>
    <s v="No"/>
    <s v="No"/>
    <s v="bejsrtm021smini.bj.intel.com"/>
    <s v="40735"/>
    <s v="1DA8412BCB316F02FFFFFFFF"/>
    <s v="C078486002DLQ935"/>
    <s v="18010341442"/>
    <s v="00440308051174"/>
    <s v="00440308056174"/>
    <m/>
    <d v="2019-01-05T00:00:00"/>
    <s v="Yes"/>
    <s v="Yes"/>
    <x v="0"/>
  </r>
  <r>
    <s v="Beijing"/>
    <s v="BEJSRTL736"/>
    <s v="Yes"/>
    <s v="Weekly"/>
    <s v="BLACK RAY"/>
    <n v="3648436"/>
    <s v="2F/R61/4"/>
    <s v="ICE19"/>
    <x v="0"/>
    <x v="31"/>
    <x v="6"/>
    <x v="2"/>
    <s v="No"/>
    <s v="No"/>
    <s v="No"/>
    <s v="bejsrtm020smini.bj.intel.com"/>
    <s v="40736"/>
    <s v="118E9017CC206B02FFFFFFFF"/>
    <s v="C078486004ALQ935"/>
    <s v="13810673179"/>
    <s v="00440308051089"/>
    <s v="00440308056089"/>
    <m/>
    <d v="2019-01-05T00:00:00"/>
    <s v="Yes"/>
    <s v="Yes"/>
    <x v="0"/>
  </r>
  <r>
    <s v="Beijing"/>
    <s v="BEJSRTL737"/>
    <s v="No"/>
    <s v="OTHER"/>
    <s v="PCIe"/>
    <n v="3648041"/>
    <m/>
    <s v="ICE19"/>
    <x v="2"/>
    <x v="2"/>
    <x v="2"/>
    <x v="3"/>
    <s v="No"/>
    <s v="No"/>
    <s v="No"/>
    <s v="bejsrtm021smini.bj.intel.com"/>
    <s v="40737"/>
    <e v="#N/A"/>
    <e v="#N/A"/>
    <m/>
    <e v="#N/A"/>
    <e v="#N/A"/>
    <m/>
    <m/>
    <s v="Broken"/>
    <s v="No"/>
    <x v="4"/>
  </r>
  <r>
    <s v="Beijing"/>
    <s v="BEJSRTL738"/>
    <s v="Yes"/>
    <s v="OTHER"/>
    <s v="PCIe"/>
    <n v="3647631"/>
    <m/>
    <s v="ICE19"/>
    <x v="1"/>
    <x v="29"/>
    <x v="36"/>
    <x v="11"/>
    <s v="No"/>
    <s v="No"/>
    <s v="No"/>
    <s v="bejsrtm021smini.bj.intel.com"/>
    <s v="40738"/>
    <s v="EEFA71480BC55E66FFFFFFFF"/>
    <s v="C0784970073X1R38"/>
    <s v="18010341446"/>
    <s v="00440308052627"/>
    <s v="00440308057627"/>
    <s v="13810259675"/>
    <d v="2019-01-02T00:00:00"/>
    <s v="Yes"/>
    <s v="Yes"/>
    <x v="0"/>
  </r>
  <r>
    <s v="Beijing"/>
    <s v="BEJSRTL740"/>
    <s v="No"/>
    <s v="OTHER"/>
    <s v="PCIe"/>
    <n v="3647699"/>
    <m/>
    <s v="ICE19"/>
    <x v="2"/>
    <x v="2"/>
    <x v="2"/>
    <x v="3"/>
    <s v="No"/>
    <s v="No"/>
    <s v="No"/>
    <s v="bejsrtm021smini.bj.intel.com"/>
    <s v="40740"/>
    <e v="#N/A"/>
    <e v="#N/A"/>
    <m/>
    <e v="#N/A"/>
    <e v="#N/A"/>
    <m/>
    <m/>
    <s v="Broken"/>
    <s v="No"/>
    <x v="4"/>
  </r>
  <r>
    <s v="Beijing"/>
    <s v="BEJSRTL744"/>
    <s v="Yes"/>
    <s v="OTHER"/>
    <s v="PCIe"/>
    <n v="3647623"/>
    <m/>
    <s v="ICE19"/>
    <x v="1"/>
    <x v="30"/>
    <x v="20"/>
    <x v="11"/>
    <s v="No"/>
    <s v="No"/>
    <s v="No"/>
    <s v="bejsrtm022smini.bj.intel.com"/>
    <s v="40744"/>
    <s v="FDF4AFF63695808DFFFFFFFF"/>
    <s v="C0784970088X1R38"/>
    <s v="18510546189"/>
    <s v="00440308052719"/>
    <s v="00440308057719"/>
    <s v="13810503592"/>
    <d v="2019-01-02T00:00:00"/>
    <s v="Yes"/>
    <s v="Yes"/>
    <x v="0"/>
  </r>
  <r>
    <s v="Beijing"/>
    <s v="BEJSRTL745"/>
    <s v="Yes"/>
    <s v="OTHER"/>
    <s v="PCIe"/>
    <n v="3647671"/>
    <m/>
    <s v="ICE19"/>
    <x v="0"/>
    <x v="31"/>
    <x v="40"/>
    <x v="11"/>
    <s v="No"/>
    <s v="No"/>
    <s v="No"/>
    <s v="bejsrtm022smini.bj.intel.com"/>
    <s v="40745"/>
    <s v="E111C5AA7E42784EFFFFFFFF"/>
    <s v="C078497006YX1R38"/>
    <s v="13810017049"/>
    <s v="00440308052636"/>
    <s v="00440308057636"/>
    <m/>
    <d v="2019-01-02T00:00:00"/>
    <s v="Yes"/>
    <s v="Yes"/>
    <x v="0"/>
  </r>
  <r>
    <s v="Beijing"/>
    <s v="BEJSRTL746"/>
    <s v="No"/>
    <s v="OTHER"/>
    <s v="PCIe"/>
    <n v="3648077"/>
    <s v="2F/R63/2"/>
    <s v="ICE19"/>
    <x v="1"/>
    <x v="30"/>
    <x v="20"/>
    <x v="11"/>
    <s v="No"/>
    <s v="No"/>
    <s v="No"/>
    <s v="bejsrtm022smini.bj.intel.com"/>
    <s v="40746"/>
    <s v="4EDF0F0C580AC2A1FFFFFFFF"/>
    <s v="C078497004DX1R38"/>
    <s v="18519359248"/>
    <s v="00440308052840"/>
    <s v="00440308057840"/>
    <s v="13810835563"/>
    <d v="2019-01-02T00:00:00"/>
    <s v="Yes"/>
    <s v="Yes"/>
    <x v="3"/>
  </r>
  <r>
    <s v="Beijing"/>
    <s v="BEJSRTL747"/>
    <s v="No"/>
    <s v="OTHER"/>
    <s v="PCIe"/>
    <n v="3647710"/>
    <s v="2F/R63/3"/>
    <s v="ICE19"/>
    <x v="1"/>
    <x v="30"/>
    <x v="20"/>
    <x v="11"/>
    <s v="No"/>
    <s v="No"/>
    <s v="No"/>
    <s v="bejsrtm022smini.bj.intel.com"/>
    <s v="40747"/>
    <s v="062C8A280DDE615CFFFFFFFF"/>
    <s v="C078497008QX1R38"/>
    <s v="13269092273"/>
    <s v="00440308052812"/>
    <s v="00440308057812"/>
    <s v="13810419605"/>
    <d v="2019-01-02T00:00:00"/>
    <s v="Yes"/>
    <s v="Yes"/>
    <x v="3"/>
  </r>
  <r>
    <s v="Beijing"/>
    <s v="BEJSRTL748"/>
    <s v="Yes"/>
    <s v="OTHER"/>
    <s v="PCIe"/>
    <n v="3647635"/>
    <m/>
    <s v="ICE19"/>
    <x v="1"/>
    <x v="35"/>
    <x v="43"/>
    <x v="11"/>
    <s v="No"/>
    <s v="No"/>
    <s v="No"/>
    <s v="bejsrtm022smini.bj.intel.com"/>
    <s v="40748"/>
    <s v="56941D64C68CC7C3FFFFFFFF"/>
    <s v="C078497004CX1R38"/>
    <s v="17310980745"/>
    <s v="00440308052849"/>
    <s v="00440308057849"/>
    <s v="18511273048"/>
    <d v="2019-01-02T00:00:00"/>
    <s v="Yes"/>
    <s v="Yes"/>
    <x v="0"/>
  </r>
  <r>
    <s v="Beijing"/>
    <s v="BEJSRTL749"/>
    <s v="No"/>
    <s v="OTHER"/>
    <s v="PCIe"/>
    <n v="3647582"/>
    <m/>
    <s v="ICE19"/>
    <x v="1"/>
    <x v="35"/>
    <x v="43"/>
    <x v="11"/>
    <s v="No"/>
    <s v="No"/>
    <s v="No"/>
    <s v="bejsrtm022smini.bj.intel.com"/>
    <s v="40749"/>
    <s v="A3AD6FAE86A95E6FFFFFFFFF"/>
    <s v="C0784970087X1R38"/>
    <s v="18010341439"/>
    <s v="00440308052639"/>
    <s v="00440308057639"/>
    <s v="13240180795"/>
    <d v="2019-01-05T00:00:00"/>
    <s v="Yes"/>
    <s v="Yes"/>
    <x v="0"/>
  </r>
  <r>
    <s v="Beijing"/>
    <s v="BEJSRTL750"/>
    <s v="No"/>
    <s v="OTHER"/>
    <s v="PCIe"/>
    <n v="3647698"/>
    <s v="2F/R62/3"/>
    <s v="ICE19"/>
    <x v="0"/>
    <x v="34"/>
    <x v="4"/>
    <x v="11"/>
    <s v="No"/>
    <s v="No"/>
    <s v="No"/>
    <s v="bejsrtm022smini.bj.intel.com"/>
    <s v="40750"/>
    <s v="8E655CFC0AD5B369FFFFFFFF"/>
    <s v="C078497003NX1R38"/>
    <s v="18515563967"/>
    <s v="00440308052846"/>
    <s v="00440308057846"/>
    <m/>
    <d v="2019-01-03T00:00:00"/>
    <s v="Yes"/>
    <s v="Yes"/>
    <x v="3"/>
  </r>
  <r>
    <s v="Beijing"/>
    <s v="BEJSRTL751"/>
    <s v="No"/>
    <s v="OTHER"/>
    <s v="PCIe"/>
    <n v="3647882"/>
    <s v="2F/R63/4"/>
    <s v="ICE19"/>
    <x v="1"/>
    <x v="35"/>
    <x v="43"/>
    <x v="11"/>
    <s v="No"/>
    <s v="No"/>
    <s v="No"/>
    <s v="bejsrtm022smini.bj.intel.com"/>
    <s v="40751"/>
    <s v="29FEE4940A64CF42FFFFFFFF"/>
    <s v="C078497007BX1R38"/>
    <s v="18101234784"/>
    <s v="00440308052645"/>
    <s v="00440308057645"/>
    <s v="18510014772"/>
    <d v="2019-01-02T00:00:00"/>
    <s v="Yes"/>
    <s v="Yes"/>
    <x v="3"/>
  </r>
  <r>
    <s v="Beijing"/>
    <s v="BEJSRTL752"/>
    <s v="No"/>
    <s v="OTHER"/>
    <s v="BLACK RAY"/>
    <n v="3647830"/>
    <s v="2F/R62/3"/>
    <s v="ICE19"/>
    <x v="1"/>
    <x v="29"/>
    <x v="36"/>
    <x v="2"/>
    <s v="No"/>
    <s v="No"/>
    <s v="No"/>
    <s v="bejsrtm022smini.bj.intel.com"/>
    <s v="40752"/>
    <s v="22852D3BCE166F02FFFFFFFF"/>
    <s v="C0784870055LQ935"/>
    <s v="18911175846"/>
    <s v="00440308051392"/>
    <s v="00440308056392"/>
    <s v="13810268994"/>
    <d v="2019-01-03T00:00:00"/>
    <s v="Yes"/>
    <s v="Yes"/>
    <x v="3"/>
  </r>
  <r>
    <s v="Beijing"/>
    <s v="BEJSRTL753"/>
    <s v="No"/>
    <s v="OTHER"/>
    <s v="PCIe"/>
    <n v="3647826"/>
    <m/>
    <s v="ICE19"/>
    <x v="1"/>
    <x v="32"/>
    <x v="9"/>
    <x v="11"/>
    <s v="No"/>
    <s v="No"/>
    <s v="No"/>
    <s v="bejsrtm022smini.bj.intel.com"/>
    <s v="40753"/>
    <s v="08A845471C010A62FFFFFFFF"/>
    <s v="C078497003ZX1R38"/>
    <s v="13810282494"/>
    <s v="00440308052882"/>
    <s v="00440308057882"/>
    <s v="13041046044"/>
    <d v="2019-01-02T00:00:00"/>
    <s v="Yes"/>
    <s v="Yes"/>
    <x v="0"/>
  </r>
  <r>
    <s v="Beijing"/>
    <s v="BEJSRTL754"/>
    <s v="No"/>
    <s v="OTHER"/>
    <s v="PCIe"/>
    <n v="3647680"/>
    <m/>
    <s v="ICE19"/>
    <x v="1"/>
    <x v="32"/>
    <x v="9"/>
    <x v="11"/>
    <s v="No"/>
    <s v="No"/>
    <s v="No"/>
    <s v="bejsrtm022smini.bj.intel.com"/>
    <s v="40754"/>
    <s v="A348D1C12C9DECF5FFFFFFFF"/>
    <s v="C0784970046X1R38"/>
    <s v="13810830597"/>
    <s v="00440308052884"/>
    <s v="00440308057884"/>
    <s v="13121662781"/>
    <d v="2019-01-02T00:00:00"/>
    <s v="Yes"/>
    <s v="Yes"/>
    <x v="0"/>
  </r>
  <r>
    <s v="Beijing"/>
    <s v="BEJSRTL755"/>
    <s v="No"/>
    <s v="OTHER"/>
    <s v="PCIe"/>
    <n v="3648046"/>
    <s v="2F/R63/6"/>
    <s v="ICE19"/>
    <x v="1"/>
    <x v="30"/>
    <x v="20"/>
    <x v="11"/>
    <s v="No"/>
    <s v="No"/>
    <s v="No"/>
    <s v="bejsrtm022smini.bj.intel.com"/>
    <s v="40755"/>
    <s v="903CF597201E3335FFFFFFFF"/>
    <s v="C0784970082X1R38"/>
    <s v="13269732038"/>
    <s v="00440308052845"/>
    <s v="00440308057845"/>
    <s v="13810065574"/>
    <d v="2019-01-05T00:00:00"/>
    <s v="Broken"/>
    <s v="No"/>
    <x v="4"/>
  </r>
  <r>
    <s v="Beijing"/>
    <s v="BEJSRTL756"/>
    <s v="No"/>
    <s v="OTHER"/>
    <s v="BLACK RAY"/>
    <n v="3647871"/>
    <m/>
    <s v="ICE19"/>
    <x v="2"/>
    <x v="2"/>
    <x v="2"/>
    <x v="3"/>
    <s v="No"/>
    <s v="No"/>
    <s v="No"/>
    <s v="bejsrtm022smini.bj.intel.com"/>
    <s v="40756"/>
    <e v="#N/A"/>
    <e v="#N/A"/>
    <m/>
    <e v="#N/A"/>
    <e v="#N/A"/>
    <m/>
    <m/>
    <s v="In progress"/>
    <s v="No"/>
    <x v="1"/>
  </r>
  <r>
    <s v="Beijing"/>
    <s v="BEJSRTL757"/>
    <s v="No"/>
    <s v="Weekly"/>
    <s v="BLACK RAY"/>
    <n v="3647789"/>
    <m/>
    <s v="ICE19"/>
    <x v="2"/>
    <x v="2"/>
    <x v="2"/>
    <x v="3"/>
    <s v="No"/>
    <s v="No"/>
    <s v="No"/>
    <s v="bejsrtm022smini.bj.intel.com"/>
    <s v="40757"/>
    <e v="#N/A"/>
    <e v="#N/A"/>
    <m/>
    <e v="#N/A"/>
    <e v="#N/A"/>
    <m/>
    <d v="2018-12-25T00:00:00"/>
    <s v="In progress"/>
    <s v="In progress"/>
    <x v="1"/>
  </r>
  <r>
    <s v="Beijing"/>
    <s v="BEJSRTL758"/>
    <s v="No"/>
    <s v="OTHER"/>
    <s v="BLACK RAY"/>
    <n v="3647928"/>
    <m/>
    <s v="ICE19"/>
    <x v="2"/>
    <x v="2"/>
    <x v="2"/>
    <x v="3"/>
    <s v="No"/>
    <s v="No"/>
    <s v="No"/>
    <s v="bejsrtm022smini.bj.intel.com"/>
    <s v="40758"/>
    <e v="#N/A"/>
    <e v="#N/A"/>
    <m/>
    <e v="#N/A"/>
    <e v="#N/A"/>
    <m/>
    <m/>
    <s v="In progress"/>
    <s v="No"/>
    <x v="1"/>
  </r>
  <r>
    <s v="Beijing"/>
    <s v="BEJSRTL759"/>
    <s v="No"/>
    <s v="OTHER"/>
    <s v="PCIe"/>
    <n v="3647922"/>
    <s v="2F/R63/6"/>
    <s v="ICE19"/>
    <x v="1"/>
    <x v="35"/>
    <x v="43"/>
    <x v="11"/>
    <s v="No"/>
    <s v="No"/>
    <s v="No"/>
    <s v="bejsrtm022smini.bj.intel.com"/>
    <s v="40759"/>
    <s v="8F312235CAA28625FFFFFFFF"/>
    <s v="C078497006ZX1R38"/>
    <s v="13331048815"/>
    <s v="00440308052844"/>
    <s v="00440308057844"/>
    <s v="18501967551"/>
    <d v="2019-01-02T00:00:00"/>
    <s v="Yes"/>
    <s v="Yes"/>
    <x v="3"/>
  </r>
  <r>
    <s v="Beijing"/>
    <s v="BEJSRTL760"/>
    <s v="No"/>
    <s v="OTHER"/>
    <s v="BLACK RAY"/>
    <n v="3647816"/>
    <m/>
    <s v="ICE19"/>
    <x v="2"/>
    <x v="2"/>
    <x v="2"/>
    <x v="3"/>
    <s v="No"/>
    <s v="No"/>
    <s v="No"/>
    <s v="bejsrtm022smini.bj.intel.com"/>
    <s v="40760"/>
    <e v="#N/A"/>
    <e v="#N/A"/>
    <m/>
    <e v="#N/A"/>
    <e v="#N/A"/>
    <m/>
    <m/>
    <s v="In progress"/>
    <s v="No"/>
    <x v="1"/>
  </r>
  <r>
    <s v="Beijing"/>
    <s v="BEJSRTL761"/>
    <s v="No"/>
    <s v="OTHER"/>
    <s v="PCIe"/>
    <n v="3648085"/>
    <m/>
    <s v="ICE19"/>
    <x v="1"/>
    <x v="35"/>
    <x v="43"/>
    <x v="11"/>
    <s v="No"/>
    <s v="No"/>
    <s v="No"/>
    <s v="bejsrtm022smini.bj.intel.com"/>
    <s v="40761"/>
    <s v="DD64A514E45E7C0AFFFFFFFF"/>
    <s v="C078497006FX1R38"/>
    <s v="17310533824"/>
    <s v="00440308052883"/>
    <s v="00440308057883"/>
    <s v="18519359542"/>
    <d v="2019-01-05T00:00:00"/>
    <s v="Yes"/>
    <s v="Yes"/>
    <x v="0"/>
  </r>
  <r>
    <s v="Beijing"/>
    <s v="BEJSRTL762"/>
    <s v="No"/>
    <s v="OTHER"/>
    <s v="PCIe"/>
    <n v="3647907"/>
    <s v="2F/R63/7"/>
    <s v="ICE19"/>
    <x v="0"/>
    <x v="34"/>
    <x v="4"/>
    <x v="11"/>
    <s v="No"/>
    <s v="No"/>
    <s v="No"/>
    <s v="bejsrtm022smini.bj.intel.com"/>
    <s v="40762"/>
    <s v="1BAFE5E44B7CFE5FFFFFFFFF"/>
    <s v="C0784970008X1R38"/>
    <s v="13220103536"/>
    <s v="00440308052629"/>
    <s v="00440308057629"/>
    <m/>
    <d v="2019-01-02T00:00:00"/>
    <s v="Yes"/>
    <s v="Yes"/>
    <x v="3"/>
  </r>
  <r>
    <s v="Beijing"/>
    <s v="BEJSRTL763"/>
    <s v="No"/>
    <s v="OTHER"/>
    <s v="BLACK RAY"/>
    <n v="3648050"/>
    <m/>
    <s v="ICE19"/>
    <x v="2"/>
    <x v="2"/>
    <x v="2"/>
    <x v="3"/>
    <s v="No"/>
    <s v="No"/>
    <s v="No"/>
    <s v="bejsrtm018smini.bj.intel.com"/>
    <s v="40763"/>
    <e v="#N/A"/>
    <e v="#N/A"/>
    <m/>
    <e v="#N/A"/>
    <e v="#N/A"/>
    <m/>
    <m/>
    <s v="In progress"/>
    <s v="No"/>
    <x v="1"/>
  </r>
  <r>
    <s v="Beijing"/>
    <s v="BEJSRTL764"/>
    <s v="No"/>
    <s v="Weekly"/>
    <s v="BLACK RAY"/>
    <n v="3648068"/>
    <m/>
    <s v="ICE19"/>
    <x v="2"/>
    <x v="2"/>
    <x v="2"/>
    <x v="3"/>
    <s v="No"/>
    <s v="No"/>
    <s v="No"/>
    <s v="bejsrtm016.bj.intel.com"/>
    <s v="40764"/>
    <e v="#N/A"/>
    <e v="#N/A"/>
    <m/>
    <e v="#N/A"/>
    <e v="#N/A"/>
    <m/>
    <d v="2018-12-25T00:00:00"/>
    <s v="In progress"/>
    <s v="In progress"/>
    <x v="1"/>
  </r>
  <r>
    <s v="Beijing"/>
    <s v="BEJSRTL765"/>
    <s v="Yes"/>
    <s v="OTHER"/>
    <s v="PCIe"/>
    <n v="2510486"/>
    <m/>
    <s v="ICE19"/>
    <x v="1"/>
    <x v="32"/>
    <x v="9"/>
    <x v="11"/>
    <s v="No"/>
    <s v="No"/>
    <s v="No"/>
    <s v="bejsrtm022smini.bj.intel.com"/>
    <s v="40765"/>
    <s v="99C00DFDBAC38188FFFFFFFF"/>
    <s v="C078497004UX1R38"/>
    <s v="13810284045"/>
    <e v="#N/A"/>
    <e v="#N/A"/>
    <s v="13141364077"/>
    <d v="2019-01-02T00:00:00"/>
    <s v="Yes"/>
    <s v="Yes"/>
    <x v="0"/>
  </r>
  <r>
    <s v="Beijing"/>
    <s v="BEJSRTL766"/>
    <s v="No"/>
    <s v="OTHER"/>
    <s v="PCIe"/>
    <n v="2510500"/>
    <s v="2F/R62/7"/>
    <s v="ICE19"/>
    <x v="0"/>
    <x v="34"/>
    <x v="4"/>
    <x v="12"/>
    <s v="No"/>
    <s v="No"/>
    <s v="No"/>
    <s v="bejsrtm021smini.bj.intel.com"/>
    <s v="40766"/>
    <s v="17E72B4C4C5F6802FFFFFFFF"/>
    <s v="C078486005WLQ935"/>
    <s v="15501290069"/>
    <s v="00440152274658"/>
    <s v="00440152274659"/>
    <m/>
    <d v="2019-01-03T00:00:00"/>
    <s v="Broken"/>
    <s v="No"/>
    <x v="4"/>
  </r>
  <r>
    <s v="Beijing"/>
    <s v="BEJSRTL122"/>
    <s v="No"/>
    <m/>
    <m/>
    <n v="2510856"/>
    <s v="439/R18/2"/>
    <s v="ICE19"/>
    <x v="1"/>
    <x v="30"/>
    <x v="20"/>
    <x v="12"/>
    <s v="No"/>
    <s v="No"/>
    <s v="No"/>
    <s v="bejsrtm002smini.bj.intel.com"/>
    <s v="40122"/>
    <s v="524A9C14CB496802FFFFFFFF"/>
    <s v="C0784860067LQ935"/>
    <s v="15510689782"/>
    <s v="00440152274482"/>
    <s v="00440152274483"/>
    <s v="13810909937"/>
    <d v="2019-01-04T00:00:00"/>
    <s v="Yes"/>
    <s v="In progress"/>
    <x v="1"/>
  </r>
  <r>
    <s v="Beijing"/>
    <s v="BEJSRTL145"/>
    <s v="No"/>
    <m/>
    <m/>
    <n v="2794256"/>
    <s v="439/R2/5"/>
    <s v="ICE19"/>
    <x v="1"/>
    <x v="30"/>
    <x v="20"/>
    <x v="12"/>
    <s v="No"/>
    <s v="No"/>
    <s v="No"/>
    <s v="bejsrtm011smini.bj.intel.com"/>
    <s v="40145"/>
    <s v="112B8243CD506802FFFFFFFF"/>
    <s v="C078486005DLQ935"/>
    <s v="18519331730"/>
    <s v="00440152274426"/>
    <s v="00440152274427"/>
    <s v="13810776302"/>
    <d v="2019-01-05T00:00:00"/>
    <s v="Yes"/>
    <s v="Yes"/>
    <x v="3"/>
  </r>
  <r>
    <s v="Beijing"/>
    <s v="BEJSRTL157"/>
    <s v="No"/>
    <m/>
    <m/>
    <n v="2794284"/>
    <s v="439/R19/6"/>
    <s v="ICE19"/>
    <x v="1"/>
    <x v="27"/>
    <x v="17"/>
    <x v="12"/>
    <s v="No"/>
    <s v="No"/>
    <s v="No"/>
    <s v="bejsrtm001smini.bj.intel.com"/>
    <s v="40157"/>
    <s v="2AEFABB44B316802FFFFFFFF"/>
    <s v="C078486007CLQ935"/>
    <s v="13811607531"/>
    <s v="00440152274538"/>
    <s v="00440152274539"/>
    <s v="13810797612"/>
    <d v="2019-01-04T00:00:00"/>
    <s v="Yes"/>
    <s v="Yes"/>
    <x v="3"/>
  </r>
  <r>
    <s v="Beijing"/>
    <s v="BEJSRTL166"/>
    <s v="No"/>
    <m/>
    <m/>
    <n v="2794313"/>
    <s v="439/R5/1"/>
    <s v="ICE19"/>
    <x v="1"/>
    <x v="27"/>
    <x v="17"/>
    <x v="12"/>
    <s v="No"/>
    <s v="No"/>
    <s v="No"/>
    <s v="bejsrtm009smini.bj.intel.com"/>
    <s v="40166"/>
    <s v="1F795431CC496802FFFFFFFF"/>
    <s v="C0784860058LQ935"/>
    <s v="13810021364"/>
    <s v="00440152274388"/>
    <s v="00440152274389"/>
    <s v="13810798137"/>
    <d v="2019-01-04T00:00:00"/>
    <s v="Yes"/>
    <s v="In progress"/>
    <x v="1"/>
  </r>
  <r>
    <s v="Beijing"/>
    <s v="BEJSRTL167"/>
    <s v="No"/>
    <m/>
    <m/>
    <n v="2794243"/>
    <s v="439/R5/4"/>
    <s v="ICE19"/>
    <x v="1"/>
    <x v="32"/>
    <x v="9"/>
    <x v="12"/>
    <s v="No"/>
    <s v="No"/>
    <s v="No"/>
    <s v="bejsrtm002smini.bj.intel.com"/>
    <s v="40167"/>
    <s v="151BB20C7C7F6802FFFFFFFF"/>
    <s v="C078486004VLQ935"/>
    <s v="13810018254"/>
    <s v="00440152274604"/>
    <s v="00440152274605"/>
    <s v="18610808439"/>
    <d v="2019-01-04T00:00:00"/>
    <s v="Yes"/>
    <s v="Yes"/>
    <x v="3"/>
  </r>
  <r>
    <s v="Beijing"/>
    <s v="BEJSRTL168"/>
    <s v="No"/>
    <m/>
    <m/>
    <n v="2794410"/>
    <s v="439/R5/2"/>
    <s v="ICE19"/>
    <x v="1"/>
    <x v="32"/>
    <x v="9"/>
    <x v="12"/>
    <s v="No"/>
    <s v="No"/>
    <s v="No"/>
    <s v="bejsrtm002smini.bj.intel.com"/>
    <s v="40168"/>
    <s v="1B017F234D1F6802FFFFFFFF"/>
    <s v="C078486004RLQ935"/>
    <s v="13810021745"/>
    <s v="00440152274564"/>
    <s v="00440152274565"/>
    <s v="18612029422"/>
    <d v="2019-01-04T00:00:00"/>
    <s v="Yes"/>
    <s v="Yes"/>
    <x v="3"/>
  </r>
  <r>
    <s v="Beijing"/>
    <s v="BEJSRTL697"/>
    <s v="Yes"/>
    <s v="Daily"/>
    <s v="PCIe"/>
    <n v="4079620"/>
    <s v="2F/R60/5"/>
    <s v="ICE19"/>
    <x v="0"/>
    <x v="34"/>
    <x v="4"/>
    <x v="13"/>
    <s v="No"/>
    <s v="No"/>
    <s v="No"/>
    <s v="bejsrtm018smini.bj.intel.com"/>
    <s v="40697"/>
    <s v="3772E9B24B736802FFFFFFFF"/>
    <s v="C07827300A5X1R36"/>
    <s v="13121819332"/>
    <s v="00440152274384"/>
    <s v="00440152274385"/>
    <s v=""/>
    <m/>
    <s v="Yes"/>
    <s v="Yes"/>
    <x v="0"/>
  </r>
  <r>
    <s v="Beijing"/>
    <s v="BEJSRTL698"/>
    <s v="Yes"/>
    <s v="Daily"/>
    <s v="PCIe"/>
    <n v="4079585"/>
    <s v="2F/R60/5"/>
    <s v="ICE19"/>
    <x v="0"/>
    <x v="31"/>
    <x v="22"/>
    <x v="13"/>
    <s v="No"/>
    <s v="No"/>
    <s v="No"/>
    <s v="bejsrtm018smini.bj.intel.com"/>
    <s v="40698"/>
    <s v="5BDD17124D676802FFFFFFFF"/>
    <s v="C07827300BDX1R36"/>
    <s v="13810273942"/>
    <s v="00440152274476"/>
    <s v="00440152274477"/>
    <m/>
    <m/>
    <s v="Yes"/>
    <s v="Yes"/>
    <x v="0"/>
  </r>
  <r>
    <s v="Beijing"/>
    <s v="BEJSRTL699"/>
    <s v="Yes"/>
    <s v="Daily"/>
    <s v="PCIe"/>
    <n v="4079343"/>
    <s v="2F/R60/6"/>
    <s v="ICE19"/>
    <x v="0"/>
    <x v="31"/>
    <x v="22"/>
    <x v="13"/>
    <s v="No"/>
    <s v="No"/>
    <s v="No"/>
    <s v="bejsrtm018smini.bj.intel.com"/>
    <s v="40699"/>
    <s v="0B814C14CB536802FFFFFFFF"/>
    <s v="C078273003LX1R36"/>
    <n v="13810399702"/>
    <s v="00440152274742"/>
    <s v="00440152274743"/>
    <m/>
    <m/>
    <s v="Yes"/>
    <s v="Yes"/>
    <x v="0"/>
  </r>
  <r>
    <s v="Beijing"/>
    <s v="BEJSRTL700"/>
    <s v="Yes"/>
    <s v="Daily"/>
    <s v="PCIe"/>
    <n v="4079550"/>
    <s v="2F/R60/6"/>
    <s v="ICE19"/>
    <x v="0"/>
    <x v="31"/>
    <x v="22"/>
    <x v="13"/>
    <s v="No"/>
    <s v="No"/>
    <s v="No"/>
    <s v="bejsrtm018smini.bj.intel.com"/>
    <s v="40700"/>
    <s v="2287146BBC7A6802FFFFFFFF"/>
    <s v="C0782730046X1R36"/>
    <n v="13911453146"/>
    <s v="00440152274418"/>
    <s v="00440152274419"/>
    <m/>
    <m/>
    <s v="Yes"/>
    <s v="Yes"/>
    <x v="0"/>
  </r>
  <r>
    <s v="Beijing"/>
    <s v="BEJSRTL701"/>
    <s v="Yes"/>
    <s v="Daily"/>
    <s v="PCIe"/>
    <n v="4079648"/>
    <s v="2F/R60/7"/>
    <s v="ICE19"/>
    <x v="0"/>
    <x v="26"/>
    <x v="13"/>
    <x v="13"/>
    <s v="No"/>
    <s v="Yes"/>
    <s v="No"/>
    <s v="bejsrtm018smini.bj.intel.com"/>
    <s v="40701"/>
    <s v="0B7E3A19CC2F6802FFFFFFFF"/>
    <s v="C07827500KGX1R36"/>
    <n v="17310144373"/>
    <s v="00440152274530"/>
    <s v="00440152274531"/>
    <m/>
    <m/>
    <s v="Yes"/>
    <s v="Yes"/>
    <x v="0"/>
  </r>
  <r>
    <s v="Beijing"/>
    <s v="BEJSRTL702"/>
    <s v="Yes"/>
    <s v="Daily"/>
    <s v="PCIe"/>
    <n v="4079678"/>
    <s v="2F/R60/7"/>
    <s v="ICE19"/>
    <x v="1"/>
    <x v="30"/>
    <x v="37"/>
    <x v="13"/>
    <s v="No"/>
    <s v="No"/>
    <s v="No"/>
    <s v="bejsrtm018smini.bj.intel.com"/>
    <s v="40702"/>
    <s v="150B86F1CC5A6802FFFFFFFF"/>
    <s v="C07827500KEX1R36"/>
    <s v="13269667764"/>
    <s v="00440152274378"/>
    <s v="00440152274379"/>
    <s v="13811902573"/>
    <m/>
    <s v="Yes"/>
    <s v="Yes"/>
    <x v="0"/>
  </r>
  <r>
    <s v="Beijing"/>
    <s v="BEJSRTL691"/>
    <s v="Yes"/>
    <s v="Daily"/>
    <s v="PCIe"/>
    <n v="4079561"/>
    <s v="2F/R60/2"/>
    <s v="ICE19"/>
    <x v="0"/>
    <x v="26"/>
    <x v="14"/>
    <x v="13"/>
    <s v="No"/>
    <s v="Yes"/>
    <s v="No"/>
    <s v="bejsrtm018smini.bj.intel.com"/>
    <s v="40691"/>
    <s v="000000000000000000000000"/>
    <s v="C07827300CZX1R36"/>
    <s v="18911175840"/>
    <s v="00440152274302"/>
    <s v="00440152274303"/>
    <m/>
    <s v="11/21/2018"/>
    <s v="Yes"/>
    <s v="Yes"/>
    <x v="0"/>
  </r>
  <r>
    <s v="Beijing"/>
    <s v="BEJSRTL694"/>
    <s v="Yes"/>
    <s v="Daily"/>
    <s v="PCIe"/>
    <n v="4079631"/>
    <s v="2F/R60/3"/>
    <s v="ICE19"/>
    <x v="0"/>
    <x v="26"/>
    <x v="13"/>
    <x v="13"/>
    <s v="No"/>
    <s v="Yes"/>
    <s v="No"/>
    <s v="bejsrtm018smini.bj.intel.com"/>
    <s v="40694"/>
    <s v="000000000000000000000000"/>
    <s v="C078255000SX1R36"/>
    <s v="18911175644"/>
    <s v="00440152274310"/>
    <s v="00440152274311"/>
    <m/>
    <s v="11/21/2018"/>
    <s v="Yes"/>
    <s v="Yes"/>
    <x v="0"/>
  </r>
  <r>
    <s v="Beijing"/>
    <s v="BEJSRTL703"/>
    <s v="Yes"/>
    <s v="Daily"/>
    <s v="PCIe"/>
    <n v="4079404"/>
    <s v="2F/R61/1"/>
    <s v="ICE19"/>
    <x v="0"/>
    <x v="26"/>
    <x v="13"/>
    <x v="12"/>
    <s v="No"/>
    <s v="Yes"/>
    <s v="No"/>
    <s v="bejsrtm020smini.bj.intel.com"/>
    <s v="40703"/>
    <s v="33600B5D4D606802FFFFFFFF"/>
    <s v="C0784860074LQ935"/>
    <n v="18101234764"/>
    <s v="00440152274380"/>
    <s v="00440152274381"/>
    <m/>
    <s v="12/26/2018"/>
    <s v="Yes"/>
    <s v="Yes"/>
    <x v="0"/>
  </r>
  <r>
    <s v="Beijing"/>
    <s v="BEJSRTL704"/>
    <s v="Yes"/>
    <s v="Daily"/>
    <s v="PCIe"/>
    <n v="4079363"/>
    <s v="2F/R61/1"/>
    <s v="ICE19"/>
    <x v="0"/>
    <x v="26"/>
    <x v="14"/>
    <x v="13"/>
    <s v="No"/>
    <s v="Yes"/>
    <s v="No"/>
    <s v="bejsrtm020smini.bj.intel.com"/>
    <s v="40704"/>
    <s v="3C21A9FACA776802FFFFFFFF"/>
    <s v="C0782730044X1R36"/>
    <n v="17310244510"/>
    <s v="00440152274522"/>
    <s v="00440152274523"/>
    <m/>
    <m/>
    <s v="Yes"/>
    <s v="Yes"/>
    <x v="0"/>
  </r>
  <r>
    <s v="Beijing"/>
    <s v="BEJSRTL695"/>
    <s v="Yes"/>
    <s v="Daily"/>
    <s v="PCIe"/>
    <n v="4079716"/>
    <s v="2F/R60/4"/>
    <s v="ICE19"/>
    <x v="0"/>
    <x v="31"/>
    <x v="0"/>
    <x v="12"/>
    <s v="No"/>
    <s v="No"/>
    <s v="No"/>
    <s v="bejsrtm018smini.bj.intel.com"/>
    <s v="40695"/>
    <s v="10E4D2B84A356802FFFFFFFF"/>
    <s v="C0784860063LQ935"/>
    <s v="13910473448"/>
    <s v="00440152274552"/>
    <s v="00440152274553"/>
    <m/>
    <s v="12/26/2018"/>
    <s v="Yes"/>
    <s v="Yes"/>
    <x v="0"/>
  </r>
  <r>
    <s v="Beijing"/>
    <s v="BEJSRTL705"/>
    <s v="Yes"/>
    <s v="Daily"/>
    <s v="PCIe"/>
    <n v="4079671"/>
    <s v="2F/R61/2"/>
    <s v="ICE19"/>
    <x v="0"/>
    <x v="34"/>
    <x v="4"/>
    <x v="12"/>
    <s v="No"/>
    <s v="No"/>
    <s v="No"/>
    <s v="bejsrtm020smini.bj.intel.com"/>
    <s v="40705"/>
    <s v="24AC404ECD646802FFFFFFFF"/>
    <s v="C078486005RLQ935"/>
    <n v="18516913746"/>
    <s v="00440152274578"/>
    <s v="00440152274579"/>
    <m/>
    <s v="12/26/2018"/>
    <s v="Yes"/>
    <s v="Yes"/>
    <x v="0"/>
  </r>
  <r>
    <s v="Beijing"/>
    <s v="BEJSRTL739"/>
    <s v="Yes"/>
    <s v="OTHER"/>
    <s v="PCIe"/>
    <n v="3648520"/>
    <s v="2F/R62/5"/>
    <s v="ICE19"/>
    <x v="0"/>
    <x v="34"/>
    <x v="4"/>
    <x v="12"/>
    <s v="No"/>
    <s v="No"/>
    <s v="No"/>
    <s v="bejsrtm021smini.bj.intel.com"/>
    <s v="40739"/>
    <s v="1841217ACE206802FFFFFFFF"/>
    <s v="C078486005ULQ935"/>
    <s v="15501298790"/>
    <s v="00440152274556"/>
    <s v="00440152274557"/>
    <m/>
    <s v="12/28/2018"/>
    <s v="Yes"/>
    <s v="Yes"/>
    <x v="0"/>
  </r>
  <r>
    <s v="Beijing"/>
    <s v="BEJSRTL741"/>
    <s v="Yes"/>
    <s v="OTHER"/>
    <s v="PCIe"/>
    <n v="3647977"/>
    <s v="2F/R62/6"/>
    <s v="ICE19"/>
    <x v="0"/>
    <x v="34"/>
    <x v="42"/>
    <x v="12"/>
    <s v="No"/>
    <s v="No"/>
    <s v="No"/>
    <s v="bejsrtm021smini.bj.intel.com"/>
    <s v="40741"/>
    <s v="3BC5D9EA4A376802FFFFFFFF"/>
    <s v="C0784860073LQ935"/>
    <s v="15501282351"/>
    <s v="00440152274608"/>
    <s v="00440152274609"/>
    <m/>
    <s v="12/28/2018"/>
    <s v="Yes"/>
    <s v="Yes"/>
    <x v="0"/>
  </r>
  <r>
    <s v="Beijing"/>
    <s v="BEJSRTL742"/>
    <s v="No"/>
    <s v="OTHER"/>
    <s v="PCIe"/>
    <n v="3647657"/>
    <m/>
    <s v="ICE19"/>
    <x v="2"/>
    <x v="2"/>
    <x v="2"/>
    <x v="3"/>
    <s v="No"/>
    <s v="No"/>
    <s v="No"/>
    <m/>
    <s v="40742"/>
    <e v="#N/A"/>
    <e v="#N/A"/>
    <m/>
    <e v="#N/A"/>
    <e v="#N/A"/>
    <m/>
    <m/>
    <s v="Broken"/>
    <s v="No"/>
    <x v="4"/>
  </r>
  <r>
    <s v="Beijing"/>
    <s v="BEJSRTL743"/>
    <s v="Yes"/>
    <s v="OTHER"/>
    <s v="PCIe"/>
    <n v="3647934"/>
    <s v="2F/R62/7"/>
    <s v="ICE19"/>
    <x v="0"/>
    <x v="34"/>
    <x v="4"/>
    <x v="12"/>
    <s v="No"/>
    <s v="No"/>
    <s v="No"/>
    <s v="bejsrtm022smini.bj.intel.com"/>
    <s v="40743"/>
    <s v="148169134E326802FFFFFFFF"/>
    <s v="C078486004WLQ935"/>
    <s v="15501285921"/>
    <s v="00440152274448"/>
    <s v="00440152274449"/>
    <m/>
    <s v="12/28/2018"/>
    <s v="Yes"/>
    <s v="Yes"/>
    <x v="0"/>
  </r>
  <r>
    <s v="Beijing"/>
    <s v="BEJSRTL767"/>
    <m/>
    <m/>
    <m/>
    <n v="4079681"/>
    <m/>
    <s v="ICE19"/>
    <x v="2"/>
    <x v="2"/>
    <x v="2"/>
    <x v="3"/>
    <m/>
    <m/>
    <m/>
    <m/>
    <s v="40767"/>
    <m/>
    <m/>
    <m/>
    <m/>
    <m/>
    <m/>
    <m/>
    <m/>
    <m/>
    <x v="2"/>
  </r>
  <r>
    <s v="Beijing"/>
    <s v="BEJSRTL768"/>
    <m/>
    <m/>
    <m/>
    <n v="4079344"/>
    <m/>
    <s v="ICE19"/>
    <x v="2"/>
    <x v="2"/>
    <x v="2"/>
    <x v="3"/>
    <m/>
    <m/>
    <m/>
    <m/>
    <s v="40768"/>
    <m/>
    <m/>
    <m/>
    <m/>
    <m/>
    <m/>
    <m/>
    <m/>
    <m/>
    <x v="2"/>
  </r>
  <r>
    <s v="Beijing"/>
    <s v="BEJSRTL769"/>
    <m/>
    <m/>
    <m/>
    <n v="4079554"/>
    <m/>
    <s v="ICE19"/>
    <x v="2"/>
    <x v="2"/>
    <x v="2"/>
    <x v="3"/>
    <m/>
    <m/>
    <m/>
    <m/>
    <s v="40769"/>
    <m/>
    <m/>
    <m/>
    <m/>
    <m/>
    <m/>
    <m/>
    <m/>
    <m/>
    <x v="2"/>
  </r>
  <r>
    <s v="Beijing"/>
    <s v="BEJSRTL770"/>
    <m/>
    <m/>
    <m/>
    <n v="4079564"/>
    <m/>
    <s v="ICE19"/>
    <x v="2"/>
    <x v="2"/>
    <x v="2"/>
    <x v="3"/>
    <m/>
    <m/>
    <m/>
    <m/>
    <s v="40770"/>
    <m/>
    <m/>
    <m/>
    <m/>
    <m/>
    <m/>
    <m/>
    <m/>
    <m/>
    <x v="2"/>
  </r>
  <r>
    <s v="Beijing"/>
    <s v="BEJSRTL771"/>
    <m/>
    <m/>
    <m/>
    <n v="4079396"/>
    <m/>
    <s v="ICE19"/>
    <x v="2"/>
    <x v="2"/>
    <x v="2"/>
    <x v="3"/>
    <m/>
    <m/>
    <m/>
    <m/>
    <s v="40771"/>
    <m/>
    <m/>
    <m/>
    <m/>
    <m/>
    <m/>
    <m/>
    <m/>
    <m/>
    <x v="2"/>
  </r>
  <r>
    <s v="Beijing"/>
    <s v="BEJSRTL772"/>
    <m/>
    <m/>
    <m/>
    <n v="4079384"/>
    <m/>
    <s v="ICE19"/>
    <x v="2"/>
    <x v="2"/>
    <x v="2"/>
    <x v="3"/>
    <m/>
    <m/>
    <m/>
    <m/>
    <s v="40772"/>
    <m/>
    <m/>
    <m/>
    <m/>
    <m/>
    <m/>
    <m/>
    <m/>
    <m/>
    <x v="2"/>
  </r>
  <r>
    <s v="Beijing"/>
    <s v="BEJSRTL773"/>
    <m/>
    <m/>
    <m/>
    <n v="4079383"/>
    <m/>
    <s v="ICE19"/>
    <x v="2"/>
    <x v="2"/>
    <x v="2"/>
    <x v="3"/>
    <m/>
    <m/>
    <m/>
    <m/>
    <s v="40773"/>
    <m/>
    <m/>
    <m/>
    <m/>
    <m/>
    <m/>
    <m/>
    <m/>
    <m/>
    <x v="2"/>
  </r>
  <r>
    <s v="Beijing"/>
    <s v="BEJSRTL774"/>
    <m/>
    <m/>
    <m/>
    <n v="4079552"/>
    <m/>
    <s v="ICE19"/>
    <x v="2"/>
    <x v="2"/>
    <x v="2"/>
    <x v="3"/>
    <m/>
    <m/>
    <m/>
    <m/>
    <s v="40774"/>
    <m/>
    <m/>
    <m/>
    <m/>
    <m/>
    <m/>
    <m/>
    <m/>
    <m/>
    <x v="2"/>
  </r>
  <r>
    <s v="Beijing"/>
    <s v="BEJSRTL775"/>
    <m/>
    <m/>
    <m/>
    <n v="4079647"/>
    <m/>
    <s v="ICE19"/>
    <x v="2"/>
    <x v="2"/>
    <x v="2"/>
    <x v="3"/>
    <m/>
    <m/>
    <m/>
    <m/>
    <s v="40775"/>
    <m/>
    <m/>
    <m/>
    <m/>
    <m/>
    <m/>
    <m/>
    <m/>
    <m/>
    <x v="2"/>
  </r>
  <r>
    <s v="Beijing"/>
    <s v="BEJSRTL776"/>
    <m/>
    <m/>
    <m/>
    <n v="4079640"/>
    <m/>
    <s v="ICE19"/>
    <x v="2"/>
    <x v="2"/>
    <x v="2"/>
    <x v="3"/>
    <m/>
    <m/>
    <m/>
    <m/>
    <s v="40776"/>
    <m/>
    <m/>
    <m/>
    <m/>
    <m/>
    <m/>
    <m/>
    <m/>
    <m/>
    <x v="2"/>
  </r>
  <r>
    <s v="Beijing"/>
    <s v="BEJSRTL777"/>
    <m/>
    <m/>
    <m/>
    <n v="4079626"/>
    <m/>
    <s v="ICE19"/>
    <x v="2"/>
    <x v="2"/>
    <x v="2"/>
    <x v="3"/>
    <m/>
    <m/>
    <m/>
    <m/>
    <s v="40777"/>
    <m/>
    <m/>
    <m/>
    <m/>
    <m/>
    <m/>
    <m/>
    <m/>
    <m/>
    <x v="2"/>
  </r>
  <r>
    <s v="Beijing"/>
    <s v="BEJSRTL778"/>
    <m/>
    <m/>
    <m/>
    <n v="4079651"/>
    <m/>
    <s v="ICE19"/>
    <x v="2"/>
    <x v="2"/>
    <x v="2"/>
    <x v="3"/>
    <m/>
    <m/>
    <m/>
    <m/>
    <s v="40778"/>
    <m/>
    <m/>
    <m/>
    <m/>
    <m/>
    <m/>
    <m/>
    <m/>
    <m/>
    <x v="2"/>
  </r>
  <r>
    <s v="Beijing"/>
    <s v="BEJSRTL779"/>
    <m/>
    <m/>
    <m/>
    <n v="4079616"/>
    <m/>
    <s v="ICE19"/>
    <x v="2"/>
    <x v="2"/>
    <x v="2"/>
    <x v="3"/>
    <m/>
    <m/>
    <m/>
    <m/>
    <s v="40779"/>
    <m/>
    <m/>
    <m/>
    <m/>
    <m/>
    <m/>
    <m/>
    <m/>
    <m/>
    <x v="2"/>
  </r>
  <r>
    <s v="Beijing"/>
    <s v="BEJSRTL780"/>
    <m/>
    <m/>
    <m/>
    <n v="4079571"/>
    <m/>
    <s v="ICE19"/>
    <x v="2"/>
    <x v="2"/>
    <x v="2"/>
    <x v="3"/>
    <m/>
    <m/>
    <m/>
    <m/>
    <s v="40780"/>
    <m/>
    <m/>
    <m/>
    <m/>
    <m/>
    <m/>
    <m/>
    <m/>
    <m/>
    <x v="2"/>
  </r>
  <r>
    <s v="Beijing"/>
    <s v="BEJSRTL781"/>
    <m/>
    <m/>
    <m/>
    <n v="4079687"/>
    <m/>
    <s v="ICE19"/>
    <x v="2"/>
    <x v="2"/>
    <x v="2"/>
    <x v="3"/>
    <m/>
    <m/>
    <m/>
    <m/>
    <s v="40781"/>
    <m/>
    <m/>
    <m/>
    <m/>
    <m/>
    <m/>
    <m/>
    <m/>
    <m/>
    <x v="2"/>
  </r>
  <r>
    <s v="Beijing"/>
    <s v="BEJSRTL782"/>
    <m/>
    <m/>
    <m/>
    <n v="4079496"/>
    <m/>
    <s v="ICE19"/>
    <x v="2"/>
    <x v="2"/>
    <x v="2"/>
    <x v="3"/>
    <m/>
    <m/>
    <m/>
    <m/>
    <s v="40782"/>
    <m/>
    <m/>
    <s v=" "/>
    <m/>
    <m/>
    <m/>
    <m/>
    <m/>
    <m/>
    <x v="2"/>
  </r>
  <r>
    <s v="Beijing"/>
    <s v="BEJSRTL783"/>
    <m/>
    <m/>
    <m/>
    <n v="4079335"/>
    <m/>
    <s v="ICE19"/>
    <x v="2"/>
    <x v="2"/>
    <x v="2"/>
    <x v="3"/>
    <m/>
    <m/>
    <m/>
    <m/>
    <s v="40783"/>
    <m/>
    <m/>
    <m/>
    <m/>
    <m/>
    <m/>
    <m/>
    <m/>
    <m/>
    <x v="2"/>
  </r>
  <r>
    <s v="Beijing"/>
    <s v="BEJSRTL784"/>
    <m/>
    <m/>
    <m/>
    <n v="4079448"/>
    <m/>
    <s v="ICE19"/>
    <x v="2"/>
    <x v="2"/>
    <x v="2"/>
    <x v="3"/>
    <m/>
    <m/>
    <m/>
    <m/>
    <s v="40784"/>
    <m/>
    <m/>
    <m/>
    <m/>
    <m/>
    <m/>
    <m/>
    <m/>
    <m/>
    <x v="2"/>
  </r>
  <r>
    <s v="Beijing"/>
    <s v="BEJSRTL785"/>
    <m/>
    <m/>
    <m/>
    <n v="4079353"/>
    <m/>
    <s v="ICE19"/>
    <x v="2"/>
    <x v="2"/>
    <x v="2"/>
    <x v="3"/>
    <m/>
    <m/>
    <m/>
    <m/>
    <s v="40785"/>
    <m/>
    <m/>
    <m/>
    <m/>
    <m/>
    <m/>
    <m/>
    <m/>
    <m/>
    <x v="2"/>
  </r>
  <r>
    <s v="Beijing"/>
    <s v="BEJSRTL786"/>
    <m/>
    <m/>
    <m/>
    <n v="4079487"/>
    <m/>
    <s v="ICE19"/>
    <x v="2"/>
    <x v="2"/>
    <x v="2"/>
    <x v="3"/>
    <m/>
    <m/>
    <m/>
    <m/>
    <s v="40786"/>
    <m/>
    <m/>
    <m/>
    <m/>
    <m/>
    <m/>
    <m/>
    <m/>
    <m/>
    <x v="2"/>
  </r>
  <r>
    <s v="Beijing"/>
    <s v="BEJSRTL787"/>
    <m/>
    <m/>
    <m/>
    <n v="4079578"/>
    <m/>
    <s v="ICE19"/>
    <x v="2"/>
    <x v="2"/>
    <x v="2"/>
    <x v="3"/>
    <m/>
    <m/>
    <m/>
    <m/>
    <s v="40787"/>
    <m/>
    <m/>
    <m/>
    <m/>
    <m/>
    <m/>
    <m/>
    <m/>
    <m/>
    <x v="2"/>
  </r>
  <r>
    <s v="Beijing"/>
    <s v="BEJSRTL788"/>
    <m/>
    <m/>
    <m/>
    <n v="4079341"/>
    <m/>
    <s v="ICE19"/>
    <x v="2"/>
    <x v="2"/>
    <x v="2"/>
    <x v="3"/>
    <m/>
    <m/>
    <m/>
    <m/>
    <s v="40788"/>
    <m/>
    <m/>
    <m/>
    <m/>
    <m/>
    <m/>
    <m/>
    <m/>
    <m/>
    <x v="2"/>
  </r>
  <r>
    <s v="Beijing"/>
    <s v="BEJSRTL789"/>
    <m/>
    <m/>
    <m/>
    <n v="4079499"/>
    <m/>
    <s v="ICE19"/>
    <x v="2"/>
    <x v="2"/>
    <x v="2"/>
    <x v="3"/>
    <m/>
    <m/>
    <m/>
    <m/>
    <s v="40789"/>
    <m/>
    <m/>
    <m/>
    <m/>
    <m/>
    <m/>
    <m/>
    <m/>
    <m/>
    <x v="2"/>
  </r>
  <r>
    <s v="Beijing"/>
    <s v="BEJSRTL790"/>
    <m/>
    <m/>
    <m/>
    <n v="4079484"/>
    <m/>
    <s v="ICE19"/>
    <x v="2"/>
    <x v="2"/>
    <x v="2"/>
    <x v="3"/>
    <m/>
    <m/>
    <m/>
    <m/>
    <s v="40790"/>
    <m/>
    <m/>
    <m/>
    <m/>
    <m/>
    <m/>
    <m/>
    <m/>
    <m/>
    <x v="2"/>
  </r>
  <r>
    <s v="Beijing"/>
    <s v="BEJSRTL791"/>
    <m/>
    <m/>
    <m/>
    <n v="4079525"/>
    <m/>
    <s v="ICE19"/>
    <x v="2"/>
    <x v="2"/>
    <x v="2"/>
    <x v="3"/>
    <m/>
    <m/>
    <m/>
    <m/>
    <s v="40791"/>
    <m/>
    <m/>
    <m/>
    <m/>
    <m/>
    <m/>
    <m/>
    <m/>
    <m/>
    <x v="2"/>
  </r>
  <r>
    <s v="Beijing"/>
    <s v="BEJSRTL792"/>
    <m/>
    <m/>
    <m/>
    <n v="4079326"/>
    <m/>
    <s v="ICE19"/>
    <x v="2"/>
    <x v="2"/>
    <x v="2"/>
    <x v="3"/>
    <m/>
    <m/>
    <m/>
    <m/>
    <s v="40792"/>
    <m/>
    <m/>
    <m/>
    <m/>
    <m/>
    <m/>
    <m/>
    <m/>
    <m/>
    <x v="2"/>
  </r>
  <r>
    <s v="Beijing"/>
    <s v="BEJSRTL793"/>
    <m/>
    <m/>
    <m/>
    <n v="4079446"/>
    <m/>
    <s v="ICE19"/>
    <x v="2"/>
    <x v="2"/>
    <x v="2"/>
    <x v="3"/>
    <m/>
    <m/>
    <m/>
    <m/>
    <s v="40793"/>
    <m/>
    <m/>
    <m/>
    <m/>
    <m/>
    <m/>
    <m/>
    <m/>
    <m/>
    <x v="2"/>
  </r>
  <r>
    <s v="Beijing"/>
    <s v="BEJSRTL794"/>
    <m/>
    <m/>
    <m/>
    <n v="4079455"/>
    <m/>
    <s v="ICE19"/>
    <x v="2"/>
    <x v="2"/>
    <x v="2"/>
    <x v="3"/>
    <m/>
    <m/>
    <m/>
    <m/>
    <s v="40794"/>
    <m/>
    <m/>
    <m/>
    <m/>
    <m/>
    <m/>
    <m/>
    <m/>
    <m/>
    <x v="2"/>
  </r>
  <r>
    <s v="Beijing"/>
    <s v="BEJSRTL795"/>
    <m/>
    <m/>
    <m/>
    <m/>
    <m/>
    <s v="ICE19"/>
    <x v="2"/>
    <x v="2"/>
    <x v="2"/>
    <x v="3"/>
    <m/>
    <m/>
    <m/>
    <m/>
    <s v="40795"/>
    <m/>
    <m/>
    <m/>
    <m/>
    <m/>
    <m/>
    <m/>
    <m/>
    <m/>
    <x v="2"/>
  </r>
  <r>
    <s v="Beijing"/>
    <s v="BEJSRTL796"/>
    <m/>
    <m/>
    <m/>
    <m/>
    <m/>
    <s v="ICE19"/>
    <x v="2"/>
    <x v="2"/>
    <x v="2"/>
    <x v="3"/>
    <m/>
    <m/>
    <m/>
    <m/>
    <s v="40796"/>
    <m/>
    <m/>
    <m/>
    <m/>
    <m/>
    <m/>
    <m/>
    <m/>
    <m/>
    <x v="2"/>
  </r>
  <r>
    <s v="Beijing"/>
    <s v="BEJSRTL797"/>
    <m/>
    <m/>
    <m/>
    <m/>
    <m/>
    <s v="ICE19"/>
    <x v="2"/>
    <x v="2"/>
    <x v="2"/>
    <x v="3"/>
    <m/>
    <m/>
    <m/>
    <m/>
    <s v="40797"/>
    <m/>
    <m/>
    <m/>
    <m/>
    <m/>
    <m/>
    <m/>
    <m/>
    <m/>
    <x v="2"/>
  </r>
  <r>
    <s v="Beijing"/>
    <s v="BEJSRTL798"/>
    <m/>
    <m/>
    <m/>
    <m/>
    <m/>
    <s v="ICE19"/>
    <x v="2"/>
    <x v="2"/>
    <x v="2"/>
    <x v="3"/>
    <m/>
    <m/>
    <m/>
    <m/>
    <s v="40798"/>
    <m/>
    <m/>
    <m/>
    <m/>
    <m/>
    <m/>
    <m/>
    <m/>
    <m/>
    <x v="2"/>
  </r>
  <r>
    <s v="Beijing"/>
    <s v="BEJSRTL799"/>
    <m/>
    <m/>
    <m/>
    <m/>
    <m/>
    <s v="ICE19"/>
    <x v="2"/>
    <x v="2"/>
    <x v="2"/>
    <x v="3"/>
    <m/>
    <m/>
    <m/>
    <m/>
    <s v="40799"/>
    <m/>
    <m/>
    <m/>
    <m/>
    <m/>
    <m/>
    <m/>
    <m/>
    <m/>
    <x v="2"/>
  </r>
  <r>
    <s v="Beijing"/>
    <s v="BEJSRTL800"/>
    <m/>
    <m/>
    <m/>
    <m/>
    <m/>
    <s v="ICE19"/>
    <x v="2"/>
    <x v="2"/>
    <x v="2"/>
    <x v="3"/>
    <m/>
    <m/>
    <m/>
    <m/>
    <s v="40800"/>
    <m/>
    <m/>
    <m/>
    <m/>
    <m/>
    <m/>
    <m/>
    <m/>
    <m/>
    <x v="2"/>
  </r>
  <r>
    <s v="Beijing"/>
    <s v="BEJSRTL801"/>
    <m/>
    <m/>
    <m/>
    <m/>
    <m/>
    <s v="ICE19"/>
    <x v="2"/>
    <x v="2"/>
    <x v="2"/>
    <x v="3"/>
    <m/>
    <m/>
    <m/>
    <m/>
    <s v="40801"/>
    <m/>
    <m/>
    <m/>
    <m/>
    <m/>
    <m/>
    <m/>
    <m/>
    <m/>
    <x v="2"/>
  </r>
  <r>
    <s v="Beijing"/>
    <s v="BEJSRTL802"/>
    <m/>
    <m/>
    <m/>
    <m/>
    <m/>
    <s v="ICE19"/>
    <x v="2"/>
    <x v="2"/>
    <x v="2"/>
    <x v="3"/>
    <m/>
    <m/>
    <m/>
    <m/>
    <s v="40802"/>
    <m/>
    <m/>
    <m/>
    <m/>
    <m/>
    <m/>
    <m/>
    <m/>
    <m/>
    <x v="2"/>
  </r>
  <r>
    <s v="Beijing"/>
    <s v="BEJSRTL803"/>
    <m/>
    <m/>
    <m/>
    <m/>
    <m/>
    <s v="ICE19"/>
    <x v="2"/>
    <x v="2"/>
    <x v="2"/>
    <x v="3"/>
    <m/>
    <m/>
    <m/>
    <m/>
    <s v="40803"/>
    <m/>
    <m/>
    <m/>
    <m/>
    <m/>
    <m/>
    <m/>
    <m/>
    <m/>
    <x v="2"/>
  </r>
  <r>
    <s v="Beijing"/>
    <s v="BEJSRTL804"/>
    <m/>
    <m/>
    <m/>
    <m/>
    <m/>
    <s v="ICE19"/>
    <x v="2"/>
    <x v="2"/>
    <x v="2"/>
    <x v="3"/>
    <m/>
    <m/>
    <m/>
    <m/>
    <s v="40804"/>
    <m/>
    <m/>
    <m/>
    <m/>
    <m/>
    <m/>
    <m/>
    <m/>
    <m/>
    <x v="2"/>
  </r>
  <r>
    <s v="Beijing"/>
    <s v="BEJSRTL805"/>
    <m/>
    <m/>
    <m/>
    <m/>
    <m/>
    <s v="ICE19"/>
    <x v="2"/>
    <x v="2"/>
    <x v="2"/>
    <x v="3"/>
    <m/>
    <m/>
    <m/>
    <m/>
    <s v="40805"/>
    <m/>
    <m/>
    <m/>
    <m/>
    <m/>
    <m/>
    <m/>
    <m/>
    <m/>
    <x v="2"/>
  </r>
  <r>
    <s v="Beijing"/>
    <s v="BEJSRTL806"/>
    <m/>
    <m/>
    <m/>
    <m/>
    <m/>
    <s v="ICE19"/>
    <x v="2"/>
    <x v="2"/>
    <x v="2"/>
    <x v="3"/>
    <m/>
    <m/>
    <m/>
    <m/>
    <s v="40806"/>
    <m/>
    <m/>
    <m/>
    <m/>
    <m/>
    <m/>
    <m/>
    <m/>
    <m/>
    <x v="2"/>
  </r>
  <r>
    <s v="Beijing"/>
    <s v="BEJSRTL207"/>
    <m/>
    <m/>
    <m/>
    <n v="3219897"/>
    <s v="439/R14/3"/>
    <s v="ICE19"/>
    <x v="2"/>
    <x v="2"/>
    <x v="2"/>
    <x v="3"/>
    <m/>
    <m/>
    <m/>
    <s v="7560utt243smini.bj.intel.com"/>
    <s v="40207"/>
    <m/>
    <m/>
    <m/>
    <m/>
    <m/>
    <m/>
    <m/>
    <m/>
    <m/>
    <x v="2"/>
  </r>
  <r>
    <s v="Beijing"/>
    <s v="BEJSRTL214"/>
    <m/>
    <m/>
    <m/>
    <n v="3219857"/>
    <s v="439/R14/1"/>
    <s v="ICE19"/>
    <x v="2"/>
    <x v="2"/>
    <x v="2"/>
    <x v="3"/>
    <m/>
    <m/>
    <m/>
    <s v="bejsrtm005smini.bj.intel.com"/>
    <s v="40214"/>
    <m/>
    <m/>
    <m/>
    <m/>
    <m/>
    <m/>
    <m/>
    <m/>
    <m/>
    <x v="2"/>
  </r>
  <r>
    <s v="Beijing"/>
    <s v="BEJSRTL221"/>
    <m/>
    <m/>
    <m/>
    <n v="2794226"/>
    <s v="439/R13/6"/>
    <s v="ICE19"/>
    <x v="2"/>
    <x v="2"/>
    <x v="2"/>
    <x v="3"/>
    <m/>
    <m/>
    <m/>
    <s v="bejsrtm007smini.bj.intel.com"/>
    <s v="40221"/>
    <m/>
    <m/>
    <m/>
    <m/>
    <m/>
    <m/>
    <m/>
    <m/>
    <m/>
    <x v="2"/>
  </r>
  <r>
    <s v="Beijing"/>
    <s v="BEJSRTL230"/>
    <m/>
    <m/>
    <m/>
    <n v="3220166"/>
    <s v="439/R11/4"/>
    <s v="ICE19"/>
    <x v="2"/>
    <x v="2"/>
    <x v="2"/>
    <x v="3"/>
    <m/>
    <m/>
    <m/>
    <s v="bejsrtm001smini.bj.intel.com"/>
    <s v="40230"/>
    <m/>
    <m/>
    <m/>
    <m/>
    <m/>
    <m/>
    <m/>
    <m/>
    <m/>
    <x v="2"/>
  </r>
  <r>
    <s v="Beijing"/>
    <s v="BEJSRTL249"/>
    <m/>
    <m/>
    <m/>
    <n v="3220330"/>
    <s v="439/R9/5"/>
    <s v="ICE19"/>
    <x v="2"/>
    <x v="2"/>
    <x v="2"/>
    <x v="3"/>
    <m/>
    <m/>
    <m/>
    <s v="bejsrtm002smini.bj.intel.com"/>
    <s v="40249"/>
    <m/>
    <m/>
    <m/>
    <m/>
    <m/>
    <m/>
    <m/>
    <m/>
    <m/>
    <x v="2"/>
  </r>
  <r>
    <s v="Beijing"/>
    <s v="BEJSRTL261"/>
    <m/>
    <m/>
    <m/>
    <n v="3299571"/>
    <s v="439/R15/1"/>
    <s v="ICE19"/>
    <x v="2"/>
    <x v="2"/>
    <x v="2"/>
    <x v="3"/>
    <m/>
    <m/>
    <m/>
    <s v="bejsrtm010smini.bj.intel.com"/>
    <s v="40261"/>
    <m/>
    <m/>
    <m/>
    <m/>
    <m/>
    <m/>
    <m/>
    <m/>
    <m/>
    <x v="2"/>
  </r>
  <r>
    <s v="Beijing"/>
    <s v="BEJSRTL263"/>
    <m/>
    <m/>
    <m/>
    <n v="3299368"/>
    <s v="439/R4/2"/>
    <s v="ICE19"/>
    <x v="2"/>
    <x v="2"/>
    <x v="2"/>
    <x v="3"/>
    <m/>
    <m/>
    <m/>
    <s v="bejsrtm007smini.bj.intel.com"/>
    <s v="40263"/>
    <m/>
    <m/>
    <m/>
    <m/>
    <m/>
    <m/>
    <m/>
    <m/>
    <m/>
    <x v="2"/>
  </r>
  <r>
    <s v="Beijing"/>
    <s v="BEJSRTL274"/>
    <m/>
    <m/>
    <m/>
    <n v="3219851"/>
    <s v="439/R8/3"/>
    <s v="ICE19"/>
    <x v="2"/>
    <x v="2"/>
    <x v="2"/>
    <x v="3"/>
    <m/>
    <m/>
    <m/>
    <s v="bejsrtm005smini.bj.intel.com"/>
    <s v="40274"/>
    <m/>
    <m/>
    <m/>
    <m/>
    <m/>
    <m/>
    <m/>
    <m/>
    <m/>
    <x v="2"/>
  </r>
  <r>
    <s v="Beijing"/>
    <s v="BEJSRTL275"/>
    <m/>
    <m/>
    <m/>
    <n v="3219691"/>
    <s v="439/R5/7"/>
    <s v="ICE19"/>
    <x v="2"/>
    <x v="2"/>
    <x v="2"/>
    <x v="3"/>
    <m/>
    <m/>
    <m/>
    <s v="7560utt275smini.bj.intel.com"/>
    <s v="40275"/>
    <m/>
    <m/>
    <m/>
    <m/>
    <m/>
    <m/>
    <m/>
    <m/>
    <m/>
    <x v="2"/>
  </r>
  <r>
    <s v="Beijing"/>
    <s v="BEJSRTL286"/>
    <m/>
    <m/>
    <m/>
    <n v="3299530"/>
    <s v="439/R15/4"/>
    <s v="ICE19"/>
    <x v="2"/>
    <x v="2"/>
    <x v="2"/>
    <x v="3"/>
    <m/>
    <m/>
    <m/>
    <s v="bejsrtm005smini.bj.intel.com"/>
    <s v="40286"/>
    <m/>
    <m/>
    <m/>
    <m/>
    <m/>
    <m/>
    <m/>
    <m/>
    <m/>
    <x v="2"/>
  </r>
  <r>
    <s v="Beijing"/>
    <s v="BEJSRTL327"/>
    <m/>
    <m/>
    <m/>
    <n v="2510716"/>
    <s v="439/R16/1"/>
    <s v="ICE19"/>
    <x v="2"/>
    <x v="2"/>
    <x v="2"/>
    <x v="3"/>
    <m/>
    <m/>
    <m/>
    <s v="7560utt127smini.bj.intel.com"/>
    <s v="40327"/>
    <m/>
    <m/>
    <m/>
    <m/>
    <m/>
    <m/>
    <m/>
    <m/>
    <m/>
    <x v="2"/>
  </r>
  <r>
    <s v="Beijing"/>
    <s v="BEJSRTL331"/>
    <m/>
    <m/>
    <m/>
    <n v="2510837"/>
    <s v="459/R36/2"/>
    <s v="ICE19"/>
    <x v="2"/>
    <x v="2"/>
    <x v="2"/>
    <x v="3"/>
    <m/>
    <m/>
    <m/>
    <s v="7560utt127smini.bj.intel.com"/>
    <s v="40331"/>
    <m/>
    <m/>
    <m/>
    <m/>
    <m/>
    <m/>
    <m/>
    <m/>
    <m/>
    <x v="2"/>
  </r>
  <r>
    <s v="Beijing"/>
    <s v="BEJSRTL333"/>
    <m/>
    <m/>
    <m/>
    <n v="2510546"/>
    <s v="459/R40/3"/>
    <s v="ICE19"/>
    <x v="2"/>
    <x v="2"/>
    <x v="2"/>
    <x v="3"/>
    <m/>
    <m/>
    <m/>
    <s v="7560utt236smini.bj.intel.com"/>
    <s v="40333"/>
    <m/>
    <m/>
    <m/>
    <m/>
    <m/>
    <m/>
    <m/>
    <m/>
    <m/>
    <x v="2"/>
  </r>
  <r>
    <s v="Beijing"/>
    <s v="BEJSRTL365"/>
    <m/>
    <m/>
    <m/>
    <n v="3316799"/>
    <s v="439/R18/5"/>
    <s v="ICE19"/>
    <x v="2"/>
    <x v="2"/>
    <x v="2"/>
    <x v="3"/>
    <m/>
    <m/>
    <m/>
    <s v="7560utt127smini.bj.intel.com"/>
    <s v="40365"/>
    <m/>
    <m/>
    <m/>
    <m/>
    <m/>
    <m/>
    <m/>
    <m/>
    <m/>
    <x v="2"/>
  </r>
  <r>
    <s v="Beijing"/>
    <s v="BEJSRTL381"/>
    <m/>
    <m/>
    <m/>
    <n v="2510679"/>
    <s v="439/R8/6"/>
    <s v="ICE19"/>
    <x v="2"/>
    <x v="2"/>
    <x v="2"/>
    <x v="3"/>
    <m/>
    <m/>
    <m/>
    <s v="bejsrtm010smini.bj.intel.com"/>
    <s v="40381"/>
    <m/>
    <m/>
    <m/>
    <m/>
    <m/>
    <m/>
    <m/>
    <m/>
    <m/>
    <x v="2"/>
  </r>
  <r>
    <s v="Beijing"/>
    <s v="BEJSRTL388"/>
    <m/>
    <m/>
    <m/>
    <n v="2510905"/>
    <s v="439/R3/6"/>
    <s v="ICE19"/>
    <x v="2"/>
    <x v="2"/>
    <x v="2"/>
    <x v="3"/>
    <m/>
    <m/>
    <m/>
    <s v="bejsrtm011smini.bj.intel.com"/>
    <s v="40388"/>
    <m/>
    <m/>
    <m/>
    <m/>
    <m/>
    <m/>
    <m/>
    <m/>
    <m/>
    <x v="2"/>
  </r>
  <r>
    <s v="Beijing"/>
    <s v="BEJSRTL405"/>
    <m/>
    <m/>
    <m/>
    <n v="2510548"/>
    <s v="439/R1/4"/>
    <s v="ICE19"/>
    <x v="2"/>
    <x v="2"/>
    <x v="2"/>
    <x v="3"/>
    <m/>
    <m/>
    <m/>
    <s v="bejsrtm011smini.bj.intel.com"/>
    <s v="40405"/>
    <m/>
    <m/>
    <m/>
    <m/>
    <m/>
    <m/>
    <m/>
    <m/>
    <m/>
    <x v="2"/>
  </r>
  <r>
    <s v="Beijing"/>
    <s v="BEJSRTL431"/>
    <m/>
    <m/>
    <m/>
    <n v="3648232"/>
    <s v="2F/R44/ 2"/>
    <s v="ICE19"/>
    <x v="2"/>
    <x v="2"/>
    <x v="2"/>
    <x v="3"/>
    <m/>
    <m/>
    <m/>
    <s v="bejsrtm005smini.bj.intel.com"/>
    <s v="40431"/>
    <m/>
    <m/>
    <m/>
    <m/>
    <m/>
    <m/>
    <m/>
    <m/>
    <m/>
    <x v="2"/>
  </r>
  <r>
    <s v="Beijing"/>
    <s v="BEJSRTL434"/>
    <m/>
    <m/>
    <m/>
    <n v="3648462"/>
    <s v="2F/R43/2"/>
    <s v="ICE19"/>
    <x v="2"/>
    <x v="2"/>
    <x v="2"/>
    <x v="3"/>
    <m/>
    <m/>
    <m/>
    <s v="bejsrtm005smini.bj.intel.com"/>
    <s v="40434"/>
    <m/>
    <m/>
    <m/>
    <m/>
    <m/>
    <m/>
    <m/>
    <m/>
    <m/>
    <x v="2"/>
  </r>
  <r>
    <s v="Beijing"/>
    <s v="BEJSRTL436"/>
    <m/>
    <m/>
    <m/>
    <n v="3648214"/>
    <s v="2F/R43/7"/>
    <s v="ICE19"/>
    <x v="2"/>
    <x v="2"/>
    <x v="2"/>
    <x v="3"/>
    <m/>
    <m/>
    <m/>
    <s v="bejsrtm002smini.bj.intel.com"/>
    <s v="40436"/>
    <m/>
    <m/>
    <m/>
    <m/>
    <m/>
    <m/>
    <m/>
    <m/>
    <m/>
    <x v="2"/>
  </r>
  <r>
    <s v="Beijing"/>
    <s v="BEJSRTL442"/>
    <m/>
    <m/>
    <m/>
    <n v="3648477"/>
    <s v="2F/R45/6"/>
    <s v="ICE19"/>
    <x v="2"/>
    <x v="2"/>
    <x v="2"/>
    <x v="3"/>
    <m/>
    <m/>
    <m/>
    <s v="7560utt241smini.bj.intel.com"/>
    <s v="40442"/>
    <m/>
    <m/>
    <m/>
    <m/>
    <m/>
    <m/>
    <m/>
    <m/>
    <m/>
    <x v="2"/>
  </r>
  <r>
    <s v="Beijing"/>
    <s v="BEJSRTL468"/>
    <m/>
    <m/>
    <m/>
    <n v="3648247"/>
    <s v="2F/R48/6"/>
    <s v="ICE19"/>
    <x v="2"/>
    <x v="2"/>
    <x v="2"/>
    <x v="3"/>
    <m/>
    <m/>
    <m/>
    <s v="bejsrtm010smini.bj.intel.com"/>
    <s v="40468"/>
    <m/>
    <m/>
    <m/>
    <m/>
    <m/>
    <m/>
    <m/>
    <m/>
    <m/>
    <x v="2"/>
  </r>
  <r>
    <s v="Beijing"/>
    <s v="BEJSRTL469"/>
    <m/>
    <m/>
    <m/>
    <n v="3648430"/>
    <s v="2F/R48/2"/>
    <s v="ICE19"/>
    <x v="2"/>
    <x v="2"/>
    <x v="2"/>
    <x v="3"/>
    <m/>
    <m/>
    <m/>
    <s v="bejsrtm010smini.bj.intel.com"/>
    <s v="40469"/>
    <m/>
    <m/>
    <m/>
    <m/>
    <m/>
    <m/>
    <m/>
    <m/>
    <m/>
    <x v="2"/>
  </r>
  <r>
    <s v="Beijing"/>
    <s v="BEJSRTL470"/>
    <m/>
    <m/>
    <m/>
    <n v="3648526"/>
    <s v="2F/R48/4"/>
    <s v="ICE19"/>
    <x v="2"/>
    <x v="2"/>
    <x v="2"/>
    <x v="3"/>
    <m/>
    <m/>
    <m/>
    <s v="bejsrtm010smini.bj.intel.com"/>
    <s v="40470"/>
    <m/>
    <m/>
    <m/>
    <m/>
    <m/>
    <m/>
    <m/>
    <m/>
    <m/>
    <x v="2"/>
  </r>
  <r>
    <s v="Beijing"/>
    <s v="BEJSRTL473"/>
    <m/>
    <m/>
    <m/>
    <n v="3648356"/>
    <s v="2F/R48/3"/>
    <s v="ICE19"/>
    <x v="2"/>
    <x v="2"/>
    <x v="2"/>
    <x v="3"/>
    <m/>
    <m/>
    <m/>
    <s v="bejsrtm010smini.bj.intel.com"/>
    <s v="40473"/>
    <m/>
    <m/>
    <m/>
    <m/>
    <m/>
    <m/>
    <m/>
    <m/>
    <m/>
    <x v="2"/>
  </r>
  <r>
    <s v="Beijing"/>
    <s v="BEJSRTL477"/>
    <m/>
    <m/>
    <m/>
    <n v="3648235"/>
    <s v="2F/R48/5"/>
    <s v="ICE19"/>
    <x v="2"/>
    <x v="2"/>
    <x v="2"/>
    <x v="3"/>
    <m/>
    <m/>
    <m/>
    <s v="7560utt276smini.bj.intel.com"/>
    <s v="40477"/>
    <m/>
    <m/>
    <m/>
    <m/>
    <m/>
    <m/>
    <m/>
    <m/>
    <m/>
    <x v="2"/>
  </r>
  <r>
    <s v="Beijing"/>
    <s v="BEJSRTL479"/>
    <m/>
    <m/>
    <m/>
    <n v="3648348"/>
    <s v="2F/R46/6"/>
    <s v="ICE19"/>
    <x v="2"/>
    <x v="2"/>
    <x v="2"/>
    <x v="3"/>
    <m/>
    <m/>
    <m/>
    <s v="bejsrtm003smini.bj.intel.com"/>
    <s v="40479"/>
    <m/>
    <m/>
    <m/>
    <m/>
    <m/>
    <m/>
    <m/>
    <m/>
    <m/>
    <x v="2"/>
  </r>
  <r>
    <s v="Beijing"/>
    <s v="BEJSRTL482"/>
    <m/>
    <m/>
    <m/>
    <n v="3633322"/>
    <s v="2F/R47/1"/>
    <s v="ICE19"/>
    <x v="2"/>
    <x v="2"/>
    <x v="2"/>
    <x v="3"/>
    <m/>
    <m/>
    <m/>
    <s v="bejsrtm008smini.bj.intel.com"/>
    <s v="40482"/>
    <m/>
    <m/>
    <m/>
    <m/>
    <m/>
    <m/>
    <m/>
    <m/>
    <m/>
    <x v="2"/>
  </r>
  <r>
    <s v="Beijing"/>
    <s v="BEJSRTL487"/>
    <m/>
    <m/>
    <m/>
    <n v="3633170"/>
    <s v="2F/R47/5"/>
    <s v="ICE19"/>
    <x v="2"/>
    <x v="2"/>
    <x v="2"/>
    <x v="3"/>
    <m/>
    <m/>
    <m/>
    <s v="7560utt014smini.bj.intel.com"/>
    <s v="40487"/>
    <m/>
    <m/>
    <m/>
    <m/>
    <m/>
    <m/>
    <m/>
    <m/>
    <m/>
    <x v="2"/>
  </r>
  <r>
    <s v="Beijing"/>
    <s v="BEJSRTL489"/>
    <m/>
    <m/>
    <m/>
    <n v="3633318"/>
    <s v="2F/R47/5"/>
    <s v="ICE19"/>
    <x v="2"/>
    <x v="2"/>
    <x v="2"/>
    <x v="3"/>
    <m/>
    <m/>
    <m/>
    <s v="7560utt009smini.bj.intel.com"/>
    <s v="40489"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Bangalore"/>
    <s v="BASRTL362"/>
    <s v="Yes"/>
    <s v="Weekly"/>
    <s v="PCIe"/>
    <s v="SN3648128"/>
    <m/>
    <s v="ICE19"/>
    <x v="1"/>
    <x v="10"/>
    <x v="33"/>
    <x v="8"/>
    <s v="No"/>
    <s v="No"/>
    <s v="No"/>
    <s v="bejsrtm022smini.bj.intel.com"/>
    <s v="40744"/>
    <m/>
    <m/>
    <m/>
    <m/>
    <m/>
    <m/>
    <d v="2018-07-17T00:00:00"/>
    <s v="Yes"/>
    <s v="Yes"/>
    <x v="0"/>
  </r>
  <r>
    <s v="Bangalore"/>
    <s v="BASRTL363"/>
    <s v="Yes"/>
    <s v="Weekly"/>
    <s v="PCIe"/>
    <s v="SN3647596"/>
    <m/>
    <s v="ICE19"/>
    <x v="1"/>
    <x v="10"/>
    <x v="44"/>
    <x v="8"/>
    <s v="No"/>
    <s v="No"/>
    <s v="No"/>
    <s v="bejsrtm022smini.bj.intel.com"/>
    <s v="40745"/>
    <m/>
    <m/>
    <m/>
    <m/>
    <m/>
    <m/>
    <d v="2018-07-17T00:00:00"/>
    <s v="Yes"/>
    <s v="Yes"/>
    <x v="0"/>
  </r>
  <r>
    <s v="Bangalore"/>
    <s v="BASRTL364"/>
    <s v="Yes"/>
    <m/>
    <s v="BlackRay"/>
    <s v="SN3647550"/>
    <m/>
    <s v="ICE19"/>
    <x v="0"/>
    <x v="0"/>
    <x v="0"/>
    <x v="4"/>
    <s v="No"/>
    <s v="No"/>
    <s v="No"/>
    <s v="bejsrtm022smini.bj.intel.com"/>
    <s v="40746"/>
    <m/>
    <m/>
    <m/>
    <m/>
    <m/>
    <m/>
    <d v="2018-07-17T00:00:00"/>
    <s v="Yes"/>
    <s v="Yes"/>
    <x v="3"/>
  </r>
  <r>
    <s v="Bangalore"/>
    <s v="BASRTL365"/>
    <s v="Yes"/>
    <s v="Weekly"/>
    <s v="PCIe"/>
    <s v="SN3647974"/>
    <m/>
    <s v="ICE19"/>
    <x v="1"/>
    <x v="1"/>
    <x v="45"/>
    <x v="8"/>
    <s v="No"/>
    <s v="No"/>
    <s v="No"/>
    <s v="bejsrtm022smini.bj.intel.com"/>
    <s v="40747"/>
    <m/>
    <m/>
    <m/>
    <m/>
    <m/>
    <m/>
    <d v="2018-07-17T00:00:00"/>
    <s v="Yes"/>
    <s v="Yes"/>
    <x v="0"/>
  </r>
  <r>
    <s v="Bangalore"/>
    <s v="BASRTL366"/>
    <s v="Yes"/>
    <s v="Daily"/>
    <s v="PCIe"/>
    <s v="SN3647578"/>
    <m/>
    <s v="ICE19"/>
    <x v="0"/>
    <x v="0"/>
    <x v="0"/>
    <x v="8"/>
    <s v="No"/>
    <s v="No"/>
    <s v="No"/>
    <s v="bejsrtm022smini.bj.intel.com"/>
    <s v="40748"/>
    <m/>
    <m/>
    <m/>
    <m/>
    <m/>
    <m/>
    <d v="2018-07-17T00:00:00"/>
    <s v="Yes"/>
    <s v="Yes"/>
    <x v="0"/>
  </r>
  <r>
    <s v="Bangalore"/>
    <s v="BASRTL367"/>
    <s v="Yes"/>
    <s v="Weekly"/>
    <s v="PCIe"/>
    <s v="SN3647580"/>
    <m/>
    <s v="ICE19"/>
    <x v="1"/>
    <x v="9"/>
    <x v="46"/>
    <x v="4"/>
    <s v="No"/>
    <s v="No"/>
    <s v="No"/>
    <s v="bejsrtm022smini.bj.intel.com"/>
    <s v="40749"/>
    <m/>
    <m/>
    <m/>
    <m/>
    <m/>
    <m/>
    <d v="2018-07-17T00:00:00"/>
    <s v="Yes"/>
    <s v="Yes"/>
    <x v="0"/>
  </r>
  <r>
    <s v="Bangalore"/>
    <s v="BASRTL368"/>
    <s v="Yes"/>
    <s v="Weekly"/>
    <s v="PCIe"/>
    <s v="SN3647607"/>
    <m/>
    <s v="ICE19"/>
    <x v="0"/>
    <x v="45"/>
    <x v="5"/>
    <x v="8"/>
    <s v="Yes"/>
    <s v="No"/>
    <s v="No"/>
    <s v="bejsrtm022smini.bj.intel.com"/>
    <s v="40750"/>
    <m/>
    <m/>
    <m/>
    <m/>
    <m/>
    <m/>
    <d v="2018-07-17T00:00:00"/>
    <s v="Yes"/>
    <s v="Yes"/>
    <x v="0"/>
  </r>
  <r>
    <s v="Bangalore"/>
    <s v="BASRTL369"/>
    <s v="Yes"/>
    <s v="Weekly"/>
    <s v="BlackRay"/>
    <s v="SN3647559"/>
    <m/>
    <s v="ICE19"/>
    <x v="1"/>
    <x v="10"/>
    <x v="44"/>
    <x v="2"/>
    <s v="No"/>
    <s v="No"/>
    <s v="No"/>
    <s v="bejsrtm022smini.bj.intel.com"/>
    <s v="40751"/>
    <m/>
    <m/>
    <m/>
    <m/>
    <m/>
    <m/>
    <m/>
    <s v="Yes"/>
    <s v="Yes"/>
    <x v="0"/>
  </r>
  <r>
    <s v="Bangalore"/>
    <s v="BASRTL370"/>
    <s v="Yes"/>
    <s v="Weekly"/>
    <s v="PCIe"/>
    <s v="SN3647730"/>
    <m/>
    <s v="ICE19"/>
    <x v="1"/>
    <x v="1"/>
    <x v="45"/>
    <x v="8"/>
    <s v="No"/>
    <s v="No"/>
    <s v="No"/>
    <s v="bejsrtm022smini.bj.intel.com"/>
    <s v="40752"/>
    <m/>
    <m/>
    <m/>
    <m/>
    <m/>
    <m/>
    <d v="2018-07-17T00:00:00"/>
    <s v="Yes"/>
    <s v="Yes"/>
    <x v="0"/>
  </r>
  <r>
    <s v="Bangalore"/>
    <s v="BASRTL371"/>
    <s v="Yes"/>
    <s v="Weekly"/>
    <s v="PCIe"/>
    <s v="SN3647759"/>
    <m/>
    <s v="ICE19"/>
    <x v="1"/>
    <x v="46"/>
    <x v="47"/>
    <x v="8"/>
    <s v="No"/>
    <s v="No"/>
    <s v="No"/>
    <s v="bejsrtm022smini.bj.intel.com"/>
    <s v="40753"/>
    <m/>
    <m/>
    <m/>
    <m/>
    <m/>
    <m/>
    <d v="2018-07-17T00:00:00"/>
    <s v="Yes"/>
    <s v="Yes"/>
    <x v="0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Munich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Munich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Munich"/>
    <s v="MUCSRTL161"/>
    <s v="Yes"/>
    <s v="Daily"/>
    <s v="PCIe"/>
    <s v="SN3648083"/>
    <s v="11.1.371 Rack 6/5"/>
    <s v="ICE19"/>
    <x v="0"/>
    <x v="47"/>
    <x v="4"/>
    <x v="8"/>
    <s v="No"/>
    <s v="No"/>
    <s v="4x"/>
    <s v="MUCSRTMAC130.imu.intel.com"/>
    <s v="Yes(40161)"/>
    <s v="67AE03C60E11029AFFFFFFFF"/>
    <s v="C07826400S4X1R36"/>
    <s v="4915228826905"/>
    <n v="440152256265"/>
    <m/>
    <m/>
    <m/>
    <s v="Yes"/>
    <s v="Yes"/>
    <x v="0"/>
  </r>
  <r>
    <s v="Munich"/>
    <s v="MUCSRTL162"/>
    <s v="Yes"/>
    <s v="Weekly"/>
    <s v="PCIe"/>
    <s v="SN4079932"/>
    <s v="11.1.371 Rack 4/5"/>
    <s v="ICE19"/>
    <x v="0"/>
    <x v="14"/>
    <x v="6"/>
    <x v="8"/>
    <s v="No"/>
    <s v="No"/>
    <s v="4x"/>
    <s v="MUCSRTMAC127.imu.intel.com"/>
    <s v="Yes(40162)"/>
    <s v="EBB20A497FF54900FFFFFFFF"/>
    <s v="C07826400RLX1R36"/>
    <s v="4915780542719"/>
    <n v="440152219846"/>
    <m/>
    <m/>
    <m/>
    <s v="Yes"/>
    <s v="Yes"/>
    <x v="0"/>
  </r>
  <r>
    <s v="Munich"/>
    <s v="MUCSRTL163"/>
    <s v="Yes"/>
    <s v="Weekly"/>
    <s v="PCIe"/>
    <s v="SN4079934"/>
    <s v="11.1.371 Rack 5/3"/>
    <s v="ICE19"/>
    <x v="0"/>
    <x v="14"/>
    <x v="5"/>
    <x v="8"/>
    <s v="No"/>
    <s v="No"/>
    <s v="4x"/>
    <s v="MUCSRTMAC127.imu.intel.com"/>
    <s v="Yes(40163)"/>
    <s v="33B293A2A122DAB7FFFFFFFF"/>
    <s v="C07826400M0X1R36"/>
    <s v="4915780542716"/>
    <n v="440152214483"/>
    <m/>
    <m/>
    <m/>
    <s v="Yes"/>
    <s v="Yes"/>
    <x v="0"/>
  </r>
  <r>
    <s v="Munich"/>
    <s v="MUCSRTL164"/>
    <s v="Yes"/>
    <s v="Weekly"/>
    <s v="PCIe"/>
    <s v="SN4079945"/>
    <s v="11.1.371 Rack 4/3"/>
    <s v="ICE19"/>
    <x v="0"/>
    <x v="14"/>
    <x v="4"/>
    <x v="8"/>
    <s v="No"/>
    <s v="No"/>
    <s v="4x"/>
    <s v="MUCSRTMAC127.imu.intel.com"/>
    <s v="Yes(40164)"/>
    <s v="4BB88A08890F4B48FFFFFFFF"/>
    <s v="C07826400NKX1R36"/>
    <s v="4915780542718"/>
    <n v="440152214412"/>
    <m/>
    <m/>
    <m/>
    <s v="Yes"/>
    <s v="Yes"/>
    <x v="0"/>
  </r>
  <r>
    <s v="Munich"/>
    <s v="MUCSRTL165"/>
    <s v="Yes"/>
    <s v="Daily"/>
    <s v="PCIe"/>
    <s v="SN4079964"/>
    <s v="11.1.371 Rack 5/2"/>
    <s v="ICE19"/>
    <x v="0"/>
    <x v="14"/>
    <x v="4"/>
    <x v="8"/>
    <s v="No"/>
    <s v="No"/>
    <s v="4x"/>
    <s v="MUCSRTMAC127.imu.intel.com"/>
    <s v="Yes(40165)"/>
    <s v="CC2C182AD78FBEA6FFFFFFFF"/>
    <s v="C07826400T5X1R36"/>
    <s v="4915780542717"/>
    <n v="440152214460"/>
    <m/>
    <m/>
    <m/>
    <s v="Yes"/>
    <s v="Yes"/>
    <x v="0"/>
  </r>
  <r>
    <s v="Munich"/>
    <s v="MUCSRTL172"/>
    <s v="Yes"/>
    <s v="Weekly"/>
    <s v="PCIe"/>
    <s v="SN4079799"/>
    <s v="11.1.371 Rack 9/2"/>
    <s v="ICE19"/>
    <x v="1"/>
    <x v="16"/>
    <x v="12"/>
    <x v="2"/>
    <s v="No"/>
    <s v="No"/>
    <s v="4x"/>
    <s v="MUCSRTMAC127.imu.intel.com"/>
    <s v="Yes(40172)"/>
    <s v="18BB529A9557A96EFFFFFFFF"/>
    <s v="C07826400M1X1R36"/>
    <s v="4915904272972"/>
    <n v="440152256248"/>
    <m/>
    <m/>
    <m/>
    <s v="Yes"/>
    <s v="Yes"/>
    <x v="0"/>
  </r>
  <r>
    <s v="Bangalore"/>
    <s v="BASRTL372"/>
    <s v="Yes"/>
    <s v="Weekly"/>
    <s v="PCIe"/>
    <s v="SN4079777 "/>
    <m/>
    <s v="ICE19"/>
    <x v="0"/>
    <x v="45"/>
    <x v="6"/>
    <x v="8"/>
    <s v="Yes"/>
    <m/>
    <m/>
    <s v="labuser4-mini.iind.intel.com "/>
    <m/>
    <m/>
    <m/>
    <m/>
    <m/>
    <m/>
    <m/>
    <m/>
    <s v="Yes"/>
    <s v="Yes"/>
    <x v="0"/>
  </r>
  <r>
    <s v="Bangalore"/>
    <s v="BASRTL373"/>
    <s v="Yes"/>
    <s v="Weekly"/>
    <s v="PCIe"/>
    <s v="SN4079823"/>
    <m/>
    <s v="ICE19"/>
    <x v="1"/>
    <x v="7"/>
    <x v="48"/>
    <x v="8"/>
    <s v="No"/>
    <m/>
    <m/>
    <m/>
    <m/>
    <m/>
    <m/>
    <m/>
    <m/>
    <m/>
    <m/>
    <d v="2018-11-21T00:00:00"/>
    <s v="Yes"/>
    <s v="Yes"/>
    <x v="0"/>
  </r>
  <r>
    <s v="Bangalore"/>
    <s v="BASRTL374"/>
    <s v="Yes"/>
    <s v="Pre-INT"/>
    <s v="PCIe"/>
    <s v="SN4079950"/>
    <m/>
    <s v="ICE19"/>
    <x v="0"/>
    <x v="0"/>
    <x v="10"/>
    <x v="8"/>
    <s v="No"/>
    <m/>
    <m/>
    <s v="labuser4-mini.iind.intel.com "/>
    <m/>
    <m/>
    <m/>
    <m/>
    <m/>
    <m/>
    <m/>
    <d v="2018-11-21T00:00:00"/>
    <s v="Yes"/>
    <s v="Yes"/>
    <x v="0"/>
  </r>
  <r>
    <s v="Bangalore"/>
    <s v="BASRTL375"/>
    <s v="Yes"/>
    <s v="Weekly"/>
    <s v="PCIe"/>
    <s v="SN4079853 "/>
    <m/>
    <s v="ICE19"/>
    <x v="1"/>
    <x v="46"/>
    <x v="47"/>
    <x v="8"/>
    <s v="No"/>
    <m/>
    <m/>
    <m/>
    <m/>
    <m/>
    <m/>
    <m/>
    <m/>
    <m/>
    <m/>
    <d v="2018-11-21T00:00:00"/>
    <s v="Yes"/>
    <s v="Yes"/>
    <x v="0"/>
  </r>
  <r>
    <s v="Bangalore"/>
    <s v="BASRTL376"/>
    <s v="Yes"/>
    <s v="CEB"/>
    <s v="PCIe"/>
    <s v="SN4079774"/>
    <m/>
    <s v="ICE19"/>
    <x v="0"/>
    <x v="0"/>
    <x v="10"/>
    <x v="8"/>
    <s v="No"/>
    <m/>
    <m/>
    <m/>
    <m/>
    <m/>
    <m/>
    <m/>
    <m/>
    <m/>
    <m/>
    <m/>
    <s v="Yes"/>
    <s v="Yes"/>
    <x v="0"/>
  </r>
  <r>
    <s v="Bangalore"/>
    <s v="BASRTL377"/>
    <s v="Yes"/>
    <s v="Pre-INT"/>
    <s v="PCIe"/>
    <s v="SN4079955"/>
    <m/>
    <s v="ICE19"/>
    <x v="0"/>
    <x v="4"/>
    <x v="4"/>
    <x v="8"/>
    <s v="No"/>
    <m/>
    <m/>
    <s v="labuser4-mini.iind.intel.com "/>
    <m/>
    <m/>
    <m/>
    <m/>
    <m/>
    <m/>
    <m/>
    <m/>
    <s v="Yes"/>
    <s v="Yes"/>
    <x v="0"/>
  </r>
  <r>
    <s v="Bangalore"/>
    <s v="BASRTL378"/>
    <s v="Yes"/>
    <s v="Weekly"/>
    <s v="PCIe"/>
    <s v="SN4079800"/>
    <m/>
    <s v="ICE19"/>
    <x v="1"/>
    <x v="48"/>
    <x v="49"/>
    <x v="8"/>
    <s v="No"/>
    <m/>
    <m/>
    <s v="labuser4-mini.iind.intel.com "/>
    <m/>
    <m/>
    <m/>
    <m/>
    <m/>
    <m/>
    <m/>
    <m/>
    <s v="Yes"/>
    <s v="Yes"/>
    <x v="0"/>
  </r>
  <r>
    <s v="Bangalore"/>
    <s v="BASRTL379"/>
    <s v="Yes"/>
    <s v="Pre-INT"/>
    <s v="PCIe"/>
    <s v="SN4079765"/>
    <m/>
    <s v="ICE19"/>
    <x v="0"/>
    <x v="4"/>
    <x v="4"/>
    <x v="8"/>
    <s v="No"/>
    <m/>
    <m/>
    <s v="labuser4-mini.iind.intel.com "/>
    <m/>
    <m/>
    <m/>
    <m/>
    <m/>
    <m/>
    <m/>
    <m/>
    <s v="Yes"/>
    <s v="Yes"/>
    <x v="0"/>
  </r>
  <r>
    <s v="Bangalore"/>
    <s v="BASRTL380"/>
    <s v="Yes"/>
    <s v="Weekly"/>
    <s v="PCIe"/>
    <s v="SN4079832"/>
    <m/>
    <s v="ICE19"/>
    <x v="1"/>
    <x v="10"/>
    <x v="33"/>
    <x v="8"/>
    <s v="No"/>
    <m/>
    <m/>
    <s v="labuser4-mini.iind.intel.com "/>
    <m/>
    <m/>
    <m/>
    <m/>
    <m/>
    <m/>
    <m/>
    <m/>
    <s v="Yes"/>
    <s v="Yes"/>
    <x v="0"/>
  </r>
  <r>
    <s v="Bangalore"/>
    <s v="BASRTL381"/>
    <s v="Yes"/>
    <s v="Weekly"/>
    <s v="PCIe"/>
    <s v="SN4079866"/>
    <m/>
    <s v="ICE19"/>
    <x v="1"/>
    <x v="7"/>
    <x v="48"/>
    <x v="14"/>
    <s v="No"/>
    <m/>
    <m/>
    <m/>
    <m/>
    <m/>
    <m/>
    <m/>
    <m/>
    <m/>
    <m/>
    <m/>
    <s v="Yes"/>
    <s v="Yes"/>
    <x v="0"/>
  </r>
  <r>
    <s v="Bangalore"/>
    <s v="BASRTL382"/>
    <s v="Yes"/>
    <s v="Weekly"/>
    <s v="PCIe"/>
    <s v="SN4079804"/>
    <m/>
    <s v="ICE19"/>
    <x v="0"/>
    <x v="0"/>
    <x v="5"/>
    <x v="8"/>
    <s v="No"/>
    <m/>
    <m/>
    <s v="labuser4-mini.iind.intel.com "/>
    <m/>
    <m/>
    <m/>
    <m/>
    <m/>
    <m/>
    <m/>
    <m/>
    <s v="Yes"/>
    <s v="Yes"/>
    <x v="0"/>
  </r>
  <r>
    <s v="Bangalore"/>
    <s v="BASRTL383"/>
    <s v="Yes"/>
    <s v="Weekly"/>
    <s v="PCIe"/>
    <s v="SN4079812"/>
    <m/>
    <s v="ICE19"/>
    <x v="1"/>
    <x v="48"/>
    <x v="49"/>
    <x v="8"/>
    <s v="No"/>
    <m/>
    <m/>
    <s v="labuser4-mini.iind.intel.com "/>
    <m/>
    <m/>
    <m/>
    <m/>
    <m/>
    <m/>
    <m/>
    <m/>
    <s v="Yes"/>
    <s v="Yes"/>
    <x v="0"/>
  </r>
  <r>
    <s v="Bangalore"/>
    <s v="BASRTL384"/>
    <s v="Yes"/>
    <s v="Weekly"/>
    <s v="PCIe"/>
    <s v="SN4079911"/>
    <m/>
    <s v="ICE19"/>
    <x v="1"/>
    <x v="9"/>
    <x v="46"/>
    <x v="8"/>
    <s v="No"/>
    <m/>
    <m/>
    <s v="labuser4-mini.iind.intel.com "/>
    <m/>
    <m/>
    <m/>
    <m/>
    <m/>
    <m/>
    <m/>
    <m/>
    <s v="Yes"/>
    <s v="Yes"/>
    <x v="0"/>
  </r>
  <r>
    <s v="Bangalore"/>
    <s v="BASRTL385"/>
    <s v="Yes"/>
    <s v="Weekly"/>
    <s v="PCIe"/>
    <s v="SN4079820 "/>
    <m/>
    <s v="ICE19"/>
    <x v="0"/>
    <x v="0"/>
    <x v="0"/>
    <x v="8"/>
    <s v="Yes"/>
    <m/>
    <m/>
    <m/>
    <m/>
    <m/>
    <m/>
    <m/>
    <m/>
    <m/>
    <m/>
    <m/>
    <s v="Yes"/>
    <s v="Yes"/>
    <x v="0"/>
  </r>
  <r>
    <s v="Bangalore"/>
    <s v="BASRTL386"/>
    <s v="Yes"/>
    <s v="Weekly"/>
    <s v="PCIe"/>
    <s v="SN4079905"/>
    <m/>
    <s v="ICE19"/>
    <x v="1"/>
    <x v="48"/>
    <x v="49"/>
    <x v="8"/>
    <s v="No"/>
    <m/>
    <m/>
    <s v="labuser4-mini.iind.intel.com "/>
    <m/>
    <m/>
    <m/>
    <m/>
    <m/>
    <m/>
    <m/>
    <m/>
    <s v="Yes"/>
    <s v="Yes"/>
    <x v="0"/>
  </r>
  <r>
    <s v="Bangalore"/>
    <s v="BASRTL387"/>
    <s v="Yes"/>
    <s v="Weekly"/>
    <s v="PCIe"/>
    <s v="SN4079900"/>
    <m/>
    <s v="ICE19"/>
    <x v="1"/>
    <x v="7"/>
    <x v="50"/>
    <x v="8"/>
    <s v="No"/>
    <m/>
    <m/>
    <m/>
    <m/>
    <m/>
    <m/>
    <m/>
    <m/>
    <m/>
    <m/>
    <d v="2018-11-21T00:00:00"/>
    <s v="Yes"/>
    <s v="Yes"/>
    <x v="0"/>
  </r>
  <r>
    <s v="Bangalore"/>
    <s v="BASRTL388"/>
    <s v="Yes"/>
    <s v="Pre-INT"/>
    <s v="PCIe"/>
    <s v="SN4079916"/>
    <m/>
    <s v="ICE19"/>
    <x v="0"/>
    <x v="0"/>
    <x v="10"/>
    <x v="8"/>
    <s v="No"/>
    <m/>
    <m/>
    <s v="labuser4-mini.iind.intel.com "/>
    <m/>
    <m/>
    <m/>
    <m/>
    <m/>
    <m/>
    <m/>
    <d v="2018-11-21T00:00:00"/>
    <s v="Yes"/>
    <s v="Yes"/>
    <x v="0"/>
  </r>
  <r>
    <s v="Bangalore"/>
    <s v="BASRTL389"/>
    <s v="Yes"/>
    <s v="Weekly"/>
    <s v="PCIe"/>
    <s v="SN4079935"/>
    <m/>
    <s v="ICE19"/>
    <x v="1"/>
    <x v="48"/>
    <x v="49"/>
    <x v="8"/>
    <s v="No"/>
    <m/>
    <m/>
    <s v="labuser4-mini.iind.intel.com "/>
    <m/>
    <m/>
    <m/>
    <m/>
    <m/>
    <m/>
    <m/>
    <m/>
    <s v="Yes"/>
    <s v="Yes"/>
    <x v="0"/>
  </r>
  <r>
    <s v="Bangalore"/>
    <s v="BASRTL390"/>
    <s v="Yes"/>
    <s v="Weekly"/>
    <s v="PCIe"/>
    <s v="SN4079918"/>
    <m/>
    <s v="ICE19"/>
    <x v="1"/>
    <x v="48"/>
    <x v="49"/>
    <x v="8"/>
    <s v="No"/>
    <m/>
    <m/>
    <s v="labuser4-mini.iind.intel.com "/>
    <m/>
    <m/>
    <m/>
    <m/>
    <m/>
    <m/>
    <m/>
    <m/>
    <s v="Yes"/>
    <s v="Yes"/>
    <x v="0"/>
  </r>
  <r>
    <s v="Bangalore"/>
    <s v="BASRTL391"/>
    <s v="Yes"/>
    <s v="Pre-INT"/>
    <s v="PCIe"/>
    <s v="SN4079821"/>
    <m/>
    <s v="ICE19"/>
    <x v="0"/>
    <x v="0"/>
    <x v="10"/>
    <x v="8"/>
    <s v="No"/>
    <m/>
    <m/>
    <s v="labuser4-mini.iind.intel.com "/>
    <m/>
    <m/>
    <m/>
    <m/>
    <m/>
    <m/>
    <m/>
    <d v="2018-11-21T00:00:00"/>
    <s v="Yes"/>
    <s v="Yes"/>
    <x v="0"/>
  </r>
  <r>
    <s v="Bangalore"/>
    <s v="BASRTL392"/>
    <s v="Yes"/>
    <s v="Weekly"/>
    <s v="PCIe"/>
    <s v="SN4079884"/>
    <m/>
    <s v="ICE19"/>
    <x v="0"/>
    <x v="0"/>
    <x v="0"/>
    <x v="8"/>
    <s v="No"/>
    <m/>
    <m/>
    <m/>
    <m/>
    <m/>
    <m/>
    <m/>
    <m/>
    <m/>
    <m/>
    <m/>
    <s v="Yes"/>
    <s v="Yes"/>
    <x v="1"/>
  </r>
  <r>
    <s v="Bangalore"/>
    <s v="BASRTL393"/>
    <s v="Yes"/>
    <s v="Weekly"/>
    <s v="PCIe"/>
    <s v="SN4079770"/>
    <m/>
    <s v="ICE19"/>
    <x v="1"/>
    <x v="10"/>
    <x v="44"/>
    <x v="8"/>
    <s v="No"/>
    <m/>
    <m/>
    <s v="labuser4-mini.iind.intel.com "/>
    <m/>
    <m/>
    <m/>
    <m/>
    <m/>
    <m/>
    <m/>
    <m/>
    <s v="Yes"/>
    <s v="Yes"/>
    <x v="0"/>
  </r>
  <r>
    <s v="Bangalore"/>
    <s v="BASRTL394"/>
    <s v="Yes"/>
    <s v="Weekly"/>
    <s v="PCIe"/>
    <s v="SN4079788"/>
    <m/>
    <s v="ICE19"/>
    <x v="0"/>
    <x v="0"/>
    <x v="0"/>
    <x v="8"/>
    <s v="No"/>
    <m/>
    <m/>
    <s v="labuser4-mini.iind.intel.com "/>
    <m/>
    <m/>
    <m/>
    <m/>
    <m/>
    <m/>
    <m/>
    <m/>
    <s v="Yes"/>
    <s v="Yes"/>
    <x v="0"/>
  </r>
  <r>
    <s v="Bangalore"/>
    <s v="BASRTL395"/>
    <s v="Yes"/>
    <s v="Weekly"/>
    <s v="BlackRay"/>
    <s v="SN4079880"/>
    <m/>
    <s v="ICE19"/>
    <x v="1"/>
    <x v="10"/>
    <x v="44"/>
    <x v="2"/>
    <s v="No"/>
    <m/>
    <m/>
    <m/>
    <m/>
    <m/>
    <m/>
    <m/>
    <m/>
    <m/>
    <m/>
    <m/>
    <s v="Yes"/>
    <s v="Yes"/>
    <x v="0"/>
  </r>
  <r>
    <s v="Bangalore"/>
    <s v="BASRTL396"/>
    <s v="Yes"/>
    <s v="CEB"/>
    <s v="PCIe"/>
    <s v="SN4079867"/>
    <m/>
    <s v="ICE19"/>
    <x v="0"/>
    <x v="0"/>
    <x v="5"/>
    <x v="8"/>
    <s v="No"/>
    <m/>
    <m/>
    <m/>
    <m/>
    <m/>
    <m/>
    <m/>
    <m/>
    <m/>
    <m/>
    <m/>
    <s v="Yes"/>
    <s v="Yes"/>
    <x v="0"/>
  </r>
  <r>
    <s v="Munich"/>
    <s v="MUCSRTL166"/>
    <s v="Yes"/>
    <s v="Weekly"/>
    <s v="PCIe"/>
    <s v="SN3647691"/>
    <s v="11.1.268 Rack 2/1"/>
    <s v="ICE19"/>
    <x v="0"/>
    <x v="14"/>
    <x v="5"/>
    <x v="8"/>
    <s v="No"/>
    <s v="No"/>
    <s v="4x"/>
    <s v="MUCSRTMAC130.imu.intel.com"/>
    <s v="Yes(40166)"/>
    <s v="271000795A800D00FFFFFFFF"/>
    <s v="C03816113221369BX"/>
    <s v="4917610563409"/>
    <n v="440152236906"/>
    <m/>
    <m/>
    <m/>
    <s v="Yes"/>
    <s v="Yes"/>
    <x v="0"/>
  </r>
  <r>
    <s v="Munich"/>
    <s v="MUCSRTL167"/>
    <s v="Yes"/>
    <s v="Weekly"/>
    <s v="PCIe"/>
    <s v="SN3633214"/>
    <s v="11.1.268 Rack 2/3"/>
    <s v="ICE19"/>
    <x v="0"/>
    <x v="14"/>
    <x v="4"/>
    <x v="8"/>
    <s v="No"/>
    <s v="No"/>
    <s v="4x"/>
    <s v="MUCSRTMAC130.imu.intel.com"/>
    <s v="Yes(40167)"/>
    <s v="901000795A800D00FFFFFFFF"/>
    <s v="C03816108361369BN"/>
    <s v="4915904263212"/>
    <n v="440152226574"/>
    <m/>
    <m/>
    <m/>
    <s v="Yes"/>
    <s v="Yes"/>
    <x v="0"/>
  </r>
  <r>
    <s v="Munich"/>
    <s v="MUCSRTL173"/>
    <s v="No"/>
    <m/>
    <s v="BlackRay"/>
    <s v="SN4079780"/>
    <m/>
    <s v="ICE19"/>
    <x v="2"/>
    <x v="2"/>
    <x v="2"/>
    <x v="3"/>
    <m/>
    <m/>
    <m/>
    <m/>
    <m/>
    <m/>
    <m/>
    <m/>
    <m/>
    <m/>
    <m/>
    <m/>
    <s v="In progress"/>
    <s v="No"/>
    <x v="4"/>
  </r>
  <r>
    <s v="Munich"/>
    <s v="MUCSRTL174"/>
    <s v="Yes"/>
    <s v="CEB"/>
    <s v="PCIe"/>
    <s v="SN4079793       "/>
    <s v="11.1.268 Rack 1/5"/>
    <s v="ICE19"/>
    <x v="0"/>
    <x v="15"/>
    <x v="5"/>
    <x v="8"/>
    <s v="No"/>
    <s v="No"/>
    <s v="4x"/>
    <s v="MUCSRTMAC130.imu.intel.com"/>
    <s v="Yes(40174)"/>
    <s v="1BF22415AE0077BFFFFFFFFF"/>
    <s v="C07826400SHX1R36"/>
    <s v="491608477939"/>
    <n v="440152256673"/>
    <m/>
    <m/>
    <m/>
    <s v="Yes"/>
    <s v="Yes"/>
    <x v="0"/>
  </r>
  <r>
    <s v="Munich"/>
    <s v="MUCSRTL175"/>
    <s v="Yes"/>
    <s v="CEB"/>
    <s v="PCIe"/>
    <s v="SN3647605"/>
    <s v="11.1.371 Rack 8/2"/>
    <s v="ICE19"/>
    <x v="0"/>
    <x v="15"/>
    <x v="4"/>
    <x v="8"/>
    <s v="No"/>
    <s v="No"/>
    <s v="4x"/>
    <s v="MUCSRTMAC130.imu.intel.com"/>
    <s v="Yes(40175)"/>
    <s v="8DBFCAC0BDD93E37FFFFFFFF"/>
    <s v="C07826400Q9X1R36"/>
    <s v="4915904305708"/>
    <n v="440152256268"/>
    <m/>
    <m/>
    <m/>
    <s v="Yes"/>
    <s v="Yes"/>
    <x v="0"/>
  </r>
  <r>
    <s v="Munich"/>
    <s v="MUCSRTL176"/>
    <s v="Yes"/>
    <s v="CEB"/>
    <s v="PCIe"/>
    <s v="SN4079957"/>
    <s v="11.1.268 Rack 2/2"/>
    <s v="ICE19"/>
    <x v="0"/>
    <x v="14"/>
    <x v="5"/>
    <x v="8"/>
    <s v="No"/>
    <s v="No"/>
    <s v="4x"/>
    <s v="MUCSRTMAC127.imu.intel.com"/>
    <s v="Yes(40176)"/>
    <s v="D68821C3A5F69E87FFFFFFFF"/>
    <s v="C07826400M9X1R36"/>
    <s v="4915904545556"/>
    <n v="440152213812"/>
    <m/>
    <m/>
    <m/>
    <s v="Yes"/>
    <s v="Yes"/>
    <x v="0"/>
  </r>
  <r>
    <s v="Munich"/>
    <s v="MUCSRTL177"/>
    <s v="Yes"/>
    <s v="CEB"/>
    <s v="PCIe"/>
    <s v="SN4079928"/>
    <s v="11.1.268 Rack 1/2"/>
    <s v="ICE19"/>
    <x v="0"/>
    <x v="14"/>
    <x v="4"/>
    <x v="8"/>
    <s v="No"/>
    <s v="No"/>
    <s v="4x"/>
    <s v="MUCSRTMAC127.imu.intel.com"/>
    <s v="Yes(40177)"/>
    <s v="5ABB9F2CC87EA5CDFFFFFFFF"/>
    <s v="C07826400RZX1R36"/>
    <s v="4917610506584"/>
    <n v="440152256249"/>
    <m/>
    <m/>
    <m/>
    <s v="Yes"/>
    <s v="Yes"/>
    <x v="0"/>
  </r>
  <r>
    <s v="Munich"/>
    <s v="MUCSRTL178"/>
    <s v="Yes"/>
    <s v="CEB"/>
    <s v="PCIe"/>
    <s v="SN4079894"/>
    <s v="11.1.268 Rack 10/3"/>
    <s v="ICE19"/>
    <x v="0"/>
    <x v="14"/>
    <x v="4"/>
    <x v="8"/>
    <s v="No"/>
    <s v="No"/>
    <s v="4x"/>
    <s v="MUCSRTMAC127.imu.intel.com"/>
    <s v="Yes(40178)"/>
    <s v="D139A9D40DAE7683FFFFFFFF"/>
    <s v="C07826400QBX1R36"/>
    <s v="4917619020195"/>
    <n v="440152256665"/>
    <m/>
    <m/>
    <m/>
    <s v="Yes"/>
    <s v="Yes"/>
    <x v="0"/>
  </r>
  <r>
    <s v="Munich"/>
    <s v="MUCSRTL179"/>
    <s v="Yes"/>
    <s v="CEB"/>
    <s v="PCIe"/>
    <s v="SN4079779"/>
    <s v="11.1.268 Rack 2/4"/>
    <s v="ICE19"/>
    <x v="0"/>
    <x v="15"/>
    <x v="4"/>
    <x v="8"/>
    <s v="No"/>
    <s v="No"/>
    <s v="4x"/>
    <s v="MUCSRTMAC127.imu.intel.com"/>
    <s v="Yes(40179)"/>
    <s v="C20EA8B2114AF453FFFFFFFF"/>
    <s v="C07826400QPX1R36"/>
    <s v="4917610563405"/>
    <n v="440152256695"/>
    <m/>
    <m/>
    <m/>
    <s v="Yes"/>
    <s v="Yes"/>
    <x v="0"/>
  </r>
  <r>
    <s v="Hillsboro"/>
    <s v="HILSRTL256"/>
    <s v="Yes"/>
    <s v="Weekly"/>
    <s v="PCIe"/>
    <s v="SN3647829"/>
    <m/>
    <s v="ICE19"/>
    <x v="0"/>
    <x v="20"/>
    <x v="5"/>
    <x v="8"/>
    <s v="No"/>
    <s v="No"/>
    <m/>
    <s v="HILSRTM011sMini.hf.intel.com"/>
    <n v="45256"/>
    <s v="591290882A800D00FFFFFFFF"/>
    <s v="C07805400P8D9M17"/>
    <n v="9713308791"/>
    <n v="440152000000"/>
    <m/>
    <m/>
    <d v="2018-07-18T00:00:00"/>
    <s v="Yes"/>
    <s v="Yes"/>
    <x v="0"/>
  </r>
  <r>
    <s v="Hillsboro"/>
    <s v="HILSRTL257"/>
    <s v="Yes"/>
    <s v="Pre-INT"/>
    <s v="PCIe"/>
    <s v="SN3648067"/>
    <m/>
    <s v="ICE19"/>
    <x v="0"/>
    <x v="21"/>
    <x v="4"/>
    <x v="8"/>
    <s v="No"/>
    <s v="No"/>
    <m/>
    <s v="HILSRTM011sMini.hf.intel.com"/>
    <n v="45257"/>
    <s v="F7E73DDC4266EB5DFFFFFFFF"/>
    <s v="C07805400QCD9M17"/>
    <n v="5034571290"/>
    <n v="440152000000"/>
    <m/>
    <m/>
    <d v="2018-07-19T00:00:00"/>
    <s v="Yes"/>
    <s v="Yes"/>
    <x v="0"/>
  </r>
  <r>
    <s v="Hillsboro"/>
    <s v="HILSRTL349"/>
    <s v="Yes"/>
    <s v="Weekly"/>
    <s v="PCIe"/>
    <s v="SN3647809"/>
    <m/>
    <s v="ICE19"/>
    <x v="0"/>
    <x v="21"/>
    <x v="51"/>
    <x v="8"/>
    <s v="No"/>
    <s v="No"/>
    <m/>
    <s v="HILSRTM011sMini.hf.intel.com"/>
    <n v="45349"/>
    <s v="D256A66E1C5957D3FFFFFFFF"/>
    <s v="C07805400P8D9M17"/>
    <n v="5034571299"/>
    <n v="440152000000"/>
    <m/>
    <m/>
    <d v="2018-07-20T00:00:00"/>
    <s v="Yes"/>
    <s v="Yes"/>
    <x v="0"/>
  </r>
  <r>
    <s v="Hillsboro"/>
    <s v="HILSRTL258"/>
    <s v="Yes"/>
    <s v="Weekly"/>
    <s v="PCIe"/>
    <s v="SN3647978"/>
    <m/>
    <s v="ICE19"/>
    <x v="0"/>
    <x v="20"/>
    <x v="5"/>
    <x v="8"/>
    <s v="No"/>
    <s v="No"/>
    <m/>
    <s v="ReplicantsMini2.hf.intel.com"/>
    <n v="45258"/>
    <s v="651010932A800D00FFFFFFFF"/>
    <s v="C07805500WJD9M17"/>
    <n v="9713716584"/>
    <n v="440152000000"/>
    <m/>
    <m/>
    <d v="2018-07-23T00:00:00"/>
    <s v="Yes"/>
    <s v="Yes"/>
    <x v="0"/>
  </r>
  <r>
    <s v="Hillsboro"/>
    <s v="HILSRTL262"/>
    <s v="Yes"/>
    <s v="Pre-INT"/>
    <s v="PCIe"/>
    <s v="SN3647574"/>
    <m/>
    <s v="ICE19"/>
    <x v="0"/>
    <x v="49"/>
    <x v="13"/>
    <x v="8"/>
    <s v="No"/>
    <s v="No"/>
    <m/>
    <s v="ReplicantsMini2.hf.intel.com"/>
    <n v="45262"/>
    <s v="12CF0B21FE0F748AFFFFFFFF"/>
    <s v="C07826600WHX1R36 "/>
    <n v="4844257109"/>
    <n v="440152289783"/>
    <m/>
    <m/>
    <d v="2018-08-01T00:00:00"/>
    <s v="Yes"/>
    <s v="Yes"/>
    <x v="0"/>
  </r>
  <r>
    <s v="Hillsboro"/>
    <s v="HILSRTL348"/>
    <s v="Yes"/>
    <s v="Daily"/>
    <s v="PCIe"/>
    <s v="SN3648130"/>
    <m/>
    <s v="ICE19"/>
    <x v="0"/>
    <x v="50"/>
    <x v="5"/>
    <x v="8"/>
    <s v="No"/>
    <s v="No"/>
    <m/>
    <s v="HILSRTM011sMini.hf.intel.com"/>
    <n v="45349"/>
    <s v="2CB0271AE70CD675FFFFFFFF"/>
    <s v="C07826600Y0X1R36 "/>
    <n v="9713308463"/>
    <n v="440152289787"/>
    <m/>
    <m/>
    <d v="2018-08-01T00:00:00"/>
    <s v="Yes"/>
    <s v="Yes"/>
    <x v="0"/>
  </r>
  <r>
    <s v="Hillsboro"/>
    <s v="HILSRTL300"/>
    <s v="Yes"/>
    <s v="Pre-INT"/>
    <s v="PCIe"/>
    <s v="SN3647745"/>
    <m/>
    <s v="ICE19"/>
    <x v="0"/>
    <x v="21"/>
    <x v="4"/>
    <x v="8"/>
    <s v="No"/>
    <s v="No"/>
    <m/>
    <s v="ReplicantsMini2.hf.intel.com"/>
    <n v="45300"/>
    <s v="74A78D0ACD325971FFFFFFFF"/>
    <s v="C07826600VZX1R36 "/>
    <n v="4846499004"/>
    <n v="440152289791"/>
    <m/>
    <m/>
    <d v="2018-08-01T00:00:00"/>
    <s v="Yes"/>
    <s v="Yes"/>
    <x v="0"/>
  </r>
  <r>
    <s v="Hillsboro"/>
    <s v="HILSRTL347"/>
    <s v="Yes"/>
    <s v="Weekly"/>
    <s v="PCIe"/>
    <s v="SN3648130"/>
    <m/>
    <s v="ICE19"/>
    <x v="0"/>
    <x v="21"/>
    <x v="4"/>
    <x v="8"/>
    <s v="No"/>
    <s v="No"/>
    <m/>
    <s v="ReplicantsMini2.hf.intel.com"/>
    <n v="45347"/>
    <s v="8CA1D6AAB941B051FFFFFFFF"/>
    <s v="C07826600TCX1R36 "/>
    <n v="6105707135"/>
    <n v="440152289784"/>
    <m/>
    <m/>
    <d v="2018-08-01T00:00:00"/>
    <s v="Yes"/>
    <s v="Yes"/>
    <x v="0"/>
  </r>
  <r>
    <s v="Hillsboro"/>
    <s v="HILSRTL351"/>
    <s v="Yes"/>
    <s v="Daily"/>
    <s v="PCIe"/>
    <s v="SN3647777"/>
    <m/>
    <s v="ICE19"/>
    <x v="0"/>
    <x v="50"/>
    <x v="52"/>
    <x v="4"/>
    <s v="No"/>
    <s v="No"/>
    <m/>
    <s v="ReplicantsMini2.hf.intel.com"/>
    <n v="45351"/>
    <s v="D1881CBF640B56FCFFFFFFFF"/>
    <s v="C07826600UGX1R36 "/>
    <n v="9713308516"/>
    <n v="440152289794"/>
    <m/>
    <m/>
    <d v="2018-08-15T00:00:00"/>
    <s v="Yes"/>
    <s v="Yes"/>
    <x v="1"/>
  </r>
  <r>
    <s v="Hillsboro"/>
    <s v="HILSRTL301"/>
    <s v="Yes"/>
    <s v="CEB"/>
    <s v="PCIe"/>
    <s v="SN3648044"/>
    <m/>
    <s v="ICE19"/>
    <x v="0"/>
    <x v="50"/>
    <x v="32"/>
    <x v="8"/>
    <s v="No"/>
    <s v="No"/>
    <m/>
    <s v="ReplicantsMini2.hf.intel.com"/>
    <n v="45301"/>
    <s v="C7AC2FCE124C4725FFFFFFFF"/>
    <s v="C07826600WTX1R36 "/>
    <n v="9713304230"/>
    <n v="440152289786"/>
    <m/>
    <m/>
    <d v="2018-08-15T00:00:00"/>
    <s v="Yes"/>
    <s v="Yes"/>
    <x v="0"/>
  </r>
  <r>
    <s v="Hillsboro"/>
    <s v="HILSRTL302"/>
    <s v="Yes"/>
    <s v="Pre-INT"/>
    <s v="PCIe"/>
    <s v="SN3647668"/>
    <m/>
    <s v="ICE19"/>
    <x v="0"/>
    <x v="21"/>
    <x v="4"/>
    <x v="8"/>
    <s v="No"/>
    <s v="No"/>
    <m/>
    <s v="HILSRTM011sMini.hf.intel.com"/>
    <n v="45302"/>
    <s v="221D9E3DCA6F10EFFFFFFFFF"/>
    <s v="C07826600WZX1R36 "/>
    <n v="5034571286"/>
    <n v="440152289736"/>
    <m/>
    <m/>
    <d v="2018-08-15T00:00:00"/>
    <s v="Yes"/>
    <s v="Yes"/>
    <x v="0"/>
  </r>
  <r>
    <s v="Hillsboro"/>
    <s v="HILSRTL303"/>
    <s v="Yes"/>
    <s v="Weekly"/>
    <s v="PCIe"/>
    <s v="SN3647660"/>
    <m/>
    <s v="ICE19"/>
    <x v="0"/>
    <x v="21"/>
    <x v="4"/>
    <x v="8"/>
    <s v="No"/>
    <s v="No"/>
    <m/>
    <s v="HILSRTM011sMini.hf.intel.com"/>
    <n v="45303"/>
    <s v="D256A66E1C5957D3FFFFFFFF"/>
    <s v="C07826600V9X1R36 "/>
    <n v="5033744773"/>
    <n v="440152289785"/>
    <m/>
    <m/>
    <d v="2018-08-28T00:00:00"/>
    <s v="Yes"/>
    <s v="Yes"/>
    <x v="0"/>
  </r>
  <r>
    <s v="Hillsboro"/>
    <s v="HILSRTL304"/>
    <s v="Yes"/>
    <s v="Pre-INT"/>
    <s v="PCIe"/>
    <s v="SN3647693"/>
    <m/>
    <s v="ICE19"/>
    <x v="0"/>
    <x v="49"/>
    <x v="14"/>
    <x v="8"/>
    <s v="No"/>
    <s v="No"/>
    <m/>
    <s v="HILSRTM011sMini.hf.intel.com"/>
    <n v="45304"/>
    <s v="1D4F0471A530FAEFFFFFFFFF"/>
    <s v="C07826600Y4X1R36 "/>
    <n v="5033744776"/>
    <n v="440152289790"/>
    <m/>
    <m/>
    <d v="2018-08-28T00:00:00"/>
    <s v="Yes"/>
    <s v="Yes"/>
    <x v="3"/>
  </r>
  <r>
    <s v="Hillsboro"/>
    <s v="HILSRTL305"/>
    <s v="Yes"/>
    <s v="CEB"/>
    <s v="PCIe"/>
    <s v="SN3648108"/>
    <m/>
    <s v="ICE19"/>
    <x v="0"/>
    <x v="21"/>
    <x v="52"/>
    <x v="8"/>
    <s v="No"/>
    <s v="No"/>
    <m/>
    <s v="HILSRTM011sMini.hf.intel.com"/>
    <n v="45305"/>
    <s v="20F035D12C386129FFFFFFFF"/>
    <s v="C07826600TVX1R36 "/>
    <n v="5033744777"/>
    <n v="440152289792"/>
    <m/>
    <m/>
    <d v="2018-08-28T00:00:00"/>
    <s v="Yes"/>
    <s v="Yes"/>
    <x v="0"/>
  </r>
  <r>
    <s v="Hillsboro"/>
    <s v="HILSRTL367"/>
    <s v="Yes"/>
    <s v="Daily"/>
    <s v="PCIe"/>
    <s v="SN4079869"/>
    <m/>
    <s v="ICE19"/>
    <x v="0"/>
    <x v="21"/>
    <x v="5"/>
    <x v="8"/>
    <s v="No"/>
    <s v="No"/>
    <m/>
    <s v="HILSRTMAC014.hf.intel.com "/>
    <n v="45367"/>
    <s v="6101EEFE773657E8FFFFFFFF"/>
    <s v="C07826600WCX1R36"/>
    <n v="5034810754"/>
    <n v="440152289735"/>
    <m/>
    <m/>
    <d v="2018-09-18T00:00:00"/>
    <s v="Yes"/>
    <s v="Yes"/>
    <x v="0"/>
  </r>
  <r>
    <s v="Hillsboro"/>
    <s v="HILSRTL369"/>
    <s v="Yes"/>
    <s v="CEB"/>
    <s v="PCIe"/>
    <s v="SN4079890"/>
    <m/>
    <s v="ICE19"/>
    <x v="0"/>
    <x v="21"/>
    <x v="5"/>
    <x v="8"/>
    <s v="No"/>
    <s v="No"/>
    <m/>
    <s v="HILSRTM011sMini.hf.intel.com"/>
    <n v="45369"/>
    <s v="CAF4A51DEA3CC7A0FFFFFFFF"/>
    <s v="C07826600VHX1R36"/>
    <n v="5033744788"/>
    <n v="440152289741"/>
    <m/>
    <m/>
    <d v="2018-09-18T00:00:00"/>
    <s v="Yes"/>
    <s v="Yes"/>
    <x v="0"/>
  </r>
  <r>
    <s v="Hillsboro"/>
    <s v="HILSRTL370"/>
    <s v="Yes"/>
    <s v="Weekly"/>
    <s v="PCIe"/>
    <s v="SN4079811"/>
    <m/>
    <s v="ICE19"/>
    <x v="0"/>
    <x v="20"/>
    <x v="4"/>
    <x v="8"/>
    <s v="No"/>
    <s v="No"/>
    <m/>
    <s v="HILSRTM011sMini.hf.intel.com"/>
    <n v="45370"/>
    <m/>
    <s v="C07826600XMX1R36"/>
    <n v="9718641004"/>
    <n v="440152289745"/>
    <m/>
    <m/>
    <d v="2018-09-18T00:00:00"/>
    <s v="Yes"/>
    <s v="Yes"/>
    <x v="0"/>
  </r>
  <r>
    <s v="Hillsboro"/>
    <s v="HILSRTL371"/>
    <s v="Yes"/>
    <s v="Weekly"/>
    <s v="PCIe"/>
    <s v="SN4079819"/>
    <m/>
    <s v="ICE19"/>
    <x v="0"/>
    <x v="20"/>
    <x v="4"/>
    <x v="8"/>
    <s v="No"/>
    <s v="No"/>
    <m/>
    <s v="HILSRTM011sMini.hf.intel.com"/>
    <n v="45371"/>
    <m/>
    <s v="C07826600W5X1R36"/>
    <n v="9718641001"/>
    <n v="440152289742"/>
    <m/>
    <m/>
    <d v="2018-09-18T00:00:00"/>
    <s v="Yes"/>
    <s v="Yes"/>
    <x v="0"/>
  </r>
  <r>
    <s v="Hillsboro"/>
    <s v="HILSRTL372"/>
    <s v="Yes"/>
    <s v="CEB"/>
    <s v="PCIe"/>
    <s v="SN4079963"/>
    <m/>
    <s v="ICE19"/>
    <x v="0"/>
    <x v="50"/>
    <x v="52"/>
    <x v="8"/>
    <s v="No"/>
    <s v="No"/>
    <m/>
    <s v="HILSRTM011sMini.hf.intel.com"/>
    <n v="45372"/>
    <m/>
    <s v="C07826600VCX1R36"/>
    <n v="9719792824"/>
    <n v="440152289737"/>
    <m/>
    <m/>
    <d v="2018-09-18T00:00:00"/>
    <s v="Yes"/>
    <s v="Yes"/>
    <x v="0"/>
  </r>
  <r>
    <s v="Hillsboro"/>
    <s v="HILSRTL373"/>
    <s v="Yes"/>
    <s v="Daily"/>
    <s v="PCIe"/>
    <s v="SN4079772"/>
    <m/>
    <s v="ICE19"/>
    <x v="0"/>
    <x v="50"/>
    <x v="32"/>
    <x v="8"/>
    <s v="No"/>
    <s v="No"/>
    <m/>
    <s v="HILSRTM011sMini.hf.intel.com"/>
    <n v="45373"/>
    <m/>
    <s v="C07826600VXX1R36"/>
    <n v="9719792823"/>
    <n v="440152289753"/>
    <m/>
    <m/>
    <d v="2018-09-18T00:00:00"/>
    <s v="Yes"/>
    <s v="Yes"/>
    <x v="0"/>
  </r>
  <r>
    <s v="Hillsboro"/>
    <s v="HILSRTL374"/>
    <s v="Yes"/>
    <s v="Daily"/>
    <s v="PCIe"/>
    <s v="SN4079954"/>
    <m/>
    <s v="ICE19"/>
    <x v="0"/>
    <x v="21"/>
    <x v="32"/>
    <x v="8"/>
    <s v="No"/>
    <s v="No"/>
    <m/>
    <s v="HILSRTM011sMini.hf.intel.com"/>
    <n v="45374"/>
    <m/>
    <s v="C07826600UUx1R36"/>
    <n v="5035156183"/>
    <n v="440152289740"/>
    <m/>
    <m/>
    <d v="2018-09-18T00:00:00"/>
    <s v="Yes"/>
    <s v="Yes"/>
    <x v="0"/>
  </r>
  <r>
    <s v="Hillsboro"/>
    <s v="HILSRTL375"/>
    <s v="Yes"/>
    <s v="Daily"/>
    <s v="PCIe"/>
    <s v="SN4079940"/>
    <m/>
    <s v="ICE19"/>
    <x v="0"/>
    <x v="22"/>
    <x v="13"/>
    <x v="8"/>
    <s v="No"/>
    <s v="No"/>
    <m/>
    <s v="HILSRTM011sMini.hf.intel.com"/>
    <n v="45375"/>
    <m/>
    <s v="C07826600ZAX1R36"/>
    <n v="5034572405"/>
    <n v="440152289739"/>
    <m/>
    <m/>
    <d v="2018-09-18T00:00:00"/>
    <s v="Yes"/>
    <s v="Yes"/>
    <x v="0"/>
  </r>
  <r>
    <s v="Hillsboro"/>
    <s v="HILSRTL376"/>
    <s v="Yes"/>
    <s v="Daily"/>
    <s v="PCIe"/>
    <s v="SN4079922"/>
    <m/>
    <s v="ICE19"/>
    <x v="0"/>
    <x v="22"/>
    <x v="14"/>
    <x v="8"/>
    <s v="No"/>
    <s v="No"/>
    <m/>
    <s v="HILSRTM014smini.HF.INTEL.COM "/>
    <n v="45376"/>
    <m/>
    <s v="C07826600XYX1R36"/>
    <n v="6109698637"/>
    <n v="44015228980"/>
    <m/>
    <m/>
    <d v="2018-09-21T00:00:00"/>
    <s v="Yes"/>
    <s v="Yes"/>
    <x v="0"/>
  </r>
  <r>
    <s v="Hillsboro"/>
    <s v="HILSRTL377"/>
    <s v="Yes"/>
    <s v="CEB"/>
    <s v="PCIe"/>
    <s v="SN4079817"/>
    <m/>
    <s v="ICE19"/>
    <x v="0"/>
    <x v="50"/>
    <x v="5"/>
    <x v="8"/>
    <s v="No"/>
    <s v="No"/>
    <m/>
    <s v="HILSRTM014smini.HF.INTEL.COM "/>
    <n v="45377"/>
    <m/>
    <s v="C07826600XXX1R36"/>
    <n v="9713308827"/>
    <n v="44015228979"/>
    <m/>
    <m/>
    <d v="2018-09-21T00:00:00"/>
    <s v="Yes"/>
    <s v="Yes"/>
    <x v="0"/>
  </r>
  <r>
    <s v="Hillsboro"/>
    <s v="HILSRTL379"/>
    <s v="Yes"/>
    <s v="Pre-INT"/>
    <s v="PCIe"/>
    <s v="SN4079965"/>
    <m/>
    <s v="ICE19"/>
    <x v="0"/>
    <x v="50"/>
    <x v="4"/>
    <x v="8"/>
    <s v="No"/>
    <s v="No"/>
    <m/>
    <s v="HILSRTM014smini.HF.INTEL.COM "/>
    <n v="45379"/>
    <m/>
    <s v="C07826600ZDX1R36"/>
    <n v="9713716697"/>
    <n v="44015228973"/>
    <m/>
    <m/>
    <d v="2018-09-21T00:00:00"/>
    <s v="Yes"/>
    <s v="Yes"/>
    <x v="0"/>
  </r>
  <r>
    <s v="Hillsboro"/>
    <s v="HILSRTL380"/>
    <s v="Yes"/>
    <s v="Weekly"/>
    <s v="PCIe"/>
    <s v="SN4079895"/>
    <m/>
    <s v="ICE19"/>
    <x v="0"/>
    <x v="49"/>
    <x v="14"/>
    <x v="8"/>
    <s v="No"/>
    <s v="No"/>
    <m/>
    <s v="HILSRTM014smini.HF.INTEL.COM "/>
    <n v="45380"/>
    <m/>
    <s v="C07826600WUX1R36"/>
    <n v="6106068962"/>
    <n v="44015228979"/>
    <m/>
    <m/>
    <d v="2018-09-21T00:00:00"/>
    <s v="Yes"/>
    <s v="Yes"/>
    <x v="0"/>
  </r>
  <r>
    <s v="Hillsboro"/>
    <s v="HILSRTL382"/>
    <s v="Yes"/>
    <s v="Weekly"/>
    <s v="PCIe"/>
    <s v="SN4079857"/>
    <m/>
    <s v="ICE19"/>
    <x v="0"/>
    <x v="49"/>
    <x v="4"/>
    <x v="8"/>
    <s v="No"/>
    <s v="No"/>
    <m/>
    <s v="HILSRTM014smini.HF.INTEL.COM "/>
    <n v="45382"/>
    <m/>
    <s v="C07826600TFX1R36"/>
    <n v="5039847197"/>
    <n v="440152289799"/>
    <m/>
    <m/>
    <d v="2018-09-21T00:00:00"/>
    <s v="Yes"/>
    <s v="Yes"/>
    <x v="0"/>
  </r>
  <r>
    <s v="Hillsboro"/>
    <s v="HILSRTL383"/>
    <s v="Yes"/>
    <s v="Daily"/>
    <s v="PCIe"/>
    <s v="SN4079941"/>
    <m/>
    <s v="ICE19"/>
    <x v="0"/>
    <x v="49"/>
    <x v="53"/>
    <x v="8"/>
    <s v="No"/>
    <s v="No"/>
    <m/>
    <s v="HILSRTM014smini.HF.INTEL.COM "/>
    <m/>
    <m/>
    <s v="C07826600TFX1R36"/>
    <n v="5039847197"/>
    <n v="440152289799"/>
    <m/>
    <m/>
    <d v="2018-09-24T00:00:00"/>
    <s v="Yes"/>
    <s v="Yes"/>
    <x v="0"/>
  </r>
  <r>
    <s v="Hillsboro"/>
    <s v="HILSRTL384"/>
    <s v="Yes"/>
    <s v="Daily"/>
    <s v="PCIe"/>
    <s v="SN4079939"/>
    <m/>
    <s v="ICE19"/>
    <x v="0"/>
    <x v="49"/>
    <x v="14"/>
    <x v="8"/>
    <s v="No"/>
    <s v="No"/>
    <m/>
    <s v="HILSRTM014smini.HF.INTEL.COM "/>
    <m/>
    <m/>
    <s v="C07826600Vex1R36"/>
    <n v="6194948113"/>
    <n v="440152289754"/>
    <m/>
    <m/>
    <d v="2018-09-25T00:00:00"/>
    <s v="Yes"/>
    <s v="Yes"/>
    <x v="0"/>
  </r>
  <r>
    <s v="Hillsboro"/>
    <s v="HILSRTL385"/>
    <s v="Yes"/>
    <s v="Weekly"/>
    <s v="PCIe"/>
    <s v="SN4079937"/>
    <m/>
    <s v="ICE19"/>
    <x v="0"/>
    <x v="22"/>
    <x v="13"/>
    <x v="8"/>
    <s v="No"/>
    <s v="No"/>
    <m/>
    <s v="HILSRTM014smini.HF.INTEL.COM "/>
    <m/>
    <m/>
    <s v="C07826600VNX1R36"/>
    <n v="6194946258"/>
    <n v="440152289751"/>
    <m/>
    <m/>
    <d v="2018-09-25T00:00:00"/>
    <s v="Yes"/>
    <s v="Yes"/>
    <x v="0"/>
  </r>
  <r>
    <s v="Hillsboro"/>
    <s v="HILSRTL386"/>
    <s v="Yes"/>
    <s v="Pre-INT"/>
    <s v="PCIe"/>
    <s v="SN4079923"/>
    <m/>
    <s v="ICE19"/>
    <x v="0"/>
    <x v="50"/>
    <x v="4"/>
    <x v="8"/>
    <s v="No"/>
    <s v="No"/>
    <m/>
    <s v="HILSRTM014smini.HF.INTEL.COM "/>
    <m/>
    <m/>
    <s v="C07826600YBX1R36"/>
    <n v="6194948295"/>
    <n v="440152289802"/>
    <m/>
    <m/>
    <d v="2018-09-25T00:00:00"/>
    <s v="Yes"/>
    <s v="Yes"/>
    <x v="0"/>
  </r>
  <r>
    <s v="Hillsboro"/>
    <s v="HILSRTL387"/>
    <s v="Yes"/>
    <s v="Pre-INT"/>
    <s v="PCIe"/>
    <s v="SN4079959"/>
    <m/>
    <s v="ICE19"/>
    <x v="0"/>
    <x v="50"/>
    <x v="4"/>
    <x v="8"/>
    <s v="No"/>
    <s v="No"/>
    <m/>
    <s v="HILSRTM014smini.HF.INTEL.COM "/>
    <m/>
    <m/>
    <s v="C07826600XKX1R36"/>
    <n v="6194849750"/>
    <n v="440152289752"/>
    <m/>
    <m/>
    <d v="2018-09-25T00:00:00"/>
    <s v="Yes"/>
    <s v="Yes"/>
    <x v="0"/>
  </r>
  <r>
    <s v="Hillsboro"/>
    <s v="HILSRTL388"/>
    <s v="Yes"/>
    <s v="Weekly"/>
    <s v="PCIe"/>
    <s v="SN4079861"/>
    <m/>
    <s v="ICE19"/>
    <x v="0"/>
    <x v="49"/>
    <x v="14"/>
    <x v="8"/>
    <s v="No"/>
    <s v="No"/>
    <m/>
    <s v="HILSRTM014smini.HF.INTEL.COM "/>
    <m/>
    <m/>
    <s v="C07826600UWX1R36"/>
    <n v="5033477848"/>
    <n v="440152289789"/>
    <m/>
    <m/>
    <d v="2018-09-25T00:00:00"/>
    <s v="Yes"/>
    <s v="Yes"/>
    <x v="0"/>
  </r>
  <r>
    <s v="Hillsboro"/>
    <s v="HILSRTL389"/>
    <s v="Yes"/>
    <s v="Weekly"/>
    <s v="PCIe"/>
    <s v="SN4079960"/>
    <m/>
    <s v="ICE19"/>
    <x v="0"/>
    <x v="49"/>
    <x v="13"/>
    <x v="8"/>
    <s v="No"/>
    <s v="No"/>
    <m/>
    <s v="HILSRTM014smini.HF.INTEL.COM "/>
    <m/>
    <m/>
    <s v="C07826600XYX1R36"/>
    <n v="9717274965"/>
    <n v="440152289750"/>
    <m/>
    <m/>
    <d v="2018-09-30T00:00:00"/>
    <s v="Yes"/>
    <s v="Yes"/>
    <x v="0"/>
  </r>
  <r>
    <s v="Hillsboro"/>
    <s v="HILSRTL390"/>
    <s v="Yes"/>
    <s v="Weekly"/>
    <s v="PCIe"/>
    <s v="SN4079831"/>
    <m/>
    <s v="ICE19"/>
    <x v="0"/>
    <x v="49"/>
    <x v="13"/>
    <x v="8"/>
    <s v="No"/>
    <s v="No"/>
    <m/>
    <s v="HILSRTM014smini.HF.INTEL.COM "/>
    <m/>
    <m/>
    <s v="C07826600ZVX1R36"/>
    <n v="9717275453"/>
    <n v="440152289749"/>
    <m/>
    <m/>
    <d v="2018-09-30T00:00:00"/>
    <s v="Yes"/>
    <s v="Yes"/>
    <x v="0"/>
  </r>
  <r>
    <s v="Hillsboro"/>
    <s v="HILSRTL391"/>
    <s v="Yes"/>
    <s v="CEB"/>
    <s v="PCIe"/>
    <s v="SN4079925"/>
    <m/>
    <s v="ICE19"/>
    <x v="0"/>
    <x v="49"/>
    <x v="14"/>
    <x v="8"/>
    <s v="No"/>
    <s v="No"/>
    <m/>
    <s v="HILSRTM014smini.HF.INTEL.COM "/>
    <m/>
    <m/>
    <s v="C07826600VWX1R36"/>
    <n v="9717275059"/>
    <n v="440152289747"/>
    <m/>
    <m/>
    <d v="2018-09-30T00:00:00"/>
    <s v="Yes"/>
    <s v="Yes"/>
    <x v="0"/>
  </r>
  <r>
    <s v="Hillsboro"/>
    <s v="HILSRTL392"/>
    <s v="No"/>
    <m/>
    <s v="PCIe"/>
    <s v="SN4079920"/>
    <m/>
    <s v="ICE19"/>
    <x v="1"/>
    <x v="24"/>
    <x v="2"/>
    <x v="4"/>
    <s v="No"/>
    <s v="No"/>
    <m/>
    <s v="HILSRTM014smini.HF.INTEL.COM "/>
    <m/>
    <m/>
    <s v="C07826600UZX1R36"/>
    <n v="6106068962"/>
    <n v="440152289743"/>
    <m/>
    <m/>
    <d v="2018-09-30T00:00:00"/>
    <s v="Yes"/>
    <s v="Yes"/>
    <x v="1"/>
  </r>
  <r>
    <s v="Hillsboro"/>
    <s v="HILSRTL393"/>
    <s v="Yes"/>
    <s v="Weekly"/>
    <s v="PCIe"/>
    <s v="SN4079848"/>
    <m/>
    <s v="ICE19"/>
    <x v="1"/>
    <x v="51"/>
    <x v="54"/>
    <x v="8"/>
    <s v="No"/>
    <s v="No"/>
    <m/>
    <s v="HILSRTM014smini.HF.INTEL.COM "/>
    <m/>
    <m/>
    <s v="C07826600WGX1R36"/>
    <n v="5039847197"/>
    <n v="440152289748"/>
    <m/>
    <m/>
    <d v="2018-09-30T00:00:00"/>
    <s v="Yes"/>
    <s v="Yes"/>
    <x v="0"/>
  </r>
  <r>
    <s v="Hillsboro"/>
    <s v="HILSRTL394"/>
    <s v="Yes"/>
    <s v="Weekly"/>
    <s v="PCIe"/>
    <s v="SN4079893"/>
    <m/>
    <s v="ICE19"/>
    <x v="1"/>
    <x v="51"/>
    <x v="54"/>
    <x v="8"/>
    <s v="No"/>
    <s v="No"/>
    <m/>
    <s v="HILSRTM014smini.HF.INTEL.COM "/>
    <m/>
    <m/>
    <s v="C07826600YQX1R36"/>
    <n v="6194948113"/>
    <n v="440152289744"/>
    <m/>
    <m/>
    <d v="2018-09-30T00:00:00"/>
    <s v="Yes"/>
    <s v="Yes"/>
    <x v="0"/>
  </r>
  <r>
    <s v="Hillsboro"/>
    <s v="HILSRTL395"/>
    <s v="Yes"/>
    <s v="Weekly"/>
    <s v="PCIe"/>
    <s v="SN4079846"/>
    <m/>
    <s v="ICE19"/>
    <x v="0"/>
    <x v="22"/>
    <x v="14"/>
    <x v="8"/>
    <s v="No"/>
    <s v="No"/>
    <m/>
    <s v="HILSRTM011sMini.hf.intel.com"/>
    <m/>
    <m/>
    <s v="C07826600UGX1R36"/>
    <n v="5034572405"/>
    <n v="440152289794"/>
    <m/>
    <m/>
    <d v="2018-10-10T00:00:00"/>
    <s v="Yes"/>
    <s v="Yes"/>
    <x v="0"/>
  </r>
  <r>
    <s v="Hillsboro"/>
    <s v="HILSRTL396"/>
    <s v="Yes"/>
    <s v="Daily"/>
    <s v="PCIe"/>
    <s v="SN4079850"/>
    <m/>
    <s v="ICE19"/>
    <x v="1"/>
    <x v="52"/>
    <x v="55"/>
    <x v="3"/>
    <s v="No"/>
    <s v="No"/>
    <m/>
    <s v="HILSRTM011sMini.hf.intel.com"/>
    <m/>
    <m/>
    <s v="C078263000EX1R36"/>
    <s v="6194946258"/>
    <s v=" 00440152287666"/>
    <m/>
    <m/>
    <d v="2018-10-10T00:00:00"/>
    <s v="Yes"/>
    <s v="Yes"/>
    <x v="3"/>
  </r>
  <r>
    <s v="Hillsboro"/>
    <s v="HILSRTL397"/>
    <s v="Yes"/>
    <m/>
    <s v="PCIe"/>
    <s v="SN4079802"/>
    <m/>
    <s v="ICE19"/>
    <x v="2"/>
    <x v="2"/>
    <x v="2"/>
    <x v="3"/>
    <s v="No"/>
    <s v="No"/>
    <m/>
    <s v="HILSRTM011sMini.hf.intel.com"/>
    <m/>
    <m/>
    <s v="C0782630002X1R36"/>
    <n v="6194948295"/>
    <s v=" 00440152287684"/>
    <m/>
    <m/>
    <d v="2018-10-10T00:00:00"/>
    <s v="Yes"/>
    <s v="Yes"/>
    <x v="1"/>
  </r>
  <r>
    <s v="Hillsboro"/>
    <s v="HILSRTL149"/>
    <s v="Yes"/>
    <s v="CR"/>
    <s v="PCIe"/>
    <m/>
    <m/>
    <s v="ICE17"/>
    <x v="0"/>
    <x v="53"/>
    <x v="4"/>
    <x v="15"/>
    <s v="No"/>
    <s v="No"/>
    <m/>
    <m/>
    <m/>
    <m/>
    <s v="C076475005VOHHH1"/>
    <n v="14846324057"/>
    <s v="00440152226658'"/>
    <m/>
    <m/>
    <m/>
    <s v="Yes"/>
    <s v="Yes"/>
    <x v="0"/>
  </r>
  <r>
    <s v="Hillsboro"/>
    <s v="HILSRTL151"/>
    <s v="Yes"/>
    <s v="CR"/>
    <s v="PCIe"/>
    <m/>
    <m/>
    <s v="ICE17"/>
    <x v="0"/>
    <x v="53"/>
    <x v="4"/>
    <x v="3"/>
    <s v="No"/>
    <s v="No"/>
    <m/>
    <m/>
    <m/>
    <m/>
    <s v="C0765050010H2WH1"/>
    <n v="14846499102"/>
    <s v="00440152227304'"/>
    <m/>
    <m/>
    <m/>
    <s v="Yes"/>
    <s v="Yes"/>
    <x v="0"/>
  </r>
  <r>
    <s v="Hillsboro"/>
    <s v="HILSRTL154"/>
    <s v="Yes"/>
    <s v="CR"/>
    <s v="PCIe"/>
    <m/>
    <m/>
    <s v="ICE17"/>
    <x v="0"/>
    <x v="54"/>
    <x v="4"/>
    <x v="3"/>
    <s v="No"/>
    <s v="No"/>
    <m/>
    <m/>
    <m/>
    <m/>
    <s v="C0764550067OHHH1"/>
    <n v="19713719914"/>
    <s v="00440152221623'"/>
    <m/>
    <m/>
    <m/>
    <s v="Yes"/>
    <s v="Yes"/>
    <x v="0"/>
  </r>
  <r>
    <s v="Hillsboro"/>
    <s v="HILSRTL178"/>
    <s v="Yes"/>
    <s v="CR"/>
    <s v="PCIe"/>
    <m/>
    <m/>
    <s v="ICE17"/>
    <x v="0"/>
    <x v="54"/>
    <x v="4"/>
    <x v="3"/>
    <s v="No"/>
    <s v="No"/>
    <m/>
    <m/>
    <m/>
    <m/>
    <s v="C0764550044OHHH1"/>
    <n v="14846959077"/>
    <s v="00440152221762'"/>
    <m/>
    <m/>
    <m/>
    <s v="Yes"/>
    <s v="Yes"/>
    <x v="0"/>
  </r>
  <r>
    <s v="Hillsboro"/>
    <s v="HILSRTL155"/>
    <s v="Yes"/>
    <s v="CR"/>
    <s v="PCIe"/>
    <m/>
    <m/>
    <s v="ICE17"/>
    <x v="0"/>
    <x v="54"/>
    <x v="4"/>
    <x v="3"/>
    <s v="No"/>
    <s v="No"/>
    <m/>
    <m/>
    <m/>
    <m/>
    <s v="C076485002QOHHH1"/>
    <n v="14842640134"/>
    <s v="00440152226845'"/>
    <m/>
    <m/>
    <m/>
    <s v="Yes"/>
    <s v="Yes"/>
    <x v="0"/>
  </r>
  <r>
    <s v="Hillsboro"/>
    <s v="HILSRTL150"/>
    <s v="Yes"/>
    <s v="CR"/>
    <s v="PCIe"/>
    <m/>
    <m/>
    <s v="ICE17"/>
    <x v="0"/>
    <x v="54"/>
    <x v="4"/>
    <x v="3"/>
    <s v="No"/>
    <s v="No"/>
    <m/>
    <m/>
    <m/>
    <m/>
    <s v="C076475005QOHHH1"/>
    <n v="16105979549"/>
    <s v="00440152228655'"/>
    <m/>
    <m/>
    <m/>
    <s v="Yes"/>
    <s v="Yes"/>
    <x v="0"/>
  </r>
  <r>
    <s v="Hillsboro"/>
    <s v="HILSRTL156"/>
    <s v="Yes"/>
    <s v="CR"/>
    <s v="PCIe"/>
    <m/>
    <m/>
    <s v="ICE17"/>
    <x v="0"/>
    <x v="54"/>
    <x v="4"/>
    <x v="3"/>
    <s v="No"/>
    <s v="No"/>
    <m/>
    <m/>
    <m/>
    <m/>
    <s v="C076455004AOHHH1"/>
    <n v="14846023553"/>
    <s v="00440152221775'"/>
    <m/>
    <m/>
    <m/>
    <s v="Yes"/>
    <s v="Yes"/>
    <x v="0"/>
  </r>
  <r>
    <s v="Hillsboro"/>
    <s v="HILSRTL153"/>
    <s v="Yes"/>
    <s v="CR"/>
    <s v="PCIe"/>
    <m/>
    <m/>
    <s v="ICE17"/>
    <x v="0"/>
    <x v="54"/>
    <x v="4"/>
    <x v="3"/>
    <s v="No"/>
    <s v="No"/>
    <m/>
    <m/>
    <m/>
    <m/>
    <s v="C076303006PH2WH9"/>
    <n v="14843501385"/>
    <s v="00440152222218'"/>
    <m/>
    <m/>
    <m/>
    <s v="Yes"/>
    <s v="Yes"/>
    <x v="0"/>
  </r>
  <r>
    <s v="Hillsboro"/>
    <s v="HILSRTL152"/>
    <s v="Yes"/>
    <s v="CR"/>
    <s v="PCIe"/>
    <m/>
    <m/>
    <s v="ICE17"/>
    <x v="0"/>
    <x v="49"/>
    <x v="4"/>
    <x v="3"/>
    <s v="No"/>
    <s v="No"/>
    <m/>
    <m/>
    <m/>
    <m/>
    <s v="C076505004BH2WH1"/>
    <n v="15035979093"/>
    <s v="00440152227161'"/>
    <m/>
    <m/>
    <m/>
    <s v="Yes"/>
    <s v="Yes"/>
    <x v="0"/>
  </r>
  <r>
    <s v="Hillsboro"/>
    <s v="HILSRTL177"/>
    <s v="Yes"/>
    <s v="CR"/>
    <s v="PCIe"/>
    <m/>
    <m/>
    <s v="ICE17"/>
    <x v="0"/>
    <x v="49"/>
    <x v="4"/>
    <x v="3"/>
    <s v="No"/>
    <s v="No"/>
    <m/>
    <m/>
    <m/>
    <m/>
    <s v="C076455005EOHHH1"/>
    <n v="19712913179"/>
    <s v="00440152221771'"/>
    <m/>
    <m/>
    <m/>
    <s v="Yes"/>
    <s v="Yes"/>
    <x v="0"/>
  </r>
  <r>
    <s v="Hillsboro"/>
    <s v="HILSRTL179"/>
    <s v="Yes"/>
    <s v="CR"/>
    <s v="PCIe"/>
    <m/>
    <m/>
    <s v="ICE17"/>
    <x v="0"/>
    <x v="49"/>
    <x v="4"/>
    <x v="3"/>
    <s v="No"/>
    <s v="No"/>
    <m/>
    <m/>
    <m/>
    <m/>
    <s v="C076455004WOHHH1"/>
    <n v="19717088292"/>
    <s v="00440152221772'"/>
    <m/>
    <m/>
    <m/>
    <s v="Yes"/>
    <s v="Yes"/>
    <x v="0"/>
  </r>
  <r>
    <s v="Hillsboro"/>
    <s v="HILSRTL180"/>
    <s v="Yes"/>
    <s v="CR"/>
    <s v="PCIe"/>
    <m/>
    <m/>
    <s v="ICE17"/>
    <x v="0"/>
    <x v="49"/>
    <x v="4"/>
    <x v="3"/>
    <s v="No"/>
    <s v="No"/>
    <m/>
    <m/>
    <m/>
    <m/>
    <s v="C0764850030OHHH1"/>
    <n v="19717088495"/>
    <s v="00440152226843'"/>
    <m/>
    <m/>
    <m/>
    <s v="Yes"/>
    <s v="Yes"/>
    <x v="0"/>
  </r>
  <r>
    <s v="Hillsboro"/>
    <s v="STRESSPCHILL014"/>
    <s v="Yes"/>
    <s v="CR"/>
    <s v="USB"/>
    <m/>
    <m/>
    <s v="ICE17"/>
    <x v="0"/>
    <x v="53"/>
    <x v="4"/>
    <x v="3"/>
    <s v="No"/>
    <s v="No"/>
    <m/>
    <m/>
    <m/>
    <m/>
    <m/>
    <n v="14848608998"/>
    <s v="00440152227163'"/>
    <m/>
    <m/>
    <m/>
    <s v="Yes"/>
    <s v="Yes"/>
    <x v="0"/>
  </r>
  <r>
    <s v="Hillsboro"/>
    <s v="STRESSPCHILL040"/>
    <s v="Yes"/>
    <s v="CR"/>
    <s v="USB"/>
    <m/>
    <m/>
    <s v="ICE17"/>
    <x v="0"/>
    <x v="54"/>
    <x v="4"/>
    <x v="3"/>
    <s v="No"/>
    <s v="No"/>
    <m/>
    <m/>
    <m/>
    <m/>
    <m/>
    <n v="14847147426"/>
    <s v="00440152226838'"/>
    <m/>
    <m/>
    <m/>
    <s v="Yes"/>
    <s v="Yes"/>
    <x v="0"/>
  </r>
  <r>
    <s v="Hillsboro"/>
    <s v="HILSRTW013"/>
    <s v="Yes"/>
    <s v="CR"/>
    <s v="USB"/>
    <m/>
    <m/>
    <s v="ICE17"/>
    <x v="0"/>
    <x v="53"/>
    <x v="4"/>
    <x v="3"/>
    <s v="No"/>
    <s v="No"/>
    <m/>
    <m/>
    <m/>
    <m/>
    <m/>
    <n v="16106182461"/>
    <s v="00440152221653'"/>
    <m/>
    <m/>
    <m/>
    <s v="Yes"/>
    <s v="Yes"/>
    <x v="0"/>
  </r>
  <r>
    <s v="Hillsboro"/>
    <s v="HILSRTW010"/>
    <s v="Yes"/>
    <s v="CR"/>
    <s v="USB"/>
    <m/>
    <m/>
    <s v="ICE17"/>
    <x v="0"/>
    <x v="54"/>
    <x v="4"/>
    <x v="3"/>
    <s v="No"/>
    <s v="No"/>
    <m/>
    <m/>
    <m/>
    <m/>
    <m/>
    <n v="14847956463"/>
    <s v="00440152221770'"/>
    <m/>
    <m/>
    <m/>
    <s v="Yes"/>
    <s v="Yes"/>
    <x v="0"/>
  </r>
  <r>
    <s v="Hillsboro"/>
    <s v="HILSRTL230"/>
    <s v="Yes"/>
    <s v="CR"/>
    <s v="PCIe"/>
    <m/>
    <m/>
    <s v="ICE16"/>
    <x v="0"/>
    <x v="54"/>
    <x v="4"/>
    <x v="3"/>
    <s v="No"/>
    <s v="No"/>
    <m/>
    <m/>
    <m/>
    <m/>
    <s v="C7H552600MWG7R6AZ"/>
    <n v="14842649124"/>
    <s v="00440152066690'"/>
    <m/>
    <m/>
    <m/>
    <s v="Yes"/>
    <s v="Yes"/>
    <x v="0"/>
  </r>
  <r>
    <s v="Hillsboro"/>
    <s v="HILSRTL236"/>
    <s v="Yes"/>
    <s v="CR"/>
    <s v="PCIe"/>
    <m/>
    <m/>
    <s v="ICE16"/>
    <x v="0"/>
    <x v="54"/>
    <x v="4"/>
    <x v="3"/>
    <s v="No"/>
    <s v="No"/>
    <m/>
    <m/>
    <m/>
    <m/>
    <s v="C7H60120001G7R6AY"/>
    <n v="14848380353"/>
    <s v="00440152061400'"/>
    <m/>
    <m/>
    <m/>
    <s v="Yes"/>
    <s v="Yes"/>
    <x v="0"/>
  </r>
  <r>
    <s v="Hillsboro"/>
    <s v="HILSRTL232"/>
    <s v="Yes"/>
    <s v="CR"/>
    <s v="PCIe"/>
    <m/>
    <m/>
    <s v="ICE16"/>
    <x v="0"/>
    <x v="55"/>
    <x v="4"/>
    <x v="3"/>
    <s v="No"/>
    <s v="No"/>
    <m/>
    <m/>
    <m/>
    <m/>
    <s v="C7H601200AWG7R6A7"/>
    <n v="16102033403"/>
    <s v="00440152061662'"/>
    <m/>
    <m/>
    <m/>
    <s v="Yes"/>
    <s v="Yes"/>
    <x v="0"/>
  </r>
  <r>
    <s v="Hillsboro"/>
    <s v="HILSRTL233"/>
    <s v="Yes"/>
    <s v="CR"/>
    <s v="PCIe"/>
    <m/>
    <m/>
    <s v="ICE16"/>
    <x v="0"/>
    <x v="54"/>
    <x v="4"/>
    <x v="3"/>
    <s v="No"/>
    <s v="No"/>
    <m/>
    <m/>
    <m/>
    <m/>
    <s v="C7H552600QYG7R6AN"/>
    <n v="14845153004"/>
    <s v="00440152066682'"/>
    <m/>
    <m/>
    <m/>
    <s v="Yes"/>
    <s v="Yes"/>
    <x v="0"/>
  </r>
  <r>
    <s v="Hillsboro"/>
    <s v="HILSRTL234"/>
    <s v="Yes"/>
    <s v="CR"/>
    <s v="PCIe"/>
    <m/>
    <m/>
    <s v="ICE16"/>
    <x v="0"/>
    <x v="54"/>
    <x v="4"/>
    <x v="3"/>
    <s v="No"/>
    <s v="No"/>
    <m/>
    <m/>
    <m/>
    <m/>
    <s v="C7H552600NZG7R6AT"/>
    <n v="14843877023"/>
    <s v="00440152066652'"/>
    <m/>
    <m/>
    <m/>
    <s v="Yes"/>
    <s v="Yes"/>
    <x v="0"/>
  </r>
  <r>
    <s v="Hillsboro"/>
    <s v="HILSRTL235"/>
    <s v="Yes"/>
    <s v="CR"/>
    <s v="PCIe"/>
    <m/>
    <m/>
    <s v="ICE16"/>
    <x v="0"/>
    <x v="55"/>
    <x v="4"/>
    <x v="3"/>
    <s v="No"/>
    <s v="No"/>
    <m/>
    <m/>
    <m/>
    <m/>
    <s v="C7H552600D7G7R6AC"/>
    <n v="14846495813"/>
    <s v="00440152067064'"/>
    <m/>
    <m/>
    <m/>
    <s v="Yes"/>
    <s v="Yes"/>
    <x v="0"/>
  </r>
  <r>
    <s v="Hillsboro"/>
    <s v="HILSRTL231"/>
    <s v="Yes"/>
    <s v="CR"/>
    <s v="PCIe"/>
    <m/>
    <m/>
    <s v="ICE16"/>
    <x v="0"/>
    <x v="55"/>
    <x v="4"/>
    <x v="3"/>
    <s v="No"/>
    <s v="No"/>
    <m/>
    <m/>
    <m/>
    <m/>
    <s v="C7H552600EWG7R6AL"/>
    <s v=" 16105042016"/>
    <s v="00440152066656'"/>
    <m/>
    <m/>
    <m/>
    <s v="Yes"/>
    <s v="Yes"/>
    <x v="0"/>
  </r>
  <r>
    <s v="Hillsboro"/>
    <s v="HILSRTL237"/>
    <s v="Yes"/>
    <s v="CR"/>
    <s v="PCIe"/>
    <m/>
    <m/>
    <s v="ICE16"/>
    <x v="0"/>
    <x v="54"/>
    <x v="4"/>
    <x v="3"/>
    <s v="No"/>
    <s v="No"/>
    <m/>
    <m/>
    <m/>
    <m/>
    <s v="C7H552600JGG7R6AN"/>
    <n v="19713306132"/>
    <s v="00440152060482'"/>
    <m/>
    <m/>
    <m/>
    <s v="Yes"/>
    <s v="Yes"/>
    <x v="0"/>
  </r>
  <r>
    <s v="Hillsboro"/>
    <s v="HILSRTL238"/>
    <s v="Yes"/>
    <s v="CR"/>
    <s v="PCIe"/>
    <m/>
    <m/>
    <s v="ICE16"/>
    <x v="0"/>
    <x v="55"/>
    <x v="4"/>
    <x v="3"/>
    <s v="No"/>
    <s v="No"/>
    <m/>
    <m/>
    <m/>
    <m/>
    <s v="C7H6012009PG7R6AH"/>
    <n v="16105042288"/>
    <s v="00440152061351'"/>
    <m/>
    <m/>
    <m/>
    <s v="Yes"/>
    <s v="Yes"/>
    <x v="0"/>
  </r>
  <r>
    <s v="Hillsboro"/>
    <s v="HILSRTL239"/>
    <s v="Yes"/>
    <s v="CR"/>
    <s v="PCIe"/>
    <m/>
    <m/>
    <s v="ICE16"/>
    <x v="0"/>
    <x v="54"/>
    <x v="4"/>
    <x v="3"/>
    <s v="No"/>
    <s v="No"/>
    <m/>
    <m/>
    <m/>
    <m/>
    <s v="C7H552600CRG7R6AX"/>
    <n v="14842236082"/>
    <s v="00440152066556'"/>
    <m/>
    <m/>
    <m/>
    <s v="Yes"/>
    <s v="Yes"/>
    <x v="0"/>
  </r>
  <r>
    <s v="Hillsboro"/>
    <s v="AW000002510869"/>
    <s v="Yes"/>
    <s v="CR"/>
    <s v="USB"/>
    <m/>
    <m/>
    <s v="ICE17"/>
    <x v="0"/>
    <x v="53"/>
    <x v="4"/>
    <x v="3"/>
    <s v="No"/>
    <s v="No"/>
    <m/>
    <s v="10.53.224.37 "/>
    <m/>
    <m/>
    <m/>
    <n v="15034571292"/>
    <s v="00440152221773'"/>
    <m/>
    <m/>
    <m/>
    <s v="Yes"/>
    <s v="Yes"/>
    <x v="0"/>
  </r>
  <r>
    <s v="Hillsboro"/>
    <s v="AW000002510831"/>
    <s v="Yes"/>
    <s v="CR"/>
    <s v="USB"/>
    <m/>
    <m/>
    <s v="ICE17"/>
    <x v="0"/>
    <x v="54"/>
    <x v="4"/>
    <x v="3"/>
    <s v="No"/>
    <s v="No"/>
    <m/>
    <s v="10.53.224.37 "/>
    <m/>
    <m/>
    <m/>
    <n v="15035158811"/>
    <s v="00440152221750'"/>
    <m/>
    <m/>
    <m/>
    <s v="Yes"/>
    <s v="Yes"/>
    <x v="0"/>
  </r>
  <r>
    <s v="Hillsboro"/>
    <s v="HILSRTW133.AMR.CORP.INTEL.COM"/>
    <s v="Yes"/>
    <m/>
    <s v="Windows"/>
    <m/>
    <m/>
    <s v="M.2_7360"/>
    <x v="0"/>
    <x v="2"/>
    <x v="2"/>
    <x v="3"/>
    <m/>
    <m/>
    <m/>
    <m/>
    <m/>
    <m/>
    <m/>
    <m/>
    <m/>
    <m/>
    <m/>
    <m/>
    <m/>
    <m/>
    <x v="2"/>
  </r>
  <r>
    <s v="Hillsboro"/>
    <s v="HILSRTW134.AMR.CORP.INTEL.COM"/>
    <s v="Yes"/>
    <m/>
    <s v="Windows"/>
    <m/>
    <m/>
    <s v="M.2_7360"/>
    <x v="0"/>
    <x v="2"/>
    <x v="2"/>
    <x v="3"/>
    <m/>
    <m/>
    <m/>
    <m/>
    <m/>
    <m/>
    <m/>
    <m/>
    <m/>
    <m/>
    <m/>
    <m/>
    <m/>
    <m/>
    <x v="2"/>
  </r>
  <r>
    <s v="Hillsboro"/>
    <s v="HILSRTW128.AMR.CORP.INTEL.COM"/>
    <s v="Yes"/>
    <m/>
    <s v="Windows"/>
    <m/>
    <m/>
    <s v="M.2_7360"/>
    <x v="0"/>
    <x v="2"/>
    <x v="2"/>
    <x v="3"/>
    <m/>
    <m/>
    <m/>
    <m/>
    <m/>
    <m/>
    <m/>
    <m/>
    <m/>
    <m/>
    <m/>
    <m/>
    <m/>
    <m/>
    <x v="2"/>
  </r>
  <r>
    <s v="Hillsboro"/>
    <s v="HILSRTW127.AMR.CORP.INTEL.COM"/>
    <s v="Yes"/>
    <m/>
    <s v="Windows"/>
    <m/>
    <m/>
    <s v="M.2_7360"/>
    <x v="0"/>
    <x v="2"/>
    <x v="2"/>
    <x v="3"/>
    <m/>
    <m/>
    <m/>
    <m/>
    <m/>
    <m/>
    <m/>
    <m/>
    <m/>
    <m/>
    <m/>
    <m/>
    <m/>
    <m/>
    <x v="2"/>
  </r>
  <r>
    <s v="Hillsboro"/>
    <s v="HILSRTW129.AMR.CORP.INTEL.COM"/>
    <s v="Yes"/>
    <m/>
    <s v="Windows"/>
    <m/>
    <m/>
    <s v="M.2_7360"/>
    <x v="0"/>
    <x v="2"/>
    <x v="2"/>
    <x v="3"/>
    <m/>
    <m/>
    <m/>
    <m/>
    <m/>
    <m/>
    <m/>
    <m/>
    <m/>
    <m/>
    <m/>
    <m/>
    <m/>
    <m/>
    <x v="2"/>
  </r>
  <r>
    <s v="Hillsboro"/>
    <s v="HILSRTW130.AMR.CORP.INTEL.COM"/>
    <s v="Yes"/>
    <m/>
    <s v="Windows"/>
    <m/>
    <m/>
    <s v="M.2_7360"/>
    <x v="0"/>
    <x v="2"/>
    <x v="2"/>
    <x v="3"/>
    <m/>
    <m/>
    <m/>
    <m/>
    <m/>
    <m/>
    <m/>
    <m/>
    <m/>
    <m/>
    <m/>
    <m/>
    <m/>
    <m/>
    <x v="2"/>
  </r>
  <r>
    <s v="Hillsboro"/>
    <s v="HILSRTW126.AMR.CORP.INTEL.COM"/>
    <s v="Yes"/>
    <m/>
    <s v="Windows"/>
    <m/>
    <m/>
    <s v="M.2_7360"/>
    <x v="0"/>
    <x v="2"/>
    <x v="2"/>
    <x v="3"/>
    <m/>
    <m/>
    <m/>
    <m/>
    <m/>
    <m/>
    <m/>
    <m/>
    <m/>
    <m/>
    <m/>
    <m/>
    <m/>
    <m/>
    <x v="2"/>
  </r>
  <r>
    <s v="Hillsboro"/>
    <s v="HILSRTE067.AMR.CORP.INTEL.COM"/>
    <s v="Yes"/>
    <m/>
    <s v="Windows"/>
    <m/>
    <m/>
    <s v="M.2_7360"/>
    <x v="0"/>
    <x v="2"/>
    <x v="2"/>
    <x v="3"/>
    <m/>
    <m/>
    <m/>
    <m/>
    <m/>
    <m/>
    <m/>
    <m/>
    <m/>
    <m/>
    <m/>
    <m/>
    <m/>
    <m/>
    <x v="2"/>
  </r>
  <r>
    <s v="Hillsboro"/>
    <s v="HILSRTW065.AMR.CORP.INTEL.COM"/>
    <s v="Yes"/>
    <m/>
    <s v="Windows"/>
    <m/>
    <m/>
    <s v="M.2_7360"/>
    <x v="0"/>
    <x v="2"/>
    <x v="2"/>
    <x v="3"/>
    <m/>
    <m/>
    <m/>
    <m/>
    <m/>
    <m/>
    <m/>
    <m/>
    <m/>
    <m/>
    <m/>
    <m/>
    <m/>
    <m/>
    <x v="2"/>
  </r>
  <r>
    <s v="Hillsboro"/>
    <s v="HILSRTL267"/>
    <s v="No"/>
    <s v="Pre-INT/CEB"/>
    <s v="PCIe"/>
    <m/>
    <m/>
    <s v="ICE18"/>
    <x v="1"/>
    <x v="24"/>
    <x v="56"/>
    <x v="1"/>
    <s v="No"/>
    <s v="No"/>
    <m/>
    <s v="HILSRTM010sMini.hf.intel.com"/>
    <m/>
    <m/>
    <m/>
    <m/>
    <m/>
    <m/>
    <m/>
    <m/>
    <s v="Yes"/>
    <s v="Yes"/>
    <x v="3"/>
  </r>
  <r>
    <s v="Hillsboro"/>
    <s v="HILSRTL269"/>
    <s v="No"/>
    <s v="Pre-INT/CEB"/>
    <s v="PCIe"/>
    <m/>
    <m/>
    <s v="ICE18"/>
    <x v="1"/>
    <x v="24"/>
    <x v="56"/>
    <x v="1"/>
    <s v="No"/>
    <s v="No"/>
    <m/>
    <s v="HILSRTM010sMini.hf.intel.com"/>
    <m/>
    <m/>
    <m/>
    <m/>
    <m/>
    <m/>
    <m/>
    <m/>
    <s v="Yes"/>
    <s v="Yes"/>
    <x v="0"/>
  </r>
  <r>
    <s v="Hillsboro"/>
    <s v="HILSRTL270"/>
    <s v="No"/>
    <s v="Pre-INT/CEB"/>
    <s v="PCIe"/>
    <m/>
    <m/>
    <s v="ICE18"/>
    <x v="1"/>
    <x v="24"/>
    <x v="56"/>
    <x v="1"/>
    <s v="No"/>
    <s v="No"/>
    <m/>
    <s v="HILSRTM010sMini.hf.intel.com"/>
    <m/>
    <m/>
    <m/>
    <m/>
    <m/>
    <m/>
    <m/>
    <m/>
    <s v="Yes"/>
    <s v="Yes"/>
    <x v="0"/>
  </r>
  <r>
    <s v="Hillsboro"/>
    <s v="HILSRTL282"/>
    <s v="No"/>
    <s v="Pre-INT/CEB"/>
    <s v="PCIe"/>
    <m/>
    <m/>
    <s v="ICE18"/>
    <x v="1"/>
    <x v="24"/>
    <x v="56"/>
    <x v="1"/>
    <s v="No"/>
    <s v="No"/>
    <m/>
    <s v="HILSRTM010sMini.hf.intel.com"/>
    <m/>
    <m/>
    <m/>
    <m/>
    <m/>
    <m/>
    <m/>
    <m/>
    <s v="Yes"/>
    <s v="Yes"/>
    <x v="0"/>
  </r>
  <r>
    <s v="Hillsboro"/>
    <s v="HILSRTL283"/>
    <s v="No"/>
    <s v="Pre-INT/CEB"/>
    <s v="PCIe"/>
    <m/>
    <m/>
    <s v="ICE18"/>
    <x v="1"/>
    <x v="24"/>
    <x v="56"/>
    <x v="1"/>
    <s v="No"/>
    <s v="No"/>
    <m/>
    <s v="HILSRTM010sMini.hf.intel.com"/>
    <m/>
    <m/>
    <m/>
    <m/>
    <m/>
    <m/>
    <m/>
    <m/>
    <s v="Yes"/>
    <s v="Yes"/>
    <x v="0"/>
  </r>
  <r>
    <s v="Hillsboro"/>
    <s v="HILSRTL285"/>
    <s v="No"/>
    <s v="Pre-INT/CEB"/>
    <s v="PCIe"/>
    <m/>
    <m/>
    <s v="ICE18"/>
    <x v="1"/>
    <x v="24"/>
    <x v="56"/>
    <x v="1"/>
    <s v="No"/>
    <s v="No"/>
    <m/>
    <s v="HILSRTM008sMini.hf.intel.com"/>
    <m/>
    <m/>
    <m/>
    <m/>
    <m/>
    <m/>
    <m/>
    <m/>
    <s v="Yes"/>
    <s v="Yes"/>
    <x v="0"/>
  </r>
  <r>
    <s v="Hillsboro"/>
    <s v="HILSRTL286"/>
    <s v="No"/>
    <s v="Pre-INT/CEB"/>
    <s v="PCIe"/>
    <m/>
    <m/>
    <s v="ICE18"/>
    <x v="1"/>
    <x v="24"/>
    <x v="56"/>
    <x v="1"/>
    <s v="No"/>
    <s v="No"/>
    <m/>
    <s v="HILSRTM008sMini.hf.intel.com"/>
    <m/>
    <m/>
    <m/>
    <m/>
    <m/>
    <m/>
    <m/>
    <m/>
    <s v="Yes"/>
    <s v="Yes"/>
    <x v="0"/>
  </r>
  <r>
    <s v="Hillsboro"/>
    <s v="HILSRTL259"/>
    <s v="No"/>
    <s v="Pre-INT/CEB"/>
    <s v="PCIe"/>
    <m/>
    <m/>
    <s v="ICE18"/>
    <x v="1"/>
    <x v="24"/>
    <x v="56"/>
    <x v="1"/>
    <s v="No"/>
    <s v="No"/>
    <m/>
    <s v="HILSRTM008sMini.hf.intel.com"/>
    <m/>
    <m/>
    <m/>
    <m/>
    <m/>
    <m/>
    <m/>
    <m/>
    <s v="Yes"/>
    <s v="Yes"/>
    <x v="0"/>
  </r>
  <r>
    <s v="Hillsboro"/>
    <s v="HILSRTL268"/>
    <s v="No"/>
    <s v="Pre-INT/CEB"/>
    <s v="PCIe"/>
    <m/>
    <m/>
    <s v="ICE18"/>
    <x v="1"/>
    <x v="24"/>
    <x v="56"/>
    <x v="1"/>
    <s v="No"/>
    <s v="No"/>
    <m/>
    <s v="HILSRTM008sMini.hf.intel.com"/>
    <m/>
    <m/>
    <m/>
    <m/>
    <m/>
    <m/>
    <m/>
    <m/>
    <s v="Yes"/>
    <s v="Yes"/>
    <x v="1"/>
  </r>
  <r>
    <s v="Hillsboro"/>
    <s v="HILSRTL289"/>
    <s v="No"/>
    <s v="Pre-INT/CEB"/>
    <s v="PCIe"/>
    <m/>
    <m/>
    <s v="ICE18"/>
    <x v="1"/>
    <x v="24"/>
    <x v="56"/>
    <x v="1"/>
    <s v="No"/>
    <s v="No"/>
    <m/>
    <s v="HILSRTM008sMini.hf.intel.com"/>
    <m/>
    <m/>
    <m/>
    <m/>
    <m/>
    <m/>
    <m/>
    <m/>
    <s v="Yes"/>
    <s v="Yes"/>
    <x v="1"/>
  </r>
  <r>
    <s v="San Diego"/>
    <s v="SDSRTL157"/>
    <s v="Yes"/>
    <s v="CEB"/>
    <s v="PCIe"/>
    <n v="3648322"/>
    <m/>
    <s v="ICE19"/>
    <x v="0"/>
    <x v="21"/>
    <x v="52"/>
    <x v="8"/>
    <s v="No"/>
    <s v="No"/>
    <s v="No"/>
    <m/>
    <m/>
    <m/>
    <m/>
    <m/>
    <m/>
    <m/>
    <m/>
    <m/>
    <s v="Yes"/>
    <s v="Yes"/>
    <x v="0"/>
  </r>
  <r>
    <s v="San Diego"/>
    <s v="SDSRTL158"/>
    <s v="Yes"/>
    <s v="CEB"/>
    <s v="PCIe"/>
    <n v="3647897"/>
    <m/>
    <s v="ICE19"/>
    <x v="0"/>
    <x v="21"/>
    <x v="5"/>
    <x v="8"/>
    <s v="No"/>
    <s v="No"/>
    <s v="No"/>
    <m/>
    <m/>
    <m/>
    <m/>
    <m/>
    <m/>
    <m/>
    <m/>
    <m/>
    <s v="Yes"/>
    <s v="Yes"/>
    <x v="0"/>
  </r>
  <r>
    <s v="San Diego"/>
    <s v="SDSRTL159"/>
    <s v="Yes"/>
    <s v="Pre-INT"/>
    <s v="PCIe"/>
    <n v="3648283"/>
    <m/>
    <s v="ICE19"/>
    <x v="0"/>
    <x v="21"/>
    <x v="52"/>
    <x v="8"/>
    <s v="No"/>
    <s v="No"/>
    <s v="No"/>
    <m/>
    <m/>
    <m/>
    <m/>
    <m/>
    <m/>
    <m/>
    <m/>
    <m/>
    <s v="Yes"/>
    <s v="Yes"/>
    <x v="0"/>
  </r>
  <r>
    <s v="San Diego"/>
    <s v="SDSRTL160"/>
    <s v="Yes"/>
    <s v="Pre-INT"/>
    <s v="PCIe"/>
    <n v="3647760"/>
    <m/>
    <s v="ICE19"/>
    <x v="0"/>
    <x v="21"/>
    <x v="52"/>
    <x v="8"/>
    <s v="No"/>
    <s v="No"/>
    <s v="No"/>
    <m/>
    <m/>
    <m/>
    <m/>
    <m/>
    <m/>
    <m/>
    <m/>
    <m/>
    <s v="Yes"/>
    <s v="Yes"/>
    <x v="0"/>
  </r>
  <r>
    <s v="San Diego"/>
    <s v="SDSRTL161"/>
    <s v="Yes"/>
    <s v="Pre-INT"/>
    <s v="PCIe"/>
    <n v="3374821"/>
    <m/>
    <s v="ICE19"/>
    <x v="0"/>
    <x v="21"/>
    <x v="2"/>
    <x v="3"/>
    <s v="No"/>
    <s v="No"/>
    <s v="No"/>
    <m/>
    <m/>
    <m/>
    <m/>
    <m/>
    <m/>
    <m/>
    <m/>
    <m/>
    <s v="Yes"/>
    <s v="Yes"/>
    <x v="1"/>
  </r>
  <r>
    <s v="San Diego"/>
    <s v="SDSRTL163"/>
    <s v="Yes"/>
    <s v="Weekly"/>
    <s v="PCIe"/>
    <n v="4079948"/>
    <m/>
    <s v="ICE19"/>
    <x v="0"/>
    <x v="21"/>
    <x v="6"/>
    <x v="8"/>
    <s v="No"/>
    <s v="No"/>
    <s v="No"/>
    <m/>
    <m/>
    <m/>
    <m/>
    <m/>
    <m/>
    <m/>
    <m/>
    <m/>
    <s v="Yes"/>
    <s v="Yes"/>
    <x v="0"/>
  </r>
  <r>
    <s v="San Diego"/>
    <s v="SDSRTL164"/>
    <s v="Yes"/>
    <s v="Weekly"/>
    <s v="PCIe"/>
    <n v="4079924"/>
    <m/>
    <s v="ICE19"/>
    <x v="0"/>
    <x v="21"/>
    <x v="6"/>
    <x v="8"/>
    <s v="No"/>
    <s v="No"/>
    <s v="No"/>
    <m/>
    <m/>
    <m/>
    <m/>
    <m/>
    <m/>
    <m/>
    <m/>
    <m/>
    <s v="Yes"/>
    <s v="Yes"/>
    <x v="0"/>
  </r>
  <r>
    <s v="San Diego"/>
    <s v="SDSRTL165"/>
    <s v="Yes"/>
    <s v="Weekly"/>
    <s v="PCIe"/>
    <n v="4079899"/>
    <m/>
    <s v="ICE19"/>
    <x v="0"/>
    <x v="21"/>
    <x v="4"/>
    <x v="8"/>
    <s v="No"/>
    <s v="No"/>
    <s v="No"/>
    <m/>
    <m/>
    <m/>
    <m/>
    <m/>
    <m/>
    <m/>
    <m/>
    <m/>
    <s v="Yes"/>
    <s v="Yes"/>
    <x v="0"/>
  </r>
  <r>
    <s v="San Diego"/>
    <s v="SDSRTL166"/>
    <s v="Yes"/>
    <s v="Daily"/>
    <s v="PCIe"/>
    <n v="4079944"/>
    <m/>
    <s v="ICE19"/>
    <x v="0"/>
    <x v="21"/>
    <x v="52"/>
    <x v="8"/>
    <s v="No"/>
    <s v="No"/>
    <s v="No"/>
    <m/>
    <m/>
    <m/>
    <m/>
    <m/>
    <m/>
    <m/>
    <m/>
    <m/>
    <s v="Yes"/>
    <s v="Yes"/>
    <x v="0"/>
  </r>
  <r>
    <s v="San Diego"/>
    <s v="SDSRTL167"/>
    <s v="Yes"/>
    <s v="Pre-INT"/>
    <s v="PCIe"/>
    <n v="4079904"/>
    <m/>
    <s v="ICE19"/>
    <x v="0"/>
    <x v="22"/>
    <x v="14"/>
    <x v="8"/>
    <s v="No"/>
    <s v="No"/>
    <s v="No"/>
    <m/>
    <m/>
    <m/>
    <m/>
    <m/>
    <m/>
    <m/>
    <m/>
    <m/>
    <s v="Yes"/>
    <s v="Yes"/>
    <x v="0"/>
  </r>
  <r>
    <s v="San Diego"/>
    <s v="SDSRTL168"/>
    <s v="Yes"/>
    <s v="Pre-INT"/>
    <s v="PCIe"/>
    <n v="4079825"/>
    <m/>
    <s v="ICE19"/>
    <x v="0"/>
    <x v="22"/>
    <x v="13"/>
    <x v="8"/>
    <s v="No"/>
    <s v="No"/>
    <s v="No"/>
    <m/>
    <m/>
    <m/>
    <m/>
    <m/>
    <m/>
    <m/>
    <m/>
    <m/>
    <s v="Yes"/>
    <s v="Yes"/>
    <x v="0"/>
  </r>
  <r>
    <s v="San Diego"/>
    <s v="SDSRTL169"/>
    <s v="Yes"/>
    <s v="Weekly"/>
    <s v="PCIe"/>
    <n v="4079798"/>
    <m/>
    <s v="ICE19"/>
    <x v="0"/>
    <x v="20"/>
    <x v="5"/>
    <x v="8"/>
    <s v="No"/>
    <s v="No"/>
    <s v="No"/>
    <m/>
    <m/>
    <m/>
    <m/>
    <m/>
    <m/>
    <m/>
    <m/>
    <m/>
    <s v="Yes"/>
    <s v="Yes"/>
    <x v="0"/>
  </r>
  <r>
    <s v="San Diego"/>
    <s v="SDSRTL170"/>
    <s v="Yes"/>
    <s v="Daily"/>
    <s v="PCIe"/>
    <n v="4079969"/>
    <m/>
    <s v="ICE19"/>
    <x v="0"/>
    <x v="20"/>
    <x v="5"/>
    <x v="8"/>
    <s v="No"/>
    <s v="No"/>
    <s v="No"/>
    <m/>
    <m/>
    <m/>
    <m/>
    <m/>
    <m/>
    <m/>
    <m/>
    <m/>
    <s v="Yes"/>
    <s v="Yes"/>
    <x v="0"/>
  </r>
  <r>
    <s v="San Diego"/>
    <s v="SDSRTL171"/>
    <s v="Yes"/>
    <s v="CEB"/>
    <s v="PCIe"/>
    <n v="4079903"/>
    <m/>
    <s v="ICE19"/>
    <x v="0"/>
    <x v="20"/>
    <x v="32"/>
    <x v="8"/>
    <s v="No"/>
    <s v="No"/>
    <s v="No"/>
    <m/>
    <m/>
    <m/>
    <m/>
    <m/>
    <m/>
    <m/>
    <m/>
    <m/>
    <s v="Yes"/>
    <s v="Yes"/>
    <x v="0"/>
  </r>
  <r>
    <s v="San Diego"/>
    <s v="SDSRTL172"/>
    <s v="Yes"/>
    <s v="CEB"/>
    <s v="PCIe"/>
    <n v="4079805"/>
    <m/>
    <s v="ICE19"/>
    <x v="0"/>
    <x v="20"/>
    <x v="52"/>
    <x v="8"/>
    <s v="No"/>
    <s v="No"/>
    <s v="No"/>
    <m/>
    <m/>
    <m/>
    <m/>
    <m/>
    <m/>
    <m/>
    <m/>
    <m/>
    <s v="Yes"/>
    <s v="Yes"/>
    <x v="0"/>
  </r>
  <r>
    <s v="San Diego"/>
    <s v="SDSRTL173"/>
    <s v="Yes"/>
    <s v="Weekly"/>
    <s v="PCIe"/>
    <n v="4079951"/>
    <m/>
    <s v="ICE19"/>
    <x v="0"/>
    <x v="21"/>
    <x v="4"/>
    <x v="8"/>
    <s v="No"/>
    <s v="No"/>
    <s v="No"/>
    <m/>
    <m/>
    <m/>
    <m/>
    <m/>
    <m/>
    <m/>
    <m/>
    <m/>
    <s v="Yes"/>
    <s v="Yes"/>
    <x v="0"/>
  </r>
  <r>
    <s v="San Diego"/>
    <s v="SDSRTL174"/>
    <s v="Yes"/>
    <s v="Weekly"/>
    <s v="PCIe"/>
    <n v="4079815"/>
    <m/>
    <s v="ICE19"/>
    <x v="0"/>
    <x v="49"/>
    <x v="13"/>
    <x v="8"/>
    <s v="No"/>
    <s v="Yes"/>
    <s v="No"/>
    <m/>
    <m/>
    <m/>
    <m/>
    <m/>
    <m/>
    <m/>
    <m/>
    <m/>
    <s v="Yes"/>
    <s v="Yes"/>
    <x v="0"/>
  </r>
  <r>
    <s v="San Diego"/>
    <s v="SDSRTL175"/>
    <s v="Yes"/>
    <s v="Weekly"/>
    <s v="PCIe"/>
    <n v="4079942"/>
    <m/>
    <s v="ICE19"/>
    <x v="0"/>
    <x v="49"/>
    <x v="14"/>
    <x v="8"/>
    <s v="No"/>
    <s v="Yes"/>
    <s v="No"/>
    <m/>
    <m/>
    <m/>
    <m/>
    <m/>
    <m/>
    <m/>
    <m/>
    <m/>
    <s v="Yes"/>
    <s v="Yes"/>
    <x v="0"/>
  </r>
  <r>
    <s v="San Diego"/>
    <s v="SDSRTL176"/>
    <s v="Yes"/>
    <s v="Weekly"/>
    <s v="PCIe"/>
    <n v="4079888"/>
    <m/>
    <s v="ICE19"/>
    <x v="0"/>
    <x v="49"/>
    <x v="4"/>
    <x v="8"/>
    <s v="No"/>
    <s v="Yes"/>
    <s v="No"/>
    <m/>
    <m/>
    <m/>
    <m/>
    <m/>
    <m/>
    <m/>
    <m/>
    <m/>
    <s v="Yes"/>
    <s v="Yes"/>
    <x v="0"/>
  </r>
  <r>
    <s v="San Diego"/>
    <s v="SDSRTL177"/>
    <s v="Yes"/>
    <s v="Weekly"/>
    <s v="PCIe"/>
    <n v="4079836"/>
    <m/>
    <s v="ICE19"/>
    <x v="1"/>
    <x v="56"/>
    <x v="57"/>
    <x v="8"/>
    <s v="No"/>
    <s v="Yes"/>
    <s v="No"/>
    <m/>
    <m/>
    <m/>
    <m/>
    <m/>
    <m/>
    <m/>
    <m/>
    <m/>
    <s v="Yes"/>
    <s v="Yes"/>
    <x v="0"/>
  </r>
  <r>
    <s v="San Diego"/>
    <s v="SDSRTL178"/>
    <s v="Yes"/>
    <s v="Daily"/>
    <s v="PCIe"/>
    <n v="4079892"/>
    <m/>
    <s v="ICE19"/>
    <x v="0"/>
    <x v="19"/>
    <x v="14"/>
    <x v="8"/>
    <s v="No"/>
    <s v="Yes"/>
    <s v="No"/>
    <m/>
    <m/>
    <m/>
    <m/>
    <m/>
    <m/>
    <m/>
    <m/>
    <m/>
    <s v="Yes"/>
    <s v="Yes"/>
    <x v="0"/>
  </r>
  <r>
    <s v="San Diego"/>
    <s v="SDSRTL179"/>
    <s v="Yes"/>
    <s v="Daily"/>
    <s v="PCIe"/>
    <n v="4079813"/>
    <m/>
    <s v="ICE19"/>
    <x v="0"/>
    <x v="19"/>
    <x v="13"/>
    <x v="8"/>
    <s v="No"/>
    <s v="Yes"/>
    <s v="No"/>
    <m/>
    <m/>
    <m/>
    <m/>
    <m/>
    <m/>
    <m/>
    <m/>
    <m/>
    <s v="Yes"/>
    <s v="Yes"/>
    <x v="0"/>
  </r>
  <r>
    <s v="San Diego"/>
    <s v="SDSRTL180"/>
    <s v="Yes"/>
    <s v="Weekly"/>
    <s v="PCIe"/>
    <n v="4079889"/>
    <m/>
    <s v="ICE19"/>
    <x v="0"/>
    <x v="20"/>
    <x v="4"/>
    <x v="8"/>
    <s v="No"/>
    <s v="No"/>
    <s v="No"/>
    <m/>
    <m/>
    <m/>
    <m/>
    <m/>
    <m/>
    <m/>
    <m/>
    <m/>
    <s v="Yes"/>
    <s v="Yes"/>
    <x v="0"/>
  </r>
  <r>
    <s v="San Diego"/>
    <s v="SDSRTL181"/>
    <s v="Yes"/>
    <s v="Daily"/>
    <s v="PCIe"/>
    <n v="4079855"/>
    <m/>
    <s v="ICE19"/>
    <x v="0"/>
    <x v="20"/>
    <x v="32"/>
    <x v="8"/>
    <s v="No"/>
    <s v="No"/>
    <s v="No"/>
    <m/>
    <m/>
    <m/>
    <m/>
    <m/>
    <m/>
    <m/>
    <m/>
    <m/>
    <s v="Yes"/>
    <s v="Yes"/>
    <x v="0"/>
  </r>
  <r>
    <s v="San Diego"/>
    <s v="SDSRTL182"/>
    <s v="Yes"/>
    <s v="CEB"/>
    <s v="PCIe"/>
    <n v="4079796"/>
    <m/>
    <s v="ICE19"/>
    <x v="0"/>
    <x v="21"/>
    <x v="52"/>
    <x v="8"/>
    <s v="No"/>
    <s v="No"/>
    <s v="No"/>
    <m/>
    <m/>
    <m/>
    <m/>
    <m/>
    <m/>
    <m/>
    <m/>
    <m/>
    <s v="Yes"/>
    <s v="Yes"/>
    <x v="0"/>
  </r>
  <r>
    <s v="San Diego"/>
    <s v="SDSRTL183"/>
    <s v="Yes"/>
    <s v="Weekly"/>
    <s v="PCIe"/>
    <n v="4079808"/>
    <m/>
    <s v="ICE19"/>
    <x v="1"/>
    <x v="56"/>
    <x v="57"/>
    <x v="8"/>
    <s v="No"/>
    <s v="No"/>
    <s v="No"/>
    <m/>
    <m/>
    <m/>
    <m/>
    <m/>
    <m/>
    <m/>
    <m/>
    <m/>
    <s v="Yes"/>
    <s v="Yes"/>
    <x v="0"/>
  </r>
  <r>
    <s v="San Diego"/>
    <s v="SDSRTL184"/>
    <s v="Yes"/>
    <s v="Weekly"/>
    <s v="PCIe"/>
    <n v="4079852"/>
    <m/>
    <s v="ICE19"/>
    <x v="0"/>
    <x v="22"/>
    <x v="14"/>
    <x v="8"/>
    <s v="No"/>
    <s v="Yes"/>
    <s v="No"/>
    <m/>
    <m/>
    <m/>
    <m/>
    <m/>
    <m/>
    <m/>
    <m/>
    <m/>
    <s v="Yes"/>
    <s v="Yes"/>
    <x v="0"/>
  </r>
  <r>
    <s v="San Diego"/>
    <s v="SDSRTL185"/>
    <s v="Yes"/>
    <s v="Weekly"/>
    <s v="PCIe"/>
    <n v="4079885"/>
    <m/>
    <s v="ICE19"/>
    <x v="0"/>
    <x v="22"/>
    <x v="13"/>
    <x v="8"/>
    <s v="No"/>
    <s v="Yes"/>
    <s v="No"/>
    <m/>
    <m/>
    <m/>
    <m/>
    <m/>
    <m/>
    <m/>
    <m/>
    <m/>
    <s v="Yes"/>
    <s v="Yes"/>
    <x v="0"/>
  </r>
  <r>
    <s v="San Diego"/>
    <s v="SDSRTL186"/>
    <s v="Yes"/>
    <s v="Weekly"/>
    <s v="PCIe"/>
    <n v="4079906"/>
    <m/>
    <s v="ICE19"/>
    <x v="1"/>
    <x v="52"/>
    <x v="55"/>
    <x v="8"/>
    <s v="No"/>
    <s v="No"/>
    <s v="No"/>
    <m/>
    <m/>
    <m/>
    <m/>
    <m/>
    <m/>
    <m/>
    <m/>
    <d v="2018-11-26T00:00:00"/>
    <s v="Yes"/>
    <s v="Yes"/>
    <x v="0"/>
  </r>
  <r>
    <s v="San Diego"/>
    <s v="SDSRTL187"/>
    <s v="Yes"/>
    <s v="Daily"/>
    <s v="PCIe"/>
    <n v="4079814"/>
    <m/>
    <s v="ICE19"/>
    <x v="0"/>
    <x v="22"/>
    <x v="13"/>
    <x v="8"/>
    <s v="No"/>
    <s v="Yes"/>
    <s v="No"/>
    <m/>
    <m/>
    <m/>
    <m/>
    <m/>
    <m/>
    <m/>
    <m/>
    <m/>
    <s v="Yes"/>
    <s v="Yes"/>
    <x v="0"/>
  </r>
  <r>
    <s v="San Diego"/>
    <s v="SDSRTL188"/>
    <s v="Yes"/>
    <s v="Daily"/>
    <s v="PCIe"/>
    <n v="4079789"/>
    <m/>
    <s v="ICE19"/>
    <x v="0"/>
    <x v="22"/>
    <x v="14"/>
    <x v="8"/>
    <s v="No"/>
    <s v="Yes"/>
    <s v="No"/>
    <m/>
    <m/>
    <m/>
    <m/>
    <m/>
    <m/>
    <m/>
    <m/>
    <m/>
    <s v="Yes"/>
    <s v="Yes"/>
    <x v="0"/>
  </r>
  <r>
    <s v="San Diego"/>
    <s v="SDSRTL189"/>
    <s v="Yes"/>
    <s v="Weekly"/>
    <s v="PCIe"/>
    <n v="4079807"/>
    <m/>
    <s v="ICE19"/>
    <x v="1"/>
    <x v="51"/>
    <x v="58"/>
    <x v="8"/>
    <s v="No"/>
    <s v="No"/>
    <s v="No"/>
    <m/>
    <m/>
    <m/>
    <m/>
    <m/>
    <m/>
    <m/>
    <m/>
    <m/>
    <s v="Yes"/>
    <s v="Yes"/>
    <x v="0"/>
  </r>
  <r>
    <s v="San Diego"/>
    <s v="SDSRTL190"/>
    <s v="Yes"/>
    <s v="Weekly"/>
    <s v="PCIe"/>
    <n v="4079974"/>
    <m/>
    <s v="ICE19"/>
    <x v="1"/>
    <x v="51"/>
    <x v="58"/>
    <x v="8"/>
    <s v="No"/>
    <s v="No"/>
    <s v="No"/>
    <m/>
    <m/>
    <m/>
    <m/>
    <m/>
    <m/>
    <m/>
    <m/>
    <m/>
    <s v="Yes"/>
    <s v="Yes"/>
    <x v="0"/>
  </r>
  <r>
    <s v="San Diego"/>
    <s v="SDSRTL191"/>
    <s v="Yes"/>
    <s v="Weekly"/>
    <s v="PCIe"/>
    <n v="4079462"/>
    <m/>
    <s v="ICE19"/>
    <x v="1"/>
    <x v="52"/>
    <x v="55"/>
    <x v="8"/>
    <s v="No"/>
    <s v="No"/>
    <s v="No"/>
    <m/>
    <m/>
    <m/>
    <m/>
    <m/>
    <m/>
    <m/>
    <m/>
    <d v="2018-11-26T00:00:00"/>
    <s v="Yes"/>
    <s v="Yes"/>
    <x v="0"/>
  </r>
  <r>
    <s v="San Diego"/>
    <s v="SDSRTL192"/>
    <s v="Yes"/>
    <s v="Weekly"/>
    <s v="PCIe"/>
    <n v="4079503"/>
    <m/>
    <s v="ICE19"/>
    <x v="1"/>
    <x v="57"/>
    <x v="59"/>
    <x v="8"/>
    <s v="No"/>
    <s v="No"/>
    <s v="No"/>
    <m/>
    <m/>
    <m/>
    <m/>
    <m/>
    <m/>
    <m/>
    <m/>
    <d v="2018-11-26T00:00:00"/>
    <s v="Yes"/>
    <s v="Yes"/>
    <x v="0"/>
  </r>
  <r>
    <s v="Munich"/>
    <s v="MUCSRTL181"/>
    <s v="Yes"/>
    <s v="Weekly"/>
    <s v="BlackRay"/>
    <s v="SN4079719"/>
    <s v="11.1.371 Rack 8/4"/>
    <s v="ICE19"/>
    <x v="0"/>
    <x v="15"/>
    <x v="4"/>
    <x v="8"/>
    <s v="No"/>
    <s v="No"/>
    <s v="4x"/>
    <s v="MUCSRTMAC130.IMU.INTEL.COM"/>
    <s v="Yes(40181)"/>
    <s v="EC7CE50282DBFEC6FFFFFFFF"/>
    <s v="C07826400L2X1R36"/>
    <s v="491725177795"/>
    <n v="440152289915"/>
    <m/>
    <m/>
    <m/>
    <s v="Yes"/>
    <s v="Yes"/>
    <x v="1"/>
  </r>
  <r>
    <s v="Munich"/>
    <s v="MUCSRTL182"/>
    <s v="Yes"/>
    <s v="Pre-INT"/>
    <s v="BlackRay"/>
    <s v="SN4079591"/>
    <s v="11.1.371 Rack 8/4"/>
    <s v="ICE19"/>
    <x v="0"/>
    <x v="14"/>
    <x v="4"/>
    <x v="8"/>
    <s v="No"/>
    <s v="No"/>
    <s v="4x"/>
    <s v="MUCSRTMAC130.IMU.INTEL.COM"/>
    <s v="Yes(40182)"/>
    <s v="C1EC5067A4738463FFFFFFFF"/>
    <s v="C07826400NEX1R36"/>
    <s v="4917610045781"/>
    <n v="440152289938"/>
    <m/>
    <m/>
    <m/>
    <s v="Yes"/>
    <s v="Yes"/>
    <x v="0"/>
  </r>
  <r>
    <s v="Munich"/>
    <s v="MUCSRTL183"/>
    <s v="Yes"/>
    <s v="Pre-INT"/>
    <s v="BlackRay"/>
    <s v="SN4079600"/>
    <s v="11.1.371 Rack 7/2"/>
    <s v="ICE19"/>
    <x v="0"/>
    <x v="58"/>
    <x v="4"/>
    <x v="8"/>
    <s v="No"/>
    <s v="No"/>
    <s v="4x"/>
    <s v="MUCSRTMAC130.IMU.INTEL.COM"/>
    <s v="Yes(40183)"/>
    <s v="C6C6AC61ADF36248FFFFFFFF"/>
    <s v="C07826400MVX1R36"/>
    <s v="4915152884138"/>
    <n v="440152289930"/>
    <m/>
    <m/>
    <m/>
    <s v="Yes"/>
    <s v="Yes"/>
    <x v="0"/>
  </r>
  <r>
    <s v="Munich"/>
    <s v="MUCSRTL184"/>
    <s v="Yes"/>
    <s v="Pre-INT"/>
    <s v="BlackRay"/>
    <s v="SN4079504"/>
    <s v="11.1.371 Rack 7/2"/>
    <s v="ICE19"/>
    <x v="0"/>
    <x v="55"/>
    <x v="4"/>
    <x v="8"/>
    <s v="No"/>
    <s v="No"/>
    <s v="4x"/>
    <s v="MUCSRTMAC130.IMU.INTEL.COM"/>
    <s v="Yes(40184)"/>
    <s v="9082040A5A9A426DFFFFFFFF"/>
    <s v="C07826400P6X1R36"/>
    <s v="4917610506582"/>
    <n v="440152289931"/>
    <m/>
    <m/>
    <m/>
    <s v="Yes"/>
    <s v="Yes"/>
    <x v="0"/>
  </r>
  <r>
    <s v="Munich"/>
    <s v="MUCSRTL185"/>
    <s v="No"/>
    <m/>
    <s v="BlackRay"/>
    <n v="4079946"/>
    <m/>
    <s v="ICE18"/>
    <x v="0"/>
    <x v="14"/>
    <x v="4"/>
    <x v="1"/>
    <s v="No"/>
    <s v="No"/>
    <s v="4x"/>
    <s v="MUCSRTMAC130.IMU.INTEL.COM"/>
    <s v="Yes(40185)"/>
    <s v="E1DF29E4B6F10A00FFFFFFFF"/>
    <m/>
    <s v="4915780540999"/>
    <n v="440152248638"/>
    <m/>
    <m/>
    <m/>
    <s v="Yes"/>
    <s v="Yes"/>
    <x v="0"/>
  </r>
  <r>
    <s v="Munich"/>
    <s v="MUCSRTL186"/>
    <s v="Yes"/>
    <m/>
    <s v="PCIe"/>
    <s v="SN4079548"/>
    <s v="11.1.371 Rack 7/3"/>
    <s v="ICE19"/>
    <x v="0"/>
    <x v="2"/>
    <x v="2"/>
    <x v="16"/>
    <s v="No"/>
    <m/>
    <m/>
    <m/>
    <m/>
    <m/>
    <m/>
    <m/>
    <m/>
    <m/>
    <m/>
    <m/>
    <s v="Yes"/>
    <s v="Yes"/>
    <x v="1"/>
  </r>
  <r>
    <s v="Munich"/>
    <s v="MUCSRTL187"/>
    <s v="No"/>
    <m/>
    <s v="PCIe"/>
    <s v="SN4079468"/>
    <s v="11.1.371 Rack 8/3"/>
    <s v="ICE19"/>
    <x v="0"/>
    <x v="2"/>
    <x v="2"/>
    <x v="16"/>
    <s v="No"/>
    <s v="No"/>
    <s v="4x"/>
    <s v="MUCSRTMAC128.IMU.INTEL.COM"/>
    <s v="Yes(40187)"/>
    <s v="521100794A800D00FFFFFFFF"/>
    <m/>
    <s v="4915780542715"/>
    <n v="4401522733092"/>
    <m/>
    <m/>
    <m/>
    <s v="Yes"/>
    <s v="Yes"/>
    <x v="1"/>
  </r>
  <r>
    <s v="Hillsboro"/>
    <s v="HILSRTL307"/>
    <s v="Yes"/>
    <s v="Weekly"/>
    <s v="PCIe"/>
    <s v="SN4079902"/>
    <m/>
    <s v="ICE19"/>
    <x v="1"/>
    <x v="51"/>
    <x v="54"/>
    <x v="8"/>
    <s v="No"/>
    <m/>
    <m/>
    <s v="HILSRTL006sMini.hf.intel.com"/>
    <m/>
    <m/>
    <s v="C07826600TMX1R36"/>
    <n v="9712979320"/>
    <s v=" 00440152289320"/>
    <s v=" 00440152299320"/>
    <n v="6194947580"/>
    <d v="2018-11-28T00:00:00"/>
    <s v="Yes"/>
    <s v="Yes"/>
    <x v="0"/>
  </r>
  <r>
    <s v="Hillsboro"/>
    <s v="HILSRTL381"/>
    <s v="No"/>
    <m/>
    <s v="PCIe"/>
    <s v="SN4079792"/>
    <m/>
    <m/>
    <x v="2"/>
    <x v="2"/>
    <x v="2"/>
    <x v="3"/>
    <m/>
    <m/>
    <m/>
    <m/>
    <m/>
    <m/>
    <m/>
    <m/>
    <m/>
    <m/>
    <m/>
    <m/>
    <m/>
    <m/>
    <x v="2"/>
  </r>
  <r>
    <s v="Hillsboro"/>
    <s v="HILSRTL260"/>
    <s v="Yes"/>
    <s v="Weekly"/>
    <s v="PCIe"/>
    <s v="SN4079542"/>
    <m/>
    <s v="ICE19"/>
    <x v="1"/>
    <x v="59"/>
    <x v="60"/>
    <x v="8"/>
    <s v="No"/>
    <s v="No"/>
    <m/>
    <s v="ReplicantsMini2.hf.intel.com"/>
    <m/>
    <m/>
    <s v="C07826400SYX1R36"/>
    <s v="9133142416"/>
    <s v="00440152289871"/>
    <s v="00440152299871"/>
    <n v="9712979343"/>
    <d v="2018-11-20T00:00:00"/>
    <s v="Yes"/>
    <s v="Yes"/>
    <x v="0"/>
  </r>
  <r>
    <s v="Hillsboro"/>
    <s v="HILSRTL306"/>
    <s v="Yes"/>
    <s v="Weekly"/>
    <s v="PCIe"/>
    <s v="SN4079569"/>
    <m/>
    <s v="ICE19"/>
    <x v="1"/>
    <x v="59"/>
    <x v="60"/>
    <x v="8"/>
    <s v="No"/>
    <s v="No"/>
    <m/>
    <s v="ReplicantsMini2.hf.intel.com"/>
    <m/>
    <m/>
    <s v="C07826400R9X1R36"/>
    <s v="9133142814"/>
    <s v="00440152289871"/>
    <s v="00440152299871"/>
    <n v="9712979336"/>
    <d v="2018-11-20T00:00:00"/>
    <s v="Yes"/>
    <s v="Yes"/>
    <x v="0"/>
  </r>
  <r>
    <s v="Hillsboro"/>
    <s v="HILSRTL309"/>
    <s v="Yes"/>
    <s v="Weekly"/>
    <s v="PCIe"/>
    <s v=" SN4079431"/>
    <m/>
    <s v="ICE19"/>
    <x v="1"/>
    <x v="52"/>
    <x v="55"/>
    <x v="8"/>
    <s v="No"/>
    <s v="No"/>
    <m/>
    <s v="HILSRTL006sMini.hf.intel.com"/>
    <m/>
    <m/>
    <s v="C07826400SSX1R36"/>
    <s v="5036199552"/>
    <s v="00440152289864"/>
    <s v="00440152299864"/>
    <n v="9712979344"/>
    <d v="2018-11-21T00:00:00"/>
    <s v="Yes"/>
    <s v="Yes"/>
    <x v="0"/>
  </r>
  <r>
    <s v="Hillsboro"/>
    <s v="HILSRLT407"/>
    <s v="Yes"/>
    <s v="Weekly"/>
    <s v="PCIe"/>
    <s v="SN4079403"/>
    <m/>
    <s v="ICE19"/>
    <x v="1"/>
    <x v="52"/>
    <x v="55"/>
    <x v="8"/>
    <s v="No"/>
    <s v="No"/>
    <m/>
    <s v="HILSRTL006sMini.hf.intel.com"/>
    <m/>
    <m/>
    <s v="C07826400P3X1R36"/>
    <s v="5036199751"/>
    <s v=" 00440152289866"/>
    <s v="00440152299866"/>
    <n v="9712979338"/>
    <d v="2018-11-21T00:00:00"/>
    <s v="Yes"/>
    <s v="Yes"/>
    <x v="0"/>
  </r>
  <r>
    <s v="Hillsboro"/>
    <s v="HILSRTL404"/>
    <s v="Yes"/>
    <s v="Weekly"/>
    <s v="PCIe"/>
    <s v=" SN4079435"/>
    <m/>
    <s v="ICE19"/>
    <x v="1"/>
    <x v="60"/>
    <x v="59"/>
    <x v="8"/>
    <s v="No"/>
    <s v="No"/>
    <m/>
    <s v="HILSRTL006sMini.hf.intel.com"/>
    <m/>
    <m/>
    <s v="C07826400Q6X1R36"/>
    <n v="9712942756"/>
    <s v=" 00440152289873"/>
    <s v="00440152299873"/>
    <n v="9712942753"/>
    <m/>
    <s v="Yes"/>
    <s v="Yes"/>
    <x v="0"/>
  </r>
  <r>
    <s v="Hillsboro"/>
    <s v="HILSRTL405"/>
    <s v="Yes"/>
    <s v="Daily"/>
    <s v="PCIe"/>
    <s v="SN4079442"/>
    <m/>
    <s v="ICE19"/>
    <x v="1"/>
    <x v="59"/>
    <x v="60"/>
    <x v="8"/>
    <s v="No"/>
    <s v="No"/>
    <m/>
    <s v="HILSRTL006sMini.hf.intel.com"/>
    <m/>
    <m/>
    <s v="C07826400NSX1R36"/>
    <s v="9132206825"/>
    <s v=" 00440152289869"/>
    <s v="00440152299869"/>
    <n v="9712979342"/>
    <m/>
    <s v="Yes"/>
    <s v="Yes"/>
    <x v="0"/>
  </r>
  <r>
    <s v="Hillsboro"/>
    <s v="HILSRTL406"/>
    <s v="Yes"/>
    <s v="Daily"/>
    <s v="PCIe"/>
    <s v="SN4079359"/>
    <m/>
    <s v="ICE19"/>
    <x v="1"/>
    <x v="52"/>
    <x v="61"/>
    <x v="8"/>
    <s v="No"/>
    <s v="No"/>
    <m/>
    <s v="HILSRTL006sMini.hf.intel.com"/>
    <m/>
    <m/>
    <s v="C07826400QAX1R36"/>
    <n v="5037288665"/>
    <s v="00440152289844"/>
    <s v="00440152299844"/>
    <n v="9714704968"/>
    <m/>
    <s v="Yes"/>
    <s v="Yes"/>
    <x v="0"/>
  </r>
  <r>
    <s v="Hillsboro"/>
    <s v="HILSRTL409"/>
    <s v="Yes"/>
    <s v="Weekly"/>
    <s v="BlackRay"/>
    <s v="SN4079394"/>
    <m/>
    <s v="ICE19"/>
    <x v="0"/>
    <x v="55"/>
    <x v="6"/>
    <x v="2"/>
    <m/>
    <m/>
    <m/>
    <s v="HILSRTL006sMini.hf.intel.com"/>
    <m/>
    <m/>
    <m/>
    <m/>
    <m/>
    <m/>
    <m/>
    <m/>
    <s v="Yes"/>
    <s v="Yes"/>
    <x v="0"/>
  </r>
  <r>
    <s v="Hillsboro"/>
    <s v="HILSRTL410"/>
    <s v="Yes"/>
    <s v="Daily"/>
    <s v="PCIe"/>
    <s v="SN4079403"/>
    <m/>
    <s v="ICE19"/>
    <x v="1"/>
    <x v="60"/>
    <x v="59"/>
    <x v="8"/>
    <s v="No"/>
    <s v="No"/>
    <m/>
    <s v="HILSRTL006sMini.hf.intel.com"/>
    <m/>
    <m/>
    <s v="C07826600U2X1R36"/>
    <n v="9712607750"/>
    <s v=" 00440152289851"/>
    <s v=" 00440152299851"/>
    <n v="9712607762"/>
    <m/>
    <s v="Yes"/>
    <s v="Yes"/>
    <x v="0"/>
  </r>
  <r>
    <s v="Hillsboro"/>
    <s v="HILSRTL411"/>
    <s v="Yes"/>
    <s v="Weekly"/>
    <s v="BlackRay"/>
    <s v="SN4079529"/>
    <m/>
    <s v="ICE19"/>
    <x v="0"/>
    <x v="54"/>
    <x v="5"/>
    <x v="2"/>
    <m/>
    <m/>
    <m/>
    <s v="HILSRTL006sMini.hf.intel.com"/>
    <m/>
    <m/>
    <m/>
    <m/>
    <m/>
    <m/>
    <m/>
    <m/>
    <s v="Yes"/>
    <s v="Yes"/>
    <x v="0"/>
  </r>
  <r>
    <s v="Hillsboro"/>
    <s v="HILSRTL412"/>
    <s v="Yes"/>
    <s v="Weekly"/>
    <s v="BlackRay"/>
    <s v="SN4079336"/>
    <m/>
    <s v="ICE19"/>
    <x v="0"/>
    <x v="54"/>
    <x v="5"/>
    <x v="2"/>
    <m/>
    <m/>
    <m/>
    <s v="HILSRTL006sMini.hf.intel.com"/>
    <m/>
    <m/>
    <m/>
    <m/>
    <m/>
    <m/>
    <m/>
    <m/>
    <s v="Yes"/>
    <s v="Yes"/>
    <x v="0"/>
  </r>
  <r>
    <s v="Hillsboro"/>
    <s v="HILSRTL413"/>
    <s v="Yes"/>
    <s v="Weekly"/>
    <m/>
    <s v="SN4079580"/>
    <m/>
    <s v="ICE19"/>
    <x v="0"/>
    <x v="54"/>
    <x v="4"/>
    <x v="2"/>
    <m/>
    <m/>
    <m/>
    <s v="HILSRTL006sMini.hf.intel.com"/>
    <m/>
    <m/>
    <m/>
    <m/>
    <m/>
    <m/>
    <m/>
    <m/>
    <s v="Yes"/>
    <s v="Yes"/>
    <x v="1"/>
  </r>
  <r>
    <s v="Hillsboro"/>
    <s v="HILSRTL414"/>
    <s v="Yes"/>
    <s v="Weekly"/>
    <s v="BlackRay"/>
    <s v="SN4079656"/>
    <m/>
    <s v="ICE19"/>
    <x v="0"/>
    <x v="55"/>
    <x v="5"/>
    <x v="4"/>
    <m/>
    <m/>
    <m/>
    <s v="HILSRTM008sMini.hf.intel.com"/>
    <m/>
    <m/>
    <m/>
    <m/>
    <m/>
    <m/>
    <m/>
    <m/>
    <s v="Yes"/>
    <s v="Yes"/>
    <x v="0"/>
  </r>
  <r>
    <s v="Hillsboro"/>
    <s v="HILSRTL416"/>
    <s v="Yes"/>
    <s v="Weekly"/>
    <s v="BlackRay"/>
    <s v="SN4079669"/>
    <m/>
    <s v="ICE19"/>
    <x v="0"/>
    <x v="22"/>
    <x v="13"/>
    <x v="2"/>
    <m/>
    <m/>
    <m/>
    <s v="HILSRTL006sMini.hf.intel.com"/>
    <m/>
    <m/>
    <m/>
    <m/>
    <m/>
    <m/>
    <m/>
    <m/>
    <s v="Yes"/>
    <s v="Yes"/>
    <x v="0"/>
  </r>
  <r>
    <s v="Bangalore"/>
    <s v="BASRTL397"/>
    <s v="Yes"/>
    <s v="Weekly"/>
    <s v="PCIe"/>
    <s v="SN4079638"/>
    <m/>
    <s v="ICE19"/>
    <x v="1"/>
    <x v="7"/>
    <x v="48"/>
    <x v="14"/>
    <s v="No"/>
    <m/>
    <m/>
    <m/>
    <m/>
    <m/>
    <m/>
    <m/>
    <m/>
    <m/>
    <m/>
    <m/>
    <s v="Yes"/>
    <s v="Yes"/>
    <x v="0"/>
  </r>
  <r>
    <s v="Bangalore"/>
    <s v="BASRTL398"/>
    <s v="Yes"/>
    <s v="Weekly"/>
    <s v="PCIe"/>
    <s v="SN4079473"/>
    <m/>
    <s v="ICE19"/>
    <x v="1"/>
    <x v="7"/>
    <x v="50"/>
    <x v="8"/>
    <s v="No"/>
    <m/>
    <m/>
    <m/>
    <m/>
    <m/>
    <m/>
    <m/>
    <m/>
    <m/>
    <m/>
    <d v="2018-11-20T00:00:00"/>
    <s v="Yes"/>
    <s v="Yes"/>
    <x v="0"/>
  </r>
  <r>
    <s v="Bangalore"/>
    <s v="BASRTL399"/>
    <s v="Yes"/>
    <s v="Weekly"/>
    <s v="PCIe"/>
    <s v="SN4079526"/>
    <m/>
    <s v="ICE19"/>
    <x v="0"/>
    <x v="0"/>
    <x v="6"/>
    <x v="14"/>
    <s v="No"/>
    <m/>
    <m/>
    <s v="labuser4-mini.iind.intel.com "/>
    <m/>
    <m/>
    <m/>
    <m/>
    <m/>
    <m/>
    <m/>
    <m/>
    <s v="Yes"/>
    <s v="Yes"/>
    <x v="0"/>
  </r>
  <r>
    <s v="Bangalore"/>
    <s v="BASRTL400"/>
    <s v="Yes"/>
    <s v="Weekly"/>
    <s v="PCIe"/>
    <s v="SN4079645"/>
    <m/>
    <s v="ICE19"/>
    <x v="1"/>
    <x v="48"/>
    <x v="49"/>
    <x v="14"/>
    <s v="No"/>
    <m/>
    <m/>
    <s v="labuser4-mini.iind.intel.com "/>
    <m/>
    <m/>
    <m/>
    <m/>
    <m/>
    <m/>
    <m/>
    <m/>
    <s v="Yes"/>
    <s v="Yes"/>
    <x v="0"/>
  </r>
  <r>
    <s v="Bangalore"/>
    <s v="BASRTL401"/>
    <s v="Yes"/>
    <s v="Weekly"/>
    <s v="PCIe"/>
    <s v="SN4079592"/>
    <m/>
    <s v="ICE19"/>
    <x v="0"/>
    <x v="45"/>
    <x v="5"/>
    <x v="14"/>
    <s v="No"/>
    <m/>
    <m/>
    <s v="labuser4-mini.iind.intel.com "/>
    <m/>
    <m/>
    <m/>
    <m/>
    <m/>
    <m/>
    <m/>
    <m/>
    <s v="Yes"/>
    <s v="Yes"/>
    <x v="0"/>
  </r>
  <r>
    <s v="Bangalore"/>
    <s v="BASRTL402"/>
    <s v="Yes"/>
    <s v="Weekly"/>
    <s v="PCIe"/>
    <s v="SN4079639"/>
    <m/>
    <s v="ICE19"/>
    <x v="0"/>
    <x v="0"/>
    <x v="5"/>
    <x v="14"/>
    <s v="No"/>
    <m/>
    <m/>
    <s v="labuser4-mini.iind.intel.com "/>
    <m/>
    <m/>
    <m/>
    <m/>
    <m/>
    <m/>
    <m/>
    <m/>
    <s v="Yes"/>
    <s v="Yes"/>
    <x v="0"/>
  </r>
  <r>
    <s v="Bangalore"/>
    <s v="BASRTL403"/>
    <s v="Yes"/>
    <s v="Weekly"/>
    <s v="PCIe"/>
    <s v="SN4079439"/>
    <m/>
    <s v="ICE19"/>
    <x v="0"/>
    <x v="45"/>
    <x v="6"/>
    <x v="14"/>
    <s v="No"/>
    <m/>
    <m/>
    <s v="labuser4-mini.iind.intel.com "/>
    <m/>
    <m/>
    <m/>
    <m/>
    <m/>
    <m/>
    <m/>
    <m/>
    <s v="Yes"/>
    <s v="Yes"/>
    <x v="0"/>
  </r>
  <r>
    <s v="Bangalore"/>
    <s v="BASRTL404"/>
    <s v="Yes"/>
    <s v="Weekly"/>
    <s v="PCIe"/>
    <s v="SN4079476"/>
    <m/>
    <s v="ICE19"/>
    <x v="0"/>
    <x v="45"/>
    <x v="4"/>
    <x v="14"/>
    <s v="No"/>
    <m/>
    <m/>
    <m/>
    <m/>
    <m/>
    <m/>
    <m/>
    <m/>
    <m/>
    <m/>
    <m/>
    <s v="Yes"/>
    <s v="Yes"/>
    <x v="0"/>
  </r>
  <r>
    <s v="Bangalore"/>
    <s v="BASRTL405"/>
    <s v="Yes"/>
    <s v="Weekly"/>
    <s v="PCIe"/>
    <s v="SN4079609"/>
    <m/>
    <s v="ICE19"/>
    <x v="1"/>
    <x v="7"/>
    <x v="48"/>
    <x v="8"/>
    <s v="No"/>
    <m/>
    <m/>
    <m/>
    <m/>
    <m/>
    <m/>
    <m/>
    <m/>
    <m/>
    <m/>
    <d v="2018-11-20T00:00:00"/>
    <s v="Yes"/>
    <s v="Yes"/>
    <x v="0"/>
  </r>
  <r>
    <s v="Bangalore"/>
    <s v="BASRTL406"/>
    <s v="Yes"/>
    <s v="Weekly"/>
    <s v="PCIe"/>
    <s v="SN4079540"/>
    <m/>
    <s v="ICE19"/>
    <x v="1"/>
    <x v="7"/>
    <x v="62"/>
    <x v="14"/>
    <s v="No"/>
    <m/>
    <m/>
    <m/>
    <m/>
    <m/>
    <m/>
    <m/>
    <m/>
    <m/>
    <m/>
    <m/>
    <s v="Yes"/>
    <s v="Yes"/>
    <x v="0"/>
  </r>
  <r>
    <s v="Bangalore"/>
    <s v="BASRTL407"/>
    <s v="Yes"/>
    <s v="Weekly"/>
    <s v="PCIe"/>
    <s v="SN4079577"/>
    <m/>
    <s v="ICE19"/>
    <x v="0"/>
    <x v="0"/>
    <x v="0"/>
    <x v="14"/>
    <s v="No"/>
    <m/>
    <m/>
    <m/>
    <m/>
    <m/>
    <m/>
    <m/>
    <m/>
    <m/>
    <m/>
    <m/>
    <s v="Yes"/>
    <s v="Yes"/>
    <x v="0"/>
  </r>
  <r>
    <s v="Bangalore"/>
    <s v="BASRTL408"/>
    <s v="Yes"/>
    <s v="Weekly"/>
    <s v="PCIe"/>
    <s v="SN4079345"/>
    <m/>
    <s v="ICE19"/>
    <x v="0"/>
    <x v="0"/>
    <x v="0"/>
    <x v="14"/>
    <s v="No"/>
    <m/>
    <m/>
    <m/>
    <m/>
    <m/>
    <m/>
    <m/>
    <m/>
    <m/>
    <m/>
    <m/>
    <s v="Yes"/>
    <s v="Yes"/>
    <x v="0"/>
  </r>
  <r>
    <s v="Bangalore"/>
    <s v="BASRTL409"/>
    <s v="Yes"/>
    <s v="Weekly"/>
    <s v="PCIe"/>
    <s v="SN4079686"/>
    <m/>
    <s v="ICE19"/>
    <x v="0"/>
    <x v="45"/>
    <x v="5"/>
    <x v="14"/>
    <s v="No"/>
    <m/>
    <m/>
    <m/>
    <m/>
    <m/>
    <m/>
    <m/>
    <m/>
    <m/>
    <m/>
    <m/>
    <s v="Yes"/>
    <s v="Yes"/>
    <x v="0"/>
  </r>
  <r>
    <s v="Bangalore"/>
    <s v="BASRTL410"/>
    <s v="Yes"/>
    <s v="Daily"/>
    <s v="PCIe"/>
    <s v="SN4079713"/>
    <m/>
    <s v="ICE19"/>
    <x v="1"/>
    <x v="7"/>
    <x v="50"/>
    <x v="4"/>
    <s v="No"/>
    <m/>
    <m/>
    <m/>
    <m/>
    <m/>
    <m/>
    <m/>
    <m/>
    <m/>
    <m/>
    <d v="2018-11-20T00:00:00"/>
    <s v="Yes"/>
    <s v="Yes"/>
    <x v="0"/>
  </r>
  <r>
    <s v="Bangalore"/>
    <s v="BASRTL411"/>
    <s v="Yes"/>
    <s v="Weekly"/>
    <s v="PCIe"/>
    <s v="SN4079624"/>
    <m/>
    <s v="ICE19"/>
    <x v="0"/>
    <x v="4"/>
    <x v="4"/>
    <x v="14"/>
    <s v="No"/>
    <m/>
    <m/>
    <m/>
    <m/>
    <m/>
    <m/>
    <m/>
    <m/>
    <m/>
    <m/>
    <m/>
    <s v="Yes"/>
    <s v="Yes"/>
    <x v="0"/>
  </r>
  <r>
    <s v="Bangalore"/>
    <s v="BASRTL412"/>
    <s v="Yes"/>
    <s v="Weekly"/>
    <s v="PCIe"/>
    <s v="SN4079409"/>
    <m/>
    <s v="ICE19"/>
    <x v="0"/>
    <x v="45"/>
    <x v="4"/>
    <x v="14"/>
    <s v="No"/>
    <m/>
    <m/>
    <m/>
    <m/>
    <m/>
    <m/>
    <m/>
    <m/>
    <m/>
    <m/>
    <m/>
    <s v="Yes"/>
    <s v="Yes"/>
    <x v="0"/>
  </r>
  <r>
    <s v="Bangalore"/>
    <s v="BASRTL413"/>
    <s v="Yes"/>
    <s v="Weekly"/>
    <s v="PCIe"/>
    <s v="SN4079553"/>
    <m/>
    <s v="ICE19"/>
    <x v="1"/>
    <x v="48"/>
    <x v="49"/>
    <x v="14"/>
    <s v="No"/>
    <m/>
    <m/>
    <m/>
    <m/>
    <m/>
    <m/>
    <m/>
    <m/>
    <m/>
    <m/>
    <m/>
    <s v="Yes"/>
    <s v="Yes"/>
    <x v="0"/>
  </r>
  <r>
    <s v="Bangalore"/>
    <s v="BASRTL414"/>
    <s v="Yes"/>
    <s v="Weekly"/>
    <s v="PCIe"/>
    <s v="SN4079643"/>
    <m/>
    <s v="ICE19"/>
    <x v="1"/>
    <x v="7"/>
    <x v="62"/>
    <x v="14"/>
    <s v="No"/>
    <m/>
    <m/>
    <m/>
    <m/>
    <m/>
    <m/>
    <m/>
    <m/>
    <m/>
    <m/>
    <m/>
    <s v="Yes"/>
    <s v="Yes"/>
    <x v="0"/>
  </r>
  <r>
    <s v="Bangalore"/>
    <s v="BASRTL415"/>
    <s v="Yes"/>
    <s v="Weekly"/>
    <s v="PCIe"/>
    <s v="SN4079428"/>
    <m/>
    <s v="ICE19"/>
    <x v="0"/>
    <x v="45"/>
    <x v="4"/>
    <x v="14"/>
    <s v="No"/>
    <m/>
    <m/>
    <m/>
    <m/>
    <m/>
    <m/>
    <m/>
    <m/>
    <m/>
    <m/>
    <m/>
    <s v="Yes"/>
    <s v="Yes"/>
    <x v="0"/>
  </r>
  <r>
    <s v="Bangalore"/>
    <s v="BASRTL416"/>
    <s v="Yes"/>
    <s v="Daily"/>
    <s v="PCIe"/>
    <s v="SN4079481"/>
    <m/>
    <s v="ICE19"/>
    <x v="1"/>
    <x v="7"/>
    <x v="48"/>
    <x v="8"/>
    <s v="No"/>
    <m/>
    <m/>
    <m/>
    <m/>
    <m/>
    <m/>
    <m/>
    <m/>
    <m/>
    <m/>
    <d v="2018-11-20T00:00:00"/>
    <s v="Yes"/>
    <s v="Yes"/>
    <x v="0"/>
  </r>
  <r>
    <s v="Bangalore"/>
    <s v="BASRTL417"/>
    <s v="Yes"/>
    <s v="Daily"/>
    <s v="PCIe"/>
    <s v="SN4079627"/>
    <m/>
    <s v="ICE19"/>
    <x v="1"/>
    <x v="48"/>
    <x v="49"/>
    <x v="8"/>
    <s v="No"/>
    <m/>
    <m/>
    <m/>
    <m/>
    <m/>
    <m/>
    <m/>
    <m/>
    <m/>
    <m/>
    <d v="2018-11-20T00:00:00"/>
    <s v="Yes"/>
    <s v="Yes"/>
    <x v="0"/>
  </r>
  <r>
    <s v="Bangalore"/>
    <s v="BASRTL418"/>
    <s v="Yes"/>
    <s v="Weekly"/>
    <s v="PCIe"/>
    <s v="SN4079531"/>
    <m/>
    <s v="ICE19"/>
    <x v="1"/>
    <x v="48"/>
    <x v="49"/>
    <x v="14"/>
    <s v="No"/>
    <m/>
    <m/>
    <m/>
    <m/>
    <m/>
    <m/>
    <m/>
    <m/>
    <m/>
    <m/>
    <m/>
    <s v="Yes"/>
    <s v="Yes"/>
    <x v="0"/>
  </r>
  <r>
    <s v="San Diego"/>
    <s v="SDSRTL193"/>
    <s v="Yes"/>
    <s v="Weekly"/>
    <s v="PCIe"/>
    <n v="4079441"/>
    <m/>
    <s v="ICE19"/>
    <x v="1"/>
    <x v="61"/>
    <x v="63"/>
    <x v="8"/>
    <s v="No"/>
    <s v="No"/>
    <s v="No"/>
    <m/>
    <m/>
    <m/>
    <m/>
    <m/>
    <m/>
    <m/>
    <m/>
    <d v="2018-11-26T00:00:00"/>
    <s v="Yes"/>
    <s v="Yes"/>
    <x v="0"/>
  </r>
  <r>
    <s v="San Diego"/>
    <s v="SDSRTL194"/>
    <s v="Yes"/>
    <s v="Weekly"/>
    <s v="PCIe"/>
    <n v="4079497"/>
    <m/>
    <s v="ICE19"/>
    <x v="1"/>
    <x v="62"/>
    <x v="61"/>
    <x v="8"/>
    <s v="No"/>
    <s v="No"/>
    <s v="No"/>
    <m/>
    <m/>
    <m/>
    <m/>
    <m/>
    <m/>
    <m/>
    <m/>
    <d v="2018-11-26T00:00:00"/>
    <s v="Yes"/>
    <s v="Yes"/>
    <x v="0"/>
  </r>
  <r>
    <s v="San Diego"/>
    <s v="SDSRTL195"/>
    <s v="Yes"/>
    <s v="Weekly"/>
    <s v="PCIe"/>
    <n v="4079506"/>
    <m/>
    <s v="ICE19"/>
    <x v="1"/>
    <x v="63"/>
    <x v="64"/>
    <x v="8"/>
    <s v="No"/>
    <s v="No"/>
    <s v="No"/>
    <m/>
    <m/>
    <m/>
    <m/>
    <m/>
    <m/>
    <m/>
    <m/>
    <d v="2018-11-26T00:00:00"/>
    <s v="Yes"/>
    <s v="Yes"/>
    <x v="0"/>
  </r>
  <r>
    <s v="San Diego"/>
    <s v="SDSRTL196"/>
    <s v="Yes"/>
    <s v="Daily"/>
    <s v="PCIe"/>
    <n v="4079674"/>
    <m/>
    <s v="ICE19"/>
    <x v="1"/>
    <x v="51"/>
    <x v="54"/>
    <x v="8"/>
    <s v="No"/>
    <s v="No"/>
    <s v="No"/>
    <m/>
    <m/>
    <m/>
    <m/>
    <m/>
    <m/>
    <m/>
    <m/>
    <d v="2018-11-26T00:00:00"/>
    <s v="Yes"/>
    <s v="Yes"/>
    <x v="0"/>
  </r>
  <r>
    <s v="San Diego"/>
    <s v="SDSRTL197"/>
    <s v="Yes"/>
    <s v="Daily"/>
    <s v="PCIe"/>
    <n v="4079946"/>
    <m/>
    <s v="ICE19"/>
    <x v="1"/>
    <x v="56"/>
    <x v="57"/>
    <x v="8"/>
    <s v="No"/>
    <s v="No"/>
    <s v="No"/>
    <m/>
    <m/>
    <m/>
    <m/>
    <m/>
    <m/>
    <m/>
    <m/>
    <d v="2018-11-26T00:00:00"/>
    <s v="Yes"/>
    <s v="Yes"/>
    <x v="0"/>
  </r>
  <r>
    <s v="San Diego"/>
    <s v="SDSRTL198"/>
    <s v="Yes"/>
    <s v="Daily"/>
    <s v="PCIe"/>
    <n v="4079433"/>
    <m/>
    <s v="ICE19"/>
    <x v="1"/>
    <x v="57"/>
    <x v="59"/>
    <x v="8"/>
    <s v="No"/>
    <s v="No"/>
    <s v="No"/>
    <m/>
    <m/>
    <m/>
    <m/>
    <m/>
    <m/>
    <m/>
    <m/>
    <d v="2018-11-26T00:00:00"/>
    <s v="Yes"/>
    <s v="Yes"/>
    <x v="0"/>
  </r>
  <r>
    <s v="San Diego"/>
    <s v="SDSRTL199"/>
    <s v="Yes"/>
    <s v="Daily"/>
    <s v="PCIe"/>
    <n v="4079603"/>
    <m/>
    <s v="ICE19"/>
    <x v="1"/>
    <x v="61"/>
    <x v="65"/>
    <x v="8"/>
    <s v="No"/>
    <s v="No"/>
    <s v="No"/>
    <m/>
    <m/>
    <m/>
    <m/>
    <m/>
    <m/>
    <m/>
    <m/>
    <d v="2018-11-26T00:00:00"/>
    <s v="Yes"/>
    <s v="Yes"/>
    <x v="0"/>
  </r>
  <r>
    <s v="San Diego"/>
    <s v="SDSRTL200"/>
    <s v="Yes"/>
    <s v="Daily"/>
    <s v="PCIe"/>
    <n v="4079533"/>
    <m/>
    <s v="ICE19"/>
    <x v="1"/>
    <x v="62"/>
    <x v="55"/>
    <x v="8"/>
    <s v="No"/>
    <s v="No"/>
    <s v="No"/>
    <m/>
    <m/>
    <m/>
    <m/>
    <m/>
    <m/>
    <m/>
    <m/>
    <d v="2018-11-26T00:00:00"/>
    <s v="Yes"/>
    <s v="Yes"/>
    <x v="0"/>
  </r>
  <r>
    <s v="San Diego"/>
    <s v="SDSRTL201"/>
    <s v="Yes"/>
    <s v="Weekly"/>
    <s v="PCIe"/>
    <n v="4079523"/>
    <m/>
    <s v="ICE19"/>
    <x v="0"/>
    <x v="22"/>
    <x v="4"/>
    <x v="8"/>
    <s v="No"/>
    <s v="No"/>
    <s v="No"/>
    <m/>
    <m/>
    <m/>
    <m/>
    <m/>
    <m/>
    <m/>
    <m/>
    <d v="2018-11-26T00:00:00"/>
    <s v="Yes"/>
    <s v="Yes"/>
    <x v="0"/>
  </r>
  <r>
    <s v="San Diego"/>
    <s v="SDSRTL202"/>
    <s v="Yes"/>
    <s v="Weekly"/>
    <s v="PCIe"/>
    <n v="4079401"/>
    <m/>
    <s v="ICE19"/>
    <x v="0"/>
    <x v="21"/>
    <x v="4"/>
    <x v="14"/>
    <s v="No"/>
    <s v="No"/>
    <s v="No"/>
    <m/>
    <m/>
    <m/>
    <m/>
    <m/>
    <m/>
    <m/>
    <m/>
    <m/>
    <s v="Yes"/>
    <s v="Yes"/>
    <x v="0"/>
  </r>
  <r>
    <s v="San Diego"/>
    <s v="SDSRTL203"/>
    <s v="Yes"/>
    <s v="Weekly"/>
    <s v="PCIe"/>
    <n v="4079593"/>
    <m/>
    <s v="ICE19"/>
    <x v="0"/>
    <x v="20"/>
    <x v="5"/>
    <x v="14"/>
    <s v="No"/>
    <s v="No"/>
    <s v="No"/>
    <m/>
    <m/>
    <m/>
    <m/>
    <m/>
    <m/>
    <m/>
    <m/>
    <m/>
    <s v="Yes"/>
    <s v="Yes"/>
    <x v="0"/>
  </r>
  <r>
    <s v="San Diego"/>
    <s v="SDSRTL204"/>
    <s v="Yes"/>
    <s v="Weekly"/>
    <s v="PCIe"/>
    <n v="4079374"/>
    <m/>
    <s v="ICE19"/>
    <x v="0"/>
    <x v="20"/>
    <x v="4"/>
    <x v="14"/>
    <s v="No"/>
    <s v="No"/>
    <s v="No"/>
    <m/>
    <m/>
    <m/>
    <m/>
    <m/>
    <m/>
    <m/>
    <m/>
    <m/>
    <s v="Yes"/>
    <s v="Yes"/>
    <x v="0"/>
  </r>
  <r>
    <s v="San Diego"/>
    <s v="SDSRTL205"/>
    <s v="Yes"/>
    <s v="Weekly"/>
    <s v="PCIe"/>
    <n v="4079698"/>
    <m/>
    <s v="ICE19"/>
    <x v="0"/>
    <x v="21"/>
    <x v="5"/>
    <x v="14"/>
    <s v="No"/>
    <s v="No"/>
    <s v="No"/>
    <m/>
    <m/>
    <m/>
    <m/>
    <m/>
    <m/>
    <m/>
    <m/>
    <m/>
    <s v="Yes"/>
    <s v="Yes"/>
    <x v="0"/>
  </r>
  <r>
    <s v="San Diego"/>
    <s v="SDSRTL206"/>
    <s v="Yes"/>
    <s v="Weekly"/>
    <s v="PCIe"/>
    <n v="4079700"/>
    <m/>
    <s v="ICE19"/>
    <x v="0"/>
    <x v="22"/>
    <x v="13"/>
    <x v="14"/>
    <s v="No"/>
    <s v="No"/>
    <s v="No"/>
    <m/>
    <m/>
    <m/>
    <m/>
    <m/>
    <m/>
    <m/>
    <m/>
    <m/>
    <s v="Yes"/>
    <s v="Yes"/>
    <x v="0"/>
  </r>
  <r>
    <s v="Hillsboro"/>
    <s v="HILSRTL400"/>
    <s v="Yes"/>
    <s v="Weekly"/>
    <s v="PCIe"/>
    <s v="SN4079542"/>
    <m/>
    <s v="ICE19"/>
    <x v="1"/>
    <x v="64"/>
    <x v="65"/>
    <x v="8"/>
    <s v="No"/>
    <s v="No"/>
    <m/>
    <s v="HILSRTL006sMini.hf.intel.com"/>
    <m/>
    <m/>
    <s v="C07826400NVX1R36"/>
    <s v="9135791861"/>
    <s v="00440152289865"/>
    <s v="00440152299865"/>
    <n v="9712942752"/>
    <m/>
    <s v="Yes"/>
    <s v="Yes"/>
    <x v="0"/>
  </r>
  <r>
    <s v="Hillsboro"/>
    <s v="HILSRTL401"/>
    <s v="Yes"/>
    <s v="Weekly"/>
    <s v="PCIe"/>
    <s v="SN4079569"/>
    <m/>
    <s v="ICE19"/>
    <x v="1"/>
    <x v="52"/>
    <x v="61"/>
    <x v="8"/>
    <s v="No"/>
    <s v="No"/>
    <m/>
    <s v="HILSRTL006sMini.hf.intel.com"/>
    <m/>
    <m/>
    <s v="C07826400LSX1R36"/>
    <s v="9712942754"/>
    <s v="00440152289856"/>
    <s v="00440152299856"/>
    <s v="9712979347"/>
    <m/>
    <s v="Yes"/>
    <s v="Yes"/>
    <x v="0"/>
  </r>
  <r>
    <s v="Hillsboro"/>
    <s v="HILSRTL402"/>
    <s v="Yes"/>
    <s v="Weekly"/>
    <s v="PCIe"/>
    <s v="SN4079569"/>
    <m/>
    <s v="ICE19"/>
    <x v="1"/>
    <x v="63"/>
    <x v="64"/>
    <x v="8"/>
    <s v="No"/>
    <s v="No"/>
    <m/>
    <s v="HILSRTL006sMini.hf.intel.com"/>
    <m/>
    <m/>
    <s v="C07826600Z4X1R36"/>
    <s v="9712942755"/>
    <s v="00440152289308"/>
    <s v="00440152299308"/>
    <s v="5034817497"/>
    <m/>
    <s v="Yes"/>
    <s v="Yes"/>
    <x v="1"/>
  </r>
  <r>
    <s v="Hillsboro"/>
    <s v="HILSRTL403"/>
    <s v="Yes"/>
    <s v="Daily"/>
    <s v="PCIe"/>
    <s v="SN4079902"/>
    <m/>
    <s v="ICE19"/>
    <x v="1"/>
    <x v="64"/>
    <x v="65"/>
    <x v="8"/>
    <s v="No"/>
    <s v="No"/>
    <m/>
    <s v="HILSRTL006sMini.hf.intel.com"/>
    <m/>
    <m/>
    <s v="C07826400L1X1R36"/>
    <s v="9135794378"/>
    <s v=" 00440152289854"/>
    <s v=" 00440152299854"/>
    <n v="5037288471"/>
    <m/>
    <s v="Yes"/>
    <s v="Yes"/>
    <x v="0"/>
  </r>
  <r>
    <s v="Hillsboro"/>
    <s v="HILSRTL093"/>
    <s v="Yes"/>
    <s v="Weekly"/>
    <s v="PCIe"/>
    <s v="SN2510562"/>
    <m/>
    <s v="ICE19"/>
    <x v="1"/>
    <x v="59"/>
    <x v="60"/>
    <x v="8"/>
    <s v="No"/>
    <s v="No"/>
    <m/>
    <s v="HILSRTL006sMini.hf.intel.com"/>
    <m/>
    <m/>
    <s v="C07826600YFX1R36"/>
    <s v="9135261489"/>
    <s v="00440152289328"/>
    <s v=" 00440152299328"/>
    <n v="9712979322"/>
    <m/>
    <s v="Yes"/>
    <s v="Yes"/>
    <x v="0"/>
  </r>
  <r>
    <s v="Hillsboro"/>
    <s v="HILSRTL417"/>
    <s v="Yes"/>
    <s v="Daily"/>
    <s v="PCIe"/>
    <s v="SN4079705"/>
    <m/>
    <s v="ICE19"/>
    <x v="1"/>
    <x v="63"/>
    <x v="64"/>
    <x v="8"/>
    <s v="No"/>
    <s v="No"/>
    <m/>
    <s v="HILSRTL006sMini.hf.intel.com"/>
    <m/>
    <m/>
    <s v="C07826400NTX1R36"/>
    <s v="5037288604"/>
    <s v=" 00440152289862"/>
    <s v=" 00440152299862"/>
    <s v="5034572405"/>
    <m/>
    <s v="Yes"/>
    <s v="Yes"/>
    <x v="0"/>
  </r>
  <r>
    <s v="Munich"/>
    <s v="MUCSRTL189"/>
    <s v="Yes"/>
    <s v="Weekly"/>
    <s v="PCIe"/>
    <s v="SN4079398"/>
    <s v="11.1.371 Rack 7/3"/>
    <s v="ICE19"/>
    <x v="0"/>
    <x v="14"/>
    <x v="5"/>
    <x v="14"/>
    <s v="No"/>
    <m/>
    <m/>
    <m/>
    <m/>
    <m/>
    <m/>
    <m/>
    <m/>
    <m/>
    <m/>
    <m/>
    <s v="Yes"/>
    <s v="Yes"/>
    <x v="0"/>
  </r>
  <r>
    <s v="Munich"/>
    <s v="MUCSRTL190"/>
    <s v="Yes"/>
    <s v="Weekly"/>
    <s v="PCIe"/>
    <s v="SN4079611"/>
    <s v="11.1.371 Rack 4/5"/>
    <s v="ICE19"/>
    <x v="0"/>
    <x v="47"/>
    <x v="5"/>
    <x v="14"/>
    <s v="No"/>
    <m/>
    <m/>
    <m/>
    <m/>
    <m/>
    <m/>
    <m/>
    <m/>
    <m/>
    <m/>
    <m/>
    <s v="Yes"/>
    <s v="Yes"/>
    <x v="0"/>
  </r>
  <r>
    <s v="Munich"/>
    <s v="MUCSRTL191"/>
    <s v="Yes"/>
    <s v="Weekly"/>
    <s v="PCIe"/>
    <s v="SN4079397"/>
    <s v="11.1.371 Rack 4/4"/>
    <s v="ICE19"/>
    <x v="0"/>
    <x v="14"/>
    <x v="4"/>
    <x v="14"/>
    <s v="No"/>
    <m/>
    <m/>
    <m/>
    <m/>
    <m/>
    <m/>
    <m/>
    <m/>
    <m/>
    <m/>
    <m/>
    <s v="Yes"/>
    <s v="Yes"/>
    <x v="0"/>
  </r>
  <r>
    <s v="Hillsboro"/>
    <s v="HILSRTL398"/>
    <s v="Yes"/>
    <s v="Daily"/>
    <s v="PCIe"/>
    <s v="SN4079902"/>
    <m/>
    <s v="ICE19"/>
    <x v="1"/>
    <x v="51"/>
    <x v="54"/>
    <x v="8"/>
    <s v="No"/>
    <m/>
    <m/>
    <s v="HILSRTL006sMini.hf.intel.com"/>
    <m/>
    <m/>
    <s v="C07826400NVX1R36"/>
    <n v="9712979340"/>
    <s v=" 00440152289858"/>
    <s v=" 00440152299858"/>
    <s v="6194946146"/>
    <m/>
    <s v="Yes"/>
    <s v="Yes"/>
    <x v="0"/>
  </r>
  <r>
    <s v="Munich"/>
    <s v="MUCSRTL188"/>
    <s v="Yes"/>
    <s v="Weekly"/>
    <s v="BlackRay"/>
    <s v="SN3647670"/>
    <s v="11.1.371 Rack 9/4"/>
    <s v="ICE19"/>
    <x v="1"/>
    <x v="16"/>
    <x v="12"/>
    <x v="2"/>
    <s v="No"/>
    <s v="No"/>
    <s v="4x"/>
    <s v="MUCSRTMAC130.IMU.INTEL.COM"/>
    <s v="Yes(40188)"/>
    <s v="E4DD684687DBF6A2FFFFFFFF"/>
    <s v="C07826400LEX1R36"/>
    <s v="491728920646"/>
    <m/>
    <m/>
    <m/>
    <m/>
    <s v="Yes"/>
    <s v="Yes"/>
    <x v="0"/>
  </r>
  <r>
    <s v="Munich"/>
    <s v="MUCSRTL192"/>
    <s v="No"/>
    <m/>
    <s v="BlackRay"/>
    <s v="SN4079551"/>
    <m/>
    <s v="ICE19"/>
    <x v="2"/>
    <x v="2"/>
    <x v="2"/>
    <x v="3"/>
    <m/>
    <m/>
    <m/>
    <m/>
    <m/>
    <m/>
    <m/>
    <m/>
    <m/>
    <m/>
    <m/>
    <m/>
    <s v="Yes"/>
    <s v="Yes"/>
    <x v="1"/>
  </r>
  <r>
    <s v="Munich"/>
    <s v="MUCSRTL193"/>
    <s v="No"/>
    <m/>
    <s v="BlackRay"/>
    <s v="SN4079534"/>
    <m/>
    <s v="ICE19"/>
    <x v="2"/>
    <x v="2"/>
    <x v="2"/>
    <x v="3"/>
    <m/>
    <m/>
    <m/>
    <m/>
    <m/>
    <m/>
    <m/>
    <m/>
    <m/>
    <m/>
    <m/>
    <m/>
    <s v="Yes"/>
    <s v="Yes"/>
    <x v="1"/>
  </r>
  <r>
    <s v="Munich"/>
    <s v="MUCSRTL194"/>
    <s v="No"/>
    <m/>
    <s v="BlackRay"/>
    <s v="SN4079583"/>
    <m/>
    <s v="ICE19"/>
    <x v="2"/>
    <x v="2"/>
    <x v="2"/>
    <x v="3"/>
    <m/>
    <m/>
    <m/>
    <m/>
    <m/>
    <m/>
    <m/>
    <m/>
    <m/>
    <m/>
    <m/>
    <m/>
    <s v="Yes"/>
    <s v="Yes"/>
    <x v="1"/>
  </r>
  <r>
    <s v="Munich"/>
    <s v="MUCSRTL195"/>
    <s v="No"/>
    <m/>
    <s v="BlackRay"/>
    <s v="SN4079704"/>
    <m/>
    <s v="ICE19"/>
    <x v="2"/>
    <x v="2"/>
    <x v="2"/>
    <x v="3"/>
    <m/>
    <m/>
    <m/>
    <m/>
    <m/>
    <m/>
    <m/>
    <m/>
    <m/>
    <m/>
    <m/>
    <m/>
    <s v="Yes"/>
    <s v="Yes"/>
    <x v="1"/>
  </r>
  <r>
    <s v="Munich"/>
    <s v="MUCSRTL196"/>
    <s v="No"/>
    <m/>
    <s v="BlackRay"/>
    <s v="SN4079619"/>
    <m/>
    <s v="ICE19"/>
    <x v="2"/>
    <x v="2"/>
    <x v="2"/>
    <x v="3"/>
    <m/>
    <m/>
    <m/>
    <m/>
    <m/>
    <m/>
    <m/>
    <m/>
    <m/>
    <m/>
    <m/>
    <m/>
    <s v="Yes"/>
    <s v="Yes"/>
    <x v="1"/>
  </r>
  <r>
    <s v="Munich"/>
    <s v="MUCSRTL197"/>
    <s v="No"/>
    <m/>
    <s v="BlackRay"/>
    <s v="SN4079333"/>
    <m/>
    <s v="ICE19"/>
    <x v="2"/>
    <x v="2"/>
    <x v="2"/>
    <x v="3"/>
    <m/>
    <m/>
    <m/>
    <m/>
    <m/>
    <m/>
    <m/>
    <m/>
    <m/>
    <m/>
    <m/>
    <m/>
    <s v="Yes"/>
    <s v="Yes"/>
    <x v="1"/>
  </r>
  <r>
    <s v="Munich"/>
    <s v="MUCSRTL198"/>
    <s v="No"/>
    <m/>
    <s v="BlackRay"/>
    <s v="SN4079708"/>
    <m/>
    <s v="ICE19"/>
    <x v="2"/>
    <x v="2"/>
    <x v="2"/>
    <x v="3"/>
    <m/>
    <m/>
    <m/>
    <m/>
    <m/>
    <m/>
    <m/>
    <m/>
    <m/>
    <m/>
    <m/>
    <m/>
    <s v="Yes"/>
    <s v="Yes"/>
    <x v="1"/>
  </r>
  <r>
    <s v="Munich"/>
    <s v="MUCSRTL199"/>
    <s v="No"/>
    <m/>
    <s v="BlackRay"/>
    <s v="SN4079495"/>
    <m/>
    <s v="ICE19"/>
    <x v="2"/>
    <x v="2"/>
    <x v="2"/>
    <x v="3"/>
    <m/>
    <m/>
    <m/>
    <m/>
    <m/>
    <m/>
    <m/>
    <m/>
    <m/>
    <m/>
    <m/>
    <m/>
    <s v="Yes"/>
    <s v="Yes"/>
    <x v="1"/>
  </r>
  <r>
    <s v="Munich"/>
    <s v="MUCSRTL200"/>
    <s v="No"/>
    <m/>
    <s v="BlackRay"/>
    <s v="SN4079688"/>
    <m/>
    <s v="ICE19"/>
    <x v="2"/>
    <x v="2"/>
    <x v="2"/>
    <x v="3"/>
    <m/>
    <m/>
    <m/>
    <m/>
    <m/>
    <m/>
    <m/>
    <m/>
    <m/>
    <m/>
    <m/>
    <m/>
    <s v="Yes"/>
    <s v="Yes"/>
    <x v="1"/>
  </r>
  <r>
    <s v="Munich"/>
    <s v="MUCSRTL201"/>
    <s v="No"/>
    <m/>
    <s v="BlackRay"/>
    <s v="SN4079556"/>
    <m/>
    <s v="ICE19"/>
    <x v="2"/>
    <x v="2"/>
    <x v="2"/>
    <x v="3"/>
    <m/>
    <m/>
    <m/>
    <m/>
    <m/>
    <m/>
    <m/>
    <m/>
    <m/>
    <m/>
    <m/>
    <m/>
    <s v="Yes"/>
    <s v="Yes"/>
    <x v="1"/>
  </r>
  <r>
    <s v="Munich"/>
    <s v="MUCSRTL202"/>
    <s v="No"/>
    <m/>
    <s v="BlackRay"/>
    <s v="SN4079474"/>
    <m/>
    <s v="ICE19"/>
    <x v="2"/>
    <x v="2"/>
    <x v="2"/>
    <x v="3"/>
    <m/>
    <m/>
    <m/>
    <m/>
    <m/>
    <m/>
    <m/>
    <m/>
    <m/>
    <m/>
    <m/>
    <m/>
    <s v="Yes"/>
    <s v="In progress"/>
    <x v="1"/>
  </r>
  <r>
    <s v="Munich"/>
    <s v="MUCSRTL203"/>
    <s v="No"/>
    <m/>
    <s v="BlackRay"/>
    <s v="SN4079381"/>
    <m/>
    <s v="ICE19"/>
    <x v="2"/>
    <x v="2"/>
    <x v="2"/>
    <x v="3"/>
    <m/>
    <m/>
    <m/>
    <m/>
    <m/>
    <m/>
    <m/>
    <m/>
    <m/>
    <m/>
    <m/>
    <m/>
    <s v="Yes"/>
    <s v="Yes"/>
    <x v="1"/>
  </r>
  <r>
    <s v="Hillsboro"/>
    <s v="HILSRTL415"/>
    <s v="Yes"/>
    <s v="Weekly"/>
    <s v="PCIe"/>
    <s v="SN4079492"/>
    <m/>
    <s v="ICE19"/>
    <x v="0"/>
    <x v="54"/>
    <x v="4"/>
    <x v="14"/>
    <m/>
    <m/>
    <m/>
    <s v="HILSRTL006sMini.hf.intel.com"/>
    <m/>
    <m/>
    <s v="X1R3827003W"/>
    <n v="9712979326"/>
    <s v="00440152274619"/>
    <s v="00440152274618"/>
    <m/>
    <m/>
    <s v="Yes"/>
    <s v="Yes"/>
    <x v="0"/>
  </r>
  <r>
    <s v="Hillsboro"/>
    <s v="HILSRTL408"/>
    <s v="Yes"/>
    <m/>
    <s v="PCIe"/>
    <s v=" SN4079361"/>
    <m/>
    <s v="ICE19"/>
    <x v="2"/>
    <x v="55"/>
    <x v="2"/>
    <x v="3"/>
    <m/>
    <m/>
    <m/>
    <m/>
    <m/>
    <m/>
    <m/>
    <m/>
    <m/>
    <m/>
    <m/>
    <m/>
    <s v="Yes"/>
    <s v="Yes"/>
    <x v="1"/>
  </r>
  <r>
    <s v="Bangalore"/>
    <s v="BASRTL419"/>
    <s v="Yes"/>
    <s v="Weekly"/>
    <s v="BlackRay"/>
    <s v="SN2250518 --&gt;3647956"/>
    <m/>
    <s v="ICE19"/>
    <x v="1"/>
    <x v="48"/>
    <x v="49"/>
    <x v="2"/>
    <m/>
    <m/>
    <m/>
    <m/>
    <m/>
    <m/>
    <m/>
    <m/>
    <m/>
    <m/>
    <m/>
    <m/>
    <s v="Yes"/>
    <s v="Yes"/>
    <x v="0"/>
  </r>
  <r>
    <s v="Bangalore"/>
    <s v="BASRTL420"/>
    <s v="Yes"/>
    <s v="Weekly"/>
    <s v="BlackRay"/>
    <s v="SN3219611 --&gt; 3647921"/>
    <m/>
    <s v="ICE19"/>
    <x v="1"/>
    <x v="48"/>
    <x v="49"/>
    <x v="2"/>
    <m/>
    <m/>
    <m/>
    <m/>
    <m/>
    <m/>
    <m/>
    <m/>
    <m/>
    <m/>
    <m/>
    <m/>
    <s v="Yes"/>
    <s v="Yes"/>
    <x v="0"/>
  </r>
  <r>
    <s v="Bangalore"/>
    <s v="BASRTL421"/>
    <s v="Yes"/>
    <s v="Weekly"/>
    <s v="BlackRay"/>
    <s v="SN3219903 ---&gt; 3647646"/>
    <m/>
    <s v="ICE19"/>
    <x v="0"/>
    <x v="0"/>
    <x v="0"/>
    <x v="2"/>
    <m/>
    <m/>
    <m/>
    <m/>
    <m/>
    <m/>
    <m/>
    <m/>
    <m/>
    <m/>
    <m/>
    <m/>
    <s v="Yes"/>
    <s v="Yes"/>
    <x v="0"/>
  </r>
  <r>
    <s v="Bangalore"/>
    <s v="BASRTL422"/>
    <s v="Yes"/>
    <s v="Weekly"/>
    <s v="BlackRay"/>
    <s v="SN2794421 --&gt; 3647900"/>
    <m/>
    <s v="ICE19"/>
    <x v="1"/>
    <x v="48"/>
    <x v="44"/>
    <x v="2"/>
    <m/>
    <m/>
    <m/>
    <m/>
    <m/>
    <m/>
    <m/>
    <m/>
    <m/>
    <m/>
    <m/>
    <m/>
    <s v="Yes"/>
    <s v="Yes"/>
    <x v="0"/>
  </r>
  <r>
    <s v="Bangalore"/>
    <s v="BASRTL423"/>
    <s v="Yes"/>
    <s v="Weekly"/>
    <s v="BlackRay"/>
    <s v="SN3219589 ---&gt; 3647566"/>
    <m/>
    <s v="ICE19"/>
    <x v="1"/>
    <x v="48"/>
    <x v="45"/>
    <x v="2"/>
    <m/>
    <m/>
    <m/>
    <m/>
    <m/>
    <m/>
    <m/>
    <m/>
    <m/>
    <m/>
    <m/>
    <m/>
    <s v="Yes"/>
    <s v="Yes"/>
    <x v="0"/>
  </r>
  <r>
    <s v="Bangalore"/>
    <s v="BASRTL424"/>
    <s v="Yes"/>
    <s v="Weekly"/>
    <s v="BlackRay"/>
    <s v="SN3219557 ---&gt;3647805"/>
    <m/>
    <s v="ICE19"/>
    <x v="1"/>
    <x v="1"/>
    <x v="45"/>
    <x v="2"/>
    <m/>
    <m/>
    <m/>
    <m/>
    <m/>
    <m/>
    <m/>
    <m/>
    <m/>
    <m/>
    <m/>
    <m/>
    <s v="Yes"/>
    <s v="Yes"/>
    <x v="0"/>
  </r>
  <r>
    <s v="Bangalore"/>
    <s v="BASRTL425"/>
    <s v="Yes"/>
    <s v="Weekly"/>
    <s v="BlackRay"/>
    <s v="SN3219610 ---&gt;3648102"/>
    <m/>
    <s v="ICE19"/>
    <x v="1"/>
    <x v="1"/>
    <x v="45"/>
    <x v="2"/>
    <m/>
    <m/>
    <m/>
    <m/>
    <m/>
    <m/>
    <m/>
    <m/>
    <m/>
    <m/>
    <m/>
    <m/>
    <s v="Yes"/>
    <s v="Yes"/>
    <x v="0"/>
  </r>
  <r>
    <s v="Munich"/>
    <s v="MUCSRTL098"/>
    <s v="No"/>
    <m/>
    <s v="BlackRay"/>
    <s v="SN3220070"/>
    <m/>
    <s v="ICE19"/>
    <x v="2"/>
    <x v="2"/>
    <x v="2"/>
    <x v="3"/>
    <m/>
    <m/>
    <m/>
    <m/>
    <m/>
    <m/>
    <m/>
    <m/>
    <m/>
    <m/>
    <m/>
    <m/>
    <s v="In progress"/>
    <s v="No"/>
    <x v="1"/>
  </r>
  <r>
    <s v="Munich"/>
    <s v="MUCSRTL088"/>
    <s v="No"/>
    <m/>
    <s v="BlackRay"/>
    <s v="SN3299736"/>
    <m/>
    <s v="ICE19"/>
    <x v="2"/>
    <x v="2"/>
    <x v="2"/>
    <x v="3"/>
    <m/>
    <m/>
    <m/>
    <m/>
    <m/>
    <m/>
    <m/>
    <m/>
    <m/>
    <m/>
    <m/>
    <m/>
    <s v="In progress"/>
    <s v="No"/>
    <x v="1"/>
  </r>
  <r>
    <s v="Munich"/>
    <s v="MUCSRTL050"/>
    <s v="No"/>
    <m/>
    <s v="BlackRay"/>
    <s v="SN3219943"/>
    <m/>
    <s v="ICE19"/>
    <x v="2"/>
    <x v="2"/>
    <x v="2"/>
    <x v="3"/>
    <m/>
    <m/>
    <m/>
    <m/>
    <m/>
    <m/>
    <m/>
    <m/>
    <m/>
    <m/>
    <m/>
    <m/>
    <s v="In progress"/>
    <s v="No"/>
    <x v="1"/>
  </r>
  <r>
    <s v="Munich"/>
    <s v="MUCSRTL040"/>
    <s v="No"/>
    <m/>
    <s v="BlackRay"/>
    <s v="SN3220051"/>
    <m/>
    <s v="ICE19"/>
    <x v="2"/>
    <x v="2"/>
    <x v="2"/>
    <x v="3"/>
    <m/>
    <m/>
    <m/>
    <m/>
    <m/>
    <m/>
    <m/>
    <m/>
    <m/>
    <m/>
    <m/>
    <m/>
    <s v="In progress"/>
    <s v="No"/>
    <x v="1"/>
  </r>
  <r>
    <s v="Hillsboro"/>
    <s v="HILSRTL418"/>
    <s v="No"/>
    <m/>
    <m/>
    <s v="SN2510891"/>
    <m/>
    <s v="ICE19"/>
    <x v="2"/>
    <x v="2"/>
    <x v="2"/>
    <x v="3"/>
    <m/>
    <m/>
    <m/>
    <m/>
    <m/>
    <m/>
    <m/>
    <m/>
    <m/>
    <m/>
    <m/>
    <m/>
    <s v="No"/>
    <s v="No"/>
    <x v="4"/>
  </r>
  <r>
    <s v="Hillsboro"/>
    <s v="HILSRTL419"/>
    <s v="No"/>
    <m/>
    <m/>
    <s v="SN3299790"/>
    <m/>
    <s v="ICE19"/>
    <x v="2"/>
    <x v="2"/>
    <x v="2"/>
    <x v="3"/>
    <m/>
    <m/>
    <m/>
    <m/>
    <m/>
    <m/>
    <m/>
    <m/>
    <m/>
    <m/>
    <m/>
    <m/>
    <s v="No"/>
    <s v="No"/>
    <x v="4"/>
  </r>
  <r>
    <s v="Hillsboro"/>
    <s v="HILSRTL420"/>
    <s v="No"/>
    <m/>
    <m/>
    <s v="SN3219961"/>
    <m/>
    <s v="ICE19"/>
    <x v="2"/>
    <x v="2"/>
    <x v="2"/>
    <x v="3"/>
    <m/>
    <m/>
    <m/>
    <m/>
    <m/>
    <m/>
    <m/>
    <m/>
    <m/>
    <m/>
    <m/>
    <m/>
    <s v="No"/>
    <s v="No"/>
    <x v="4"/>
  </r>
  <r>
    <s v="Hillsboro"/>
    <s v="HILSRTL421"/>
    <s v="No"/>
    <m/>
    <m/>
    <s v="SN2510431"/>
    <m/>
    <s v="ICE19"/>
    <x v="2"/>
    <x v="2"/>
    <x v="2"/>
    <x v="3"/>
    <m/>
    <m/>
    <m/>
    <m/>
    <m/>
    <m/>
    <m/>
    <m/>
    <m/>
    <m/>
    <m/>
    <m/>
    <s v="No"/>
    <s v="No"/>
    <x v="4"/>
  </r>
  <r>
    <s v="Hillsboro"/>
    <s v="HILSRTL422"/>
    <s v="No"/>
    <m/>
    <m/>
    <s v="SN3299631"/>
    <m/>
    <s v="ICE19"/>
    <x v="2"/>
    <x v="2"/>
    <x v="2"/>
    <x v="3"/>
    <m/>
    <m/>
    <m/>
    <m/>
    <m/>
    <m/>
    <m/>
    <m/>
    <m/>
    <m/>
    <m/>
    <m/>
    <s v="No"/>
    <s v="No"/>
    <x v="4"/>
  </r>
  <r>
    <s v="San Diego"/>
    <s v="SDSRTL207"/>
    <m/>
    <m/>
    <s v="BlackRay"/>
    <n v="3648327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n v="3648327"/>
    <m/>
    <m/>
    <x v="2"/>
    <x v="2"/>
    <x v="2"/>
    <x v="3"/>
    <m/>
    <m/>
    <m/>
    <m/>
    <m/>
    <m/>
    <m/>
    <m/>
    <m/>
    <m/>
    <m/>
    <m/>
    <m/>
    <m/>
    <x v="2"/>
  </r>
  <r>
    <s v="San Diego"/>
    <m/>
    <m/>
    <m/>
    <s v="BlackRay"/>
    <n v="3299597"/>
    <m/>
    <m/>
    <x v="2"/>
    <x v="2"/>
    <x v="2"/>
    <x v="3"/>
    <m/>
    <m/>
    <m/>
    <m/>
    <m/>
    <m/>
    <m/>
    <m/>
    <m/>
    <m/>
    <m/>
    <m/>
    <m/>
    <m/>
    <x v="2"/>
  </r>
  <r>
    <s v="San Diego"/>
    <m/>
    <m/>
    <m/>
    <s v="BlackRay"/>
    <n v="2511004"/>
    <m/>
    <m/>
    <x v="2"/>
    <x v="2"/>
    <x v="2"/>
    <x v="3"/>
    <m/>
    <m/>
    <m/>
    <m/>
    <m/>
    <m/>
    <m/>
    <m/>
    <m/>
    <m/>
    <m/>
    <m/>
    <m/>
    <m/>
    <x v="2"/>
  </r>
  <r>
    <s v="San Diego"/>
    <m/>
    <m/>
    <m/>
    <s v="BlackRay"/>
    <n v="3299733"/>
    <m/>
    <m/>
    <x v="2"/>
    <x v="2"/>
    <x v="2"/>
    <x v="3"/>
    <m/>
    <m/>
    <m/>
    <m/>
    <m/>
    <m/>
    <m/>
    <m/>
    <m/>
    <m/>
    <m/>
    <m/>
    <m/>
    <m/>
    <x v="2"/>
  </r>
  <r>
    <s v="San Diego"/>
    <m/>
    <m/>
    <m/>
    <s v="BlackRay"/>
    <n v="3299342"/>
    <m/>
    <m/>
    <x v="2"/>
    <x v="2"/>
    <x v="2"/>
    <x v="3"/>
    <m/>
    <m/>
    <m/>
    <m/>
    <m/>
    <m/>
    <m/>
    <m/>
    <m/>
    <m/>
    <m/>
    <m/>
    <m/>
    <m/>
    <x v="2"/>
  </r>
  <r>
    <s v="San Diego"/>
    <m/>
    <m/>
    <m/>
    <s v="BlackRay"/>
    <n v="3299725"/>
    <m/>
    <m/>
    <x v="2"/>
    <x v="2"/>
    <x v="2"/>
    <x v="3"/>
    <m/>
    <m/>
    <m/>
    <m/>
    <m/>
    <m/>
    <m/>
    <m/>
    <m/>
    <m/>
    <m/>
    <m/>
    <m/>
    <m/>
    <x v="2"/>
  </r>
  <r>
    <s v="Munich"/>
    <s v="MUCSRTL168"/>
    <s v="Yes"/>
    <s v="Pre-INT"/>
    <s v="BlackRay"/>
    <s v="SN3647971"/>
    <m/>
    <s v="ICE19"/>
    <x v="0"/>
    <x v="14"/>
    <x v="4"/>
    <x v="8"/>
    <s v="No"/>
    <s v="No"/>
    <s v="4x"/>
    <s v="MUCSRTMAC127.IMU.INTEL.COM"/>
    <s v="Yes(40168)"/>
    <s v="A2E1A6FACBC290F7FFFFFFFF"/>
    <s v="C03816111921369BC"/>
    <s v="4917610506582"/>
    <m/>
    <m/>
    <m/>
    <m/>
    <s v="Yes"/>
    <s v="Yes"/>
    <x v="0"/>
  </r>
  <r>
    <s v="San Diego"/>
    <s v="SDSRTL208"/>
    <m/>
    <m/>
    <s v="BlackRay"/>
    <n v="3299733"/>
    <m/>
    <s v="ICE19"/>
    <x v="2"/>
    <x v="2"/>
    <x v="2"/>
    <x v="3"/>
    <m/>
    <m/>
    <m/>
    <m/>
    <s v="Broken"/>
    <s v="Fixed the Parts- Under reimaging process"/>
    <m/>
    <m/>
    <m/>
    <m/>
    <m/>
    <m/>
    <s v="No"/>
    <s v="No"/>
    <x v="1"/>
  </r>
  <r>
    <s v="San Diego"/>
    <s v="SDSRTL209"/>
    <m/>
    <m/>
    <s v="BlackRay"/>
    <n v="3299721"/>
    <m/>
    <s v="ICE19"/>
    <x v="2"/>
    <x v="2"/>
    <x v="2"/>
    <x v="3"/>
    <m/>
    <m/>
    <m/>
    <m/>
    <s v="Broken"/>
    <s v="Fixed the Parts- Under reimaging process"/>
    <m/>
    <m/>
    <m/>
    <m/>
    <m/>
    <m/>
    <s v="No"/>
    <s v="No"/>
    <x v="1"/>
  </r>
  <r>
    <s v="San Diego"/>
    <s v="SDSRTL210"/>
    <m/>
    <m/>
    <s v="BlackRay"/>
    <n v="3299597"/>
    <m/>
    <s v="ICE19"/>
    <x v="2"/>
    <x v="2"/>
    <x v="2"/>
    <x v="3"/>
    <m/>
    <m/>
    <m/>
    <m/>
    <s v="Broken"/>
    <s v="Fixed the Parts- Under reimaging process"/>
    <m/>
    <m/>
    <m/>
    <m/>
    <m/>
    <m/>
    <s v="No"/>
    <s v="No"/>
    <x v="1"/>
  </r>
  <r>
    <s v="San Diego"/>
    <s v="SDSRTL211"/>
    <m/>
    <m/>
    <s v="BlackRay"/>
    <n v="3299725"/>
    <m/>
    <s v="ICE19"/>
    <x v="2"/>
    <x v="2"/>
    <x v="2"/>
    <x v="3"/>
    <m/>
    <m/>
    <m/>
    <m/>
    <s v="Broken"/>
    <s v="Fixed the Parts- Under reimaging process"/>
    <m/>
    <m/>
    <m/>
    <m/>
    <m/>
    <m/>
    <s v="No"/>
    <s v="No"/>
    <x v="1"/>
  </r>
  <r>
    <s v="San Diego"/>
    <s v="SDSRTL212"/>
    <m/>
    <m/>
    <s v="BlackRay"/>
    <n v="2511004"/>
    <m/>
    <s v="ICE19"/>
    <x v="2"/>
    <x v="2"/>
    <x v="2"/>
    <x v="3"/>
    <m/>
    <m/>
    <m/>
    <m/>
    <s v="Broken"/>
    <s v="Fixed the Parts- Under reimaging process"/>
    <m/>
    <m/>
    <m/>
    <m/>
    <m/>
    <m/>
    <s v="No"/>
    <s v="No"/>
    <x v="1"/>
  </r>
  <r>
    <s v="Bangalore"/>
    <s v="BASRTL110"/>
    <s v="Yes"/>
    <s v="Weekly"/>
    <s v="BlackRay"/>
    <n v="2794427"/>
    <m/>
    <s v="ICE19"/>
    <x v="1"/>
    <x v="10"/>
    <x v="44"/>
    <x v="2"/>
    <m/>
    <m/>
    <m/>
    <m/>
    <m/>
    <m/>
    <m/>
    <m/>
    <m/>
    <m/>
    <m/>
    <m/>
    <s v="Yes"/>
    <s v="Yes"/>
    <x v="0"/>
  </r>
  <r>
    <s v="Bangalore"/>
    <s v="BASRTL132"/>
    <s v="No"/>
    <m/>
    <s v="PCIe"/>
    <n v="2794388"/>
    <m/>
    <s v="ICE19"/>
    <x v="1"/>
    <x v="10"/>
    <x v="44"/>
    <x v="4"/>
    <m/>
    <m/>
    <m/>
    <m/>
    <m/>
    <m/>
    <m/>
    <m/>
    <m/>
    <m/>
    <m/>
    <m/>
    <s v="Yes"/>
    <s v="Yes"/>
    <x v="0"/>
  </r>
  <r>
    <s v="Bangalore"/>
    <s v="BASRTL118"/>
    <s v="No"/>
    <m/>
    <s v="PCIe"/>
    <s v="SN3219567"/>
    <m/>
    <s v="ICE19"/>
    <x v="1"/>
    <x v="10"/>
    <x v="44"/>
    <x v="4"/>
    <m/>
    <m/>
    <m/>
    <m/>
    <m/>
    <m/>
    <m/>
    <m/>
    <m/>
    <m/>
    <m/>
    <m/>
    <s v="Yes"/>
    <s v="Yes"/>
    <x v="0"/>
  </r>
  <r>
    <s v="Bangalore"/>
    <s v="BASRTL130"/>
    <s v="No"/>
    <m/>
    <s v="PCIe"/>
    <n v="3120194"/>
    <m/>
    <s v="ICE19"/>
    <x v="1"/>
    <x v="10"/>
    <x v="44"/>
    <x v="4"/>
    <m/>
    <m/>
    <m/>
    <m/>
    <m/>
    <m/>
    <m/>
    <m/>
    <m/>
    <m/>
    <m/>
    <m/>
    <s v="Yes"/>
    <s v="Yes"/>
    <x v="0"/>
  </r>
  <r>
    <s v="Bangalore"/>
    <m/>
    <s v="No"/>
    <m/>
    <s v="BlackRay"/>
    <n v="2510715"/>
    <m/>
    <s v="ICE19"/>
    <x v="2"/>
    <x v="2"/>
    <x v="2"/>
    <x v="3"/>
    <m/>
    <m/>
    <m/>
    <m/>
    <m/>
    <m/>
    <m/>
    <m/>
    <m/>
    <m/>
    <m/>
    <m/>
    <s v="No"/>
    <s v="No"/>
    <x v="1"/>
  </r>
  <r>
    <s v="Bangalore"/>
    <s v="BASRTL426"/>
    <s v="No"/>
    <m/>
    <s v="BlackRay"/>
    <s v="SN3648494"/>
    <m/>
    <s v="ICE19"/>
    <x v="2"/>
    <x v="2"/>
    <x v="2"/>
    <x v="3"/>
    <m/>
    <m/>
    <m/>
    <s v="labusermac.iind.intel.com"/>
    <m/>
    <m/>
    <m/>
    <m/>
    <m/>
    <m/>
    <m/>
    <m/>
    <s v="Yes"/>
    <s v="In progress"/>
    <x v="1"/>
  </r>
  <r>
    <s v="Bangalore"/>
    <m/>
    <s v="No"/>
    <m/>
    <s v="BlackRay"/>
    <n v="2510669"/>
    <m/>
    <s v="ICE19"/>
    <x v="2"/>
    <x v="2"/>
    <x v="2"/>
    <x v="3"/>
    <m/>
    <m/>
    <m/>
    <m/>
    <m/>
    <m/>
    <m/>
    <m/>
    <m/>
    <m/>
    <m/>
    <m/>
    <s v="No"/>
    <s v="No"/>
    <x v="1"/>
  </r>
  <r>
    <s v="Bangalore"/>
    <s v="BASRTL168"/>
    <s v="No"/>
    <m/>
    <s v="BlackRay"/>
    <s v="SN2794388"/>
    <m/>
    <s v="ICE19"/>
    <x v="2"/>
    <x v="2"/>
    <x v="2"/>
    <x v="3"/>
    <m/>
    <m/>
    <m/>
    <s v="labusermac.iind.intel.com"/>
    <m/>
    <m/>
    <m/>
    <m/>
    <m/>
    <m/>
    <m/>
    <m/>
    <s v="Yes"/>
    <s v="In progress"/>
    <x v="1"/>
  </r>
  <r>
    <s v="Bangalore"/>
    <m/>
    <s v="No"/>
    <m/>
    <s v="BlackRay"/>
    <n v="2388865"/>
    <m/>
    <s v="ICE19"/>
    <x v="2"/>
    <x v="2"/>
    <x v="2"/>
    <x v="3"/>
    <m/>
    <m/>
    <m/>
    <m/>
    <m/>
    <m/>
    <m/>
    <m/>
    <m/>
    <m/>
    <m/>
    <m/>
    <s v="No"/>
    <s v="No"/>
    <x v="1"/>
  </r>
  <r>
    <s v="Bangalore"/>
    <s v="BASRTL168"/>
    <s v="No"/>
    <m/>
    <s v="BlackRay"/>
    <n v="3120207"/>
    <m/>
    <s v="ICE19"/>
    <x v="2"/>
    <x v="2"/>
    <x v="2"/>
    <x v="3"/>
    <m/>
    <m/>
    <m/>
    <s v="labusermac.iind.intel.com"/>
    <m/>
    <m/>
    <m/>
    <m/>
    <m/>
    <m/>
    <m/>
    <m/>
    <s v="Yes"/>
    <s v="In progress"/>
    <x v="1"/>
  </r>
  <r>
    <s v="Bangalore"/>
    <m/>
    <s v="No"/>
    <m/>
    <s v="BlackRay"/>
    <n v="2794362"/>
    <m/>
    <s v="ICE19"/>
    <x v="2"/>
    <x v="2"/>
    <x v="2"/>
    <x v="3"/>
    <m/>
    <m/>
    <m/>
    <m/>
    <m/>
    <m/>
    <m/>
    <m/>
    <m/>
    <m/>
    <m/>
    <m/>
    <s v="No"/>
    <s v="No"/>
    <x v="1"/>
  </r>
  <r>
    <s v="Bangalore"/>
    <m/>
    <s v="No"/>
    <m/>
    <s v="BlackRay"/>
    <n v="3648363"/>
    <m/>
    <s v="ICE19"/>
    <x v="2"/>
    <x v="2"/>
    <x v="2"/>
    <x v="3"/>
    <m/>
    <m/>
    <m/>
    <m/>
    <m/>
    <m/>
    <m/>
    <m/>
    <m/>
    <m/>
    <m/>
    <m/>
    <s v="No"/>
    <s v="No"/>
    <x v="1"/>
  </r>
  <r>
    <s v="Bangalore"/>
    <m/>
    <s v="No"/>
    <m/>
    <s v="BlackRay"/>
    <n v="2794401"/>
    <m/>
    <s v="ICE19"/>
    <x v="2"/>
    <x v="2"/>
    <x v="2"/>
    <x v="3"/>
    <m/>
    <m/>
    <m/>
    <m/>
    <m/>
    <m/>
    <m/>
    <m/>
    <m/>
    <m/>
    <m/>
    <m/>
    <s v="No"/>
    <s v="No"/>
    <x v="1"/>
  </r>
  <r>
    <s v="Bangalore"/>
    <m/>
    <s v="No"/>
    <m/>
    <s v="BlackRay"/>
    <n v="321992"/>
    <m/>
    <s v="ICE19"/>
    <x v="2"/>
    <x v="2"/>
    <x v="2"/>
    <x v="3"/>
    <m/>
    <m/>
    <m/>
    <m/>
    <m/>
    <m/>
    <m/>
    <m/>
    <m/>
    <m/>
    <m/>
    <m/>
    <s v="No"/>
    <s v="No"/>
    <x v="1"/>
  </r>
  <r>
    <s v="Bangalore"/>
    <m/>
    <s v="No"/>
    <m/>
    <s v="BlackRay"/>
    <n v="2510735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30"/>
    <s v="No"/>
    <m/>
    <s v="BlackRay"/>
    <s v="SN4079604"/>
    <m/>
    <s v="ICE19"/>
    <x v="0"/>
    <x v="19"/>
    <x v="2"/>
    <x v="4"/>
    <m/>
    <m/>
    <m/>
    <s v="HILSRTM013sMini.hf.intel.com"/>
    <m/>
    <m/>
    <m/>
    <m/>
    <m/>
    <m/>
    <m/>
    <m/>
    <s v="Yes"/>
    <s v="In progress"/>
    <x v="1"/>
  </r>
  <r>
    <s v="Hillsboro"/>
    <s v="HILSRTL431"/>
    <s v="No"/>
    <m/>
    <s v="BlackRay"/>
    <s v="SN4079518"/>
    <m/>
    <s v="ICE19"/>
    <x v="0"/>
    <x v="19"/>
    <x v="2"/>
    <x v="4"/>
    <m/>
    <m/>
    <m/>
    <s v="HILSRTM013sMini.hf.intel.com"/>
    <m/>
    <m/>
    <m/>
    <m/>
    <m/>
    <m/>
    <m/>
    <m/>
    <s v="Yes"/>
    <s v="In progress"/>
    <x v="1"/>
  </r>
  <r>
    <s v="Hillsboro"/>
    <s v="HILSRTL432"/>
    <s v="No"/>
    <m/>
    <s v="BlackRay"/>
    <s v="SN4079549"/>
    <m/>
    <s v="ICE19"/>
    <x v="0"/>
    <x v="19"/>
    <x v="2"/>
    <x v="4"/>
    <m/>
    <m/>
    <m/>
    <s v="HILSRTM013sMini.hf.intel.com"/>
    <m/>
    <m/>
    <m/>
    <m/>
    <m/>
    <m/>
    <m/>
    <m/>
    <s v="Yes"/>
    <s v="In progress"/>
    <x v="1"/>
  </r>
  <r>
    <s v="Hillsboro"/>
    <s v="HILSRTL433"/>
    <s v="No"/>
    <m/>
    <s v="BlackRay"/>
    <s v="SN4079391"/>
    <m/>
    <s v="ICE19"/>
    <x v="0"/>
    <x v="19"/>
    <x v="2"/>
    <x v="4"/>
    <m/>
    <m/>
    <m/>
    <s v="HILSRTM013sMini.hf.intel.com"/>
    <m/>
    <m/>
    <m/>
    <m/>
    <m/>
    <m/>
    <m/>
    <m/>
    <s v="Yes"/>
    <s v="In progress"/>
    <x v="1"/>
  </r>
  <r>
    <s v="Hillsboro"/>
    <s v="HILSRTL434"/>
    <s v="No"/>
    <m/>
    <s v="BlackRay"/>
    <s v="SN4079595"/>
    <m/>
    <s v="ICE19"/>
    <x v="0"/>
    <x v="19"/>
    <x v="2"/>
    <x v="4"/>
    <m/>
    <m/>
    <m/>
    <s v="HILSRTM013sMini.hf.intel.com"/>
    <m/>
    <m/>
    <m/>
    <m/>
    <m/>
    <m/>
    <m/>
    <m/>
    <s v="Yes"/>
    <s v="In progress"/>
    <x v="1"/>
  </r>
  <r>
    <s v="Hillsboro"/>
    <s v="HILSRTL435"/>
    <m/>
    <m/>
    <m/>
    <s v="SN4079717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36"/>
    <m/>
    <m/>
    <m/>
    <s v="SN4079329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37"/>
    <m/>
    <m/>
    <m/>
    <s v="SN4079421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38"/>
    <m/>
    <m/>
    <m/>
    <s v="SN4079457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39"/>
    <m/>
    <m/>
    <m/>
    <s v="SN4079664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40"/>
    <m/>
    <m/>
    <m/>
    <s v="SN4079365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41"/>
    <m/>
    <m/>
    <m/>
    <s v="SN4079460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42"/>
    <m/>
    <m/>
    <m/>
    <s v="SN4079458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43"/>
    <m/>
    <m/>
    <m/>
    <s v="SN4079402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44"/>
    <m/>
    <m/>
    <m/>
    <s v="SN4079429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45"/>
    <m/>
    <m/>
    <m/>
    <s v="SN4079420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46"/>
    <s v="No"/>
    <s v="Weekly"/>
    <m/>
    <s v="SN4079501"/>
    <m/>
    <s v="ICE19"/>
    <x v="0"/>
    <x v="2"/>
    <x v="2"/>
    <x v="2"/>
    <m/>
    <m/>
    <m/>
    <m/>
    <m/>
    <m/>
    <m/>
    <m/>
    <m/>
    <m/>
    <m/>
    <m/>
    <s v="In progress"/>
    <s v="No"/>
    <x v="1"/>
  </r>
  <r>
    <s v="Hillsboro"/>
    <s v="HILSRTL447"/>
    <s v="Yes"/>
    <s v="Weekly"/>
    <s v="BlackRay"/>
    <s v="SN4079342"/>
    <m/>
    <s v="ICE19"/>
    <x v="0"/>
    <x v="22"/>
    <x v="14"/>
    <x v="2"/>
    <m/>
    <m/>
    <m/>
    <s v="HILSRTM008sMini.hf.intel.com"/>
    <m/>
    <m/>
    <m/>
    <m/>
    <m/>
    <m/>
    <m/>
    <m/>
    <s v="Yes"/>
    <s v="Yes"/>
    <x v="0"/>
  </r>
  <r>
    <s v="Hillsboro"/>
    <s v="HILSRTL448"/>
    <s v="Yes"/>
    <s v="Weekly"/>
    <s v="BlackRay"/>
    <s v="SN4079454"/>
    <m/>
    <s v="ICE19"/>
    <x v="0"/>
    <x v="19"/>
    <x v="13"/>
    <x v="2"/>
    <m/>
    <m/>
    <m/>
    <s v="HILSRTM008sMini.hf.intel.com"/>
    <m/>
    <m/>
    <m/>
    <m/>
    <m/>
    <m/>
    <m/>
    <m/>
    <s v="Yes"/>
    <s v="Yes"/>
    <x v="0"/>
  </r>
  <r>
    <s v="Hillsboro"/>
    <s v="HILSRTL449"/>
    <s v="No"/>
    <s v="Weekly"/>
    <s v="BlackRay"/>
    <s v="SN4079385"/>
    <m/>
    <s v="ICE19"/>
    <x v="0"/>
    <x v="55"/>
    <x v="6"/>
    <x v="4"/>
    <m/>
    <m/>
    <m/>
    <m/>
    <m/>
    <m/>
    <m/>
    <m/>
    <m/>
    <m/>
    <m/>
    <m/>
    <s v="Yes"/>
    <s v="Yes"/>
    <x v="0"/>
  </r>
  <r>
    <s v="Hillsboro"/>
    <s v="HILSRTL450"/>
    <s v="No"/>
    <s v="Weekly"/>
    <s v="BlackRay"/>
    <s v="SN4079443"/>
    <m/>
    <s v="ICE19"/>
    <x v="0"/>
    <x v="55"/>
    <x v="6"/>
    <x v="2"/>
    <m/>
    <m/>
    <m/>
    <m/>
    <m/>
    <m/>
    <m/>
    <m/>
    <m/>
    <m/>
    <m/>
    <m/>
    <s v="Yes"/>
    <s v="Yes"/>
    <x v="0"/>
  </r>
  <r>
    <s v="Hillsboro"/>
    <s v="HILSRTL451"/>
    <s v="Yes"/>
    <s v="Weekly"/>
    <s v="BlackRay"/>
    <s v="SN4079461"/>
    <m/>
    <s v="ICE19"/>
    <x v="0"/>
    <x v="19"/>
    <x v="4"/>
    <x v="2"/>
    <m/>
    <m/>
    <m/>
    <s v="HILSRTM008sMini.hf.intel.com"/>
    <m/>
    <m/>
    <m/>
    <m/>
    <m/>
    <m/>
    <m/>
    <m/>
    <s v="Yes"/>
    <s v="Yes"/>
    <x v="0"/>
  </r>
  <r>
    <s v="Hillsboro"/>
    <s v="HILSRTL452"/>
    <s v="No"/>
    <s v="Weekly"/>
    <s v="BlackRay"/>
    <s v="SN4079692"/>
    <m/>
    <s v="ICE19"/>
    <x v="0"/>
    <x v="55"/>
    <x v="4"/>
    <x v="4"/>
    <m/>
    <m/>
    <m/>
    <m/>
    <m/>
    <m/>
    <m/>
    <m/>
    <m/>
    <m/>
    <m/>
    <m/>
    <s v="Yes"/>
    <s v="Yes"/>
    <x v="0"/>
  </r>
  <r>
    <s v="Hillsboro"/>
    <s v="HILSRTL453"/>
    <s v="No"/>
    <s v="Weekly"/>
    <s v="BlackRay"/>
    <s v="SN4079558"/>
    <m/>
    <s v="ICE19"/>
    <x v="0"/>
    <x v="22"/>
    <x v="13"/>
    <x v="4"/>
    <m/>
    <m/>
    <m/>
    <m/>
    <m/>
    <m/>
    <m/>
    <m/>
    <m/>
    <m/>
    <m/>
    <m/>
    <s v="Yes"/>
    <s v="Yes"/>
    <x v="0"/>
  </r>
  <r>
    <s v="Hillsboro"/>
    <s v="HILSRTL454"/>
    <m/>
    <m/>
    <m/>
    <s v="SN4079536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55"/>
    <m/>
    <m/>
    <m/>
    <s v="SN4079449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56"/>
    <s v="No"/>
    <s v="Weekly"/>
    <s v="BlackRay"/>
    <s v="SN4079555"/>
    <m/>
    <s v="ICE19"/>
    <x v="0"/>
    <x v="19"/>
    <x v="4"/>
    <x v="4"/>
    <m/>
    <m/>
    <m/>
    <m/>
    <m/>
    <m/>
    <m/>
    <m/>
    <m/>
    <m/>
    <m/>
    <m/>
    <s v="Yes"/>
    <s v="Yes"/>
    <x v="0"/>
  </r>
  <r>
    <s v="Hillsboro"/>
    <s v="HILSRTL457"/>
    <s v="Yes"/>
    <s v="Weekly"/>
    <s v="BlackRay"/>
    <s v="SN4079513"/>
    <m/>
    <s v="ICE19"/>
    <x v="0"/>
    <x v="54"/>
    <x v="4"/>
    <x v="2"/>
    <m/>
    <m/>
    <m/>
    <s v="HILSRTM008sMini.hf.intel.com"/>
    <m/>
    <m/>
    <m/>
    <m/>
    <m/>
    <m/>
    <m/>
    <m/>
    <s v="Yes"/>
    <s v="Yes"/>
    <x v="0"/>
  </r>
  <r>
    <s v="Hillsboro"/>
    <s v="HILSRTL458"/>
    <m/>
    <m/>
    <m/>
    <s v="SN4079340"/>
    <m/>
    <s v="ICE19"/>
    <x v="0"/>
    <x v="2"/>
    <x v="2"/>
    <x v="3"/>
    <m/>
    <m/>
    <m/>
    <s v="HILSRTM008sMini.hf.intel.com"/>
    <m/>
    <m/>
    <m/>
    <m/>
    <m/>
    <m/>
    <m/>
    <m/>
    <s v="Yes"/>
    <s v="Yes"/>
    <x v="1"/>
  </r>
  <r>
    <s v="Hillsboro"/>
    <s v="HILSRTL459"/>
    <s v="Yes"/>
    <s v="Weekly"/>
    <s v="BlackRay"/>
    <s v="SN4079654"/>
    <m/>
    <s v="ICE19"/>
    <x v="0"/>
    <x v="55"/>
    <x v="4"/>
    <x v="2"/>
    <m/>
    <m/>
    <m/>
    <s v="HILSRTM008sMini.hf.intel.com"/>
    <m/>
    <m/>
    <m/>
    <m/>
    <m/>
    <m/>
    <m/>
    <m/>
    <s v="Yes"/>
    <s v="Yes"/>
    <x v="0"/>
  </r>
  <r>
    <s v="Hillsboro"/>
    <s v="HILSRTL460"/>
    <s v="Yes"/>
    <s v="Weekly"/>
    <s v="BlackRay"/>
    <s v="SN4079715"/>
    <m/>
    <s v="ICE19"/>
    <x v="0"/>
    <x v="19"/>
    <x v="14"/>
    <x v="2"/>
    <m/>
    <m/>
    <m/>
    <s v="HILSRTM008sMini.hf.intel.com"/>
    <m/>
    <m/>
    <m/>
    <m/>
    <m/>
    <m/>
    <m/>
    <m/>
    <s v="Yes"/>
    <s v="Yes"/>
    <x v="0"/>
  </r>
  <r>
    <s v="Hillsboro"/>
    <s v="HILSRTL461"/>
    <m/>
    <m/>
    <m/>
    <s v="SN4079685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62"/>
    <m/>
    <s v="Weekly"/>
    <s v="BlackRay"/>
    <s v="SN4079670"/>
    <m/>
    <s v="ICE19"/>
    <x v="0"/>
    <x v="55"/>
    <x v="4"/>
    <x v="4"/>
    <m/>
    <m/>
    <m/>
    <m/>
    <m/>
    <m/>
    <m/>
    <m/>
    <m/>
    <m/>
    <m/>
    <m/>
    <s v="Yes"/>
    <s v="Yes"/>
    <x v="0"/>
  </r>
  <r>
    <s v="Hillsboro"/>
    <s v="HILSRTL463"/>
    <m/>
    <m/>
    <m/>
    <s v="SN4079601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64"/>
    <m/>
    <m/>
    <m/>
    <s v="SN4079389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65"/>
    <m/>
    <m/>
    <m/>
    <s v="SN4079663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66"/>
    <m/>
    <m/>
    <m/>
    <s v="SN4079466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67"/>
    <m/>
    <m/>
    <m/>
    <s v="SN4079478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68"/>
    <m/>
    <m/>
    <m/>
    <s v="SN4079522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69"/>
    <m/>
    <m/>
    <m/>
    <s v="SN4079400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70"/>
    <m/>
    <m/>
    <m/>
    <s v="SN4079486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71"/>
    <m/>
    <m/>
    <m/>
    <s v="SN4079368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72"/>
    <m/>
    <m/>
    <m/>
    <s v="SN4079480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73"/>
    <s v="No"/>
    <s v="Weekly"/>
    <m/>
    <s v="SN4079650"/>
    <m/>
    <s v="ICE19"/>
    <x v="0"/>
    <x v="2"/>
    <x v="2"/>
    <x v="2"/>
    <m/>
    <m/>
    <m/>
    <m/>
    <m/>
    <m/>
    <m/>
    <m/>
    <m/>
    <m/>
    <m/>
    <m/>
    <s v="In progress"/>
    <s v="No"/>
    <x v="1"/>
  </r>
  <r>
    <s v="Hillsboro"/>
    <s v="HILSRTL474"/>
    <s v="No"/>
    <s v="Weekly"/>
    <m/>
    <s v="SN4079470"/>
    <m/>
    <s v="ICE19"/>
    <x v="0"/>
    <x v="2"/>
    <x v="2"/>
    <x v="2"/>
    <m/>
    <m/>
    <m/>
    <m/>
    <m/>
    <m/>
    <m/>
    <m/>
    <m/>
    <m/>
    <m/>
    <m/>
    <s v="In progress"/>
    <s v="No"/>
    <x v="1"/>
  </r>
  <r>
    <s v="Hillsboro"/>
    <s v="HILSRTL475"/>
    <s v="No"/>
    <s v="Weekly"/>
    <s v="BlackRay"/>
    <s v="SN4079641"/>
    <m/>
    <s v="ICE19"/>
    <x v="0"/>
    <x v="54"/>
    <x v="4"/>
    <x v="2"/>
    <m/>
    <m/>
    <m/>
    <m/>
    <m/>
    <m/>
    <m/>
    <m/>
    <m/>
    <m/>
    <m/>
    <m/>
    <s v="Yes"/>
    <s v="Yes"/>
    <x v="0"/>
  </r>
  <r>
    <s v="Hillsboro"/>
    <s v="HILSRTL476"/>
    <s v="No"/>
    <s v="Weekly"/>
    <m/>
    <s v="SN4079621"/>
    <m/>
    <s v="ICE19"/>
    <x v="0"/>
    <x v="2"/>
    <x v="2"/>
    <x v="2"/>
    <m/>
    <m/>
    <m/>
    <m/>
    <m/>
    <m/>
    <m/>
    <m/>
    <m/>
    <m/>
    <m/>
    <m/>
    <s v="In progress"/>
    <s v="No"/>
    <x v="1"/>
  </r>
  <r>
    <s v="Hillsboro"/>
    <s v="HILSRTL477"/>
    <m/>
    <m/>
    <m/>
    <s v="SN4079459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78"/>
    <m/>
    <m/>
    <m/>
    <s v="SN4079676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79"/>
    <m/>
    <m/>
    <m/>
    <s v="SN4079354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80"/>
    <m/>
    <m/>
    <m/>
    <s v="SN4079327"/>
    <m/>
    <s v="ICE19"/>
    <x v="2"/>
    <x v="2"/>
    <x v="2"/>
    <x v="3"/>
    <m/>
    <m/>
    <m/>
    <m/>
    <m/>
    <m/>
    <m/>
    <m/>
    <m/>
    <m/>
    <m/>
    <m/>
    <s v="No"/>
    <s v="No"/>
    <x v="1"/>
  </r>
  <r>
    <s v="Hillsboro"/>
    <s v="HILSRTL481"/>
    <s v="No"/>
    <s v="Weekly"/>
    <s v="BlackRay"/>
    <s v="SN4079393"/>
    <m/>
    <s v="ICE19"/>
    <x v="0"/>
    <x v="22"/>
    <x v="14"/>
    <x v="4"/>
    <m/>
    <m/>
    <m/>
    <m/>
    <m/>
    <m/>
    <m/>
    <m/>
    <m/>
    <m/>
    <m/>
    <m/>
    <s v="Yes"/>
    <s v="Yes"/>
    <x v="0"/>
  </r>
  <r>
    <s v="Hillsboro"/>
    <s v="HILSRTL482"/>
    <s v="No"/>
    <s v="Weekly"/>
    <m/>
    <s v="SN4079346"/>
    <m/>
    <s v="ICE19"/>
    <x v="0"/>
    <x v="2"/>
    <x v="2"/>
    <x v="2"/>
    <m/>
    <m/>
    <m/>
    <m/>
    <m/>
    <m/>
    <m/>
    <m/>
    <m/>
    <m/>
    <m/>
    <m/>
    <s v="In progress"/>
    <s v="No"/>
    <x v="1"/>
  </r>
  <r>
    <s v="Hillsboro"/>
    <s v="HILSRTL483"/>
    <s v="No"/>
    <s v="Weekly"/>
    <s v="BlackRay"/>
    <s v="SN4079465"/>
    <m/>
    <s v="ICE19"/>
    <x v="0"/>
    <x v="49"/>
    <x v="13"/>
    <x v="4"/>
    <m/>
    <m/>
    <m/>
    <m/>
    <m/>
    <m/>
    <m/>
    <m/>
    <m/>
    <m/>
    <m/>
    <m/>
    <s v="Yes"/>
    <s v="Yes"/>
    <x v="0"/>
  </r>
  <r>
    <s v="Hillsboro"/>
    <s v="HILSRTL484"/>
    <s v="No"/>
    <s v="Weekly"/>
    <s v="BlackRay"/>
    <s v="SN4079682"/>
    <m/>
    <s v="ICE19"/>
    <x v="0"/>
    <x v="22"/>
    <x v="4"/>
    <x v="4"/>
    <m/>
    <m/>
    <m/>
    <m/>
    <m/>
    <m/>
    <m/>
    <m/>
    <m/>
    <m/>
    <m/>
    <m/>
    <s v="Yes"/>
    <s v="Yes"/>
    <x v="0"/>
  </r>
  <r>
    <s v="Hillsboro"/>
    <s v="HILSRTL485"/>
    <s v="No"/>
    <s v="Weekly"/>
    <s v="BlackRay"/>
    <s v="SN4079539"/>
    <m/>
    <s v="ICE19"/>
    <x v="0"/>
    <x v="54"/>
    <x v="5"/>
    <x v="4"/>
    <m/>
    <m/>
    <m/>
    <m/>
    <m/>
    <m/>
    <m/>
    <m/>
    <m/>
    <m/>
    <m/>
    <m/>
    <s v="Yes"/>
    <s v="Yes"/>
    <x v="0"/>
  </r>
  <r>
    <s v="Hillsboro"/>
    <s v="HILSRTL486"/>
    <s v="No"/>
    <s v="Weekly"/>
    <s v="BlackRay"/>
    <s v="SN4079724"/>
    <m/>
    <s v="ICE19"/>
    <x v="0"/>
    <x v="22"/>
    <x v="4"/>
    <x v="4"/>
    <m/>
    <m/>
    <m/>
    <m/>
    <m/>
    <m/>
    <m/>
    <m/>
    <m/>
    <m/>
    <m/>
    <m/>
    <s v="Yes"/>
    <s v="Yes"/>
    <x v="0"/>
  </r>
  <r>
    <s v="Hillsboro"/>
    <s v="HILSRTL487"/>
    <s v="No"/>
    <s v="Weekly"/>
    <s v="BlackRay"/>
    <s v="SN4079667"/>
    <m/>
    <s v="ICE19"/>
    <x v="0"/>
    <x v="22"/>
    <x v="4"/>
    <x v="4"/>
    <m/>
    <m/>
    <m/>
    <m/>
    <m/>
    <m/>
    <m/>
    <m/>
    <m/>
    <m/>
    <m/>
    <m/>
    <s v="Yes"/>
    <s v="Yes"/>
    <x v="0"/>
  </r>
  <r>
    <s v="Hillsboro"/>
    <s v="HILSRTL488"/>
    <s v="No"/>
    <s v="Weekly"/>
    <s v="BlackRay"/>
    <s v="SN4079337"/>
    <m/>
    <s v="ICE19"/>
    <x v="0"/>
    <x v="19"/>
    <x v="4"/>
    <x v="4"/>
    <m/>
    <m/>
    <m/>
    <m/>
    <m/>
    <m/>
    <m/>
    <m/>
    <m/>
    <m/>
    <m/>
    <m/>
    <s v="Yes"/>
    <s v="Yes"/>
    <x v="0"/>
  </r>
  <r>
    <s v="San Diego"/>
    <m/>
    <m/>
    <m/>
    <s v="BlackRay"/>
    <n v="3299342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n v="3299818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s v="No"/>
    <s v="Weekly"/>
    <s v="BlackRay"/>
    <s v="SN4079464"/>
    <m/>
    <s v="ICE19"/>
    <x v="0"/>
    <x v="22"/>
    <x v="4"/>
    <x v="2"/>
    <m/>
    <m/>
    <m/>
    <m/>
    <m/>
    <m/>
    <m/>
    <m/>
    <m/>
    <m/>
    <m/>
    <m/>
    <s v="In progress"/>
    <s v="No"/>
    <x v="1"/>
  </r>
  <r>
    <s v="San Diego"/>
    <m/>
    <s v="No"/>
    <s v="Weekly"/>
    <s v="BlackRay"/>
    <s v="SN4079710"/>
    <m/>
    <s v="ICE19"/>
    <x v="0"/>
    <x v="22"/>
    <x v="14"/>
    <x v="2"/>
    <m/>
    <m/>
    <m/>
    <m/>
    <m/>
    <m/>
    <m/>
    <m/>
    <m/>
    <m/>
    <m/>
    <m/>
    <s v="In progress"/>
    <s v="No"/>
    <x v="1"/>
  </r>
  <r>
    <s v="San Diego"/>
    <m/>
    <s v="No"/>
    <s v="Weekly"/>
    <s v="BlackRay"/>
    <s v="SN4079642"/>
    <m/>
    <s v="ICE19"/>
    <x v="1"/>
    <x v="65"/>
    <x v="54"/>
    <x v="2"/>
    <m/>
    <m/>
    <m/>
    <m/>
    <m/>
    <m/>
    <m/>
    <m/>
    <m/>
    <m/>
    <m/>
    <m/>
    <s v="In progress"/>
    <s v="No"/>
    <x v="1"/>
  </r>
  <r>
    <s v="San Diego"/>
    <m/>
    <s v="No"/>
    <s v="Weekly"/>
    <s v="BlackRay"/>
    <s v="SN4079586"/>
    <m/>
    <s v="ICE19"/>
    <x v="1"/>
    <x v="65"/>
    <x v="54"/>
    <x v="2"/>
    <m/>
    <m/>
    <m/>
    <m/>
    <m/>
    <m/>
    <m/>
    <m/>
    <m/>
    <m/>
    <m/>
    <m/>
    <s v="In progress"/>
    <s v="No"/>
    <x v="1"/>
  </r>
  <r>
    <s v="San Diego"/>
    <m/>
    <s v="No"/>
    <s v="Weekly"/>
    <s v="BlackRay"/>
    <s v="SN4079657"/>
    <m/>
    <s v="ICE19"/>
    <x v="1"/>
    <x v="66"/>
    <x v="57"/>
    <x v="2"/>
    <m/>
    <m/>
    <m/>
    <m/>
    <m/>
    <m/>
    <m/>
    <m/>
    <m/>
    <m/>
    <m/>
    <m/>
    <s v="In progress"/>
    <s v="No"/>
    <x v="1"/>
  </r>
  <r>
    <s v="San Diego"/>
    <m/>
    <s v="No"/>
    <s v="Weekly"/>
    <s v="BlackRay"/>
    <s v="SN4079453"/>
    <m/>
    <s v="ICE19"/>
    <x v="1"/>
    <x v="66"/>
    <x v="57"/>
    <x v="2"/>
    <m/>
    <m/>
    <m/>
    <m/>
    <m/>
    <m/>
    <m/>
    <m/>
    <m/>
    <m/>
    <m/>
    <m/>
    <s v="In progress"/>
    <s v="No"/>
    <x v="1"/>
  </r>
  <r>
    <s v="San Diego"/>
    <m/>
    <s v="No"/>
    <s v="Weekly"/>
    <s v="BlackRay"/>
    <s v="SN4079602"/>
    <m/>
    <s v="ICE19"/>
    <x v="1"/>
    <x v="24"/>
    <x v="55"/>
    <x v="2"/>
    <m/>
    <m/>
    <m/>
    <m/>
    <m/>
    <m/>
    <m/>
    <m/>
    <m/>
    <m/>
    <m/>
    <m/>
    <s v="In progress"/>
    <s v="No"/>
    <x v="1"/>
  </r>
  <r>
    <s v="San Diego"/>
    <m/>
    <s v="No"/>
    <s v="Weekly"/>
    <s v="BlackRay"/>
    <s v="SN4079507"/>
    <m/>
    <s v="ICE19"/>
    <x v="1"/>
    <x v="24"/>
    <x v="55"/>
    <x v="2"/>
    <m/>
    <m/>
    <m/>
    <m/>
    <m/>
    <m/>
    <m/>
    <m/>
    <m/>
    <m/>
    <m/>
    <m/>
    <s v="In progress"/>
    <s v="No"/>
    <x v="1"/>
  </r>
  <r>
    <s v="San Diego"/>
    <m/>
    <s v="No"/>
    <s v="Weekly"/>
    <s v="BlackRay"/>
    <s v="SN4079537"/>
    <m/>
    <s v="ICE19"/>
    <x v="1"/>
    <x v="67"/>
    <x v="66"/>
    <x v="2"/>
    <m/>
    <m/>
    <m/>
    <m/>
    <m/>
    <m/>
    <m/>
    <m/>
    <m/>
    <m/>
    <m/>
    <m/>
    <s v="In progress"/>
    <s v="No"/>
    <x v="1"/>
  </r>
  <r>
    <s v="San Diego"/>
    <m/>
    <m/>
    <m/>
    <s v="BlackRay"/>
    <s v="SN4079562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594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520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701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684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472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s v="SDSRTL234"/>
    <s v="No"/>
    <s v="Weekly"/>
    <s v="BlackRay"/>
    <s v="SN4079689"/>
    <m/>
    <s v="ICE19"/>
    <x v="0"/>
    <x v="22"/>
    <x v="2"/>
    <x v="4"/>
    <m/>
    <m/>
    <m/>
    <m/>
    <m/>
    <m/>
    <m/>
    <m/>
    <m/>
    <m/>
    <m/>
    <m/>
    <s v="Yes"/>
    <s v="Yes"/>
    <x v="0"/>
  </r>
  <r>
    <s v="San Diego"/>
    <s v="SDSRTL237"/>
    <s v="Yes"/>
    <s v="Weekly"/>
    <s v="BlackRay"/>
    <s v="SN4079434"/>
    <m/>
    <s v="ICE19"/>
    <x v="0"/>
    <x v="54"/>
    <x v="2"/>
    <x v="4"/>
    <m/>
    <m/>
    <m/>
    <m/>
    <m/>
    <m/>
    <m/>
    <m/>
    <m/>
    <m/>
    <m/>
    <m/>
    <s v="Yes"/>
    <s v="Yes"/>
    <x v="0"/>
  </r>
  <r>
    <s v="San Diego"/>
    <s v="SDSRTL235"/>
    <s v="No"/>
    <s v="Weekly"/>
    <s v="BlackRay"/>
    <s v="SN4079407"/>
    <m/>
    <s v="ICE19"/>
    <x v="0"/>
    <x v="22"/>
    <x v="2"/>
    <x v="4"/>
    <m/>
    <m/>
    <m/>
    <m/>
    <m/>
    <m/>
    <m/>
    <m/>
    <m/>
    <m/>
    <m/>
    <m/>
    <s v="Yes"/>
    <s v="Yes"/>
    <x v="0"/>
  </r>
  <r>
    <s v="San Diego"/>
    <s v="SDSRTL236"/>
    <s v="Yes"/>
    <s v="Weekly"/>
    <s v="BlackRay"/>
    <s v="SN4079679"/>
    <m/>
    <s v="ICE19"/>
    <x v="0"/>
    <x v="22"/>
    <x v="14"/>
    <x v="4"/>
    <m/>
    <m/>
    <m/>
    <m/>
    <m/>
    <m/>
    <m/>
    <m/>
    <m/>
    <m/>
    <m/>
    <m/>
    <s v="Yes"/>
    <s v="Yes"/>
    <x v="0"/>
  </r>
  <r>
    <s v="San Diego"/>
    <s v="SDSRTL233"/>
    <s v="Yes"/>
    <s v="Weekly"/>
    <s v="BlackRay"/>
    <s v="SN4079489"/>
    <m/>
    <s v="ICE19"/>
    <x v="0"/>
    <x v="49"/>
    <x v="2"/>
    <x v="4"/>
    <m/>
    <m/>
    <m/>
    <m/>
    <m/>
    <m/>
    <m/>
    <m/>
    <m/>
    <m/>
    <m/>
    <m/>
    <s v="Yes"/>
    <s v="Yes"/>
    <x v="0"/>
  </r>
  <r>
    <s v="San Diego"/>
    <s v="SDSRTL231"/>
    <s v="Yes"/>
    <s v="Weekly"/>
    <s v="BlackRay"/>
    <s v="SN4079613"/>
    <m/>
    <s v="ICE19"/>
    <x v="0"/>
    <x v="49"/>
    <x v="14"/>
    <x v="4"/>
    <m/>
    <m/>
    <m/>
    <m/>
    <m/>
    <m/>
    <m/>
    <m/>
    <m/>
    <m/>
    <m/>
    <m/>
    <s v="Yes"/>
    <s v="Yes"/>
    <x v="0"/>
  </r>
  <r>
    <s v="San Diego"/>
    <s v="SDSRTL232"/>
    <s v="No"/>
    <s v="Weekly"/>
    <s v="BlackRay"/>
    <s v="SN4079364"/>
    <m/>
    <s v="ICE19"/>
    <x v="0"/>
    <x v="49"/>
    <x v="2"/>
    <x v="4"/>
    <m/>
    <m/>
    <m/>
    <m/>
    <m/>
    <m/>
    <m/>
    <m/>
    <m/>
    <m/>
    <m/>
    <m/>
    <s v="Yes"/>
    <s v="Yes"/>
    <x v="0"/>
  </r>
  <r>
    <s v="San Diego"/>
    <m/>
    <m/>
    <m/>
    <s v="BlackRay"/>
    <s v="SN4079425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665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596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427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387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584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512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m/>
    <m/>
    <m/>
    <s v="BlackRay"/>
    <s v="SN4079485"/>
    <m/>
    <s v="ICE19"/>
    <x v="2"/>
    <x v="2"/>
    <x v="2"/>
    <x v="3"/>
    <m/>
    <m/>
    <m/>
    <m/>
    <m/>
    <m/>
    <m/>
    <m/>
    <m/>
    <m/>
    <m/>
    <m/>
    <s v="No"/>
    <s v="No"/>
    <x v="1"/>
  </r>
  <r>
    <s v="San Diego"/>
    <s v="SDSRTL222"/>
    <s v="Yes"/>
    <s v="Weekly"/>
    <s v="BlackRay"/>
    <s v="SN4079579"/>
    <m/>
    <s v="ICE19"/>
    <x v="0"/>
    <x v="58"/>
    <x v="6"/>
    <x v="2"/>
    <m/>
    <m/>
    <m/>
    <m/>
    <m/>
    <m/>
    <m/>
    <m/>
    <m/>
    <m/>
    <m/>
    <m/>
    <s v="Yes"/>
    <s v="Yes"/>
    <x v="0"/>
  </r>
  <r>
    <s v="San Diego"/>
    <s v="SDSRTL220"/>
    <s v="Yes"/>
    <s v="Weekly"/>
    <s v="BlackRay"/>
    <s v="SN4079475"/>
    <m/>
    <s v="ICE19"/>
    <x v="0"/>
    <x v="58"/>
    <x v="6"/>
    <x v="2"/>
    <m/>
    <m/>
    <m/>
    <m/>
    <m/>
    <m/>
    <m/>
    <m/>
    <m/>
    <m/>
    <m/>
    <m/>
    <s v="Yes"/>
    <s v="Yes"/>
    <x v="0"/>
  </r>
  <r>
    <s v="San Diego"/>
    <s v="SDSRTL228"/>
    <s v="Yes"/>
    <s v="Weekly"/>
    <s v="BlackRay"/>
    <s v="SN4079349"/>
    <m/>
    <s v="ICE19"/>
    <x v="0"/>
    <x v="50"/>
    <x v="67"/>
    <x v="4"/>
    <m/>
    <m/>
    <m/>
    <m/>
    <m/>
    <m/>
    <m/>
    <m/>
    <m/>
    <m/>
    <m/>
    <m/>
    <s v="Yes"/>
    <s v="Yes"/>
    <x v="0"/>
  </r>
  <r>
    <s v="San Diego"/>
    <s v="SDSRTL223"/>
    <s v="Yes"/>
    <s v="Weekly"/>
    <s v="BlackRay"/>
    <s v="SN4079589"/>
    <m/>
    <s v="ICE19"/>
    <x v="0"/>
    <x v="58"/>
    <x v="68"/>
    <x v="2"/>
    <m/>
    <m/>
    <m/>
    <m/>
    <m/>
    <m/>
    <m/>
    <m/>
    <m/>
    <m/>
    <m/>
    <m/>
    <s v="Yes"/>
    <s v="Yes"/>
    <x v="0"/>
  </r>
  <r>
    <s v="San Diego"/>
    <s v="SDSRTL226"/>
    <s v="Yes"/>
    <s v="Weekly"/>
    <s v="BlackRay"/>
    <s v="SN4079519"/>
    <m/>
    <s v="ICE19"/>
    <x v="0"/>
    <x v="58"/>
    <x v="2"/>
    <x v="2"/>
    <m/>
    <m/>
    <m/>
    <m/>
    <m/>
    <m/>
    <m/>
    <m/>
    <m/>
    <m/>
    <m/>
    <m/>
    <s v="Yes"/>
    <s v="Yes"/>
    <x v="0"/>
  </r>
  <r>
    <s v="San Diego"/>
    <s v="SDSRTL227"/>
    <s v="Yes"/>
    <s v="Weekly"/>
    <s v="BlackRay"/>
    <s v="SN4079598"/>
    <m/>
    <s v="ICE19"/>
    <x v="0"/>
    <x v="49"/>
    <x v="13"/>
    <x v="2"/>
    <m/>
    <m/>
    <m/>
    <m/>
    <m/>
    <m/>
    <m/>
    <m/>
    <m/>
    <m/>
    <m/>
    <m/>
    <s v="Yes"/>
    <s v="Yes"/>
    <x v="0"/>
  </r>
  <r>
    <s v="San Diego"/>
    <s v="SDSRTL225"/>
    <s v="Yes"/>
    <s v="Weekly"/>
    <s v="BlackRay"/>
    <s v="SN4079405"/>
    <m/>
    <s v="ICE19"/>
    <x v="0"/>
    <x v="68"/>
    <x v="14"/>
    <x v="2"/>
    <m/>
    <m/>
    <m/>
    <m/>
    <m/>
    <m/>
    <m/>
    <m/>
    <m/>
    <m/>
    <m/>
    <m/>
    <s v="Yes"/>
    <s v="Yes"/>
    <x v="0"/>
  </r>
  <r>
    <s v="San Diego"/>
    <s v="SDSRTL224"/>
    <s v="Yes"/>
    <s v="Weekly"/>
    <s v="BlackRay"/>
    <s v="SN4079574"/>
    <m/>
    <s v="ICE19"/>
    <x v="0"/>
    <x v="49"/>
    <x v="4"/>
    <x v="2"/>
    <m/>
    <m/>
    <m/>
    <m/>
    <m/>
    <m/>
    <m/>
    <m/>
    <m/>
    <m/>
    <m/>
    <m/>
    <s v="Yes"/>
    <s v="Yes"/>
    <x v="0"/>
  </r>
  <r>
    <s v="San Diego"/>
    <s v="SDSRTL219"/>
    <s v="Yes"/>
    <s v="Weekly"/>
    <s v="BlackRay"/>
    <s v="SN4079694"/>
    <m/>
    <s v="ICE19"/>
    <x v="0"/>
    <x v="69"/>
    <x v="13"/>
    <x v="2"/>
    <m/>
    <m/>
    <m/>
    <m/>
    <m/>
    <m/>
    <m/>
    <m/>
    <m/>
    <m/>
    <m/>
    <m/>
    <s v="Yes"/>
    <s v="Yes"/>
    <x v="0"/>
  </r>
  <r>
    <s v="San Diego"/>
    <s v="SDSRTL216"/>
    <s v="Yes"/>
    <s v="Weekly"/>
    <s v="BlackRay"/>
    <s v="SN4079351"/>
    <m/>
    <s v="ICE19"/>
    <x v="0"/>
    <x v="69"/>
    <x v="14"/>
    <x v="2"/>
    <m/>
    <m/>
    <m/>
    <m/>
    <m/>
    <m/>
    <m/>
    <m/>
    <m/>
    <m/>
    <m/>
    <m/>
    <s v="Yes"/>
    <s v="Yes"/>
    <x v="0"/>
  </r>
  <r>
    <s v="San Diego"/>
    <s v="SDSRTL218"/>
    <s v="Yes"/>
    <s v="Weekly"/>
    <s v="BlackRay"/>
    <s v="SN4079348"/>
    <m/>
    <s v="ICE19"/>
    <x v="0"/>
    <x v="54"/>
    <x v="5"/>
    <x v="2"/>
    <m/>
    <m/>
    <m/>
    <m/>
    <m/>
    <m/>
    <m/>
    <m/>
    <m/>
    <m/>
    <m/>
    <m/>
    <s v="Yes"/>
    <s v="Yes"/>
    <x v="0"/>
  </r>
  <r>
    <s v="San Diego"/>
    <s v="SDSRTL221"/>
    <s v="Yes"/>
    <s v="Weekly"/>
    <s v="BlackRay"/>
    <s v="SN4079629"/>
    <m/>
    <s v="ICE19"/>
    <x v="0"/>
    <x v="69"/>
    <x v="4"/>
    <x v="2"/>
    <m/>
    <m/>
    <m/>
    <m/>
    <m/>
    <m/>
    <m/>
    <m/>
    <m/>
    <m/>
    <m/>
    <m/>
    <s v="Yes"/>
    <s v="Yes"/>
    <x v="0"/>
  </r>
  <r>
    <s v="San Diego"/>
    <s v="SDSRTL217"/>
    <s v="Yes"/>
    <s v="Weekly"/>
    <s v="BlackRay"/>
    <s v="SN4079696"/>
    <m/>
    <s v="ICE19"/>
    <x v="0"/>
    <x v="22"/>
    <x v="13"/>
    <x v="2"/>
    <m/>
    <m/>
    <m/>
    <m/>
    <m/>
    <m/>
    <m/>
    <m/>
    <m/>
    <m/>
    <m/>
    <m/>
    <s v="Yes"/>
    <s v="Yes"/>
    <x v="0"/>
  </r>
  <r>
    <s v="San Diego"/>
    <s v="SDSRTL214"/>
    <s v="Yes"/>
    <s v="Weekly"/>
    <s v="BlackRay"/>
    <s v="SN4079597"/>
    <m/>
    <s v="ICE19"/>
    <x v="0"/>
    <x v="54"/>
    <x v="4"/>
    <x v="2"/>
    <m/>
    <m/>
    <m/>
    <m/>
    <m/>
    <m/>
    <m/>
    <m/>
    <m/>
    <m/>
    <m/>
    <m/>
    <s v="Yes"/>
    <s v="Yes"/>
    <x v="0"/>
  </r>
  <r>
    <s v="San Diego"/>
    <s v="SDSRTL215"/>
    <s v="Yes"/>
    <s v="Weekly"/>
    <s v="BlackRay"/>
    <s v="SN4079566"/>
    <m/>
    <s v="ICE19"/>
    <x v="0"/>
    <x v="55"/>
    <x v="4"/>
    <x v="4"/>
    <m/>
    <m/>
    <m/>
    <m/>
    <m/>
    <m/>
    <m/>
    <m/>
    <m/>
    <m/>
    <m/>
    <m/>
    <s v="Yes"/>
    <s v="Yes"/>
    <x v="0"/>
  </r>
  <r>
    <s v="San Diego"/>
    <s v="SDSRTL247"/>
    <s v="Yes"/>
    <s v="Weekly"/>
    <s v="BlackRay"/>
    <s v="SN4079366"/>
    <m/>
    <s v="ICE19"/>
    <x v="2"/>
    <x v="55"/>
    <x v="4"/>
    <x v="4"/>
    <m/>
    <m/>
    <m/>
    <m/>
    <m/>
    <m/>
    <m/>
    <m/>
    <m/>
    <m/>
    <m/>
    <m/>
    <s v="Yes"/>
    <s v="Yes"/>
    <x v="0"/>
  </r>
  <r>
    <s v="San Diego"/>
    <s v="SDSRTL229"/>
    <s v="Yes"/>
    <s v="Weekly"/>
    <s v="BlackRay"/>
    <s v="SN4079493"/>
    <m/>
    <s v="ICE19"/>
    <x v="0"/>
    <x v="22"/>
    <x v="14"/>
    <x v="2"/>
    <m/>
    <m/>
    <m/>
    <m/>
    <m/>
    <m/>
    <m/>
    <m/>
    <m/>
    <m/>
    <m/>
    <m/>
    <s v="Yes"/>
    <s v="Yes"/>
    <x v="0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  <r>
    <s v="Hillsboro"/>
    <s v="HILSRTL283"/>
    <s v="No"/>
    <s v="Weekly"/>
    <s v="PCIe"/>
    <m/>
    <m/>
    <s v="ICE19"/>
    <x v="0"/>
    <x v="54"/>
    <x v="2"/>
    <x v="16"/>
    <m/>
    <m/>
    <m/>
    <m/>
    <m/>
    <m/>
    <m/>
    <m/>
    <m/>
    <m/>
    <m/>
    <m/>
    <s v="Yes"/>
    <s v="Yes"/>
    <x v="3"/>
  </r>
  <r>
    <s v="Hillsboro"/>
    <s v="HILSRTL171"/>
    <s v="No"/>
    <s v="Weekly"/>
    <s v="PCIe"/>
    <m/>
    <m/>
    <s v="ICE19"/>
    <x v="0"/>
    <x v="54"/>
    <x v="2"/>
    <x v="16"/>
    <m/>
    <m/>
    <m/>
    <m/>
    <m/>
    <m/>
    <m/>
    <m/>
    <m/>
    <m/>
    <m/>
    <m/>
    <s v="Yes"/>
    <s v="Yes"/>
    <x v="3"/>
  </r>
  <r>
    <s v="Hillsboro"/>
    <s v="HILSRTL285"/>
    <s v="No"/>
    <s v="Weekly"/>
    <s v="PCIe"/>
    <m/>
    <m/>
    <s v="ICE19"/>
    <x v="0"/>
    <x v="19"/>
    <x v="2"/>
    <x v="16"/>
    <m/>
    <m/>
    <m/>
    <m/>
    <m/>
    <m/>
    <m/>
    <m/>
    <m/>
    <m/>
    <m/>
    <m/>
    <s v="Yes"/>
    <s v="Yes"/>
    <x v="3"/>
  </r>
  <r>
    <m/>
    <m/>
    <m/>
    <m/>
    <m/>
    <m/>
    <m/>
    <m/>
    <x v="2"/>
    <x v="2"/>
    <x v="2"/>
    <x v="3"/>
    <m/>
    <m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tag=" +[@$&amp;\%!%]" updatedVersion="5" minRefreshableVersion="3" useAutoFormatting="1" itemPrintTitles="1" createdVersion="5" indent="0" outline="1" outlineData="1" multipleFieldFilters="0">
  <location ref="A64:B99" firstHeaderRow="1" firstDataRow="1" firstDataCol="1" rowPageCount="3" colPageCount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Row" showAll="0">
      <items count="71">
        <item x="0"/>
        <item x="13"/>
        <item x="11"/>
        <item x="10"/>
        <item x="7"/>
        <item x="18"/>
        <item x="50"/>
        <item x="54"/>
        <item x="65"/>
        <item x="20"/>
        <item x="23"/>
        <item x="69"/>
        <item x="51"/>
        <item x="39"/>
        <item x="36"/>
        <item x="37"/>
        <item x="44"/>
        <item x="31"/>
        <item x="27"/>
        <item x="25"/>
        <item x="32"/>
        <item x="26"/>
        <item x="29"/>
        <item x="35"/>
        <item x="34"/>
        <item x="30"/>
        <item x="38"/>
        <item x="33"/>
        <item x="28"/>
        <item x="4"/>
        <item x="9"/>
        <item x="12"/>
        <item x="1"/>
        <item x="14"/>
        <item x="5"/>
        <item x="66"/>
        <item x="22"/>
        <item x="59"/>
        <item x="64"/>
        <item x="56"/>
        <item x="40"/>
        <item x="61"/>
        <item x="17"/>
        <item x="55"/>
        <item x="58"/>
        <item x="16"/>
        <item x="15"/>
        <item x="21"/>
        <item x="68"/>
        <item x="47"/>
        <item x="53"/>
        <item x="45"/>
        <item x="48"/>
        <item x="46"/>
        <item x="8"/>
        <item x="3"/>
        <item x="6"/>
        <item x="49"/>
        <item x="52"/>
        <item x="63"/>
        <item x="60"/>
        <item x="19"/>
        <item x="62"/>
        <item x="41"/>
        <item x="57"/>
        <item x="24"/>
        <item x="67"/>
        <item x="42"/>
        <item x="43"/>
        <item x="2"/>
        <item t="default"/>
      </items>
    </pivotField>
    <pivotField axis="axisRow" dataField="1" showAll="0">
      <items count="70">
        <item x="39"/>
        <item x="26"/>
        <item x="6"/>
        <item x="25"/>
        <item x="53"/>
        <item x="42"/>
        <item x="4"/>
        <item x="67"/>
        <item x="45"/>
        <item x="12"/>
        <item x="47"/>
        <item x="49"/>
        <item x="52"/>
        <item x="32"/>
        <item x="54"/>
        <item x="58"/>
        <item x="59"/>
        <item x="66"/>
        <item x="55"/>
        <item x="64"/>
        <item x="29"/>
        <item x="24"/>
        <item x="34"/>
        <item x="1"/>
        <item x="20"/>
        <item x="37"/>
        <item x="3"/>
        <item x="13"/>
        <item x="28"/>
        <item x="43"/>
        <item x="36"/>
        <item x="68"/>
        <item x="31"/>
        <item x="30"/>
        <item x="11"/>
        <item x="51"/>
        <item x="40"/>
        <item x="56"/>
        <item x="14"/>
        <item x="65"/>
        <item x="63"/>
        <item x="57"/>
        <item x="60"/>
        <item x="61"/>
        <item x="35"/>
        <item x="19"/>
        <item x="15"/>
        <item x="38"/>
        <item x="27"/>
        <item x="0"/>
        <item x="44"/>
        <item x="48"/>
        <item x="33"/>
        <item x="46"/>
        <item x="10"/>
        <item x="16"/>
        <item x="18"/>
        <item x="21"/>
        <item x="9"/>
        <item x="17"/>
        <item x="8"/>
        <item x="22"/>
        <item x="23"/>
        <item x="41"/>
        <item x="5"/>
        <item x="62"/>
        <item x="50"/>
        <item x="7"/>
        <item h="1" x="2"/>
        <item t="default"/>
      </items>
    </pivotField>
    <pivotField axis="axisPage" multipleItemSelectionAllowed="1" showAll="0">
      <items count="18">
        <item h="1" x="7"/>
        <item h="1" x="5"/>
        <item h="1" x="6"/>
        <item h="1" x="10"/>
        <item h="1" x="8"/>
        <item h="1" x="15"/>
        <item x="4"/>
        <item x="11"/>
        <item x="2"/>
        <item h="1" x="1"/>
        <item h="1" x="9"/>
        <item h="1" x="14"/>
        <item x="16"/>
        <item h="1" x="13"/>
        <item x="12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4"/>
        <item x="3"/>
        <item x="1"/>
        <item x="0"/>
        <item x="2"/>
        <item t="default"/>
      </items>
    </pivotField>
  </pivotFields>
  <rowFields count="2">
    <field x="10"/>
    <field x="9"/>
  </rowFields>
  <rowItems count="35">
    <i>
      <x v="6"/>
    </i>
    <i r="1">
      <x v="29"/>
    </i>
    <i>
      <x v="8"/>
    </i>
    <i r="1">
      <x v="32"/>
    </i>
    <i r="1">
      <x v="52"/>
    </i>
    <i>
      <x v="9"/>
    </i>
    <i r="1">
      <x v="45"/>
    </i>
    <i>
      <x v="11"/>
    </i>
    <i r="1">
      <x v="52"/>
    </i>
    <i>
      <x v="23"/>
    </i>
    <i r="1">
      <x v="32"/>
    </i>
    <i>
      <x v="24"/>
    </i>
    <i r="1">
      <x v="25"/>
    </i>
    <i>
      <x v="29"/>
    </i>
    <i r="1">
      <x v="23"/>
    </i>
    <i>
      <x v="30"/>
    </i>
    <i r="1">
      <x v="22"/>
    </i>
    <i>
      <x v="48"/>
    </i>
    <i r="1">
      <x v="22"/>
    </i>
    <i>
      <x v="50"/>
    </i>
    <i r="1">
      <x v="3"/>
    </i>
    <i r="1">
      <x v="52"/>
    </i>
    <i>
      <x v="53"/>
    </i>
    <i r="1">
      <x v="30"/>
    </i>
    <i>
      <x v="58"/>
    </i>
    <i r="1">
      <x v="1"/>
    </i>
    <i r="1">
      <x v="3"/>
    </i>
    <i r="1">
      <x v="20"/>
    </i>
    <i>
      <x v="59"/>
    </i>
    <i r="1">
      <x v="18"/>
    </i>
    <i>
      <x v="66"/>
    </i>
    <i r="1">
      <x v="4"/>
    </i>
    <i>
      <x v="67"/>
    </i>
    <i r="1">
      <x v="4"/>
    </i>
    <i t="grand">
      <x/>
    </i>
  </rowItems>
  <colItems count="1">
    <i/>
  </colItems>
  <pageFields count="3">
    <pageField fld="11" hier="-1"/>
    <pageField fld="26" item="3" hier="-1"/>
    <pageField fld="8" item="0" hier="-1"/>
  </pageFields>
  <dataFields count="1">
    <dataField name="Count of RAT Combo" fld="10" subtotal="count" baseField="0" baseItem="0"/>
  </dataFields>
  <formats count="11">
    <format dxfId="303">
      <pivotArea outline="0" collapsedLevelsAreSubtotals="1" fieldPosition="0"/>
    </format>
    <format dxfId="302">
      <pivotArea dataOnly="0" labelOnly="1" outline="0" axis="axisValues" fieldPosition="0"/>
    </format>
    <format dxfId="301">
      <pivotArea outline="0" collapsedLevelsAreSubtotals="1" fieldPosition="0"/>
    </format>
    <format dxfId="300">
      <pivotArea dataOnly="0" labelOnly="1" outline="0" axis="axisValues" fieldPosition="0"/>
    </format>
    <format dxfId="278">
      <pivotArea collapsedLevelsAreSubtotals="1" fieldPosition="0">
        <references count="2">
          <reference field="9" count="1">
            <x v="20"/>
          </reference>
          <reference field="10" count="1" selected="0">
            <x v="58"/>
          </reference>
        </references>
      </pivotArea>
    </format>
    <format dxfId="277">
      <pivotArea dataOnly="0" labelOnly="1" fieldPosition="0">
        <references count="2">
          <reference field="9" count="1">
            <x v="20"/>
          </reference>
          <reference field="10" count="1" selected="0">
            <x v="58"/>
          </reference>
        </references>
      </pivotArea>
    </format>
    <format dxfId="276">
      <pivotArea collapsedLevelsAreSubtotals="1" fieldPosition="0">
        <references count="2">
          <reference field="9" count="1">
            <x v="18"/>
          </reference>
          <reference field="10" count="1" selected="0">
            <x v="59"/>
          </reference>
        </references>
      </pivotArea>
    </format>
    <format dxfId="275">
      <pivotArea dataOnly="0" labelOnly="1" fieldPosition="0">
        <references count="2">
          <reference field="9" count="1">
            <x v="18"/>
          </reference>
          <reference field="10" count="1" selected="0">
            <x v="59"/>
          </reference>
        </references>
      </pivotArea>
    </format>
    <format dxfId="274">
      <pivotArea dataOnly="0" fieldPosition="0">
        <references count="3">
          <reference field="8" count="1" selected="0">
            <x v="0"/>
          </reference>
          <reference field="9" count="1">
            <x v="3"/>
          </reference>
          <reference field="26" count="1" selected="0">
            <x v="3"/>
          </reference>
        </references>
      </pivotArea>
    </format>
    <format dxfId="273">
      <pivotArea collapsedLevelsAreSubtotals="1" fieldPosition="0">
        <references count="2">
          <reference field="9" count="1">
            <x v="1"/>
          </reference>
          <reference field="10" count="1" selected="0">
            <x v="58"/>
          </reference>
        </references>
      </pivotArea>
    </format>
    <format dxfId="272">
      <pivotArea dataOnly="0" labelOnly="1" fieldPosition="0">
        <references count="2">
          <reference field="9" count="1">
            <x v="1"/>
          </reference>
          <reference field="10" count="1" selected="0">
            <x v="5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tag=" +[@$&amp;\%!&amp;]" updatedVersion="5" minRefreshableVersion="3" useAutoFormatting="1" itemPrintTitles="1" createdVersion="5" indent="0" outline="1" outlineData="1" multipleFieldFilters="0">
  <location ref="A5:B55" firstHeaderRow="1" firstDataRow="1" firstDataCol="1" rowPageCount="3" colPageCount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Row" showAll="0">
      <items count="71">
        <item x="0"/>
        <item x="13"/>
        <item x="11"/>
        <item x="10"/>
        <item x="7"/>
        <item x="18"/>
        <item x="50"/>
        <item x="54"/>
        <item x="65"/>
        <item x="20"/>
        <item x="23"/>
        <item x="69"/>
        <item x="51"/>
        <item x="39"/>
        <item x="36"/>
        <item x="37"/>
        <item x="44"/>
        <item x="31"/>
        <item x="27"/>
        <item x="25"/>
        <item x="32"/>
        <item x="26"/>
        <item x="29"/>
        <item x="35"/>
        <item x="34"/>
        <item x="30"/>
        <item x="38"/>
        <item x="33"/>
        <item x="28"/>
        <item x="4"/>
        <item x="9"/>
        <item x="12"/>
        <item x="1"/>
        <item x="14"/>
        <item x="5"/>
        <item x="66"/>
        <item x="22"/>
        <item x="59"/>
        <item x="64"/>
        <item x="56"/>
        <item x="40"/>
        <item x="61"/>
        <item x="17"/>
        <item x="55"/>
        <item x="58"/>
        <item x="16"/>
        <item x="15"/>
        <item x="21"/>
        <item x="68"/>
        <item x="47"/>
        <item x="53"/>
        <item x="45"/>
        <item x="48"/>
        <item x="46"/>
        <item x="8"/>
        <item x="3"/>
        <item x="6"/>
        <item x="49"/>
        <item x="52"/>
        <item x="63"/>
        <item x="60"/>
        <item x="19"/>
        <item x="62"/>
        <item x="41"/>
        <item x="57"/>
        <item x="24"/>
        <item x="67"/>
        <item x="42"/>
        <item x="43"/>
        <item x="2"/>
        <item t="default"/>
      </items>
    </pivotField>
    <pivotField axis="axisRow" dataField="1" showAll="0">
      <items count="70">
        <item x="39"/>
        <item x="26"/>
        <item x="6"/>
        <item x="25"/>
        <item x="53"/>
        <item x="42"/>
        <item x="4"/>
        <item x="67"/>
        <item x="45"/>
        <item x="12"/>
        <item x="47"/>
        <item x="49"/>
        <item x="52"/>
        <item x="32"/>
        <item x="54"/>
        <item x="58"/>
        <item x="59"/>
        <item x="66"/>
        <item x="55"/>
        <item x="64"/>
        <item x="29"/>
        <item x="24"/>
        <item x="34"/>
        <item x="1"/>
        <item x="20"/>
        <item x="37"/>
        <item x="3"/>
        <item x="13"/>
        <item x="28"/>
        <item x="43"/>
        <item x="36"/>
        <item x="68"/>
        <item x="31"/>
        <item x="30"/>
        <item x="11"/>
        <item x="51"/>
        <item x="40"/>
        <item x="56"/>
        <item x="14"/>
        <item x="65"/>
        <item x="63"/>
        <item x="57"/>
        <item x="60"/>
        <item x="61"/>
        <item x="35"/>
        <item x="19"/>
        <item x="15"/>
        <item x="38"/>
        <item x="27"/>
        <item x="0"/>
        <item x="44"/>
        <item x="48"/>
        <item x="33"/>
        <item x="46"/>
        <item x="10"/>
        <item x="16"/>
        <item x="18"/>
        <item x="21"/>
        <item x="9"/>
        <item x="17"/>
        <item x="8"/>
        <item x="22"/>
        <item x="23"/>
        <item x="41"/>
        <item x="5"/>
        <item x="62"/>
        <item x="50"/>
        <item x="7"/>
        <item h="1" x="2"/>
        <item t="default"/>
      </items>
    </pivotField>
    <pivotField axis="axisPage" multipleItemSelectionAllowed="1" showAll="0">
      <items count="18">
        <item h="1" x="7"/>
        <item h="1" x="5"/>
        <item h="1" x="6"/>
        <item h="1" x="10"/>
        <item h="1" x="8"/>
        <item h="1" x="15"/>
        <item x="4"/>
        <item x="11"/>
        <item x="2"/>
        <item h="1" x="1"/>
        <item h="1" x="9"/>
        <item h="1" x="14"/>
        <item x="16"/>
        <item h="1" x="13"/>
        <item x="12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4"/>
        <item x="3"/>
        <item x="1"/>
        <item x="0"/>
        <item x="2"/>
        <item t="default"/>
      </items>
    </pivotField>
  </pivotFields>
  <rowFields count="2">
    <field x="10"/>
    <field x="9"/>
  </rowFields>
  <rowItems count="50">
    <i>
      <x v="2"/>
    </i>
    <i r="1">
      <x v="17"/>
    </i>
    <i r="1">
      <x v="24"/>
    </i>
    <i r="1">
      <x v="43"/>
    </i>
    <i r="1">
      <x v="44"/>
    </i>
    <i>
      <x v="5"/>
    </i>
    <i r="1">
      <x v="17"/>
    </i>
    <i r="1">
      <x v="24"/>
    </i>
    <i>
      <x v="6"/>
    </i>
    <i r="1">
      <x v="7"/>
    </i>
    <i r="1">
      <x v="11"/>
    </i>
    <i r="1">
      <x v="24"/>
    </i>
    <i r="1">
      <x v="29"/>
    </i>
    <i r="1">
      <x v="36"/>
    </i>
    <i r="1">
      <x v="43"/>
    </i>
    <i r="1">
      <x v="57"/>
    </i>
    <i r="1">
      <x v="61"/>
    </i>
    <i>
      <x v="7"/>
    </i>
    <i r="1">
      <x v="6"/>
    </i>
    <i>
      <x v="27"/>
    </i>
    <i r="1">
      <x v="11"/>
    </i>
    <i r="1">
      <x v="21"/>
    </i>
    <i r="1">
      <x v="36"/>
    </i>
    <i r="1">
      <x v="57"/>
    </i>
    <i r="1">
      <x v="61"/>
    </i>
    <i>
      <x v="31"/>
    </i>
    <i r="1">
      <x v="44"/>
    </i>
    <i>
      <x v="32"/>
    </i>
    <i r="1">
      <x v="17"/>
    </i>
    <i>
      <x v="33"/>
    </i>
    <i r="1">
      <x v="17"/>
    </i>
    <i>
      <x v="36"/>
    </i>
    <i r="1">
      <x v="17"/>
    </i>
    <i>
      <x v="38"/>
    </i>
    <i r="1">
      <x v="11"/>
    </i>
    <i r="1">
      <x v="21"/>
    </i>
    <i r="1">
      <x v="36"/>
    </i>
    <i r="1">
      <x v="48"/>
    </i>
    <i r="1">
      <x v="57"/>
    </i>
    <i r="1">
      <x v="61"/>
    </i>
    <i>
      <x v="49"/>
    </i>
    <i r="1">
      <x/>
    </i>
    <i r="1">
      <x v="17"/>
    </i>
    <i>
      <x v="61"/>
    </i>
    <i r="1">
      <x v="17"/>
    </i>
    <i>
      <x v="64"/>
    </i>
    <i r="1">
      <x/>
    </i>
    <i r="1">
      <x v="7"/>
    </i>
    <i r="1">
      <x v="43"/>
    </i>
    <i t="grand">
      <x/>
    </i>
  </rowItems>
  <colItems count="1">
    <i/>
  </colItems>
  <pageFields count="3">
    <pageField fld="11" hier="-1"/>
    <pageField fld="26" item="3" hier="-1"/>
    <pageField fld="8" item="1" hier="-1"/>
  </pageFields>
  <dataFields count="1">
    <dataField name="Count of RAT Combo" fld="10" subtotal="count" baseField="0" baseItem="0"/>
  </dataFields>
  <formats count="28">
    <format dxfId="299">
      <pivotArea outline="0" collapsedLevelsAreSubtotals="1" fieldPosition="0"/>
    </format>
    <format dxfId="298">
      <pivotArea dataOnly="0" labelOnly="1" outline="0" axis="axisValues" fieldPosition="0"/>
    </format>
    <format dxfId="297">
      <pivotArea outline="0" collapsedLevelsAreSubtotals="1" fieldPosition="0"/>
    </format>
    <format dxfId="296">
      <pivotArea dataOnly="0" labelOnly="1" outline="0" axis="axisValues" fieldPosition="0"/>
    </format>
    <format dxfId="295">
      <pivotArea dataOnly="0" labelOnly="1" fieldPosition="0">
        <references count="2">
          <reference field="9" count="1">
            <x v="11"/>
          </reference>
          <reference field="10" count="1" selected="0">
            <x v="27"/>
          </reference>
        </references>
      </pivotArea>
    </format>
    <format dxfId="294">
      <pivotArea dataOnly="0" labelOnly="1" fieldPosition="0">
        <references count="2">
          <reference field="9" count="1">
            <x v="57"/>
          </reference>
          <reference field="10" count="1" selected="0">
            <x v="27"/>
          </reference>
        </references>
      </pivotArea>
    </format>
    <format dxfId="293">
      <pivotArea collapsedLevelsAreSubtotals="1" fieldPosition="0">
        <references count="2">
          <reference field="9" count="2">
            <x v="7"/>
            <x v="11"/>
          </reference>
          <reference field="10" count="1" selected="0">
            <x v="6"/>
          </reference>
        </references>
      </pivotArea>
    </format>
    <format dxfId="292">
      <pivotArea dataOnly="0" labelOnly="1" fieldPosition="0">
        <references count="2">
          <reference field="9" count="2">
            <x v="7"/>
            <x v="11"/>
          </reference>
          <reference field="10" count="1" selected="0">
            <x v="6"/>
          </reference>
        </references>
      </pivotArea>
    </format>
    <format dxfId="291">
      <pivotArea collapsedLevelsAreSubtotals="1" fieldPosition="0">
        <references count="2">
          <reference field="9" count="1">
            <x v="11"/>
          </reference>
          <reference field="10" count="1" selected="0">
            <x v="27"/>
          </reference>
        </references>
      </pivotArea>
    </format>
    <format dxfId="290">
      <pivotArea dataOnly="0" labelOnly="1" fieldPosition="0">
        <references count="2">
          <reference field="9" count="1">
            <x v="11"/>
          </reference>
          <reference field="10" count="1" selected="0">
            <x v="27"/>
          </reference>
        </references>
      </pivotArea>
    </format>
    <format dxfId="289">
      <pivotArea collapsedLevelsAreSubtotals="1" fieldPosition="0">
        <references count="2">
          <reference field="9" count="1">
            <x v="57"/>
          </reference>
          <reference field="10" count="1" selected="0">
            <x v="27"/>
          </reference>
        </references>
      </pivotArea>
    </format>
    <format dxfId="288">
      <pivotArea dataOnly="0" labelOnly="1" fieldPosition="0">
        <references count="2">
          <reference field="9" count="1">
            <x v="57"/>
          </reference>
          <reference field="10" count="1" selected="0">
            <x v="27"/>
          </reference>
        </references>
      </pivotArea>
    </format>
    <format dxfId="287">
      <pivotArea collapsedLevelsAreSubtotals="1" fieldPosition="0">
        <references count="2">
          <reference field="9" count="1">
            <x v="24"/>
          </reference>
          <reference field="10" count="1" selected="0">
            <x v="6"/>
          </reference>
        </references>
      </pivotArea>
    </format>
    <format dxfId="286">
      <pivotArea dataOnly="0" labelOnly="1" fieldPosition="0">
        <references count="2">
          <reference field="9" count="1">
            <x v="24"/>
          </reference>
          <reference field="10" count="1" selected="0">
            <x v="6"/>
          </reference>
        </references>
      </pivotArea>
    </format>
    <format dxfId="285">
      <pivotArea collapsedLevelsAreSubtotals="1" fieldPosition="0">
        <references count="2">
          <reference field="9" count="4">
            <x v="7"/>
            <x v="11"/>
            <x v="24"/>
            <x v="29"/>
          </reference>
          <reference field="10" count="1" selected="0">
            <x v="6"/>
          </reference>
        </references>
      </pivotArea>
    </format>
    <format dxfId="284">
      <pivotArea dataOnly="0" labelOnly="1" fieldPosition="0">
        <references count="2">
          <reference field="9" count="4">
            <x v="7"/>
            <x v="11"/>
            <x v="24"/>
            <x v="29"/>
          </reference>
          <reference field="10" count="1" selected="0">
            <x v="6"/>
          </reference>
        </references>
      </pivotArea>
    </format>
    <format dxfId="283">
      <pivotArea collapsedLevelsAreSubtotals="1" fieldPosition="0">
        <references count="2">
          <reference field="9" count="3">
            <x v="43"/>
            <x v="57"/>
            <x v="61"/>
          </reference>
          <reference field="10" count="1" selected="0">
            <x v="6"/>
          </reference>
        </references>
      </pivotArea>
    </format>
    <format dxfId="282">
      <pivotArea dataOnly="0" labelOnly="1" fieldPosition="0">
        <references count="2">
          <reference field="9" count="3">
            <x v="43"/>
            <x v="57"/>
            <x v="61"/>
          </reference>
          <reference field="10" count="1" selected="0">
            <x v="6"/>
          </reference>
        </references>
      </pivotArea>
    </format>
    <format dxfId="281">
      <pivotArea collapsedLevelsAreSubtotals="1" fieldPosition="0">
        <references count="2">
          <reference field="9" count="1">
            <x v="6"/>
          </reference>
          <reference field="10" count="1" selected="0">
            <x v="7"/>
          </reference>
        </references>
      </pivotArea>
    </format>
    <format dxfId="280">
      <pivotArea dataOnly="0" labelOnly="1" fieldPosition="0">
        <references count="2">
          <reference field="9" count="1">
            <x v="6"/>
          </reference>
          <reference field="10" count="1" selected="0">
            <x v="7"/>
          </reference>
        </references>
      </pivotArea>
    </format>
    <format dxfId="279">
      <pivotArea dataOnly="0" fieldPosition="0">
        <references count="3">
          <reference field="8" count="1" selected="0">
            <x v="1"/>
          </reference>
          <reference field="9" count="1">
            <x v="21"/>
          </reference>
          <reference field="26" count="1" selected="0">
            <x v="3"/>
          </reference>
        </references>
      </pivotArea>
    </format>
    <format dxfId="271">
      <pivotArea collapsedLevelsAreSubtotals="1" fieldPosition="0">
        <references count="2">
          <reference field="9" count="1">
            <x v="17"/>
          </reference>
          <reference field="10" count="1" selected="0">
            <x v="49"/>
          </reference>
        </references>
      </pivotArea>
    </format>
    <format dxfId="270">
      <pivotArea dataOnly="0" labelOnly="1" fieldPosition="0">
        <references count="2">
          <reference field="9" count="1">
            <x v="17"/>
          </reference>
          <reference field="10" count="1" selected="0">
            <x v="49"/>
          </reference>
        </references>
      </pivotArea>
    </format>
    <format dxfId="269">
      <pivotArea collapsedLevelsAreSubtotals="1" fieldPosition="0">
        <references count="2">
          <reference field="9" count="1">
            <x v="7"/>
          </reference>
          <reference field="10" count="1" selected="0">
            <x v="64"/>
          </reference>
        </references>
      </pivotArea>
    </format>
    <format dxfId="268">
      <pivotArea dataOnly="0" labelOnly="1" fieldPosition="0">
        <references count="2">
          <reference field="9" count="1">
            <x v="7"/>
          </reference>
          <reference field="10" count="1" selected="0">
            <x v="64"/>
          </reference>
        </references>
      </pivotArea>
    </format>
    <format dxfId="267">
      <pivotArea collapsedLevelsAreSubtotals="1" fieldPosition="0">
        <references count="2">
          <reference field="9" count="1">
            <x v="17"/>
          </reference>
          <reference field="10" count="1" selected="0">
            <x v="61"/>
          </reference>
        </references>
      </pivotArea>
    </format>
    <format dxfId="266">
      <pivotArea dataOnly="0" labelOnly="1" fieldPosition="0">
        <references count="2">
          <reference field="9" count="1">
            <x v="17"/>
          </reference>
          <reference field="10" count="1" selected="0">
            <x v="61"/>
          </reference>
        </references>
      </pivotArea>
    </format>
    <format dxfId="265">
      <pivotArea dataOnly="0" fieldPosition="0">
        <references count="3">
          <reference field="8" count="1" selected="0">
            <x v="1"/>
          </reference>
          <reference field="9" count="1">
            <x v="7"/>
          </reference>
          <reference field="26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tag=" +[@'E4!.(k]" updatedVersion="5" minRefreshableVersion="3" useAutoFormatting="1" itemPrintTitles="1" createdVersion="5" indent="0" outline="1" outlineData="1" multipleFieldFilters="0">
  <location ref="A21:D27" firstHeaderRow="1" firstDataRow="2" firstDataCol="1" rowPageCount="3" colPageCount="1"/>
  <pivotFields count="29">
    <pivotField axis="axisRow" showAll="0">
      <items count="9">
        <item x="0"/>
        <item x="4"/>
        <item x="3"/>
        <item x="1"/>
        <item m="1" x="6"/>
        <item x="5"/>
        <item m="1" x="7"/>
        <item x="2"/>
        <item t="default"/>
      </items>
    </pivotField>
    <pivotField showAll="0"/>
    <pivotField showAll="0" defaultSubtotal="0"/>
    <pivotField showAll="0"/>
    <pivotField showAll="0"/>
    <pivotField showAll="0"/>
    <pivotField showAll="0"/>
    <pivotField axis="axisPage" showAll="0">
      <items count="9">
        <item x="2"/>
        <item x="5"/>
        <item x="4"/>
        <item x="0"/>
        <item x="6"/>
        <item x="3"/>
        <item x="1"/>
        <item m="1" x="7"/>
        <item t="default"/>
      </items>
    </pivotField>
    <pivotField axis="axisCol" showAll="0" sortType="descending">
      <items count="4">
        <item h="1" x="2"/>
        <item x="0"/>
        <item x="1"/>
        <item t="default"/>
      </items>
    </pivotField>
    <pivotField showAll="0" defaultSubtotal="0"/>
    <pivotField showAll="0" defaultSubtotal="0"/>
    <pivotField showAll="0"/>
    <pivotField showAll="0"/>
    <pivotField showAll="0"/>
    <pivotField showAll="0" defaultSubtotal="0"/>
    <pivotField showAll="0"/>
    <pivotField axis="axisPage" dataField="1" multipleItemSelectionAllowed="1" showAll="0">
      <items count="843">
        <item m="1" x="815"/>
        <item m="1" x="816"/>
        <item m="1" x="821"/>
        <item x="19"/>
        <item x="38"/>
        <item x="36"/>
        <item m="1" x="834"/>
        <item x="37"/>
        <item x="75"/>
        <item m="1" x="838"/>
        <item x="20"/>
        <item x="0"/>
        <item x="1"/>
        <item m="1" x="799"/>
        <item x="2"/>
        <item x="3"/>
        <item x="4"/>
        <item x="5"/>
        <item x="6"/>
        <item x="7"/>
        <item x="8"/>
        <item x="10"/>
        <item x="11"/>
        <item x="12"/>
        <item x="14"/>
        <item x="16"/>
        <item x="17"/>
        <item x="18"/>
        <item m="1" x="813"/>
        <item m="1" x="814"/>
        <item x="21"/>
        <item x="22"/>
        <item x="23"/>
        <item x="25"/>
        <item x="24"/>
        <item m="1" x="825"/>
        <item m="1" x="826"/>
        <item x="26"/>
        <item x="27"/>
        <item x="28"/>
        <item x="29"/>
        <item x="30"/>
        <item x="31"/>
        <item x="32"/>
        <item x="33"/>
        <item x="34"/>
        <item x="35"/>
        <item m="1" x="837"/>
        <item m="1" x="796"/>
        <item x="39"/>
        <item x="40"/>
        <item x="41"/>
        <item x="42"/>
        <item x="43"/>
        <item x="44"/>
        <item x="45"/>
        <item x="46"/>
        <item x="47"/>
        <item x="532"/>
        <item m="1" x="804"/>
        <item m="1" x="806"/>
        <item m="1" x="809"/>
        <item x="49"/>
        <item x="50"/>
        <item x="51"/>
        <item x="52"/>
        <item x="48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m="1" x="820"/>
        <item m="1" x="824"/>
        <item x="535"/>
        <item x="65"/>
        <item x="66"/>
        <item x="67"/>
        <item x="68"/>
        <item x="69"/>
        <item x="70"/>
        <item x="71"/>
        <item x="72"/>
        <item x="73"/>
        <item x="74"/>
        <item x="77"/>
        <item x="78"/>
        <item x="79"/>
        <item x="80"/>
        <item x="81"/>
        <item x="82"/>
        <item x="83"/>
        <item x="84"/>
        <item x="85"/>
        <item x="86"/>
        <item x="87"/>
        <item x="76"/>
        <item x="88"/>
        <item x="89"/>
        <item x="90"/>
        <item x="91"/>
        <item x="92"/>
        <item x="93"/>
        <item x="94"/>
        <item x="95"/>
        <item m="1" x="811"/>
        <item x="133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m="1" x="798"/>
        <item m="1" x="80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812"/>
        <item x="152"/>
        <item x="153"/>
        <item x="521"/>
        <item x="522"/>
        <item x="523"/>
        <item x="524"/>
        <item x="525"/>
        <item x="526"/>
        <item x="527"/>
        <item x="528"/>
        <item m="1" x="819"/>
        <item m="1" x="822"/>
        <item m="1" x="827"/>
        <item m="1" x="828"/>
        <item m="1" x="829"/>
        <item m="1" x="841"/>
        <item m="1" x="800"/>
        <item m="1" x="810"/>
        <item m="1" x="817"/>
        <item m="1" x="823"/>
        <item m="1" x="831"/>
        <item m="1" x="832"/>
        <item m="1" x="833"/>
        <item m="1" x="840"/>
        <item m="1" x="818"/>
        <item x="9"/>
        <item h="1" x="15"/>
        <item h="1" x="156"/>
        <item x="163"/>
        <item x="154"/>
        <item x="155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1"/>
        <item x="182"/>
        <item x="183"/>
        <item x="184"/>
        <item x="185"/>
        <item x="186"/>
        <item x="187"/>
        <item x="189"/>
        <item x="190"/>
        <item x="191"/>
        <item h="1" x="13"/>
        <item h="1" x="106"/>
        <item h="1" m="1" x="808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29"/>
        <item h="1" x="530"/>
        <item h="1" x="531"/>
        <item h="1" x="533"/>
        <item h="1" x="534"/>
        <item h="1" x="536"/>
        <item h="1" x="537"/>
        <item h="1" x="538"/>
        <item h="1" x="539"/>
        <item h="1" m="1" x="801"/>
        <item h="1" m="1" x="805"/>
        <item h="1" m="1" x="807"/>
        <item h="1" m="1" x="839"/>
        <item h="1" x="178"/>
        <item h="1" x="180"/>
        <item h="1" x="188"/>
        <item h="1" x="260"/>
        <item h="1" x="289"/>
        <item h="1" x="330"/>
        <item h="1" x="519"/>
        <item h="1" x="520"/>
        <item h="1" x="540"/>
        <item h="1" x="541"/>
        <item h="1" x="542"/>
        <item h="1" x="543"/>
        <item h="1" x="544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10"/>
        <item h="1" x="613"/>
        <item h="1" x="611"/>
        <item h="1" x="607"/>
        <item h="1" x="606"/>
        <item h="1" x="608"/>
        <item h="1" x="609"/>
        <item h="1" m="1" x="830"/>
        <item h="1" m="1" x="797"/>
        <item h="1" m="1" x="803"/>
        <item h="1" m="1" x="835"/>
        <item h="1" m="1" x="83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97"/>
        <item h="1" x="632"/>
        <item h="1" x="633"/>
        <item h="1" x="698"/>
        <item h="1" x="701"/>
        <item h="1" x="634"/>
        <item h="1" x="691"/>
        <item h="1" x="692"/>
        <item h="1" x="693"/>
        <item h="1" x="694"/>
        <item h="1" x="695"/>
        <item h="1" x="696"/>
        <item h="1" x="699"/>
        <item h="1" x="700"/>
        <item h="1" x="702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787"/>
        <item h="1" x="788"/>
        <item h="1" x="789"/>
        <item h="1" x="790"/>
        <item h="1" x="647"/>
        <item h="1" x="648"/>
        <item h="1" x="649"/>
        <item h="1" x="650"/>
        <item h="1" x="651"/>
        <item h="1" x="652"/>
        <item h="1" x="653"/>
        <item h="1" x="654"/>
        <item h="1" x="612"/>
        <item h="1" x="587"/>
        <item h="1" x="655"/>
        <item h="1" x="656"/>
        <item h="1" x="657"/>
        <item h="1" x="658"/>
        <item h="1" x="659"/>
        <item h="1" x="660"/>
        <item h="1" x="661"/>
        <item h="1" x="662"/>
        <item h="1" x="791"/>
        <item h="1" x="792"/>
        <item h="1" x="793"/>
        <item h="1" x="794"/>
        <item h="1" x="795"/>
        <item h="1" x="663"/>
        <item h="1" x="664"/>
        <item h="1" x="665"/>
        <item h="1" x="666"/>
        <item h="1" x="703"/>
        <item h="1" x="667"/>
        <item h="1" x="704"/>
        <item h="1" x="705"/>
        <item h="1" x="706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545"/>
        <item h="1" x="689"/>
        <item h="1" x="690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4"/>
        <item x="3"/>
        <item x="1"/>
        <item x="0"/>
        <item x="2"/>
        <item t="default"/>
      </items>
    </pivotField>
    <pivotField showAll="0" defaultSubtota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3">
    <i>
      <x v="1"/>
    </i>
    <i>
      <x v="2"/>
    </i>
    <i t="grand">
      <x/>
    </i>
  </colItems>
  <pageFields count="3">
    <pageField fld="7" item="3" hier="-1"/>
    <pageField fld="16" hier="-1"/>
    <pageField fld="26" item="3" hier="-1"/>
  </pageFields>
  <dataFields count="1">
    <dataField name="Count of UTT (Port)" fld="16" subtotal="count" baseField="0" baseItem="0"/>
  </dataFields>
  <formats count="1">
    <format dxfId="30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tag=" +[@'E4!.(l]" updatedVersion="5" minRefreshableVersion="3" useAutoFormatting="1" itemPrintTitles="1" createdVersion="5" indent="0" outline="1" outlineData="1" multipleFieldFilters="0">
  <location ref="A86:AD126" firstHeaderRow="1" firstDataRow="2" firstDataCol="1" rowPageCount="3" colPageCount="1"/>
  <pivotFields count="29">
    <pivotField showAll="0"/>
    <pivotField showAll="0"/>
    <pivotField showAll="0" defaultSubtotal="0"/>
    <pivotField axis="axisRow" showAll="0">
      <items count="24">
        <item x="11"/>
        <item x="4"/>
        <item x="6"/>
        <item x="0"/>
        <item x="5"/>
        <item x="1"/>
        <item x="10"/>
        <item x="3"/>
        <item x="2"/>
        <item x="7"/>
        <item x="8"/>
        <item x="9"/>
        <item x="12"/>
        <item x="13"/>
        <item x="14"/>
        <item m="1" x="16"/>
        <item x="15"/>
        <item m="1" x="21"/>
        <item m="1" x="18"/>
        <item m="1" x="20"/>
        <item m="1" x="17"/>
        <item m="1" x="22"/>
        <item m="1" x="19"/>
        <item t="default"/>
      </items>
    </pivotField>
    <pivotField showAll="0"/>
    <pivotField showAll="0"/>
    <pivotField showAll="0"/>
    <pivotField axis="axisPage" showAll="0">
      <items count="9">
        <item x="2"/>
        <item x="5"/>
        <item x="4"/>
        <item x="0"/>
        <item x="1"/>
        <item x="6"/>
        <item x="3"/>
        <item m="1" x="7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Col" showAll="0">
      <items count="93">
        <item x="0"/>
        <item x="7"/>
        <item x="18"/>
        <item x="54"/>
        <item x="39"/>
        <item x="36"/>
        <item x="44"/>
        <item x="31"/>
        <item x="27"/>
        <item x="25"/>
        <item x="32"/>
        <item x="26"/>
        <item x="29"/>
        <item x="35"/>
        <item x="34"/>
        <item x="30"/>
        <item x="38"/>
        <item x="4"/>
        <item x="9"/>
        <item x="12"/>
        <item x="1"/>
        <item x="14"/>
        <item x="5"/>
        <item x="22"/>
        <item x="55"/>
        <item x="45"/>
        <item x="48"/>
        <item x="46"/>
        <item x="49"/>
        <item x="19"/>
        <item x="42"/>
        <item x="2"/>
        <item x="3"/>
        <item x="6"/>
        <item x="8"/>
        <item x="15"/>
        <item x="20"/>
        <item x="21"/>
        <item x="23"/>
        <item x="10"/>
        <item x="11"/>
        <item x="17"/>
        <item x="24"/>
        <item x="33"/>
        <item x="40"/>
        <item m="1" x="83"/>
        <item x="28"/>
        <item x="37"/>
        <item m="1" x="73"/>
        <item m="1" x="76"/>
        <item m="1" x="88"/>
        <item x="50"/>
        <item x="53"/>
        <item x="41"/>
        <item m="1" x="85"/>
        <item m="1" x="75"/>
        <item x="56"/>
        <item x="62"/>
        <item m="1" x="86"/>
        <item x="57"/>
        <item x="59"/>
        <item x="52"/>
        <item m="1" x="79"/>
        <item x="61"/>
        <item m="1" x="77"/>
        <item x="60"/>
        <item x="64"/>
        <item x="63"/>
        <item x="51"/>
        <item x="47"/>
        <item m="1" x="81"/>
        <item x="16"/>
        <item m="1" x="71"/>
        <item m="1" x="89"/>
        <item m="1" x="72"/>
        <item m="1" x="90"/>
        <item m="1" x="70"/>
        <item m="1" x="74"/>
        <item m="1" x="78"/>
        <item m="1" x="84"/>
        <item x="58"/>
        <item x="13"/>
        <item m="1" x="91"/>
        <item m="1" x="87"/>
        <item x="65"/>
        <item x="66"/>
        <item x="67"/>
        <item m="1" x="80"/>
        <item x="68"/>
        <item x="69"/>
        <item m="1" x="82"/>
        <item x="43"/>
        <item t="default"/>
      </items>
    </pivotField>
    <pivotField axis="axisRow" showAll="0">
      <items count="109">
        <item x="6"/>
        <item m="1" x="75"/>
        <item x="53"/>
        <item m="1" x="99"/>
        <item sd="0" x="4"/>
        <item x="32"/>
        <item sd="0" x="29"/>
        <item sd="0" x="24"/>
        <item sd="0" x="1"/>
        <item sd="0" x="3"/>
        <item m="1" x="95"/>
        <item x="13"/>
        <item sd="0" x="28"/>
        <item sd="0" x="36"/>
        <item x="31"/>
        <item x="30"/>
        <item m="1" x="98"/>
        <item x="11"/>
        <item x="14"/>
        <item sd="0" x="19"/>
        <item sd="0" x="15"/>
        <item sd="0" x="27"/>
        <item sd="0" m="1" x="102"/>
        <item x="0"/>
        <item sd="0" x="16"/>
        <item sd="0" x="18"/>
        <item sd="0" x="21"/>
        <item sd="0" x="9"/>
        <item sd="0" x="8"/>
        <item x="22"/>
        <item sd="0" m="1" x="106"/>
        <item m="1" x="85"/>
        <item x="5"/>
        <item sd="0" x="7"/>
        <item sd="0" x="2"/>
        <item x="34"/>
        <item x="35"/>
        <item m="1" x="96"/>
        <item x="17"/>
        <item x="20"/>
        <item x="23"/>
        <item x="25"/>
        <item x="26"/>
        <item x="39"/>
        <item m="1" x="76"/>
        <item m="1" x="69"/>
        <item m="1" x="87"/>
        <item x="51"/>
        <item m="1" x="92"/>
        <item x="56"/>
        <item m="1" x="88"/>
        <item m="1" x="70"/>
        <item x="37"/>
        <item x="38"/>
        <item x="41"/>
        <item m="1" x="81"/>
        <item m="1" x="83"/>
        <item m="1" x="97"/>
        <item m="1" x="73"/>
        <item x="60"/>
        <item x="55"/>
        <item x="59"/>
        <item x="65"/>
        <item x="61"/>
        <item x="64"/>
        <item x="54"/>
        <item x="63"/>
        <item m="1" x="74"/>
        <item x="57"/>
        <item x="68"/>
        <item x="52"/>
        <item x="12"/>
        <item x="10"/>
        <item m="1" x="72"/>
        <item m="1" x="89"/>
        <item m="1" x="78"/>
        <item m="1" x="103"/>
        <item m="1" x="93"/>
        <item x="33"/>
        <item m="1" x="107"/>
        <item m="1" x="86"/>
        <item x="45"/>
        <item x="49"/>
        <item x="58"/>
        <item m="1" x="71"/>
        <item m="1" x="84"/>
        <item m="1" x="101"/>
        <item m="1" x="79"/>
        <item m="1" x="105"/>
        <item m="1" x="104"/>
        <item m="1" x="91"/>
        <item m="1" x="80"/>
        <item x="48"/>
        <item m="1" x="100"/>
        <item x="47"/>
        <item x="46"/>
        <item m="1" x="77"/>
        <item m="1" x="90"/>
        <item x="44"/>
        <item x="50"/>
        <item m="1" x="82"/>
        <item m="1" x="94"/>
        <item x="62"/>
        <item x="66"/>
        <item x="40"/>
        <item x="42"/>
        <item x="43"/>
        <item x="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6">
        <item x="4"/>
        <item x="3"/>
        <item x="1"/>
        <item x="0"/>
        <item x="2"/>
        <item t="default"/>
      </items>
    </pivotField>
    <pivotField showAll="0"/>
    <pivotField showAll="0"/>
  </pivotFields>
  <rowFields count="2">
    <field x="10"/>
    <field x="3"/>
  </rowFields>
  <rowItems count="39">
    <i>
      <x v="4"/>
    </i>
    <i>
      <x v="6"/>
    </i>
    <i>
      <x v="7"/>
    </i>
    <i>
      <x v="8"/>
    </i>
    <i>
      <x v="9"/>
    </i>
    <i>
      <x v="11"/>
    </i>
    <i r="1">
      <x v="1"/>
    </i>
    <i r="1">
      <x v="6"/>
    </i>
    <i>
      <x v="12"/>
    </i>
    <i>
      <x v="19"/>
    </i>
    <i>
      <x v="20"/>
    </i>
    <i>
      <x v="21"/>
    </i>
    <i>
      <x v="24"/>
    </i>
    <i>
      <x v="25"/>
    </i>
    <i>
      <x v="26"/>
    </i>
    <i>
      <x v="27"/>
    </i>
    <i>
      <x v="28"/>
    </i>
    <i>
      <x v="33"/>
    </i>
    <i>
      <x v="34"/>
    </i>
    <i>
      <x v="35"/>
    </i>
    <i r="1">
      <x v="2"/>
    </i>
    <i r="1">
      <x v="8"/>
    </i>
    <i>
      <x v="36"/>
    </i>
    <i r="1">
      <x v="2"/>
    </i>
    <i>
      <x v="38"/>
    </i>
    <i r="1">
      <x v="2"/>
    </i>
    <i r="1">
      <x v="6"/>
    </i>
    <i r="1">
      <x v="12"/>
    </i>
    <i>
      <x v="39"/>
    </i>
    <i r="1">
      <x v="2"/>
    </i>
    <i r="1">
      <x v="6"/>
    </i>
    <i r="1">
      <x v="12"/>
    </i>
    <i>
      <x v="40"/>
    </i>
    <i r="1">
      <x v="12"/>
    </i>
    <i>
      <x v="42"/>
    </i>
    <i r="1">
      <x v="12"/>
    </i>
    <i>
      <x v="49"/>
    </i>
    <i r="1">
      <x v="6"/>
    </i>
    <i t="grand">
      <x/>
    </i>
  </rowItems>
  <colFields count="1">
    <field x="9"/>
  </colFields>
  <colItems count="29">
    <i>
      <x v="1"/>
    </i>
    <i>
      <x v="4"/>
    </i>
    <i>
      <x v="8"/>
    </i>
    <i>
      <x v="9"/>
    </i>
    <i>
      <x v="10"/>
    </i>
    <i>
      <x v="12"/>
    </i>
    <i>
      <x v="13"/>
    </i>
    <i>
      <x v="15"/>
    </i>
    <i>
      <x v="16"/>
    </i>
    <i>
      <x v="18"/>
    </i>
    <i>
      <x v="19"/>
    </i>
    <i>
      <x v="20"/>
    </i>
    <i>
      <x v="23"/>
    </i>
    <i>
      <x v="29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6"/>
    </i>
    <i>
      <x v="47"/>
    </i>
    <i>
      <x v="53"/>
    </i>
    <i t="grand">
      <x/>
    </i>
  </colItems>
  <pageFields count="3">
    <pageField fld="8" item="0" hier="-1"/>
    <pageField fld="7" item="3" hier="-1"/>
    <pageField fld="26" item="3" hier="-1"/>
  </pageFields>
  <dataFields count="1">
    <dataField name="Count of Can be used" fld="26" subtotal="count" baseField="0" baseItem="0"/>
  </dataFields>
  <formats count="1">
    <format dxfId="30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tag=" +[@'E4!.(i]" updatedVersion="5" minRefreshableVersion="3" useAutoFormatting="1" itemPrintTitles="1" createdVersion="5" indent="0" outline="1" outlineData="1" multipleFieldFilters="0">
  <location ref="A37:M55" firstHeaderRow="1" firstDataRow="2" firstDataCol="1" rowPageCount="3" colPageCount="1"/>
  <pivotFields count="29">
    <pivotField showAll="0"/>
    <pivotField showAll="0"/>
    <pivotField showAll="0" defaultSubtotal="0"/>
    <pivotField axis="axisRow" showAll="0">
      <items count="24">
        <item x="11"/>
        <item x="4"/>
        <item x="6"/>
        <item x="0"/>
        <item x="5"/>
        <item x="1"/>
        <item x="10"/>
        <item x="3"/>
        <item x="2"/>
        <item x="7"/>
        <item x="8"/>
        <item x="9"/>
        <item x="12"/>
        <item x="13"/>
        <item x="14"/>
        <item m="1" x="16"/>
        <item x="15"/>
        <item m="1" x="21"/>
        <item m="1" x="18"/>
        <item m="1" x="20"/>
        <item m="1" x="17"/>
        <item m="1" x="22"/>
        <item m="1" x="19"/>
        <item t="default"/>
      </items>
    </pivotField>
    <pivotField showAll="0"/>
    <pivotField showAll="0"/>
    <pivotField showAll="0"/>
    <pivotField axis="axisPage" showAll="0">
      <items count="9">
        <item x="2"/>
        <item x="5"/>
        <item x="4"/>
        <item x="0"/>
        <item x="1"/>
        <item x="6"/>
        <item x="3"/>
        <item m="1" x="7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Row" showAll="0">
      <items count="93">
        <item sd="0" x="0"/>
        <item x="18"/>
        <item x="54"/>
        <item x="39"/>
        <item sd="0" x="36"/>
        <item x="44"/>
        <item sd="0" x="31"/>
        <item x="27"/>
        <item x="25"/>
        <item sd="0" x="32"/>
        <item sd="0" x="26"/>
        <item sd="0" x="29"/>
        <item x="35"/>
        <item sd="0" x="34"/>
        <item x="30"/>
        <item x="38"/>
        <item x="4"/>
        <item x="12"/>
        <item sd="0" x="14"/>
        <item sd="0" x="22"/>
        <item x="55"/>
        <item x="45"/>
        <item x="49"/>
        <item sd="0" x="19"/>
        <item x="42"/>
        <item sd="0" x="2"/>
        <item x="1"/>
        <item x="48"/>
        <item sd="0" x="5"/>
        <item x="46"/>
        <item x="7"/>
        <item x="9"/>
        <item x="3"/>
        <item x="6"/>
        <item x="8"/>
        <item sd="0" x="15"/>
        <item sd="0" x="20"/>
        <item sd="0" x="21"/>
        <item x="23"/>
        <item x="10"/>
        <item x="11"/>
        <item sd="0" x="17"/>
        <item x="24"/>
        <item x="33"/>
        <item x="40"/>
        <item m="1" x="83"/>
        <item x="28"/>
        <item x="37"/>
        <item m="1" x="73"/>
        <item m="1" x="76"/>
        <item m="1" x="88"/>
        <item x="50"/>
        <item x="53"/>
        <item x="41"/>
        <item m="1" x="85"/>
        <item m="1" x="75"/>
        <item x="56"/>
        <item x="62"/>
        <item m="1" x="86"/>
        <item x="57"/>
        <item x="59"/>
        <item x="52"/>
        <item m="1" x="79"/>
        <item x="61"/>
        <item m="1" x="77"/>
        <item x="60"/>
        <item x="64"/>
        <item x="63"/>
        <item x="51"/>
        <item x="47"/>
        <item m="1" x="81"/>
        <item x="16"/>
        <item m="1" x="71"/>
        <item m="1" x="89"/>
        <item m="1" x="72"/>
        <item m="1" x="90"/>
        <item m="1" x="70"/>
        <item m="1" x="74"/>
        <item m="1" x="78"/>
        <item m="1" x="84"/>
        <item x="58"/>
        <item x="13"/>
        <item m="1" x="91"/>
        <item m="1" x="87"/>
        <item x="65"/>
        <item x="66"/>
        <item x="67"/>
        <item m="1" x="80"/>
        <item x="68"/>
        <item x="69"/>
        <item m="1" x="82"/>
        <item x="43"/>
        <item t="default"/>
      </items>
    </pivotField>
    <pivotField axis="axisCol" showAll="0">
      <items count="109">
        <item x="6"/>
        <item m="1" x="75"/>
        <item x="53"/>
        <item m="1" x="99"/>
        <item x="4"/>
        <item x="32"/>
        <item x="29"/>
        <item x="24"/>
        <item m="1" x="95"/>
        <item x="13"/>
        <item x="28"/>
        <item x="36"/>
        <item x="31"/>
        <item x="30"/>
        <item m="1" x="98"/>
        <item x="11"/>
        <item x="14"/>
        <item x="19"/>
        <item x="15"/>
        <item x="27"/>
        <item m="1" x="102"/>
        <item x="0"/>
        <item x="16"/>
        <item x="18"/>
        <item x="21"/>
        <item x="9"/>
        <item x="22"/>
        <item m="1" x="106"/>
        <item x="5"/>
        <item x="2"/>
        <item x="1"/>
        <item x="3"/>
        <item x="7"/>
        <item x="8"/>
        <item m="1" x="85"/>
        <item x="34"/>
        <item x="35"/>
        <item m="1" x="96"/>
        <item x="17"/>
        <item x="20"/>
        <item x="23"/>
        <item x="25"/>
        <item x="26"/>
        <item x="39"/>
        <item m="1" x="76"/>
        <item m="1" x="69"/>
        <item m="1" x="87"/>
        <item x="51"/>
        <item m="1" x="92"/>
        <item x="56"/>
        <item m="1" x="88"/>
        <item m="1" x="70"/>
        <item x="37"/>
        <item x="38"/>
        <item x="41"/>
        <item m="1" x="81"/>
        <item m="1" x="83"/>
        <item m="1" x="97"/>
        <item m="1" x="73"/>
        <item x="60"/>
        <item x="55"/>
        <item x="59"/>
        <item x="65"/>
        <item x="61"/>
        <item x="64"/>
        <item x="54"/>
        <item x="63"/>
        <item m="1" x="74"/>
        <item x="57"/>
        <item x="68"/>
        <item x="52"/>
        <item x="12"/>
        <item x="10"/>
        <item m="1" x="72"/>
        <item m="1" x="89"/>
        <item m="1" x="78"/>
        <item m="1" x="103"/>
        <item m="1" x="93"/>
        <item x="33"/>
        <item m="1" x="107"/>
        <item m="1" x="86"/>
        <item x="45"/>
        <item x="49"/>
        <item x="58"/>
        <item m="1" x="71"/>
        <item m="1" x="84"/>
        <item m="1" x="101"/>
        <item m="1" x="79"/>
        <item m="1" x="105"/>
        <item m="1" x="104"/>
        <item m="1" x="91"/>
        <item m="1" x="80"/>
        <item x="48"/>
        <item m="1" x="100"/>
        <item x="47"/>
        <item x="46"/>
        <item m="1" x="77"/>
        <item m="1" x="90"/>
        <item x="44"/>
        <item x="50"/>
        <item m="1" x="82"/>
        <item m="1" x="94"/>
        <item x="62"/>
        <item x="66"/>
        <item x="40"/>
        <item x="42"/>
        <item x="43"/>
        <item x="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6">
        <item x="4"/>
        <item x="3"/>
        <item x="1"/>
        <item x="0"/>
        <item x="2"/>
        <item t="default"/>
      </items>
    </pivotField>
    <pivotField showAll="0"/>
    <pivotField showAll="0"/>
  </pivotFields>
  <rowFields count="2">
    <field x="9"/>
    <field x="3"/>
  </rowFields>
  <rowItems count="17">
    <i>
      <x/>
    </i>
    <i>
      <x v="4"/>
    </i>
    <i>
      <x v="6"/>
    </i>
    <i>
      <x v="10"/>
    </i>
    <i>
      <x v="13"/>
    </i>
    <i>
      <x v="18"/>
    </i>
    <i>
      <x v="19"/>
    </i>
    <i>
      <x v="23"/>
    </i>
    <i>
      <x v="25"/>
    </i>
    <i>
      <x v="28"/>
    </i>
    <i>
      <x v="34"/>
    </i>
    <i r="1">
      <x v="7"/>
    </i>
    <i>
      <x v="35"/>
    </i>
    <i>
      <x v="36"/>
    </i>
    <i>
      <x v="37"/>
    </i>
    <i>
      <x v="41"/>
    </i>
    <i t="grand">
      <x/>
    </i>
  </rowItems>
  <colFields count="1">
    <field x="10"/>
  </colFields>
  <colItems count="12">
    <i>
      <x/>
    </i>
    <i>
      <x v="4"/>
    </i>
    <i>
      <x v="5"/>
    </i>
    <i>
      <x v="9"/>
    </i>
    <i>
      <x v="15"/>
    </i>
    <i>
      <x v="16"/>
    </i>
    <i>
      <x v="21"/>
    </i>
    <i>
      <x v="26"/>
    </i>
    <i>
      <x v="28"/>
    </i>
    <i>
      <x v="29"/>
    </i>
    <i>
      <x v="41"/>
    </i>
    <i t="grand">
      <x/>
    </i>
  </colItems>
  <pageFields count="3">
    <pageField fld="7" item="3" hier="-1"/>
    <pageField fld="8" item="1" hier="-1"/>
    <pageField fld="26" item="3" hier="-1"/>
  </pageFields>
  <dataFields count="1">
    <dataField name="Count of Can be used" fld="26" subtotal="count" baseField="0" baseItem="0"/>
  </dataFields>
  <formats count="27">
    <format dxfId="332">
      <pivotArea outline="0" collapsedLevelsAreSubtotals="1" fieldPosition="0"/>
    </format>
    <format dxfId="331">
      <pivotArea collapsedLevelsAreSubtotals="1" fieldPosition="0">
        <references count="2">
          <reference field="9" count="1">
            <x v="36"/>
          </reference>
          <reference field="10" count="1" selected="0">
            <x v="28"/>
          </reference>
        </references>
      </pivotArea>
    </format>
    <format dxfId="330">
      <pivotArea collapsedLevelsAreSubtotals="1" fieldPosition="0">
        <references count="2">
          <reference field="9" count="1">
            <x v="36"/>
          </reference>
          <reference field="10" count="1" selected="0">
            <x v="4"/>
          </reference>
        </references>
      </pivotArea>
    </format>
    <format dxfId="329">
      <pivotArea collapsedLevelsAreSubtotals="1" fieldPosition="0">
        <references count="2">
          <reference field="9" count="1">
            <x v="36"/>
          </reference>
          <reference field="10" count="1" selected="0">
            <x v="5"/>
          </reference>
        </references>
      </pivotArea>
    </format>
    <format dxfId="328">
      <pivotArea collapsedLevelsAreSubtotals="1" fieldPosition="0">
        <references count="2">
          <reference field="9" count="1">
            <x v="37"/>
          </reference>
          <reference field="10" count="1" selected="0">
            <x v="0"/>
          </reference>
        </references>
      </pivotArea>
    </format>
    <format dxfId="327">
      <pivotArea collapsedLevelsAreSubtotals="1" fieldPosition="0">
        <references count="2">
          <reference field="9" count="1">
            <x v="37"/>
          </reference>
          <reference field="10" count="1" selected="0">
            <x v="4"/>
          </reference>
        </references>
      </pivotArea>
    </format>
    <format dxfId="326">
      <pivotArea collapsedLevelsAreSubtotals="1" fieldPosition="0">
        <references count="2">
          <reference field="9" count="1">
            <x v="37"/>
          </reference>
          <reference field="10" count="1" selected="0">
            <x v="5"/>
          </reference>
        </references>
      </pivotArea>
    </format>
    <format dxfId="325">
      <pivotArea collapsedLevelsAreSubtotals="1" fieldPosition="0">
        <references count="2">
          <reference field="9" count="1">
            <x v="23"/>
          </reference>
          <reference field="10" count="1" selected="0">
            <x v="5"/>
          </reference>
        </references>
      </pivotArea>
    </format>
    <format dxfId="324">
      <pivotArea collapsedLevelsAreSubtotals="1" fieldPosition="0">
        <references count="2">
          <reference field="9" count="1">
            <x v="23"/>
          </reference>
          <reference field="10" count="1" selected="0">
            <x v="16"/>
          </reference>
        </references>
      </pivotArea>
    </format>
    <format dxfId="323">
      <pivotArea collapsedLevelsAreSubtotals="1" fieldPosition="0">
        <references count="2">
          <reference field="9" count="1">
            <x v="23"/>
          </reference>
          <reference field="10" count="1" selected="0">
            <x v="9"/>
          </reference>
        </references>
      </pivotArea>
    </format>
    <format dxfId="322">
      <pivotArea collapsedLevelsAreSubtotals="1" fieldPosition="0">
        <references count="2">
          <reference field="9" count="1">
            <x v="19"/>
          </reference>
          <reference field="10" count="1" selected="0">
            <x v="9"/>
          </reference>
        </references>
      </pivotArea>
    </format>
    <format dxfId="321">
      <pivotArea collapsedLevelsAreSubtotals="1" fieldPosition="0">
        <references count="2">
          <reference field="9" count="1">
            <x v="19"/>
          </reference>
          <reference field="10" count="1" selected="0">
            <x v="16"/>
          </reference>
        </references>
      </pivotArea>
    </format>
    <format dxfId="320">
      <pivotArea collapsedLevelsAreSubtotals="1" fieldPosition="0">
        <references count="2">
          <reference field="9" count="1">
            <x v="6"/>
          </reference>
          <reference field="10" count="1" selected="0">
            <x v="0"/>
          </reference>
        </references>
      </pivotArea>
    </format>
    <format dxfId="319">
      <pivotArea collapsedLevelsAreSubtotals="1" fieldPosition="0">
        <references count="2">
          <reference field="9" count="1">
            <x v="6"/>
          </reference>
          <reference field="10" count="1" selected="0">
            <x v="26"/>
          </reference>
        </references>
      </pivotArea>
    </format>
    <format dxfId="318">
      <pivotArea collapsedLevelsAreSubtotals="1" fieldPosition="0">
        <references count="2">
          <reference field="9" count="1">
            <x v="6"/>
          </reference>
          <reference field="10" count="1" selected="0">
            <x v="21"/>
          </reference>
        </references>
      </pivotArea>
    </format>
    <format dxfId="317">
      <pivotArea collapsedLevelsAreSubtotals="1" fieldPosition="0">
        <references count="2">
          <reference field="9" count="1">
            <x v="10"/>
          </reference>
          <reference field="10" count="1" selected="0">
            <x v="9"/>
          </reference>
        </references>
      </pivotArea>
    </format>
    <format dxfId="316">
      <pivotArea collapsedLevelsAreSubtotals="1" fieldPosition="0">
        <references count="2">
          <reference field="9" count="1">
            <x v="10"/>
          </reference>
          <reference field="10" count="1" selected="0">
            <x v="16"/>
          </reference>
        </references>
      </pivotArea>
    </format>
    <format dxfId="315">
      <pivotArea collapsedLevelsAreSubtotals="1" fieldPosition="0">
        <references count="2">
          <reference field="9" count="1">
            <x v="18"/>
          </reference>
          <reference field="10" count="1" selected="0">
            <x v="28"/>
          </reference>
        </references>
      </pivotArea>
    </format>
    <format dxfId="314">
      <pivotArea collapsedLevelsAreSubtotals="1" fieldPosition="0">
        <references count="2">
          <reference field="9" count="1">
            <x v="18"/>
          </reference>
          <reference field="10" count="1" selected="0">
            <x v="4"/>
          </reference>
        </references>
      </pivotArea>
    </format>
    <format dxfId="313">
      <pivotArea collapsedLevelsAreSubtotals="1" fieldPosition="0">
        <references count="2">
          <reference field="9" count="1">
            <x v="35"/>
          </reference>
          <reference field="10" count="1" selected="0">
            <x v="0"/>
          </reference>
        </references>
      </pivotArea>
    </format>
    <format dxfId="312">
      <pivotArea collapsedLevelsAreSubtotals="1" fieldPosition="0">
        <references count="2">
          <reference field="9" count="1">
            <x v="35"/>
          </reference>
          <reference field="10" count="1" selected="0">
            <x v="28"/>
          </reference>
        </references>
      </pivotArea>
    </format>
    <format dxfId="311">
      <pivotArea collapsedLevelsAreSubtotals="1" fieldPosition="0">
        <references count="2">
          <reference field="9" count="1">
            <x v="35"/>
          </reference>
          <reference field="10" count="1" selected="0">
            <x v="4"/>
          </reference>
        </references>
      </pivotArea>
    </format>
    <format dxfId="310">
      <pivotArea collapsedLevelsAreSubtotals="1" fieldPosition="0">
        <references count="2">
          <reference field="9" count="1">
            <x v="13"/>
          </reference>
          <reference field="10" count="1" selected="0">
            <x v="4"/>
          </reference>
        </references>
      </pivotArea>
    </format>
    <format dxfId="309">
      <pivotArea collapsedLevelsAreSubtotals="1" fieldPosition="0">
        <references count="2">
          <reference field="9" count="1">
            <x v="13"/>
          </reference>
          <reference field="10" count="1" selected="0">
            <x v="28"/>
          </reference>
        </references>
      </pivotArea>
    </format>
    <format dxfId="308">
      <pivotArea collapsedLevelsAreSubtotals="1" fieldPosition="0">
        <references count="2">
          <reference field="9" count="1">
            <x v="18"/>
          </reference>
          <reference field="10" count="1" selected="0">
            <x v="0"/>
          </reference>
        </references>
      </pivotArea>
    </format>
    <format dxfId="307">
      <pivotArea collapsedLevelsAreSubtotals="1" fieldPosition="0">
        <references count="2">
          <reference field="9" count="1">
            <x v="0"/>
          </reference>
          <reference field="10" count="1" selected="0">
            <x v="21"/>
          </reference>
        </references>
      </pivotArea>
    </format>
    <format dxfId="306">
      <pivotArea collapsedLevelsAreSubtotals="1" fieldPosition="0">
        <references count="2">
          <reference field="9" count="1">
            <x v="28"/>
          </reference>
          <reference field="10" count="1" selected="0"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tag=" +[@'E4!.(j]" updatedVersion="5" minRefreshableVersion="3" useAutoFormatting="1" itemPrintTitles="1" createdVersion="5" indent="0" outline="1" outlineData="1" multipleFieldFilters="0">
  <location ref="A4:U12" firstHeaderRow="1" firstDataRow="3" firstDataCol="1" rowPageCount="2" colPageCount="1"/>
  <pivotFields count="29">
    <pivotField axis="axisRow" showAll="0">
      <items count="9">
        <item x="0"/>
        <item x="4"/>
        <item x="3"/>
        <item x="1"/>
        <item m="1" x="6"/>
        <item x="5"/>
        <item m="1" x="7"/>
        <item x="2"/>
        <item t="default"/>
      </items>
    </pivotField>
    <pivotField showAll="0"/>
    <pivotField showAll="0" defaultSubtotal="0"/>
    <pivotField showAll="0"/>
    <pivotField showAll="0"/>
    <pivotField showAll="0"/>
    <pivotField showAll="0"/>
    <pivotField axis="axisPage" multipleItemSelectionAllowed="1" showAll="0">
      <items count="9">
        <item h="1" x="2"/>
        <item h="1" x="5"/>
        <item h="1" x="4"/>
        <item h="1" x="0"/>
        <item h="1" x="6"/>
        <item h="1" x="3"/>
        <item x="1"/>
        <item m="1" x="7"/>
        <item t="default"/>
      </items>
    </pivotField>
    <pivotField axis="axisCol" showAll="0" sortType="descending">
      <items count="4">
        <item x="2"/>
        <item x="0"/>
        <item x="1"/>
        <item t="default"/>
      </items>
    </pivotField>
    <pivotField showAll="0" defaultSubtotal="0"/>
    <pivotField showAll="0" defaultSubtotal="0"/>
    <pivotField axis="axisCol" showAll="0">
      <items count="19">
        <item x="7"/>
        <item x="5"/>
        <item x="6"/>
        <item x="4"/>
        <item x="2"/>
        <item x="1"/>
        <item x="9"/>
        <item x="0"/>
        <item x="3"/>
        <item x="10"/>
        <item m="1" x="17"/>
        <item x="8"/>
        <item x="15"/>
        <item x="14"/>
        <item x="16"/>
        <item x="13"/>
        <item x="12"/>
        <item x="11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h="1" x="4"/>
        <item h="1" x="3"/>
        <item h="1" x="1"/>
        <item x="0"/>
        <item h="1" x="2"/>
        <item t="default"/>
      </items>
    </pivotField>
    <pivotField showAll="0" defaultSubtota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7"/>
    </i>
    <i t="grand">
      <x/>
    </i>
  </rowItems>
  <colFields count="2">
    <field x="8"/>
    <field x="11"/>
  </colFields>
  <colItems count="20">
    <i>
      <x/>
      <x v="3"/>
    </i>
    <i t="default">
      <x/>
    </i>
    <i>
      <x v="1"/>
      <x v="3"/>
    </i>
    <i r="1">
      <x v="4"/>
    </i>
    <i r="1">
      <x v="9"/>
    </i>
    <i r="1">
      <x v="11"/>
    </i>
    <i r="1">
      <x v="13"/>
    </i>
    <i r="1">
      <x v="15"/>
    </i>
    <i r="1">
      <x v="16"/>
    </i>
    <i r="1">
      <x v="17"/>
    </i>
    <i t="default">
      <x v="1"/>
    </i>
    <i>
      <x v="2"/>
      <x v="3"/>
    </i>
    <i r="1">
      <x v="4"/>
    </i>
    <i r="1">
      <x v="9"/>
    </i>
    <i r="1">
      <x v="11"/>
    </i>
    <i r="1">
      <x v="13"/>
    </i>
    <i r="1">
      <x v="15"/>
    </i>
    <i r="1">
      <x v="17"/>
    </i>
    <i t="default">
      <x v="2"/>
    </i>
    <i t="grand">
      <x/>
    </i>
  </colItems>
  <pageFields count="2">
    <pageField fld="7" hier="-1"/>
    <pageField fld="26" hier="-1"/>
  </pageFields>
  <dataFields count="1">
    <dataField name="Count of Can be used" fld="26" subtotal="count" baseField="0" baseItem="0"/>
  </dataFields>
  <formats count="29">
    <format dxfId="361">
      <pivotArea outline="0" collapsedLevelsAreSubtotals="1" fieldPosition="0">
        <references count="2">
          <reference field="8" count="1" selected="0">
            <x v="2"/>
          </reference>
          <reference field="11" count="2" selected="0">
            <x v="4"/>
            <x v="5"/>
          </reference>
        </references>
      </pivotArea>
    </format>
    <format dxfId="360">
      <pivotArea dataOnly="0" labelOnly="1" fieldPosition="0">
        <references count="1">
          <reference field="8" count="1">
            <x v="2"/>
          </reference>
        </references>
      </pivotArea>
    </format>
    <format dxfId="359">
      <pivotArea dataOnly="0" labelOnly="1" fieldPosition="0">
        <references count="2">
          <reference field="8" count="1" selected="0">
            <x v="2"/>
          </reference>
          <reference field="11" count="2">
            <x v="4"/>
            <x v="5"/>
          </reference>
        </references>
      </pivotArea>
    </format>
    <format dxfId="358">
      <pivotArea outline="0" collapsedLevelsAreSubtotals="1" fieldPosition="0">
        <references count="2">
          <reference field="8" count="1" selected="0">
            <x v="1"/>
          </reference>
          <reference field="11" count="5" selected="0">
            <x v="4"/>
            <x v="5"/>
            <x v="6"/>
            <x v="7"/>
            <x v="8"/>
          </reference>
        </references>
      </pivotArea>
    </format>
    <format dxfId="357">
      <pivotArea dataOnly="0" labelOnly="1" fieldPosition="0">
        <references count="1">
          <reference field="8" count="1">
            <x v="1"/>
          </reference>
        </references>
      </pivotArea>
    </format>
    <format dxfId="356">
      <pivotArea dataOnly="0" labelOnly="1" fieldPosition="0">
        <references count="2">
          <reference field="8" count="1" selected="0">
            <x v="1"/>
          </reference>
          <reference field="11" count="5">
            <x v="4"/>
            <x v="5"/>
            <x v="6"/>
            <x v="7"/>
            <x v="8"/>
          </reference>
        </references>
      </pivotArea>
    </format>
    <format dxfId="355">
      <pivotArea grandCol="1" outline="0" collapsedLevelsAreSubtotals="1" fieldPosition="0"/>
    </format>
    <format dxfId="354">
      <pivotArea dataOnly="0" labelOnly="1" grandCol="1" outline="0" fieldPosition="0"/>
    </format>
    <format dxfId="353">
      <pivotArea outline="0" collapsedLevelsAreSubtotals="1" fieldPosition="0">
        <references count="1">
          <reference field="8" count="1" selected="0" defaultSubtotal="1">
            <x v="2"/>
          </reference>
        </references>
      </pivotArea>
    </format>
    <format dxfId="352">
      <pivotArea dataOnly="0" labelOnly="1" fieldPosition="0">
        <references count="1">
          <reference field="8" count="1" defaultSubtotal="1">
            <x v="2"/>
          </reference>
        </references>
      </pivotArea>
    </format>
    <format dxfId="351">
      <pivotArea outline="0" collapsedLevelsAreSubtotals="1" fieldPosition="0">
        <references count="1">
          <reference field="8" count="1" selected="0" defaultSubtotal="1">
            <x v="1"/>
          </reference>
        </references>
      </pivotArea>
    </format>
    <format dxfId="350">
      <pivotArea dataOnly="0" labelOnly="1" fieldPosition="0">
        <references count="1">
          <reference field="8" count="1" defaultSubtotal="1">
            <x v="1"/>
          </reference>
        </references>
      </pivotArea>
    </format>
    <format dxfId="349">
      <pivotArea outline="0" collapsedLevelsAreSubtotals="1" fieldPosition="0">
        <references count="2">
          <reference field="8" count="1" selected="0">
            <x v="1"/>
          </reference>
          <reference field="11" count="4" selected="0">
            <x v="4"/>
            <x v="5"/>
            <x v="6"/>
            <x v="7"/>
          </reference>
        </references>
      </pivotArea>
    </format>
    <format dxfId="348">
      <pivotArea dataOnly="0" labelOnly="1" fieldPosition="0">
        <references count="2">
          <reference field="8" count="1" selected="0">
            <x v="1"/>
          </reference>
          <reference field="11" count="4">
            <x v="4"/>
            <x v="5"/>
            <x v="6"/>
            <x v="7"/>
          </reference>
        </references>
      </pivotArea>
    </format>
    <format dxfId="347">
      <pivotArea outline="0" collapsedLevelsAreSubtotals="1" fieldPosition="0">
        <references count="1">
          <reference field="8" count="1" selected="0" defaultSubtotal="1">
            <x v="1"/>
          </reference>
        </references>
      </pivotArea>
    </format>
    <format dxfId="346">
      <pivotArea outline="0" collapsedLevelsAreSubtotals="1" fieldPosition="0">
        <references count="1">
          <reference field="8" count="1" selected="0" defaultSubtotal="1">
            <x v="2"/>
          </reference>
        </references>
      </pivotArea>
    </format>
    <format dxfId="345">
      <pivotArea grandCol="1" outline="0" collapsedLevelsAreSubtotals="1" fieldPosition="0"/>
    </format>
    <format dxfId="344">
      <pivotArea dataOnly="0" labelOnly="1" fieldPosition="0">
        <references count="1">
          <reference field="8" count="1" defaultSubtotal="1">
            <x v="1"/>
          </reference>
        </references>
      </pivotArea>
    </format>
    <format dxfId="343">
      <pivotArea dataOnly="0" labelOnly="1" fieldPosition="0">
        <references count="1">
          <reference field="8" count="1" defaultSubtotal="1">
            <x v="2"/>
          </reference>
        </references>
      </pivotArea>
    </format>
    <format dxfId="342">
      <pivotArea dataOnly="0" labelOnly="1" grandCol="1" outline="0" fieldPosition="0"/>
    </format>
    <format dxfId="341">
      <pivotArea dataOnly="0" labelOnly="1" fieldPosition="0">
        <references count="2">
          <reference field="8" count="1" selected="0">
            <x v="2"/>
          </reference>
          <reference field="11" count="3">
            <x v="4"/>
            <x v="5"/>
            <x v="6"/>
          </reference>
        </references>
      </pivotArea>
    </format>
    <format dxfId="340">
      <pivotArea collapsedLevelsAreSubtotals="1" fieldPosition="0">
        <references count="3">
          <reference field="0" count="1">
            <x v="1"/>
          </reference>
          <reference field="8" count="1" selected="0">
            <x v="1"/>
          </reference>
          <reference field="11" count="1" selected="0">
            <x v="4"/>
          </reference>
        </references>
      </pivotArea>
    </format>
    <format dxfId="339">
      <pivotArea collapsedLevelsAreSubtotals="1" fieldPosition="0">
        <references count="3">
          <reference field="0" count="1">
            <x v="1"/>
          </reference>
          <reference field="8" count="1" selected="0">
            <x v="1"/>
          </reference>
          <reference field="11" count="1" selected="0">
            <x v="16"/>
          </reference>
        </references>
      </pivotArea>
    </format>
    <format dxfId="338">
      <pivotArea collapsedLevelsAreSubtotals="1" fieldPosition="0">
        <references count="3">
          <reference field="0" count="1">
            <x v="1"/>
          </reference>
          <reference field="8" count="1" selected="0">
            <x v="2"/>
          </reference>
          <reference field="11" count="1" selected="0">
            <x v="4"/>
          </reference>
        </references>
      </pivotArea>
    </format>
    <format dxfId="337">
      <pivotArea outline="0" collapsedLevelsAreSubtotals="1" fieldPosition="0"/>
    </format>
    <format dxfId="336">
      <pivotArea dataOnly="0" labelOnly="1" fieldPosition="0">
        <references count="1">
          <reference field="0" count="5">
            <x v="0"/>
            <x v="1"/>
            <x v="2"/>
            <x v="3"/>
            <x v="7"/>
          </reference>
        </references>
      </pivotArea>
    </format>
    <format dxfId="335">
      <pivotArea dataOnly="0" labelOnly="1" grandRow="1" outline="0" fieldPosition="0"/>
    </format>
    <format dxfId="334">
      <pivotArea collapsedLevelsAreSubtotals="1" fieldPosition="0">
        <references count="3">
          <reference field="0" count="1">
            <x v="1"/>
          </reference>
          <reference field="8" count="1" selected="0">
            <x v="2"/>
          </reference>
          <reference field="11" count="1" selected="0">
            <x v="17"/>
          </reference>
        </references>
      </pivotArea>
    </format>
    <format dxfId="333">
      <pivotArea collapsedLevelsAreSubtotals="1" fieldPosition="0">
        <references count="3">
          <reference field="0" count="1">
            <x v="1"/>
          </reference>
          <reference field="8" count="1" selected="0">
            <x v="1"/>
          </reference>
          <reference field="11" count="1" selected="0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Total" tag=" +[@'E4!.2o]" updatedVersion="5" minRefreshableVersion="3" useAutoFormatting="1" itemPrintTitles="1" createdVersion="5" indent="0" outline="1" outlineData="1" multipleFieldFilters="0">
  <location ref="A3:G13" firstHeaderRow="1" firstDataRow="2" firstDataCol="1" rowPageCount="1" colPageCount="1"/>
  <pivotFields count="29">
    <pivotField axis="axisRow" showAll="0">
      <items count="9">
        <item sd="0" x="0"/>
        <item x="4"/>
        <item sd="0" x="3"/>
        <item sd="0" x="1"/>
        <item sd="0" m="1" x="7"/>
        <item sd="0" m="1" x="6"/>
        <item x="5"/>
        <item sd="0" x="2"/>
        <item t="default"/>
      </items>
    </pivotField>
    <pivotField showAll="0"/>
    <pivotField showAll="0" defaultSubtotal="0"/>
    <pivotField showAll="0"/>
    <pivotField showAll="0"/>
    <pivotField showAll="0"/>
    <pivotField showAll="0"/>
    <pivotField axis="axisPage" showAll="0">
      <items count="9">
        <item x="2"/>
        <item x="5"/>
        <item x="4"/>
        <item x="0"/>
        <item x="1"/>
        <item m="1" x="7"/>
        <item x="6"/>
        <item x="3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n="Ready" x="0"/>
        <item x="3"/>
        <item n="Pending" x="1"/>
        <item x="4"/>
        <item x="2"/>
        <item t="default"/>
      </items>
    </pivotField>
    <pivotField showAll="0"/>
    <pivotField showAll="0"/>
  </pivotFields>
  <rowFields count="2">
    <field x="0"/>
    <field x="8"/>
  </rowFields>
  <rowItems count="9">
    <i>
      <x/>
    </i>
    <i>
      <x v="1"/>
    </i>
    <i r="1">
      <x/>
    </i>
    <i r="1">
      <x v="1"/>
    </i>
    <i r="1">
      <x v="2"/>
    </i>
    <i>
      <x v="2"/>
    </i>
    <i>
      <x v="3"/>
    </i>
    <i>
      <x v="7"/>
    </i>
    <i t="grand">
      <x/>
    </i>
  </rowItems>
  <colFields count="1">
    <field x="2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item="4" hier="-1"/>
  </pageFields>
  <dataFields count="1">
    <dataField name="Count of Can be used" fld="2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AC16" totalsRowShown="0">
  <autoFilter ref="A1:AC16"/>
  <tableColumns count="29">
    <tableColumn id="1" name="Site"/>
    <tableColumn id="2" name="Setup Name"/>
    <tableColumn id="3" name="Used in Run plan"/>
    <tableColumn id="4" name="Build Type"/>
    <tableColumn id="5" name="PCIe/USB"/>
    <tableColumn id="6" name="Serial"/>
    <tableColumn id="7" name="Location"/>
    <tableColumn id="8" name="Project"/>
    <tableColumn id="9" name="SIM System"/>
    <tableColumn id="10" name="Operator Combo"/>
    <tableColumn id="11" name="RAT Combo"/>
    <tableColumn id="12" name="HW DUT"/>
    <tableColumn id="13" name="GNSS"/>
    <tableColumn id="14" name="CDMA"/>
    <tableColumn id="15" name="SUS / RA"/>
    <tableColumn id="16" name="MAC Host Name"/>
    <tableColumn id="17" name="UTT (Port)"/>
    <tableColumn id="18" name="NVM Folder"/>
    <tableColumn id="19" name="DUT SN"/>
    <tableColumn id="20" name="SIM1 Number"/>
    <tableColumn id="21" name="IMEI_1"/>
    <tableColumn id="22" name="IMEI_2"/>
    <tableColumn id="23" name="SIM2 Number"/>
    <tableColumn id="24" name="Time Stamp"/>
    <tableColumn id="25" name="LabOps"/>
    <tableColumn id="26" name="DevOps"/>
    <tableColumn id="27" name="Can be used"/>
    <tableColumn id="28" name="Ext. Status"/>
    <tableColumn id="29" name="Comme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customProperty" Target="../customProperty5.bin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/>
  <dimension ref="A1:AF1785"/>
  <sheetViews>
    <sheetView tabSelected="1" zoomScale="85" zoomScaleNormal="85" workbookViewId="0">
      <pane ySplit="1" topLeftCell="A1066" activePane="bottomLeft" state="frozen"/>
      <selection pane="bottomLeft" activeCell="AC1242" sqref="AC1242"/>
    </sheetView>
  </sheetViews>
  <sheetFormatPr defaultColWidth="8.85546875" defaultRowHeight="15" customHeight="1"/>
  <cols>
    <col min="1" max="1" width="11.140625" style="39" customWidth="1"/>
    <col min="2" max="2" width="15.42578125" style="39" customWidth="1"/>
    <col min="3" max="3" width="10.42578125" style="39" customWidth="1"/>
    <col min="4" max="4" width="10.140625" style="73" customWidth="1"/>
    <col min="5" max="5" width="8.7109375" style="39" customWidth="1"/>
    <col min="6" max="6" width="13.140625" style="73" customWidth="1"/>
    <col min="7" max="7" width="12" style="39" customWidth="1"/>
    <col min="8" max="8" width="8.5703125" style="39" customWidth="1"/>
    <col min="9" max="9" width="12" style="39" customWidth="1"/>
    <col min="10" max="10" width="15.85546875" style="39" customWidth="1"/>
    <col min="11" max="11" width="12.85546875" style="73" customWidth="1"/>
    <col min="12" max="12" width="13.85546875" style="39" bestFit="1" customWidth="1"/>
    <col min="13" max="13" width="10.42578125" style="39" customWidth="1"/>
    <col min="14" max="14" width="8.5703125" style="39" customWidth="1"/>
    <col min="15" max="15" width="9.42578125" style="39" customWidth="1"/>
    <col min="16" max="16" width="23.85546875" style="73" customWidth="1"/>
    <col min="17" max="17" width="12.42578125" style="73" customWidth="1"/>
    <col min="18" max="18" width="29.42578125" style="240" customWidth="1"/>
    <col min="19" max="19" width="32.85546875" style="39" customWidth="1"/>
    <col min="20" max="20" width="22.85546875" style="224" customWidth="1"/>
    <col min="21" max="21" width="21.42578125" style="104" customWidth="1"/>
    <col min="22" max="22" width="16.140625" style="104" customWidth="1"/>
    <col min="23" max="23" width="11" style="224" customWidth="1"/>
    <col min="24" max="24" width="9.5703125" style="150" customWidth="1"/>
    <col min="25" max="25" width="12" style="39" customWidth="1"/>
    <col min="26" max="26" width="12.42578125" style="39" customWidth="1"/>
    <col min="27" max="27" width="18.140625" style="39" customWidth="1"/>
    <col min="28" max="28" width="18.85546875" style="39" customWidth="1"/>
    <col min="29" max="29" width="95" style="177" customWidth="1"/>
    <col min="30" max="16384" width="8.85546875" style="41"/>
  </cols>
  <sheetData>
    <row r="1" spans="1:29" ht="36" customHeight="1">
      <c r="A1" s="505" t="s">
        <v>1216</v>
      </c>
      <c r="B1" s="505" t="s">
        <v>1</v>
      </c>
      <c r="C1" s="505" t="s">
        <v>2757</v>
      </c>
      <c r="D1" s="505" t="s">
        <v>11</v>
      </c>
      <c r="E1" s="505" t="s">
        <v>2</v>
      </c>
      <c r="F1" s="71" t="s">
        <v>3</v>
      </c>
      <c r="G1" s="42" t="s">
        <v>4</v>
      </c>
      <c r="H1" s="506" t="s">
        <v>5</v>
      </c>
      <c r="I1" s="506" t="s">
        <v>6</v>
      </c>
      <c r="J1" s="506" t="s">
        <v>2762</v>
      </c>
      <c r="K1" s="506" t="s">
        <v>2763</v>
      </c>
      <c r="L1" s="506" t="s">
        <v>9</v>
      </c>
      <c r="M1" s="42" t="s">
        <v>7</v>
      </c>
      <c r="N1" s="42" t="s">
        <v>8</v>
      </c>
      <c r="O1" s="106" t="s">
        <v>2764</v>
      </c>
      <c r="P1" s="161" t="s">
        <v>2748</v>
      </c>
      <c r="Q1" s="161" t="s">
        <v>2257</v>
      </c>
      <c r="R1" s="239" t="s">
        <v>2480</v>
      </c>
      <c r="S1" s="178" t="s">
        <v>10</v>
      </c>
      <c r="T1" s="222" t="s">
        <v>2022</v>
      </c>
      <c r="U1" s="103" t="s">
        <v>2023</v>
      </c>
      <c r="V1" s="103" t="s">
        <v>2352</v>
      </c>
      <c r="W1" s="222" t="s">
        <v>2353</v>
      </c>
      <c r="X1" s="148" t="s">
        <v>12</v>
      </c>
      <c r="Y1" s="506" t="s">
        <v>13</v>
      </c>
      <c r="Z1" s="507" t="s">
        <v>14</v>
      </c>
      <c r="AA1" s="507" t="s">
        <v>2478</v>
      </c>
      <c r="AB1" s="507" t="s">
        <v>2892</v>
      </c>
      <c r="AC1" s="508" t="s">
        <v>15</v>
      </c>
    </row>
    <row r="2" spans="1:29" ht="15" hidden="1" customHeight="1">
      <c r="A2" s="43" t="s">
        <v>0</v>
      </c>
      <c r="B2" s="43" t="s">
        <v>16</v>
      </c>
      <c r="C2" s="43" t="s">
        <v>27</v>
      </c>
      <c r="D2" s="43" t="s">
        <v>2759</v>
      </c>
      <c r="E2" s="43" t="s">
        <v>17</v>
      </c>
      <c r="F2" s="44" t="s">
        <v>18</v>
      </c>
      <c r="G2" s="45" t="s">
        <v>19</v>
      </c>
      <c r="H2" s="43" t="s">
        <v>20</v>
      </c>
      <c r="I2" s="43" t="s">
        <v>21</v>
      </c>
      <c r="J2" s="43" t="s">
        <v>24</v>
      </c>
      <c r="K2" s="43" t="s">
        <v>26</v>
      </c>
      <c r="L2" s="43" t="s">
        <v>23</v>
      </c>
      <c r="M2" s="43" t="s">
        <v>22</v>
      </c>
      <c r="N2" s="43" t="s">
        <v>22</v>
      </c>
      <c r="O2" s="43" t="s">
        <v>3639</v>
      </c>
      <c r="P2" s="43"/>
      <c r="Q2" s="43">
        <v>40135</v>
      </c>
      <c r="R2" s="43"/>
      <c r="S2" s="43"/>
      <c r="T2" s="43">
        <v>7338636158</v>
      </c>
      <c r="U2" s="40">
        <v>440152237430</v>
      </c>
      <c r="V2" s="40"/>
      <c r="W2" s="40"/>
      <c r="X2" s="75">
        <v>43195</v>
      </c>
      <c r="Y2" s="45" t="s">
        <v>27</v>
      </c>
      <c r="Z2" s="45" t="s">
        <v>27</v>
      </c>
      <c r="AA2" s="45" t="s">
        <v>27</v>
      </c>
      <c r="AB2" s="45"/>
      <c r="AC2" s="169"/>
    </row>
    <row r="3" spans="1:29" ht="15" hidden="1" customHeight="1">
      <c r="A3" s="43" t="s">
        <v>0</v>
      </c>
      <c r="B3" s="43" t="s">
        <v>28</v>
      </c>
      <c r="C3" s="43" t="s">
        <v>22</v>
      </c>
      <c r="D3" s="43" t="s">
        <v>25</v>
      </c>
      <c r="E3" s="43" t="s">
        <v>17</v>
      </c>
      <c r="F3" s="43" t="s">
        <v>29</v>
      </c>
      <c r="G3" s="43"/>
      <c r="H3" s="43" t="s">
        <v>20</v>
      </c>
      <c r="I3" s="43" t="s">
        <v>21</v>
      </c>
      <c r="J3" s="43" t="s">
        <v>500</v>
      </c>
      <c r="K3" s="43" t="s">
        <v>26</v>
      </c>
      <c r="L3" s="43" t="s">
        <v>211</v>
      </c>
      <c r="M3" s="43" t="s">
        <v>22</v>
      </c>
      <c r="N3" s="43" t="s">
        <v>22</v>
      </c>
      <c r="O3" s="43"/>
      <c r="P3" s="43"/>
      <c r="Q3" s="43">
        <v>40136</v>
      </c>
      <c r="R3" s="43"/>
      <c r="S3" s="43"/>
      <c r="T3" s="54">
        <v>9513471195</v>
      </c>
      <c r="U3" s="47">
        <v>440152218141</v>
      </c>
      <c r="V3" s="47"/>
      <c r="W3" s="47">
        <v>7349781107</v>
      </c>
      <c r="X3" s="75">
        <v>43195</v>
      </c>
      <c r="Y3" s="45" t="s">
        <v>27</v>
      </c>
      <c r="Z3" s="45" t="s">
        <v>27</v>
      </c>
      <c r="AA3" s="45" t="s">
        <v>27</v>
      </c>
      <c r="AB3" s="45"/>
      <c r="AC3" s="169" t="s">
        <v>4410</v>
      </c>
    </row>
    <row r="4" spans="1:29" ht="15" hidden="1" customHeight="1">
      <c r="A4" s="43" t="s">
        <v>0</v>
      </c>
      <c r="B4" s="43" t="s">
        <v>34</v>
      </c>
      <c r="C4" s="43" t="s">
        <v>22</v>
      </c>
      <c r="D4" s="43"/>
      <c r="E4" s="43" t="s">
        <v>5533</v>
      </c>
      <c r="F4" s="43" t="s">
        <v>35</v>
      </c>
      <c r="G4" s="43"/>
      <c r="H4" s="43" t="s">
        <v>20</v>
      </c>
      <c r="I4" s="43" t="s">
        <v>21</v>
      </c>
      <c r="J4" s="43" t="s">
        <v>500</v>
      </c>
      <c r="K4" s="43" t="s">
        <v>26</v>
      </c>
      <c r="L4" s="43" t="s">
        <v>31</v>
      </c>
      <c r="M4" s="43" t="s">
        <v>22</v>
      </c>
      <c r="N4" s="43" t="s">
        <v>22</v>
      </c>
      <c r="O4" s="43"/>
      <c r="P4" s="43"/>
      <c r="Q4" s="43">
        <v>40140</v>
      </c>
      <c r="R4" s="43"/>
      <c r="S4" s="43"/>
      <c r="T4" s="54">
        <v>8660690674</v>
      </c>
      <c r="U4" s="47">
        <v>440152219698</v>
      </c>
      <c r="V4" s="47"/>
      <c r="W4" s="47">
        <v>7625047643</v>
      </c>
      <c r="X4" s="75">
        <v>43195</v>
      </c>
      <c r="Y4" s="45" t="s">
        <v>27</v>
      </c>
      <c r="Z4" s="45" t="s">
        <v>27</v>
      </c>
      <c r="AA4" s="45" t="s">
        <v>22</v>
      </c>
      <c r="AB4" s="45" t="s">
        <v>2475</v>
      </c>
      <c r="AC4" s="169" t="s">
        <v>1688</v>
      </c>
    </row>
    <row r="5" spans="1:29" ht="15" hidden="1" customHeight="1">
      <c r="A5" s="43" t="s">
        <v>0</v>
      </c>
      <c r="B5" s="43" t="s">
        <v>39</v>
      </c>
      <c r="C5" s="43" t="s">
        <v>27</v>
      </c>
      <c r="D5" s="43" t="s">
        <v>2758</v>
      </c>
      <c r="E5" s="43" t="s">
        <v>17</v>
      </c>
      <c r="F5" s="43" t="s">
        <v>40</v>
      </c>
      <c r="G5" s="43" t="s">
        <v>41</v>
      </c>
      <c r="H5" s="43" t="s">
        <v>20</v>
      </c>
      <c r="I5" s="43" t="s">
        <v>60</v>
      </c>
      <c r="J5" s="43" t="s">
        <v>3671</v>
      </c>
      <c r="K5" s="44" t="s">
        <v>3663</v>
      </c>
      <c r="L5" s="43" t="s">
        <v>211</v>
      </c>
      <c r="M5" s="43" t="s">
        <v>22</v>
      </c>
      <c r="N5" s="43" t="s">
        <v>22</v>
      </c>
      <c r="O5" s="43"/>
      <c r="P5" s="43"/>
      <c r="Q5" s="43">
        <v>40141</v>
      </c>
      <c r="R5" s="43"/>
      <c r="S5" s="43"/>
      <c r="T5" s="54">
        <v>7625046463</v>
      </c>
      <c r="U5" s="47">
        <v>440152237427</v>
      </c>
      <c r="V5" s="47"/>
      <c r="W5" s="47">
        <v>7625047669</v>
      </c>
      <c r="X5" s="75">
        <v>43195</v>
      </c>
      <c r="Y5" s="45" t="s">
        <v>27</v>
      </c>
      <c r="Z5" s="45" t="s">
        <v>27</v>
      </c>
      <c r="AA5" s="45" t="s">
        <v>27</v>
      </c>
      <c r="AB5" s="45"/>
      <c r="AC5" s="169"/>
    </row>
    <row r="6" spans="1:29" ht="15" hidden="1" customHeight="1">
      <c r="A6" s="46" t="s">
        <v>0</v>
      </c>
      <c r="B6" s="46" t="s">
        <v>42</v>
      </c>
      <c r="C6" s="46" t="s">
        <v>22</v>
      </c>
      <c r="D6" s="43"/>
      <c r="E6" s="43" t="s">
        <v>17</v>
      </c>
      <c r="F6" s="44" t="s">
        <v>43</v>
      </c>
      <c r="G6" s="44"/>
      <c r="H6" s="44" t="s">
        <v>20</v>
      </c>
      <c r="I6" s="43"/>
      <c r="J6" s="43"/>
      <c r="K6" s="44"/>
      <c r="L6" s="43"/>
      <c r="M6" s="43"/>
      <c r="N6" s="43"/>
      <c r="O6" s="43"/>
      <c r="P6" s="43"/>
      <c r="Q6" s="43">
        <v>40142</v>
      </c>
      <c r="R6" s="43"/>
      <c r="S6" s="43"/>
      <c r="T6" s="43"/>
      <c r="U6" s="47"/>
      <c r="V6" s="47"/>
      <c r="W6" s="47"/>
      <c r="X6" s="75"/>
      <c r="Y6" s="45" t="s">
        <v>22</v>
      </c>
      <c r="Z6" s="45" t="s">
        <v>22</v>
      </c>
      <c r="AA6" s="45" t="s">
        <v>22</v>
      </c>
      <c r="AB6" s="45" t="s">
        <v>2473</v>
      </c>
      <c r="AC6" s="169" t="s">
        <v>2295</v>
      </c>
    </row>
    <row r="7" spans="1:29" ht="15" hidden="1" customHeight="1">
      <c r="A7" s="43" t="s">
        <v>0</v>
      </c>
      <c r="B7" s="43" t="s">
        <v>44</v>
      </c>
      <c r="C7" s="43" t="s">
        <v>27</v>
      </c>
      <c r="D7" s="43" t="s">
        <v>2758</v>
      </c>
      <c r="E7" s="43" t="s">
        <v>17</v>
      </c>
      <c r="F7" s="43" t="s">
        <v>45</v>
      </c>
      <c r="G7" s="43" t="s">
        <v>46</v>
      </c>
      <c r="H7" s="43" t="s">
        <v>20</v>
      </c>
      <c r="I7" s="43" t="s">
        <v>60</v>
      </c>
      <c r="J7" s="44" t="s">
        <v>3679</v>
      </c>
      <c r="K7" s="95" t="s">
        <v>3664</v>
      </c>
      <c r="L7" s="43" t="s">
        <v>211</v>
      </c>
      <c r="M7" s="43" t="s">
        <v>22</v>
      </c>
      <c r="N7" s="43" t="s">
        <v>22</v>
      </c>
      <c r="O7" s="43"/>
      <c r="P7" s="43"/>
      <c r="Q7" s="43">
        <v>40143</v>
      </c>
      <c r="R7" s="43"/>
      <c r="S7" s="43"/>
      <c r="T7" s="54">
        <v>9513388335</v>
      </c>
      <c r="U7" s="47">
        <v>440152238922</v>
      </c>
      <c r="V7" s="47"/>
      <c r="W7" s="47">
        <v>7349781093</v>
      </c>
      <c r="X7" s="75">
        <v>43195</v>
      </c>
      <c r="Y7" s="45" t="s">
        <v>27</v>
      </c>
      <c r="Z7" s="45" t="s">
        <v>27</v>
      </c>
      <c r="AA7" s="45" t="s">
        <v>27</v>
      </c>
      <c r="AB7" s="45"/>
      <c r="AC7" s="169"/>
    </row>
    <row r="8" spans="1:29" ht="15" customHeight="1">
      <c r="A8" s="43" t="s">
        <v>0</v>
      </c>
      <c r="B8" s="43" t="s">
        <v>47</v>
      </c>
      <c r="C8" s="43" t="s">
        <v>27</v>
      </c>
      <c r="D8" s="43" t="s">
        <v>2761</v>
      </c>
      <c r="E8" s="43" t="s">
        <v>17</v>
      </c>
      <c r="F8" s="43" t="s">
        <v>48</v>
      </c>
      <c r="G8" s="43" t="s">
        <v>49</v>
      </c>
      <c r="H8" s="43" t="s">
        <v>3084</v>
      </c>
      <c r="I8" s="43" t="s">
        <v>21</v>
      </c>
      <c r="J8" s="43" t="s">
        <v>37</v>
      </c>
      <c r="K8" s="43" t="s">
        <v>337</v>
      </c>
      <c r="L8" s="43" t="s">
        <v>5368</v>
      </c>
      <c r="M8" s="43" t="s">
        <v>22</v>
      </c>
      <c r="N8" s="43" t="s">
        <v>22</v>
      </c>
      <c r="O8" s="43" t="s">
        <v>3639</v>
      </c>
      <c r="P8" s="43"/>
      <c r="Q8" s="43">
        <v>40144</v>
      </c>
      <c r="R8" s="43"/>
      <c r="S8" s="43"/>
      <c r="T8" s="43">
        <v>7899716567</v>
      </c>
      <c r="U8" s="47">
        <v>440152237452</v>
      </c>
      <c r="V8" s="47"/>
      <c r="W8" s="47"/>
      <c r="X8" s="75">
        <v>43195</v>
      </c>
      <c r="Y8" s="45" t="s">
        <v>27</v>
      </c>
      <c r="Z8" s="45" t="s">
        <v>27</v>
      </c>
      <c r="AA8" s="45" t="s">
        <v>27</v>
      </c>
      <c r="AB8" s="45"/>
      <c r="AC8" s="51" t="s">
        <v>6863</v>
      </c>
    </row>
    <row r="9" spans="1:29" ht="15" hidden="1" customHeight="1">
      <c r="A9" s="43" t="s">
        <v>0</v>
      </c>
      <c r="B9" s="43" t="s">
        <v>50</v>
      </c>
      <c r="C9" s="43" t="s">
        <v>27</v>
      </c>
      <c r="D9" s="43" t="s">
        <v>2760</v>
      </c>
      <c r="E9" s="43" t="s">
        <v>17</v>
      </c>
      <c r="F9" s="43" t="s">
        <v>51</v>
      </c>
      <c r="G9" s="43" t="s">
        <v>52</v>
      </c>
      <c r="H9" s="43" t="s">
        <v>20</v>
      </c>
      <c r="I9" s="43" t="s">
        <v>21</v>
      </c>
      <c r="J9" s="43" t="s">
        <v>24</v>
      </c>
      <c r="K9" s="43" t="s">
        <v>26</v>
      </c>
      <c r="L9" s="43" t="s">
        <v>211</v>
      </c>
      <c r="M9" s="43" t="s">
        <v>22</v>
      </c>
      <c r="N9" s="43" t="s">
        <v>22</v>
      </c>
      <c r="O9" s="43"/>
      <c r="P9" s="43"/>
      <c r="Q9" s="43">
        <v>40145</v>
      </c>
      <c r="R9" s="43"/>
      <c r="S9" s="43"/>
      <c r="T9" s="43">
        <v>7625036346</v>
      </c>
      <c r="U9" s="47">
        <v>440152239963</v>
      </c>
      <c r="V9" s="47"/>
      <c r="W9" s="47"/>
      <c r="X9" s="75">
        <v>43195</v>
      </c>
      <c r="Y9" s="45" t="s">
        <v>27</v>
      </c>
      <c r="Z9" s="45" t="s">
        <v>27</v>
      </c>
      <c r="AA9" s="45" t="s">
        <v>27</v>
      </c>
      <c r="AB9" s="45"/>
      <c r="AC9" s="169"/>
    </row>
    <row r="10" spans="1:29" ht="15" hidden="1" customHeight="1">
      <c r="A10" s="43" t="s">
        <v>0</v>
      </c>
      <c r="B10" s="43" t="s">
        <v>53</v>
      </c>
      <c r="C10" s="43" t="s">
        <v>27</v>
      </c>
      <c r="D10" s="43" t="s">
        <v>2759</v>
      </c>
      <c r="E10" s="43" t="s">
        <v>17</v>
      </c>
      <c r="F10" s="43" t="s">
        <v>54</v>
      </c>
      <c r="G10" s="43" t="s">
        <v>55</v>
      </c>
      <c r="H10" s="43" t="s">
        <v>20</v>
      </c>
      <c r="I10" s="43" t="s">
        <v>21</v>
      </c>
      <c r="J10" s="43" t="s">
        <v>3669</v>
      </c>
      <c r="K10" s="43" t="s">
        <v>26</v>
      </c>
      <c r="L10" s="43" t="s">
        <v>211</v>
      </c>
      <c r="M10" s="43" t="s">
        <v>22</v>
      </c>
      <c r="N10" s="43" t="s">
        <v>22</v>
      </c>
      <c r="O10" s="43" t="s">
        <v>3639</v>
      </c>
      <c r="P10" s="43"/>
      <c r="Q10" s="43">
        <v>40146</v>
      </c>
      <c r="R10" s="43"/>
      <c r="S10" s="43"/>
      <c r="T10" s="43">
        <v>7349334951</v>
      </c>
      <c r="U10" s="48" t="s">
        <v>56</v>
      </c>
      <c r="V10" s="48"/>
      <c r="W10" s="48"/>
      <c r="X10" s="75">
        <v>43195</v>
      </c>
      <c r="Y10" s="45" t="s">
        <v>27</v>
      </c>
      <c r="Z10" s="45" t="s">
        <v>27</v>
      </c>
      <c r="AA10" s="45" t="s">
        <v>27</v>
      </c>
      <c r="AB10" s="45"/>
      <c r="AC10" s="169"/>
    </row>
    <row r="11" spans="1:29" ht="15" hidden="1" customHeight="1">
      <c r="A11" s="44" t="s">
        <v>0</v>
      </c>
      <c r="B11" s="44" t="s">
        <v>57</v>
      </c>
      <c r="C11" s="51" t="s">
        <v>27</v>
      </c>
      <c r="D11" s="43" t="s">
        <v>2758</v>
      </c>
      <c r="E11" s="43" t="s">
        <v>17</v>
      </c>
      <c r="F11" s="44" t="s">
        <v>58</v>
      </c>
      <c r="G11" s="44" t="s">
        <v>59</v>
      </c>
      <c r="H11" s="44" t="s">
        <v>20</v>
      </c>
      <c r="I11" s="43" t="s">
        <v>60</v>
      </c>
      <c r="J11" s="43" t="s">
        <v>3680</v>
      </c>
      <c r="K11" s="44" t="s">
        <v>3663</v>
      </c>
      <c r="L11" s="43" t="s">
        <v>211</v>
      </c>
      <c r="M11" s="43" t="s">
        <v>27</v>
      </c>
      <c r="N11" s="43" t="s">
        <v>22</v>
      </c>
      <c r="O11" s="43"/>
      <c r="P11" s="109"/>
      <c r="Q11" s="109" t="s">
        <v>2258</v>
      </c>
      <c r="R11" s="43"/>
      <c r="S11" s="43"/>
      <c r="T11" s="43">
        <v>9916367897</v>
      </c>
      <c r="U11" s="47">
        <v>440152218141</v>
      </c>
      <c r="V11" s="47"/>
      <c r="W11" s="47"/>
      <c r="X11" s="75">
        <v>43195</v>
      </c>
      <c r="Y11" s="45" t="s">
        <v>27</v>
      </c>
      <c r="Z11" s="45" t="s">
        <v>27</v>
      </c>
      <c r="AA11" s="45" t="s">
        <v>27</v>
      </c>
      <c r="AB11" s="45"/>
      <c r="AC11" s="169"/>
    </row>
    <row r="12" spans="1:29" ht="15" hidden="1" customHeight="1">
      <c r="A12" s="43" t="s">
        <v>0</v>
      </c>
      <c r="B12" s="43" t="s">
        <v>62</v>
      </c>
      <c r="C12" s="43" t="s">
        <v>22</v>
      </c>
      <c r="D12" s="43"/>
      <c r="E12" s="43" t="s">
        <v>17</v>
      </c>
      <c r="F12" s="43" t="s">
        <v>63</v>
      </c>
      <c r="G12" s="43"/>
      <c r="H12" s="43" t="s">
        <v>20</v>
      </c>
      <c r="I12" s="44" t="s">
        <v>21</v>
      </c>
      <c r="J12" s="43"/>
      <c r="K12" s="43"/>
      <c r="L12" s="43"/>
      <c r="M12" s="44"/>
      <c r="N12" s="43"/>
      <c r="O12" s="43"/>
      <c r="P12" s="43"/>
      <c r="Q12" s="43">
        <v>40149</v>
      </c>
      <c r="R12" s="43"/>
      <c r="S12" s="43"/>
      <c r="T12" s="43"/>
      <c r="U12" s="47"/>
      <c r="V12" s="47"/>
      <c r="W12" s="47"/>
      <c r="X12" s="75"/>
      <c r="Y12" s="45" t="s">
        <v>22</v>
      </c>
      <c r="Z12" s="45" t="s">
        <v>22</v>
      </c>
      <c r="AA12" s="45" t="s">
        <v>22</v>
      </c>
      <c r="AB12" s="45" t="s">
        <v>2473</v>
      </c>
      <c r="AC12" s="169" t="s">
        <v>2295</v>
      </c>
    </row>
    <row r="13" spans="1:29" ht="15" customHeight="1">
      <c r="A13" s="43" t="s">
        <v>0</v>
      </c>
      <c r="B13" s="43" t="s">
        <v>64</v>
      </c>
      <c r="C13" s="43" t="s">
        <v>27</v>
      </c>
      <c r="D13" s="43" t="s">
        <v>2759</v>
      </c>
      <c r="E13" s="43" t="s">
        <v>17</v>
      </c>
      <c r="F13" s="43" t="s">
        <v>65</v>
      </c>
      <c r="G13" s="43" t="s">
        <v>66</v>
      </c>
      <c r="H13" s="43" t="s">
        <v>3084</v>
      </c>
      <c r="I13" s="44" t="s">
        <v>21</v>
      </c>
      <c r="J13" s="43" t="s">
        <v>24</v>
      </c>
      <c r="K13" s="43" t="s">
        <v>33</v>
      </c>
      <c r="L13" s="43" t="s">
        <v>5368</v>
      </c>
      <c r="M13" s="44" t="s">
        <v>22</v>
      </c>
      <c r="N13" s="43" t="s">
        <v>22</v>
      </c>
      <c r="O13" s="43" t="s">
        <v>3639</v>
      </c>
      <c r="P13" s="43"/>
      <c r="Q13" s="43">
        <v>40150</v>
      </c>
      <c r="R13" s="43"/>
      <c r="S13" s="43"/>
      <c r="T13" s="43">
        <v>7625036345</v>
      </c>
      <c r="U13" s="47">
        <v>440152238937</v>
      </c>
      <c r="V13" s="47"/>
      <c r="W13" s="47"/>
      <c r="X13" s="75">
        <v>43195</v>
      </c>
      <c r="Y13" s="45" t="s">
        <v>27</v>
      </c>
      <c r="Z13" s="45" t="s">
        <v>27</v>
      </c>
      <c r="AA13" s="45" t="s">
        <v>27</v>
      </c>
      <c r="AB13" s="45"/>
      <c r="AC13" s="169" t="s">
        <v>6703</v>
      </c>
    </row>
    <row r="14" spans="1:29" ht="15" hidden="1" customHeight="1">
      <c r="A14" s="43" t="s">
        <v>0</v>
      </c>
      <c r="B14" s="43" t="s">
        <v>67</v>
      </c>
      <c r="C14" s="43" t="s">
        <v>27</v>
      </c>
      <c r="D14" s="43" t="s">
        <v>2761</v>
      </c>
      <c r="E14" s="43" t="s">
        <v>17</v>
      </c>
      <c r="F14" s="43" t="s">
        <v>68</v>
      </c>
      <c r="G14" s="43" t="s">
        <v>69</v>
      </c>
      <c r="H14" s="43" t="s">
        <v>20</v>
      </c>
      <c r="I14" s="44" t="s">
        <v>21</v>
      </c>
      <c r="J14" s="43" t="s">
        <v>24</v>
      </c>
      <c r="K14" s="43" t="s">
        <v>26</v>
      </c>
      <c r="L14" s="43" t="s">
        <v>211</v>
      </c>
      <c r="M14" s="44" t="s">
        <v>22</v>
      </c>
      <c r="N14" s="43" t="s">
        <v>22</v>
      </c>
      <c r="O14" s="43" t="s">
        <v>3639</v>
      </c>
      <c r="P14" s="43"/>
      <c r="Q14" s="43">
        <v>40151</v>
      </c>
      <c r="R14" s="43"/>
      <c r="S14" s="43"/>
      <c r="T14" s="43">
        <v>9945617637</v>
      </c>
      <c r="U14" s="47">
        <v>440152237453</v>
      </c>
      <c r="V14" s="47"/>
      <c r="W14" s="47"/>
      <c r="X14" s="75">
        <v>43195</v>
      </c>
      <c r="Y14" s="45" t="s">
        <v>27</v>
      </c>
      <c r="Z14" s="45" t="s">
        <v>27</v>
      </c>
      <c r="AA14" s="45" t="s">
        <v>27</v>
      </c>
      <c r="AB14" s="45"/>
      <c r="AC14" s="169"/>
    </row>
    <row r="15" spans="1:29" ht="15" hidden="1" customHeight="1">
      <c r="A15" s="43" t="s">
        <v>0</v>
      </c>
      <c r="B15" s="43" t="s">
        <v>70</v>
      </c>
      <c r="C15" s="43"/>
      <c r="D15" s="43"/>
      <c r="E15" s="43" t="s">
        <v>17</v>
      </c>
      <c r="F15" s="43" t="s">
        <v>71</v>
      </c>
      <c r="G15" s="43" t="s">
        <v>72</v>
      </c>
      <c r="H15" s="43" t="s">
        <v>96</v>
      </c>
      <c r="I15" s="44" t="s">
        <v>21</v>
      </c>
      <c r="J15" s="43" t="s">
        <v>24</v>
      </c>
      <c r="K15" s="43" t="s">
        <v>26</v>
      </c>
      <c r="L15" s="43" t="s">
        <v>97</v>
      </c>
      <c r="M15" s="44" t="s">
        <v>22</v>
      </c>
      <c r="N15" s="43" t="s">
        <v>22</v>
      </c>
      <c r="O15" s="43"/>
      <c r="P15" s="43"/>
      <c r="Q15" s="43"/>
      <c r="R15" s="43"/>
      <c r="S15" s="43"/>
      <c r="T15" s="43">
        <v>7349781069</v>
      </c>
      <c r="U15" s="47">
        <v>354999010649999</v>
      </c>
      <c r="V15" s="47"/>
      <c r="W15" s="47"/>
      <c r="X15" s="75">
        <v>43195</v>
      </c>
      <c r="Y15" s="45" t="s">
        <v>27</v>
      </c>
      <c r="Z15" s="45" t="s">
        <v>27</v>
      </c>
      <c r="AA15" s="45" t="s">
        <v>27</v>
      </c>
      <c r="AB15" s="45"/>
      <c r="AC15" s="169"/>
    </row>
    <row r="16" spans="1:29" ht="15" hidden="1" customHeight="1">
      <c r="A16" s="44" t="s">
        <v>0</v>
      </c>
      <c r="B16" s="44" t="s">
        <v>73</v>
      </c>
      <c r="C16" s="44"/>
      <c r="D16" s="43"/>
      <c r="E16" s="43" t="s">
        <v>17</v>
      </c>
      <c r="F16" s="44" t="s">
        <v>74</v>
      </c>
      <c r="G16" s="44"/>
      <c r="H16" s="44"/>
      <c r="I16" s="44"/>
      <c r="J16" s="43"/>
      <c r="K16" s="44" t="s">
        <v>61</v>
      </c>
      <c r="L16" s="43"/>
      <c r="M16" s="44"/>
      <c r="N16" s="43"/>
      <c r="O16" s="43"/>
      <c r="P16" s="43"/>
      <c r="Q16" s="43"/>
      <c r="R16" s="43"/>
      <c r="S16" s="43"/>
      <c r="T16" s="43"/>
      <c r="U16" s="47"/>
      <c r="V16" s="47"/>
      <c r="W16" s="47"/>
      <c r="X16" s="76"/>
      <c r="Y16" s="45"/>
      <c r="Z16" s="45"/>
      <c r="AA16" s="45"/>
      <c r="AB16" s="45"/>
      <c r="AC16" s="169" t="s">
        <v>1792</v>
      </c>
    </row>
    <row r="17" spans="1:29" ht="15" hidden="1" customHeight="1">
      <c r="A17" s="44" t="s">
        <v>0</v>
      </c>
      <c r="B17" s="44" t="s">
        <v>75</v>
      </c>
      <c r="C17" s="44" t="s">
        <v>27</v>
      </c>
      <c r="D17" s="43" t="s">
        <v>2761</v>
      </c>
      <c r="E17" s="43" t="s">
        <v>17</v>
      </c>
      <c r="F17" s="44" t="s">
        <v>2270</v>
      </c>
      <c r="G17" s="44" t="s">
        <v>76</v>
      </c>
      <c r="H17" s="44" t="s">
        <v>20</v>
      </c>
      <c r="I17" s="43" t="s">
        <v>21</v>
      </c>
      <c r="J17" s="43" t="s">
        <v>24</v>
      </c>
      <c r="K17" s="43" t="s">
        <v>26</v>
      </c>
      <c r="L17" s="43" t="s">
        <v>211</v>
      </c>
      <c r="M17" s="43" t="s">
        <v>22</v>
      </c>
      <c r="N17" s="43" t="s">
        <v>22</v>
      </c>
      <c r="O17" s="43" t="s">
        <v>3639</v>
      </c>
      <c r="P17" s="43"/>
      <c r="Q17" s="43">
        <v>40154</v>
      </c>
      <c r="R17" s="43"/>
      <c r="S17" s="43"/>
      <c r="T17" s="43">
        <v>7338636157</v>
      </c>
      <c r="U17" s="47">
        <v>440152238923</v>
      </c>
      <c r="V17" s="47"/>
      <c r="W17" s="47"/>
      <c r="X17" s="75">
        <v>43195</v>
      </c>
      <c r="Y17" s="45" t="s">
        <v>27</v>
      </c>
      <c r="Z17" s="45" t="s">
        <v>27</v>
      </c>
      <c r="AA17" s="45" t="s">
        <v>27</v>
      </c>
      <c r="AB17" s="45"/>
      <c r="AC17" s="169"/>
    </row>
    <row r="18" spans="1:29" ht="15" hidden="1" customHeight="1">
      <c r="A18" s="44" t="s">
        <v>0</v>
      </c>
      <c r="B18" s="44" t="s">
        <v>77</v>
      </c>
      <c r="C18" s="51" t="s">
        <v>27</v>
      </c>
      <c r="D18" s="43" t="s">
        <v>2758</v>
      </c>
      <c r="E18" s="43" t="s">
        <v>17</v>
      </c>
      <c r="F18" s="44" t="s">
        <v>78</v>
      </c>
      <c r="G18" s="44" t="s">
        <v>79</v>
      </c>
      <c r="H18" s="44" t="s">
        <v>20</v>
      </c>
      <c r="I18" s="44" t="s">
        <v>60</v>
      </c>
      <c r="J18" s="44" t="s">
        <v>3679</v>
      </c>
      <c r="K18" s="215" t="s">
        <v>3664</v>
      </c>
      <c r="L18" s="44" t="s">
        <v>211</v>
      </c>
      <c r="M18" s="44" t="s">
        <v>27</v>
      </c>
      <c r="N18" s="43" t="s">
        <v>22</v>
      </c>
      <c r="O18" s="43"/>
      <c r="P18" s="110"/>
      <c r="Q18" s="110" t="s">
        <v>38</v>
      </c>
      <c r="R18" s="44"/>
      <c r="S18" s="44"/>
      <c r="T18" s="44">
        <v>9513421189</v>
      </c>
      <c r="U18" s="49">
        <v>440152237424</v>
      </c>
      <c r="V18" s="49"/>
      <c r="W18" s="49"/>
      <c r="X18" s="75">
        <v>43195</v>
      </c>
      <c r="Y18" s="45" t="s">
        <v>27</v>
      </c>
      <c r="Z18" s="45" t="s">
        <v>27</v>
      </c>
      <c r="AA18" s="45" t="s">
        <v>27</v>
      </c>
      <c r="AB18" s="45"/>
      <c r="AC18" s="169"/>
    </row>
    <row r="19" spans="1:29" ht="15" hidden="1" customHeight="1">
      <c r="A19" s="44" t="s">
        <v>0</v>
      </c>
      <c r="B19" s="44" t="s">
        <v>80</v>
      </c>
      <c r="C19" s="51" t="s">
        <v>27</v>
      </c>
      <c r="D19" s="43" t="s">
        <v>2758</v>
      </c>
      <c r="E19" s="43" t="s">
        <v>17</v>
      </c>
      <c r="F19" s="44" t="s">
        <v>81</v>
      </c>
      <c r="G19" s="44" t="s">
        <v>82</v>
      </c>
      <c r="H19" s="44" t="s">
        <v>20</v>
      </c>
      <c r="I19" s="44" t="s">
        <v>60</v>
      </c>
      <c r="J19" s="44" t="s">
        <v>3679</v>
      </c>
      <c r="K19" s="215" t="s">
        <v>3664</v>
      </c>
      <c r="L19" s="44" t="s">
        <v>211</v>
      </c>
      <c r="M19" s="44" t="s">
        <v>27</v>
      </c>
      <c r="N19" s="43" t="s">
        <v>22</v>
      </c>
      <c r="O19" s="43"/>
      <c r="P19" s="110"/>
      <c r="Q19" s="110" t="s">
        <v>38</v>
      </c>
      <c r="R19" s="44"/>
      <c r="S19" s="44"/>
      <c r="T19" s="44">
        <v>9513388113</v>
      </c>
      <c r="U19" s="49">
        <v>440152237424</v>
      </c>
      <c r="V19" s="49"/>
      <c r="W19" s="49"/>
      <c r="X19" s="75">
        <v>43195</v>
      </c>
      <c r="Y19" s="45" t="s">
        <v>27</v>
      </c>
      <c r="Z19" s="45" t="s">
        <v>27</v>
      </c>
      <c r="AA19" s="45" t="s">
        <v>27</v>
      </c>
      <c r="AB19" s="45"/>
      <c r="AC19" s="169"/>
    </row>
    <row r="20" spans="1:29" ht="15" hidden="1" customHeight="1">
      <c r="A20" s="44" t="s">
        <v>0</v>
      </c>
      <c r="B20" s="44" t="s">
        <v>84</v>
      </c>
      <c r="C20" s="44"/>
      <c r="D20" s="43"/>
      <c r="E20" s="43" t="s">
        <v>17</v>
      </c>
      <c r="F20" s="44" t="s">
        <v>85</v>
      </c>
      <c r="G20" s="44"/>
      <c r="H20" s="44" t="s">
        <v>104</v>
      </c>
      <c r="I20" s="43"/>
      <c r="J20" s="43"/>
      <c r="K20" s="44"/>
      <c r="L20" s="43"/>
      <c r="M20" s="43"/>
      <c r="N20" s="43"/>
      <c r="O20" s="43"/>
      <c r="P20" s="43"/>
      <c r="Q20" s="43"/>
      <c r="R20" s="43"/>
      <c r="S20" s="43"/>
      <c r="T20" s="43"/>
      <c r="U20" s="47"/>
      <c r="V20" s="47"/>
      <c r="W20" s="47"/>
      <c r="X20" s="76"/>
      <c r="Y20" s="45" t="s">
        <v>22</v>
      </c>
      <c r="Z20" s="45" t="s">
        <v>22</v>
      </c>
      <c r="AA20" s="45" t="s">
        <v>22</v>
      </c>
      <c r="AB20" s="45"/>
      <c r="AC20" s="169" t="s">
        <v>2254</v>
      </c>
    </row>
    <row r="21" spans="1:29" ht="15" hidden="1" customHeight="1">
      <c r="A21" s="44" t="s">
        <v>0</v>
      </c>
      <c r="B21" s="44" t="s">
        <v>86</v>
      </c>
      <c r="C21" s="44" t="s">
        <v>22</v>
      </c>
      <c r="D21" s="43" t="s">
        <v>2760</v>
      </c>
      <c r="E21" s="43" t="s">
        <v>17</v>
      </c>
      <c r="F21" s="44" t="s">
        <v>87</v>
      </c>
      <c r="G21" s="44" t="s">
        <v>88</v>
      </c>
      <c r="H21" s="44" t="s">
        <v>20</v>
      </c>
      <c r="I21" s="44" t="s">
        <v>21</v>
      </c>
      <c r="J21" s="43" t="s">
        <v>24</v>
      </c>
      <c r="K21" s="43" t="s">
        <v>26</v>
      </c>
      <c r="L21" s="43" t="s">
        <v>211</v>
      </c>
      <c r="M21" s="44" t="s">
        <v>22</v>
      </c>
      <c r="N21" s="43" t="s">
        <v>22</v>
      </c>
      <c r="O21" s="43"/>
      <c r="P21" s="43"/>
      <c r="Q21" s="43">
        <v>40158</v>
      </c>
      <c r="R21" s="43"/>
      <c r="S21" s="43"/>
      <c r="T21" s="54">
        <v>7625036337</v>
      </c>
      <c r="U21" s="47">
        <v>440152238921</v>
      </c>
      <c r="V21" s="47"/>
      <c r="W21" s="47">
        <v>9513421196</v>
      </c>
      <c r="X21" s="75">
        <v>43195</v>
      </c>
      <c r="Y21" s="45" t="s">
        <v>27</v>
      </c>
      <c r="Z21" s="45" t="s">
        <v>27</v>
      </c>
      <c r="AA21" s="45" t="s">
        <v>27</v>
      </c>
      <c r="AB21" s="45"/>
      <c r="AC21" s="169" t="s">
        <v>4410</v>
      </c>
    </row>
    <row r="22" spans="1:29" ht="15" hidden="1" customHeight="1">
      <c r="A22" s="44" t="s">
        <v>0</v>
      </c>
      <c r="B22" s="44" t="s">
        <v>89</v>
      </c>
      <c r="C22" s="44" t="s">
        <v>27</v>
      </c>
      <c r="D22" s="43" t="s">
        <v>2761</v>
      </c>
      <c r="E22" s="43" t="s">
        <v>17</v>
      </c>
      <c r="F22" s="44" t="s">
        <v>90</v>
      </c>
      <c r="G22" s="44" t="s">
        <v>91</v>
      </c>
      <c r="H22" s="44" t="s">
        <v>20</v>
      </c>
      <c r="I22" s="44" t="s">
        <v>21</v>
      </c>
      <c r="J22" s="43" t="s">
        <v>24</v>
      </c>
      <c r="K22" s="43" t="s">
        <v>26</v>
      </c>
      <c r="L22" s="43" t="s">
        <v>211</v>
      </c>
      <c r="M22" s="44" t="s">
        <v>22</v>
      </c>
      <c r="N22" s="43" t="s">
        <v>22</v>
      </c>
      <c r="O22" s="43"/>
      <c r="P22" s="43"/>
      <c r="Q22" s="43">
        <v>40159</v>
      </c>
      <c r="R22" s="43"/>
      <c r="S22" s="43"/>
      <c r="T22" s="55">
        <v>7349781127</v>
      </c>
      <c r="U22" s="48" t="s">
        <v>92</v>
      </c>
      <c r="V22" s="47"/>
      <c r="W22" s="47"/>
      <c r="X22" s="75">
        <v>43195</v>
      </c>
      <c r="Y22" s="45" t="s">
        <v>27</v>
      </c>
      <c r="Z22" s="45" t="s">
        <v>27</v>
      </c>
      <c r="AA22" s="45" t="s">
        <v>27</v>
      </c>
      <c r="AB22" s="45"/>
      <c r="AC22" s="169"/>
    </row>
    <row r="23" spans="1:29" ht="15" hidden="1" customHeight="1">
      <c r="A23" s="44" t="s">
        <v>0</v>
      </c>
      <c r="B23" s="44" t="s">
        <v>93</v>
      </c>
      <c r="C23" s="44"/>
      <c r="D23" s="43"/>
      <c r="E23" s="43" t="s">
        <v>17</v>
      </c>
      <c r="F23" s="44" t="s">
        <v>94</v>
      </c>
      <c r="G23" s="44" t="s">
        <v>95</v>
      </c>
      <c r="H23" s="44" t="s">
        <v>96</v>
      </c>
      <c r="I23" s="44" t="s">
        <v>21</v>
      </c>
      <c r="J23" s="43" t="s">
        <v>24</v>
      </c>
      <c r="K23" s="43" t="s">
        <v>26</v>
      </c>
      <c r="L23" s="43" t="s">
        <v>97</v>
      </c>
      <c r="M23" s="44" t="s">
        <v>22</v>
      </c>
      <c r="N23" s="43" t="s">
        <v>22</v>
      </c>
      <c r="O23" s="43"/>
      <c r="P23" s="43"/>
      <c r="Q23" s="43"/>
      <c r="R23" s="43"/>
      <c r="S23" s="43"/>
      <c r="T23" s="44">
        <v>7625047640</v>
      </c>
      <c r="U23" s="47">
        <v>440152066752</v>
      </c>
      <c r="V23" s="47"/>
      <c r="W23" s="47">
        <v>7349700000</v>
      </c>
      <c r="X23" s="76">
        <v>43229</v>
      </c>
      <c r="Y23" s="45" t="s">
        <v>27</v>
      </c>
      <c r="Z23" s="45" t="s">
        <v>27</v>
      </c>
      <c r="AA23" s="45" t="s">
        <v>27</v>
      </c>
      <c r="AB23" s="45"/>
      <c r="AC23" s="169"/>
    </row>
    <row r="24" spans="1:29" ht="15" hidden="1" customHeight="1">
      <c r="A24" s="44" t="s">
        <v>0</v>
      </c>
      <c r="B24" s="44" t="s">
        <v>98</v>
      </c>
      <c r="C24" s="44" t="s">
        <v>27</v>
      </c>
      <c r="D24" s="43" t="s">
        <v>2759</v>
      </c>
      <c r="E24" s="43" t="s">
        <v>17</v>
      </c>
      <c r="F24" s="44" t="s">
        <v>99</v>
      </c>
      <c r="G24" s="44" t="s">
        <v>100</v>
      </c>
      <c r="H24" s="44" t="s">
        <v>20</v>
      </c>
      <c r="I24" s="44" t="s">
        <v>21</v>
      </c>
      <c r="J24" s="44" t="s">
        <v>24</v>
      </c>
      <c r="K24" s="43" t="s">
        <v>26</v>
      </c>
      <c r="L24" s="44" t="s">
        <v>211</v>
      </c>
      <c r="M24" s="44" t="s">
        <v>22</v>
      </c>
      <c r="N24" s="43" t="s">
        <v>22</v>
      </c>
      <c r="O24" s="43"/>
      <c r="P24" s="43"/>
      <c r="Q24" s="43">
        <v>40162</v>
      </c>
      <c r="R24" s="44"/>
      <c r="S24" s="44"/>
      <c r="T24" s="55">
        <v>9591185328</v>
      </c>
      <c r="U24" s="49">
        <v>440152238401</v>
      </c>
      <c r="V24" s="49"/>
      <c r="W24" s="49">
        <v>7349781108</v>
      </c>
      <c r="X24" s="75">
        <v>43195</v>
      </c>
      <c r="Y24" s="45" t="s">
        <v>27</v>
      </c>
      <c r="Z24" s="45" t="s">
        <v>27</v>
      </c>
      <c r="AA24" s="45" t="s">
        <v>27</v>
      </c>
      <c r="AB24" s="45"/>
      <c r="AC24" s="169"/>
    </row>
    <row r="25" spans="1:29" ht="15" hidden="1" customHeight="1">
      <c r="A25" s="44" t="s">
        <v>0</v>
      </c>
      <c r="B25" s="44" t="s">
        <v>101</v>
      </c>
      <c r="C25" s="44" t="s">
        <v>22</v>
      </c>
      <c r="D25" s="43" t="s">
        <v>2760</v>
      </c>
      <c r="E25" s="43" t="s">
        <v>17</v>
      </c>
      <c r="F25" s="44" t="s">
        <v>102</v>
      </c>
      <c r="G25" s="44" t="s">
        <v>103</v>
      </c>
      <c r="H25" s="44" t="s">
        <v>20</v>
      </c>
      <c r="I25" s="44" t="s">
        <v>21</v>
      </c>
      <c r="J25" s="44" t="s">
        <v>24</v>
      </c>
      <c r="K25" s="43" t="s">
        <v>26</v>
      </c>
      <c r="L25" s="44" t="s">
        <v>211</v>
      </c>
      <c r="M25" s="44" t="s">
        <v>22</v>
      </c>
      <c r="N25" s="43" t="s">
        <v>22</v>
      </c>
      <c r="O25" s="43"/>
      <c r="P25" s="43"/>
      <c r="Q25" s="43">
        <v>40119</v>
      </c>
      <c r="R25" s="44"/>
      <c r="S25" s="44"/>
      <c r="T25" s="44">
        <v>7625046432</v>
      </c>
      <c r="U25" s="49">
        <v>440152238940</v>
      </c>
      <c r="V25" s="49"/>
      <c r="W25" s="49"/>
      <c r="X25" s="76"/>
      <c r="Y25" s="45" t="s">
        <v>27</v>
      </c>
      <c r="Z25" s="45" t="s">
        <v>27</v>
      </c>
      <c r="AA25" s="45" t="s">
        <v>27</v>
      </c>
      <c r="AB25" s="45"/>
      <c r="AC25" s="169" t="s">
        <v>4407</v>
      </c>
    </row>
    <row r="26" spans="1:29" ht="15" hidden="1" customHeight="1">
      <c r="A26" s="44" t="s">
        <v>0</v>
      </c>
      <c r="B26" s="44" t="s">
        <v>105</v>
      </c>
      <c r="C26" s="51" t="s">
        <v>27</v>
      </c>
      <c r="D26" s="44" t="s">
        <v>2758</v>
      </c>
      <c r="E26" s="43" t="s">
        <v>17</v>
      </c>
      <c r="F26" s="44" t="s">
        <v>106</v>
      </c>
      <c r="G26" s="44" t="s">
        <v>107</v>
      </c>
      <c r="H26" s="44" t="s">
        <v>20</v>
      </c>
      <c r="I26" s="44" t="s">
        <v>60</v>
      </c>
      <c r="J26" s="44" t="s">
        <v>3668</v>
      </c>
      <c r="K26" s="95" t="s">
        <v>3665</v>
      </c>
      <c r="L26" s="44" t="s">
        <v>211</v>
      </c>
      <c r="M26" s="44" t="s">
        <v>22</v>
      </c>
      <c r="N26" s="43" t="s">
        <v>22</v>
      </c>
      <c r="O26" s="43" t="s">
        <v>3639</v>
      </c>
      <c r="P26" s="43"/>
      <c r="Q26" s="43">
        <v>40134</v>
      </c>
      <c r="R26" s="44"/>
      <c r="S26" s="44"/>
      <c r="T26" s="55">
        <v>9972093562</v>
      </c>
      <c r="U26" s="49">
        <v>440152238923</v>
      </c>
      <c r="V26" s="49"/>
      <c r="W26" s="49">
        <v>7625047635</v>
      </c>
      <c r="X26" s="75">
        <v>43195</v>
      </c>
      <c r="Y26" s="45" t="s">
        <v>27</v>
      </c>
      <c r="Z26" s="45" t="s">
        <v>27</v>
      </c>
      <c r="AA26" s="45" t="s">
        <v>27</v>
      </c>
      <c r="AB26" s="45"/>
      <c r="AC26" s="169"/>
    </row>
    <row r="27" spans="1:29" ht="15" hidden="1" customHeight="1">
      <c r="A27" s="44" t="s">
        <v>0</v>
      </c>
      <c r="B27" s="44" t="s">
        <v>108</v>
      </c>
      <c r="C27" s="44" t="s">
        <v>27</v>
      </c>
      <c r="D27" s="43" t="s">
        <v>2759</v>
      </c>
      <c r="E27" s="43" t="s">
        <v>17</v>
      </c>
      <c r="F27" s="44" t="s">
        <v>109</v>
      </c>
      <c r="G27" s="44" t="s">
        <v>110</v>
      </c>
      <c r="H27" s="44" t="s">
        <v>20</v>
      </c>
      <c r="I27" s="44" t="s">
        <v>21</v>
      </c>
      <c r="J27" s="44" t="s">
        <v>24</v>
      </c>
      <c r="K27" s="43" t="s">
        <v>26</v>
      </c>
      <c r="L27" s="44" t="s">
        <v>211</v>
      </c>
      <c r="M27" s="44" t="s">
        <v>22</v>
      </c>
      <c r="N27" s="43" t="s">
        <v>22</v>
      </c>
      <c r="O27" s="43"/>
      <c r="P27" s="43"/>
      <c r="Q27" s="43">
        <v>40169</v>
      </c>
      <c r="R27" s="44"/>
      <c r="S27" s="44"/>
      <c r="T27" s="44">
        <v>7625046443</v>
      </c>
      <c r="U27" s="49">
        <v>440152248596</v>
      </c>
      <c r="V27" s="49"/>
      <c r="W27" s="49"/>
      <c r="X27" s="75">
        <v>43195</v>
      </c>
      <c r="Y27" s="45" t="s">
        <v>27</v>
      </c>
      <c r="Z27" s="45" t="s">
        <v>27</v>
      </c>
      <c r="AA27" s="45" t="s">
        <v>27</v>
      </c>
      <c r="AB27" s="45"/>
      <c r="AC27" s="169"/>
    </row>
    <row r="28" spans="1:29" ht="15" customHeight="1">
      <c r="A28" s="44" t="s">
        <v>0</v>
      </c>
      <c r="B28" s="44" t="s">
        <v>111</v>
      </c>
      <c r="C28" s="43" t="s">
        <v>27</v>
      </c>
      <c r="D28" s="43" t="s">
        <v>2759</v>
      </c>
      <c r="E28" s="43" t="s">
        <v>17</v>
      </c>
      <c r="F28" s="44" t="s">
        <v>112</v>
      </c>
      <c r="G28" s="44" t="s">
        <v>113</v>
      </c>
      <c r="H28" s="44" t="s">
        <v>3084</v>
      </c>
      <c r="I28" s="44" t="s">
        <v>21</v>
      </c>
      <c r="J28" s="44" t="s">
        <v>24</v>
      </c>
      <c r="K28" s="43" t="s">
        <v>26</v>
      </c>
      <c r="L28" s="44" t="s">
        <v>5368</v>
      </c>
      <c r="M28" s="44" t="s">
        <v>22</v>
      </c>
      <c r="N28" s="43" t="s">
        <v>22</v>
      </c>
      <c r="O28" s="43" t="s">
        <v>3639</v>
      </c>
      <c r="P28" s="43"/>
      <c r="Q28" s="43">
        <v>40171</v>
      </c>
      <c r="R28" s="44"/>
      <c r="S28" s="44"/>
      <c r="T28" s="44">
        <v>7349781126</v>
      </c>
      <c r="U28" s="49">
        <v>440152238925</v>
      </c>
      <c r="V28" s="49"/>
      <c r="W28" s="49"/>
      <c r="X28" s="75">
        <v>43195</v>
      </c>
      <c r="Y28" s="45" t="s">
        <v>27</v>
      </c>
      <c r="Z28" s="45" t="s">
        <v>27</v>
      </c>
      <c r="AA28" s="45" t="s">
        <v>27</v>
      </c>
      <c r="AB28" s="45"/>
      <c r="AC28" s="169" t="s">
        <v>6703</v>
      </c>
    </row>
    <row r="29" spans="1:29" ht="15" hidden="1" customHeight="1">
      <c r="A29" s="44" t="s">
        <v>0</v>
      </c>
      <c r="B29" s="44" t="s">
        <v>114</v>
      </c>
      <c r="C29" s="51" t="s">
        <v>27</v>
      </c>
      <c r="D29" s="43" t="s">
        <v>2758</v>
      </c>
      <c r="E29" s="43" t="s">
        <v>17</v>
      </c>
      <c r="F29" s="44" t="s">
        <v>115</v>
      </c>
      <c r="G29" s="44" t="s">
        <v>116</v>
      </c>
      <c r="H29" s="44" t="s">
        <v>20</v>
      </c>
      <c r="I29" s="44" t="s">
        <v>60</v>
      </c>
      <c r="J29" s="44" t="s">
        <v>3680</v>
      </c>
      <c r="K29" s="215" t="s">
        <v>3663</v>
      </c>
      <c r="L29" s="44" t="s">
        <v>211</v>
      </c>
      <c r="M29" s="44" t="s">
        <v>27</v>
      </c>
      <c r="N29" s="43" t="s">
        <v>22</v>
      </c>
      <c r="O29" s="43"/>
      <c r="P29" s="110"/>
      <c r="Q29" s="110" t="s">
        <v>38</v>
      </c>
      <c r="R29" s="44"/>
      <c r="S29" s="44"/>
      <c r="T29" s="44">
        <v>9513421210</v>
      </c>
      <c r="U29" s="49">
        <v>440152238387</v>
      </c>
      <c r="V29" s="49"/>
      <c r="W29" s="49"/>
      <c r="X29" s="75">
        <v>43195</v>
      </c>
      <c r="Y29" s="45" t="s">
        <v>27</v>
      </c>
      <c r="Z29" s="45" t="s">
        <v>27</v>
      </c>
      <c r="AA29" s="45" t="s">
        <v>27</v>
      </c>
      <c r="AB29" s="45"/>
      <c r="AC29" s="169"/>
    </row>
    <row r="30" spans="1:29" ht="15" hidden="1" customHeight="1">
      <c r="A30" s="44" t="s">
        <v>0</v>
      </c>
      <c r="B30" s="44" t="s">
        <v>117</v>
      </c>
      <c r="C30" s="44" t="s">
        <v>27</v>
      </c>
      <c r="D30" s="43" t="s">
        <v>2759</v>
      </c>
      <c r="E30" s="43" t="s">
        <v>17</v>
      </c>
      <c r="F30" s="44" t="s">
        <v>118</v>
      </c>
      <c r="G30" s="44" t="s">
        <v>119</v>
      </c>
      <c r="H30" s="44" t="s">
        <v>20</v>
      </c>
      <c r="I30" s="44" t="s">
        <v>21</v>
      </c>
      <c r="J30" s="44" t="s">
        <v>24</v>
      </c>
      <c r="K30" s="43" t="s">
        <v>26</v>
      </c>
      <c r="L30" s="44" t="s">
        <v>211</v>
      </c>
      <c r="M30" s="44" t="s">
        <v>22</v>
      </c>
      <c r="N30" s="43" t="s">
        <v>22</v>
      </c>
      <c r="O30" s="43" t="s">
        <v>3639</v>
      </c>
      <c r="P30" s="43"/>
      <c r="Q30" s="43">
        <v>40173</v>
      </c>
      <c r="R30" s="44"/>
      <c r="S30" s="44"/>
      <c r="T30" s="44">
        <v>7625046457</v>
      </c>
      <c r="U30" s="49">
        <v>440152237426</v>
      </c>
      <c r="V30" s="49"/>
      <c r="W30" s="49"/>
      <c r="X30" s="75">
        <v>43195</v>
      </c>
      <c r="Y30" s="45" t="s">
        <v>27</v>
      </c>
      <c r="Z30" s="45" t="s">
        <v>27</v>
      </c>
      <c r="AA30" s="45" t="s">
        <v>27</v>
      </c>
      <c r="AB30" s="45"/>
      <c r="AC30" s="169"/>
    </row>
    <row r="31" spans="1:29" ht="15" hidden="1" customHeight="1">
      <c r="A31" s="44" t="s">
        <v>0</v>
      </c>
      <c r="B31" s="44" t="s">
        <v>120</v>
      </c>
      <c r="C31" s="44" t="s">
        <v>22</v>
      </c>
      <c r="D31" s="44" t="s">
        <v>25</v>
      </c>
      <c r="E31" s="43" t="s">
        <v>17</v>
      </c>
      <c r="F31" s="44" t="s">
        <v>121</v>
      </c>
      <c r="G31" s="44" t="s">
        <v>122</v>
      </c>
      <c r="H31" s="44" t="s">
        <v>20</v>
      </c>
      <c r="I31" s="44" t="s">
        <v>60</v>
      </c>
      <c r="J31" s="43" t="s">
        <v>3680</v>
      </c>
      <c r="K31" s="44" t="s">
        <v>3663</v>
      </c>
      <c r="L31" s="44" t="s">
        <v>211</v>
      </c>
      <c r="M31" s="44" t="s">
        <v>22</v>
      </c>
      <c r="N31" s="43" t="s">
        <v>22</v>
      </c>
      <c r="O31" s="43"/>
      <c r="P31" s="110"/>
      <c r="Q31" s="110">
        <v>40175</v>
      </c>
      <c r="R31" s="44"/>
      <c r="S31" s="44"/>
      <c r="T31" s="44">
        <v>9108443022</v>
      </c>
      <c r="U31" s="49">
        <v>440152238389</v>
      </c>
      <c r="V31" s="49"/>
      <c r="W31" s="49"/>
      <c r="X31" s="75">
        <v>43195</v>
      </c>
      <c r="Y31" s="45" t="s">
        <v>27</v>
      </c>
      <c r="Z31" s="45" t="s">
        <v>27</v>
      </c>
      <c r="AA31" s="45" t="s">
        <v>27</v>
      </c>
      <c r="AB31" s="45"/>
      <c r="AC31" s="169" t="s">
        <v>4398</v>
      </c>
    </row>
    <row r="32" spans="1:29" ht="15" hidden="1" customHeight="1">
      <c r="A32" s="44" t="s">
        <v>0</v>
      </c>
      <c r="B32" s="44" t="s">
        <v>123</v>
      </c>
      <c r="C32" s="44" t="s">
        <v>27</v>
      </c>
      <c r="D32" s="43" t="s">
        <v>2761</v>
      </c>
      <c r="E32" s="43" t="s">
        <v>17</v>
      </c>
      <c r="F32" s="44" t="s">
        <v>124</v>
      </c>
      <c r="G32" s="44" t="s">
        <v>125</v>
      </c>
      <c r="H32" s="44" t="s">
        <v>20</v>
      </c>
      <c r="I32" s="44" t="s">
        <v>21</v>
      </c>
      <c r="J32" s="44" t="s">
        <v>24</v>
      </c>
      <c r="K32" s="43" t="s">
        <v>26</v>
      </c>
      <c r="L32" s="44" t="s">
        <v>211</v>
      </c>
      <c r="M32" s="44" t="s">
        <v>22</v>
      </c>
      <c r="N32" s="43" t="s">
        <v>22</v>
      </c>
      <c r="O32" s="43" t="s">
        <v>3639</v>
      </c>
      <c r="P32" s="43"/>
      <c r="Q32" s="43">
        <v>40174</v>
      </c>
      <c r="R32" s="44"/>
      <c r="S32" s="44"/>
      <c r="T32" s="44">
        <v>7338636166</v>
      </c>
      <c r="U32" s="49">
        <v>440152238398</v>
      </c>
      <c r="V32" s="49"/>
      <c r="W32" s="49"/>
      <c r="X32" s="75">
        <v>43195</v>
      </c>
      <c r="Y32" s="45" t="s">
        <v>27</v>
      </c>
      <c r="Z32" s="45" t="s">
        <v>27</v>
      </c>
      <c r="AA32" s="45" t="s">
        <v>27</v>
      </c>
      <c r="AB32" s="45"/>
      <c r="AC32" s="169"/>
    </row>
    <row r="33" spans="1:29" ht="15" customHeight="1">
      <c r="A33" s="44" t="s">
        <v>0</v>
      </c>
      <c r="B33" s="44" t="s">
        <v>126</v>
      </c>
      <c r="C33" s="43" t="s">
        <v>27</v>
      </c>
      <c r="D33" s="43" t="s">
        <v>25</v>
      </c>
      <c r="E33" s="43" t="s">
        <v>17</v>
      </c>
      <c r="F33" s="44" t="s">
        <v>127</v>
      </c>
      <c r="G33" s="44" t="s">
        <v>128</v>
      </c>
      <c r="H33" s="44" t="s">
        <v>3084</v>
      </c>
      <c r="I33" s="44" t="s">
        <v>21</v>
      </c>
      <c r="J33" s="44" t="s">
        <v>24</v>
      </c>
      <c r="K33" s="43" t="s">
        <v>26</v>
      </c>
      <c r="L33" s="44" t="s">
        <v>5368</v>
      </c>
      <c r="M33" s="44" t="s">
        <v>22</v>
      </c>
      <c r="N33" s="43" t="s">
        <v>22</v>
      </c>
      <c r="O33" s="43"/>
      <c r="P33" s="43"/>
      <c r="Q33" s="43">
        <v>40181</v>
      </c>
      <c r="R33" s="44"/>
      <c r="S33" s="44"/>
      <c r="T33" s="56">
        <v>9606480573</v>
      </c>
      <c r="U33" s="49">
        <v>440152239965</v>
      </c>
      <c r="V33" s="49"/>
      <c r="W33" s="49"/>
      <c r="X33" s="75">
        <v>43195</v>
      </c>
      <c r="Y33" s="45" t="s">
        <v>27</v>
      </c>
      <c r="Z33" s="45" t="s">
        <v>27</v>
      </c>
      <c r="AA33" s="45" t="s">
        <v>27</v>
      </c>
      <c r="AB33" s="45"/>
      <c r="AC33" s="169" t="s">
        <v>6703</v>
      </c>
    </row>
    <row r="34" spans="1:29" ht="15" hidden="1" customHeight="1">
      <c r="A34" s="44" t="s">
        <v>0</v>
      </c>
      <c r="B34" s="44" t="s">
        <v>129</v>
      </c>
      <c r="C34" s="44" t="s">
        <v>27</v>
      </c>
      <c r="D34" s="44" t="s">
        <v>2758</v>
      </c>
      <c r="E34" s="43" t="s">
        <v>17</v>
      </c>
      <c r="F34" s="44" t="s">
        <v>130</v>
      </c>
      <c r="G34" s="44" t="s">
        <v>131</v>
      </c>
      <c r="H34" s="44" t="s">
        <v>20</v>
      </c>
      <c r="I34" s="44" t="s">
        <v>60</v>
      </c>
      <c r="J34" s="44" t="s">
        <v>3668</v>
      </c>
      <c r="K34" s="95" t="s">
        <v>3665</v>
      </c>
      <c r="L34" s="44" t="s">
        <v>211</v>
      </c>
      <c r="M34" s="44" t="s">
        <v>22</v>
      </c>
      <c r="N34" s="43" t="s">
        <v>22</v>
      </c>
      <c r="O34" s="43" t="s">
        <v>3639</v>
      </c>
      <c r="P34" s="110"/>
      <c r="Q34" s="110">
        <v>40182</v>
      </c>
      <c r="R34" s="44"/>
      <c r="S34" s="44"/>
      <c r="T34" s="55">
        <v>7625046450</v>
      </c>
      <c r="U34" s="49">
        <v>440152217754</v>
      </c>
      <c r="V34" s="49"/>
      <c r="W34" s="49">
        <v>7349781098</v>
      </c>
      <c r="X34" s="75">
        <v>43195</v>
      </c>
      <c r="Y34" s="45" t="s">
        <v>27</v>
      </c>
      <c r="Z34" s="45" t="s">
        <v>27</v>
      </c>
      <c r="AA34" s="45" t="s">
        <v>27</v>
      </c>
      <c r="AB34" s="45"/>
      <c r="AC34" s="169"/>
    </row>
    <row r="35" spans="1:29" ht="15" hidden="1" customHeight="1">
      <c r="A35" s="44" t="s">
        <v>0</v>
      </c>
      <c r="B35" s="44" t="s">
        <v>132</v>
      </c>
      <c r="C35" s="51" t="s">
        <v>27</v>
      </c>
      <c r="D35" s="43" t="s">
        <v>2758</v>
      </c>
      <c r="E35" s="43" t="s">
        <v>17</v>
      </c>
      <c r="F35" s="44" t="s">
        <v>133</v>
      </c>
      <c r="G35" s="44" t="s">
        <v>134</v>
      </c>
      <c r="H35" s="44" t="s">
        <v>20</v>
      </c>
      <c r="I35" s="44" t="s">
        <v>60</v>
      </c>
      <c r="J35" s="44" t="s">
        <v>3679</v>
      </c>
      <c r="K35" s="95" t="s">
        <v>3664</v>
      </c>
      <c r="L35" s="44" t="s">
        <v>211</v>
      </c>
      <c r="M35" s="44" t="s">
        <v>22</v>
      </c>
      <c r="N35" s="43" t="s">
        <v>22</v>
      </c>
      <c r="O35" s="43"/>
      <c r="P35" s="110"/>
      <c r="Q35" s="110">
        <v>40183</v>
      </c>
      <c r="R35" s="44"/>
      <c r="S35" s="44"/>
      <c r="T35" s="55" t="s">
        <v>135</v>
      </c>
      <c r="U35" s="49">
        <v>440152219784</v>
      </c>
      <c r="V35" s="49"/>
      <c r="W35" s="49"/>
      <c r="X35" s="75">
        <v>43195</v>
      </c>
      <c r="Y35" s="45" t="s">
        <v>27</v>
      </c>
      <c r="Z35" s="45" t="s">
        <v>27</v>
      </c>
      <c r="AA35" s="45" t="s">
        <v>27</v>
      </c>
      <c r="AB35" s="45"/>
      <c r="AC35" s="169"/>
    </row>
    <row r="36" spans="1:29" ht="15" hidden="1" customHeight="1">
      <c r="A36" s="44" t="s">
        <v>0</v>
      </c>
      <c r="B36" s="44" t="s">
        <v>136</v>
      </c>
      <c r="C36" s="44" t="s">
        <v>27</v>
      </c>
      <c r="D36" s="43" t="s">
        <v>2761</v>
      </c>
      <c r="E36" s="43" t="s">
        <v>17</v>
      </c>
      <c r="F36" s="44" t="s">
        <v>137</v>
      </c>
      <c r="G36" s="44" t="s">
        <v>138</v>
      </c>
      <c r="H36" s="44" t="s">
        <v>20</v>
      </c>
      <c r="I36" s="44" t="s">
        <v>21</v>
      </c>
      <c r="J36" s="44" t="s">
        <v>24</v>
      </c>
      <c r="K36" s="43" t="s">
        <v>26</v>
      </c>
      <c r="L36" s="44" t="s">
        <v>211</v>
      </c>
      <c r="M36" s="44" t="s">
        <v>22</v>
      </c>
      <c r="N36" s="43" t="s">
        <v>22</v>
      </c>
      <c r="O36" s="43"/>
      <c r="P36" s="43"/>
      <c r="Q36" s="43">
        <v>40184</v>
      </c>
      <c r="R36" s="44"/>
      <c r="S36" s="44"/>
      <c r="T36" s="44">
        <v>9606480572</v>
      </c>
      <c r="U36" s="49">
        <v>440152239966</v>
      </c>
      <c r="V36" s="49"/>
      <c r="W36" s="49"/>
      <c r="X36" s="75">
        <v>43195</v>
      </c>
      <c r="Y36" s="45" t="s">
        <v>27</v>
      </c>
      <c r="Z36" s="45" t="s">
        <v>27</v>
      </c>
      <c r="AA36" s="45" t="s">
        <v>27</v>
      </c>
      <c r="AB36" s="45"/>
      <c r="AC36" s="169"/>
    </row>
    <row r="37" spans="1:29" ht="15" hidden="1" customHeight="1">
      <c r="A37" s="44" t="s">
        <v>0</v>
      </c>
      <c r="B37" s="44" t="s">
        <v>139</v>
      </c>
      <c r="C37" s="51" t="s">
        <v>27</v>
      </c>
      <c r="D37" s="43" t="s">
        <v>2758</v>
      </c>
      <c r="E37" s="43" t="s">
        <v>17</v>
      </c>
      <c r="F37" s="57" t="s">
        <v>140</v>
      </c>
      <c r="G37" s="44" t="s">
        <v>141</v>
      </c>
      <c r="H37" s="44" t="s">
        <v>20</v>
      </c>
      <c r="I37" s="44" t="s">
        <v>60</v>
      </c>
      <c r="J37" s="44" t="s">
        <v>3668</v>
      </c>
      <c r="K37" s="95" t="s">
        <v>3665</v>
      </c>
      <c r="L37" s="44" t="s">
        <v>211</v>
      </c>
      <c r="M37" s="44" t="s">
        <v>22</v>
      </c>
      <c r="N37" s="43" t="s">
        <v>22</v>
      </c>
      <c r="O37" s="43" t="s">
        <v>3639</v>
      </c>
      <c r="P37" s="43"/>
      <c r="Q37" s="43">
        <v>40185</v>
      </c>
      <c r="R37" s="44"/>
      <c r="S37" s="44"/>
      <c r="T37" s="44" t="s">
        <v>142</v>
      </c>
      <c r="U37" s="49">
        <v>440152219772</v>
      </c>
      <c r="V37" s="49"/>
      <c r="W37" s="49"/>
      <c r="X37" s="75">
        <v>43195</v>
      </c>
      <c r="Y37" s="45" t="s">
        <v>27</v>
      </c>
      <c r="Z37" s="45" t="s">
        <v>27</v>
      </c>
      <c r="AA37" s="45" t="s">
        <v>27</v>
      </c>
      <c r="AB37" s="45"/>
      <c r="AC37" s="169"/>
    </row>
    <row r="38" spans="1:29" ht="15" hidden="1" customHeight="1">
      <c r="A38" s="44" t="s">
        <v>0</v>
      </c>
      <c r="B38" s="44" t="s">
        <v>143</v>
      </c>
      <c r="C38" s="44" t="s">
        <v>27</v>
      </c>
      <c r="D38" s="43" t="s">
        <v>2759</v>
      </c>
      <c r="E38" s="43" t="s">
        <v>17</v>
      </c>
      <c r="F38" s="57" t="s">
        <v>144</v>
      </c>
      <c r="G38" s="44" t="s">
        <v>145</v>
      </c>
      <c r="H38" s="44" t="s">
        <v>20</v>
      </c>
      <c r="I38" s="44" t="s">
        <v>21</v>
      </c>
      <c r="J38" s="44" t="s">
        <v>3669</v>
      </c>
      <c r="K38" s="43" t="s">
        <v>26</v>
      </c>
      <c r="L38" s="44" t="s">
        <v>211</v>
      </c>
      <c r="M38" s="44" t="s">
        <v>22</v>
      </c>
      <c r="N38" s="43" t="s">
        <v>22</v>
      </c>
      <c r="O38" s="43" t="s">
        <v>3639</v>
      </c>
      <c r="P38" s="43"/>
      <c r="Q38" s="43">
        <v>40186</v>
      </c>
      <c r="R38" s="44"/>
      <c r="S38" s="44"/>
      <c r="T38" s="44">
        <v>7625046457</v>
      </c>
      <c r="U38" s="49">
        <v>440152237426</v>
      </c>
      <c r="V38" s="49"/>
      <c r="W38" s="49"/>
      <c r="X38" s="75">
        <v>43195</v>
      </c>
      <c r="Y38" s="45" t="s">
        <v>27</v>
      </c>
      <c r="Z38" s="45" t="s">
        <v>27</v>
      </c>
      <c r="AA38" s="45" t="s">
        <v>27</v>
      </c>
      <c r="AB38" s="45"/>
      <c r="AC38" s="169"/>
    </row>
    <row r="39" spans="1:29" ht="15" hidden="1" customHeight="1">
      <c r="A39" s="44" t="s">
        <v>0</v>
      </c>
      <c r="B39" s="44" t="s">
        <v>146</v>
      </c>
      <c r="C39" s="44" t="s">
        <v>22</v>
      </c>
      <c r="D39" s="43" t="s">
        <v>2761</v>
      </c>
      <c r="E39" s="43" t="s">
        <v>17</v>
      </c>
      <c r="F39" s="57" t="s">
        <v>147</v>
      </c>
      <c r="G39" s="44" t="s">
        <v>148</v>
      </c>
      <c r="H39" s="44" t="s">
        <v>20</v>
      </c>
      <c r="I39" s="44" t="s">
        <v>21</v>
      </c>
      <c r="J39" s="44" t="s">
        <v>24</v>
      </c>
      <c r="K39" s="43" t="s">
        <v>26</v>
      </c>
      <c r="L39" s="44" t="s">
        <v>211</v>
      </c>
      <c r="M39" s="44" t="s">
        <v>22</v>
      </c>
      <c r="N39" s="43" t="s">
        <v>22</v>
      </c>
      <c r="O39" s="43"/>
      <c r="P39" s="43"/>
      <c r="Q39" s="43">
        <v>40187</v>
      </c>
      <c r="R39" s="44"/>
      <c r="S39" s="44"/>
      <c r="T39" s="44">
        <v>9945617637</v>
      </c>
      <c r="U39" s="49">
        <v>440152238928</v>
      </c>
      <c r="V39" s="49"/>
      <c r="W39" s="49"/>
      <c r="X39" s="75">
        <v>43195</v>
      </c>
      <c r="Y39" s="45" t="s">
        <v>27</v>
      </c>
      <c r="Z39" s="45" t="s">
        <v>27</v>
      </c>
      <c r="AA39" s="45" t="s">
        <v>22</v>
      </c>
      <c r="AB39" s="45"/>
      <c r="AC39" s="169" t="s">
        <v>4409</v>
      </c>
    </row>
    <row r="40" spans="1:29" ht="15" hidden="1" customHeight="1">
      <c r="A40" s="44" t="s">
        <v>0</v>
      </c>
      <c r="B40" s="44" t="s">
        <v>149</v>
      </c>
      <c r="C40" s="44" t="s">
        <v>27</v>
      </c>
      <c r="D40" s="43" t="s">
        <v>25</v>
      </c>
      <c r="E40" s="43" t="s">
        <v>17</v>
      </c>
      <c r="F40" s="57" t="s">
        <v>150</v>
      </c>
      <c r="G40" s="44" t="s">
        <v>151</v>
      </c>
      <c r="H40" s="44" t="s">
        <v>20</v>
      </c>
      <c r="I40" s="44" t="s">
        <v>21</v>
      </c>
      <c r="J40" s="44" t="s">
        <v>24</v>
      </c>
      <c r="K40" s="43" t="s">
        <v>26</v>
      </c>
      <c r="L40" s="44" t="s">
        <v>211</v>
      </c>
      <c r="M40" s="44" t="s">
        <v>22</v>
      </c>
      <c r="N40" s="43" t="s">
        <v>22</v>
      </c>
      <c r="O40" s="43" t="s">
        <v>3639</v>
      </c>
      <c r="P40" s="43"/>
      <c r="Q40" s="43">
        <v>40188</v>
      </c>
      <c r="R40" s="44"/>
      <c r="S40" s="44"/>
      <c r="T40" s="44">
        <v>9845086006</v>
      </c>
      <c r="U40" s="49">
        <v>440152238388</v>
      </c>
      <c r="V40" s="49"/>
      <c r="W40" s="49"/>
      <c r="X40" s="75">
        <v>43195</v>
      </c>
      <c r="Y40" s="45" t="s">
        <v>27</v>
      </c>
      <c r="Z40" s="45" t="s">
        <v>27</v>
      </c>
      <c r="AA40" s="45" t="s">
        <v>27</v>
      </c>
      <c r="AB40" s="45"/>
      <c r="AC40" s="169"/>
    </row>
    <row r="41" spans="1:29" ht="15" hidden="1" customHeight="1">
      <c r="A41" s="44" t="s">
        <v>0</v>
      </c>
      <c r="B41" s="44" t="s">
        <v>152</v>
      </c>
      <c r="C41" s="44" t="s">
        <v>27</v>
      </c>
      <c r="D41" s="43" t="s">
        <v>25</v>
      </c>
      <c r="E41" s="43" t="s">
        <v>17</v>
      </c>
      <c r="F41" s="57" t="s">
        <v>153</v>
      </c>
      <c r="G41" s="44" t="s">
        <v>154</v>
      </c>
      <c r="H41" s="44" t="s">
        <v>20</v>
      </c>
      <c r="I41" s="44" t="s">
        <v>21</v>
      </c>
      <c r="J41" s="44" t="s">
        <v>24</v>
      </c>
      <c r="K41" s="43" t="s">
        <v>26</v>
      </c>
      <c r="L41" s="44" t="s">
        <v>211</v>
      </c>
      <c r="M41" s="44" t="s">
        <v>22</v>
      </c>
      <c r="N41" s="43" t="s">
        <v>22</v>
      </c>
      <c r="O41" s="43" t="s">
        <v>3639</v>
      </c>
      <c r="P41" s="43"/>
      <c r="Q41" s="43">
        <v>40189</v>
      </c>
      <c r="R41" s="44"/>
      <c r="S41" s="44"/>
      <c r="T41" s="44">
        <v>7625036342</v>
      </c>
      <c r="U41" s="49">
        <v>440152238394</v>
      </c>
      <c r="V41" s="49"/>
      <c r="W41" s="49"/>
      <c r="X41" s="75">
        <v>43195</v>
      </c>
      <c r="Y41" s="45" t="s">
        <v>27</v>
      </c>
      <c r="Z41" s="45" t="s">
        <v>27</v>
      </c>
      <c r="AA41" s="45" t="s">
        <v>27</v>
      </c>
      <c r="AB41" s="45"/>
      <c r="AC41" s="169"/>
    </row>
    <row r="42" spans="1:29" ht="15" customHeight="1">
      <c r="A42" s="44" t="s">
        <v>0</v>
      </c>
      <c r="B42" s="44" t="s">
        <v>155</v>
      </c>
      <c r="C42" s="43" t="s">
        <v>27</v>
      </c>
      <c r="D42" s="43" t="s">
        <v>2758</v>
      </c>
      <c r="E42" s="43" t="s">
        <v>17</v>
      </c>
      <c r="F42" s="57" t="s">
        <v>156</v>
      </c>
      <c r="G42" s="44" t="s">
        <v>157</v>
      </c>
      <c r="H42" s="44" t="s">
        <v>3084</v>
      </c>
      <c r="I42" s="44" t="s">
        <v>21</v>
      </c>
      <c r="J42" s="44" t="s">
        <v>24</v>
      </c>
      <c r="K42" s="43" t="s">
        <v>26</v>
      </c>
      <c r="L42" s="44" t="s">
        <v>5368</v>
      </c>
      <c r="M42" s="44" t="s">
        <v>22</v>
      </c>
      <c r="N42" s="43" t="s">
        <v>22</v>
      </c>
      <c r="O42" s="43" t="s">
        <v>3639</v>
      </c>
      <c r="P42" s="43"/>
      <c r="Q42" s="43">
        <v>40190</v>
      </c>
      <c r="R42" s="44"/>
      <c r="S42" s="44"/>
      <c r="T42" s="44">
        <v>7349781071</v>
      </c>
      <c r="U42" s="49">
        <v>440152237431</v>
      </c>
      <c r="V42" s="49"/>
      <c r="W42" s="49"/>
      <c r="X42" s="75">
        <v>43195</v>
      </c>
      <c r="Y42" s="45" t="s">
        <v>27</v>
      </c>
      <c r="Z42" s="45" t="s">
        <v>27</v>
      </c>
      <c r="AA42" s="45" t="s">
        <v>27</v>
      </c>
      <c r="AB42" s="45"/>
      <c r="AC42" s="169" t="s">
        <v>6703</v>
      </c>
    </row>
    <row r="43" spans="1:29" ht="15" hidden="1" customHeight="1">
      <c r="A43" s="44" t="s">
        <v>0</v>
      </c>
      <c r="B43" s="44" t="s">
        <v>158</v>
      </c>
      <c r="C43" s="51" t="s">
        <v>27</v>
      </c>
      <c r="D43" s="43" t="s">
        <v>2758</v>
      </c>
      <c r="E43" s="43" t="s">
        <v>17</v>
      </c>
      <c r="F43" s="57" t="s">
        <v>159</v>
      </c>
      <c r="G43" s="44" t="s">
        <v>160</v>
      </c>
      <c r="H43" s="44" t="s">
        <v>20</v>
      </c>
      <c r="I43" s="44" t="s">
        <v>60</v>
      </c>
      <c r="J43" s="44" t="s">
        <v>3679</v>
      </c>
      <c r="K43" s="215" t="s">
        <v>3664</v>
      </c>
      <c r="L43" s="44" t="s">
        <v>211</v>
      </c>
      <c r="M43" s="44" t="s">
        <v>27</v>
      </c>
      <c r="N43" s="43" t="s">
        <v>22</v>
      </c>
      <c r="O43" s="43"/>
      <c r="P43" s="110"/>
      <c r="Q43" s="110" t="s">
        <v>38</v>
      </c>
      <c r="R43" s="44"/>
      <c r="S43" s="44"/>
      <c r="T43" s="44">
        <v>9513421189</v>
      </c>
      <c r="U43" s="49">
        <v>440152237424</v>
      </c>
      <c r="V43" s="49"/>
      <c r="W43" s="49"/>
      <c r="X43" s="75">
        <v>43195</v>
      </c>
      <c r="Y43" s="45" t="s">
        <v>27</v>
      </c>
      <c r="Z43" s="45" t="s">
        <v>27</v>
      </c>
      <c r="AA43" s="45" t="s">
        <v>27</v>
      </c>
      <c r="AB43" s="45"/>
      <c r="AC43" s="169"/>
    </row>
    <row r="44" spans="1:29" ht="15" hidden="1" customHeight="1">
      <c r="A44" s="44" t="s">
        <v>0</v>
      </c>
      <c r="B44" s="44" t="s">
        <v>161</v>
      </c>
      <c r="C44" s="51" t="s">
        <v>27</v>
      </c>
      <c r="D44" s="43" t="s">
        <v>2758</v>
      </c>
      <c r="E44" s="43" t="s">
        <v>17</v>
      </c>
      <c r="F44" s="57" t="s">
        <v>162</v>
      </c>
      <c r="G44" s="44" t="s">
        <v>163</v>
      </c>
      <c r="H44" s="44" t="s">
        <v>20</v>
      </c>
      <c r="I44" s="44" t="s">
        <v>21</v>
      </c>
      <c r="J44" s="44" t="s">
        <v>3678</v>
      </c>
      <c r="K44" s="44" t="s">
        <v>26</v>
      </c>
      <c r="L44" s="44" t="s">
        <v>211</v>
      </c>
      <c r="M44" s="44" t="s">
        <v>27</v>
      </c>
      <c r="N44" s="43" t="s">
        <v>22</v>
      </c>
      <c r="O44" s="43"/>
      <c r="P44" s="110"/>
      <c r="Q44" s="110" t="s">
        <v>38</v>
      </c>
      <c r="R44" s="44"/>
      <c r="S44" s="44"/>
      <c r="T44" s="44">
        <v>9513421184</v>
      </c>
      <c r="U44" s="49">
        <v>440152238400</v>
      </c>
      <c r="V44" s="49"/>
      <c r="W44" s="49"/>
      <c r="X44" s="75">
        <v>43195</v>
      </c>
      <c r="Y44" s="45" t="s">
        <v>27</v>
      </c>
      <c r="Z44" s="45" t="s">
        <v>27</v>
      </c>
      <c r="AA44" s="45" t="s">
        <v>27</v>
      </c>
      <c r="AB44" s="45"/>
      <c r="AC44" s="169"/>
    </row>
    <row r="45" spans="1:29" ht="15" hidden="1" customHeight="1" thickBot="1">
      <c r="A45" s="44" t="s">
        <v>0</v>
      </c>
      <c r="B45" s="44" t="s">
        <v>164</v>
      </c>
      <c r="C45" s="44" t="s">
        <v>22</v>
      </c>
      <c r="D45" s="43" t="s">
        <v>2758</v>
      </c>
      <c r="E45" s="43" t="s">
        <v>17</v>
      </c>
      <c r="F45" s="44" t="s">
        <v>165</v>
      </c>
      <c r="G45" s="44"/>
      <c r="H45" s="44" t="s">
        <v>20</v>
      </c>
      <c r="I45" s="44"/>
      <c r="J45" s="44"/>
      <c r="K45" s="214" t="s">
        <v>26</v>
      </c>
      <c r="L45" s="44" t="s">
        <v>211</v>
      </c>
      <c r="M45" s="44"/>
      <c r="N45" s="43"/>
      <c r="O45" s="43"/>
      <c r="P45" s="43"/>
      <c r="Q45" s="43">
        <v>40125</v>
      </c>
      <c r="R45" s="44"/>
      <c r="S45" s="44"/>
      <c r="T45" s="44"/>
      <c r="U45" s="49"/>
      <c r="V45" s="49"/>
      <c r="W45" s="49"/>
      <c r="X45" s="76">
        <v>43180</v>
      </c>
      <c r="Y45" s="45" t="s">
        <v>22</v>
      </c>
      <c r="Z45" s="45" t="s">
        <v>22</v>
      </c>
      <c r="AA45" s="45" t="s">
        <v>22</v>
      </c>
      <c r="AB45" s="45" t="s">
        <v>2475</v>
      </c>
      <c r="AC45" s="169" t="s">
        <v>1687</v>
      </c>
    </row>
    <row r="46" spans="1:29" ht="15" hidden="1" customHeight="1">
      <c r="A46" s="44" t="s">
        <v>0</v>
      </c>
      <c r="B46" s="44" t="s">
        <v>166</v>
      </c>
      <c r="C46" s="51" t="s">
        <v>22</v>
      </c>
      <c r="D46" s="43" t="s">
        <v>2758</v>
      </c>
      <c r="E46" s="43" t="s">
        <v>17</v>
      </c>
      <c r="F46" s="44" t="s">
        <v>167</v>
      </c>
      <c r="G46" s="44" t="s">
        <v>168</v>
      </c>
      <c r="H46" s="44" t="s">
        <v>20</v>
      </c>
      <c r="I46" s="44" t="s">
        <v>60</v>
      </c>
      <c r="J46" s="44" t="s">
        <v>3679</v>
      </c>
      <c r="K46" s="95" t="s">
        <v>3664</v>
      </c>
      <c r="L46" s="44" t="s">
        <v>211</v>
      </c>
      <c r="M46" s="44" t="s">
        <v>22</v>
      </c>
      <c r="N46" s="43" t="s">
        <v>22</v>
      </c>
      <c r="O46" s="43"/>
      <c r="P46" s="43"/>
      <c r="Q46" s="43">
        <v>40128</v>
      </c>
      <c r="R46" s="44"/>
      <c r="S46" s="44"/>
      <c r="T46" s="44"/>
      <c r="U46" s="49"/>
      <c r="V46" s="49"/>
      <c r="W46" s="49"/>
      <c r="X46" s="75">
        <v>43195</v>
      </c>
      <c r="Y46" s="45" t="s">
        <v>27</v>
      </c>
      <c r="Z46" s="45" t="s">
        <v>27</v>
      </c>
      <c r="AA46" s="45" t="s">
        <v>22</v>
      </c>
      <c r="AB46" s="45"/>
      <c r="AC46" s="169" t="s">
        <v>4399</v>
      </c>
    </row>
    <row r="47" spans="1:29" ht="15" hidden="1" customHeight="1">
      <c r="A47" s="44" t="s">
        <v>0</v>
      </c>
      <c r="B47" s="44" t="s">
        <v>169</v>
      </c>
      <c r="C47" s="44" t="s">
        <v>27</v>
      </c>
      <c r="D47" s="43" t="s">
        <v>25</v>
      </c>
      <c r="E47" s="43" t="s">
        <v>17</v>
      </c>
      <c r="F47" s="44" t="s">
        <v>170</v>
      </c>
      <c r="G47" s="44" t="s">
        <v>171</v>
      </c>
      <c r="H47" s="44" t="s">
        <v>20</v>
      </c>
      <c r="I47" s="44" t="s">
        <v>21</v>
      </c>
      <c r="J47" s="44" t="s">
        <v>24</v>
      </c>
      <c r="K47" s="43" t="s">
        <v>26</v>
      </c>
      <c r="L47" s="44" t="s">
        <v>211</v>
      </c>
      <c r="M47" s="44" t="s">
        <v>22</v>
      </c>
      <c r="N47" s="43" t="s">
        <v>22</v>
      </c>
      <c r="O47" s="43"/>
      <c r="P47" s="43"/>
      <c r="Q47" s="43">
        <v>40120</v>
      </c>
      <c r="R47" s="44"/>
      <c r="S47" s="44"/>
      <c r="T47" s="44">
        <v>7338636224</v>
      </c>
      <c r="U47" s="49">
        <v>440152238930</v>
      </c>
      <c r="V47" s="49"/>
      <c r="W47" s="49"/>
      <c r="X47" s="75">
        <v>43195</v>
      </c>
      <c r="Y47" s="45" t="s">
        <v>27</v>
      </c>
      <c r="Z47" s="45" t="s">
        <v>27</v>
      </c>
      <c r="AA47" s="45" t="s">
        <v>27</v>
      </c>
      <c r="AB47" s="45"/>
      <c r="AC47" s="169"/>
    </row>
    <row r="48" spans="1:29" ht="15" hidden="1" customHeight="1">
      <c r="A48" s="44" t="s">
        <v>0</v>
      </c>
      <c r="B48" s="44" t="s">
        <v>172</v>
      </c>
      <c r="C48" s="51" t="s">
        <v>27</v>
      </c>
      <c r="D48" s="43" t="s">
        <v>2758</v>
      </c>
      <c r="E48" s="43" t="s">
        <v>17</v>
      </c>
      <c r="F48" s="57" t="s">
        <v>173</v>
      </c>
      <c r="G48" s="44" t="s">
        <v>174</v>
      </c>
      <c r="H48" s="44" t="s">
        <v>20</v>
      </c>
      <c r="I48" s="44" t="s">
        <v>60</v>
      </c>
      <c r="J48" s="43" t="s">
        <v>3680</v>
      </c>
      <c r="K48" s="65" t="s">
        <v>3663</v>
      </c>
      <c r="L48" s="44" t="s">
        <v>211</v>
      </c>
      <c r="M48" s="44" t="s">
        <v>22</v>
      </c>
      <c r="N48" s="43" t="s">
        <v>22</v>
      </c>
      <c r="O48" s="43"/>
      <c r="P48" s="43"/>
      <c r="Q48" s="43">
        <v>40198</v>
      </c>
      <c r="R48" s="44"/>
      <c r="S48" s="44"/>
      <c r="T48" s="44">
        <v>9606480570</v>
      </c>
      <c r="U48" s="49">
        <v>440152219730</v>
      </c>
      <c r="V48" s="49"/>
      <c r="W48" s="49"/>
      <c r="X48" s="75">
        <v>43195</v>
      </c>
      <c r="Y48" s="45" t="s">
        <v>27</v>
      </c>
      <c r="Z48" s="45" t="s">
        <v>27</v>
      </c>
      <c r="AA48" s="45" t="s">
        <v>27</v>
      </c>
      <c r="AB48" s="45"/>
      <c r="AC48" s="169"/>
    </row>
    <row r="49" spans="1:29" ht="15" hidden="1" customHeight="1">
      <c r="A49" s="44" t="s">
        <v>0</v>
      </c>
      <c r="B49" s="44" t="s">
        <v>175</v>
      </c>
      <c r="C49" s="51" t="s">
        <v>22</v>
      </c>
      <c r="D49" s="43" t="s">
        <v>2758</v>
      </c>
      <c r="E49" s="43" t="s">
        <v>17</v>
      </c>
      <c r="F49" s="57" t="s">
        <v>176</v>
      </c>
      <c r="G49" s="44" t="s">
        <v>177</v>
      </c>
      <c r="H49" s="44" t="s">
        <v>20</v>
      </c>
      <c r="I49" s="44" t="s">
        <v>60</v>
      </c>
      <c r="J49" s="44" t="s">
        <v>3668</v>
      </c>
      <c r="K49" s="95" t="s">
        <v>3665</v>
      </c>
      <c r="L49" s="44" t="s">
        <v>211</v>
      </c>
      <c r="M49" s="44" t="s">
        <v>22</v>
      </c>
      <c r="N49" s="43" t="s">
        <v>22</v>
      </c>
      <c r="O49" s="43" t="s">
        <v>3639</v>
      </c>
      <c r="P49" s="43"/>
      <c r="Q49" s="43">
        <v>40199</v>
      </c>
      <c r="R49" s="44"/>
      <c r="S49" s="44"/>
      <c r="T49" s="44">
        <v>9606480569</v>
      </c>
      <c r="U49" s="49">
        <v>440152239951</v>
      </c>
      <c r="V49" s="49"/>
      <c r="W49" s="49"/>
      <c r="X49" s="75">
        <v>43195</v>
      </c>
      <c r="Y49" s="45" t="s">
        <v>27</v>
      </c>
      <c r="Z49" s="45" t="s">
        <v>27</v>
      </c>
      <c r="AA49" s="45" t="s">
        <v>27</v>
      </c>
      <c r="AB49" s="45"/>
      <c r="AC49" s="169" t="s">
        <v>4400</v>
      </c>
    </row>
    <row r="50" spans="1:29" ht="15" customHeight="1">
      <c r="A50" s="44" t="s">
        <v>0</v>
      </c>
      <c r="B50" s="44" t="s">
        <v>178</v>
      </c>
      <c r="C50" s="43" t="s">
        <v>27</v>
      </c>
      <c r="D50" s="43" t="s">
        <v>2758</v>
      </c>
      <c r="E50" s="43" t="s">
        <v>17</v>
      </c>
      <c r="F50" s="57" t="s">
        <v>179</v>
      </c>
      <c r="G50" s="44" t="s">
        <v>180</v>
      </c>
      <c r="H50" s="44" t="s">
        <v>3084</v>
      </c>
      <c r="I50" s="44" t="s">
        <v>21</v>
      </c>
      <c r="J50" s="44" t="s">
        <v>24</v>
      </c>
      <c r="K50" s="43" t="s">
        <v>26</v>
      </c>
      <c r="L50" s="44" t="s">
        <v>5368</v>
      </c>
      <c r="M50" s="44" t="s">
        <v>22</v>
      </c>
      <c r="N50" s="43" t="s">
        <v>22</v>
      </c>
      <c r="O50" s="43" t="s">
        <v>3639</v>
      </c>
      <c r="P50" s="43"/>
      <c r="Q50" s="43">
        <v>40200</v>
      </c>
      <c r="R50" s="44"/>
      <c r="S50" s="44"/>
      <c r="T50" s="50">
        <v>9606480568</v>
      </c>
      <c r="U50" s="49">
        <v>440152238936</v>
      </c>
      <c r="V50" s="49"/>
      <c r="W50" s="49"/>
      <c r="X50" s="75">
        <v>43195</v>
      </c>
      <c r="Y50" s="45" t="s">
        <v>27</v>
      </c>
      <c r="Z50" s="45" t="s">
        <v>27</v>
      </c>
      <c r="AA50" s="45" t="s">
        <v>27</v>
      </c>
      <c r="AB50" s="45"/>
      <c r="AC50" s="51" t="s">
        <v>6709</v>
      </c>
    </row>
    <row r="51" spans="1:29" ht="15" hidden="1" customHeight="1">
      <c r="A51" s="44" t="s">
        <v>0</v>
      </c>
      <c r="B51" s="44" t="s">
        <v>181</v>
      </c>
      <c r="C51" s="51" t="s">
        <v>22</v>
      </c>
      <c r="D51" s="43" t="s">
        <v>2758</v>
      </c>
      <c r="E51" s="43" t="s">
        <v>17</v>
      </c>
      <c r="F51" s="57" t="s">
        <v>182</v>
      </c>
      <c r="G51" s="44" t="s">
        <v>183</v>
      </c>
      <c r="H51" s="44" t="s">
        <v>20</v>
      </c>
      <c r="I51" s="44" t="s">
        <v>60</v>
      </c>
      <c r="J51" s="44" t="s">
        <v>3668</v>
      </c>
      <c r="K51" s="95" t="s">
        <v>3666</v>
      </c>
      <c r="L51" s="44" t="s">
        <v>211</v>
      </c>
      <c r="M51" s="44" t="s">
        <v>22</v>
      </c>
      <c r="N51" s="43" t="s">
        <v>22</v>
      </c>
      <c r="O51" s="43"/>
      <c r="P51" s="43"/>
      <c r="Q51" s="43">
        <v>40201</v>
      </c>
      <c r="R51" s="44"/>
      <c r="S51" s="44"/>
      <c r="T51" s="58" t="s">
        <v>184</v>
      </c>
      <c r="U51" s="49">
        <v>440152239962</v>
      </c>
      <c r="V51" s="49"/>
      <c r="W51" s="49"/>
      <c r="X51" s="75">
        <v>43195</v>
      </c>
      <c r="Y51" s="45" t="s">
        <v>27</v>
      </c>
      <c r="Z51" s="45" t="s">
        <v>27</v>
      </c>
      <c r="AA51" s="45" t="s">
        <v>22</v>
      </c>
      <c r="AB51" s="45"/>
      <c r="AC51" s="169" t="s">
        <v>4401</v>
      </c>
    </row>
    <row r="52" spans="1:29" ht="15" customHeight="1">
      <c r="A52" s="44" t="s">
        <v>0</v>
      </c>
      <c r="B52" s="44" t="s">
        <v>185</v>
      </c>
      <c r="C52" s="44" t="s">
        <v>27</v>
      </c>
      <c r="D52" s="43"/>
      <c r="E52" s="43" t="s">
        <v>5533</v>
      </c>
      <c r="F52" s="57" t="s">
        <v>186</v>
      </c>
      <c r="G52" s="44" t="s">
        <v>187</v>
      </c>
      <c r="H52" s="44" t="s">
        <v>3084</v>
      </c>
      <c r="I52" s="44" t="s">
        <v>21</v>
      </c>
      <c r="J52" s="44" t="s">
        <v>37</v>
      </c>
      <c r="K52" s="43" t="s">
        <v>337</v>
      </c>
      <c r="L52" s="44" t="s">
        <v>5368</v>
      </c>
      <c r="M52" s="44" t="s">
        <v>22</v>
      </c>
      <c r="N52" s="43" t="s">
        <v>22</v>
      </c>
      <c r="O52" s="43"/>
      <c r="P52" s="43"/>
      <c r="Q52" s="43">
        <v>40202</v>
      </c>
      <c r="R52" s="44"/>
      <c r="S52" s="44"/>
      <c r="T52" s="44">
        <v>9606480566</v>
      </c>
      <c r="U52" s="49">
        <v>440152238386</v>
      </c>
      <c r="V52" s="49"/>
      <c r="W52" s="49"/>
      <c r="X52" s="75">
        <v>43195</v>
      </c>
      <c r="Y52" s="45" t="s">
        <v>27</v>
      </c>
      <c r="Z52" s="45" t="s">
        <v>27</v>
      </c>
      <c r="AA52" s="45" t="s">
        <v>349</v>
      </c>
      <c r="AB52" s="45"/>
      <c r="AC52" s="51" t="s">
        <v>7123</v>
      </c>
    </row>
    <row r="53" spans="1:29" ht="15" hidden="1" customHeight="1">
      <c r="A53" s="44" t="s">
        <v>0</v>
      </c>
      <c r="B53" s="44" t="s">
        <v>188</v>
      </c>
      <c r="C53" s="44" t="s">
        <v>27</v>
      </c>
      <c r="D53" s="43" t="s">
        <v>2760</v>
      </c>
      <c r="E53" s="43" t="s">
        <v>17</v>
      </c>
      <c r="F53" s="57" t="s">
        <v>189</v>
      </c>
      <c r="G53" s="44" t="s">
        <v>190</v>
      </c>
      <c r="H53" s="44" t="s">
        <v>20</v>
      </c>
      <c r="I53" s="44" t="s">
        <v>21</v>
      </c>
      <c r="J53" s="44" t="s">
        <v>24</v>
      </c>
      <c r="K53" s="43" t="s">
        <v>26</v>
      </c>
      <c r="L53" s="44" t="s">
        <v>211</v>
      </c>
      <c r="M53" s="44" t="s">
        <v>22</v>
      </c>
      <c r="N53" s="43" t="s">
        <v>22</v>
      </c>
      <c r="O53" s="43" t="s">
        <v>3639</v>
      </c>
      <c r="P53" s="43"/>
      <c r="Q53" s="43">
        <v>40203</v>
      </c>
      <c r="R53" s="44"/>
      <c r="S53" s="44"/>
      <c r="T53" s="44"/>
      <c r="U53" s="49">
        <v>440152237428</v>
      </c>
      <c r="V53" s="49"/>
      <c r="W53" s="44"/>
      <c r="X53" s="75">
        <v>43195</v>
      </c>
      <c r="Y53" s="45" t="s">
        <v>27</v>
      </c>
      <c r="Z53" s="45" t="s">
        <v>27</v>
      </c>
      <c r="AA53" s="45" t="s">
        <v>27</v>
      </c>
      <c r="AB53" s="45"/>
      <c r="AC53" s="169"/>
    </row>
    <row r="54" spans="1:29" ht="15" hidden="1" customHeight="1">
      <c r="A54" s="44" t="s">
        <v>0</v>
      </c>
      <c r="B54" s="44" t="s">
        <v>191</v>
      </c>
      <c r="C54" s="44"/>
      <c r="D54" s="44"/>
      <c r="E54" s="43" t="s">
        <v>17</v>
      </c>
      <c r="F54" s="57" t="s">
        <v>192</v>
      </c>
      <c r="G54" s="44" t="s">
        <v>193</v>
      </c>
      <c r="H54" s="44" t="s">
        <v>96</v>
      </c>
      <c r="I54" s="44" t="s">
        <v>21</v>
      </c>
      <c r="J54" s="44" t="s">
        <v>24</v>
      </c>
      <c r="K54" s="43" t="s">
        <v>26</v>
      </c>
      <c r="L54" s="44" t="s">
        <v>97</v>
      </c>
      <c r="M54" s="44" t="s">
        <v>22</v>
      </c>
      <c r="N54" s="43" t="s">
        <v>22</v>
      </c>
      <c r="O54" s="43"/>
      <c r="P54" s="43"/>
      <c r="Q54" s="43"/>
      <c r="R54" s="44"/>
      <c r="S54" s="44"/>
      <c r="T54" s="44">
        <v>9901220354</v>
      </c>
      <c r="U54" s="49">
        <v>354999010649999</v>
      </c>
      <c r="V54" s="49"/>
      <c r="W54" s="49"/>
      <c r="X54" s="76"/>
      <c r="Y54" s="45" t="s">
        <v>27</v>
      </c>
      <c r="Z54" s="45" t="s">
        <v>27</v>
      </c>
      <c r="AA54" s="45" t="s">
        <v>27</v>
      </c>
      <c r="AB54" s="45"/>
      <c r="AC54" s="169"/>
    </row>
    <row r="55" spans="1:29" ht="15" hidden="1" customHeight="1">
      <c r="A55" s="44" t="s">
        <v>0</v>
      </c>
      <c r="B55" s="44" t="s">
        <v>194</v>
      </c>
      <c r="C55" s="44" t="s">
        <v>27</v>
      </c>
      <c r="D55" s="43" t="s">
        <v>25</v>
      </c>
      <c r="E55" s="43" t="s">
        <v>17</v>
      </c>
      <c r="F55" s="57" t="s">
        <v>195</v>
      </c>
      <c r="G55" s="44" t="s">
        <v>196</v>
      </c>
      <c r="H55" s="44" t="s">
        <v>20</v>
      </c>
      <c r="I55" s="44" t="s">
        <v>21</v>
      </c>
      <c r="J55" s="44" t="s">
        <v>24</v>
      </c>
      <c r="K55" s="43" t="s">
        <v>26</v>
      </c>
      <c r="L55" s="44" t="s">
        <v>211</v>
      </c>
      <c r="M55" s="44" t="s">
        <v>22</v>
      </c>
      <c r="N55" s="43" t="s">
        <v>22</v>
      </c>
      <c r="O55" s="43"/>
      <c r="P55" s="43"/>
      <c r="Q55" s="43">
        <v>40205</v>
      </c>
      <c r="R55" s="44"/>
      <c r="S55" s="44"/>
      <c r="T55" s="44">
        <v>7349781102</v>
      </c>
      <c r="U55" s="49">
        <v>440152238929</v>
      </c>
      <c r="V55" s="49"/>
      <c r="W55" s="49"/>
      <c r="X55" s="75">
        <v>43195</v>
      </c>
      <c r="Y55" s="45" t="s">
        <v>27</v>
      </c>
      <c r="Z55" s="45" t="s">
        <v>27</v>
      </c>
      <c r="AA55" s="45" t="s">
        <v>27</v>
      </c>
      <c r="AB55" s="45"/>
      <c r="AC55" s="169"/>
    </row>
    <row r="56" spans="1:29" ht="15" hidden="1" customHeight="1">
      <c r="A56" s="44" t="s">
        <v>0</v>
      </c>
      <c r="B56" s="44" t="s">
        <v>197</v>
      </c>
      <c r="C56" s="44" t="s">
        <v>27</v>
      </c>
      <c r="D56" s="43" t="s">
        <v>2760</v>
      </c>
      <c r="E56" s="43" t="s">
        <v>17</v>
      </c>
      <c r="F56" s="57" t="s">
        <v>198</v>
      </c>
      <c r="G56" s="44" t="s">
        <v>199</v>
      </c>
      <c r="H56" s="44" t="s">
        <v>20</v>
      </c>
      <c r="I56" s="44" t="s">
        <v>21</v>
      </c>
      <c r="J56" s="44" t="s">
        <v>500</v>
      </c>
      <c r="K56" s="43" t="s">
        <v>26</v>
      </c>
      <c r="L56" s="44" t="s">
        <v>211</v>
      </c>
      <c r="M56" s="44" t="s">
        <v>22</v>
      </c>
      <c r="N56" s="43" t="s">
        <v>22</v>
      </c>
      <c r="O56" s="43"/>
      <c r="P56" s="43"/>
      <c r="Q56" s="43">
        <v>40206</v>
      </c>
      <c r="R56" s="44"/>
      <c r="S56" s="44"/>
      <c r="T56" s="44">
        <v>9513471194</v>
      </c>
      <c r="U56" s="49">
        <v>440152218141</v>
      </c>
      <c r="V56" s="49"/>
      <c r="W56" s="49"/>
      <c r="X56" s="75">
        <v>43195</v>
      </c>
      <c r="Y56" s="45" t="s">
        <v>27</v>
      </c>
      <c r="Z56" s="45" t="s">
        <v>27</v>
      </c>
      <c r="AA56" s="45" t="s">
        <v>27</v>
      </c>
      <c r="AB56" s="45"/>
      <c r="AC56" s="169"/>
    </row>
    <row r="57" spans="1:29" ht="15" hidden="1" customHeight="1">
      <c r="A57" s="44" t="s">
        <v>0</v>
      </c>
      <c r="B57" s="44" t="s">
        <v>200</v>
      </c>
      <c r="C57" s="44" t="s">
        <v>27</v>
      </c>
      <c r="D57" s="43" t="s">
        <v>2760</v>
      </c>
      <c r="E57" s="43" t="s">
        <v>17</v>
      </c>
      <c r="F57" s="57" t="s">
        <v>201</v>
      </c>
      <c r="G57" s="43" t="s">
        <v>202</v>
      </c>
      <c r="H57" s="44" t="s">
        <v>20</v>
      </c>
      <c r="I57" s="43" t="s">
        <v>21</v>
      </c>
      <c r="J57" s="44" t="s">
        <v>24</v>
      </c>
      <c r="K57" s="43" t="s">
        <v>26</v>
      </c>
      <c r="L57" s="43" t="s">
        <v>211</v>
      </c>
      <c r="M57" s="44" t="s">
        <v>22</v>
      </c>
      <c r="N57" s="43" t="s">
        <v>22</v>
      </c>
      <c r="O57" s="43" t="s">
        <v>3639</v>
      </c>
      <c r="P57" s="43"/>
      <c r="Q57" s="43">
        <v>40207</v>
      </c>
      <c r="R57" s="43"/>
      <c r="S57" s="44"/>
      <c r="T57" s="44">
        <v>9606480564</v>
      </c>
      <c r="U57" s="49">
        <v>440152238931</v>
      </c>
      <c r="V57" s="49"/>
      <c r="W57" s="49"/>
      <c r="X57" s="75">
        <v>43195</v>
      </c>
      <c r="Y57" s="45" t="s">
        <v>27</v>
      </c>
      <c r="Z57" s="45" t="s">
        <v>27</v>
      </c>
      <c r="AA57" s="45" t="s">
        <v>27</v>
      </c>
      <c r="AB57" s="45"/>
      <c r="AC57" s="169"/>
    </row>
    <row r="58" spans="1:29" s="68" customFormat="1" ht="15" hidden="1" customHeight="1">
      <c r="A58" s="62" t="s">
        <v>0</v>
      </c>
      <c r="B58" s="46" t="s">
        <v>493</v>
      </c>
      <c r="C58" s="46" t="s">
        <v>27</v>
      </c>
      <c r="D58" s="67" t="s">
        <v>2758</v>
      </c>
      <c r="E58" s="62" t="s">
        <v>17</v>
      </c>
      <c r="F58" s="62" t="s">
        <v>494</v>
      </c>
      <c r="G58" s="43" t="s">
        <v>214</v>
      </c>
      <c r="H58" s="62" t="s">
        <v>20</v>
      </c>
      <c r="I58" s="43" t="s">
        <v>60</v>
      </c>
      <c r="J58" s="43" t="s">
        <v>3671</v>
      </c>
      <c r="K58" s="95" t="s">
        <v>3663</v>
      </c>
      <c r="L58" s="43" t="s">
        <v>211</v>
      </c>
      <c r="M58" s="62" t="s">
        <v>22</v>
      </c>
      <c r="N58" s="62" t="s">
        <v>22</v>
      </c>
      <c r="O58" s="62"/>
      <c r="P58" s="111"/>
      <c r="Q58" s="111">
        <v>40222</v>
      </c>
      <c r="R58" s="43"/>
      <c r="S58" s="63"/>
      <c r="T58" s="44">
        <v>7406177166</v>
      </c>
      <c r="U58" s="49">
        <v>440152237448</v>
      </c>
      <c r="V58" s="49"/>
      <c r="W58" s="49"/>
      <c r="X58" s="75">
        <v>43195</v>
      </c>
      <c r="Y58" s="45" t="s">
        <v>27</v>
      </c>
      <c r="Z58" s="45" t="s">
        <v>27</v>
      </c>
      <c r="AA58" s="45" t="s">
        <v>27</v>
      </c>
      <c r="AB58" s="45"/>
      <c r="AC58" s="169"/>
    </row>
    <row r="59" spans="1:29" s="68" customFormat="1" ht="15" hidden="1" customHeight="1">
      <c r="A59" s="62" t="s">
        <v>0</v>
      </c>
      <c r="B59" s="43" t="s">
        <v>495</v>
      </c>
      <c r="C59" s="44" t="s">
        <v>22</v>
      </c>
      <c r="D59" s="43" t="s">
        <v>2760</v>
      </c>
      <c r="E59" s="62" t="s">
        <v>17</v>
      </c>
      <c r="F59" s="62" t="s">
        <v>496</v>
      </c>
      <c r="G59" s="43" t="s">
        <v>497</v>
      </c>
      <c r="H59" s="62" t="s">
        <v>20</v>
      </c>
      <c r="I59" s="43" t="s">
        <v>21</v>
      </c>
      <c r="J59" s="44" t="s">
        <v>24</v>
      </c>
      <c r="K59" s="43" t="s">
        <v>26</v>
      </c>
      <c r="L59" s="43" t="s">
        <v>211</v>
      </c>
      <c r="M59" s="62" t="s">
        <v>22</v>
      </c>
      <c r="N59" s="62" t="s">
        <v>22</v>
      </c>
      <c r="O59" s="62"/>
      <c r="P59" s="62"/>
      <c r="Q59" s="62">
        <v>40218</v>
      </c>
      <c r="R59" s="43"/>
      <c r="S59" s="63"/>
      <c r="T59" s="44">
        <v>7625047621</v>
      </c>
      <c r="U59" s="49">
        <v>440152239952</v>
      </c>
      <c r="V59" s="49"/>
      <c r="W59" s="49"/>
      <c r="X59" s="75">
        <v>43195</v>
      </c>
      <c r="Y59" s="45" t="s">
        <v>27</v>
      </c>
      <c r="Z59" s="45" t="s">
        <v>27</v>
      </c>
      <c r="AA59" s="45" t="s">
        <v>27</v>
      </c>
      <c r="AB59" s="45"/>
      <c r="AC59" s="169" t="s">
        <v>4411</v>
      </c>
    </row>
    <row r="60" spans="1:29" s="68" customFormat="1" ht="15" hidden="1" customHeight="1">
      <c r="A60" s="62" t="s">
        <v>0</v>
      </c>
      <c r="B60" s="43" t="s">
        <v>498</v>
      </c>
      <c r="C60" s="51" t="s">
        <v>27</v>
      </c>
      <c r="D60" s="43" t="s">
        <v>2758</v>
      </c>
      <c r="E60" s="62" t="s">
        <v>17</v>
      </c>
      <c r="F60" s="62" t="s">
        <v>499</v>
      </c>
      <c r="G60" s="43" t="s">
        <v>250</v>
      </c>
      <c r="H60" s="62" t="s">
        <v>20</v>
      </c>
      <c r="I60" s="43" t="s">
        <v>60</v>
      </c>
      <c r="J60" s="44" t="s">
        <v>3668</v>
      </c>
      <c r="K60" s="95" t="s">
        <v>3665</v>
      </c>
      <c r="L60" s="43" t="s">
        <v>211</v>
      </c>
      <c r="M60" s="62" t="s">
        <v>22</v>
      </c>
      <c r="N60" s="62" t="s">
        <v>22</v>
      </c>
      <c r="O60" s="62" t="s">
        <v>3639</v>
      </c>
      <c r="P60" s="111"/>
      <c r="Q60" s="111">
        <v>40219</v>
      </c>
      <c r="R60" s="43"/>
      <c r="S60" s="63"/>
      <c r="T60" s="44">
        <v>7625047637</v>
      </c>
      <c r="U60" s="49"/>
      <c r="V60" s="49"/>
      <c r="W60" s="49"/>
      <c r="X60" s="75">
        <v>43195</v>
      </c>
      <c r="Y60" s="45" t="s">
        <v>27</v>
      </c>
      <c r="Z60" s="45" t="s">
        <v>27</v>
      </c>
      <c r="AA60" s="45" t="s">
        <v>27</v>
      </c>
      <c r="AB60" s="45"/>
      <c r="AC60" s="169"/>
    </row>
    <row r="61" spans="1:29" s="68" customFormat="1" ht="15" hidden="1" customHeight="1">
      <c r="A61" s="62" t="s">
        <v>0</v>
      </c>
      <c r="B61" s="43" t="s">
        <v>501</v>
      </c>
      <c r="C61" s="44" t="s">
        <v>27</v>
      </c>
      <c r="D61" s="43" t="s">
        <v>2760</v>
      </c>
      <c r="E61" s="62" t="s">
        <v>17</v>
      </c>
      <c r="F61" s="62" t="s">
        <v>502</v>
      </c>
      <c r="G61" s="43" t="s">
        <v>503</v>
      </c>
      <c r="H61" s="62" t="s">
        <v>20</v>
      </c>
      <c r="I61" s="43" t="s">
        <v>21</v>
      </c>
      <c r="J61" s="44" t="s">
        <v>24</v>
      </c>
      <c r="K61" s="43" t="s">
        <v>26</v>
      </c>
      <c r="L61" s="43" t="s">
        <v>211</v>
      </c>
      <c r="M61" s="62" t="s">
        <v>22</v>
      </c>
      <c r="N61" s="62" t="s">
        <v>22</v>
      </c>
      <c r="O61" s="62"/>
      <c r="P61" s="62"/>
      <c r="Q61" s="62">
        <v>40220</v>
      </c>
      <c r="R61" s="43"/>
      <c r="S61" s="63"/>
      <c r="T61" s="44">
        <v>7625047633</v>
      </c>
      <c r="U61" s="49">
        <v>440152238384</v>
      </c>
      <c r="V61" s="49"/>
      <c r="W61" s="49"/>
      <c r="X61" s="75">
        <v>43195</v>
      </c>
      <c r="Y61" s="45" t="s">
        <v>27</v>
      </c>
      <c r="Z61" s="45" t="s">
        <v>27</v>
      </c>
      <c r="AA61" s="45" t="s">
        <v>27</v>
      </c>
      <c r="AB61" s="45"/>
      <c r="AC61" s="169"/>
    </row>
    <row r="62" spans="1:29" s="68" customFormat="1" ht="15" hidden="1" customHeight="1">
      <c r="A62" s="62" t="s">
        <v>0</v>
      </c>
      <c r="B62" s="43" t="s">
        <v>504</v>
      </c>
      <c r="C62" s="51" t="s">
        <v>22</v>
      </c>
      <c r="D62" s="49"/>
      <c r="E62" s="62" t="s">
        <v>17</v>
      </c>
      <c r="F62" s="62" t="s">
        <v>505</v>
      </c>
      <c r="G62" s="43" t="s">
        <v>506</v>
      </c>
      <c r="H62" s="62" t="s">
        <v>20</v>
      </c>
      <c r="I62" s="43" t="s">
        <v>21</v>
      </c>
      <c r="J62" s="49"/>
      <c r="K62" s="212"/>
      <c r="L62" s="43" t="s">
        <v>31</v>
      </c>
      <c r="M62" s="62" t="s">
        <v>22</v>
      </c>
      <c r="N62" s="62" t="s">
        <v>22</v>
      </c>
      <c r="O62" s="62"/>
      <c r="P62" s="62"/>
      <c r="Q62" s="62">
        <v>40221</v>
      </c>
      <c r="R62" s="43"/>
      <c r="S62" s="49"/>
      <c r="T62" s="49"/>
      <c r="U62" s="49"/>
      <c r="V62" s="49"/>
      <c r="W62" s="49"/>
      <c r="X62" s="75">
        <v>43195</v>
      </c>
      <c r="Y62" s="45" t="s">
        <v>22</v>
      </c>
      <c r="Z62" s="45" t="s">
        <v>22</v>
      </c>
      <c r="AA62" s="45" t="s">
        <v>22</v>
      </c>
      <c r="AB62" s="45" t="s">
        <v>2473</v>
      </c>
      <c r="AC62" s="169" t="s">
        <v>2252</v>
      </c>
    </row>
    <row r="63" spans="1:29" s="68" customFormat="1" ht="15" hidden="1" customHeight="1">
      <c r="A63" s="62" t="s">
        <v>0</v>
      </c>
      <c r="B63" s="44" t="s">
        <v>507</v>
      </c>
      <c r="C63" s="44" t="s">
        <v>22</v>
      </c>
      <c r="D63" s="67"/>
      <c r="E63" s="62" t="s">
        <v>17</v>
      </c>
      <c r="F63" s="62" t="s">
        <v>508</v>
      </c>
      <c r="G63" s="43" t="s">
        <v>509</v>
      </c>
      <c r="H63" s="62" t="s">
        <v>20</v>
      </c>
      <c r="I63" s="43" t="s">
        <v>21</v>
      </c>
      <c r="J63" s="44" t="s">
        <v>24</v>
      </c>
      <c r="K63" s="43" t="s">
        <v>26</v>
      </c>
      <c r="L63" s="43" t="s">
        <v>211</v>
      </c>
      <c r="M63" s="62" t="s">
        <v>22</v>
      </c>
      <c r="N63" s="62" t="s">
        <v>27</v>
      </c>
      <c r="O63" s="62"/>
      <c r="P63" s="62"/>
      <c r="Q63" s="62">
        <v>40223</v>
      </c>
      <c r="R63" s="43"/>
      <c r="S63" s="63"/>
      <c r="T63" s="44">
        <v>7625047621</v>
      </c>
      <c r="U63" s="49">
        <v>440152238397</v>
      </c>
      <c r="V63" s="49"/>
      <c r="W63" s="49"/>
      <c r="X63" s="75">
        <v>43216</v>
      </c>
      <c r="Y63" s="45" t="s">
        <v>27</v>
      </c>
      <c r="Z63" s="45" t="s">
        <v>27</v>
      </c>
      <c r="AA63" s="45" t="s">
        <v>27</v>
      </c>
      <c r="AB63" s="45"/>
      <c r="AC63" s="169" t="s">
        <v>3083</v>
      </c>
    </row>
    <row r="64" spans="1:29" s="68" customFormat="1" ht="15" hidden="1" customHeight="1">
      <c r="A64" s="62" t="s">
        <v>0</v>
      </c>
      <c r="B64" s="43" t="s">
        <v>510</v>
      </c>
      <c r="C64" s="44" t="s">
        <v>27</v>
      </c>
      <c r="D64" s="43" t="s">
        <v>2759</v>
      </c>
      <c r="E64" s="62" t="s">
        <v>17</v>
      </c>
      <c r="F64" s="62" t="s">
        <v>511</v>
      </c>
      <c r="G64" s="43" t="s">
        <v>228</v>
      </c>
      <c r="H64" s="62" t="s">
        <v>20</v>
      </c>
      <c r="I64" s="43" t="s">
        <v>21</v>
      </c>
      <c r="J64" s="44" t="s">
        <v>24</v>
      </c>
      <c r="K64" s="43" t="s">
        <v>26</v>
      </c>
      <c r="L64" s="43" t="s">
        <v>211</v>
      </c>
      <c r="M64" s="62" t="s">
        <v>22</v>
      </c>
      <c r="N64" s="62" t="s">
        <v>22</v>
      </c>
      <c r="O64" s="62"/>
      <c r="P64" s="62"/>
      <c r="Q64" s="62">
        <v>40224</v>
      </c>
      <c r="R64" s="43"/>
      <c r="S64" s="63"/>
      <c r="T64" s="44" t="s">
        <v>512</v>
      </c>
      <c r="U64" s="49">
        <v>440152243917</v>
      </c>
      <c r="V64" s="49"/>
      <c r="W64" s="49"/>
      <c r="X64" s="75">
        <v>43195</v>
      </c>
      <c r="Y64" s="45" t="s">
        <v>27</v>
      </c>
      <c r="Z64" s="45" t="s">
        <v>27</v>
      </c>
      <c r="AA64" s="45" t="s">
        <v>27</v>
      </c>
      <c r="AB64" s="45"/>
      <c r="AC64" s="169"/>
    </row>
    <row r="65" spans="1:29" s="68" customFormat="1" ht="15" hidden="1" customHeight="1">
      <c r="A65" s="62" t="s">
        <v>0</v>
      </c>
      <c r="B65" s="43" t="s">
        <v>513</v>
      </c>
      <c r="C65" s="51" t="s">
        <v>27</v>
      </c>
      <c r="D65" s="43" t="s">
        <v>2758</v>
      </c>
      <c r="E65" s="62" t="s">
        <v>17</v>
      </c>
      <c r="F65" s="62" t="s">
        <v>514</v>
      </c>
      <c r="G65" s="43" t="s">
        <v>515</v>
      </c>
      <c r="H65" s="62" t="s">
        <v>20</v>
      </c>
      <c r="I65" s="43" t="s">
        <v>60</v>
      </c>
      <c r="J65" s="44" t="s">
        <v>3668</v>
      </c>
      <c r="K65" s="95" t="s">
        <v>3665</v>
      </c>
      <c r="L65" s="43" t="s">
        <v>211</v>
      </c>
      <c r="M65" s="62" t="s">
        <v>22</v>
      </c>
      <c r="N65" s="62" t="s">
        <v>22</v>
      </c>
      <c r="O65" s="62" t="s">
        <v>3639</v>
      </c>
      <c r="P65" s="111"/>
      <c r="Q65" s="111">
        <v>40225</v>
      </c>
      <c r="R65" s="43"/>
      <c r="S65" s="63"/>
      <c r="T65" s="44">
        <v>7625047668</v>
      </c>
      <c r="U65" s="49">
        <v>440152219826</v>
      </c>
      <c r="V65" s="49"/>
      <c r="W65" s="49"/>
      <c r="X65" s="75">
        <v>43195</v>
      </c>
      <c r="Y65" s="45" t="s">
        <v>27</v>
      </c>
      <c r="Z65" s="45" t="s">
        <v>27</v>
      </c>
      <c r="AA65" s="45" t="s">
        <v>27</v>
      </c>
      <c r="AB65" s="45"/>
      <c r="AC65" s="169"/>
    </row>
    <row r="66" spans="1:29" s="68" customFormat="1" ht="15" hidden="1" customHeight="1">
      <c r="A66" s="62" t="s">
        <v>0</v>
      </c>
      <c r="B66" s="43" t="s">
        <v>516</v>
      </c>
      <c r="C66" s="51" t="s">
        <v>27</v>
      </c>
      <c r="D66" s="43" t="s">
        <v>2758</v>
      </c>
      <c r="E66" s="62" t="s">
        <v>17</v>
      </c>
      <c r="F66" s="62" t="s">
        <v>517</v>
      </c>
      <c r="G66" s="43" t="s">
        <v>243</v>
      </c>
      <c r="H66" s="62" t="s">
        <v>20</v>
      </c>
      <c r="I66" s="43" t="s">
        <v>60</v>
      </c>
      <c r="J66" s="43" t="s">
        <v>3671</v>
      </c>
      <c r="K66" s="44" t="s">
        <v>3663</v>
      </c>
      <c r="L66" s="43" t="s">
        <v>211</v>
      </c>
      <c r="M66" s="62" t="s">
        <v>22</v>
      </c>
      <c r="N66" s="62" t="s">
        <v>22</v>
      </c>
      <c r="O66" s="62"/>
      <c r="P66" s="111"/>
      <c r="Q66" s="111">
        <v>40226</v>
      </c>
      <c r="R66" s="43"/>
      <c r="S66" s="63"/>
      <c r="T66" s="44">
        <v>7625047658</v>
      </c>
      <c r="U66" s="49">
        <v>440152219679</v>
      </c>
      <c r="V66" s="49"/>
      <c r="W66" s="49"/>
      <c r="X66" s="75">
        <v>43195</v>
      </c>
      <c r="Y66" s="45" t="s">
        <v>27</v>
      </c>
      <c r="Z66" s="45" t="s">
        <v>27</v>
      </c>
      <c r="AA66" s="45" t="s">
        <v>27</v>
      </c>
      <c r="AB66" s="45"/>
      <c r="AC66" s="169"/>
    </row>
    <row r="67" spans="1:29" s="68" customFormat="1" ht="15" hidden="1" customHeight="1">
      <c r="A67" s="62" t="s">
        <v>0</v>
      </c>
      <c r="B67" s="43" t="s">
        <v>518</v>
      </c>
      <c r="C67" s="44" t="s">
        <v>27</v>
      </c>
      <c r="D67" s="43" t="s">
        <v>2759</v>
      </c>
      <c r="E67" s="62" t="s">
        <v>17</v>
      </c>
      <c r="F67" s="62" t="s">
        <v>519</v>
      </c>
      <c r="G67" s="43" t="s">
        <v>520</v>
      </c>
      <c r="H67" s="62" t="s">
        <v>20</v>
      </c>
      <c r="I67" s="43" t="s">
        <v>21</v>
      </c>
      <c r="J67" s="44" t="s">
        <v>24</v>
      </c>
      <c r="K67" s="43" t="s">
        <v>26</v>
      </c>
      <c r="L67" s="43" t="s">
        <v>211</v>
      </c>
      <c r="M67" s="62" t="s">
        <v>22</v>
      </c>
      <c r="N67" s="62" t="s">
        <v>22</v>
      </c>
      <c r="O67" s="62"/>
      <c r="P67" s="62"/>
      <c r="Q67" s="62">
        <v>40227</v>
      </c>
      <c r="R67" s="43"/>
      <c r="S67" s="63"/>
      <c r="T67" s="44">
        <v>7625046426</v>
      </c>
      <c r="U67" s="49">
        <v>440152239964</v>
      </c>
      <c r="V67" s="49"/>
      <c r="W67" s="49"/>
      <c r="X67" s="75">
        <v>43195</v>
      </c>
      <c r="Y67" s="45" t="s">
        <v>27</v>
      </c>
      <c r="Z67" s="45" t="s">
        <v>27</v>
      </c>
      <c r="AA67" s="45" t="s">
        <v>27</v>
      </c>
      <c r="AB67" s="45"/>
      <c r="AC67" s="169"/>
    </row>
    <row r="68" spans="1:29" s="68" customFormat="1" ht="15" hidden="1" customHeight="1">
      <c r="A68" s="62" t="s">
        <v>0</v>
      </c>
      <c r="B68" s="44" t="s">
        <v>521</v>
      </c>
      <c r="C68" s="51" t="s">
        <v>22</v>
      </c>
      <c r="D68" s="43" t="s">
        <v>2758</v>
      </c>
      <c r="E68" s="62" t="s">
        <v>17</v>
      </c>
      <c r="F68" s="62" t="s">
        <v>522</v>
      </c>
      <c r="G68" s="43" t="s">
        <v>287</v>
      </c>
      <c r="H68" s="62" t="s">
        <v>20</v>
      </c>
      <c r="I68" s="43" t="s">
        <v>60</v>
      </c>
      <c r="J68" s="44" t="s">
        <v>3670</v>
      </c>
      <c r="K68" s="95" t="s">
        <v>3664</v>
      </c>
      <c r="L68" s="43" t="s">
        <v>211</v>
      </c>
      <c r="M68" s="62" t="s">
        <v>22</v>
      </c>
      <c r="N68" s="62" t="s">
        <v>22</v>
      </c>
      <c r="O68" s="62"/>
      <c r="P68" s="111"/>
      <c r="Q68" s="111">
        <v>40228</v>
      </c>
      <c r="R68" s="43"/>
      <c r="S68" s="63"/>
      <c r="T68" s="44">
        <v>7625047642</v>
      </c>
      <c r="U68" s="49">
        <v>440152219782</v>
      </c>
      <c r="V68" s="49"/>
      <c r="W68" s="49"/>
      <c r="X68" s="75">
        <v>43195</v>
      </c>
      <c r="Y68" s="45" t="s">
        <v>27</v>
      </c>
      <c r="Z68" s="45" t="s">
        <v>27</v>
      </c>
      <c r="AA68" s="45" t="s">
        <v>27</v>
      </c>
      <c r="AB68" s="45"/>
      <c r="AC68" s="169" t="s">
        <v>4402</v>
      </c>
    </row>
    <row r="69" spans="1:29" s="68" customFormat="1" ht="15" hidden="1" customHeight="1">
      <c r="A69" s="62" t="s">
        <v>0</v>
      </c>
      <c r="B69" s="44" t="s">
        <v>523</v>
      </c>
      <c r="C69" s="44" t="s">
        <v>22</v>
      </c>
      <c r="D69" s="43" t="s">
        <v>2759</v>
      </c>
      <c r="E69" s="62" t="s">
        <v>17</v>
      </c>
      <c r="F69" s="62" t="s">
        <v>524</v>
      </c>
      <c r="G69" s="43" t="s">
        <v>525</v>
      </c>
      <c r="H69" s="62" t="s">
        <v>20</v>
      </c>
      <c r="I69" s="43" t="s">
        <v>21</v>
      </c>
      <c r="J69" s="44" t="s">
        <v>24</v>
      </c>
      <c r="K69" s="43" t="s">
        <v>26</v>
      </c>
      <c r="L69" s="43" t="s">
        <v>211</v>
      </c>
      <c r="M69" s="62" t="s">
        <v>22</v>
      </c>
      <c r="N69" s="62" t="s">
        <v>22</v>
      </c>
      <c r="O69" s="62"/>
      <c r="P69" s="62"/>
      <c r="Q69" s="62">
        <v>40229</v>
      </c>
      <c r="R69" s="43"/>
      <c r="S69" s="63"/>
      <c r="T69" s="44">
        <v>7625047628</v>
      </c>
      <c r="U69" s="49">
        <v>440152238918</v>
      </c>
      <c r="V69" s="49"/>
      <c r="W69" s="49"/>
      <c r="X69" s="75">
        <v>43195</v>
      </c>
      <c r="Y69" s="45" t="s">
        <v>27</v>
      </c>
      <c r="Z69" s="45" t="s">
        <v>27</v>
      </c>
      <c r="AA69" s="45" t="s">
        <v>27</v>
      </c>
      <c r="AB69" s="45"/>
      <c r="AC69" s="169" t="s">
        <v>4408</v>
      </c>
    </row>
    <row r="70" spans="1:29" s="68" customFormat="1" ht="15" hidden="1" customHeight="1">
      <c r="A70" s="62" t="s">
        <v>3667</v>
      </c>
      <c r="B70" s="44" t="s">
        <v>526</v>
      </c>
      <c r="C70" s="51" t="s">
        <v>27</v>
      </c>
      <c r="D70" s="43" t="s">
        <v>2758</v>
      </c>
      <c r="E70" s="62" t="s">
        <v>17</v>
      </c>
      <c r="F70" s="62" t="s">
        <v>527</v>
      </c>
      <c r="G70" s="43" t="s">
        <v>528</v>
      </c>
      <c r="H70" s="62" t="s">
        <v>20</v>
      </c>
      <c r="I70" s="43" t="s">
        <v>60</v>
      </c>
      <c r="J70" s="44" t="s">
        <v>3668</v>
      </c>
      <c r="K70" s="95" t="s">
        <v>3666</v>
      </c>
      <c r="L70" s="43" t="s">
        <v>211</v>
      </c>
      <c r="M70" s="62" t="s">
        <v>22</v>
      </c>
      <c r="N70" s="62" t="s">
        <v>27</v>
      </c>
      <c r="O70" s="62"/>
      <c r="P70" s="111"/>
      <c r="Q70" s="111">
        <v>40230</v>
      </c>
      <c r="R70" s="43"/>
      <c r="S70" s="63"/>
      <c r="T70" s="44">
        <v>7406200266</v>
      </c>
      <c r="U70" s="49">
        <v>440152237450</v>
      </c>
      <c r="V70" s="49"/>
      <c r="W70" s="49"/>
      <c r="X70" s="75">
        <v>43195</v>
      </c>
      <c r="Y70" s="45" t="s">
        <v>27</v>
      </c>
      <c r="Z70" s="45" t="s">
        <v>27</v>
      </c>
      <c r="AA70" s="45" t="s">
        <v>27</v>
      </c>
      <c r="AB70" s="45"/>
      <c r="AC70" s="169"/>
    </row>
    <row r="71" spans="1:29" s="68" customFormat="1" ht="15" hidden="1" customHeight="1">
      <c r="A71" s="62" t="s">
        <v>0</v>
      </c>
      <c r="B71" s="44" t="s">
        <v>529</v>
      </c>
      <c r="C71" s="51" t="s">
        <v>27</v>
      </c>
      <c r="D71" s="43" t="s">
        <v>2758</v>
      </c>
      <c r="E71" s="62" t="s">
        <v>17</v>
      </c>
      <c r="F71" s="62" t="s">
        <v>530</v>
      </c>
      <c r="G71" s="43" t="s">
        <v>531</v>
      </c>
      <c r="H71" s="62" t="s">
        <v>20</v>
      </c>
      <c r="I71" s="43" t="s">
        <v>60</v>
      </c>
      <c r="J71" s="43" t="s">
        <v>3680</v>
      </c>
      <c r="K71" s="44" t="s">
        <v>3663</v>
      </c>
      <c r="L71" s="43" t="s">
        <v>211</v>
      </c>
      <c r="M71" s="62" t="s">
        <v>27</v>
      </c>
      <c r="N71" s="62" t="s">
        <v>27</v>
      </c>
      <c r="O71" s="62"/>
      <c r="P71" s="110"/>
      <c r="Q71" s="110" t="s">
        <v>38</v>
      </c>
      <c r="R71" s="43"/>
      <c r="S71" s="63"/>
      <c r="T71" s="44">
        <v>9513421200</v>
      </c>
      <c r="U71" s="49">
        <v>440152238391</v>
      </c>
      <c r="V71" s="49"/>
      <c r="W71" s="49"/>
      <c r="X71" s="75">
        <v>43195</v>
      </c>
      <c r="Y71" s="45" t="s">
        <v>27</v>
      </c>
      <c r="Z71" s="45" t="s">
        <v>27</v>
      </c>
      <c r="AA71" s="45" t="s">
        <v>27</v>
      </c>
      <c r="AB71" s="45"/>
      <c r="AC71" s="169"/>
    </row>
    <row r="72" spans="1:29" s="68" customFormat="1" ht="15" hidden="1" customHeight="1">
      <c r="A72" s="62" t="s">
        <v>0</v>
      </c>
      <c r="B72" s="43" t="s">
        <v>535</v>
      </c>
      <c r="C72" s="51" t="s">
        <v>27</v>
      </c>
      <c r="D72" s="43" t="s">
        <v>2758</v>
      </c>
      <c r="E72" s="62" t="s">
        <v>17</v>
      </c>
      <c r="F72" s="62" t="s">
        <v>536</v>
      </c>
      <c r="G72" s="43" t="s">
        <v>292</v>
      </c>
      <c r="H72" s="62" t="s">
        <v>20</v>
      </c>
      <c r="I72" s="43" t="s">
        <v>60</v>
      </c>
      <c r="J72" s="43" t="s">
        <v>3671</v>
      </c>
      <c r="K72" s="95" t="s">
        <v>3663</v>
      </c>
      <c r="L72" s="43" t="s">
        <v>31</v>
      </c>
      <c r="M72" s="62" t="s">
        <v>22</v>
      </c>
      <c r="N72" s="62" t="s">
        <v>22</v>
      </c>
      <c r="O72" s="62"/>
      <c r="P72" s="62"/>
      <c r="Q72" s="62">
        <v>40234</v>
      </c>
      <c r="R72" s="43"/>
      <c r="S72" s="63"/>
      <c r="T72" s="44">
        <v>7406255266</v>
      </c>
      <c r="U72" s="49">
        <v>440152237449</v>
      </c>
      <c r="V72" s="49"/>
      <c r="W72" s="49"/>
      <c r="X72" s="75">
        <v>43195</v>
      </c>
      <c r="Y72" s="45" t="s">
        <v>27</v>
      </c>
      <c r="Z72" s="45" t="s">
        <v>27</v>
      </c>
      <c r="AA72" s="45" t="s">
        <v>27</v>
      </c>
      <c r="AB72" s="45"/>
      <c r="AC72" s="169"/>
    </row>
    <row r="73" spans="1:29" s="68" customFormat="1" ht="15" hidden="1" customHeight="1">
      <c r="A73" s="62" t="s">
        <v>0</v>
      </c>
      <c r="B73" s="43" t="s">
        <v>537</v>
      </c>
      <c r="C73" s="51" t="s">
        <v>27</v>
      </c>
      <c r="D73" s="43" t="s">
        <v>2758</v>
      </c>
      <c r="E73" s="62" t="s">
        <v>17</v>
      </c>
      <c r="F73" s="62" t="s">
        <v>538</v>
      </c>
      <c r="G73" s="43" t="s">
        <v>539</v>
      </c>
      <c r="H73" s="62" t="s">
        <v>20</v>
      </c>
      <c r="I73" s="43" t="s">
        <v>60</v>
      </c>
      <c r="J73" s="44" t="s">
        <v>3668</v>
      </c>
      <c r="K73" s="95" t="s">
        <v>3666</v>
      </c>
      <c r="L73" s="43" t="s">
        <v>211</v>
      </c>
      <c r="M73" s="62" t="s">
        <v>22</v>
      </c>
      <c r="N73" s="62" t="s">
        <v>27</v>
      </c>
      <c r="O73" s="62"/>
      <c r="P73" s="62"/>
      <c r="Q73" s="62">
        <v>40235</v>
      </c>
      <c r="R73" s="43"/>
      <c r="S73" s="63"/>
      <c r="T73" s="44">
        <v>7406188166</v>
      </c>
      <c r="U73" s="49">
        <v>440152238939</v>
      </c>
      <c r="V73" s="49"/>
      <c r="W73" s="49"/>
      <c r="X73" s="75">
        <v>43195</v>
      </c>
      <c r="Y73" s="45" t="s">
        <v>27</v>
      </c>
      <c r="Z73" s="45" t="s">
        <v>27</v>
      </c>
      <c r="AA73" s="45" t="s">
        <v>27</v>
      </c>
      <c r="AB73" s="45"/>
      <c r="AC73" s="169"/>
    </row>
    <row r="74" spans="1:29" s="68" customFormat="1" ht="15" hidden="1" customHeight="1">
      <c r="A74" s="62" t="s">
        <v>0</v>
      </c>
      <c r="B74" s="43" t="s">
        <v>540</v>
      </c>
      <c r="C74" s="43" t="s">
        <v>27</v>
      </c>
      <c r="D74" s="67" t="s">
        <v>2758</v>
      </c>
      <c r="E74" s="62" t="s">
        <v>17</v>
      </c>
      <c r="F74" s="62" t="s">
        <v>541</v>
      </c>
      <c r="G74" s="43" t="s">
        <v>542</v>
      </c>
      <c r="H74" s="62" t="s">
        <v>20</v>
      </c>
      <c r="I74" s="43" t="s">
        <v>60</v>
      </c>
      <c r="J74" s="44" t="s">
        <v>3668</v>
      </c>
      <c r="K74" s="95" t="s">
        <v>3666</v>
      </c>
      <c r="L74" s="43" t="s">
        <v>211</v>
      </c>
      <c r="M74" s="62" t="s">
        <v>22</v>
      </c>
      <c r="N74" s="62" t="s">
        <v>27</v>
      </c>
      <c r="O74" s="62"/>
      <c r="P74" s="62"/>
      <c r="Q74" s="62">
        <v>40236</v>
      </c>
      <c r="R74" s="43"/>
      <c r="S74" s="63"/>
      <c r="T74" s="44">
        <v>7625047629</v>
      </c>
      <c r="U74" s="49">
        <v>440152219644</v>
      </c>
      <c r="V74" s="49"/>
      <c r="W74" s="49"/>
      <c r="X74" s="75">
        <v>43195</v>
      </c>
      <c r="Y74" s="45" t="s">
        <v>27</v>
      </c>
      <c r="Z74" s="45" t="s">
        <v>27</v>
      </c>
      <c r="AA74" s="45" t="s">
        <v>27</v>
      </c>
      <c r="AB74" s="45"/>
      <c r="AC74" s="169"/>
    </row>
    <row r="75" spans="1:29" s="68" customFormat="1" ht="15" customHeight="1">
      <c r="A75" s="62" t="s">
        <v>0</v>
      </c>
      <c r="B75" s="43" t="s">
        <v>543</v>
      </c>
      <c r="C75" s="44" t="s">
        <v>27</v>
      </c>
      <c r="D75" s="43" t="s">
        <v>25</v>
      </c>
      <c r="E75" s="62" t="s">
        <v>17</v>
      </c>
      <c r="F75" s="62" t="s">
        <v>544</v>
      </c>
      <c r="G75" s="43" t="s">
        <v>264</v>
      </c>
      <c r="H75" s="62" t="s">
        <v>3084</v>
      </c>
      <c r="I75" s="43" t="s">
        <v>21</v>
      </c>
      <c r="J75" s="44" t="s">
        <v>37</v>
      </c>
      <c r="K75" s="43" t="s">
        <v>337</v>
      </c>
      <c r="L75" s="43" t="s">
        <v>31</v>
      </c>
      <c r="M75" s="62" t="s">
        <v>22</v>
      </c>
      <c r="N75" s="62" t="s">
        <v>22</v>
      </c>
      <c r="O75" s="62"/>
      <c r="P75" s="62"/>
      <c r="Q75" s="62">
        <v>40237</v>
      </c>
      <c r="R75" s="43"/>
      <c r="S75" s="63"/>
      <c r="T75" s="44">
        <v>7625047630</v>
      </c>
      <c r="U75" s="49">
        <v>440152238922</v>
      </c>
      <c r="V75" s="49"/>
      <c r="W75" s="49"/>
      <c r="X75" s="75">
        <v>43195</v>
      </c>
      <c r="Y75" s="45" t="s">
        <v>27</v>
      </c>
      <c r="Z75" s="45" t="s">
        <v>27</v>
      </c>
      <c r="AA75" s="45" t="s">
        <v>27</v>
      </c>
      <c r="AB75" s="45"/>
      <c r="AC75" s="51" t="s">
        <v>6866</v>
      </c>
    </row>
    <row r="76" spans="1:29" s="68" customFormat="1" ht="15" hidden="1" customHeight="1">
      <c r="A76" s="62" t="s">
        <v>0</v>
      </c>
      <c r="B76" s="44" t="s">
        <v>552</v>
      </c>
      <c r="C76" s="51" t="s">
        <v>27</v>
      </c>
      <c r="D76" s="43" t="s">
        <v>2758</v>
      </c>
      <c r="E76" s="62" t="s">
        <v>17</v>
      </c>
      <c r="F76" s="62" t="s">
        <v>553</v>
      </c>
      <c r="G76" s="43" t="s">
        <v>554</v>
      </c>
      <c r="H76" s="62" t="s">
        <v>20</v>
      </c>
      <c r="I76" s="43" t="s">
        <v>60</v>
      </c>
      <c r="J76" s="44" t="s">
        <v>3679</v>
      </c>
      <c r="K76" s="95" t="s">
        <v>3664</v>
      </c>
      <c r="L76" s="43" t="s">
        <v>211</v>
      </c>
      <c r="M76" s="62" t="s">
        <v>22</v>
      </c>
      <c r="N76" s="62" t="s">
        <v>22</v>
      </c>
      <c r="O76" s="62"/>
      <c r="P76" s="62"/>
      <c r="Q76" s="62">
        <v>40248</v>
      </c>
      <c r="R76" s="43"/>
      <c r="S76" s="63"/>
      <c r="T76" s="44">
        <v>8095016234</v>
      </c>
      <c r="U76" s="49">
        <v>440152218156</v>
      </c>
      <c r="V76" s="49"/>
      <c r="W76" s="49"/>
      <c r="X76" s="77"/>
      <c r="Y76" s="45" t="s">
        <v>27</v>
      </c>
      <c r="Z76" s="45" t="s">
        <v>27</v>
      </c>
      <c r="AA76" s="45" t="s">
        <v>27</v>
      </c>
      <c r="AB76" s="45"/>
      <c r="AC76" s="169"/>
    </row>
    <row r="77" spans="1:29" s="68" customFormat="1" ht="15" hidden="1" customHeight="1">
      <c r="A77" s="62" t="s">
        <v>0</v>
      </c>
      <c r="B77" s="44" t="s">
        <v>555</v>
      </c>
      <c r="C77" s="44" t="s">
        <v>27</v>
      </c>
      <c r="D77" s="67" t="s">
        <v>2758</v>
      </c>
      <c r="E77" s="62" t="s">
        <v>17</v>
      </c>
      <c r="F77" s="62" t="s">
        <v>556</v>
      </c>
      <c r="G77" s="43" t="s">
        <v>319</v>
      </c>
      <c r="H77" s="62" t="s">
        <v>20</v>
      </c>
      <c r="I77" s="43" t="s">
        <v>60</v>
      </c>
      <c r="J77" s="43" t="s">
        <v>3680</v>
      </c>
      <c r="K77" s="65" t="s">
        <v>3663</v>
      </c>
      <c r="L77" s="43" t="s">
        <v>211</v>
      </c>
      <c r="M77" s="62" t="s">
        <v>22</v>
      </c>
      <c r="N77" s="62" t="s">
        <v>22</v>
      </c>
      <c r="O77" s="62"/>
      <c r="P77" s="62"/>
      <c r="Q77" s="62">
        <v>40249</v>
      </c>
      <c r="R77" s="43"/>
      <c r="S77" s="63"/>
      <c r="T77" s="44">
        <v>8095010789</v>
      </c>
      <c r="U77" s="49">
        <v>440152218156</v>
      </c>
      <c r="V77" s="49"/>
      <c r="W77" s="49"/>
      <c r="X77" s="75">
        <v>43195</v>
      </c>
      <c r="Y77" s="45" t="s">
        <v>27</v>
      </c>
      <c r="Z77" s="45" t="s">
        <v>27</v>
      </c>
      <c r="AA77" s="45" t="s">
        <v>27</v>
      </c>
      <c r="AB77" s="45"/>
      <c r="AC77" s="169"/>
    </row>
    <row r="78" spans="1:29" s="68" customFormat="1" ht="15" hidden="1" customHeight="1">
      <c r="A78" s="62" t="s">
        <v>0</v>
      </c>
      <c r="B78" s="44" t="s">
        <v>557</v>
      </c>
      <c r="C78" s="51" t="s">
        <v>27</v>
      </c>
      <c r="D78" s="43" t="s">
        <v>2758</v>
      </c>
      <c r="E78" s="62" t="s">
        <v>17</v>
      </c>
      <c r="F78" s="62" t="s">
        <v>558</v>
      </c>
      <c r="G78" s="43" t="s">
        <v>559</v>
      </c>
      <c r="H78" s="62" t="s">
        <v>20</v>
      </c>
      <c r="I78" s="43" t="s">
        <v>60</v>
      </c>
      <c r="J78" s="44" t="s">
        <v>3686</v>
      </c>
      <c r="K78" s="65" t="s">
        <v>3663</v>
      </c>
      <c r="L78" s="43" t="s">
        <v>211</v>
      </c>
      <c r="M78" s="62" t="s">
        <v>22</v>
      </c>
      <c r="N78" s="62" t="s">
        <v>22</v>
      </c>
      <c r="O78" s="62"/>
      <c r="P78" s="62"/>
      <c r="Q78" s="62">
        <v>40250</v>
      </c>
      <c r="R78" s="43"/>
      <c r="S78" s="63"/>
      <c r="T78" s="44">
        <v>7625047667</v>
      </c>
      <c r="U78" s="49">
        <v>440152219637</v>
      </c>
      <c r="V78" s="49"/>
      <c r="W78" s="49"/>
      <c r="X78" s="75">
        <v>43195</v>
      </c>
      <c r="Y78" s="45" t="s">
        <v>27</v>
      </c>
      <c r="Z78" s="45" t="s">
        <v>27</v>
      </c>
      <c r="AA78" s="45" t="s">
        <v>27</v>
      </c>
      <c r="AB78" s="45"/>
      <c r="AC78" s="169"/>
    </row>
    <row r="79" spans="1:29" s="68" customFormat="1" ht="15" hidden="1" customHeight="1">
      <c r="A79" s="62" t="s">
        <v>0</v>
      </c>
      <c r="B79" s="46" t="s">
        <v>560</v>
      </c>
      <c r="C79" s="51" t="s">
        <v>27</v>
      </c>
      <c r="D79" s="43" t="s">
        <v>2758</v>
      </c>
      <c r="E79" s="62" t="s">
        <v>17</v>
      </c>
      <c r="F79" s="62" t="s">
        <v>561</v>
      </c>
      <c r="G79" s="43" t="s">
        <v>562</v>
      </c>
      <c r="H79" s="62" t="s">
        <v>20</v>
      </c>
      <c r="I79" s="43" t="s">
        <v>60</v>
      </c>
      <c r="J79" s="44" t="s">
        <v>3679</v>
      </c>
      <c r="K79" s="95" t="s">
        <v>3664</v>
      </c>
      <c r="L79" s="43" t="s">
        <v>211</v>
      </c>
      <c r="M79" s="62" t="s">
        <v>22</v>
      </c>
      <c r="N79" s="62" t="s">
        <v>22</v>
      </c>
      <c r="O79" s="62"/>
      <c r="P79" s="62"/>
      <c r="Q79" s="62">
        <v>40251</v>
      </c>
      <c r="R79" s="43"/>
      <c r="S79" s="63"/>
      <c r="T79" s="44">
        <v>8095015234</v>
      </c>
      <c r="U79" s="49">
        <v>440152219684</v>
      </c>
      <c r="V79" s="49"/>
      <c r="W79" s="49"/>
      <c r="X79" s="75">
        <v>43195</v>
      </c>
      <c r="Y79" s="45" t="s">
        <v>27</v>
      </c>
      <c r="Z79" s="45" t="s">
        <v>27</v>
      </c>
      <c r="AA79" s="45" t="s">
        <v>27</v>
      </c>
      <c r="AB79" s="45"/>
      <c r="AC79" s="169"/>
    </row>
    <row r="80" spans="1:29" s="68" customFormat="1" ht="15" hidden="1" customHeight="1">
      <c r="A80" s="62" t="s">
        <v>0</v>
      </c>
      <c r="B80" s="43" t="s">
        <v>563</v>
      </c>
      <c r="C80" s="43" t="s">
        <v>27</v>
      </c>
      <c r="D80" s="67" t="s">
        <v>2758</v>
      </c>
      <c r="E80" s="62" t="s">
        <v>17</v>
      </c>
      <c r="F80" s="62" t="s">
        <v>564</v>
      </c>
      <c r="G80" s="43" t="s">
        <v>565</v>
      </c>
      <c r="H80" s="62" t="s">
        <v>20</v>
      </c>
      <c r="I80" s="43" t="s">
        <v>60</v>
      </c>
      <c r="J80" s="43" t="s">
        <v>3680</v>
      </c>
      <c r="K80" s="65" t="s">
        <v>3663</v>
      </c>
      <c r="L80" s="43" t="s">
        <v>211</v>
      </c>
      <c r="M80" s="62" t="s">
        <v>22</v>
      </c>
      <c r="N80" s="62" t="s">
        <v>22</v>
      </c>
      <c r="O80" s="62"/>
      <c r="P80" s="62"/>
      <c r="Q80" s="62">
        <v>40252</v>
      </c>
      <c r="R80" s="43"/>
      <c r="S80" s="63"/>
      <c r="T80" s="44">
        <v>8095012789</v>
      </c>
      <c r="U80" s="49">
        <v>440152219643</v>
      </c>
      <c r="V80" s="49"/>
      <c r="W80" s="49"/>
      <c r="X80" s="75">
        <v>43195</v>
      </c>
      <c r="Y80" s="45" t="s">
        <v>27</v>
      </c>
      <c r="Z80" s="45" t="s">
        <v>27</v>
      </c>
      <c r="AA80" s="45" t="s">
        <v>27</v>
      </c>
      <c r="AB80" s="45"/>
      <c r="AC80" s="169"/>
    </row>
    <row r="81" spans="1:29" s="68" customFormat="1" ht="15" hidden="1" customHeight="1">
      <c r="A81" s="62" t="s">
        <v>0</v>
      </c>
      <c r="B81" s="43" t="s">
        <v>566</v>
      </c>
      <c r="C81" s="51" t="s">
        <v>27</v>
      </c>
      <c r="D81" s="43" t="s">
        <v>2758</v>
      </c>
      <c r="E81" s="62" t="s">
        <v>17</v>
      </c>
      <c r="F81" s="62" t="s">
        <v>567</v>
      </c>
      <c r="G81" s="43" t="s">
        <v>218</v>
      </c>
      <c r="H81" s="62" t="s">
        <v>20</v>
      </c>
      <c r="I81" s="43" t="s">
        <v>60</v>
      </c>
      <c r="J81" s="44" t="s">
        <v>3679</v>
      </c>
      <c r="K81" s="95" t="s">
        <v>3664</v>
      </c>
      <c r="L81" s="43" t="s">
        <v>211</v>
      </c>
      <c r="M81" s="62" t="s">
        <v>22</v>
      </c>
      <c r="N81" s="62" t="s">
        <v>22</v>
      </c>
      <c r="O81" s="62"/>
      <c r="P81" s="62"/>
      <c r="Q81" s="62">
        <v>40253</v>
      </c>
      <c r="R81" s="43"/>
      <c r="S81" s="63"/>
      <c r="T81" s="44">
        <v>9916295567</v>
      </c>
      <c r="U81" s="49">
        <v>440152219673</v>
      </c>
      <c r="V81" s="49"/>
      <c r="W81" s="49"/>
      <c r="X81" s="75">
        <v>43195</v>
      </c>
      <c r="Y81" s="45" t="s">
        <v>27</v>
      </c>
      <c r="Z81" s="45" t="s">
        <v>27</v>
      </c>
      <c r="AA81" s="45" t="s">
        <v>27</v>
      </c>
      <c r="AB81" s="45"/>
      <c r="AC81" s="169"/>
    </row>
    <row r="82" spans="1:29" s="68" customFormat="1" ht="15" hidden="1" customHeight="1">
      <c r="A82" s="62" t="s">
        <v>0</v>
      </c>
      <c r="B82" s="43" t="s">
        <v>568</v>
      </c>
      <c r="C82" s="51" t="s">
        <v>27</v>
      </c>
      <c r="D82" s="43" t="s">
        <v>2758</v>
      </c>
      <c r="E82" s="62" t="s">
        <v>17</v>
      </c>
      <c r="F82" s="62" t="s">
        <v>569</v>
      </c>
      <c r="G82" s="43" t="s">
        <v>570</v>
      </c>
      <c r="H82" s="62" t="s">
        <v>20</v>
      </c>
      <c r="I82" s="43" t="s">
        <v>60</v>
      </c>
      <c r="J82" s="44" t="s">
        <v>3679</v>
      </c>
      <c r="K82" s="95" t="s">
        <v>3664</v>
      </c>
      <c r="L82" s="43" t="s">
        <v>211</v>
      </c>
      <c r="M82" s="62" t="s">
        <v>22</v>
      </c>
      <c r="N82" s="62" t="s">
        <v>22</v>
      </c>
      <c r="O82" s="62"/>
      <c r="P82" s="62"/>
      <c r="Q82" s="62">
        <v>40254</v>
      </c>
      <c r="R82" s="43"/>
      <c r="S82" s="63"/>
      <c r="T82" s="44">
        <v>8095020012</v>
      </c>
      <c r="U82" s="49">
        <v>440152219694</v>
      </c>
      <c r="V82" s="49"/>
      <c r="W82" s="49"/>
      <c r="X82" s="75">
        <v>43195</v>
      </c>
      <c r="Y82" s="45" t="s">
        <v>27</v>
      </c>
      <c r="Z82" s="45" t="s">
        <v>27</v>
      </c>
      <c r="AA82" s="45" t="s">
        <v>27</v>
      </c>
      <c r="AB82" s="45"/>
      <c r="AC82" s="169"/>
    </row>
    <row r="83" spans="1:29" s="68" customFormat="1" ht="15" hidden="1" customHeight="1">
      <c r="A83" s="62" t="s">
        <v>0</v>
      </c>
      <c r="B83" s="43" t="s">
        <v>571</v>
      </c>
      <c r="C83" s="43" t="s">
        <v>27</v>
      </c>
      <c r="D83" s="67" t="s">
        <v>2758</v>
      </c>
      <c r="E83" s="62" t="s">
        <v>17</v>
      </c>
      <c r="F83" s="62" t="s">
        <v>572</v>
      </c>
      <c r="G83" s="43" t="s">
        <v>573</v>
      </c>
      <c r="H83" s="62" t="s">
        <v>20</v>
      </c>
      <c r="I83" s="43" t="s">
        <v>60</v>
      </c>
      <c r="J83" s="44" t="s">
        <v>3679</v>
      </c>
      <c r="K83" s="95" t="s">
        <v>3664</v>
      </c>
      <c r="L83" s="43" t="s">
        <v>211</v>
      </c>
      <c r="M83" s="62" t="s">
        <v>22</v>
      </c>
      <c r="N83" s="62" t="s">
        <v>22</v>
      </c>
      <c r="O83" s="62"/>
      <c r="P83" s="62"/>
      <c r="Q83" s="62">
        <v>40255</v>
      </c>
      <c r="R83" s="43"/>
      <c r="S83" s="63"/>
      <c r="T83" s="44">
        <v>8095011345</v>
      </c>
      <c r="U83" s="49">
        <v>440152219745</v>
      </c>
      <c r="V83" s="49"/>
      <c r="W83" s="49"/>
      <c r="X83" s="75">
        <v>43195</v>
      </c>
      <c r="Y83" s="45" t="s">
        <v>27</v>
      </c>
      <c r="Z83" s="45" t="s">
        <v>27</v>
      </c>
      <c r="AA83" s="45" t="s">
        <v>27</v>
      </c>
      <c r="AB83" s="45"/>
      <c r="AC83" s="169"/>
    </row>
    <row r="84" spans="1:29" s="68" customFormat="1" ht="15" hidden="1" customHeight="1">
      <c r="A84" s="62" t="s">
        <v>0</v>
      </c>
      <c r="B84" s="44" t="s">
        <v>574</v>
      </c>
      <c r="C84" s="51" t="s">
        <v>27</v>
      </c>
      <c r="D84" s="43" t="s">
        <v>2758</v>
      </c>
      <c r="E84" s="62" t="s">
        <v>17</v>
      </c>
      <c r="F84" s="62" t="s">
        <v>575</v>
      </c>
      <c r="G84" s="43" t="s">
        <v>576</v>
      </c>
      <c r="H84" s="62" t="s">
        <v>20</v>
      </c>
      <c r="I84" s="43" t="s">
        <v>60</v>
      </c>
      <c r="J84" s="44" t="s">
        <v>3679</v>
      </c>
      <c r="K84" s="95" t="s">
        <v>3664</v>
      </c>
      <c r="L84" s="43" t="s">
        <v>211</v>
      </c>
      <c r="M84" s="62" t="s">
        <v>22</v>
      </c>
      <c r="N84" s="62" t="s">
        <v>22</v>
      </c>
      <c r="O84" s="62"/>
      <c r="P84" s="62"/>
      <c r="Q84" s="62">
        <v>40256</v>
      </c>
      <c r="R84" s="43"/>
      <c r="S84" s="63"/>
      <c r="T84" s="44">
        <v>8095015789</v>
      </c>
      <c r="U84" s="49">
        <v>440152217740</v>
      </c>
      <c r="V84" s="49"/>
      <c r="W84" s="49"/>
      <c r="X84" s="75">
        <v>43195</v>
      </c>
      <c r="Y84" s="45" t="s">
        <v>27</v>
      </c>
      <c r="Z84" s="45" t="s">
        <v>27</v>
      </c>
      <c r="AA84" s="45" t="s">
        <v>27</v>
      </c>
      <c r="AB84" s="45"/>
      <c r="AC84" s="169"/>
    </row>
    <row r="85" spans="1:29" s="68" customFormat="1" ht="15" hidden="1" customHeight="1">
      <c r="A85" s="62" t="s">
        <v>0</v>
      </c>
      <c r="B85" s="43" t="s">
        <v>577</v>
      </c>
      <c r="C85" s="51" t="s">
        <v>27</v>
      </c>
      <c r="D85" s="43" t="s">
        <v>2758</v>
      </c>
      <c r="E85" s="62" t="s">
        <v>17</v>
      </c>
      <c r="F85" s="62" t="s">
        <v>578</v>
      </c>
      <c r="G85" s="43" t="s">
        <v>579</v>
      </c>
      <c r="H85" s="62" t="s">
        <v>20</v>
      </c>
      <c r="I85" s="43" t="s">
        <v>60</v>
      </c>
      <c r="J85" s="44" t="s">
        <v>3679</v>
      </c>
      <c r="K85" s="95" t="s">
        <v>3664</v>
      </c>
      <c r="L85" s="43" t="s">
        <v>211</v>
      </c>
      <c r="M85" s="62" t="s">
        <v>22</v>
      </c>
      <c r="N85" s="62" t="s">
        <v>22</v>
      </c>
      <c r="O85" s="62"/>
      <c r="P85" s="62"/>
      <c r="Q85" s="62">
        <v>40257</v>
      </c>
      <c r="R85" s="43"/>
      <c r="S85" s="63"/>
      <c r="T85" s="44">
        <v>8095011789</v>
      </c>
      <c r="U85" s="49">
        <v>440152219772</v>
      </c>
      <c r="V85" s="49"/>
      <c r="W85" s="49"/>
      <c r="X85" s="75">
        <v>43195</v>
      </c>
      <c r="Y85" s="45" t="s">
        <v>27</v>
      </c>
      <c r="Z85" s="45" t="s">
        <v>27</v>
      </c>
      <c r="AA85" s="45" t="s">
        <v>27</v>
      </c>
      <c r="AB85" s="45"/>
      <c r="AC85" s="169"/>
    </row>
    <row r="86" spans="1:29" s="68" customFormat="1" ht="15" hidden="1" customHeight="1">
      <c r="A86" s="62" t="s">
        <v>0</v>
      </c>
      <c r="B86" s="43" t="s">
        <v>580</v>
      </c>
      <c r="C86" s="51" t="s">
        <v>27</v>
      </c>
      <c r="D86" s="43" t="s">
        <v>2758</v>
      </c>
      <c r="E86" s="62" t="s">
        <v>17</v>
      </c>
      <c r="F86" s="62" t="s">
        <v>581</v>
      </c>
      <c r="G86" s="43" t="s">
        <v>582</v>
      </c>
      <c r="H86" s="62" t="s">
        <v>20</v>
      </c>
      <c r="I86" s="43" t="s">
        <v>60</v>
      </c>
      <c r="J86" s="44" t="s">
        <v>3679</v>
      </c>
      <c r="K86" s="95" t="s">
        <v>3664</v>
      </c>
      <c r="L86" s="43" t="s">
        <v>211</v>
      </c>
      <c r="M86" s="62" t="s">
        <v>22</v>
      </c>
      <c r="N86" s="62" t="s">
        <v>22</v>
      </c>
      <c r="O86" s="62"/>
      <c r="P86" s="62"/>
      <c r="Q86" s="62">
        <v>40129</v>
      </c>
      <c r="R86" s="43"/>
      <c r="S86" s="63"/>
      <c r="T86" s="44">
        <v>7625046453</v>
      </c>
      <c r="U86" s="49">
        <v>440152219682</v>
      </c>
      <c r="V86" s="49"/>
      <c r="W86" s="49"/>
      <c r="X86" s="75">
        <v>43195</v>
      </c>
      <c r="Y86" s="45" t="s">
        <v>27</v>
      </c>
      <c r="Z86" s="45" t="s">
        <v>27</v>
      </c>
      <c r="AA86" s="45" t="s">
        <v>27</v>
      </c>
      <c r="AB86" s="45"/>
      <c r="AC86" s="169"/>
    </row>
    <row r="87" spans="1:29" s="68" customFormat="1" ht="15" hidden="1" customHeight="1">
      <c r="A87" s="62" t="s">
        <v>0</v>
      </c>
      <c r="B87" s="43" t="s">
        <v>583</v>
      </c>
      <c r="C87" s="43"/>
      <c r="D87" s="67"/>
      <c r="E87" s="62" t="s">
        <v>17</v>
      </c>
      <c r="F87" s="62" t="s">
        <v>584</v>
      </c>
      <c r="G87" s="43" t="s">
        <v>233</v>
      </c>
      <c r="H87" s="62" t="s">
        <v>96</v>
      </c>
      <c r="I87" s="43" t="s">
        <v>21</v>
      </c>
      <c r="J87" s="44" t="s">
        <v>24</v>
      </c>
      <c r="K87" s="43" t="s">
        <v>26</v>
      </c>
      <c r="L87" s="43" t="s">
        <v>97</v>
      </c>
      <c r="M87" s="62" t="s">
        <v>22</v>
      </c>
      <c r="N87" s="62" t="s">
        <v>22</v>
      </c>
      <c r="O87" s="62"/>
      <c r="P87" s="62"/>
      <c r="Q87" s="62"/>
      <c r="R87" s="43"/>
      <c r="S87" s="63"/>
      <c r="T87" s="44">
        <v>7338636152</v>
      </c>
      <c r="U87" s="49">
        <v>354999010649999</v>
      </c>
      <c r="V87" s="49"/>
      <c r="W87" s="49"/>
      <c r="X87" s="75">
        <v>43195</v>
      </c>
      <c r="Y87" s="45" t="s">
        <v>27</v>
      </c>
      <c r="Z87" s="45" t="s">
        <v>27</v>
      </c>
      <c r="AA87" s="45" t="s">
        <v>27</v>
      </c>
      <c r="AB87" s="45"/>
      <c r="AC87" s="169"/>
    </row>
    <row r="88" spans="1:29" s="68" customFormat="1" ht="15" hidden="1" customHeight="1">
      <c r="A88" s="62" t="s">
        <v>0</v>
      </c>
      <c r="B88" s="43" t="s">
        <v>585</v>
      </c>
      <c r="C88" s="43"/>
      <c r="D88" s="67"/>
      <c r="E88" s="62" t="s">
        <v>17</v>
      </c>
      <c r="F88" s="62" t="s">
        <v>586</v>
      </c>
      <c r="G88" s="43" t="s">
        <v>254</v>
      </c>
      <c r="H88" s="62" t="s">
        <v>96</v>
      </c>
      <c r="I88" s="43" t="s">
        <v>21</v>
      </c>
      <c r="J88" s="44" t="s">
        <v>24</v>
      </c>
      <c r="K88" s="43" t="s">
        <v>26</v>
      </c>
      <c r="L88" s="43" t="s">
        <v>763</v>
      </c>
      <c r="M88" s="62" t="s">
        <v>22</v>
      </c>
      <c r="N88" s="62" t="s">
        <v>22</v>
      </c>
      <c r="O88" s="62"/>
      <c r="P88" s="62"/>
      <c r="Q88" s="62"/>
      <c r="R88" s="43"/>
      <c r="S88" s="63"/>
      <c r="T88" s="44">
        <v>7338636151</v>
      </c>
      <c r="U88" s="63"/>
      <c r="V88" s="63"/>
      <c r="W88" s="63"/>
      <c r="X88" s="75">
        <v>43195</v>
      </c>
      <c r="Y88" s="45" t="s">
        <v>27</v>
      </c>
      <c r="Z88" s="45" t="s">
        <v>27</v>
      </c>
      <c r="AA88" s="45" t="s">
        <v>27</v>
      </c>
      <c r="AB88" s="45"/>
      <c r="AC88" s="169"/>
    </row>
    <row r="89" spans="1:29" s="68" customFormat="1" ht="15" hidden="1" customHeight="1">
      <c r="A89" s="62" t="s">
        <v>0</v>
      </c>
      <c r="B89" s="44" t="s">
        <v>587</v>
      </c>
      <c r="C89" s="44"/>
      <c r="D89" s="67"/>
      <c r="E89" s="62" t="s">
        <v>17</v>
      </c>
      <c r="F89" s="62" t="s">
        <v>588</v>
      </c>
      <c r="G89" s="43" t="s">
        <v>238</v>
      </c>
      <c r="H89" s="62" t="s">
        <v>96</v>
      </c>
      <c r="I89" s="43" t="s">
        <v>21</v>
      </c>
      <c r="J89" s="44" t="s">
        <v>24</v>
      </c>
      <c r="K89" s="43" t="s">
        <v>26</v>
      </c>
      <c r="L89" s="43" t="s">
        <v>763</v>
      </c>
      <c r="M89" s="62" t="s">
        <v>22</v>
      </c>
      <c r="N89" s="62" t="s">
        <v>22</v>
      </c>
      <c r="O89" s="62"/>
      <c r="P89" s="62"/>
      <c r="Q89" s="62"/>
      <c r="R89" s="43"/>
      <c r="S89" s="63"/>
      <c r="T89" s="44">
        <v>7022229678</v>
      </c>
      <c r="U89" s="63"/>
      <c r="V89" s="63"/>
      <c r="W89" s="63"/>
      <c r="X89" s="75">
        <v>43195</v>
      </c>
      <c r="Y89" s="45" t="s">
        <v>27</v>
      </c>
      <c r="Z89" s="45" t="s">
        <v>27</v>
      </c>
      <c r="AA89" s="45" t="s">
        <v>27</v>
      </c>
      <c r="AB89" s="45"/>
      <c r="AC89" s="169"/>
    </row>
    <row r="90" spans="1:29" s="68" customFormat="1" ht="15" hidden="1" customHeight="1">
      <c r="A90" s="62" t="s">
        <v>0</v>
      </c>
      <c r="B90" s="44" t="s">
        <v>589</v>
      </c>
      <c r="C90" s="44"/>
      <c r="D90" s="67"/>
      <c r="E90" s="62" t="s">
        <v>17</v>
      </c>
      <c r="F90" s="62" t="s">
        <v>590</v>
      </c>
      <c r="G90" s="43" t="s">
        <v>231</v>
      </c>
      <c r="H90" s="62" t="s">
        <v>96</v>
      </c>
      <c r="I90" s="43" t="s">
        <v>21</v>
      </c>
      <c r="J90" s="44" t="s">
        <v>24</v>
      </c>
      <c r="K90" s="43" t="s">
        <v>26</v>
      </c>
      <c r="L90" s="43" t="s">
        <v>763</v>
      </c>
      <c r="M90" s="62" t="s">
        <v>22</v>
      </c>
      <c r="N90" s="62" t="s">
        <v>22</v>
      </c>
      <c r="O90" s="62"/>
      <c r="P90" s="62"/>
      <c r="Q90" s="62"/>
      <c r="R90" s="43"/>
      <c r="S90" s="63"/>
      <c r="T90" s="44">
        <v>7899715900</v>
      </c>
      <c r="U90" s="63"/>
      <c r="V90" s="63"/>
      <c r="W90" s="63"/>
      <c r="X90" s="75">
        <v>43195</v>
      </c>
      <c r="Y90" s="45" t="s">
        <v>27</v>
      </c>
      <c r="Z90" s="45" t="s">
        <v>27</v>
      </c>
      <c r="AA90" s="45" t="s">
        <v>27</v>
      </c>
      <c r="AB90" s="45"/>
      <c r="AC90" s="169"/>
    </row>
    <row r="91" spans="1:29" s="68" customFormat="1" ht="15" hidden="1" customHeight="1">
      <c r="A91" s="62" t="s">
        <v>0</v>
      </c>
      <c r="B91" s="44" t="s">
        <v>591</v>
      </c>
      <c r="C91" s="44"/>
      <c r="D91" s="67"/>
      <c r="E91" s="62" t="s">
        <v>17</v>
      </c>
      <c r="F91" s="62" t="s">
        <v>592</v>
      </c>
      <c r="G91" s="43" t="s">
        <v>247</v>
      </c>
      <c r="H91" s="62" t="s">
        <v>96</v>
      </c>
      <c r="I91" s="43" t="s">
        <v>21</v>
      </c>
      <c r="J91" s="44" t="s">
        <v>24</v>
      </c>
      <c r="K91" s="43" t="s">
        <v>26</v>
      </c>
      <c r="L91" s="43" t="s">
        <v>763</v>
      </c>
      <c r="M91" s="62" t="s">
        <v>22</v>
      </c>
      <c r="N91" s="62" t="s">
        <v>22</v>
      </c>
      <c r="O91" s="62"/>
      <c r="P91" s="62"/>
      <c r="Q91" s="62"/>
      <c r="R91" s="43"/>
      <c r="S91" s="63"/>
      <c r="T91" s="44">
        <v>9901220386</v>
      </c>
      <c r="U91" s="63"/>
      <c r="V91" s="63"/>
      <c r="W91" s="63"/>
      <c r="X91" s="75">
        <v>43195</v>
      </c>
      <c r="Y91" s="45" t="s">
        <v>27</v>
      </c>
      <c r="Z91" s="45" t="s">
        <v>27</v>
      </c>
      <c r="AA91" s="45" t="s">
        <v>27</v>
      </c>
      <c r="AB91" s="45"/>
      <c r="AC91" s="169"/>
    </row>
    <row r="92" spans="1:29" s="68" customFormat="1" ht="15" hidden="1" customHeight="1">
      <c r="A92" s="62" t="s">
        <v>0</v>
      </c>
      <c r="B92" s="44" t="s">
        <v>593</v>
      </c>
      <c r="C92" s="44"/>
      <c r="D92" s="67"/>
      <c r="E92" s="62" t="s">
        <v>17</v>
      </c>
      <c r="F92" s="62" t="s">
        <v>594</v>
      </c>
      <c r="G92" s="43" t="s">
        <v>254</v>
      </c>
      <c r="H92" s="62" t="s">
        <v>96</v>
      </c>
      <c r="I92" s="43" t="s">
        <v>21</v>
      </c>
      <c r="J92" s="44" t="s">
        <v>24</v>
      </c>
      <c r="K92" s="43" t="s">
        <v>26</v>
      </c>
      <c r="L92" s="43" t="s">
        <v>97</v>
      </c>
      <c r="M92" s="62" t="s">
        <v>22</v>
      </c>
      <c r="N92" s="62" t="s">
        <v>22</v>
      </c>
      <c r="O92" s="62"/>
      <c r="P92" s="62"/>
      <c r="Q92" s="62"/>
      <c r="R92" s="43"/>
      <c r="S92" s="63"/>
      <c r="T92" s="44">
        <v>7349781129</v>
      </c>
      <c r="U92" s="63"/>
      <c r="V92" s="63"/>
      <c r="W92" s="63"/>
      <c r="X92" s="77"/>
      <c r="Y92" s="45" t="s">
        <v>27</v>
      </c>
      <c r="Z92" s="45" t="s">
        <v>27</v>
      </c>
      <c r="AA92" s="45" t="s">
        <v>27</v>
      </c>
      <c r="AB92" s="45"/>
      <c r="AC92" s="169"/>
    </row>
    <row r="93" spans="1:29" s="68" customFormat="1" ht="15" hidden="1" customHeight="1">
      <c r="A93" s="62" t="s">
        <v>0</v>
      </c>
      <c r="B93" s="44" t="s">
        <v>595</v>
      </c>
      <c r="C93" s="44"/>
      <c r="D93" s="67"/>
      <c r="E93" s="62" t="s">
        <v>17</v>
      </c>
      <c r="F93" s="62" t="s">
        <v>596</v>
      </c>
      <c r="G93" s="43" t="s">
        <v>238</v>
      </c>
      <c r="H93" s="62" t="s">
        <v>96</v>
      </c>
      <c r="I93" s="43" t="s">
        <v>21</v>
      </c>
      <c r="J93" s="44" t="s">
        <v>24</v>
      </c>
      <c r="K93" s="43" t="s">
        <v>26</v>
      </c>
      <c r="L93" s="43" t="s">
        <v>97</v>
      </c>
      <c r="M93" s="62" t="s">
        <v>22</v>
      </c>
      <c r="N93" s="62" t="s">
        <v>22</v>
      </c>
      <c r="O93" s="62"/>
      <c r="P93" s="62"/>
      <c r="Q93" s="62"/>
      <c r="R93" s="43"/>
      <c r="S93" s="63"/>
      <c r="T93" s="44">
        <v>7349781129</v>
      </c>
      <c r="U93" s="63"/>
      <c r="V93" s="63"/>
      <c r="W93" s="63"/>
      <c r="X93" s="77"/>
      <c r="Y93" s="45" t="s">
        <v>27</v>
      </c>
      <c r="Z93" s="45" t="s">
        <v>27</v>
      </c>
      <c r="AA93" s="45" t="s">
        <v>27</v>
      </c>
      <c r="AB93" s="45"/>
      <c r="AC93" s="169"/>
    </row>
    <row r="94" spans="1:29" s="68" customFormat="1" ht="15" hidden="1" customHeight="1">
      <c r="A94" s="62" t="s">
        <v>0</v>
      </c>
      <c r="B94" s="46" t="s">
        <v>597</v>
      </c>
      <c r="C94" s="46"/>
      <c r="D94" s="67"/>
      <c r="E94" s="62" t="s">
        <v>17</v>
      </c>
      <c r="F94" s="62" t="s">
        <v>598</v>
      </c>
      <c r="G94" s="43" t="s">
        <v>261</v>
      </c>
      <c r="H94" s="62" t="s">
        <v>599</v>
      </c>
      <c r="I94" s="43" t="s">
        <v>60</v>
      </c>
      <c r="J94" s="43" t="s">
        <v>3680</v>
      </c>
      <c r="K94" s="44" t="s">
        <v>3663</v>
      </c>
      <c r="L94" s="43" t="s">
        <v>211</v>
      </c>
      <c r="M94" s="62" t="s">
        <v>22</v>
      </c>
      <c r="N94" s="62" t="s">
        <v>22</v>
      </c>
      <c r="O94" s="62"/>
      <c r="P94" s="62"/>
      <c r="Q94" s="62"/>
      <c r="R94" s="43"/>
      <c r="S94" s="63"/>
      <c r="T94" s="44"/>
      <c r="U94" s="63"/>
      <c r="V94" s="63"/>
      <c r="W94" s="63"/>
      <c r="X94" s="77"/>
      <c r="Y94" s="45" t="s">
        <v>27</v>
      </c>
      <c r="Z94" s="45" t="s">
        <v>27</v>
      </c>
      <c r="AA94" s="45" t="s">
        <v>27</v>
      </c>
      <c r="AB94" s="45"/>
      <c r="AC94" s="169"/>
    </row>
    <row r="95" spans="1:29" s="68" customFormat="1" ht="15" hidden="1" customHeight="1">
      <c r="A95" s="62" t="s">
        <v>0</v>
      </c>
      <c r="B95" s="43" t="s">
        <v>600</v>
      </c>
      <c r="C95" s="43"/>
      <c r="D95" s="67"/>
      <c r="E95" s="62" t="s">
        <v>601</v>
      </c>
      <c r="F95" s="62" t="s">
        <v>602</v>
      </c>
      <c r="G95" s="43" t="s">
        <v>270</v>
      </c>
      <c r="H95" s="62"/>
      <c r="I95" s="43"/>
      <c r="J95" s="44"/>
      <c r="K95" s="65"/>
      <c r="L95" s="43"/>
      <c r="M95" s="62"/>
      <c r="N95" s="62"/>
      <c r="O95" s="62"/>
      <c r="P95" s="62"/>
      <c r="Q95" s="62"/>
      <c r="R95" s="43"/>
      <c r="S95" s="63"/>
      <c r="T95" s="44"/>
      <c r="U95" s="63"/>
      <c r="V95" s="63"/>
      <c r="W95" s="63"/>
      <c r="X95" s="77"/>
      <c r="Y95" s="45" t="s">
        <v>22</v>
      </c>
      <c r="Z95" s="45" t="s">
        <v>22</v>
      </c>
      <c r="AA95" s="45" t="s">
        <v>22</v>
      </c>
      <c r="AB95" s="45"/>
      <c r="AC95" s="169" t="s">
        <v>2024</v>
      </c>
    </row>
    <row r="96" spans="1:29" s="68" customFormat="1" ht="15" hidden="1" customHeight="1">
      <c r="A96" s="62" t="s">
        <v>0</v>
      </c>
      <c r="B96" s="43" t="s">
        <v>603</v>
      </c>
      <c r="C96" s="43"/>
      <c r="D96" s="67"/>
      <c r="E96" s="62" t="s">
        <v>17</v>
      </c>
      <c r="F96" s="62" t="s">
        <v>604</v>
      </c>
      <c r="G96" s="43" t="s">
        <v>605</v>
      </c>
      <c r="H96" s="62" t="s">
        <v>599</v>
      </c>
      <c r="I96" s="43" t="s">
        <v>21</v>
      </c>
      <c r="J96" s="44"/>
      <c r="K96" s="65"/>
      <c r="L96" s="43" t="s">
        <v>211</v>
      </c>
      <c r="M96" s="62" t="s">
        <v>22</v>
      </c>
      <c r="N96" s="62" t="s">
        <v>22</v>
      </c>
      <c r="O96" s="62"/>
      <c r="P96" s="62"/>
      <c r="Q96" s="62"/>
      <c r="R96" s="43"/>
      <c r="S96" s="63"/>
      <c r="T96" s="44"/>
      <c r="U96" s="63"/>
      <c r="V96" s="63"/>
      <c r="W96" s="63"/>
      <c r="X96" s="77"/>
      <c r="Y96" s="45" t="s">
        <v>27</v>
      </c>
      <c r="Z96" s="45" t="s">
        <v>27</v>
      </c>
      <c r="AA96" s="45" t="s">
        <v>27</v>
      </c>
      <c r="AB96" s="45"/>
      <c r="AC96" s="169"/>
    </row>
    <row r="97" spans="1:29" s="68" customFormat="1" ht="15" hidden="1" customHeight="1">
      <c r="A97" s="62" t="s">
        <v>0</v>
      </c>
      <c r="B97" s="43" t="s">
        <v>606</v>
      </c>
      <c r="C97" s="43"/>
      <c r="D97" s="67"/>
      <c r="E97" s="62" t="s">
        <v>17</v>
      </c>
      <c r="F97" s="62" t="s">
        <v>607</v>
      </c>
      <c r="G97" s="43" t="s">
        <v>222</v>
      </c>
      <c r="H97" s="62" t="s">
        <v>599</v>
      </c>
      <c r="I97" s="43" t="s">
        <v>21</v>
      </c>
      <c r="J97" s="44"/>
      <c r="K97" s="65"/>
      <c r="L97" s="43" t="s">
        <v>211</v>
      </c>
      <c r="M97" s="62" t="s">
        <v>22</v>
      </c>
      <c r="N97" s="62" t="s">
        <v>22</v>
      </c>
      <c r="O97" s="62"/>
      <c r="P97" s="62"/>
      <c r="Q97" s="62"/>
      <c r="R97" s="43"/>
      <c r="S97" s="63"/>
      <c r="T97" s="44"/>
      <c r="U97" s="63"/>
      <c r="V97" s="63"/>
      <c r="W97" s="63"/>
      <c r="X97" s="77"/>
      <c r="Y97" s="45" t="s">
        <v>27</v>
      </c>
      <c r="Z97" s="45" t="s">
        <v>27</v>
      </c>
      <c r="AA97" s="45" t="s">
        <v>27</v>
      </c>
      <c r="AB97" s="45"/>
      <c r="AC97" s="169"/>
    </row>
    <row r="98" spans="1:29" s="68" customFormat="1" ht="15" hidden="1" customHeight="1">
      <c r="A98" s="62" t="s">
        <v>0</v>
      </c>
      <c r="B98" s="43" t="s">
        <v>608</v>
      </c>
      <c r="C98" s="43"/>
      <c r="D98" s="67"/>
      <c r="E98" s="62" t="s">
        <v>17</v>
      </c>
      <c r="F98" s="62" t="s">
        <v>609</v>
      </c>
      <c r="G98" s="43" t="s">
        <v>610</v>
      </c>
      <c r="H98" s="62" t="s">
        <v>599</v>
      </c>
      <c r="I98" s="43" t="s">
        <v>21</v>
      </c>
      <c r="J98" s="44"/>
      <c r="K98" s="65"/>
      <c r="L98" s="43" t="s">
        <v>211</v>
      </c>
      <c r="M98" s="62" t="s">
        <v>22</v>
      </c>
      <c r="N98" s="62" t="s">
        <v>22</v>
      </c>
      <c r="O98" s="62"/>
      <c r="P98" s="62"/>
      <c r="Q98" s="62"/>
      <c r="R98" s="43"/>
      <c r="S98" s="63"/>
      <c r="T98" s="44"/>
      <c r="U98" s="63"/>
      <c r="V98" s="63"/>
      <c r="W98" s="63"/>
      <c r="X98" s="77"/>
      <c r="Y98" s="45" t="s">
        <v>27</v>
      </c>
      <c r="Z98" s="45" t="s">
        <v>27</v>
      </c>
      <c r="AA98" s="45" t="s">
        <v>27</v>
      </c>
      <c r="AB98" s="45"/>
      <c r="AC98" s="169"/>
    </row>
    <row r="99" spans="1:29" s="68" customFormat="1" ht="15" hidden="1" customHeight="1">
      <c r="A99" s="62" t="s">
        <v>0</v>
      </c>
      <c r="B99" s="44" t="s">
        <v>611</v>
      </c>
      <c r="C99" s="44"/>
      <c r="D99" s="67"/>
      <c r="E99" s="62" t="s">
        <v>17</v>
      </c>
      <c r="F99" s="62" t="s">
        <v>612</v>
      </c>
      <c r="G99" s="43" t="s">
        <v>613</v>
      </c>
      <c r="H99" s="62" t="s">
        <v>96</v>
      </c>
      <c r="I99" s="43" t="s">
        <v>21</v>
      </c>
      <c r="J99" s="44" t="s">
        <v>24</v>
      </c>
      <c r="K99" s="43" t="s">
        <v>26</v>
      </c>
      <c r="L99" s="43" t="s">
        <v>97</v>
      </c>
      <c r="M99" s="62" t="s">
        <v>22</v>
      </c>
      <c r="N99" s="62" t="s">
        <v>22</v>
      </c>
      <c r="O99" s="62"/>
      <c r="P99" s="62"/>
      <c r="Q99" s="62"/>
      <c r="R99" s="43"/>
      <c r="S99" s="63"/>
      <c r="T99" s="44">
        <v>7349781109</v>
      </c>
      <c r="U99" s="63"/>
      <c r="V99" s="63"/>
      <c r="W99" s="63"/>
      <c r="X99" s="77"/>
      <c r="Y99" s="45" t="s">
        <v>27</v>
      </c>
      <c r="Z99" s="45" t="s">
        <v>27</v>
      </c>
      <c r="AA99" s="45" t="s">
        <v>27</v>
      </c>
      <c r="AB99" s="45"/>
      <c r="AC99" s="169"/>
    </row>
    <row r="100" spans="1:29" s="68" customFormat="1" ht="15" hidden="1" customHeight="1">
      <c r="A100" s="62" t="s">
        <v>0</v>
      </c>
      <c r="B100" s="43" t="s">
        <v>614</v>
      </c>
      <c r="C100" s="43"/>
      <c r="D100" s="67"/>
      <c r="E100" s="62" t="s">
        <v>17</v>
      </c>
      <c r="F100" s="62" t="s">
        <v>615</v>
      </c>
      <c r="G100" s="43"/>
      <c r="H100" s="62" t="s">
        <v>96</v>
      </c>
      <c r="I100" s="43" t="s">
        <v>21</v>
      </c>
      <c r="J100" s="44"/>
      <c r="K100" s="65"/>
      <c r="L100" s="43" t="s">
        <v>97</v>
      </c>
      <c r="M100" s="62" t="s">
        <v>22</v>
      </c>
      <c r="N100" s="62" t="s">
        <v>22</v>
      </c>
      <c r="O100" s="62"/>
      <c r="P100" s="62"/>
      <c r="Q100" s="62"/>
      <c r="R100" s="43"/>
      <c r="S100" s="63"/>
      <c r="T100" s="44"/>
      <c r="U100" s="63"/>
      <c r="V100" s="63"/>
      <c r="W100" s="63"/>
      <c r="X100" s="77"/>
      <c r="Y100" s="45" t="s">
        <v>27</v>
      </c>
      <c r="Z100" s="45" t="s">
        <v>27</v>
      </c>
      <c r="AA100" s="45" t="s">
        <v>2021</v>
      </c>
      <c r="AB100" s="45"/>
      <c r="AC100" s="169" t="s">
        <v>616</v>
      </c>
    </row>
    <row r="101" spans="1:29" s="68" customFormat="1" ht="15" hidden="1" customHeight="1">
      <c r="A101" s="62" t="s">
        <v>0</v>
      </c>
      <c r="B101" s="43" t="s">
        <v>617</v>
      </c>
      <c r="C101" s="43"/>
      <c r="D101" s="67"/>
      <c r="E101" s="62" t="s">
        <v>601</v>
      </c>
      <c r="F101" s="62" t="s">
        <v>618</v>
      </c>
      <c r="G101" s="43" t="s">
        <v>330</v>
      </c>
      <c r="H101" s="62" t="s">
        <v>104</v>
      </c>
      <c r="I101" s="43" t="s">
        <v>21</v>
      </c>
      <c r="J101" s="44"/>
      <c r="K101" s="65"/>
      <c r="L101" s="43" t="s">
        <v>31</v>
      </c>
      <c r="M101" s="62" t="s">
        <v>22</v>
      </c>
      <c r="N101" s="62" t="s">
        <v>22</v>
      </c>
      <c r="O101" s="62"/>
      <c r="P101" s="62"/>
      <c r="Q101" s="62"/>
      <c r="R101" s="43"/>
      <c r="S101" s="63"/>
      <c r="T101" s="44"/>
      <c r="U101" s="63"/>
      <c r="V101" s="63"/>
      <c r="W101" s="63"/>
      <c r="X101" s="77">
        <v>43196</v>
      </c>
      <c r="Y101" s="45" t="s">
        <v>22</v>
      </c>
      <c r="Z101" s="45" t="s">
        <v>22</v>
      </c>
      <c r="AA101" s="45" t="s">
        <v>22</v>
      </c>
      <c r="AB101" s="45"/>
      <c r="AC101" s="169" t="s">
        <v>2291</v>
      </c>
    </row>
    <row r="102" spans="1:29" s="68" customFormat="1" ht="15" hidden="1" customHeight="1">
      <c r="A102" s="62" t="s">
        <v>0</v>
      </c>
      <c r="B102" s="43" t="s">
        <v>619</v>
      </c>
      <c r="C102" s="43"/>
      <c r="D102" s="67"/>
      <c r="E102" s="62" t="s">
        <v>601</v>
      </c>
      <c r="F102" s="62" t="s">
        <v>620</v>
      </c>
      <c r="G102" s="43" t="s">
        <v>621</v>
      </c>
      <c r="H102" s="62" t="s">
        <v>104</v>
      </c>
      <c r="I102" s="43" t="s">
        <v>21</v>
      </c>
      <c r="J102" s="44"/>
      <c r="K102" s="65"/>
      <c r="L102" s="43" t="s">
        <v>31</v>
      </c>
      <c r="M102" s="62" t="s">
        <v>22</v>
      </c>
      <c r="N102" s="62" t="s">
        <v>22</v>
      </c>
      <c r="O102" s="62"/>
      <c r="P102" s="62"/>
      <c r="Q102" s="62"/>
      <c r="R102" s="43"/>
      <c r="S102" s="63"/>
      <c r="T102" s="44"/>
      <c r="U102" s="63"/>
      <c r="V102" s="63"/>
      <c r="W102" s="63"/>
      <c r="X102" s="77">
        <v>43196</v>
      </c>
      <c r="Y102" s="45" t="s">
        <v>22</v>
      </c>
      <c r="Z102" s="45" t="s">
        <v>22</v>
      </c>
      <c r="AA102" s="45" t="s">
        <v>22</v>
      </c>
      <c r="AB102" s="45"/>
      <c r="AC102" s="169" t="s">
        <v>2291</v>
      </c>
    </row>
    <row r="103" spans="1:29" s="68" customFormat="1" ht="15" hidden="1" customHeight="1">
      <c r="A103" s="62" t="s">
        <v>0</v>
      </c>
      <c r="B103" s="43" t="s">
        <v>622</v>
      </c>
      <c r="C103" s="43"/>
      <c r="D103" s="67"/>
      <c r="E103" s="62" t="s">
        <v>601</v>
      </c>
      <c r="F103" s="62" t="s">
        <v>623</v>
      </c>
      <c r="G103" s="43" t="s">
        <v>624</v>
      </c>
      <c r="H103" s="62" t="s">
        <v>104</v>
      </c>
      <c r="I103" s="43" t="s">
        <v>21</v>
      </c>
      <c r="J103" s="44"/>
      <c r="K103" s="65"/>
      <c r="L103" s="43" t="s">
        <v>97</v>
      </c>
      <c r="M103" s="62" t="s">
        <v>22</v>
      </c>
      <c r="N103" s="62" t="s">
        <v>22</v>
      </c>
      <c r="O103" s="62"/>
      <c r="P103" s="62"/>
      <c r="Q103" s="62"/>
      <c r="R103" s="43"/>
      <c r="S103" s="63"/>
      <c r="T103" s="44"/>
      <c r="U103" s="63"/>
      <c r="V103" s="63"/>
      <c r="W103" s="63"/>
      <c r="X103" s="77">
        <v>43196</v>
      </c>
      <c r="Y103" s="45" t="s">
        <v>27</v>
      </c>
      <c r="Z103" s="45" t="s">
        <v>27</v>
      </c>
      <c r="AA103" s="45" t="s">
        <v>27</v>
      </c>
      <c r="AB103" s="45"/>
      <c r="AC103" s="169"/>
    </row>
    <row r="104" spans="1:29" s="68" customFormat="1" ht="15" hidden="1" customHeight="1">
      <c r="A104" s="62" t="s">
        <v>0</v>
      </c>
      <c r="B104" s="44" t="s">
        <v>625</v>
      </c>
      <c r="C104" s="44"/>
      <c r="D104" s="67"/>
      <c r="E104" s="62" t="s">
        <v>601</v>
      </c>
      <c r="F104" s="62" t="s">
        <v>626</v>
      </c>
      <c r="G104" s="43" t="s">
        <v>327</v>
      </c>
      <c r="H104" s="62" t="s">
        <v>104</v>
      </c>
      <c r="I104" s="43" t="s">
        <v>21</v>
      </c>
      <c r="J104" s="44"/>
      <c r="K104" s="65"/>
      <c r="L104" s="43" t="s">
        <v>31</v>
      </c>
      <c r="M104" s="62" t="s">
        <v>22</v>
      </c>
      <c r="N104" s="62" t="s">
        <v>22</v>
      </c>
      <c r="O104" s="62"/>
      <c r="P104" s="62"/>
      <c r="Q104" s="62"/>
      <c r="R104" s="43"/>
      <c r="S104" s="63"/>
      <c r="T104" s="44"/>
      <c r="U104" s="63"/>
      <c r="V104" s="63"/>
      <c r="W104" s="63"/>
      <c r="X104" s="77">
        <v>43196</v>
      </c>
      <c r="Y104" s="45" t="s">
        <v>22</v>
      </c>
      <c r="Z104" s="45" t="s">
        <v>22</v>
      </c>
      <c r="AA104" s="45" t="s">
        <v>22</v>
      </c>
      <c r="AB104" s="45"/>
      <c r="AC104" s="169" t="s">
        <v>2253</v>
      </c>
    </row>
    <row r="105" spans="1:29" s="68" customFormat="1" ht="15" hidden="1" customHeight="1">
      <c r="A105" s="62" t="s">
        <v>0</v>
      </c>
      <c r="B105" s="44" t="s">
        <v>627</v>
      </c>
      <c r="C105" s="44"/>
      <c r="D105" s="67"/>
      <c r="E105" s="62" t="s">
        <v>601</v>
      </c>
      <c r="F105" s="62" t="s">
        <v>628</v>
      </c>
      <c r="G105" s="43" t="s">
        <v>629</v>
      </c>
      <c r="H105" s="62" t="s">
        <v>104</v>
      </c>
      <c r="I105" s="43" t="s">
        <v>21</v>
      </c>
      <c r="J105" s="44"/>
      <c r="K105" s="65"/>
      <c r="L105" s="43" t="s">
        <v>97</v>
      </c>
      <c r="M105" s="62" t="s">
        <v>22</v>
      </c>
      <c r="N105" s="62" t="s">
        <v>22</v>
      </c>
      <c r="O105" s="62"/>
      <c r="P105" s="62"/>
      <c r="Q105" s="62"/>
      <c r="R105" s="43"/>
      <c r="S105" s="63"/>
      <c r="T105" s="44"/>
      <c r="U105" s="49"/>
      <c r="V105" s="49"/>
      <c r="W105" s="49"/>
      <c r="X105" s="77">
        <v>43196</v>
      </c>
      <c r="Y105" s="45" t="s">
        <v>22</v>
      </c>
      <c r="Z105" s="45" t="s">
        <v>22</v>
      </c>
      <c r="AA105" s="45" t="s">
        <v>22</v>
      </c>
      <c r="AB105" s="45"/>
      <c r="AC105" s="169" t="s">
        <v>2292</v>
      </c>
    </row>
    <row r="106" spans="1:29" s="68" customFormat="1" ht="15" hidden="1" customHeight="1">
      <c r="A106" s="62" t="s">
        <v>0</v>
      </c>
      <c r="B106" s="44" t="s">
        <v>630</v>
      </c>
      <c r="C106" s="44"/>
      <c r="D106" s="67"/>
      <c r="E106" s="62" t="s">
        <v>17</v>
      </c>
      <c r="F106" s="62" t="s">
        <v>631</v>
      </c>
      <c r="G106" s="43" t="s">
        <v>193</v>
      </c>
      <c r="H106" s="62" t="s">
        <v>96</v>
      </c>
      <c r="I106" s="43" t="s">
        <v>21</v>
      </c>
      <c r="J106" s="44" t="s">
        <v>24</v>
      </c>
      <c r="K106" s="43" t="s">
        <v>26</v>
      </c>
      <c r="L106" s="43" t="s">
        <v>763</v>
      </c>
      <c r="M106" s="62" t="s">
        <v>22</v>
      </c>
      <c r="N106" s="62" t="s">
        <v>22</v>
      </c>
      <c r="O106" s="62"/>
      <c r="P106" s="62"/>
      <c r="Q106" s="62"/>
      <c r="R106" s="43"/>
      <c r="S106" s="63"/>
      <c r="T106" s="44">
        <v>7899715582</v>
      </c>
      <c r="U106" s="49"/>
      <c r="V106" s="49"/>
      <c r="W106" s="49"/>
      <c r="X106" s="77"/>
      <c r="Y106" s="45" t="s">
        <v>27</v>
      </c>
      <c r="Z106" s="45" t="s">
        <v>27</v>
      </c>
      <c r="AA106" s="45" t="s">
        <v>27</v>
      </c>
      <c r="AB106" s="45"/>
      <c r="AC106" s="169"/>
    </row>
    <row r="107" spans="1:29" s="68" customFormat="1" ht="15" hidden="1" customHeight="1">
      <c r="A107" s="62" t="s">
        <v>0</v>
      </c>
      <c r="B107" s="44" t="s">
        <v>2273</v>
      </c>
      <c r="C107" s="51" t="s">
        <v>27</v>
      </c>
      <c r="D107" s="43" t="s">
        <v>2758</v>
      </c>
      <c r="E107" s="62" t="s">
        <v>17</v>
      </c>
      <c r="F107" s="62" t="s">
        <v>182</v>
      </c>
      <c r="G107" s="43" t="s">
        <v>183</v>
      </c>
      <c r="H107" s="62" t="s">
        <v>20</v>
      </c>
      <c r="I107" s="43"/>
      <c r="J107" s="44" t="s">
        <v>3678</v>
      </c>
      <c r="K107" s="213" t="s">
        <v>337</v>
      </c>
      <c r="L107" s="43" t="s">
        <v>211</v>
      </c>
      <c r="M107" s="62" t="s">
        <v>22</v>
      </c>
      <c r="N107" s="62" t="s">
        <v>22</v>
      </c>
      <c r="O107" s="62"/>
      <c r="P107" s="62"/>
      <c r="Q107" s="62">
        <v>40201</v>
      </c>
      <c r="R107" s="43"/>
      <c r="S107" s="63"/>
      <c r="T107" s="44">
        <v>9513388211</v>
      </c>
      <c r="U107" s="49"/>
      <c r="V107" s="49"/>
      <c r="W107" s="49"/>
      <c r="X107" s="75">
        <v>43195</v>
      </c>
      <c r="Y107" s="45" t="s">
        <v>27</v>
      </c>
      <c r="Z107" s="45" t="s">
        <v>27</v>
      </c>
      <c r="AA107" s="45" t="s">
        <v>27</v>
      </c>
      <c r="AB107" s="45"/>
      <c r="AC107" s="169"/>
    </row>
    <row r="108" spans="1:29" s="68" customFormat="1" ht="15" hidden="1" customHeight="1">
      <c r="A108" s="62" t="s">
        <v>0</v>
      </c>
      <c r="B108" s="44" t="s">
        <v>3688</v>
      </c>
      <c r="C108" s="44" t="s">
        <v>27</v>
      </c>
      <c r="D108" s="43" t="s">
        <v>2658</v>
      </c>
      <c r="E108" s="62" t="s">
        <v>17</v>
      </c>
      <c r="F108" s="62" t="s">
        <v>3689</v>
      </c>
      <c r="G108" s="43" t="s">
        <v>187</v>
      </c>
      <c r="H108" s="62" t="s">
        <v>20</v>
      </c>
      <c r="I108" s="43" t="s">
        <v>21</v>
      </c>
      <c r="J108" s="44" t="s">
        <v>24</v>
      </c>
      <c r="K108" s="43" t="s">
        <v>26</v>
      </c>
      <c r="L108" s="43" t="s">
        <v>211</v>
      </c>
      <c r="M108" s="62" t="s">
        <v>22</v>
      </c>
      <c r="N108" s="62" t="s">
        <v>22</v>
      </c>
      <c r="O108" s="62" t="s">
        <v>3639</v>
      </c>
      <c r="P108" s="62"/>
      <c r="Q108" s="62">
        <v>40202</v>
      </c>
      <c r="R108" s="43"/>
      <c r="S108" s="63"/>
      <c r="T108" s="44">
        <v>9606480566</v>
      </c>
      <c r="U108" s="49">
        <v>440152238386</v>
      </c>
      <c r="V108" s="49"/>
      <c r="W108" s="49"/>
      <c r="X108" s="75">
        <v>43195</v>
      </c>
      <c r="Y108" s="45" t="s">
        <v>27</v>
      </c>
      <c r="Z108" s="45" t="s">
        <v>27</v>
      </c>
      <c r="AA108" s="45" t="s">
        <v>27</v>
      </c>
      <c r="AB108" s="45"/>
      <c r="AC108" s="169"/>
    </row>
    <row r="109" spans="1:29" s="68" customFormat="1" ht="14.45" hidden="1" customHeight="1">
      <c r="A109" s="62" t="s">
        <v>0</v>
      </c>
      <c r="B109" s="46" t="s">
        <v>632</v>
      </c>
      <c r="C109" s="46"/>
      <c r="D109" s="67"/>
      <c r="E109" s="62" t="s">
        <v>17</v>
      </c>
      <c r="F109" s="62" t="s">
        <v>633</v>
      </c>
      <c r="G109" s="43" t="s">
        <v>289</v>
      </c>
      <c r="H109" s="62" t="s">
        <v>104</v>
      </c>
      <c r="I109" s="43" t="s">
        <v>21</v>
      </c>
      <c r="J109" s="44" t="s">
        <v>24</v>
      </c>
      <c r="K109" s="43" t="s">
        <v>26</v>
      </c>
      <c r="L109" s="43" t="s">
        <v>31</v>
      </c>
      <c r="M109" s="62" t="s">
        <v>22</v>
      </c>
      <c r="N109" s="62" t="s">
        <v>22</v>
      </c>
      <c r="O109" s="62"/>
      <c r="P109" s="62"/>
      <c r="Q109" s="62"/>
      <c r="R109" s="43"/>
      <c r="S109" s="63"/>
      <c r="T109" s="44">
        <v>7625036337</v>
      </c>
      <c r="U109" s="49"/>
      <c r="V109" s="49"/>
      <c r="W109" s="49"/>
      <c r="X109" s="77"/>
      <c r="Y109" s="45" t="s">
        <v>22</v>
      </c>
      <c r="Z109" s="45" t="s">
        <v>22</v>
      </c>
      <c r="AA109" s="45" t="s">
        <v>22</v>
      </c>
      <c r="AB109" s="45"/>
      <c r="AC109" s="169" t="s">
        <v>2254</v>
      </c>
    </row>
    <row r="110" spans="1:29" s="68" customFormat="1" ht="15" hidden="1" customHeight="1">
      <c r="A110" s="62" t="s">
        <v>0</v>
      </c>
      <c r="B110" s="43" t="s">
        <v>634</v>
      </c>
      <c r="C110" s="43"/>
      <c r="D110" s="67"/>
      <c r="E110" s="62" t="s">
        <v>601</v>
      </c>
      <c r="F110" s="62" t="s">
        <v>635</v>
      </c>
      <c r="G110" s="43" t="s">
        <v>303</v>
      </c>
      <c r="H110" s="62" t="s">
        <v>2228</v>
      </c>
      <c r="I110" s="43" t="s">
        <v>21</v>
      </c>
      <c r="J110" s="44" t="s">
        <v>24</v>
      </c>
      <c r="K110" s="43" t="s">
        <v>26</v>
      </c>
      <c r="L110" s="43"/>
      <c r="M110" s="62" t="s">
        <v>22</v>
      </c>
      <c r="N110" s="62" t="s">
        <v>22</v>
      </c>
      <c r="O110" s="62"/>
      <c r="P110" s="62"/>
      <c r="Q110" s="62"/>
      <c r="R110" s="43"/>
      <c r="S110" s="63"/>
      <c r="T110" s="44"/>
      <c r="U110" s="49"/>
      <c r="V110" s="49"/>
      <c r="W110" s="49"/>
      <c r="X110" s="77"/>
      <c r="Y110" s="45" t="s">
        <v>27</v>
      </c>
      <c r="Z110" s="45" t="s">
        <v>27</v>
      </c>
      <c r="AA110" s="45" t="s">
        <v>27</v>
      </c>
      <c r="AB110" s="45"/>
      <c r="AC110" s="169"/>
    </row>
    <row r="111" spans="1:29" s="68" customFormat="1" ht="15" hidden="1" customHeight="1">
      <c r="A111" s="62" t="s">
        <v>0</v>
      </c>
      <c r="B111" s="43" t="s">
        <v>636</v>
      </c>
      <c r="C111" s="43"/>
      <c r="D111" s="67"/>
      <c r="E111" s="62" t="s">
        <v>601</v>
      </c>
      <c r="F111" s="62" t="s">
        <v>637</v>
      </c>
      <c r="G111" s="43" t="s">
        <v>638</v>
      </c>
      <c r="H111" s="62" t="s">
        <v>2228</v>
      </c>
      <c r="I111" s="43" t="s">
        <v>21</v>
      </c>
      <c r="J111" s="44" t="s">
        <v>24</v>
      </c>
      <c r="K111" s="43" t="s">
        <v>26</v>
      </c>
      <c r="L111" s="43"/>
      <c r="M111" s="62" t="s">
        <v>22</v>
      </c>
      <c r="N111" s="62" t="s">
        <v>22</v>
      </c>
      <c r="O111" s="62"/>
      <c r="P111" s="62"/>
      <c r="Q111" s="62"/>
      <c r="R111" s="43"/>
      <c r="S111" s="63"/>
      <c r="T111" s="44"/>
      <c r="U111" s="49"/>
      <c r="V111" s="49"/>
      <c r="W111" s="49"/>
      <c r="X111" s="77"/>
      <c r="Y111" s="45" t="s">
        <v>27</v>
      </c>
      <c r="Z111" s="45" t="s">
        <v>27</v>
      </c>
      <c r="AA111" s="45" t="s">
        <v>27</v>
      </c>
      <c r="AB111" s="45"/>
      <c r="AC111" s="169"/>
    </row>
    <row r="112" spans="1:29" s="68" customFormat="1" ht="15" hidden="1" customHeight="1">
      <c r="A112" s="62" t="s">
        <v>0</v>
      </c>
      <c r="B112" s="43" t="s">
        <v>639</v>
      </c>
      <c r="C112" s="43"/>
      <c r="D112" s="67"/>
      <c r="E112" s="62" t="s">
        <v>601</v>
      </c>
      <c r="F112" s="62" t="s">
        <v>640</v>
      </c>
      <c r="G112" s="43" t="s">
        <v>298</v>
      </c>
      <c r="H112" s="62" t="s">
        <v>2228</v>
      </c>
      <c r="I112" s="43" t="s">
        <v>21</v>
      </c>
      <c r="J112" s="44" t="s">
        <v>24</v>
      </c>
      <c r="K112" s="43" t="s">
        <v>26</v>
      </c>
      <c r="L112" s="43"/>
      <c r="M112" s="62" t="s">
        <v>22</v>
      </c>
      <c r="N112" s="62" t="s">
        <v>22</v>
      </c>
      <c r="O112" s="62"/>
      <c r="P112" s="62"/>
      <c r="Q112" s="62"/>
      <c r="R112" s="43"/>
      <c r="S112" s="63"/>
      <c r="T112" s="44"/>
      <c r="U112" s="49"/>
      <c r="V112" s="49"/>
      <c r="W112" s="49"/>
      <c r="X112" s="77"/>
      <c r="Y112" s="45" t="s">
        <v>27</v>
      </c>
      <c r="Z112" s="45" t="s">
        <v>27</v>
      </c>
      <c r="AA112" s="45" t="s">
        <v>27</v>
      </c>
      <c r="AB112" s="45"/>
      <c r="AC112" s="169"/>
    </row>
    <row r="113" spans="1:29" s="68" customFormat="1" ht="15" hidden="1" customHeight="1">
      <c r="A113" s="62" t="s">
        <v>0</v>
      </c>
      <c r="B113" s="43" t="s">
        <v>641</v>
      </c>
      <c r="C113" s="43"/>
      <c r="D113" s="67"/>
      <c r="E113" s="62" t="s">
        <v>601</v>
      </c>
      <c r="F113" s="62" t="s">
        <v>642</v>
      </c>
      <c r="G113" s="43" t="s">
        <v>276</v>
      </c>
      <c r="H113" s="62" t="s">
        <v>2228</v>
      </c>
      <c r="I113" s="43" t="s">
        <v>21</v>
      </c>
      <c r="J113" s="44"/>
      <c r="K113" s="65"/>
      <c r="L113" s="43"/>
      <c r="M113" s="62" t="s">
        <v>22</v>
      </c>
      <c r="N113" s="62" t="s">
        <v>22</v>
      </c>
      <c r="O113" s="62"/>
      <c r="P113" s="62"/>
      <c r="Q113" s="62"/>
      <c r="R113" s="43"/>
      <c r="S113" s="63"/>
      <c r="T113" s="44"/>
      <c r="U113" s="49"/>
      <c r="V113" s="49"/>
      <c r="W113" s="49"/>
      <c r="X113" s="77"/>
      <c r="Y113" s="45" t="s">
        <v>27</v>
      </c>
      <c r="Z113" s="45" t="s">
        <v>27</v>
      </c>
      <c r="AA113" s="45" t="s">
        <v>27</v>
      </c>
      <c r="AB113" s="45"/>
      <c r="AC113" s="169"/>
    </row>
    <row r="114" spans="1:29" s="68" customFormat="1" ht="15" hidden="1" customHeight="1">
      <c r="A114" s="62" t="s">
        <v>0</v>
      </c>
      <c r="B114" s="44" t="s">
        <v>643</v>
      </c>
      <c r="C114" s="44"/>
      <c r="D114" s="67"/>
      <c r="E114" s="62" t="s">
        <v>601</v>
      </c>
      <c r="F114" s="62" t="s">
        <v>644</v>
      </c>
      <c r="G114" s="43" t="s">
        <v>645</v>
      </c>
      <c r="H114" s="62" t="s">
        <v>599</v>
      </c>
      <c r="I114" s="43" t="s">
        <v>21</v>
      </c>
      <c r="J114" s="44"/>
      <c r="K114" s="65"/>
      <c r="L114" s="43"/>
      <c r="M114" s="62" t="s">
        <v>22</v>
      </c>
      <c r="N114" s="62" t="s">
        <v>22</v>
      </c>
      <c r="O114" s="62"/>
      <c r="P114" s="62"/>
      <c r="Q114" s="62"/>
      <c r="R114" s="43"/>
      <c r="S114" s="63"/>
      <c r="T114" s="44"/>
      <c r="U114" s="49"/>
      <c r="V114" s="49"/>
      <c r="W114" s="49"/>
      <c r="X114" s="77"/>
      <c r="Y114" s="45" t="s">
        <v>27</v>
      </c>
      <c r="Z114" s="45" t="s">
        <v>27</v>
      </c>
      <c r="AA114" s="45" t="s">
        <v>27</v>
      </c>
      <c r="AB114" s="45"/>
      <c r="AC114" s="169"/>
    </row>
    <row r="115" spans="1:29" s="68" customFormat="1" ht="15" hidden="1" customHeight="1">
      <c r="A115" s="62" t="s">
        <v>0</v>
      </c>
      <c r="B115" s="43" t="s">
        <v>534</v>
      </c>
      <c r="C115" s="51" t="s">
        <v>22</v>
      </c>
      <c r="D115" s="67"/>
      <c r="E115" s="62" t="s">
        <v>17</v>
      </c>
      <c r="F115" s="62"/>
      <c r="G115" s="43" t="s">
        <v>576</v>
      </c>
      <c r="H115" s="62" t="s">
        <v>20</v>
      </c>
      <c r="I115" s="43" t="s">
        <v>60</v>
      </c>
      <c r="J115" s="44" t="s">
        <v>3687</v>
      </c>
      <c r="K115" s="65"/>
      <c r="L115" s="43" t="s">
        <v>31</v>
      </c>
      <c r="M115" s="62" t="s">
        <v>22</v>
      </c>
      <c r="N115" s="62" t="s">
        <v>22</v>
      </c>
      <c r="O115" s="62"/>
      <c r="P115" s="62"/>
      <c r="Q115" s="62">
        <v>40256</v>
      </c>
      <c r="R115" s="43"/>
      <c r="S115" s="63"/>
      <c r="T115" s="44">
        <v>8095015789</v>
      </c>
      <c r="U115" s="49">
        <v>440152217740</v>
      </c>
      <c r="V115" s="49"/>
      <c r="W115" s="49"/>
      <c r="X115" s="75">
        <v>43195</v>
      </c>
      <c r="Y115" s="45" t="s">
        <v>27</v>
      </c>
      <c r="Z115" s="45" t="s">
        <v>27</v>
      </c>
      <c r="AA115" s="45" t="s">
        <v>27</v>
      </c>
      <c r="AB115" s="45"/>
      <c r="AC115" s="169" t="s">
        <v>2271</v>
      </c>
    </row>
    <row r="116" spans="1:29" s="68" customFormat="1" ht="15" hidden="1" customHeight="1">
      <c r="A116" s="62" t="s">
        <v>0</v>
      </c>
      <c r="B116" s="43" t="s">
        <v>646</v>
      </c>
      <c r="C116" s="43"/>
      <c r="D116" s="67"/>
      <c r="E116" s="62" t="s">
        <v>17</v>
      </c>
      <c r="F116" s="62" t="s">
        <v>647</v>
      </c>
      <c r="G116" s="43" t="s">
        <v>304</v>
      </c>
      <c r="H116" s="62" t="s">
        <v>96</v>
      </c>
      <c r="I116" s="43" t="s">
        <v>21</v>
      </c>
      <c r="J116" s="44"/>
      <c r="K116" s="65"/>
      <c r="L116" s="43" t="s">
        <v>97</v>
      </c>
      <c r="M116" s="62" t="s">
        <v>22</v>
      </c>
      <c r="N116" s="62" t="s">
        <v>22</v>
      </c>
      <c r="O116" s="62"/>
      <c r="P116" s="62"/>
      <c r="Q116" s="62"/>
      <c r="R116" s="43"/>
      <c r="S116" s="63"/>
      <c r="T116" s="44"/>
      <c r="U116" s="49"/>
      <c r="V116" s="49"/>
      <c r="W116" s="49"/>
      <c r="X116" s="77"/>
      <c r="Y116" s="45" t="s">
        <v>27</v>
      </c>
      <c r="Z116" s="45" t="s">
        <v>27</v>
      </c>
      <c r="AA116" s="45" t="s">
        <v>27</v>
      </c>
      <c r="AB116" s="45"/>
      <c r="AC116" s="169"/>
    </row>
    <row r="117" spans="1:29" s="68" customFormat="1" ht="15" hidden="1" customHeight="1">
      <c r="A117" s="62" t="s">
        <v>0</v>
      </c>
      <c r="B117" s="43" t="s">
        <v>648</v>
      </c>
      <c r="C117" s="43"/>
      <c r="D117" s="67"/>
      <c r="E117" s="62" t="s">
        <v>17</v>
      </c>
      <c r="F117" s="62" t="s">
        <v>649</v>
      </c>
      <c r="G117" s="43" t="s">
        <v>308</v>
      </c>
      <c r="H117" s="62" t="s">
        <v>96</v>
      </c>
      <c r="I117" s="43" t="s">
        <v>21</v>
      </c>
      <c r="J117" s="44" t="s">
        <v>24</v>
      </c>
      <c r="K117" s="43" t="s">
        <v>26</v>
      </c>
      <c r="L117" s="43" t="s">
        <v>97</v>
      </c>
      <c r="M117" s="62" t="s">
        <v>22</v>
      </c>
      <c r="N117" s="62" t="s">
        <v>22</v>
      </c>
      <c r="O117" s="62"/>
      <c r="P117" s="62"/>
      <c r="Q117" s="62"/>
      <c r="R117" s="43"/>
      <c r="S117" s="63"/>
      <c r="T117" s="44">
        <v>7349781102</v>
      </c>
      <c r="U117" s="49"/>
      <c r="V117" s="49"/>
      <c r="W117" s="49"/>
      <c r="X117" s="77"/>
      <c r="Y117" s="45" t="s">
        <v>27</v>
      </c>
      <c r="Z117" s="45" t="s">
        <v>27</v>
      </c>
      <c r="AA117" s="45" t="s">
        <v>27</v>
      </c>
      <c r="AB117" s="45"/>
      <c r="AC117" s="169"/>
    </row>
    <row r="118" spans="1:29" s="68" customFormat="1" ht="15" hidden="1" customHeight="1">
      <c r="A118" s="62" t="s">
        <v>0</v>
      </c>
      <c r="B118" s="43" t="s">
        <v>650</v>
      </c>
      <c r="C118" s="43"/>
      <c r="D118" s="67"/>
      <c r="E118" s="62" t="s">
        <v>17</v>
      </c>
      <c r="F118" s="62" t="s">
        <v>651</v>
      </c>
      <c r="G118" s="43" t="s">
        <v>652</v>
      </c>
      <c r="H118" s="62" t="s">
        <v>96</v>
      </c>
      <c r="I118" s="43" t="s">
        <v>21</v>
      </c>
      <c r="J118" s="44" t="s">
        <v>24</v>
      </c>
      <c r="K118" s="43" t="s">
        <v>26</v>
      </c>
      <c r="L118" s="43" t="s">
        <v>97</v>
      </c>
      <c r="M118" s="62" t="s">
        <v>22</v>
      </c>
      <c r="N118" s="62" t="s">
        <v>22</v>
      </c>
      <c r="O118" s="62"/>
      <c r="P118" s="62"/>
      <c r="Q118" s="62"/>
      <c r="R118" s="43"/>
      <c r="S118" s="63"/>
      <c r="T118" s="44">
        <v>7349781129</v>
      </c>
      <c r="U118" s="49"/>
      <c r="V118" s="49"/>
      <c r="W118" s="49"/>
      <c r="X118" s="77"/>
      <c r="Y118" s="45" t="s">
        <v>27</v>
      </c>
      <c r="Z118" s="45" t="s">
        <v>27</v>
      </c>
      <c r="AA118" s="45" t="s">
        <v>27</v>
      </c>
      <c r="AB118" s="45"/>
      <c r="AC118" s="169"/>
    </row>
    <row r="119" spans="1:29" s="68" customFormat="1" ht="15" hidden="1" customHeight="1">
      <c r="A119" s="62" t="s">
        <v>0</v>
      </c>
      <c r="B119" s="44" t="s">
        <v>653</v>
      </c>
      <c r="C119" s="44"/>
      <c r="D119" s="67"/>
      <c r="E119" s="62" t="s">
        <v>17</v>
      </c>
      <c r="F119" s="62" t="s">
        <v>654</v>
      </c>
      <c r="G119" s="43" t="s">
        <v>306</v>
      </c>
      <c r="H119" s="62" t="s">
        <v>96</v>
      </c>
      <c r="I119" s="43" t="s">
        <v>21</v>
      </c>
      <c r="J119" s="44" t="s">
        <v>24</v>
      </c>
      <c r="K119" s="43" t="s">
        <v>26</v>
      </c>
      <c r="L119" s="43" t="s">
        <v>97</v>
      </c>
      <c r="M119" s="62" t="s">
        <v>22</v>
      </c>
      <c r="N119" s="62" t="s">
        <v>22</v>
      </c>
      <c r="O119" s="62"/>
      <c r="P119" s="62"/>
      <c r="Q119" s="62"/>
      <c r="R119" s="43"/>
      <c r="S119" s="63"/>
      <c r="T119" s="44">
        <v>7349781070</v>
      </c>
      <c r="U119" s="49"/>
      <c r="V119" s="49"/>
      <c r="W119" s="49"/>
      <c r="X119" s="77"/>
      <c r="Y119" s="45" t="s">
        <v>27</v>
      </c>
      <c r="Z119" s="45" t="s">
        <v>27</v>
      </c>
      <c r="AA119" s="45" t="s">
        <v>27</v>
      </c>
      <c r="AB119" s="45"/>
      <c r="AC119" s="169"/>
    </row>
    <row r="120" spans="1:29" s="68" customFormat="1" ht="15" hidden="1" customHeight="1">
      <c r="A120" s="62" t="s">
        <v>0</v>
      </c>
      <c r="B120" s="44" t="s">
        <v>655</v>
      </c>
      <c r="C120" s="44"/>
      <c r="D120" s="67"/>
      <c r="E120" s="62" t="s">
        <v>17</v>
      </c>
      <c r="F120" s="62" t="s">
        <v>656</v>
      </c>
      <c r="G120" s="43" t="s">
        <v>310</v>
      </c>
      <c r="H120" s="62" t="s">
        <v>96</v>
      </c>
      <c r="I120" s="43" t="s">
        <v>21</v>
      </c>
      <c r="J120" s="44" t="s">
        <v>24</v>
      </c>
      <c r="K120" s="43" t="s">
        <v>26</v>
      </c>
      <c r="L120" s="43" t="s">
        <v>97</v>
      </c>
      <c r="M120" s="62" t="s">
        <v>22</v>
      </c>
      <c r="N120" s="62" t="s">
        <v>22</v>
      </c>
      <c r="O120" s="62"/>
      <c r="P120" s="62"/>
      <c r="Q120" s="62"/>
      <c r="R120" s="43"/>
      <c r="S120" s="63"/>
      <c r="T120" s="44">
        <v>7349781070</v>
      </c>
      <c r="U120" s="49"/>
      <c r="V120" s="49"/>
      <c r="W120" s="49"/>
      <c r="X120" s="77"/>
      <c r="Y120" s="45" t="s">
        <v>27</v>
      </c>
      <c r="Z120" s="45" t="s">
        <v>27</v>
      </c>
      <c r="AA120" s="45" t="s">
        <v>27</v>
      </c>
      <c r="AB120" s="45"/>
      <c r="AC120" s="169"/>
    </row>
    <row r="121" spans="1:29" s="68" customFormat="1" ht="15" hidden="1" customHeight="1">
      <c r="A121" s="62" t="s">
        <v>0</v>
      </c>
      <c r="B121" s="44" t="s">
        <v>657</v>
      </c>
      <c r="C121" s="51" t="s">
        <v>27</v>
      </c>
      <c r="D121" s="43" t="s">
        <v>2758</v>
      </c>
      <c r="E121" s="62" t="s">
        <v>17</v>
      </c>
      <c r="F121" s="62" t="s">
        <v>658</v>
      </c>
      <c r="G121" s="43" t="s">
        <v>316</v>
      </c>
      <c r="H121" s="62" t="s">
        <v>20</v>
      </c>
      <c r="I121" s="43" t="s">
        <v>60</v>
      </c>
      <c r="J121" s="44" t="s">
        <v>3668</v>
      </c>
      <c r="K121" s="95" t="s">
        <v>3665</v>
      </c>
      <c r="L121" s="43" t="s">
        <v>211</v>
      </c>
      <c r="M121" s="62" t="s">
        <v>22</v>
      </c>
      <c r="N121" s="62" t="s">
        <v>22</v>
      </c>
      <c r="O121" s="62"/>
      <c r="P121" s="62"/>
      <c r="Q121" s="62">
        <v>40269</v>
      </c>
      <c r="R121" s="43"/>
      <c r="S121" s="63"/>
      <c r="T121" s="44"/>
      <c r="U121" s="49"/>
      <c r="V121" s="49"/>
      <c r="W121" s="49"/>
      <c r="X121" s="75">
        <v>43195</v>
      </c>
      <c r="Y121" s="45" t="s">
        <v>27</v>
      </c>
      <c r="Z121" s="45" t="s">
        <v>27</v>
      </c>
      <c r="AA121" s="45" t="s">
        <v>27</v>
      </c>
      <c r="AB121" s="45"/>
      <c r="AC121" s="169"/>
    </row>
    <row r="122" spans="1:29" s="68" customFormat="1" ht="15" hidden="1" customHeight="1">
      <c r="A122" s="62" t="s">
        <v>0</v>
      </c>
      <c r="B122" s="44" t="s">
        <v>659</v>
      </c>
      <c r="C122" s="44"/>
      <c r="D122" s="67"/>
      <c r="E122" s="62" t="s">
        <v>17</v>
      </c>
      <c r="F122" s="62" t="s">
        <v>660</v>
      </c>
      <c r="G122" s="43" t="s">
        <v>661</v>
      </c>
      <c r="H122" s="62" t="s">
        <v>96</v>
      </c>
      <c r="I122" s="43" t="s">
        <v>21</v>
      </c>
      <c r="J122" s="44" t="s">
        <v>24</v>
      </c>
      <c r="K122" s="43" t="s">
        <v>26</v>
      </c>
      <c r="L122" s="43" t="s">
        <v>97</v>
      </c>
      <c r="M122" s="62" t="s">
        <v>22</v>
      </c>
      <c r="N122" s="62" t="s">
        <v>22</v>
      </c>
      <c r="O122" s="62"/>
      <c r="P122" s="62"/>
      <c r="Q122" s="62"/>
      <c r="R122" s="43"/>
      <c r="S122" s="63"/>
      <c r="T122" s="44">
        <v>7625047638</v>
      </c>
      <c r="U122" s="49"/>
      <c r="V122" s="49"/>
      <c r="W122" s="49"/>
      <c r="X122" s="77"/>
      <c r="Y122" s="45" t="s">
        <v>27</v>
      </c>
      <c r="Z122" s="45" t="s">
        <v>27</v>
      </c>
      <c r="AA122" s="45" t="s">
        <v>27</v>
      </c>
      <c r="AB122" s="45"/>
      <c r="AC122" s="169"/>
    </row>
    <row r="123" spans="1:29" s="68" customFormat="1" ht="15" hidden="1" customHeight="1">
      <c r="A123" s="62" t="s">
        <v>0</v>
      </c>
      <c r="B123" s="44" t="s">
        <v>662</v>
      </c>
      <c r="C123" s="44"/>
      <c r="D123" s="67"/>
      <c r="E123" s="62" t="s">
        <v>17</v>
      </c>
      <c r="F123" s="62" t="s">
        <v>663</v>
      </c>
      <c r="G123" s="43" t="s">
        <v>324</v>
      </c>
      <c r="H123" s="62" t="s">
        <v>96</v>
      </c>
      <c r="I123" s="43" t="s">
        <v>21</v>
      </c>
      <c r="J123" s="44" t="s">
        <v>24</v>
      </c>
      <c r="K123" s="43" t="s">
        <v>26</v>
      </c>
      <c r="L123" s="43" t="s">
        <v>97</v>
      </c>
      <c r="M123" s="62" t="s">
        <v>22</v>
      </c>
      <c r="N123" s="62" t="s">
        <v>22</v>
      </c>
      <c r="O123" s="62"/>
      <c r="P123" s="62"/>
      <c r="Q123" s="62"/>
      <c r="R123" s="43"/>
      <c r="S123" s="63"/>
      <c r="T123" s="44">
        <v>7625047652</v>
      </c>
      <c r="U123" s="49"/>
      <c r="V123" s="49"/>
      <c r="W123" s="49"/>
      <c r="X123" s="77"/>
      <c r="Y123" s="45" t="s">
        <v>27</v>
      </c>
      <c r="Z123" s="45" t="s">
        <v>27</v>
      </c>
      <c r="AA123" s="45" t="s">
        <v>27</v>
      </c>
      <c r="AB123" s="45"/>
      <c r="AC123" s="169"/>
    </row>
    <row r="124" spans="1:29" s="68" customFormat="1" ht="15" hidden="1" customHeight="1">
      <c r="A124" s="62" t="s">
        <v>0</v>
      </c>
      <c r="B124" s="46" t="s">
        <v>664</v>
      </c>
      <c r="C124" s="46"/>
      <c r="D124" s="67"/>
      <c r="E124" s="62" t="s">
        <v>601</v>
      </c>
      <c r="F124" s="62" t="s">
        <v>665</v>
      </c>
      <c r="G124" s="43" t="s">
        <v>314</v>
      </c>
      <c r="H124" s="62" t="s">
        <v>104</v>
      </c>
      <c r="I124" s="43" t="s">
        <v>21</v>
      </c>
      <c r="J124" s="44"/>
      <c r="K124" s="65"/>
      <c r="L124" s="43" t="s">
        <v>97</v>
      </c>
      <c r="M124" s="62" t="s">
        <v>22</v>
      </c>
      <c r="N124" s="62" t="s">
        <v>22</v>
      </c>
      <c r="O124" s="62"/>
      <c r="P124" s="62"/>
      <c r="Q124" s="62"/>
      <c r="R124" s="43"/>
      <c r="S124" s="63"/>
      <c r="T124" s="44"/>
      <c r="U124" s="49"/>
      <c r="V124" s="49"/>
      <c r="W124" s="49"/>
      <c r="X124" s="77">
        <v>43196</v>
      </c>
      <c r="Y124" s="45" t="s">
        <v>22</v>
      </c>
      <c r="Z124" s="45" t="s">
        <v>22</v>
      </c>
      <c r="AA124" s="45" t="s">
        <v>22</v>
      </c>
      <c r="AB124" s="45"/>
      <c r="AC124" s="169" t="s">
        <v>2254</v>
      </c>
    </row>
    <row r="125" spans="1:29" s="68" customFormat="1" ht="14.45" hidden="1" customHeight="1">
      <c r="A125" s="62" t="s">
        <v>0</v>
      </c>
      <c r="B125" s="43" t="s">
        <v>666</v>
      </c>
      <c r="C125" s="43"/>
      <c r="D125" s="67"/>
      <c r="E125" s="62" t="s">
        <v>601</v>
      </c>
      <c r="F125" s="62" t="s">
        <v>667</v>
      </c>
      <c r="G125" s="43" t="s">
        <v>312</v>
      </c>
      <c r="H125" s="62" t="s">
        <v>104</v>
      </c>
      <c r="I125" s="43" t="s">
        <v>21</v>
      </c>
      <c r="J125" s="44"/>
      <c r="K125" s="65"/>
      <c r="L125" s="43" t="s">
        <v>31</v>
      </c>
      <c r="M125" s="62" t="s">
        <v>22</v>
      </c>
      <c r="N125" s="62" t="s">
        <v>22</v>
      </c>
      <c r="O125" s="62"/>
      <c r="P125" s="62"/>
      <c r="Q125" s="62"/>
      <c r="R125" s="43"/>
      <c r="S125" s="63"/>
      <c r="T125" s="44"/>
      <c r="U125" s="49"/>
      <c r="V125" s="49"/>
      <c r="W125" s="49"/>
      <c r="X125" s="77">
        <v>43196</v>
      </c>
      <c r="Y125" s="45" t="s">
        <v>22</v>
      </c>
      <c r="Z125" s="45" t="s">
        <v>22</v>
      </c>
      <c r="AA125" s="45" t="s">
        <v>22</v>
      </c>
      <c r="AB125" s="45"/>
      <c r="AC125" s="169" t="s">
        <v>2253</v>
      </c>
    </row>
    <row r="126" spans="1:29" s="68" customFormat="1" ht="15" hidden="1" customHeight="1">
      <c r="A126" s="62" t="s">
        <v>0</v>
      </c>
      <c r="B126" s="43" t="s">
        <v>668</v>
      </c>
      <c r="C126" s="43"/>
      <c r="D126" s="67"/>
      <c r="E126" s="62" t="s">
        <v>17</v>
      </c>
      <c r="F126" s="62" t="s">
        <v>669</v>
      </c>
      <c r="G126" s="43" t="s">
        <v>661</v>
      </c>
      <c r="H126" s="62" t="s">
        <v>96</v>
      </c>
      <c r="I126" s="43" t="s">
        <v>21</v>
      </c>
      <c r="J126" s="44" t="s">
        <v>24</v>
      </c>
      <c r="K126" s="43" t="s">
        <v>26</v>
      </c>
      <c r="L126" s="43" t="s">
        <v>763</v>
      </c>
      <c r="M126" s="62" t="s">
        <v>22</v>
      </c>
      <c r="N126" s="62" t="s">
        <v>22</v>
      </c>
      <c r="O126" s="62"/>
      <c r="P126" s="62"/>
      <c r="Q126" s="62"/>
      <c r="R126" s="43"/>
      <c r="S126" s="63"/>
      <c r="T126" s="44">
        <v>9108443042</v>
      </c>
      <c r="U126" s="49"/>
      <c r="V126" s="49"/>
      <c r="W126" s="49"/>
      <c r="X126" s="77"/>
      <c r="Y126" s="45" t="s">
        <v>27</v>
      </c>
      <c r="Z126" s="45" t="s">
        <v>27</v>
      </c>
      <c r="AA126" s="45" t="s">
        <v>27</v>
      </c>
      <c r="AB126" s="45"/>
      <c r="AC126" s="169"/>
    </row>
    <row r="127" spans="1:29" s="68" customFormat="1" ht="15" hidden="1" customHeight="1">
      <c r="A127" s="62" t="s">
        <v>0</v>
      </c>
      <c r="B127" s="43" t="s">
        <v>670</v>
      </c>
      <c r="C127" s="43"/>
      <c r="D127" s="67"/>
      <c r="E127" s="62" t="s">
        <v>601</v>
      </c>
      <c r="F127" s="62" t="s">
        <v>671</v>
      </c>
      <c r="G127" s="43" t="s">
        <v>672</v>
      </c>
      <c r="H127" s="62" t="s">
        <v>104</v>
      </c>
      <c r="I127" s="43" t="s">
        <v>21</v>
      </c>
      <c r="J127" s="44" t="s">
        <v>24</v>
      </c>
      <c r="K127" s="43" t="s">
        <v>26</v>
      </c>
      <c r="L127" s="43" t="s">
        <v>97</v>
      </c>
      <c r="M127" s="62" t="s">
        <v>22</v>
      </c>
      <c r="N127" s="62" t="s">
        <v>22</v>
      </c>
      <c r="O127" s="62"/>
      <c r="P127" s="62"/>
      <c r="Q127" s="62"/>
      <c r="R127" s="43"/>
      <c r="S127" s="63"/>
      <c r="T127" s="44"/>
      <c r="U127" s="49"/>
      <c r="V127" s="49"/>
      <c r="W127" s="49"/>
      <c r="X127" s="77">
        <v>43196</v>
      </c>
      <c r="Y127" s="45" t="s">
        <v>22</v>
      </c>
      <c r="Z127" s="45" t="s">
        <v>22</v>
      </c>
      <c r="AA127" s="45" t="s">
        <v>22</v>
      </c>
      <c r="AB127" s="45"/>
      <c r="AC127" s="169" t="s">
        <v>2253</v>
      </c>
    </row>
    <row r="128" spans="1:29" s="68" customFormat="1" ht="15" hidden="1" customHeight="1">
      <c r="A128" s="62" t="s">
        <v>0</v>
      </c>
      <c r="B128" s="43" t="s">
        <v>673</v>
      </c>
      <c r="C128" s="43"/>
      <c r="D128" s="67"/>
      <c r="E128" s="62" t="s">
        <v>601</v>
      </c>
      <c r="F128" s="62" t="s">
        <v>674</v>
      </c>
      <c r="G128" s="43" t="s">
        <v>675</v>
      </c>
      <c r="H128" s="62" t="s">
        <v>104</v>
      </c>
      <c r="I128" s="43" t="s">
        <v>21</v>
      </c>
      <c r="J128" s="44" t="s">
        <v>24</v>
      </c>
      <c r="K128" s="43" t="s">
        <v>26</v>
      </c>
      <c r="L128" s="43" t="s">
        <v>31</v>
      </c>
      <c r="M128" s="62" t="s">
        <v>22</v>
      </c>
      <c r="N128" s="62" t="s">
        <v>22</v>
      </c>
      <c r="O128" s="62"/>
      <c r="P128" s="62"/>
      <c r="Q128" s="62"/>
      <c r="R128" s="43"/>
      <c r="S128" s="63"/>
      <c r="T128" s="44"/>
      <c r="U128" s="49"/>
      <c r="V128" s="49"/>
      <c r="W128" s="49"/>
      <c r="X128" s="77">
        <v>43196</v>
      </c>
      <c r="Y128" s="45" t="s">
        <v>22</v>
      </c>
      <c r="Z128" s="45" t="s">
        <v>22</v>
      </c>
      <c r="AA128" s="45" t="s">
        <v>22</v>
      </c>
      <c r="AB128" s="45"/>
      <c r="AC128" s="169" t="s">
        <v>2253</v>
      </c>
    </row>
    <row r="129" spans="1:29" s="68" customFormat="1" ht="15" hidden="1" customHeight="1">
      <c r="A129" s="62" t="s">
        <v>0</v>
      </c>
      <c r="B129" s="44" t="s">
        <v>676</v>
      </c>
      <c r="C129" s="44"/>
      <c r="D129" s="67"/>
      <c r="E129" s="62" t="s">
        <v>601</v>
      </c>
      <c r="F129" s="62" t="s">
        <v>677</v>
      </c>
      <c r="G129" s="43" t="s">
        <v>678</v>
      </c>
      <c r="H129" s="62" t="s">
        <v>104</v>
      </c>
      <c r="I129" s="43" t="s">
        <v>21</v>
      </c>
      <c r="J129" s="44" t="s">
        <v>24</v>
      </c>
      <c r="K129" s="43" t="s">
        <v>26</v>
      </c>
      <c r="L129" s="43"/>
      <c r="M129" s="62" t="s">
        <v>22</v>
      </c>
      <c r="N129" s="62" t="s">
        <v>22</v>
      </c>
      <c r="O129" s="62"/>
      <c r="P129" s="62"/>
      <c r="Q129" s="62"/>
      <c r="R129" s="43"/>
      <c r="S129" s="63"/>
      <c r="T129" s="44"/>
      <c r="U129" s="49"/>
      <c r="V129" s="49"/>
      <c r="W129" s="49"/>
      <c r="X129" s="77">
        <v>43196</v>
      </c>
      <c r="Y129" s="45" t="s">
        <v>22</v>
      </c>
      <c r="Z129" s="45" t="s">
        <v>22</v>
      </c>
      <c r="AA129" s="45" t="s">
        <v>22</v>
      </c>
      <c r="AB129" s="45"/>
      <c r="AC129" s="169" t="s">
        <v>2254</v>
      </c>
    </row>
    <row r="130" spans="1:29" s="68" customFormat="1" ht="15" hidden="1" customHeight="1">
      <c r="A130" s="62" t="s">
        <v>0</v>
      </c>
      <c r="B130" s="43" t="s">
        <v>679</v>
      </c>
      <c r="C130" s="43"/>
      <c r="D130" s="67"/>
      <c r="E130" s="62" t="s">
        <v>601</v>
      </c>
      <c r="F130" s="62" t="s">
        <v>680</v>
      </c>
      <c r="G130" s="43" t="s">
        <v>681</v>
      </c>
      <c r="H130" s="62" t="s">
        <v>104</v>
      </c>
      <c r="I130" s="43" t="s">
        <v>21</v>
      </c>
      <c r="J130" s="44" t="s">
        <v>24</v>
      </c>
      <c r="K130" s="43" t="s">
        <v>26</v>
      </c>
      <c r="L130" s="43" t="s">
        <v>97</v>
      </c>
      <c r="M130" s="62" t="s">
        <v>22</v>
      </c>
      <c r="N130" s="62" t="s">
        <v>22</v>
      </c>
      <c r="O130" s="62"/>
      <c r="P130" s="62"/>
      <c r="Q130" s="62"/>
      <c r="R130" s="43"/>
      <c r="S130" s="63"/>
      <c r="T130" s="44"/>
      <c r="U130" s="49"/>
      <c r="V130" s="49"/>
      <c r="W130" s="49"/>
      <c r="X130" s="77">
        <v>43196</v>
      </c>
      <c r="Y130" s="45" t="s">
        <v>22</v>
      </c>
      <c r="Z130" s="45" t="s">
        <v>22</v>
      </c>
      <c r="AA130" s="45" t="s">
        <v>22</v>
      </c>
      <c r="AB130" s="45"/>
      <c r="AC130" s="169" t="s">
        <v>2254</v>
      </c>
    </row>
    <row r="131" spans="1:29" s="68" customFormat="1" ht="15" hidden="1" customHeight="1">
      <c r="A131" s="62" t="s">
        <v>0</v>
      </c>
      <c r="B131" s="43" t="s">
        <v>682</v>
      </c>
      <c r="C131" s="43"/>
      <c r="D131" s="67"/>
      <c r="E131" s="62" t="s">
        <v>601</v>
      </c>
      <c r="F131" s="62" t="s">
        <v>683</v>
      </c>
      <c r="G131" s="43" t="s">
        <v>208</v>
      </c>
      <c r="H131" s="62" t="s">
        <v>104</v>
      </c>
      <c r="I131" s="43" t="s">
        <v>21</v>
      </c>
      <c r="J131" s="44" t="s">
        <v>24</v>
      </c>
      <c r="K131" s="43" t="s">
        <v>26</v>
      </c>
      <c r="L131" s="43" t="s">
        <v>97</v>
      </c>
      <c r="M131" s="62" t="s">
        <v>22</v>
      </c>
      <c r="N131" s="62" t="s">
        <v>22</v>
      </c>
      <c r="O131" s="62"/>
      <c r="P131" s="62"/>
      <c r="Q131" s="62"/>
      <c r="R131" s="43"/>
      <c r="S131" s="63"/>
      <c r="T131" s="44"/>
      <c r="U131" s="49"/>
      <c r="V131" s="49"/>
      <c r="W131" s="49"/>
      <c r="X131" s="77">
        <v>43196</v>
      </c>
      <c r="Y131" s="45" t="s">
        <v>22</v>
      </c>
      <c r="Z131" s="45" t="s">
        <v>22</v>
      </c>
      <c r="AA131" s="45" t="s">
        <v>22</v>
      </c>
      <c r="AB131" s="45"/>
      <c r="AC131" s="169" t="s">
        <v>2254</v>
      </c>
    </row>
    <row r="132" spans="1:29" s="68" customFormat="1" ht="15" hidden="1" customHeight="1">
      <c r="A132" s="62" t="s">
        <v>0</v>
      </c>
      <c r="B132" s="43" t="s">
        <v>684</v>
      </c>
      <c r="C132" s="43"/>
      <c r="D132" s="67"/>
      <c r="E132" s="62" t="s">
        <v>601</v>
      </c>
      <c r="F132" s="62" t="s">
        <v>685</v>
      </c>
      <c r="G132" s="43" t="s">
        <v>686</v>
      </c>
      <c r="H132" s="62" t="s">
        <v>104</v>
      </c>
      <c r="I132" s="43" t="s">
        <v>21</v>
      </c>
      <c r="J132" s="44" t="s">
        <v>24</v>
      </c>
      <c r="K132" s="43" t="s">
        <v>26</v>
      </c>
      <c r="L132" s="43" t="s">
        <v>97</v>
      </c>
      <c r="M132" s="62" t="s">
        <v>22</v>
      </c>
      <c r="N132" s="62" t="s">
        <v>22</v>
      </c>
      <c r="O132" s="62"/>
      <c r="P132" s="62"/>
      <c r="Q132" s="62"/>
      <c r="R132" s="43"/>
      <c r="S132" s="63"/>
      <c r="T132" s="44"/>
      <c r="U132" s="49"/>
      <c r="V132" s="49"/>
      <c r="W132" s="49"/>
      <c r="X132" s="77">
        <v>43196</v>
      </c>
      <c r="Y132" s="45" t="s">
        <v>22</v>
      </c>
      <c r="Z132" s="45" t="s">
        <v>22</v>
      </c>
      <c r="AA132" s="45" t="s">
        <v>22</v>
      </c>
      <c r="AB132" s="45"/>
      <c r="AC132" s="169" t="s">
        <v>2253</v>
      </c>
    </row>
    <row r="133" spans="1:29" s="68" customFormat="1" ht="15" hidden="1" customHeight="1">
      <c r="A133" s="62" t="s">
        <v>0</v>
      </c>
      <c r="B133" s="43" t="s">
        <v>687</v>
      </c>
      <c r="C133" s="43"/>
      <c r="D133" s="67"/>
      <c r="E133" s="62" t="s">
        <v>17</v>
      </c>
      <c r="F133" s="62" t="s">
        <v>688</v>
      </c>
      <c r="G133" s="43" t="s">
        <v>689</v>
      </c>
      <c r="H133" s="62" t="s">
        <v>96</v>
      </c>
      <c r="I133" s="43" t="s">
        <v>21</v>
      </c>
      <c r="J133" s="44"/>
      <c r="K133" s="65"/>
      <c r="L133" s="43" t="s">
        <v>763</v>
      </c>
      <c r="M133" s="62" t="s">
        <v>22</v>
      </c>
      <c r="N133" s="62" t="s">
        <v>22</v>
      </c>
      <c r="O133" s="62"/>
      <c r="P133" s="62"/>
      <c r="Q133" s="62"/>
      <c r="R133" s="43"/>
      <c r="S133" s="63"/>
      <c r="T133" s="44"/>
      <c r="U133" s="49"/>
      <c r="V133" s="49"/>
      <c r="W133" s="49"/>
      <c r="X133" s="77"/>
      <c r="Y133" s="45" t="s">
        <v>27</v>
      </c>
      <c r="Z133" s="45" t="s">
        <v>27</v>
      </c>
      <c r="AA133" s="45" t="s">
        <v>27</v>
      </c>
      <c r="AB133" s="45"/>
      <c r="AC133" s="169"/>
    </row>
    <row r="134" spans="1:29" s="68" customFormat="1" ht="15" hidden="1" customHeight="1">
      <c r="A134" s="62" t="s">
        <v>0</v>
      </c>
      <c r="B134" s="44" t="s">
        <v>690</v>
      </c>
      <c r="C134" s="44"/>
      <c r="D134" s="67"/>
      <c r="E134" s="62" t="s">
        <v>17</v>
      </c>
      <c r="F134" s="62" t="s">
        <v>691</v>
      </c>
      <c r="G134" s="43" t="s">
        <v>259</v>
      </c>
      <c r="H134" s="62" t="s">
        <v>104</v>
      </c>
      <c r="I134" s="43" t="s">
        <v>21</v>
      </c>
      <c r="J134" s="44"/>
      <c r="K134" s="65"/>
      <c r="L134" s="43" t="s">
        <v>97</v>
      </c>
      <c r="M134" s="62" t="s">
        <v>22</v>
      </c>
      <c r="N134" s="62" t="s">
        <v>22</v>
      </c>
      <c r="O134" s="62"/>
      <c r="P134" s="62"/>
      <c r="Q134" s="62"/>
      <c r="R134" s="43"/>
      <c r="S134" s="63"/>
      <c r="T134" s="44"/>
      <c r="U134" s="49"/>
      <c r="V134" s="49"/>
      <c r="W134" s="49"/>
      <c r="X134" s="77"/>
      <c r="Y134" s="45" t="s">
        <v>22</v>
      </c>
      <c r="Z134" s="45" t="s">
        <v>22</v>
      </c>
      <c r="AA134" s="45" t="s">
        <v>22</v>
      </c>
      <c r="AB134" s="45"/>
      <c r="AC134" s="169" t="s">
        <v>1792</v>
      </c>
    </row>
    <row r="135" spans="1:29" s="68" customFormat="1" ht="15" hidden="1" customHeight="1">
      <c r="A135" s="62" t="s">
        <v>0</v>
      </c>
      <c r="B135" s="44" t="s">
        <v>692</v>
      </c>
      <c r="C135" s="44"/>
      <c r="D135" s="67"/>
      <c r="E135" s="62" t="s">
        <v>17</v>
      </c>
      <c r="F135" s="62" t="s">
        <v>693</v>
      </c>
      <c r="G135" s="43" t="s">
        <v>694</v>
      </c>
      <c r="H135" s="62" t="s">
        <v>104</v>
      </c>
      <c r="I135" s="43" t="s">
        <v>21</v>
      </c>
      <c r="J135" s="44" t="s">
        <v>24</v>
      </c>
      <c r="K135" s="43" t="s">
        <v>26</v>
      </c>
      <c r="L135" s="43" t="s">
        <v>97</v>
      </c>
      <c r="M135" s="62" t="s">
        <v>22</v>
      </c>
      <c r="N135" s="62" t="s">
        <v>22</v>
      </c>
      <c r="O135" s="62"/>
      <c r="P135" s="62"/>
      <c r="Q135" s="62"/>
      <c r="R135" s="43"/>
      <c r="S135" s="63"/>
      <c r="T135" s="44">
        <v>7349781105</v>
      </c>
      <c r="U135" s="49"/>
      <c r="V135" s="49"/>
      <c r="W135" s="49"/>
      <c r="X135" s="77"/>
      <c r="Y135" s="45" t="s">
        <v>27</v>
      </c>
      <c r="Z135" s="45" t="s">
        <v>27</v>
      </c>
      <c r="AA135" s="45" t="s">
        <v>27</v>
      </c>
      <c r="AB135" s="45"/>
      <c r="AC135" s="169"/>
    </row>
    <row r="136" spans="1:29" s="68" customFormat="1" ht="15" hidden="1" customHeight="1">
      <c r="A136" s="62" t="s">
        <v>0</v>
      </c>
      <c r="B136" s="44" t="s">
        <v>695</v>
      </c>
      <c r="C136" s="44"/>
      <c r="D136" s="67"/>
      <c r="E136" s="62" t="s">
        <v>17</v>
      </c>
      <c r="F136" s="62" t="s">
        <v>604</v>
      </c>
      <c r="G136" s="43" t="s">
        <v>696</v>
      </c>
      <c r="H136" s="62" t="s">
        <v>104</v>
      </c>
      <c r="I136" s="43" t="s">
        <v>21</v>
      </c>
      <c r="J136" s="44"/>
      <c r="K136" s="65"/>
      <c r="L136" s="43" t="s">
        <v>97</v>
      </c>
      <c r="M136" s="62" t="s">
        <v>22</v>
      </c>
      <c r="N136" s="62" t="s">
        <v>22</v>
      </c>
      <c r="O136" s="62"/>
      <c r="P136" s="62"/>
      <c r="Q136" s="62"/>
      <c r="R136" s="43"/>
      <c r="S136" s="63"/>
      <c r="T136" s="44"/>
      <c r="U136" s="49"/>
      <c r="V136" s="49"/>
      <c r="W136" s="49"/>
      <c r="X136" s="77"/>
      <c r="Y136" s="45" t="s">
        <v>22</v>
      </c>
      <c r="Z136" s="45" t="s">
        <v>22</v>
      </c>
      <c r="AA136" s="45" t="s">
        <v>22</v>
      </c>
      <c r="AB136" s="45"/>
      <c r="AC136" s="169" t="s">
        <v>1792</v>
      </c>
    </row>
    <row r="137" spans="1:29" s="68" customFormat="1" ht="15" hidden="1" customHeight="1">
      <c r="A137" s="62" t="s">
        <v>0</v>
      </c>
      <c r="B137" s="44" t="s">
        <v>697</v>
      </c>
      <c r="C137" s="44"/>
      <c r="D137" s="67"/>
      <c r="E137" s="62" t="s">
        <v>17</v>
      </c>
      <c r="F137" s="62" t="s">
        <v>698</v>
      </c>
      <c r="G137" s="43" t="s">
        <v>699</v>
      </c>
      <c r="H137" s="62" t="s">
        <v>96</v>
      </c>
      <c r="I137" s="43" t="s">
        <v>21</v>
      </c>
      <c r="J137" s="44" t="s">
        <v>24</v>
      </c>
      <c r="K137" s="43" t="s">
        <v>26</v>
      </c>
      <c r="L137" s="43" t="s">
        <v>97</v>
      </c>
      <c r="M137" s="62" t="s">
        <v>22</v>
      </c>
      <c r="N137" s="62" t="s">
        <v>22</v>
      </c>
      <c r="O137" s="62"/>
      <c r="P137" s="62"/>
      <c r="Q137" s="62"/>
      <c r="R137" s="43"/>
      <c r="S137" s="63"/>
      <c r="T137" s="44">
        <v>7349781132</v>
      </c>
      <c r="U137" s="49"/>
      <c r="V137" s="49"/>
      <c r="W137" s="49"/>
      <c r="X137" s="77"/>
      <c r="Y137" s="45" t="s">
        <v>27</v>
      </c>
      <c r="Z137" s="45" t="s">
        <v>27</v>
      </c>
      <c r="AA137" s="45" t="s">
        <v>27</v>
      </c>
      <c r="AB137" s="45"/>
      <c r="AC137" s="169"/>
    </row>
    <row r="138" spans="1:29" s="68" customFormat="1" ht="15" hidden="1" customHeight="1">
      <c r="A138" s="62" t="s">
        <v>0</v>
      </c>
      <c r="B138" s="44" t="s">
        <v>700</v>
      </c>
      <c r="C138" s="44"/>
      <c r="D138" s="67"/>
      <c r="E138" s="62" t="s">
        <v>601</v>
      </c>
      <c r="F138" s="62" t="s">
        <v>701</v>
      </c>
      <c r="G138" s="43" t="s">
        <v>702</v>
      </c>
      <c r="H138" s="62" t="s">
        <v>104</v>
      </c>
      <c r="I138" s="43" t="s">
        <v>21</v>
      </c>
      <c r="J138" s="44"/>
      <c r="K138" s="65"/>
      <c r="L138" s="43" t="s">
        <v>97</v>
      </c>
      <c r="M138" s="62" t="s">
        <v>22</v>
      </c>
      <c r="N138" s="62" t="s">
        <v>22</v>
      </c>
      <c r="O138" s="62"/>
      <c r="P138" s="62"/>
      <c r="Q138" s="62"/>
      <c r="R138" s="43"/>
      <c r="S138" s="63"/>
      <c r="T138" s="44"/>
      <c r="U138" s="49"/>
      <c r="V138" s="49"/>
      <c r="W138" s="49"/>
      <c r="X138" s="77">
        <v>43196</v>
      </c>
      <c r="Y138" s="45" t="s">
        <v>22</v>
      </c>
      <c r="Z138" s="45" t="s">
        <v>22</v>
      </c>
      <c r="AA138" s="45" t="s">
        <v>22</v>
      </c>
      <c r="AB138" s="45"/>
      <c r="AC138" s="169" t="s">
        <v>2293</v>
      </c>
    </row>
    <row r="139" spans="1:29" s="68" customFormat="1" ht="15" hidden="1" customHeight="1">
      <c r="A139" s="62" t="s">
        <v>0</v>
      </c>
      <c r="B139" s="46" t="s">
        <v>703</v>
      </c>
      <c r="C139" s="46"/>
      <c r="D139" s="67"/>
      <c r="E139" s="62" t="s">
        <v>601</v>
      </c>
      <c r="F139" s="62" t="s">
        <v>704</v>
      </c>
      <c r="G139" s="43" t="s">
        <v>705</v>
      </c>
      <c r="H139" s="62" t="s">
        <v>104</v>
      </c>
      <c r="I139" s="43" t="s">
        <v>21</v>
      </c>
      <c r="J139" s="44"/>
      <c r="K139" s="65"/>
      <c r="L139" s="43" t="s">
        <v>97</v>
      </c>
      <c r="M139" s="62" t="s">
        <v>22</v>
      </c>
      <c r="N139" s="62" t="s">
        <v>22</v>
      </c>
      <c r="O139" s="62"/>
      <c r="P139" s="62"/>
      <c r="Q139" s="62"/>
      <c r="R139" s="43"/>
      <c r="S139" s="63"/>
      <c r="T139" s="44"/>
      <c r="U139" s="49"/>
      <c r="V139" s="49"/>
      <c r="W139" s="49"/>
      <c r="X139" s="77">
        <v>43196</v>
      </c>
      <c r="Y139" s="45" t="s">
        <v>27</v>
      </c>
      <c r="Z139" s="45" t="s">
        <v>27</v>
      </c>
      <c r="AA139" s="45" t="s">
        <v>27</v>
      </c>
      <c r="AB139" s="45"/>
      <c r="AC139" s="169"/>
    </row>
    <row r="140" spans="1:29" s="68" customFormat="1" ht="15" hidden="1" customHeight="1">
      <c r="A140" s="62" t="s">
        <v>0</v>
      </c>
      <c r="B140" s="43" t="s">
        <v>706</v>
      </c>
      <c r="C140" s="43"/>
      <c r="D140" s="67"/>
      <c r="E140" s="62" t="s">
        <v>17</v>
      </c>
      <c r="F140" s="62" t="s">
        <v>707</v>
      </c>
      <c r="G140" s="43" t="s">
        <v>708</v>
      </c>
      <c r="H140" s="62" t="s">
        <v>104</v>
      </c>
      <c r="I140" s="43" t="s">
        <v>21</v>
      </c>
      <c r="J140" s="44"/>
      <c r="K140" s="65"/>
      <c r="L140" s="43" t="s">
        <v>97</v>
      </c>
      <c r="M140" s="62" t="s">
        <v>22</v>
      </c>
      <c r="N140" s="62" t="s">
        <v>22</v>
      </c>
      <c r="O140" s="62"/>
      <c r="P140" s="62"/>
      <c r="Q140" s="62"/>
      <c r="R140" s="43"/>
      <c r="S140" s="63"/>
      <c r="T140" s="44"/>
      <c r="U140" s="49"/>
      <c r="V140" s="49"/>
      <c r="W140" s="49"/>
      <c r="X140" s="77"/>
      <c r="Y140" s="45" t="s">
        <v>27</v>
      </c>
      <c r="Z140" s="45" t="s">
        <v>27</v>
      </c>
      <c r="AA140" s="45" t="s">
        <v>27</v>
      </c>
      <c r="AB140" s="45"/>
      <c r="AC140" s="169"/>
    </row>
    <row r="141" spans="1:29" s="68" customFormat="1" ht="15" hidden="1" customHeight="1">
      <c r="A141" s="62" t="s">
        <v>0</v>
      </c>
      <c r="B141" s="43" t="s">
        <v>532</v>
      </c>
      <c r="C141" s="51" t="s">
        <v>22</v>
      </c>
      <c r="D141" s="67"/>
      <c r="E141" s="62" t="s">
        <v>17</v>
      </c>
      <c r="F141" s="62" t="s">
        <v>564</v>
      </c>
      <c r="G141" s="43" t="s">
        <v>565</v>
      </c>
      <c r="H141" s="62" t="s">
        <v>20</v>
      </c>
      <c r="I141" s="43" t="s">
        <v>60</v>
      </c>
      <c r="J141" s="44" t="s">
        <v>3668</v>
      </c>
      <c r="K141" s="95" t="s">
        <v>3665</v>
      </c>
      <c r="L141" s="43" t="s">
        <v>31</v>
      </c>
      <c r="M141" s="62" t="s">
        <v>22</v>
      </c>
      <c r="N141" s="62" t="s">
        <v>22</v>
      </c>
      <c r="O141" s="62"/>
      <c r="P141" s="62"/>
      <c r="Q141" s="62">
        <v>40252</v>
      </c>
      <c r="R141" s="43"/>
      <c r="S141" s="63"/>
      <c r="T141" s="44">
        <v>8095012789</v>
      </c>
      <c r="U141" s="49"/>
      <c r="V141" s="49"/>
      <c r="W141" s="49"/>
      <c r="X141" s="75">
        <v>43195</v>
      </c>
      <c r="Y141" s="45" t="s">
        <v>27</v>
      </c>
      <c r="Z141" s="45" t="s">
        <v>27</v>
      </c>
      <c r="AA141" s="45" t="s">
        <v>27</v>
      </c>
      <c r="AB141" s="45"/>
      <c r="AC141" s="169" t="s">
        <v>2271</v>
      </c>
    </row>
    <row r="142" spans="1:29" s="68" customFormat="1" ht="15" hidden="1" customHeight="1">
      <c r="A142" s="62" t="s">
        <v>0</v>
      </c>
      <c r="B142" s="43" t="s">
        <v>709</v>
      </c>
      <c r="C142" s="43"/>
      <c r="D142" s="67"/>
      <c r="E142" s="62" t="s">
        <v>17</v>
      </c>
      <c r="F142" s="62" t="s">
        <v>710</v>
      </c>
      <c r="G142" s="43" t="s">
        <v>711</v>
      </c>
      <c r="H142" s="62" t="s">
        <v>104</v>
      </c>
      <c r="I142" s="43" t="s">
        <v>21</v>
      </c>
      <c r="J142" s="44" t="s">
        <v>24</v>
      </c>
      <c r="K142" s="43" t="s">
        <v>26</v>
      </c>
      <c r="L142" s="43" t="s">
        <v>97</v>
      </c>
      <c r="M142" s="62" t="s">
        <v>22</v>
      </c>
      <c r="N142" s="62" t="s">
        <v>22</v>
      </c>
      <c r="O142" s="62"/>
      <c r="P142" s="62"/>
      <c r="Q142" s="62"/>
      <c r="R142" s="43"/>
      <c r="S142" s="63"/>
      <c r="T142" s="44">
        <v>9108443047</v>
      </c>
      <c r="U142" s="49"/>
      <c r="V142" s="49"/>
      <c r="W142" s="49"/>
      <c r="X142" s="77"/>
      <c r="Y142" s="45" t="s">
        <v>27</v>
      </c>
      <c r="Z142" s="45" t="s">
        <v>27</v>
      </c>
      <c r="AA142" s="45" t="s">
        <v>27</v>
      </c>
      <c r="AB142" s="45"/>
      <c r="AC142" s="169"/>
    </row>
    <row r="143" spans="1:29" s="68" customFormat="1" ht="15" hidden="1" customHeight="1">
      <c r="A143" s="62" t="s">
        <v>0</v>
      </c>
      <c r="B143" s="43" t="s">
        <v>712</v>
      </c>
      <c r="C143" s="43"/>
      <c r="D143" s="67"/>
      <c r="E143" s="62" t="s">
        <v>601</v>
      </c>
      <c r="F143" s="62" t="s">
        <v>713</v>
      </c>
      <c r="G143" s="43" t="s">
        <v>714</v>
      </c>
      <c r="H143" s="62" t="s">
        <v>104</v>
      </c>
      <c r="I143" s="43" t="s">
        <v>21</v>
      </c>
      <c r="J143" s="44" t="s">
        <v>24</v>
      </c>
      <c r="K143" s="43" t="s">
        <v>26</v>
      </c>
      <c r="L143" s="43"/>
      <c r="M143" s="62" t="s">
        <v>22</v>
      </c>
      <c r="N143" s="62" t="s">
        <v>22</v>
      </c>
      <c r="O143" s="62"/>
      <c r="P143" s="62"/>
      <c r="Q143" s="62"/>
      <c r="R143" s="43"/>
      <c r="S143" s="63"/>
      <c r="T143" s="44"/>
      <c r="U143" s="49"/>
      <c r="V143" s="49"/>
      <c r="W143" s="49"/>
      <c r="X143" s="77">
        <v>43196</v>
      </c>
      <c r="Y143" s="45" t="s">
        <v>22</v>
      </c>
      <c r="Z143" s="45" t="s">
        <v>22</v>
      </c>
      <c r="AA143" s="45" t="s">
        <v>22</v>
      </c>
      <c r="AB143" s="45"/>
      <c r="AC143" s="169" t="s">
        <v>2025</v>
      </c>
    </row>
    <row r="144" spans="1:29" s="68" customFormat="1" ht="15" hidden="1" customHeight="1">
      <c r="A144" s="62" t="s">
        <v>0</v>
      </c>
      <c r="B144" s="44" t="s">
        <v>715</v>
      </c>
      <c r="C144" s="44"/>
      <c r="D144" s="67"/>
      <c r="E144" s="62" t="s">
        <v>601</v>
      </c>
      <c r="F144" s="62" t="s">
        <v>716</v>
      </c>
      <c r="G144" s="43" t="s">
        <v>717</v>
      </c>
      <c r="H144" s="62" t="s">
        <v>104</v>
      </c>
      <c r="I144" s="43" t="s">
        <v>21</v>
      </c>
      <c r="J144" s="44" t="s">
        <v>24</v>
      </c>
      <c r="K144" s="43" t="s">
        <v>26</v>
      </c>
      <c r="L144" s="43"/>
      <c r="M144" s="62" t="s">
        <v>22</v>
      </c>
      <c r="N144" s="62" t="s">
        <v>22</v>
      </c>
      <c r="O144" s="62"/>
      <c r="P144" s="62"/>
      <c r="Q144" s="62"/>
      <c r="R144" s="43"/>
      <c r="S144" s="63"/>
      <c r="T144" s="44"/>
      <c r="U144" s="63"/>
      <c r="V144" s="63"/>
      <c r="W144" s="63"/>
      <c r="X144" s="77">
        <v>43196</v>
      </c>
      <c r="Y144" s="45" t="s">
        <v>22</v>
      </c>
      <c r="Z144" s="45" t="s">
        <v>22</v>
      </c>
      <c r="AA144" s="45" t="s">
        <v>22</v>
      </c>
      <c r="AB144" s="45"/>
      <c r="AC144" s="169" t="s">
        <v>2025</v>
      </c>
    </row>
    <row r="145" spans="1:29" s="68" customFormat="1" ht="15" hidden="1" customHeight="1">
      <c r="A145" s="62" t="s">
        <v>0</v>
      </c>
      <c r="B145" s="43" t="s">
        <v>718</v>
      </c>
      <c r="C145" s="43"/>
      <c r="D145" s="67"/>
      <c r="E145" s="62" t="s">
        <v>601</v>
      </c>
      <c r="F145" s="62" t="s">
        <v>719</v>
      </c>
      <c r="G145" s="43" t="s">
        <v>720</v>
      </c>
      <c r="H145" s="62"/>
      <c r="I145" s="43" t="s">
        <v>21</v>
      </c>
      <c r="J145" s="44"/>
      <c r="K145" s="65"/>
      <c r="L145" s="43"/>
      <c r="M145" s="62" t="s">
        <v>22</v>
      </c>
      <c r="N145" s="62" t="s">
        <v>22</v>
      </c>
      <c r="O145" s="62"/>
      <c r="P145" s="62"/>
      <c r="Q145" s="62"/>
      <c r="R145" s="43"/>
      <c r="S145" s="63"/>
      <c r="T145" s="44"/>
      <c r="U145" s="63"/>
      <c r="V145" s="63"/>
      <c r="W145" s="63"/>
      <c r="X145" s="77"/>
      <c r="Y145" s="45" t="s">
        <v>22</v>
      </c>
      <c r="Z145" s="45" t="s">
        <v>22</v>
      </c>
      <c r="AA145" s="45" t="s">
        <v>22</v>
      </c>
      <c r="AB145" s="45"/>
      <c r="AC145" s="169" t="s">
        <v>2025</v>
      </c>
    </row>
    <row r="146" spans="1:29" s="68" customFormat="1" ht="15" hidden="1" customHeight="1">
      <c r="A146" s="62" t="s">
        <v>0</v>
      </c>
      <c r="B146" s="43" t="s">
        <v>721</v>
      </c>
      <c r="C146" s="43"/>
      <c r="D146" s="67"/>
      <c r="E146" s="62" t="s">
        <v>601</v>
      </c>
      <c r="F146" s="62" t="s">
        <v>722</v>
      </c>
      <c r="G146" s="43" t="s">
        <v>723</v>
      </c>
      <c r="H146" s="62" t="s">
        <v>104</v>
      </c>
      <c r="I146" s="43" t="s">
        <v>21</v>
      </c>
      <c r="J146" s="44" t="s">
        <v>24</v>
      </c>
      <c r="K146" s="43" t="s">
        <v>26</v>
      </c>
      <c r="L146" s="43" t="s">
        <v>97</v>
      </c>
      <c r="M146" s="62" t="s">
        <v>22</v>
      </c>
      <c r="N146" s="62" t="s">
        <v>22</v>
      </c>
      <c r="O146" s="62"/>
      <c r="P146" s="62"/>
      <c r="Q146" s="62"/>
      <c r="R146" s="43"/>
      <c r="S146" s="63"/>
      <c r="T146" s="44"/>
      <c r="U146" s="63"/>
      <c r="V146" s="63"/>
      <c r="W146" s="63"/>
      <c r="X146" s="77">
        <v>43196</v>
      </c>
      <c r="Y146" s="45" t="s">
        <v>22</v>
      </c>
      <c r="Z146" s="45" t="s">
        <v>22</v>
      </c>
      <c r="AA146" s="45" t="s">
        <v>22</v>
      </c>
      <c r="AB146" s="45"/>
      <c r="AC146" s="169" t="s">
        <v>2254</v>
      </c>
    </row>
    <row r="147" spans="1:29" s="68" customFormat="1" ht="15" hidden="1" customHeight="1">
      <c r="A147" s="62" t="s">
        <v>0</v>
      </c>
      <c r="B147" s="43" t="s">
        <v>724</v>
      </c>
      <c r="C147" s="43"/>
      <c r="D147" s="67"/>
      <c r="E147" s="62" t="s">
        <v>17</v>
      </c>
      <c r="F147" s="62" t="s">
        <v>725</v>
      </c>
      <c r="G147" s="43" t="s">
        <v>726</v>
      </c>
      <c r="H147" s="62"/>
      <c r="I147" s="43"/>
      <c r="J147" s="44" t="s">
        <v>24</v>
      </c>
      <c r="K147" s="65"/>
      <c r="L147" s="43" t="s">
        <v>97</v>
      </c>
      <c r="M147" s="62" t="s">
        <v>22</v>
      </c>
      <c r="N147" s="62" t="s">
        <v>22</v>
      </c>
      <c r="O147" s="62"/>
      <c r="P147" s="62"/>
      <c r="Q147" s="62"/>
      <c r="R147" s="43"/>
      <c r="S147" s="63"/>
      <c r="T147" s="44">
        <v>7349781093</v>
      </c>
      <c r="U147" s="63"/>
      <c r="V147" s="63"/>
      <c r="W147" s="63"/>
      <c r="X147" s="77"/>
      <c r="Y147" s="45" t="s">
        <v>27</v>
      </c>
      <c r="Z147" s="45" t="s">
        <v>27</v>
      </c>
      <c r="AA147" s="45" t="s">
        <v>27</v>
      </c>
      <c r="AB147" s="45"/>
      <c r="AC147" s="169"/>
    </row>
    <row r="148" spans="1:29" s="68" customFormat="1" ht="15" hidden="1" customHeight="1">
      <c r="A148" s="62" t="s">
        <v>0</v>
      </c>
      <c r="B148" s="43" t="s">
        <v>727</v>
      </c>
      <c r="C148" s="43"/>
      <c r="D148" s="67"/>
      <c r="E148" s="62" t="s">
        <v>17</v>
      </c>
      <c r="F148" s="62" t="s">
        <v>728</v>
      </c>
      <c r="G148" s="43" t="s">
        <v>729</v>
      </c>
      <c r="H148" s="62"/>
      <c r="I148" s="43"/>
      <c r="J148" s="44" t="s">
        <v>24</v>
      </c>
      <c r="K148" s="65"/>
      <c r="L148" s="43" t="s">
        <v>1795</v>
      </c>
      <c r="M148" s="62" t="s">
        <v>22</v>
      </c>
      <c r="N148" s="62" t="s">
        <v>22</v>
      </c>
      <c r="O148" s="62"/>
      <c r="P148" s="62"/>
      <c r="Q148" s="62"/>
      <c r="R148" s="43"/>
      <c r="S148" s="63"/>
      <c r="T148" s="44">
        <v>7899715582</v>
      </c>
      <c r="U148" s="63"/>
      <c r="V148" s="63"/>
      <c r="W148" s="63"/>
      <c r="X148" s="77"/>
      <c r="Y148" s="45" t="s">
        <v>27</v>
      </c>
      <c r="Z148" s="45" t="s">
        <v>27</v>
      </c>
      <c r="AA148" s="45" t="s">
        <v>22</v>
      </c>
      <c r="AB148" s="45"/>
      <c r="AC148" s="169" t="s">
        <v>2026</v>
      </c>
    </row>
    <row r="149" spans="1:29" s="68" customFormat="1" ht="15" hidden="1" customHeight="1">
      <c r="A149" s="62" t="s">
        <v>0</v>
      </c>
      <c r="B149" s="44" t="s">
        <v>730</v>
      </c>
      <c r="C149" s="44"/>
      <c r="D149" s="67"/>
      <c r="E149" s="62" t="s">
        <v>17</v>
      </c>
      <c r="F149" s="62" t="s">
        <v>731</v>
      </c>
      <c r="G149" s="43" t="s">
        <v>732</v>
      </c>
      <c r="H149" s="62" t="s">
        <v>96</v>
      </c>
      <c r="I149" s="43" t="s">
        <v>21</v>
      </c>
      <c r="J149" s="44"/>
      <c r="K149" s="65"/>
      <c r="L149" s="43" t="s">
        <v>97</v>
      </c>
      <c r="M149" s="62" t="s">
        <v>22</v>
      </c>
      <c r="N149" s="62" t="s">
        <v>22</v>
      </c>
      <c r="O149" s="62"/>
      <c r="P149" s="62"/>
      <c r="Q149" s="62"/>
      <c r="R149" s="43"/>
      <c r="S149" s="63"/>
      <c r="T149" s="44"/>
      <c r="U149" s="63"/>
      <c r="V149" s="63"/>
      <c r="W149" s="63"/>
      <c r="X149" s="77"/>
      <c r="Y149" s="45" t="s">
        <v>27</v>
      </c>
      <c r="Z149" s="45" t="s">
        <v>27</v>
      </c>
      <c r="AA149" s="45" t="s">
        <v>27</v>
      </c>
      <c r="AB149" s="45"/>
      <c r="AC149" s="169"/>
    </row>
    <row r="150" spans="1:29" s="68" customFormat="1" ht="15" hidden="1" customHeight="1">
      <c r="A150" s="62" t="s">
        <v>0</v>
      </c>
      <c r="B150" s="44" t="s">
        <v>733</v>
      </c>
      <c r="C150" s="44"/>
      <c r="D150" s="67"/>
      <c r="E150" s="62" t="s">
        <v>601</v>
      </c>
      <c r="F150" s="62" t="s">
        <v>734</v>
      </c>
      <c r="G150" s="43" t="s">
        <v>735</v>
      </c>
      <c r="H150" s="62" t="s">
        <v>104</v>
      </c>
      <c r="I150" s="43" t="s">
        <v>21</v>
      </c>
      <c r="J150" s="44" t="s">
        <v>24</v>
      </c>
      <c r="K150" s="43" t="s">
        <v>26</v>
      </c>
      <c r="L150" s="43" t="s">
        <v>31</v>
      </c>
      <c r="M150" s="62" t="s">
        <v>22</v>
      </c>
      <c r="N150" s="62" t="s">
        <v>22</v>
      </c>
      <c r="O150" s="62"/>
      <c r="P150" s="62"/>
      <c r="Q150" s="62"/>
      <c r="R150" s="43"/>
      <c r="S150" s="63"/>
      <c r="T150" s="44"/>
      <c r="U150" s="63"/>
      <c r="V150" s="63"/>
      <c r="W150" s="63"/>
      <c r="X150" s="77">
        <v>43196</v>
      </c>
      <c r="Y150" s="45" t="s">
        <v>22</v>
      </c>
      <c r="Z150" s="45" t="s">
        <v>22</v>
      </c>
      <c r="AA150" s="45" t="s">
        <v>22</v>
      </c>
      <c r="AB150" s="45"/>
      <c r="AC150" s="169" t="s">
        <v>2254</v>
      </c>
    </row>
    <row r="151" spans="1:29" s="68" customFormat="1" ht="15" hidden="1" customHeight="1">
      <c r="A151" s="62" t="s">
        <v>0</v>
      </c>
      <c r="B151" s="44" t="s">
        <v>736</v>
      </c>
      <c r="C151" s="44"/>
      <c r="D151" s="67"/>
      <c r="E151" s="62" t="s">
        <v>601</v>
      </c>
      <c r="F151" s="62" t="s">
        <v>737</v>
      </c>
      <c r="G151" s="43" t="s">
        <v>738</v>
      </c>
      <c r="H151" s="62" t="s">
        <v>104</v>
      </c>
      <c r="I151" s="43" t="s">
        <v>21</v>
      </c>
      <c r="J151" s="44" t="s">
        <v>24</v>
      </c>
      <c r="K151" s="43" t="s">
        <v>26</v>
      </c>
      <c r="L151" s="43" t="s">
        <v>97</v>
      </c>
      <c r="M151" s="62" t="s">
        <v>22</v>
      </c>
      <c r="N151" s="62" t="s">
        <v>22</v>
      </c>
      <c r="O151" s="62"/>
      <c r="P151" s="62"/>
      <c r="Q151" s="62"/>
      <c r="R151" s="43"/>
      <c r="S151" s="63"/>
      <c r="T151" s="44"/>
      <c r="U151" s="63"/>
      <c r="V151" s="63"/>
      <c r="W151" s="63"/>
      <c r="X151" s="77">
        <v>43196</v>
      </c>
      <c r="Y151" s="45" t="s">
        <v>22</v>
      </c>
      <c r="Z151" s="45" t="s">
        <v>22</v>
      </c>
      <c r="AA151" s="45" t="s">
        <v>22</v>
      </c>
      <c r="AB151" s="45"/>
      <c r="AC151" s="169" t="s">
        <v>2254</v>
      </c>
    </row>
    <row r="152" spans="1:29" s="68" customFormat="1" ht="15" hidden="1" customHeight="1">
      <c r="A152" s="62" t="s">
        <v>0</v>
      </c>
      <c r="B152" s="44" t="s">
        <v>739</v>
      </c>
      <c r="C152" s="44"/>
      <c r="D152" s="67"/>
      <c r="E152" s="62" t="s">
        <v>601</v>
      </c>
      <c r="F152" s="62" t="s">
        <v>740</v>
      </c>
      <c r="G152" s="43" t="s">
        <v>741</v>
      </c>
      <c r="H152" s="62" t="s">
        <v>104</v>
      </c>
      <c r="I152" s="43" t="s">
        <v>21</v>
      </c>
      <c r="J152" s="44" t="s">
        <v>24</v>
      </c>
      <c r="K152" s="43" t="s">
        <v>26</v>
      </c>
      <c r="L152" s="43" t="s">
        <v>31</v>
      </c>
      <c r="M152" s="62" t="s">
        <v>22</v>
      </c>
      <c r="N152" s="62" t="s">
        <v>22</v>
      </c>
      <c r="O152" s="62"/>
      <c r="P152" s="62"/>
      <c r="Q152" s="62"/>
      <c r="R152" s="43"/>
      <c r="S152" s="63"/>
      <c r="T152" s="44"/>
      <c r="U152" s="63"/>
      <c r="V152" s="63"/>
      <c r="W152" s="63"/>
      <c r="X152" s="77">
        <v>43196</v>
      </c>
      <c r="Y152" s="45" t="s">
        <v>22</v>
      </c>
      <c r="Z152" s="45" t="s">
        <v>22</v>
      </c>
      <c r="AA152" s="45" t="s">
        <v>22</v>
      </c>
      <c r="AB152" s="45"/>
      <c r="AC152" s="169" t="s">
        <v>2254</v>
      </c>
    </row>
    <row r="153" spans="1:29" s="68" customFormat="1" ht="15" hidden="1" customHeight="1">
      <c r="A153" s="62" t="s">
        <v>0</v>
      </c>
      <c r="B153" s="44" t="s">
        <v>742</v>
      </c>
      <c r="C153" s="44"/>
      <c r="D153" s="67"/>
      <c r="E153" s="62" t="s">
        <v>601</v>
      </c>
      <c r="F153" s="62" t="s">
        <v>743</v>
      </c>
      <c r="G153" s="43" t="s">
        <v>744</v>
      </c>
      <c r="H153" s="62" t="s">
        <v>104</v>
      </c>
      <c r="I153" s="43" t="s">
        <v>21</v>
      </c>
      <c r="J153" s="44" t="s">
        <v>24</v>
      </c>
      <c r="K153" s="43" t="s">
        <v>26</v>
      </c>
      <c r="L153" s="43" t="s">
        <v>31</v>
      </c>
      <c r="M153" s="62" t="s">
        <v>22</v>
      </c>
      <c r="N153" s="62" t="s">
        <v>22</v>
      </c>
      <c r="O153" s="62"/>
      <c r="P153" s="62"/>
      <c r="Q153" s="62"/>
      <c r="R153" s="43"/>
      <c r="S153" s="63"/>
      <c r="T153" s="44"/>
      <c r="U153" s="63"/>
      <c r="V153" s="63"/>
      <c r="W153" s="63"/>
      <c r="X153" s="77">
        <v>43196</v>
      </c>
      <c r="Y153" s="45" t="s">
        <v>22</v>
      </c>
      <c r="Z153" s="45" t="s">
        <v>22</v>
      </c>
      <c r="AA153" s="45" t="s">
        <v>22</v>
      </c>
      <c r="AB153" s="45"/>
      <c r="AC153" s="169" t="s">
        <v>2254</v>
      </c>
    </row>
    <row r="154" spans="1:29" s="68" customFormat="1" ht="15" hidden="1" customHeight="1">
      <c r="A154" s="62" t="s">
        <v>0</v>
      </c>
      <c r="B154" s="46" t="s">
        <v>745</v>
      </c>
      <c r="C154" s="46"/>
      <c r="D154" s="67"/>
      <c r="E154" s="62" t="s">
        <v>601</v>
      </c>
      <c r="F154" s="62" t="s">
        <v>746</v>
      </c>
      <c r="G154" s="43" t="s">
        <v>747</v>
      </c>
      <c r="H154" s="62" t="s">
        <v>104</v>
      </c>
      <c r="I154" s="43" t="s">
        <v>21</v>
      </c>
      <c r="J154" s="44" t="s">
        <v>24</v>
      </c>
      <c r="K154" s="43" t="s">
        <v>26</v>
      </c>
      <c r="L154" s="43" t="s">
        <v>31</v>
      </c>
      <c r="M154" s="62" t="s">
        <v>22</v>
      </c>
      <c r="N154" s="62" t="s">
        <v>22</v>
      </c>
      <c r="O154" s="62"/>
      <c r="P154" s="62"/>
      <c r="Q154" s="62"/>
      <c r="R154" s="43"/>
      <c r="S154" s="63"/>
      <c r="T154" s="44"/>
      <c r="U154" s="63"/>
      <c r="V154" s="63"/>
      <c r="W154" s="63"/>
      <c r="X154" s="77">
        <v>43196</v>
      </c>
      <c r="Y154" s="45" t="s">
        <v>22</v>
      </c>
      <c r="Z154" s="45" t="s">
        <v>22</v>
      </c>
      <c r="AA154" s="45" t="s">
        <v>22</v>
      </c>
      <c r="AB154" s="45"/>
      <c r="AC154" s="169" t="s">
        <v>2254</v>
      </c>
    </row>
    <row r="155" spans="1:29" s="68" customFormat="1" ht="15" hidden="1" customHeight="1">
      <c r="A155" s="62" t="s">
        <v>0</v>
      </c>
      <c r="B155" s="43" t="s">
        <v>748</v>
      </c>
      <c r="C155" s="43"/>
      <c r="D155" s="67"/>
      <c r="E155" s="62" t="s">
        <v>601</v>
      </c>
      <c r="F155" s="62" t="s">
        <v>749</v>
      </c>
      <c r="G155" s="43" t="s">
        <v>750</v>
      </c>
      <c r="H155" s="62" t="s">
        <v>104</v>
      </c>
      <c r="I155" s="43" t="s">
        <v>21</v>
      </c>
      <c r="J155" s="44" t="s">
        <v>24</v>
      </c>
      <c r="K155" s="43" t="s">
        <v>26</v>
      </c>
      <c r="L155" s="43" t="s">
        <v>31</v>
      </c>
      <c r="M155" s="62" t="s">
        <v>22</v>
      </c>
      <c r="N155" s="62" t="s">
        <v>22</v>
      </c>
      <c r="O155" s="62"/>
      <c r="P155" s="62"/>
      <c r="Q155" s="62"/>
      <c r="R155" s="43"/>
      <c r="S155" s="63"/>
      <c r="T155" s="44"/>
      <c r="U155" s="63"/>
      <c r="V155" s="63"/>
      <c r="W155" s="63"/>
      <c r="X155" s="77">
        <v>43196</v>
      </c>
      <c r="Y155" s="45" t="s">
        <v>22</v>
      </c>
      <c r="Z155" s="45" t="s">
        <v>22</v>
      </c>
      <c r="AA155" s="45" t="s">
        <v>22</v>
      </c>
      <c r="AB155" s="45"/>
      <c r="AC155" s="169" t="s">
        <v>2254</v>
      </c>
    </row>
    <row r="156" spans="1:29" s="68" customFormat="1" ht="15" hidden="1" customHeight="1">
      <c r="A156" s="62" t="s">
        <v>0</v>
      </c>
      <c r="B156" s="43" t="s">
        <v>751</v>
      </c>
      <c r="C156" s="43"/>
      <c r="D156" s="67"/>
      <c r="E156" s="62" t="s">
        <v>601</v>
      </c>
      <c r="F156" s="62" t="s">
        <v>752</v>
      </c>
      <c r="G156" s="43" t="s">
        <v>753</v>
      </c>
      <c r="H156" s="62" t="s">
        <v>104</v>
      </c>
      <c r="I156" s="43" t="s">
        <v>21</v>
      </c>
      <c r="J156" s="44" t="s">
        <v>24</v>
      </c>
      <c r="K156" s="43" t="s">
        <v>26</v>
      </c>
      <c r="L156" s="43" t="s">
        <v>31</v>
      </c>
      <c r="M156" s="62" t="s">
        <v>22</v>
      </c>
      <c r="N156" s="62" t="s">
        <v>22</v>
      </c>
      <c r="O156" s="62"/>
      <c r="P156" s="62"/>
      <c r="Q156" s="62"/>
      <c r="R156" s="43"/>
      <c r="S156" s="63"/>
      <c r="T156" s="44"/>
      <c r="U156" s="63"/>
      <c r="V156" s="63"/>
      <c r="W156" s="63"/>
      <c r="X156" s="77">
        <v>43196</v>
      </c>
      <c r="Y156" s="45" t="s">
        <v>22</v>
      </c>
      <c r="Z156" s="45" t="s">
        <v>22</v>
      </c>
      <c r="AA156" s="45" t="s">
        <v>22</v>
      </c>
      <c r="AB156" s="45"/>
      <c r="AC156" s="169" t="s">
        <v>2254</v>
      </c>
    </row>
    <row r="157" spans="1:29" s="68" customFormat="1" ht="15" hidden="1" customHeight="1">
      <c r="A157" s="62" t="s">
        <v>0</v>
      </c>
      <c r="B157" s="43" t="s">
        <v>754</v>
      </c>
      <c r="C157" s="43"/>
      <c r="D157" s="67"/>
      <c r="E157" s="62" t="s">
        <v>601</v>
      </c>
      <c r="F157" s="62" t="s">
        <v>755</v>
      </c>
      <c r="G157" s="43" t="s">
        <v>756</v>
      </c>
      <c r="H157" s="62" t="s">
        <v>104</v>
      </c>
      <c r="I157" s="43" t="s">
        <v>21</v>
      </c>
      <c r="J157" s="44" t="s">
        <v>24</v>
      </c>
      <c r="K157" s="43" t="s">
        <v>26</v>
      </c>
      <c r="L157" s="43" t="s">
        <v>31</v>
      </c>
      <c r="M157" s="62" t="s">
        <v>22</v>
      </c>
      <c r="N157" s="62" t="s">
        <v>22</v>
      </c>
      <c r="O157" s="62"/>
      <c r="P157" s="62"/>
      <c r="Q157" s="62"/>
      <c r="R157" s="43"/>
      <c r="S157" s="63"/>
      <c r="T157" s="44"/>
      <c r="U157" s="63"/>
      <c r="V157" s="63"/>
      <c r="W157" s="63"/>
      <c r="X157" s="77">
        <v>43196</v>
      </c>
      <c r="Y157" s="45" t="s">
        <v>22</v>
      </c>
      <c r="Z157" s="45" t="s">
        <v>22</v>
      </c>
      <c r="AA157" s="45" t="s">
        <v>22</v>
      </c>
      <c r="AB157" s="45"/>
      <c r="AC157" s="169" t="s">
        <v>2254</v>
      </c>
    </row>
    <row r="158" spans="1:29" s="68" customFormat="1" ht="15" hidden="1" customHeight="1">
      <c r="A158" s="62" t="s">
        <v>0</v>
      </c>
      <c r="B158" s="43" t="s">
        <v>757</v>
      </c>
      <c r="C158" s="43"/>
      <c r="D158" s="67"/>
      <c r="E158" s="62" t="s">
        <v>601</v>
      </c>
      <c r="F158" s="62" t="s">
        <v>758</v>
      </c>
      <c r="G158" s="43" t="s">
        <v>759</v>
      </c>
      <c r="H158" s="62" t="s">
        <v>104</v>
      </c>
      <c r="I158" s="43" t="s">
        <v>21</v>
      </c>
      <c r="J158" s="44" t="s">
        <v>24</v>
      </c>
      <c r="K158" s="43" t="s">
        <v>26</v>
      </c>
      <c r="L158" s="43" t="s">
        <v>31</v>
      </c>
      <c r="M158" s="62" t="s">
        <v>22</v>
      </c>
      <c r="N158" s="62" t="s">
        <v>22</v>
      </c>
      <c r="O158" s="62"/>
      <c r="P158" s="62"/>
      <c r="Q158" s="62"/>
      <c r="R158" s="43"/>
      <c r="S158" s="63"/>
      <c r="T158" s="44"/>
      <c r="U158" s="63"/>
      <c r="V158" s="63"/>
      <c r="W158" s="63"/>
      <c r="X158" s="77">
        <v>43196</v>
      </c>
      <c r="Y158" s="45" t="s">
        <v>22</v>
      </c>
      <c r="Z158" s="45" t="s">
        <v>22</v>
      </c>
      <c r="AA158" s="45" t="s">
        <v>22</v>
      </c>
      <c r="AB158" s="45"/>
      <c r="AC158" s="169" t="s">
        <v>2254</v>
      </c>
    </row>
    <row r="159" spans="1:29" s="68" customFormat="1" ht="15" hidden="1" customHeight="1">
      <c r="A159" s="62" t="s">
        <v>0</v>
      </c>
      <c r="B159" s="44" t="s">
        <v>760</v>
      </c>
      <c r="C159" s="44"/>
      <c r="D159" s="67"/>
      <c r="E159" s="62" t="s">
        <v>17</v>
      </c>
      <c r="F159" s="62" t="s">
        <v>761</v>
      </c>
      <c r="G159" s="43" t="s">
        <v>762</v>
      </c>
      <c r="H159" s="62" t="s">
        <v>96</v>
      </c>
      <c r="I159" s="43" t="s">
        <v>21</v>
      </c>
      <c r="J159" s="44" t="s">
        <v>24</v>
      </c>
      <c r="K159" s="43" t="s">
        <v>26</v>
      </c>
      <c r="L159" s="43" t="s">
        <v>763</v>
      </c>
      <c r="M159" s="62" t="s">
        <v>22</v>
      </c>
      <c r="N159" s="62" t="s">
        <v>22</v>
      </c>
      <c r="O159" s="62"/>
      <c r="P159" s="62"/>
      <c r="Q159" s="62"/>
      <c r="R159" s="43"/>
      <c r="S159" s="63"/>
      <c r="T159" s="44"/>
      <c r="U159" s="63"/>
      <c r="V159" s="63"/>
      <c r="W159" s="63"/>
      <c r="X159" s="77">
        <v>43179</v>
      </c>
      <c r="Y159" s="45" t="s">
        <v>27</v>
      </c>
      <c r="Z159" s="45" t="s">
        <v>27</v>
      </c>
      <c r="AA159" s="45" t="s">
        <v>27</v>
      </c>
      <c r="AB159" s="45"/>
      <c r="AC159" s="169"/>
    </row>
    <row r="160" spans="1:29" s="68" customFormat="1" ht="15" hidden="1" customHeight="1">
      <c r="A160" s="62" t="s">
        <v>0</v>
      </c>
      <c r="B160" s="43" t="s">
        <v>764</v>
      </c>
      <c r="C160" s="43"/>
      <c r="D160" s="67"/>
      <c r="E160" s="62" t="s">
        <v>17</v>
      </c>
      <c r="F160" s="62" t="s">
        <v>765</v>
      </c>
      <c r="G160" s="43" t="s">
        <v>766</v>
      </c>
      <c r="H160" s="62" t="s">
        <v>96</v>
      </c>
      <c r="I160" s="43" t="s">
        <v>21</v>
      </c>
      <c r="J160" s="44" t="s">
        <v>24</v>
      </c>
      <c r="K160" s="43" t="s">
        <v>26</v>
      </c>
      <c r="L160" s="43" t="s">
        <v>763</v>
      </c>
      <c r="M160" s="62" t="s">
        <v>22</v>
      </c>
      <c r="N160" s="62" t="s">
        <v>22</v>
      </c>
      <c r="O160" s="62"/>
      <c r="P160" s="62"/>
      <c r="Q160" s="62"/>
      <c r="R160" s="43"/>
      <c r="S160" s="63"/>
      <c r="T160" s="44"/>
      <c r="U160" s="63"/>
      <c r="V160" s="63"/>
      <c r="W160" s="63"/>
      <c r="X160" s="77">
        <v>43179</v>
      </c>
      <c r="Y160" s="45" t="s">
        <v>27</v>
      </c>
      <c r="Z160" s="45" t="s">
        <v>27</v>
      </c>
      <c r="AA160" s="45" t="s">
        <v>27</v>
      </c>
      <c r="AB160" s="45"/>
      <c r="AC160" s="169"/>
    </row>
    <row r="161" spans="1:29" s="68" customFormat="1" ht="15" hidden="1" customHeight="1">
      <c r="A161" s="62" t="s">
        <v>0</v>
      </c>
      <c r="B161" s="43" t="s">
        <v>767</v>
      </c>
      <c r="C161" s="43"/>
      <c r="D161" s="67"/>
      <c r="E161" s="62" t="s">
        <v>17</v>
      </c>
      <c r="F161" s="62" t="s">
        <v>768</v>
      </c>
      <c r="G161" s="43" t="s">
        <v>762</v>
      </c>
      <c r="H161" s="62" t="s">
        <v>96</v>
      </c>
      <c r="I161" s="43" t="s">
        <v>21</v>
      </c>
      <c r="J161" s="44" t="s">
        <v>24</v>
      </c>
      <c r="K161" s="43" t="s">
        <v>26</v>
      </c>
      <c r="L161" s="43" t="s">
        <v>763</v>
      </c>
      <c r="M161" s="62" t="s">
        <v>22</v>
      </c>
      <c r="N161" s="62" t="s">
        <v>22</v>
      </c>
      <c r="O161" s="62"/>
      <c r="P161" s="62"/>
      <c r="Q161" s="62"/>
      <c r="R161" s="43"/>
      <c r="S161" s="63"/>
      <c r="T161" s="44"/>
      <c r="U161" s="63"/>
      <c r="V161" s="63"/>
      <c r="W161" s="63"/>
      <c r="X161" s="77">
        <v>43179</v>
      </c>
      <c r="Y161" s="45" t="s">
        <v>27</v>
      </c>
      <c r="Z161" s="45" t="s">
        <v>27</v>
      </c>
      <c r="AA161" s="45" t="s">
        <v>27</v>
      </c>
      <c r="AB161" s="45"/>
      <c r="AC161" s="169"/>
    </row>
    <row r="162" spans="1:29" s="68" customFormat="1" ht="15" hidden="1" customHeight="1">
      <c r="A162" s="62" t="s">
        <v>0</v>
      </c>
      <c r="B162" s="43" t="s">
        <v>769</v>
      </c>
      <c r="C162" s="43"/>
      <c r="D162" s="67"/>
      <c r="E162" s="62" t="s">
        <v>17</v>
      </c>
      <c r="F162" s="62" t="s">
        <v>770</v>
      </c>
      <c r="G162" s="43" t="s">
        <v>762</v>
      </c>
      <c r="H162" s="62" t="s">
        <v>96</v>
      </c>
      <c r="I162" s="43" t="s">
        <v>21</v>
      </c>
      <c r="J162" s="44" t="s">
        <v>24</v>
      </c>
      <c r="K162" s="43" t="s">
        <v>26</v>
      </c>
      <c r="L162" s="43" t="s">
        <v>763</v>
      </c>
      <c r="M162" s="62" t="s">
        <v>22</v>
      </c>
      <c r="N162" s="62" t="s">
        <v>22</v>
      </c>
      <c r="O162" s="62"/>
      <c r="P162" s="62"/>
      <c r="Q162" s="62"/>
      <c r="R162" s="43"/>
      <c r="S162" s="63"/>
      <c r="T162" s="44"/>
      <c r="U162" s="63"/>
      <c r="V162" s="63"/>
      <c r="W162" s="63"/>
      <c r="X162" s="77">
        <v>43179</v>
      </c>
      <c r="Y162" s="45" t="s">
        <v>27</v>
      </c>
      <c r="Z162" s="45" t="s">
        <v>27</v>
      </c>
      <c r="AA162" s="45" t="s">
        <v>27</v>
      </c>
      <c r="AB162" s="45"/>
      <c r="AC162" s="169"/>
    </row>
    <row r="163" spans="1:29" s="68" customFormat="1" ht="15" hidden="1" customHeight="1">
      <c r="A163" s="62" t="s">
        <v>0</v>
      </c>
      <c r="B163" s="43" t="s">
        <v>771</v>
      </c>
      <c r="C163" s="43"/>
      <c r="D163" s="67"/>
      <c r="E163" s="62" t="s">
        <v>17</v>
      </c>
      <c r="F163" s="62" t="s">
        <v>772</v>
      </c>
      <c r="G163" s="43" t="s">
        <v>773</v>
      </c>
      <c r="H163" s="62" t="s">
        <v>96</v>
      </c>
      <c r="I163" s="43" t="s">
        <v>21</v>
      </c>
      <c r="J163" s="44" t="s">
        <v>24</v>
      </c>
      <c r="K163" s="43" t="s">
        <v>26</v>
      </c>
      <c r="L163" s="43" t="s">
        <v>763</v>
      </c>
      <c r="M163" s="62" t="s">
        <v>22</v>
      </c>
      <c r="N163" s="62" t="s">
        <v>22</v>
      </c>
      <c r="O163" s="62"/>
      <c r="P163" s="62"/>
      <c r="Q163" s="62"/>
      <c r="R163" s="43"/>
      <c r="S163" s="63"/>
      <c r="T163" s="44"/>
      <c r="U163" s="63"/>
      <c r="V163" s="63"/>
      <c r="W163" s="63"/>
      <c r="X163" s="77">
        <v>43179</v>
      </c>
      <c r="Y163" s="45" t="s">
        <v>27</v>
      </c>
      <c r="Z163" s="45" t="s">
        <v>27</v>
      </c>
      <c r="AA163" s="45" t="s">
        <v>27</v>
      </c>
      <c r="AB163" s="45"/>
      <c r="AC163" s="169"/>
    </row>
    <row r="164" spans="1:29" s="68" customFormat="1" ht="15" hidden="1" customHeight="1">
      <c r="A164" s="62" t="s">
        <v>0</v>
      </c>
      <c r="B164" s="43" t="s">
        <v>908</v>
      </c>
      <c r="C164" s="51" t="s">
        <v>27</v>
      </c>
      <c r="D164" s="43" t="s">
        <v>2758</v>
      </c>
      <c r="E164" s="62" t="s">
        <v>17</v>
      </c>
      <c r="F164" s="62" t="s">
        <v>909</v>
      </c>
      <c r="G164" s="43" t="s">
        <v>910</v>
      </c>
      <c r="H164" s="62" t="s">
        <v>20</v>
      </c>
      <c r="I164" s="43" t="s">
        <v>60</v>
      </c>
      <c r="J164" s="44" t="s">
        <v>3668</v>
      </c>
      <c r="K164" s="95" t="s">
        <v>3665</v>
      </c>
      <c r="L164" s="43" t="s">
        <v>211</v>
      </c>
      <c r="M164" s="62" t="s">
        <v>22</v>
      </c>
      <c r="N164" s="62" t="s">
        <v>22</v>
      </c>
      <c r="O164" s="62" t="s">
        <v>3639</v>
      </c>
      <c r="P164" s="62"/>
      <c r="Q164" s="62">
        <v>40258</v>
      </c>
      <c r="R164" s="43"/>
      <c r="S164" s="63"/>
      <c r="T164" s="44"/>
      <c r="U164" s="63"/>
      <c r="V164" s="63"/>
      <c r="W164" s="63"/>
      <c r="X164" s="75">
        <v>43195</v>
      </c>
      <c r="Y164" s="45" t="s">
        <v>27</v>
      </c>
      <c r="Z164" s="45" t="s">
        <v>27</v>
      </c>
      <c r="AA164" s="45" t="s">
        <v>27</v>
      </c>
      <c r="AB164" s="45"/>
      <c r="AC164" s="169"/>
    </row>
    <row r="165" spans="1:29" s="68" customFormat="1" ht="15" hidden="1" customHeight="1">
      <c r="A165" s="62" t="s">
        <v>0</v>
      </c>
      <c r="B165" s="43" t="s">
        <v>911</v>
      </c>
      <c r="C165" s="51" t="s">
        <v>27</v>
      </c>
      <c r="D165" s="43" t="s">
        <v>2758</v>
      </c>
      <c r="E165" s="62" t="s">
        <v>17</v>
      </c>
      <c r="F165" s="62" t="s">
        <v>912</v>
      </c>
      <c r="G165" s="43" t="s">
        <v>913</v>
      </c>
      <c r="H165" s="62" t="s">
        <v>20</v>
      </c>
      <c r="I165" s="43" t="s">
        <v>60</v>
      </c>
      <c r="J165" s="44" t="s">
        <v>3679</v>
      </c>
      <c r="K165" s="95" t="s">
        <v>3664</v>
      </c>
      <c r="L165" s="43" t="s">
        <v>211</v>
      </c>
      <c r="M165" s="62" t="s">
        <v>22</v>
      </c>
      <c r="N165" s="62" t="s">
        <v>22</v>
      </c>
      <c r="O165" s="62"/>
      <c r="P165" s="62"/>
      <c r="Q165" s="62">
        <v>40259</v>
      </c>
      <c r="R165" s="43"/>
      <c r="S165" s="63"/>
      <c r="T165" s="44"/>
      <c r="U165" s="63"/>
      <c r="V165" s="63"/>
      <c r="W165" s="63"/>
      <c r="X165" s="75">
        <v>43195</v>
      </c>
      <c r="Y165" s="45" t="s">
        <v>27</v>
      </c>
      <c r="Z165" s="45" t="s">
        <v>27</v>
      </c>
      <c r="AA165" s="45" t="s">
        <v>27</v>
      </c>
      <c r="AB165" s="45"/>
      <c r="AC165" s="169"/>
    </row>
    <row r="166" spans="1:29" s="68" customFormat="1" ht="15" hidden="1" customHeight="1">
      <c r="A166" s="62" t="s">
        <v>0</v>
      </c>
      <c r="B166" s="44" t="s">
        <v>914</v>
      </c>
      <c r="C166" s="51" t="s">
        <v>22</v>
      </c>
      <c r="D166" s="43" t="s">
        <v>2758</v>
      </c>
      <c r="E166" s="62" t="s">
        <v>17</v>
      </c>
      <c r="F166" s="62" t="s">
        <v>915</v>
      </c>
      <c r="G166" s="43" t="s">
        <v>916</v>
      </c>
      <c r="H166" s="62" t="s">
        <v>20</v>
      </c>
      <c r="I166" s="43" t="s">
        <v>60</v>
      </c>
      <c r="J166" s="44" t="s">
        <v>3670</v>
      </c>
      <c r="K166" s="95" t="s">
        <v>3664</v>
      </c>
      <c r="L166" s="43" t="s">
        <v>211</v>
      </c>
      <c r="M166" s="62" t="s">
        <v>22</v>
      </c>
      <c r="N166" s="62" t="s">
        <v>22</v>
      </c>
      <c r="O166" s="62"/>
      <c r="P166" s="62"/>
      <c r="Q166" s="62">
        <v>40260</v>
      </c>
      <c r="R166" s="43"/>
      <c r="S166" s="63"/>
      <c r="T166" s="44"/>
      <c r="U166" s="63"/>
      <c r="V166" s="63"/>
      <c r="W166" s="63"/>
      <c r="X166" s="75">
        <v>43195</v>
      </c>
      <c r="Y166" s="45" t="s">
        <v>27</v>
      </c>
      <c r="Z166" s="45" t="s">
        <v>27</v>
      </c>
      <c r="AA166" s="45" t="s">
        <v>27</v>
      </c>
      <c r="AB166" s="45"/>
      <c r="AC166" s="169" t="s">
        <v>4398</v>
      </c>
    </row>
    <row r="167" spans="1:29" s="68" customFormat="1" ht="15" hidden="1" customHeight="1">
      <c r="A167" s="62" t="s">
        <v>0</v>
      </c>
      <c r="B167" s="43" t="s">
        <v>917</v>
      </c>
      <c r="C167" s="43" t="s">
        <v>27</v>
      </c>
      <c r="D167" s="67" t="s">
        <v>2758</v>
      </c>
      <c r="E167" s="62" t="s">
        <v>17</v>
      </c>
      <c r="F167" s="62" t="s">
        <v>918</v>
      </c>
      <c r="G167" s="43" t="s">
        <v>919</v>
      </c>
      <c r="H167" s="62" t="s">
        <v>20</v>
      </c>
      <c r="I167" s="43" t="s">
        <v>60</v>
      </c>
      <c r="J167" s="44" t="s">
        <v>3668</v>
      </c>
      <c r="K167" s="95" t="s">
        <v>3666</v>
      </c>
      <c r="L167" s="43" t="s">
        <v>211</v>
      </c>
      <c r="M167" s="62" t="s">
        <v>22</v>
      </c>
      <c r="N167" s="62" t="s">
        <v>22</v>
      </c>
      <c r="O167" s="62"/>
      <c r="P167" s="62"/>
      <c r="Q167" s="62">
        <v>40261</v>
      </c>
      <c r="R167" s="43"/>
      <c r="S167" s="63"/>
      <c r="T167" s="44"/>
      <c r="U167" s="63"/>
      <c r="V167" s="63"/>
      <c r="W167" s="63"/>
      <c r="X167" s="75">
        <v>43195</v>
      </c>
      <c r="Y167" s="45" t="s">
        <v>27</v>
      </c>
      <c r="Z167" s="45" t="s">
        <v>27</v>
      </c>
      <c r="AA167" s="45" t="s">
        <v>27</v>
      </c>
      <c r="AB167" s="45"/>
      <c r="AC167" s="169"/>
    </row>
    <row r="168" spans="1:29" s="68" customFormat="1" ht="15" hidden="1" customHeight="1">
      <c r="A168" s="62" t="s">
        <v>0</v>
      </c>
      <c r="B168" s="43" t="s">
        <v>920</v>
      </c>
      <c r="C168" s="51" t="s">
        <v>22</v>
      </c>
      <c r="D168" s="43" t="s">
        <v>2758</v>
      </c>
      <c r="E168" s="62" t="s">
        <v>17</v>
      </c>
      <c r="F168" s="62" t="s">
        <v>921</v>
      </c>
      <c r="G168" s="43" t="s">
        <v>922</v>
      </c>
      <c r="H168" s="62" t="s">
        <v>20</v>
      </c>
      <c r="I168" s="43" t="s">
        <v>60</v>
      </c>
      <c r="J168" s="44" t="s">
        <v>3668</v>
      </c>
      <c r="K168" s="95" t="s">
        <v>3665</v>
      </c>
      <c r="L168" s="43" t="s">
        <v>211</v>
      </c>
      <c r="M168" s="62" t="s">
        <v>22</v>
      </c>
      <c r="N168" s="62" t="s">
        <v>22</v>
      </c>
      <c r="O168" s="62" t="s">
        <v>3639</v>
      </c>
      <c r="P168" s="62"/>
      <c r="Q168" s="62">
        <v>40262</v>
      </c>
      <c r="R168" s="43"/>
      <c r="S168" s="63"/>
      <c r="T168" s="44"/>
      <c r="U168" s="63"/>
      <c r="V168" s="63"/>
      <c r="W168" s="63"/>
      <c r="X168" s="75">
        <v>43195</v>
      </c>
      <c r="Y168" s="45" t="s">
        <v>27</v>
      </c>
      <c r="Z168" s="45" t="s">
        <v>27</v>
      </c>
      <c r="AA168" s="45" t="s">
        <v>27</v>
      </c>
      <c r="AB168" s="45"/>
      <c r="AC168" s="169" t="s">
        <v>4403</v>
      </c>
    </row>
    <row r="169" spans="1:29" s="68" customFormat="1" ht="15" hidden="1" customHeight="1">
      <c r="A169" s="62" t="s">
        <v>0</v>
      </c>
      <c r="B169" s="43" t="s">
        <v>923</v>
      </c>
      <c r="C169" s="51" t="s">
        <v>27</v>
      </c>
      <c r="D169" s="43" t="s">
        <v>2758</v>
      </c>
      <c r="E169" s="62" t="s">
        <v>17</v>
      </c>
      <c r="F169" s="62" t="s">
        <v>924</v>
      </c>
      <c r="G169" s="43" t="s">
        <v>925</v>
      </c>
      <c r="H169" s="62" t="s">
        <v>20</v>
      </c>
      <c r="I169" s="43" t="s">
        <v>60</v>
      </c>
      <c r="J169" s="44" t="s">
        <v>3668</v>
      </c>
      <c r="K169" s="95" t="s">
        <v>3665</v>
      </c>
      <c r="L169" s="43" t="s">
        <v>211</v>
      </c>
      <c r="M169" s="62" t="s">
        <v>22</v>
      </c>
      <c r="N169" s="62" t="s">
        <v>22</v>
      </c>
      <c r="O169" s="62" t="s">
        <v>3639</v>
      </c>
      <c r="P169" s="62"/>
      <c r="Q169" s="62">
        <v>40263</v>
      </c>
      <c r="R169" s="43"/>
      <c r="S169" s="63"/>
      <c r="T169" s="44"/>
      <c r="U169" s="63"/>
      <c r="V169" s="63"/>
      <c r="W169" s="63"/>
      <c r="X169" s="75">
        <v>43195</v>
      </c>
      <c r="Y169" s="45" t="s">
        <v>27</v>
      </c>
      <c r="Z169" s="45" t="s">
        <v>27</v>
      </c>
      <c r="AA169" s="45" t="s">
        <v>27</v>
      </c>
      <c r="AB169" s="45"/>
      <c r="AC169" s="169"/>
    </row>
    <row r="170" spans="1:29" s="68" customFormat="1" ht="15" hidden="1" customHeight="1">
      <c r="A170" s="62" t="s">
        <v>0</v>
      </c>
      <c r="B170" s="43" t="s">
        <v>926</v>
      </c>
      <c r="C170" s="51" t="s">
        <v>27</v>
      </c>
      <c r="D170" s="43" t="s">
        <v>2758</v>
      </c>
      <c r="E170" s="62" t="s">
        <v>17</v>
      </c>
      <c r="F170" s="62" t="s">
        <v>927</v>
      </c>
      <c r="G170" s="43" t="s">
        <v>928</v>
      </c>
      <c r="H170" s="62" t="s">
        <v>20</v>
      </c>
      <c r="I170" s="43" t="s">
        <v>60</v>
      </c>
      <c r="J170" s="44" t="s">
        <v>3668</v>
      </c>
      <c r="K170" s="95" t="s">
        <v>3665</v>
      </c>
      <c r="L170" s="43" t="s">
        <v>211</v>
      </c>
      <c r="M170" s="62" t="s">
        <v>22</v>
      </c>
      <c r="N170" s="62" t="s">
        <v>22</v>
      </c>
      <c r="O170" s="62" t="s">
        <v>3639</v>
      </c>
      <c r="P170" s="62"/>
      <c r="Q170" s="62">
        <v>40264</v>
      </c>
      <c r="R170" s="43"/>
      <c r="S170" s="63"/>
      <c r="T170" s="44"/>
      <c r="U170" s="63"/>
      <c r="V170" s="63"/>
      <c r="W170" s="63"/>
      <c r="X170" s="75">
        <v>43195</v>
      </c>
      <c r="Y170" s="45" t="s">
        <v>27</v>
      </c>
      <c r="Z170" s="45" t="s">
        <v>27</v>
      </c>
      <c r="AA170" s="45" t="s">
        <v>27</v>
      </c>
      <c r="AB170" s="45"/>
      <c r="AC170" s="169"/>
    </row>
    <row r="171" spans="1:29" s="68" customFormat="1" ht="15" hidden="1" customHeight="1">
      <c r="A171" s="62" t="s">
        <v>0</v>
      </c>
      <c r="B171" s="44" t="s">
        <v>929</v>
      </c>
      <c r="C171" s="51" t="s">
        <v>27</v>
      </c>
      <c r="D171" s="43" t="s">
        <v>2758</v>
      </c>
      <c r="E171" s="62" t="s">
        <v>17</v>
      </c>
      <c r="F171" s="62" t="s">
        <v>930</v>
      </c>
      <c r="G171" s="43" t="s">
        <v>46</v>
      </c>
      <c r="H171" s="62" t="s">
        <v>20</v>
      </c>
      <c r="I171" s="43" t="s">
        <v>60</v>
      </c>
      <c r="J171" s="43" t="s">
        <v>3671</v>
      </c>
      <c r="K171" s="44" t="s">
        <v>3663</v>
      </c>
      <c r="L171" s="43" t="s">
        <v>211</v>
      </c>
      <c r="M171" s="62" t="s">
        <v>22</v>
      </c>
      <c r="N171" s="62" t="s">
        <v>22</v>
      </c>
      <c r="O171" s="62"/>
      <c r="P171" s="62"/>
      <c r="Q171" s="62">
        <v>40265</v>
      </c>
      <c r="R171" s="43"/>
      <c r="S171" s="63"/>
      <c r="T171" s="44"/>
      <c r="U171" s="63"/>
      <c r="V171" s="63"/>
      <c r="W171" s="63"/>
      <c r="X171" s="75">
        <v>43195</v>
      </c>
      <c r="Y171" s="45" t="s">
        <v>27</v>
      </c>
      <c r="Z171" s="45" t="s">
        <v>27</v>
      </c>
      <c r="AA171" s="45" t="s">
        <v>27</v>
      </c>
      <c r="AB171" s="45"/>
      <c r="AC171" s="169"/>
    </row>
    <row r="172" spans="1:29" s="68" customFormat="1" ht="15" hidden="1" customHeight="1">
      <c r="A172" s="62" t="s">
        <v>0</v>
      </c>
      <c r="B172" s="44" t="s">
        <v>931</v>
      </c>
      <c r="C172" s="51" t="s">
        <v>27</v>
      </c>
      <c r="D172" s="43" t="s">
        <v>2758</v>
      </c>
      <c r="E172" s="62" t="s">
        <v>17</v>
      </c>
      <c r="F172" s="62" t="s">
        <v>932</v>
      </c>
      <c r="G172" s="43" t="s">
        <v>168</v>
      </c>
      <c r="H172" s="62" t="s">
        <v>20</v>
      </c>
      <c r="I172" s="43" t="s">
        <v>60</v>
      </c>
      <c r="J172" s="44" t="s">
        <v>3668</v>
      </c>
      <c r="K172" s="95" t="s">
        <v>3665</v>
      </c>
      <c r="L172" s="43" t="s">
        <v>211</v>
      </c>
      <c r="M172" s="62" t="s">
        <v>22</v>
      </c>
      <c r="N172" s="62" t="s">
        <v>22</v>
      </c>
      <c r="O172" s="62" t="s">
        <v>3639</v>
      </c>
      <c r="P172" s="62"/>
      <c r="Q172" s="62">
        <v>40266</v>
      </c>
      <c r="R172" s="43"/>
      <c r="S172" s="63"/>
      <c r="T172" s="44"/>
      <c r="U172" s="63"/>
      <c r="V172" s="63"/>
      <c r="W172" s="63"/>
      <c r="X172" s="75">
        <v>43195</v>
      </c>
      <c r="Y172" s="45" t="s">
        <v>27</v>
      </c>
      <c r="Z172" s="45" t="s">
        <v>27</v>
      </c>
      <c r="AA172" s="45" t="s">
        <v>27</v>
      </c>
      <c r="AB172" s="45"/>
      <c r="AC172" s="169"/>
    </row>
    <row r="173" spans="1:29" s="68" customFormat="1" ht="15" hidden="1" customHeight="1">
      <c r="A173" s="62" t="s">
        <v>0</v>
      </c>
      <c r="B173" s="44" t="s">
        <v>933</v>
      </c>
      <c r="C173" s="51" t="s">
        <v>27</v>
      </c>
      <c r="D173" s="43" t="s">
        <v>2758</v>
      </c>
      <c r="E173" s="62" t="s">
        <v>17</v>
      </c>
      <c r="F173" s="62" t="s">
        <v>934</v>
      </c>
      <c r="G173" s="43" t="s">
        <v>41</v>
      </c>
      <c r="H173" s="62" t="s">
        <v>20</v>
      </c>
      <c r="I173" s="43" t="s">
        <v>60</v>
      </c>
      <c r="J173" s="44" t="s">
        <v>3670</v>
      </c>
      <c r="K173" s="95" t="s">
        <v>3666</v>
      </c>
      <c r="L173" s="43" t="s">
        <v>211</v>
      </c>
      <c r="M173" s="62" t="s">
        <v>22</v>
      </c>
      <c r="N173" s="62" t="s">
        <v>22</v>
      </c>
      <c r="O173" s="62"/>
      <c r="P173" s="62"/>
      <c r="Q173" s="62">
        <v>40267</v>
      </c>
      <c r="R173" s="43"/>
      <c r="S173" s="63"/>
      <c r="T173" s="44"/>
      <c r="U173" s="63"/>
      <c r="V173" s="63"/>
      <c r="W173" s="63"/>
      <c r="X173" s="75">
        <v>43195</v>
      </c>
      <c r="Y173" s="45" t="s">
        <v>27</v>
      </c>
      <c r="Z173" s="45" t="s">
        <v>27</v>
      </c>
      <c r="AA173" s="45" t="s">
        <v>27</v>
      </c>
      <c r="AB173" s="45"/>
      <c r="AC173" s="169"/>
    </row>
    <row r="174" spans="1:29" s="68" customFormat="1" ht="15" hidden="1" customHeight="1">
      <c r="A174" s="62" t="s">
        <v>0</v>
      </c>
      <c r="B174" s="44" t="s">
        <v>935</v>
      </c>
      <c r="C174" s="51" t="s">
        <v>27</v>
      </c>
      <c r="D174" s="43" t="s">
        <v>2758</v>
      </c>
      <c r="E174" s="62" t="s">
        <v>17</v>
      </c>
      <c r="F174" s="62" t="s">
        <v>936</v>
      </c>
      <c r="G174" s="43" t="s">
        <v>141</v>
      </c>
      <c r="H174" s="62" t="s">
        <v>20</v>
      </c>
      <c r="I174" s="43" t="s">
        <v>60</v>
      </c>
      <c r="J174" s="43" t="s">
        <v>3680</v>
      </c>
      <c r="K174" s="65" t="s">
        <v>3663</v>
      </c>
      <c r="L174" s="43" t="s">
        <v>211</v>
      </c>
      <c r="M174" s="62" t="s">
        <v>22</v>
      </c>
      <c r="N174" s="62" t="s">
        <v>22</v>
      </c>
      <c r="O174" s="62"/>
      <c r="P174" s="62"/>
      <c r="Q174" s="62">
        <v>40268</v>
      </c>
      <c r="R174" s="43"/>
      <c r="S174" s="63"/>
      <c r="T174" s="44"/>
      <c r="U174" s="63"/>
      <c r="V174" s="63"/>
      <c r="W174" s="63"/>
      <c r="X174" s="75">
        <v>43195</v>
      </c>
      <c r="Y174" s="45" t="s">
        <v>27</v>
      </c>
      <c r="Z174" s="45" t="s">
        <v>27</v>
      </c>
      <c r="AA174" s="45" t="s">
        <v>27</v>
      </c>
      <c r="AB174" s="45"/>
      <c r="AC174" s="169"/>
    </row>
    <row r="175" spans="1:29" s="68" customFormat="1" ht="15" hidden="1" customHeight="1">
      <c r="A175" s="62" t="s">
        <v>0</v>
      </c>
      <c r="B175" s="44" t="s">
        <v>657</v>
      </c>
      <c r="C175" s="51" t="s">
        <v>27</v>
      </c>
      <c r="D175" s="43" t="s">
        <v>2758</v>
      </c>
      <c r="E175" s="62" t="s">
        <v>17</v>
      </c>
      <c r="F175" s="62" t="s">
        <v>658</v>
      </c>
      <c r="G175" s="43" t="s">
        <v>174</v>
      </c>
      <c r="H175" s="62" t="s">
        <v>20</v>
      </c>
      <c r="I175" s="43" t="s">
        <v>60</v>
      </c>
      <c r="J175" s="44" t="s">
        <v>3668</v>
      </c>
      <c r="K175" s="95" t="s">
        <v>3666</v>
      </c>
      <c r="L175" s="43" t="s">
        <v>211</v>
      </c>
      <c r="M175" s="62" t="s">
        <v>22</v>
      </c>
      <c r="N175" s="62" t="s">
        <v>22</v>
      </c>
      <c r="O175" s="62"/>
      <c r="P175" s="62"/>
      <c r="Q175" s="62">
        <v>40269</v>
      </c>
      <c r="R175" s="43"/>
      <c r="S175" s="63"/>
      <c r="T175" s="44"/>
      <c r="U175" s="63"/>
      <c r="V175" s="63"/>
      <c r="W175" s="63"/>
      <c r="X175" s="75">
        <v>43195</v>
      </c>
      <c r="Y175" s="45" t="s">
        <v>27</v>
      </c>
      <c r="Z175" s="45" t="s">
        <v>27</v>
      </c>
      <c r="AA175" s="45" t="s">
        <v>27</v>
      </c>
      <c r="AB175" s="45"/>
      <c r="AC175" s="169"/>
    </row>
    <row r="176" spans="1:29" s="68" customFormat="1" ht="15" hidden="1" customHeight="1">
      <c r="A176" s="62" t="s">
        <v>0</v>
      </c>
      <c r="B176" s="46" t="s">
        <v>937</v>
      </c>
      <c r="C176" s="51" t="s">
        <v>27</v>
      </c>
      <c r="D176" s="43" t="s">
        <v>2758</v>
      </c>
      <c r="E176" s="62" t="s">
        <v>17</v>
      </c>
      <c r="F176" s="62" t="s">
        <v>938</v>
      </c>
      <c r="G176" s="43" t="s">
        <v>107</v>
      </c>
      <c r="H176" s="62" t="s">
        <v>20</v>
      </c>
      <c r="I176" s="43" t="s">
        <v>60</v>
      </c>
      <c r="J176" s="44" t="s">
        <v>3668</v>
      </c>
      <c r="K176" s="95" t="s">
        <v>3666</v>
      </c>
      <c r="L176" s="43" t="s">
        <v>211</v>
      </c>
      <c r="M176" s="62" t="s">
        <v>22</v>
      </c>
      <c r="N176" s="62" t="s">
        <v>22</v>
      </c>
      <c r="O176" s="62"/>
      <c r="P176" s="62"/>
      <c r="Q176" s="62">
        <v>40270</v>
      </c>
      <c r="R176" s="43"/>
      <c r="S176" s="63"/>
      <c r="T176" s="44"/>
      <c r="U176" s="63"/>
      <c r="V176" s="63"/>
      <c r="W176" s="63"/>
      <c r="X176" s="75">
        <v>43195</v>
      </c>
      <c r="Y176" s="45" t="s">
        <v>27</v>
      </c>
      <c r="Z176" s="45" t="s">
        <v>27</v>
      </c>
      <c r="AA176" s="45" t="s">
        <v>27</v>
      </c>
      <c r="AB176" s="45"/>
      <c r="AC176" s="169"/>
    </row>
    <row r="177" spans="1:29" s="68" customFormat="1" ht="15" hidden="1" customHeight="1">
      <c r="A177" s="62" t="s">
        <v>0</v>
      </c>
      <c r="B177" s="43" t="s">
        <v>939</v>
      </c>
      <c r="C177" s="51" t="s">
        <v>27</v>
      </c>
      <c r="D177" s="43" t="s">
        <v>2758</v>
      </c>
      <c r="E177" s="62" t="s">
        <v>17</v>
      </c>
      <c r="F177" s="62" t="s">
        <v>940</v>
      </c>
      <c r="G177" s="43" t="s">
        <v>218</v>
      </c>
      <c r="H177" s="62" t="s">
        <v>20</v>
      </c>
      <c r="I177" s="43" t="s">
        <v>60</v>
      </c>
      <c r="J177" s="44" t="s">
        <v>3670</v>
      </c>
      <c r="K177" s="95" t="s">
        <v>3664</v>
      </c>
      <c r="L177" s="43" t="s">
        <v>211</v>
      </c>
      <c r="M177" s="62" t="s">
        <v>22</v>
      </c>
      <c r="N177" s="62" t="s">
        <v>22</v>
      </c>
      <c r="O177" s="62"/>
      <c r="P177" s="62"/>
      <c r="Q177" s="62">
        <v>40271</v>
      </c>
      <c r="R177" s="43"/>
      <c r="S177" s="63"/>
      <c r="T177" s="44"/>
      <c r="U177" s="63"/>
      <c r="V177" s="63"/>
      <c r="W177" s="63"/>
      <c r="X177" s="75">
        <v>43195</v>
      </c>
      <c r="Y177" s="45" t="s">
        <v>27</v>
      </c>
      <c r="Z177" s="45" t="s">
        <v>27</v>
      </c>
      <c r="AA177" s="45" t="s">
        <v>27</v>
      </c>
      <c r="AB177" s="45"/>
      <c r="AC177" s="169"/>
    </row>
    <row r="178" spans="1:29" s="68" customFormat="1" ht="15" hidden="1" customHeight="1">
      <c r="A178" s="62" t="s">
        <v>0</v>
      </c>
      <c r="B178" s="43" t="s">
        <v>941</v>
      </c>
      <c r="C178" s="51" t="s">
        <v>27</v>
      </c>
      <c r="D178" s="43" t="s">
        <v>2758</v>
      </c>
      <c r="E178" s="62" t="s">
        <v>17</v>
      </c>
      <c r="F178" s="62" t="s">
        <v>942</v>
      </c>
      <c r="G178" s="43" t="s">
        <v>171</v>
      </c>
      <c r="H178" s="62" t="s">
        <v>20</v>
      </c>
      <c r="I178" s="43" t="s">
        <v>60</v>
      </c>
      <c r="J178" s="44" t="s">
        <v>3668</v>
      </c>
      <c r="K178" s="95" t="s">
        <v>3665</v>
      </c>
      <c r="L178" s="43" t="s">
        <v>211</v>
      </c>
      <c r="M178" s="62" t="s">
        <v>22</v>
      </c>
      <c r="N178" s="62" t="s">
        <v>22</v>
      </c>
      <c r="O178" s="62" t="s">
        <v>3639</v>
      </c>
      <c r="P178" s="62"/>
      <c r="Q178" s="62">
        <v>40272</v>
      </c>
      <c r="R178" s="43"/>
      <c r="S178" s="63"/>
      <c r="T178" s="44"/>
      <c r="U178" s="63"/>
      <c r="V178" s="63"/>
      <c r="W178" s="63"/>
      <c r="X178" s="75">
        <v>43195</v>
      </c>
      <c r="Y178" s="45" t="s">
        <v>27</v>
      </c>
      <c r="Z178" s="45" t="s">
        <v>27</v>
      </c>
      <c r="AA178" s="45" t="s">
        <v>27</v>
      </c>
      <c r="AB178" s="45"/>
      <c r="AC178" s="169"/>
    </row>
    <row r="179" spans="1:29" s="68" customFormat="1" ht="15" hidden="1" customHeight="1">
      <c r="A179" s="62" t="s">
        <v>0</v>
      </c>
      <c r="B179" s="43" t="s">
        <v>943</v>
      </c>
      <c r="C179" s="51" t="s">
        <v>27</v>
      </c>
      <c r="D179" s="43" t="s">
        <v>2758</v>
      </c>
      <c r="E179" s="62" t="s">
        <v>17</v>
      </c>
      <c r="F179" s="62" t="s">
        <v>944</v>
      </c>
      <c r="G179" s="43" t="s">
        <v>171</v>
      </c>
      <c r="H179" s="62" t="s">
        <v>20</v>
      </c>
      <c r="I179" s="43" t="s">
        <v>60</v>
      </c>
      <c r="J179" s="44" t="s">
        <v>3668</v>
      </c>
      <c r="K179" s="95" t="s">
        <v>3666</v>
      </c>
      <c r="L179" s="43" t="s">
        <v>211</v>
      </c>
      <c r="M179" s="62" t="s">
        <v>22</v>
      </c>
      <c r="N179" s="62" t="s">
        <v>22</v>
      </c>
      <c r="O179" s="62"/>
      <c r="P179" s="62"/>
      <c r="Q179" s="62">
        <v>40273</v>
      </c>
      <c r="R179" s="43"/>
      <c r="S179" s="63"/>
      <c r="T179" s="44"/>
      <c r="U179" s="63"/>
      <c r="V179" s="63"/>
      <c r="W179" s="63"/>
      <c r="X179" s="75">
        <v>43195</v>
      </c>
      <c r="Y179" s="45" t="s">
        <v>27</v>
      </c>
      <c r="Z179" s="45" t="s">
        <v>27</v>
      </c>
      <c r="AA179" s="45" t="s">
        <v>27</v>
      </c>
      <c r="AB179" s="45"/>
      <c r="AC179" s="169"/>
    </row>
    <row r="180" spans="1:29" s="68" customFormat="1" ht="15" hidden="1" customHeight="1">
      <c r="A180" s="62" t="s">
        <v>0</v>
      </c>
      <c r="B180" s="43" t="s">
        <v>945</v>
      </c>
      <c r="C180" s="51" t="s">
        <v>27</v>
      </c>
      <c r="D180" s="43" t="s">
        <v>2758</v>
      </c>
      <c r="E180" s="62" t="s">
        <v>17</v>
      </c>
      <c r="F180" s="62" t="s">
        <v>946</v>
      </c>
      <c r="G180" s="43"/>
      <c r="H180" s="62" t="s">
        <v>20</v>
      </c>
      <c r="I180" s="43" t="s">
        <v>60</v>
      </c>
      <c r="J180" s="44" t="s">
        <v>3668</v>
      </c>
      <c r="K180" s="95" t="s">
        <v>3666</v>
      </c>
      <c r="L180" s="43" t="s">
        <v>211</v>
      </c>
      <c r="M180" s="62" t="s">
        <v>22</v>
      </c>
      <c r="N180" s="62" t="s">
        <v>22</v>
      </c>
      <c r="O180" s="62"/>
      <c r="P180" s="62"/>
      <c r="Q180" s="62">
        <v>40274</v>
      </c>
      <c r="R180" s="43"/>
      <c r="S180" s="63"/>
      <c r="T180" s="44"/>
      <c r="U180" s="63"/>
      <c r="V180" s="63"/>
      <c r="W180" s="63"/>
      <c r="X180" s="75">
        <v>43195</v>
      </c>
      <c r="Y180" s="45" t="s">
        <v>27</v>
      </c>
      <c r="Z180" s="45" t="s">
        <v>27</v>
      </c>
      <c r="AA180" s="45" t="s">
        <v>27</v>
      </c>
      <c r="AB180" s="45"/>
      <c r="AC180" s="169"/>
    </row>
    <row r="181" spans="1:29" s="68" customFormat="1" ht="15" hidden="1" customHeight="1">
      <c r="A181" s="62" t="s">
        <v>0</v>
      </c>
      <c r="B181" s="44" t="s">
        <v>947</v>
      </c>
      <c r="C181" s="51" t="s">
        <v>22</v>
      </c>
      <c r="D181" s="43" t="s">
        <v>2758</v>
      </c>
      <c r="E181" s="62" t="s">
        <v>17</v>
      </c>
      <c r="F181" s="62" t="s">
        <v>948</v>
      </c>
      <c r="G181" s="43" t="s">
        <v>1156</v>
      </c>
      <c r="H181" s="62" t="s">
        <v>20</v>
      </c>
      <c r="I181" s="43" t="s">
        <v>60</v>
      </c>
      <c r="J181" s="44"/>
      <c r="K181" s="65"/>
      <c r="L181" s="43" t="s">
        <v>211</v>
      </c>
      <c r="M181" s="62" t="s">
        <v>22</v>
      </c>
      <c r="N181" s="62" t="s">
        <v>22</v>
      </c>
      <c r="O181" s="62"/>
      <c r="P181" s="62"/>
      <c r="Q181" s="62">
        <v>40275</v>
      </c>
      <c r="R181" s="43"/>
      <c r="S181" s="63"/>
      <c r="T181" s="44"/>
      <c r="U181" s="63"/>
      <c r="V181" s="63"/>
      <c r="W181" s="63"/>
      <c r="X181" s="75">
        <v>43195</v>
      </c>
      <c r="Y181" s="45" t="s">
        <v>27</v>
      </c>
      <c r="Z181" s="45" t="s">
        <v>27</v>
      </c>
      <c r="AA181" s="45" t="s">
        <v>2021</v>
      </c>
      <c r="AB181" s="45"/>
      <c r="AC181" s="169" t="s">
        <v>4404</v>
      </c>
    </row>
    <row r="182" spans="1:29" s="68" customFormat="1" ht="15" hidden="1" customHeight="1">
      <c r="A182" s="62" t="s">
        <v>0</v>
      </c>
      <c r="B182" s="46" t="s">
        <v>949</v>
      </c>
      <c r="C182" s="51" t="s">
        <v>27</v>
      </c>
      <c r="D182" s="43" t="s">
        <v>2758</v>
      </c>
      <c r="E182" s="62" t="s">
        <v>17</v>
      </c>
      <c r="F182" s="62" t="s">
        <v>950</v>
      </c>
      <c r="G182" s="43" t="s">
        <v>1167</v>
      </c>
      <c r="H182" s="62" t="s">
        <v>20</v>
      </c>
      <c r="I182" s="43" t="s">
        <v>60</v>
      </c>
      <c r="J182" s="44" t="s">
        <v>3668</v>
      </c>
      <c r="K182" s="95" t="s">
        <v>3666</v>
      </c>
      <c r="L182" s="43" t="s">
        <v>211</v>
      </c>
      <c r="M182" s="62" t="s">
        <v>22</v>
      </c>
      <c r="N182" s="62" t="s">
        <v>22</v>
      </c>
      <c r="O182" s="62"/>
      <c r="P182" s="62"/>
      <c r="Q182" s="62">
        <v>40276</v>
      </c>
      <c r="R182" s="43"/>
      <c r="S182" s="63"/>
      <c r="T182" s="44"/>
      <c r="U182" s="63"/>
      <c r="V182" s="63"/>
      <c r="W182" s="63"/>
      <c r="X182" s="75">
        <v>43195</v>
      </c>
      <c r="Y182" s="45" t="s">
        <v>27</v>
      </c>
      <c r="Z182" s="45" t="s">
        <v>27</v>
      </c>
      <c r="AA182" s="45" t="s">
        <v>27</v>
      </c>
      <c r="AB182" s="45"/>
      <c r="AC182" s="169"/>
    </row>
    <row r="183" spans="1:29" s="68" customFormat="1" ht="15" hidden="1" customHeight="1">
      <c r="A183" s="62" t="s">
        <v>0</v>
      </c>
      <c r="B183" s="43" t="s">
        <v>951</v>
      </c>
      <c r="C183" s="51" t="s">
        <v>27</v>
      </c>
      <c r="D183" s="43" t="s">
        <v>2758</v>
      </c>
      <c r="E183" s="62" t="s">
        <v>17</v>
      </c>
      <c r="F183" s="62" t="s">
        <v>952</v>
      </c>
      <c r="G183" s="43" t="s">
        <v>533</v>
      </c>
      <c r="H183" s="62" t="s">
        <v>20</v>
      </c>
      <c r="I183" s="43" t="s">
        <v>60</v>
      </c>
      <c r="J183" s="43" t="s">
        <v>3680</v>
      </c>
      <c r="K183" s="65" t="s">
        <v>3663</v>
      </c>
      <c r="L183" s="43" t="s">
        <v>211</v>
      </c>
      <c r="M183" s="62" t="s">
        <v>22</v>
      </c>
      <c r="N183" s="62" t="s">
        <v>22</v>
      </c>
      <c r="O183" s="62"/>
      <c r="P183" s="62"/>
      <c r="Q183" s="62">
        <v>40277</v>
      </c>
      <c r="R183" s="43"/>
      <c r="S183" s="63"/>
      <c r="T183" s="44"/>
      <c r="U183" s="63"/>
      <c r="V183" s="63"/>
      <c r="W183" s="63"/>
      <c r="X183" s="75">
        <v>43195</v>
      </c>
      <c r="Y183" s="45" t="s">
        <v>27</v>
      </c>
      <c r="Z183" s="45" t="s">
        <v>27</v>
      </c>
      <c r="AA183" s="45" t="s">
        <v>27</v>
      </c>
      <c r="AB183" s="45"/>
      <c r="AC183" s="169"/>
    </row>
    <row r="184" spans="1:29" s="68" customFormat="1" ht="15" hidden="1" customHeight="1">
      <c r="A184" s="62" t="s">
        <v>0</v>
      </c>
      <c r="B184" s="80" t="s">
        <v>1122</v>
      </c>
      <c r="C184" s="80" t="s">
        <v>27</v>
      </c>
      <c r="D184" s="67" t="s">
        <v>2758</v>
      </c>
      <c r="E184" s="62" t="s">
        <v>17</v>
      </c>
      <c r="F184" s="62" t="s">
        <v>1123</v>
      </c>
      <c r="G184" s="43" t="s">
        <v>76</v>
      </c>
      <c r="H184" s="62" t="s">
        <v>20</v>
      </c>
      <c r="I184" s="43" t="s">
        <v>60</v>
      </c>
      <c r="J184" s="43" t="s">
        <v>3680</v>
      </c>
      <c r="K184" s="65" t="s">
        <v>3663</v>
      </c>
      <c r="L184" s="43" t="s">
        <v>211</v>
      </c>
      <c r="M184" s="62" t="s">
        <v>22</v>
      </c>
      <c r="N184" s="62" t="s">
        <v>22</v>
      </c>
      <c r="O184" s="62"/>
      <c r="P184" s="62"/>
      <c r="Q184" s="62">
        <v>40290</v>
      </c>
      <c r="R184" s="43"/>
      <c r="S184" s="63"/>
      <c r="T184" s="44"/>
      <c r="U184" s="63"/>
      <c r="V184" s="63"/>
      <c r="W184" s="63"/>
      <c r="X184" s="75">
        <v>43195</v>
      </c>
      <c r="Y184" s="45" t="s">
        <v>27</v>
      </c>
      <c r="Z184" s="45" t="s">
        <v>27</v>
      </c>
      <c r="AA184" s="45" t="s">
        <v>27</v>
      </c>
      <c r="AB184" s="45"/>
      <c r="AC184" s="169"/>
    </row>
    <row r="185" spans="1:29" s="68" customFormat="1" ht="15" hidden="1" customHeight="1">
      <c r="A185" s="62" t="s">
        <v>0</v>
      </c>
      <c r="B185" s="80" t="s">
        <v>1124</v>
      </c>
      <c r="C185" s="51" t="s">
        <v>22</v>
      </c>
      <c r="D185" s="67"/>
      <c r="E185" s="62" t="s">
        <v>17</v>
      </c>
      <c r="F185" s="62" t="s">
        <v>1125</v>
      </c>
      <c r="G185" s="43"/>
      <c r="H185" s="62" t="s">
        <v>20</v>
      </c>
      <c r="I185" s="43" t="s">
        <v>60</v>
      </c>
      <c r="J185" s="44"/>
      <c r="K185" s="65"/>
      <c r="L185" s="43" t="s">
        <v>211</v>
      </c>
      <c r="M185" s="62" t="s">
        <v>22</v>
      </c>
      <c r="N185" s="62" t="s">
        <v>22</v>
      </c>
      <c r="O185" s="62"/>
      <c r="P185" s="62"/>
      <c r="Q185" s="62">
        <v>40291</v>
      </c>
      <c r="R185" s="43"/>
      <c r="S185" s="63"/>
      <c r="T185" s="44"/>
      <c r="U185" s="63"/>
      <c r="V185" s="63"/>
      <c r="W185" s="63"/>
      <c r="X185" s="75">
        <v>43195</v>
      </c>
      <c r="Y185" s="45" t="s">
        <v>27</v>
      </c>
      <c r="Z185" s="45" t="s">
        <v>27</v>
      </c>
      <c r="AA185" s="45" t="s">
        <v>22</v>
      </c>
      <c r="AB185" s="45" t="s">
        <v>2021</v>
      </c>
      <c r="AC185" s="169" t="s">
        <v>2661</v>
      </c>
    </row>
    <row r="186" spans="1:29" s="68" customFormat="1" ht="15" hidden="1" customHeight="1">
      <c r="A186" s="62" t="s">
        <v>0</v>
      </c>
      <c r="B186" s="81" t="s">
        <v>1126</v>
      </c>
      <c r="C186" s="51" t="s">
        <v>27</v>
      </c>
      <c r="D186" s="43" t="s">
        <v>2758</v>
      </c>
      <c r="E186" s="62" t="s">
        <v>17</v>
      </c>
      <c r="F186" s="62" t="s">
        <v>1127</v>
      </c>
      <c r="G186" s="43" t="s">
        <v>503</v>
      </c>
      <c r="H186" s="62" t="s">
        <v>20</v>
      </c>
      <c r="I186" s="43" t="s">
        <v>60</v>
      </c>
      <c r="J186" s="44" t="s">
        <v>3668</v>
      </c>
      <c r="K186" s="95" t="s">
        <v>3666</v>
      </c>
      <c r="L186" s="43" t="s">
        <v>211</v>
      </c>
      <c r="M186" s="62" t="s">
        <v>22</v>
      </c>
      <c r="N186" s="62" t="s">
        <v>22</v>
      </c>
      <c r="O186" s="62"/>
      <c r="P186" s="62"/>
      <c r="Q186" s="62">
        <v>40292</v>
      </c>
      <c r="R186" s="43"/>
      <c r="S186" s="63"/>
      <c r="T186" s="44"/>
      <c r="U186" s="63"/>
      <c r="V186" s="63"/>
      <c r="W186" s="63"/>
      <c r="X186" s="75">
        <v>43195</v>
      </c>
      <c r="Y186" s="45" t="s">
        <v>27</v>
      </c>
      <c r="Z186" s="45" t="s">
        <v>27</v>
      </c>
      <c r="AA186" s="45" t="s">
        <v>27</v>
      </c>
      <c r="AB186" s="45"/>
      <c r="AC186" s="169"/>
    </row>
    <row r="187" spans="1:29" s="68" customFormat="1" ht="15" hidden="1" customHeight="1">
      <c r="A187" s="62" t="s">
        <v>0</v>
      </c>
      <c r="B187" s="79" t="s">
        <v>1128</v>
      </c>
      <c r="C187" s="51" t="s">
        <v>27</v>
      </c>
      <c r="D187" s="67" t="s">
        <v>2758</v>
      </c>
      <c r="E187" s="62" t="s">
        <v>17</v>
      </c>
      <c r="F187" s="62" t="s">
        <v>1129</v>
      </c>
      <c r="G187" s="43"/>
      <c r="H187" s="62" t="s">
        <v>20</v>
      </c>
      <c r="I187" s="43" t="s">
        <v>60</v>
      </c>
      <c r="J187" s="43" t="s">
        <v>3671</v>
      </c>
      <c r="K187" s="95" t="s">
        <v>3663</v>
      </c>
      <c r="L187" s="43" t="s">
        <v>211</v>
      </c>
      <c r="M187" s="62" t="s">
        <v>22</v>
      </c>
      <c r="N187" s="62" t="s">
        <v>22</v>
      </c>
      <c r="O187" s="62"/>
      <c r="P187" s="62"/>
      <c r="Q187" s="62">
        <v>40293</v>
      </c>
      <c r="R187" s="43"/>
      <c r="S187" s="63"/>
      <c r="T187" s="44"/>
      <c r="U187" s="63"/>
      <c r="V187" s="63"/>
      <c r="W187" s="63"/>
      <c r="X187" s="75">
        <v>43195</v>
      </c>
      <c r="Y187" s="45" t="s">
        <v>27</v>
      </c>
      <c r="Z187" s="45" t="s">
        <v>27</v>
      </c>
      <c r="AA187" s="45" t="s">
        <v>27</v>
      </c>
      <c r="AB187" s="45"/>
      <c r="AC187" s="169"/>
    </row>
    <row r="188" spans="1:29" s="68" customFormat="1" ht="15" hidden="1" customHeight="1">
      <c r="A188" s="62" t="s">
        <v>0</v>
      </c>
      <c r="B188" s="79" t="s">
        <v>1130</v>
      </c>
      <c r="C188" s="51" t="s">
        <v>27</v>
      </c>
      <c r="D188" s="43" t="s">
        <v>2758</v>
      </c>
      <c r="E188" s="62" t="s">
        <v>17</v>
      </c>
      <c r="F188" s="62" t="s">
        <v>1131</v>
      </c>
      <c r="G188" s="43" t="s">
        <v>131</v>
      </c>
      <c r="H188" s="62" t="s">
        <v>20</v>
      </c>
      <c r="I188" s="43" t="s">
        <v>60</v>
      </c>
      <c r="J188" s="44" t="s">
        <v>3670</v>
      </c>
      <c r="K188" s="95" t="s">
        <v>3664</v>
      </c>
      <c r="L188" s="43" t="s">
        <v>211</v>
      </c>
      <c r="M188" s="62" t="s">
        <v>22</v>
      </c>
      <c r="N188" s="62" t="s">
        <v>22</v>
      </c>
      <c r="O188" s="62"/>
      <c r="P188" s="62"/>
      <c r="Q188" s="62">
        <v>40294</v>
      </c>
      <c r="R188" s="43"/>
      <c r="S188" s="63"/>
      <c r="T188" s="44"/>
      <c r="U188" s="63"/>
      <c r="V188" s="63"/>
      <c r="W188" s="63"/>
      <c r="X188" s="75">
        <v>43195</v>
      </c>
      <c r="Y188" s="45" t="s">
        <v>27</v>
      </c>
      <c r="Z188" s="45" t="s">
        <v>27</v>
      </c>
      <c r="AA188" s="45" t="s">
        <v>27</v>
      </c>
      <c r="AB188" s="45"/>
      <c r="AC188" s="169"/>
    </row>
    <row r="189" spans="1:29" s="68" customFormat="1" ht="15" hidden="1" customHeight="1">
      <c r="A189" s="62" t="s">
        <v>0</v>
      </c>
      <c r="B189" s="79" t="s">
        <v>1132</v>
      </c>
      <c r="C189" s="79" t="s">
        <v>27</v>
      </c>
      <c r="D189" s="67" t="s">
        <v>25</v>
      </c>
      <c r="E189" s="62" t="s">
        <v>17</v>
      </c>
      <c r="F189" s="62" t="s">
        <v>1133</v>
      </c>
      <c r="G189" s="43" t="s">
        <v>222</v>
      </c>
      <c r="H189" s="62" t="s">
        <v>20</v>
      </c>
      <c r="I189" s="43" t="s">
        <v>60</v>
      </c>
      <c r="J189" s="43" t="s">
        <v>3680</v>
      </c>
      <c r="K189" s="95" t="s">
        <v>3663</v>
      </c>
      <c r="L189" s="43" t="s">
        <v>211</v>
      </c>
      <c r="M189" s="62" t="s">
        <v>22</v>
      </c>
      <c r="N189" s="62" t="s">
        <v>22</v>
      </c>
      <c r="O189" s="62" t="s">
        <v>3639</v>
      </c>
      <c r="P189" s="62"/>
      <c r="Q189" s="62">
        <v>40295</v>
      </c>
      <c r="R189" s="43"/>
      <c r="S189" s="63"/>
      <c r="T189" s="44"/>
      <c r="U189" s="63"/>
      <c r="V189" s="63"/>
      <c r="W189" s="63"/>
      <c r="X189" s="75">
        <v>43195</v>
      </c>
      <c r="Y189" s="45" t="s">
        <v>27</v>
      </c>
      <c r="Z189" s="45" t="s">
        <v>27</v>
      </c>
      <c r="AA189" s="45" t="s">
        <v>27</v>
      </c>
      <c r="AB189" s="45"/>
      <c r="AC189" s="169"/>
    </row>
    <row r="190" spans="1:29" s="68" customFormat="1" ht="15" hidden="1" customHeight="1">
      <c r="A190" s="62" t="s">
        <v>0</v>
      </c>
      <c r="B190" s="79" t="s">
        <v>1134</v>
      </c>
      <c r="C190" s="51" t="s">
        <v>27</v>
      </c>
      <c r="D190" s="43" t="s">
        <v>2758</v>
      </c>
      <c r="E190" s="62" t="s">
        <v>17</v>
      </c>
      <c r="F190" s="62" t="s">
        <v>1135</v>
      </c>
      <c r="G190" s="43" t="s">
        <v>528</v>
      </c>
      <c r="H190" s="62" t="s">
        <v>20</v>
      </c>
      <c r="I190" s="43" t="s">
        <v>60</v>
      </c>
      <c r="J190" s="44" t="s">
        <v>3670</v>
      </c>
      <c r="K190" s="95" t="s">
        <v>3664</v>
      </c>
      <c r="L190" s="43" t="s">
        <v>211</v>
      </c>
      <c r="M190" s="62" t="s">
        <v>22</v>
      </c>
      <c r="N190" s="62" t="s">
        <v>22</v>
      </c>
      <c r="O190" s="62"/>
      <c r="P190" s="62"/>
      <c r="Q190" s="62">
        <v>40296</v>
      </c>
      <c r="R190" s="43"/>
      <c r="S190" s="63"/>
      <c r="T190" s="44"/>
      <c r="U190" s="63"/>
      <c r="V190" s="63"/>
      <c r="W190" s="63"/>
      <c r="X190" s="75">
        <v>43195</v>
      </c>
      <c r="Y190" s="45" t="s">
        <v>27</v>
      </c>
      <c r="Z190" s="45" t="s">
        <v>27</v>
      </c>
      <c r="AA190" s="45" t="s">
        <v>27</v>
      </c>
      <c r="AB190" s="45"/>
      <c r="AC190" s="169"/>
    </row>
    <row r="191" spans="1:29" s="68" customFormat="1" ht="15" hidden="1" customHeight="1">
      <c r="A191" s="62" t="s">
        <v>0</v>
      </c>
      <c r="B191" s="80" t="s">
        <v>1136</v>
      </c>
      <c r="C191" s="51" t="s">
        <v>27</v>
      </c>
      <c r="D191" s="43" t="s">
        <v>2758</v>
      </c>
      <c r="E191" s="62" t="s">
        <v>17</v>
      </c>
      <c r="F191" s="62" t="s">
        <v>1137</v>
      </c>
      <c r="G191" s="43" t="s">
        <v>222</v>
      </c>
      <c r="H191" s="62" t="s">
        <v>20</v>
      </c>
      <c r="I191" s="43" t="s">
        <v>60</v>
      </c>
      <c r="J191" s="43" t="s">
        <v>3680</v>
      </c>
      <c r="K191" s="65" t="s">
        <v>3663</v>
      </c>
      <c r="L191" s="43" t="s">
        <v>211</v>
      </c>
      <c r="M191" s="62" t="s">
        <v>22</v>
      </c>
      <c r="N191" s="62" t="s">
        <v>22</v>
      </c>
      <c r="O191" s="62"/>
      <c r="P191" s="62"/>
      <c r="Q191" s="62">
        <v>40297</v>
      </c>
      <c r="R191" s="43"/>
      <c r="S191" s="63"/>
      <c r="T191" s="44"/>
      <c r="U191" s="63"/>
      <c r="V191" s="63"/>
      <c r="W191" s="63"/>
      <c r="X191" s="75">
        <v>43195</v>
      </c>
      <c r="Y191" s="45" t="s">
        <v>27</v>
      </c>
      <c r="Z191" s="45" t="s">
        <v>27</v>
      </c>
      <c r="AA191" s="45" t="s">
        <v>27</v>
      </c>
      <c r="AB191" s="45"/>
      <c r="AC191" s="169"/>
    </row>
    <row r="192" spans="1:29" s="68" customFormat="1" ht="15" hidden="1" customHeight="1">
      <c r="A192" s="62" t="s">
        <v>0</v>
      </c>
      <c r="B192" s="79" t="s">
        <v>1138</v>
      </c>
      <c r="C192" s="51" t="s">
        <v>27</v>
      </c>
      <c r="D192" s="43" t="s">
        <v>2758</v>
      </c>
      <c r="E192" s="62" t="s">
        <v>17</v>
      </c>
      <c r="F192" s="62" t="s">
        <v>1139</v>
      </c>
      <c r="G192" s="43" t="s">
        <v>183</v>
      </c>
      <c r="H192" s="62" t="s">
        <v>20</v>
      </c>
      <c r="I192" s="43" t="s">
        <v>60</v>
      </c>
      <c r="J192" s="44" t="s">
        <v>3670</v>
      </c>
      <c r="K192" s="44" t="s">
        <v>3666</v>
      </c>
      <c r="L192" s="43" t="s">
        <v>211</v>
      </c>
      <c r="M192" s="62" t="s">
        <v>22</v>
      </c>
      <c r="N192" s="62" t="s">
        <v>22</v>
      </c>
      <c r="O192" s="62"/>
      <c r="P192" s="62"/>
      <c r="Q192" s="62">
        <v>40298</v>
      </c>
      <c r="R192" s="43"/>
      <c r="S192" s="63"/>
      <c r="T192" s="44"/>
      <c r="U192" s="63"/>
      <c r="V192" s="63"/>
      <c r="W192" s="63"/>
      <c r="X192" s="75">
        <v>43195</v>
      </c>
      <c r="Y192" s="45" t="s">
        <v>27</v>
      </c>
      <c r="Z192" s="45" t="s">
        <v>27</v>
      </c>
      <c r="AA192" s="45" t="s">
        <v>27</v>
      </c>
      <c r="AB192" s="45"/>
      <c r="AC192" s="169"/>
    </row>
    <row r="193" spans="1:29" s="68" customFormat="1" ht="15" hidden="1" customHeight="1">
      <c r="A193" s="62" t="s">
        <v>0</v>
      </c>
      <c r="B193" s="79" t="s">
        <v>1140</v>
      </c>
      <c r="C193" s="51" t="s">
        <v>27</v>
      </c>
      <c r="D193" s="43" t="s">
        <v>2758</v>
      </c>
      <c r="E193" s="62" t="s">
        <v>17</v>
      </c>
      <c r="F193" s="62" t="s">
        <v>1141</v>
      </c>
      <c r="G193" s="43" t="s">
        <v>177</v>
      </c>
      <c r="H193" s="62" t="s">
        <v>20</v>
      </c>
      <c r="I193" s="43" t="s">
        <v>60</v>
      </c>
      <c r="J193" s="44" t="s">
        <v>3670</v>
      </c>
      <c r="K193" s="95" t="s">
        <v>3664</v>
      </c>
      <c r="L193" s="43" t="s">
        <v>211</v>
      </c>
      <c r="M193" s="62" t="s">
        <v>22</v>
      </c>
      <c r="N193" s="62" t="s">
        <v>22</v>
      </c>
      <c r="O193" s="62"/>
      <c r="P193" s="62"/>
      <c r="Q193" s="62">
        <v>40299</v>
      </c>
      <c r="R193" s="43"/>
      <c r="S193" s="63"/>
      <c r="T193" s="44"/>
      <c r="U193" s="63"/>
      <c r="V193" s="63"/>
      <c r="W193" s="63"/>
      <c r="X193" s="75">
        <v>43195</v>
      </c>
      <c r="Y193" s="45" t="s">
        <v>27</v>
      </c>
      <c r="Z193" s="45" t="s">
        <v>27</v>
      </c>
      <c r="AA193" s="45" t="s">
        <v>27</v>
      </c>
      <c r="AB193" s="45"/>
      <c r="AC193" s="169"/>
    </row>
    <row r="194" spans="1:29" s="68" customFormat="1" ht="15" hidden="1" customHeight="1">
      <c r="A194" s="62" t="s">
        <v>0</v>
      </c>
      <c r="B194" s="43" t="s">
        <v>1142</v>
      </c>
      <c r="C194" s="43"/>
      <c r="D194" s="67"/>
      <c r="E194" s="62" t="s">
        <v>17</v>
      </c>
      <c r="F194" s="62" t="s">
        <v>1143</v>
      </c>
      <c r="G194" s="43" t="s">
        <v>613</v>
      </c>
      <c r="H194" s="62" t="s">
        <v>96</v>
      </c>
      <c r="I194" s="43" t="s">
        <v>21</v>
      </c>
      <c r="J194" s="44" t="s">
        <v>24</v>
      </c>
      <c r="K194" s="43" t="s">
        <v>26</v>
      </c>
      <c r="L194" s="43" t="s">
        <v>763</v>
      </c>
      <c r="M194" s="62" t="s">
        <v>955</v>
      </c>
      <c r="N194" s="62" t="s">
        <v>955</v>
      </c>
      <c r="O194" s="62"/>
      <c r="P194" s="62"/>
      <c r="Q194" s="62">
        <v>40300</v>
      </c>
      <c r="R194" s="43"/>
      <c r="S194" s="63"/>
      <c r="T194" s="51">
        <v>9972094924</v>
      </c>
      <c r="U194" s="52">
        <v>354999010649999</v>
      </c>
      <c r="V194" s="52">
        <v>354999010649999</v>
      </c>
      <c r="W194" s="51">
        <v>7349781108</v>
      </c>
      <c r="X194" s="77">
        <v>43179</v>
      </c>
      <c r="Y194" s="45" t="s">
        <v>27</v>
      </c>
      <c r="Z194" s="45" t="s">
        <v>27</v>
      </c>
      <c r="AA194" s="45" t="s">
        <v>27</v>
      </c>
      <c r="AB194" s="45"/>
      <c r="AC194" s="169"/>
    </row>
    <row r="195" spans="1:29" ht="15" hidden="1" customHeight="1">
      <c r="A195" s="51" t="s">
        <v>0</v>
      </c>
      <c r="B195" s="51" t="s">
        <v>1684</v>
      </c>
      <c r="C195" s="51" t="s">
        <v>27</v>
      </c>
      <c r="D195" s="43" t="s">
        <v>2758</v>
      </c>
      <c r="E195" s="62" t="s">
        <v>17</v>
      </c>
      <c r="F195" s="53" t="s">
        <v>1685</v>
      </c>
      <c r="G195" s="51"/>
      <c r="H195" s="51" t="s">
        <v>20</v>
      </c>
      <c r="I195" s="51" t="s">
        <v>60</v>
      </c>
      <c r="J195" s="51" t="s">
        <v>3201</v>
      </c>
      <c r="K195" s="95" t="s">
        <v>3664</v>
      </c>
      <c r="L195" s="43" t="s">
        <v>211</v>
      </c>
      <c r="M195" s="62" t="s">
        <v>955</v>
      </c>
      <c r="N195" s="62" t="s">
        <v>955</v>
      </c>
      <c r="O195" s="62"/>
      <c r="P195" s="62"/>
      <c r="Q195" s="62">
        <v>40301</v>
      </c>
      <c r="R195" s="43"/>
      <c r="S195" s="51"/>
      <c r="T195" s="51">
        <v>7625047621</v>
      </c>
      <c r="U195" s="52">
        <v>440152248605</v>
      </c>
      <c r="V195" s="52">
        <v>440152253605</v>
      </c>
      <c r="W195" s="52">
        <v>9513421187</v>
      </c>
      <c r="X195" s="75">
        <v>43195</v>
      </c>
      <c r="Y195" s="45" t="s">
        <v>27</v>
      </c>
      <c r="Z195" s="45" t="s">
        <v>27</v>
      </c>
      <c r="AA195" s="45" t="s">
        <v>27</v>
      </c>
      <c r="AB195" s="45"/>
      <c r="AC195" s="169"/>
    </row>
    <row r="196" spans="1:29" ht="15" hidden="1" customHeight="1">
      <c r="A196" s="51" t="s">
        <v>0</v>
      </c>
      <c r="B196" s="51" t="s">
        <v>1897</v>
      </c>
      <c r="C196" s="44" t="s">
        <v>27</v>
      </c>
      <c r="D196" s="43" t="s">
        <v>25</v>
      </c>
      <c r="E196" s="62" t="s">
        <v>17</v>
      </c>
      <c r="F196" s="97" t="s">
        <v>1902</v>
      </c>
      <c r="G196" s="51" t="s">
        <v>327</v>
      </c>
      <c r="H196" s="51" t="s">
        <v>20</v>
      </c>
      <c r="I196" s="51" t="s">
        <v>21</v>
      </c>
      <c r="J196" s="51" t="s">
        <v>3669</v>
      </c>
      <c r="K196" s="43" t="s">
        <v>26</v>
      </c>
      <c r="L196" s="43" t="s">
        <v>211</v>
      </c>
      <c r="M196" s="62" t="s">
        <v>955</v>
      </c>
      <c r="N196" s="62" t="s">
        <v>955</v>
      </c>
      <c r="O196" s="62" t="s">
        <v>3639</v>
      </c>
      <c r="P196" s="62"/>
      <c r="Q196" s="62">
        <v>40302</v>
      </c>
      <c r="R196" s="43"/>
      <c r="S196" s="51"/>
      <c r="T196" s="51">
        <v>7625047670</v>
      </c>
      <c r="U196" s="52">
        <v>440152238940</v>
      </c>
      <c r="V196" s="52">
        <v>440152238940</v>
      </c>
      <c r="W196" s="52">
        <v>7349781108</v>
      </c>
      <c r="X196" s="75">
        <v>43195</v>
      </c>
      <c r="Y196" s="45" t="s">
        <v>27</v>
      </c>
      <c r="Z196" s="51" t="s">
        <v>27</v>
      </c>
      <c r="AA196" s="51" t="s">
        <v>27</v>
      </c>
      <c r="AB196" s="51"/>
      <c r="AC196" s="169"/>
    </row>
    <row r="197" spans="1:29" ht="15" hidden="1" customHeight="1">
      <c r="A197" s="51" t="s">
        <v>0</v>
      </c>
      <c r="B197" s="51" t="s">
        <v>1898</v>
      </c>
      <c r="C197" s="44" t="s">
        <v>27</v>
      </c>
      <c r="D197" s="43" t="s">
        <v>25</v>
      </c>
      <c r="E197" s="62" t="s">
        <v>17</v>
      </c>
      <c r="F197" s="97" t="s">
        <v>1903</v>
      </c>
      <c r="G197" s="51"/>
      <c r="H197" s="51" t="s">
        <v>20</v>
      </c>
      <c r="I197" s="51" t="s">
        <v>21</v>
      </c>
      <c r="J197" s="51" t="s">
        <v>24</v>
      </c>
      <c r="K197" s="43" t="s">
        <v>26</v>
      </c>
      <c r="L197" s="43" t="s">
        <v>211</v>
      </c>
      <c r="M197" s="62" t="s">
        <v>955</v>
      </c>
      <c r="N197" s="62" t="s">
        <v>955</v>
      </c>
      <c r="O197" s="62"/>
      <c r="P197" s="62"/>
      <c r="Q197" s="62">
        <v>40303</v>
      </c>
      <c r="R197" s="43"/>
      <c r="S197" s="51"/>
      <c r="T197" s="51">
        <v>9148086641</v>
      </c>
      <c r="U197" s="52">
        <v>440152254864</v>
      </c>
      <c r="V197" s="52">
        <v>440152254864</v>
      </c>
      <c r="W197" s="52">
        <v>7349781108</v>
      </c>
      <c r="X197" s="75">
        <v>43195</v>
      </c>
      <c r="Y197" s="45" t="s">
        <v>27</v>
      </c>
      <c r="Z197" s="51" t="s">
        <v>27</v>
      </c>
      <c r="AA197" s="51" t="s">
        <v>27</v>
      </c>
      <c r="AB197" s="51"/>
      <c r="AC197" s="169"/>
    </row>
    <row r="198" spans="1:29" ht="15" hidden="1" customHeight="1">
      <c r="A198" s="51" t="s">
        <v>0</v>
      </c>
      <c r="B198" s="51" t="s">
        <v>1899</v>
      </c>
      <c r="C198" s="44" t="s">
        <v>27</v>
      </c>
      <c r="D198" s="43" t="s">
        <v>25</v>
      </c>
      <c r="E198" s="62" t="s">
        <v>17</v>
      </c>
      <c r="F198" s="97" t="s">
        <v>1904</v>
      </c>
      <c r="G198" s="51" t="s">
        <v>2255</v>
      </c>
      <c r="H198" s="51" t="s">
        <v>20</v>
      </c>
      <c r="I198" s="51" t="s">
        <v>21</v>
      </c>
      <c r="J198" s="51" t="s">
        <v>24</v>
      </c>
      <c r="K198" s="43" t="s">
        <v>26</v>
      </c>
      <c r="L198" s="43" t="s">
        <v>211</v>
      </c>
      <c r="M198" s="62" t="s">
        <v>955</v>
      </c>
      <c r="N198" s="62" t="s">
        <v>955</v>
      </c>
      <c r="O198" s="62" t="s">
        <v>3639</v>
      </c>
      <c r="P198" s="62"/>
      <c r="Q198" s="62">
        <v>40304</v>
      </c>
      <c r="R198" s="43"/>
      <c r="S198" s="51"/>
      <c r="T198" s="51">
        <v>7625046432</v>
      </c>
      <c r="U198" s="52">
        <v>440152248584</v>
      </c>
      <c r="V198" s="52">
        <v>440152253584</v>
      </c>
      <c r="W198" s="52">
        <v>7349781108</v>
      </c>
      <c r="X198" s="75">
        <v>43195</v>
      </c>
      <c r="Y198" s="45" t="s">
        <v>27</v>
      </c>
      <c r="Z198" s="51" t="s">
        <v>27</v>
      </c>
      <c r="AA198" s="51" t="s">
        <v>27</v>
      </c>
      <c r="AB198" s="51"/>
      <c r="AC198" s="169"/>
    </row>
    <row r="199" spans="1:29" ht="15" hidden="1" customHeight="1">
      <c r="A199" s="51" t="s">
        <v>0</v>
      </c>
      <c r="B199" s="51" t="s">
        <v>1900</v>
      </c>
      <c r="C199" s="44" t="s">
        <v>27</v>
      </c>
      <c r="D199" s="43" t="s">
        <v>25</v>
      </c>
      <c r="E199" s="62" t="s">
        <v>17</v>
      </c>
      <c r="F199" s="97" t="s">
        <v>1905</v>
      </c>
      <c r="G199" s="51" t="s">
        <v>2256</v>
      </c>
      <c r="H199" s="51" t="s">
        <v>20</v>
      </c>
      <c r="I199" s="51" t="s">
        <v>21</v>
      </c>
      <c r="J199" s="51" t="s">
        <v>24</v>
      </c>
      <c r="K199" s="43" t="s">
        <v>26</v>
      </c>
      <c r="L199" s="43" t="s">
        <v>211</v>
      </c>
      <c r="M199" s="62" t="s">
        <v>955</v>
      </c>
      <c r="N199" s="62" t="s">
        <v>955</v>
      </c>
      <c r="O199" s="62" t="s">
        <v>3639</v>
      </c>
      <c r="P199" s="62"/>
      <c r="Q199" s="62">
        <v>40305</v>
      </c>
      <c r="R199" s="43"/>
      <c r="S199" s="51"/>
      <c r="T199" s="51">
        <v>9148086646</v>
      </c>
      <c r="U199" s="52">
        <v>440152249876</v>
      </c>
      <c r="V199" s="52">
        <v>440152254876</v>
      </c>
      <c r="W199" s="52">
        <v>7349781108</v>
      </c>
      <c r="X199" s="75">
        <v>43195</v>
      </c>
      <c r="Y199" s="45" t="s">
        <v>27</v>
      </c>
      <c r="Z199" s="51" t="s">
        <v>27</v>
      </c>
      <c r="AA199" s="51" t="s">
        <v>27</v>
      </c>
      <c r="AB199" s="51"/>
      <c r="AC199" s="169"/>
    </row>
    <row r="200" spans="1:29" ht="15" hidden="1" customHeight="1">
      <c r="A200" s="51" t="s">
        <v>0</v>
      </c>
      <c r="B200" s="51" t="s">
        <v>1901</v>
      </c>
      <c r="C200" s="44" t="s">
        <v>27</v>
      </c>
      <c r="D200" s="43" t="s">
        <v>25</v>
      </c>
      <c r="E200" s="62" t="s">
        <v>17</v>
      </c>
      <c r="F200" s="97" t="s">
        <v>1906</v>
      </c>
      <c r="G200" s="51" t="s">
        <v>2256</v>
      </c>
      <c r="H200" s="51" t="s">
        <v>20</v>
      </c>
      <c r="I200" s="51" t="s">
        <v>21</v>
      </c>
      <c r="J200" s="51" t="s">
        <v>24</v>
      </c>
      <c r="K200" s="43" t="s">
        <v>26</v>
      </c>
      <c r="L200" s="43" t="s">
        <v>211</v>
      </c>
      <c r="M200" s="62" t="s">
        <v>955</v>
      </c>
      <c r="N200" s="62" t="s">
        <v>955</v>
      </c>
      <c r="O200" s="62" t="s">
        <v>3639</v>
      </c>
      <c r="P200" s="62"/>
      <c r="Q200" s="62">
        <v>40306</v>
      </c>
      <c r="R200" s="43"/>
      <c r="S200" s="51"/>
      <c r="T200" s="51">
        <v>9148086643</v>
      </c>
      <c r="U200" s="52">
        <v>440152248557</v>
      </c>
      <c r="V200" s="52">
        <v>440152253557</v>
      </c>
      <c r="W200" s="52">
        <v>7349781108</v>
      </c>
      <c r="X200" s="75">
        <v>43195</v>
      </c>
      <c r="Y200" s="45" t="s">
        <v>27</v>
      </c>
      <c r="Z200" s="51" t="s">
        <v>27</v>
      </c>
      <c r="AA200" s="51" t="s">
        <v>27</v>
      </c>
      <c r="AB200" s="51"/>
      <c r="AC200" s="169"/>
    </row>
    <row r="201" spans="1:29" ht="15" customHeight="1">
      <c r="A201" s="51" t="s">
        <v>0</v>
      </c>
      <c r="B201" s="51" t="s">
        <v>1913</v>
      </c>
      <c r="C201" s="51" t="s">
        <v>22</v>
      </c>
      <c r="D201" s="51" t="s">
        <v>25</v>
      </c>
      <c r="E201" s="62" t="s">
        <v>17</v>
      </c>
      <c r="F201" s="53" t="s">
        <v>1909</v>
      </c>
      <c r="G201" s="51" t="s">
        <v>2151</v>
      </c>
      <c r="H201" s="51" t="s">
        <v>3084</v>
      </c>
      <c r="I201" s="99" t="s">
        <v>60</v>
      </c>
      <c r="J201" s="43" t="s">
        <v>37</v>
      </c>
      <c r="K201" s="95" t="s">
        <v>337</v>
      </c>
      <c r="L201" s="43" t="s">
        <v>31</v>
      </c>
      <c r="M201" s="62" t="s">
        <v>955</v>
      </c>
      <c r="N201" s="62" t="s">
        <v>955</v>
      </c>
      <c r="O201" s="62" t="s">
        <v>3639</v>
      </c>
      <c r="P201" s="62"/>
      <c r="Q201" s="62">
        <v>40307</v>
      </c>
      <c r="R201" s="43"/>
      <c r="S201" s="51"/>
      <c r="T201" s="51">
        <v>9513388114</v>
      </c>
      <c r="U201" s="52">
        <v>440152254839</v>
      </c>
      <c r="V201" s="52">
        <v>440152254839</v>
      </c>
      <c r="W201" s="52">
        <v>8660690664</v>
      </c>
      <c r="X201" s="75">
        <v>43195</v>
      </c>
      <c r="Y201" s="51" t="s">
        <v>27</v>
      </c>
      <c r="Z201" s="51" t="s">
        <v>27</v>
      </c>
      <c r="AA201" s="51" t="s">
        <v>27</v>
      </c>
      <c r="AB201" s="51"/>
      <c r="AC201" s="51" t="s">
        <v>6857</v>
      </c>
    </row>
    <row r="202" spans="1:29" ht="15" customHeight="1">
      <c r="A202" s="51" t="s">
        <v>0</v>
      </c>
      <c r="B202" s="51" t="s">
        <v>1914</v>
      </c>
      <c r="C202" s="51" t="s">
        <v>27</v>
      </c>
      <c r="D202" s="51" t="s">
        <v>2761</v>
      </c>
      <c r="E202" s="62" t="s">
        <v>17</v>
      </c>
      <c r="F202" s="53" t="s">
        <v>1910</v>
      </c>
      <c r="G202" s="51" t="s">
        <v>2147</v>
      </c>
      <c r="H202" s="51" t="s">
        <v>3084</v>
      </c>
      <c r="I202" s="99" t="s">
        <v>60</v>
      </c>
      <c r="J202" s="43" t="s">
        <v>3686</v>
      </c>
      <c r="K202" s="95" t="s">
        <v>2651</v>
      </c>
      <c r="L202" s="43" t="s">
        <v>5368</v>
      </c>
      <c r="M202" s="62" t="s">
        <v>955</v>
      </c>
      <c r="N202" s="62" t="s">
        <v>955</v>
      </c>
      <c r="O202" s="62" t="s">
        <v>3639</v>
      </c>
      <c r="P202" s="62"/>
      <c r="Q202" s="62">
        <v>40308</v>
      </c>
      <c r="R202" s="43"/>
      <c r="S202" s="51"/>
      <c r="T202" s="51">
        <v>9513388114</v>
      </c>
      <c r="U202" s="52">
        <v>440152258339</v>
      </c>
      <c r="V202" s="52">
        <v>440152258339</v>
      </c>
      <c r="W202" s="52">
        <v>8660690664</v>
      </c>
      <c r="X202" s="75">
        <v>43195</v>
      </c>
      <c r="Y202" s="51" t="s">
        <v>27</v>
      </c>
      <c r="Z202" s="51" t="s">
        <v>27</v>
      </c>
      <c r="AA202" s="51" t="s">
        <v>27</v>
      </c>
      <c r="AB202" s="51"/>
      <c r="AC202" s="51" t="s">
        <v>6869</v>
      </c>
    </row>
    <row r="203" spans="1:29" ht="15" hidden="1" customHeight="1">
      <c r="A203" s="51" t="s">
        <v>0</v>
      </c>
      <c r="B203" s="51" t="s">
        <v>1915</v>
      </c>
      <c r="C203" s="51" t="s">
        <v>22</v>
      </c>
      <c r="D203" s="51" t="s">
        <v>2761</v>
      </c>
      <c r="E203" s="62" t="s">
        <v>17</v>
      </c>
      <c r="F203" s="53" t="s">
        <v>1911</v>
      </c>
      <c r="G203" s="51"/>
      <c r="H203" s="51" t="s">
        <v>20</v>
      </c>
      <c r="I203" s="99" t="s">
        <v>60</v>
      </c>
      <c r="J203" s="43" t="s">
        <v>3680</v>
      </c>
      <c r="K203" s="95" t="s">
        <v>3663</v>
      </c>
      <c r="L203" s="43" t="s">
        <v>211</v>
      </c>
      <c r="M203" s="62" t="s">
        <v>955</v>
      </c>
      <c r="N203" s="62" t="s">
        <v>955</v>
      </c>
      <c r="O203" s="62"/>
      <c r="P203" s="62"/>
      <c r="Q203" s="62">
        <v>40309</v>
      </c>
      <c r="R203" s="43"/>
      <c r="S203" s="51"/>
      <c r="T203" s="51">
        <v>9513388114</v>
      </c>
      <c r="U203" s="52">
        <v>440152254847</v>
      </c>
      <c r="V203" s="52">
        <v>440152254847</v>
      </c>
      <c r="W203" s="52">
        <v>8660690664</v>
      </c>
      <c r="X203" s="75">
        <v>43195</v>
      </c>
      <c r="Y203" s="51" t="s">
        <v>27</v>
      </c>
      <c r="Z203" s="51" t="s">
        <v>27</v>
      </c>
      <c r="AA203" s="51" t="s">
        <v>2021</v>
      </c>
      <c r="AB203" s="51"/>
      <c r="AC203" s="169" t="s">
        <v>3635</v>
      </c>
    </row>
    <row r="204" spans="1:29" ht="15" hidden="1" customHeight="1">
      <c r="A204" s="51" t="s">
        <v>0</v>
      </c>
      <c r="B204" s="51" t="s">
        <v>1916</v>
      </c>
      <c r="C204" s="51" t="s">
        <v>22</v>
      </c>
      <c r="D204" s="43" t="s">
        <v>2758</v>
      </c>
      <c r="E204" s="62" t="s">
        <v>17</v>
      </c>
      <c r="F204" s="53" t="s">
        <v>1912</v>
      </c>
      <c r="G204" s="51"/>
      <c r="H204" s="51" t="s">
        <v>20</v>
      </c>
      <c r="I204" s="99" t="s">
        <v>60</v>
      </c>
      <c r="J204" s="43" t="s">
        <v>3680</v>
      </c>
      <c r="K204" s="95" t="s">
        <v>3663</v>
      </c>
      <c r="L204" s="43" t="s">
        <v>211</v>
      </c>
      <c r="M204" s="62" t="s">
        <v>955</v>
      </c>
      <c r="N204" s="62" t="s">
        <v>955</v>
      </c>
      <c r="O204" s="62"/>
      <c r="P204" s="62"/>
      <c r="Q204" s="62">
        <v>40310</v>
      </c>
      <c r="R204" s="43"/>
      <c r="S204" s="51"/>
      <c r="T204" s="51">
        <v>9513388114</v>
      </c>
      <c r="U204" s="52">
        <v>440152249849</v>
      </c>
      <c r="V204" s="52">
        <v>440152254849</v>
      </c>
      <c r="W204" s="52">
        <v>8660690664</v>
      </c>
      <c r="X204" s="75">
        <v>43195</v>
      </c>
      <c r="Y204" s="51" t="s">
        <v>27</v>
      </c>
      <c r="Z204" s="51" t="s">
        <v>27</v>
      </c>
      <c r="AA204" s="51" t="s">
        <v>2021</v>
      </c>
      <c r="AB204" s="51"/>
      <c r="AC204" s="169" t="s">
        <v>3635</v>
      </c>
    </row>
    <row r="205" spans="1:29" ht="15" hidden="1" customHeight="1">
      <c r="A205" s="51" t="s">
        <v>0</v>
      </c>
      <c r="B205" s="51" t="s">
        <v>1917</v>
      </c>
      <c r="C205" s="51" t="s">
        <v>27</v>
      </c>
      <c r="D205" s="43" t="s">
        <v>2758</v>
      </c>
      <c r="E205" s="62" t="s">
        <v>17</v>
      </c>
      <c r="F205" s="53" t="s">
        <v>1933</v>
      </c>
      <c r="G205" s="51" t="s">
        <v>2151</v>
      </c>
      <c r="H205" s="51" t="s">
        <v>20</v>
      </c>
      <c r="I205" s="99" t="s">
        <v>60</v>
      </c>
      <c r="J205" s="43" t="s">
        <v>3680</v>
      </c>
      <c r="K205" s="95" t="s">
        <v>3663</v>
      </c>
      <c r="L205" s="43" t="s">
        <v>211</v>
      </c>
      <c r="M205" s="62" t="s">
        <v>955</v>
      </c>
      <c r="N205" s="62" t="s">
        <v>955</v>
      </c>
      <c r="O205" s="62"/>
      <c r="P205" s="62"/>
      <c r="Q205" s="62">
        <v>40311</v>
      </c>
      <c r="R205" s="43"/>
      <c r="S205" s="51"/>
      <c r="T205" s="51">
        <v>9513388114</v>
      </c>
      <c r="U205" s="52">
        <v>440152255343</v>
      </c>
      <c r="V205" s="52">
        <v>440152258343</v>
      </c>
      <c r="W205" s="52">
        <v>8660690664</v>
      </c>
      <c r="X205" s="75">
        <v>43195</v>
      </c>
      <c r="Y205" s="51" t="s">
        <v>27</v>
      </c>
      <c r="Z205" s="51" t="s">
        <v>27</v>
      </c>
      <c r="AA205" s="51" t="s">
        <v>27</v>
      </c>
      <c r="AB205" s="51"/>
      <c r="AC205" s="169"/>
    </row>
    <row r="206" spans="1:29" ht="15" hidden="1" customHeight="1">
      <c r="A206" s="51" t="s">
        <v>0</v>
      </c>
      <c r="B206" s="51" t="s">
        <v>1918</v>
      </c>
      <c r="C206" s="51" t="s">
        <v>27</v>
      </c>
      <c r="D206" s="43" t="s">
        <v>2758</v>
      </c>
      <c r="E206" s="62" t="s">
        <v>17</v>
      </c>
      <c r="F206" s="53" t="s">
        <v>1934</v>
      </c>
      <c r="G206" s="51" t="s">
        <v>2146</v>
      </c>
      <c r="H206" s="51" t="s">
        <v>20</v>
      </c>
      <c r="I206" s="99" t="s">
        <v>60</v>
      </c>
      <c r="J206" s="43" t="s">
        <v>3680</v>
      </c>
      <c r="K206" s="95" t="s">
        <v>3663</v>
      </c>
      <c r="L206" s="43" t="s">
        <v>211</v>
      </c>
      <c r="M206" s="62" t="s">
        <v>955</v>
      </c>
      <c r="N206" s="62" t="s">
        <v>955</v>
      </c>
      <c r="O206" s="62"/>
      <c r="P206" s="62"/>
      <c r="Q206" s="62">
        <v>40312</v>
      </c>
      <c r="R206" s="43"/>
      <c r="S206" s="51"/>
      <c r="T206" s="51">
        <v>9513388114</v>
      </c>
      <c r="U206" s="52">
        <v>440152254841</v>
      </c>
      <c r="V206" s="52">
        <v>440152254841</v>
      </c>
      <c r="W206" s="52">
        <v>8660690664</v>
      </c>
      <c r="X206" s="75">
        <v>43195</v>
      </c>
      <c r="Y206" s="51" t="s">
        <v>27</v>
      </c>
      <c r="Z206" s="51" t="s">
        <v>27</v>
      </c>
      <c r="AA206" s="51" t="s">
        <v>27</v>
      </c>
      <c r="AB206" s="51"/>
      <c r="AC206" s="169"/>
    </row>
    <row r="207" spans="1:29" ht="15" customHeight="1">
      <c r="A207" s="51" t="s">
        <v>0</v>
      </c>
      <c r="B207" s="51" t="s">
        <v>1919</v>
      </c>
      <c r="C207" s="51" t="s">
        <v>27</v>
      </c>
      <c r="D207" s="51" t="s">
        <v>25</v>
      </c>
      <c r="E207" s="62" t="s">
        <v>17</v>
      </c>
      <c r="F207" s="53" t="s">
        <v>1935</v>
      </c>
      <c r="G207" s="51" t="s">
        <v>2147</v>
      </c>
      <c r="H207" s="51" t="s">
        <v>3084</v>
      </c>
      <c r="I207" s="99" t="s">
        <v>21</v>
      </c>
      <c r="J207" s="43" t="s">
        <v>37</v>
      </c>
      <c r="K207" s="95" t="s">
        <v>337</v>
      </c>
      <c r="L207" s="43" t="s">
        <v>5368</v>
      </c>
      <c r="M207" s="62" t="s">
        <v>955</v>
      </c>
      <c r="N207" s="62" t="s">
        <v>955</v>
      </c>
      <c r="O207" s="62" t="s">
        <v>3639</v>
      </c>
      <c r="P207" s="62"/>
      <c r="Q207" s="62">
        <v>40313</v>
      </c>
      <c r="R207" s="43"/>
      <c r="S207" s="51"/>
      <c r="T207" s="51"/>
      <c r="U207" s="52"/>
      <c r="V207" s="52"/>
      <c r="W207" s="52"/>
      <c r="X207" s="75">
        <v>43195</v>
      </c>
      <c r="Y207" s="51" t="s">
        <v>27</v>
      </c>
      <c r="Z207" s="51" t="s">
        <v>27</v>
      </c>
      <c r="AA207" s="51" t="s">
        <v>27</v>
      </c>
      <c r="AB207" s="51"/>
      <c r="AC207" s="51" t="s">
        <v>6864</v>
      </c>
    </row>
    <row r="208" spans="1:29" ht="15" hidden="1" customHeight="1">
      <c r="A208" s="51" t="s">
        <v>0</v>
      </c>
      <c r="B208" s="51" t="s">
        <v>1920</v>
      </c>
      <c r="C208" s="51" t="s">
        <v>27</v>
      </c>
      <c r="D208" s="43" t="s">
        <v>2758</v>
      </c>
      <c r="E208" s="62" t="s">
        <v>17</v>
      </c>
      <c r="F208" s="53" t="s">
        <v>1936</v>
      </c>
      <c r="G208" s="51"/>
      <c r="H208" s="51" t="s">
        <v>20</v>
      </c>
      <c r="I208" s="99" t="s">
        <v>60</v>
      </c>
      <c r="J208" s="43" t="s">
        <v>3680</v>
      </c>
      <c r="K208" s="95" t="s">
        <v>3663</v>
      </c>
      <c r="L208" s="43" t="s">
        <v>211</v>
      </c>
      <c r="M208" s="62" t="s">
        <v>955</v>
      </c>
      <c r="N208" s="62" t="s">
        <v>955</v>
      </c>
      <c r="O208" s="62"/>
      <c r="P208" s="62"/>
      <c r="Q208" s="62">
        <v>40314</v>
      </c>
      <c r="R208" s="43"/>
      <c r="S208" s="51"/>
      <c r="T208" s="51"/>
      <c r="U208" s="52"/>
      <c r="V208" s="52"/>
      <c r="W208" s="52"/>
      <c r="X208" s="75">
        <v>43195</v>
      </c>
      <c r="Y208" s="51" t="s">
        <v>27</v>
      </c>
      <c r="Z208" s="51" t="s">
        <v>27</v>
      </c>
      <c r="AA208" s="51" t="s">
        <v>27</v>
      </c>
      <c r="AB208" s="51"/>
      <c r="AC208" s="169"/>
    </row>
    <row r="209" spans="1:29" ht="15" hidden="1" customHeight="1">
      <c r="A209" s="51" t="s">
        <v>0</v>
      </c>
      <c r="B209" s="51" t="s">
        <v>1921</v>
      </c>
      <c r="C209" s="51" t="s">
        <v>27</v>
      </c>
      <c r="D209" s="43" t="s">
        <v>2758</v>
      </c>
      <c r="E209" s="62" t="s">
        <v>17</v>
      </c>
      <c r="F209" s="53" t="s">
        <v>1937</v>
      </c>
      <c r="G209" s="51" t="s">
        <v>2150</v>
      </c>
      <c r="H209" s="51" t="s">
        <v>20</v>
      </c>
      <c r="I209" s="99" t="s">
        <v>60</v>
      </c>
      <c r="J209" s="43" t="s">
        <v>3680</v>
      </c>
      <c r="K209" s="95" t="s">
        <v>3663</v>
      </c>
      <c r="L209" s="43" t="s">
        <v>211</v>
      </c>
      <c r="M209" s="62" t="s">
        <v>955</v>
      </c>
      <c r="N209" s="62" t="s">
        <v>955</v>
      </c>
      <c r="O209" s="62"/>
      <c r="P209" s="62"/>
      <c r="Q209" s="62">
        <v>40315</v>
      </c>
      <c r="R209" s="43"/>
      <c r="S209" s="51"/>
      <c r="T209" s="51"/>
      <c r="U209" s="52"/>
      <c r="V209" s="52"/>
      <c r="W209" s="52"/>
      <c r="X209" s="75">
        <v>43195</v>
      </c>
      <c r="Y209" s="51" t="s">
        <v>27</v>
      </c>
      <c r="Z209" s="51" t="s">
        <v>27</v>
      </c>
      <c r="AA209" s="51" t="s">
        <v>27</v>
      </c>
      <c r="AB209" s="51"/>
      <c r="AC209" s="169"/>
    </row>
    <row r="210" spans="1:29" ht="15" hidden="1" customHeight="1">
      <c r="A210" s="51" t="s">
        <v>0</v>
      </c>
      <c r="B210" s="51" t="s">
        <v>1922</v>
      </c>
      <c r="C210" s="51" t="s">
        <v>27</v>
      </c>
      <c r="D210" s="43" t="s">
        <v>2758</v>
      </c>
      <c r="E210" s="62" t="s">
        <v>17</v>
      </c>
      <c r="F210" s="53" t="s">
        <v>1938</v>
      </c>
      <c r="G210" s="51" t="s">
        <v>2150</v>
      </c>
      <c r="H210" s="51" t="s">
        <v>20</v>
      </c>
      <c r="I210" s="99" t="s">
        <v>60</v>
      </c>
      <c r="J210" s="43" t="s">
        <v>3671</v>
      </c>
      <c r="K210" s="95" t="s">
        <v>3663</v>
      </c>
      <c r="L210" s="43" t="s">
        <v>211</v>
      </c>
      <c r="M210" s="62" t="s">
        <v>955</v>
      </c>
      <c r="N210" s="62" t="s">
        <v>955</v>
      </c>
      <c r="O210" s="62"/>
      <c r="P210" s="62"/>
      <c r="Q210" s="62">
        <v>40316</v>
      </c>
      <c r="R210" s="43"/>
      <c r="S210" s="51"/>
      <c r="T210" s="51"/>
      <c r="U210" s="52"/>
      <c r="V210" s="52"/>
      <c r="W210" s="52"/>
      <c r="X210" s="75">
        <v>43195</v>
      </c>
      <c r="Y210" s="51" t="s">
        <v>27</v>
      </c>
      <c r="Z210" s="51" t="s">
        <v>27</v>
      </c>
      <c r="AA210" s="51" t="s">
        <v>27</v>
      </c>
      <c r="AB210" s="51"/>
      <c r="AC210" s="169"/>
    </row>
    <row r="211" spans="1:29" ht="15" hidden="1" customHeight="1">
      <c r="A211" s="51" t="s">
        <v>0</v>
      </c>
      <c r="B211" s="51" t="s">
        <v>1923</v>
      </c>
      <c r="C211" s="51" t="s">
        <v>22</v>
      </c>
      <c r="D211" s="43" t="s">
        <v>2758</v>
      </c>
      <c r="E211" s="62" t="s">
        <v>17</v>
      </c>
      <c r="F211" s="53" t="s">
        <v>1939</v>
      </c>
      <c r="G211" s="51"/>
      <c r="H211" s="51" t="s">
        <v>20</v>
      </c>
      <c r="I211" s="99" t="s">
        <v>60</v>
      </c>
      <c r="J211" s="43" t="s">
        <v>3680</v>
      </c>
      <c r="K211" s="95" t="s">
        <v>3663</v>
      </c>
      <c r="L211" s="43" t="s">
        <v>211</v>
      </c>
      <c r="M211" s="62" t="s">
        <v>955</v>
      </c>
      <c r="N211" s="62" t="s">
        <v>955</v>
      </c>
      <c r="O211" s="62"/>
      <c r="P211" s="62"/>
      <c r="Q211" s="62">
        <v>40317</v>
      </c>
      <c r="R211" s="43"/>
      <c r="S211" s="51"/>
      <c r="T211" s="51"/>
      <c r="U211" s="52"/>
      <c r="V211" s="52"/>
      <c r="W211" s="52"/>
      <c r="X211" s="75">
        <v>43195</v>
      </c>
      <c r="Y211" s="51" t="s">
        <v>27</v>
      </c>
      <c r="Z211" s="51" t="s">
        <v>27</v>
      </c>
      <c r="AA211" s="51" t="s">
        <v>27</v>
      </c>
      <c r="AB211" s="51"/>
      <c r="AC211" s="169" t="s">
        <v>4405</v>
      </c>
    </row>
    <row r="212" spans="1:29" ht="15" hidden="1" customHeight="1">
      <c r="A212" s="51" t="s">
        <v>0</v>
      </c>
      <c r="B212" s="51" t="s">
        <v>1924</v>
      </c>
      <c r="C212" s="51" t="s">
        <v>22</v>
      </c>
      <c r="D212" s="43" t="s">
        <v>2758</v>
      </c>
      <c r="E212" s="62" t="s">
        <v>17</v>
      </c>
      <c r="F212" s="53" t="s">
        <v>1940</v>
      </c>
      <c r="G212" s="51" t="s">
        <v>2147</v>
      </c>
      <c r="H212" s="51" t="s">
        <v>20</v>
      </c>
      <c r="I212" s="99" t="s">
        <v>60</v>
      </c>
      <c r="J212" s="43" t="s">
        <v>3680</v>
      </c>
      <c r="K212" s="95" t="s">
        <v>3663</v>
      </c>
      <c r="L212" s="43" t="s">
        <v>211</v>
      </c>
      <c r="M212" s="62" t="s">
        <v>955</v>
      </c>
      <c r="N212" s="62" t="s">
        <v>955</v>
      </c>
      <c r="O212" s="62"/>
      <c r="P212" s="62"/>
      <c r="Q212" s="62">
        <v>40318</v>
      </c>
      <c r="R212" s="43"/>
      <c r="S212" s="51"/>
      <c r="T212" s="51">
        <v>9513388114</v>
      </c>
      <c r="U212" s="52">
        <v>440152254844</v>
      </c>
      <c r="V212" s="52">
        <v>440152254844</v>
      </c>
      <c r="W212" s="52">
        <v>8660690664</v>
      </c>
      <c r="X212" s="75">
        <v>43195</v>
      </c>
      <c r="Y212" s="51" t="s">
        <v>27</v>
      </c>
      <c r="Z212" s="51" t="s">
        <v>27</v>
      </c>
      <c r="AA212" s="51" t="s">
        <v>27</v>
      </c>
      <c r="AB212" s="51"/>
      <c r="AC212" s="169" t="s">
        <v>4405</v>
      </c>
    </row>
    <row r="213" spans="1:29" ht="15" hidden="1" customHeight="1">
      <c r="A213" s="51" t="s">
        <v>0</v>
      </c>
      <c r="B213" s="51" t="s">
        <v>1925</v>
      </c>
      <c r="C213" s="51" t="s">
        <v>27</v>
      </c>
      <c r="D213" s="51" t="s">
        <v>25</v>
      </c>
      <c r="E213" s="62" t="s">
        <v>17</v>
      </c>
      <c r="F213" s="53" t="s">
        <v>1941</v>
      </c>
      <c r="G213" s="51" t="s">
        <v>2147</v>
      </c>
      <c r="H213" s="51" t="s">
        <v>20</v>
      </c>
      <c r="I213" s="99" t="s">
        <v>60</v>
      </c>
      <c r="J213" s="43" t="s">
        <v>3680</v>
      </c>
      <c r="K213" s="95" t="s">
        <v>3663</v>
      </c>
      <c r="L213" s="43" t="s">
        <v>211</v>
      </c>
      <c r="M213" s="62" t="s">
        <v>955</v>
      </c>
      <c r="N213" s="62" t="s">
        <v>955</v>
      </c>
      <c r="O213" s="62" t="s">
        <v>3639</v>
      </c>
      <c r="P213" s="62"/>
      <c r="Q213" s="62">
        <v>40319</v>
      </c>
      <c r="R213" s="43"/>
      <c r="S213" s="51"/>
      <c r="T213" s="51">
        <v>9513388114</v>
      </c>
      <c r="U213" s="52">
        <v>440152254849</v>
      </c>
      <c r="V213" s="52">
        <v>440152254849</v>
      </c>
      <c r="W213" s="52">
        <v>8660690664</v>
      </c>
      <c r="X213" s="75">
        <v>43195</v>
      </c>
      <c r="Y213" s="51" t="s">
        <v>27</v>
      </c>
      <c r="Z213" s="51" t="s">
        <v>27</v>
      </c>
      <c r="AA213" s="51" t="s">
        <v>27</v>
      </c>
      <c r="AB213" s="51"/>
      <c r="AC213" s="169"/>
    </row>
    <row r="214" spans="1:29" ht="15" hidden="1" customHeight="1">
      <c r="A214" s="51" t="s">
        <v>0</v>
      </c>
      <c r="B214" s="51" t="s">
        <v>1926</v>
      </c>
      <c r="C214" s="51" t="s">
        <v>27</v>
      </c>
      <c r="D214" s="51" t="s">
        <v>25</v>
      </c>
      <c r="E214" s="62" t="s">
        <v>17</v>
      </c>
      <c r="F214" s="53" t="s">
        <v>1942</v>
      </c>
      <c r="G214" s="51" t="s">
        <v>2152</v>
      </c>
      <c r="H214" s="51" t="s">
        <v>20</v>
      </c>
      <c r="I214" s="99" t="s">
        <v>60</v>
      </c>
      <c r="J214" s="43" t="s">
        <v>3680</v>
      </c>
      <c r="K214" s="95" t="s">
        <v>3663</v>
      </c>
      <c r="L214" s="43" t="s">
        <v>211</v>
      </c>
      <c r="M214" s="62" t="s">
        <v>955</v>
      </c>
      <c r="N214" s="62" t="s">
        <v>955</v>
      </c>
      <c r="O214" s="62" t="s">
        <v>3639</v>
      </c>
      <c r="P214" s="62"/>
      <c r="Q214" s="62">
        <v>40320</v>
      </c>
      <c r="R214" s="43"/>
      <c r="S214" s="51"/>
      <c r="T214" s="51">
        <v>9513388114</v>
      </c>
      <c r="U214" s="52">
        <v>440152254849</v>
      </c>
      <c r="V214" s="52">
        <v>440152254849</v>
      </c>
      <c r="W214" s="52">
        <v>8660690664</v>
      </c>
      <c r="X214" s="75">
        <v>43195</v>
      </c>
      <c r="Y214" s="51" t="s">
        <v>27</v>
      </c>
      <c r="Z214" s="51" t="s">
        <v>27</v>
      </c>
      <c r="AA214" s="51" t="s">
        <v>27</v>
      </c>
      <c r="AB214" s="51"/>
      <c r="AC214" s="169"/>
    </row>
    <row r="215" spans="1:29" ht="15" hidden="1" customHeight="1">
      <c r="A215" s="51" t="s">
        <v>0</v>
      </c>
      <c r="B215" s="51" t="s">
        <v>1927</v>
      </c>
      <c r="C215" s="51" t="s">
        <v>27</v>
      </c>
      <c r="D215" s="51" t="s">
        <v>2761</v>
      </c>
      <c r="E215" s="62" t="s">
        <v>17</v>
      </c>
      <c r="F215" s="53" t="s">
        <v>1943</v>
      </c>
      <c r="G215" s="51" t="s">
        <v>2147</v>
      </c>
      <c r="H215" s="51" t="s">
        <v>20</v>
      </c>
      <c r="I215" s="99" t="s">
        <v>60</v>
      </c>
      <c r="J215" s="43" t="s">
        <v>3680</v>
      </c>
      <c r="K215" s="95" t="s">
        <v>3663</v>
      </c>
      <c r="L215" s="43" t="s">
        <v>211</v>
      </c>
      <c r="M215" s="62" t="s">
        <v>955</v>
      </c>
      <c r="N215" s="62" t="s">
        <v>955</v>
      </c>
      <c r="O215" s="62" t="s">
        <v>3639</v>
      </c>
      <c r="P215" s="62"/>
      <c r="Q215" s="62">
        <v>40321</v>
      </c>
      <c r="R215" s="43"/>
      <c r="S215" s="51"/>
      <c r="T215" s="51">
        <v>9916333126</v>
      </c>
      <c r="U215" s="52">
        <v>440152254835</v>
      </c>
      <c r="V215" s="52">
        <v>440152254835</v>
      </c>
      <c r="W215" s="52">
        <v>8660691493</v>
      </c>
      <c r="X215" s="75">
        <v>43195</v>
      </c>
      <c r="Y215" s="51" t="s">
        <v>27</v>
      </c>
      <c r="Z215" s="51" t="s">
        <v>27</v>
      </c>
      <c r="AA215" s="51" t="s">
        <v>27</v>
      </c>
      <c r="AB215" s="51"/>
      <c r="AC215" s="169"/>
    </row>
    <row r="216" spans="1:29" ht="15" hidden="1" customHeight="1">
      <c r="A216" s="51" t="s">
        <v>0</v>
      </c>
      <c r="B216" s="51" t="s">
        <v>1928</v>
      </c>
      <c r="C216" s="51" t="s">
        <v>27</v>
      </c>
      <c r="D216" s="51" t="s">
        <v>25</v>
      </c>
      <c r="E216" s="62" t="s">
        <v>17</v>
      </c>
      <c r="F216" s="53" t="s">
        <v>1944</v>
      </c>
      <c r="G216" s="51" t="s">
        <v>2147</v>
      </c>
      <c r="H216" s="51" t="s">
        <v>20</v>
      </c>
      <c r="I216" s="99" t="s">
        <v>60</v>
      </c>
      <c r="J216" s="43" t="s">
        <v>3680</v>
      </c>
      <c r="K216" s="95" t="s">
        <v>3663</v>
      </c>
      <c r="L216" s="43" t="s">
        <v>211</v>
      </c>
      <c r="M216" s="62" t="s">
        <v>955</v>
      </c>
      <c r="N216" s="62" t="s">
        <v>955</v>
      </c>
      <c r="O216" s="62" t="s">
        <v>3639</v>
      </c>
      <c r="P216" s="62"/>
      <c r="Q216" s="62">
        <v>40322</v>
      </c>
      <c r="R216" s="43"/>
      <c r="S216" s="51"/>
      <c r="T216" s="51"/>
      <c r="U216" s="52"/>
      <c r="V216" s="52"/>
      <c r="W216" s="52"/>
      <c r="X216" s="75">
        <v>43195</v>
      </c>
      <c r="Y216" s="51" t="s">
        <v>27</v>
      </c>
      <c r="Z216" s="51" t="s">
        <v>27</v>
      </c>
      <c r="AA216" s="51" t="s">
        <v>27</v>
      </c>
      <c r="AB216" s="51"/>
      <c r="AC216" s="169"/>
    </row>
    <row r="217" spans="1:29" ht="15" customHeight="1">
      <c r="A217" s="51" t="s">
        <v>0</v>
      </c>
      <c r="B217" s="51" t="s">
        <v>1929</v>
      </c>
      <c r="C217" s="51" t="s">
        <v>27</v>
      </c>
      <c r="D217" s="51" t="s">
        <v>2761</v>
      </c>
      <c r="E217" s="62" t="s">
        <v>17</v>
      </c>
      <c r="F217" s="53" t="s">
        <v>1945</v>
      </c>
      <c r="G217" s="51" t="s">
        <v>2152</v>
      </c>
      <c r="H217" s="51" t="s">
        <v>3084</v>
      </c>
      <c r="I217" s="99" t="s">
        <v>60</v>
      </c>
      <c r="J217" s="43" t="s">
        <v>3686</v>
      </c>
      <c r="K217" s="95" t="s">
        <v>2651</v>
      </c>
      <c r="L217" s="43" t="s">
        <v>5368</v>
      </c>
      <c r="M217" s="62" t="s">
        <v>955</v>
      </c>
      <c r="N217" s="62" t="s">
        <v>955</v>
      </c>
      <c r="O217" s="62" t="s">
        <v>3639</v>
      </c>
      <c r="P217" s="62"/>
      <c r="Q217" s="62">
        <v>40323</v>
      </c>
      <c r="R217" s="43"/>
      <c r="S217" s="51"/>
      <c r="T217" s="51"/>
      <c r="U217" s="52"/>
      <c r="V217" s="52"/>
      <c r="W217" s="52"/>
      <c r="X217" s="75">
        <v>43195</v>
      </c>
      <c r="Y217" s="51" t="s">
        <v>27</v>
      </c>
      <c r="Z217" s="51" t="s">
        <v>27</v>
      </c>
      <c r="AA217" s="51" t="s">
        <v>27</v>
      </c>
      <c r="AB217" s="51"/>
      <c r="AC217" s="51" t="s">
        <v>6867</v>
      </c>
    </row>
    <row r="218" spans="1:29" ht="15" hidden="1" customHeight="1">
      <c r="A218" s="51" t="s">
        <v>0</v>
      </c>
      <c r="B218" s="51" t="s">
        <v>1930</v>
      </c>
      <c r="C218" s="51" t="s">
        <v>27</v>
      </c>
      <c r="D218" s="43" t="s">
        <v>2758</v>
      </c>
      <c r="E218" s="62" t="s">
        <v>17</v>
      </c>
      <c r="F218" s="53" t="s">
        <v>1946</v>
      </c>
      <c r="G218" s="51" t="s">
        <v>2146</v>
      </c>
      <c r="H218" s="51" t="s">
        <v>20</v>
      </c>
      <c r="I218" s="99" t="s">
        <v>60</v>
      </c>
      <c r="J218" s="43" t="s">
        <v>3680</v>
      </c>
      <c r="K218" s="95" t="s">
        <v>3663</v>
      </c>
      <c r="L218" s="43" t="s">
        <v>211</v>
      </c>
      <c r="M218" s="62" t="s">
        <v>955</v>
      </c>
      <c r="N218" s="62" t="s">
        <v>955</v>
      </c>
      <c r="O218" s="62"/>
      <c r="P218" s="62"/>
      <c r="Q218" s="62">
        <v>40324</v>
      </c>
      <c r="R218" s="43"/>
      <c r="S218" s="51"/>
      <c r="T218" s="51"/>
      <c r="U218" s="52"/>
      <c r="V218" s="52"/>
      <c r="W218" s="52"/>
      <c r="X218" s="75">
        <v>43195</v>
      </c>
      <c r="Y218" s="51" t="s">
        <v>27</v>
      </c>
      <c r="Z218" s="51" t="s">
        <v>27</v>
      </c>
      <c r="AA218" s="51" t="s">
        <v>27</v>
      </c>
      <c r="AB218" s="51"/>
      <c r="AC218" s="169"/>
    </row>
    <row r="219" spans="1:29" ht="15" hidden="1" customHeight="1">
      <c r="A219" s="51" t="s">
        <v>0</v>
      </c>
      <c r="B219" s="51" t="s">
        <v>1931</v>
      </c>
      <c r="C219" s="51" t="s">
        <v>22</v>
      </c>
      <c r="D219" s="51" t="s">
        <v>25</v>
      </c>
      <c r="E219" s="62" t="s">
        <v>17</v>
      </c>
      <c r="F219" s="98" t="s">
        <v>1947</v>
      </c>
      <c r="G219" s="51" t="s">
        <v>2148</v>
      </c>
      <c r="H219" s="51" t="s">
        <v>20</v>
      </c>
      <c r="I219" s="99" t="s">
        <v>60</v>
      </c>
      <c r="J219" s="43" t="s">
        <v>3680</v>
      </c>
      <c r="K219" s="95" t="s">
        <v>3663</v>
      </c>
      <c r="L219" s="43" t="s">
        <v>211</v>
      </c>
      <c r="M219" s="62" t="s">
        <v>955</v>
      </c>
      <c r="N219" s="62" t="s">
        <v>955</v>
      </c>
      <c r="O219" s="62" t="s">
        <v>3639</v>
      </c>
      <c r="P219" s="62"/>
      <c r="Q219" s="62">
        <v>40325</v>
      </c>
      <c r="R219" s="43"/>
      <c r="S219" s="51"/>
      <c r="T219" s="51"/>
      <c r="U219" s="52"/>
      <c r="V219" s="52"/>
      <c r="W219" s="52"/>
      <c r="X219" s="75">
        <v>43195</v>
      </c>
      <c r="Y219" s="51" t="s">
        <v>27</v>
      </c>
      <c r="Z219" s="51" t="s">
        <v>27</v>
      </c>
      <c r="AA219" s="51" t="s">
        <v>27</v>
      </c>
      <c r="AB219" s="51"/>
      <c r="AC219" s="169" t="s">
        <v>4406</v>
      </c>
    </row>
    <row r="220" spans="1:29" ht="15" hidden="1" customHeight="1">
      <c r="A220" s="51" t="s">
        <v>0</v>
      </c>
      <c r="B220" s="51" t="s">
        <v>1932</v>
      </c>
      <c r="C220" s="51" t="s">
        <v>27</v>
      </c>
      <c r="D220" s="51" t="s">
        <v>2758</v>
      </c>
      <c r="E220" s="62" t="s">
        <v>17</v>
      </c>
      <c r="F220" s="98" t="s">
        <v>1948</v>
      </c>
      <c r="G220" s="51" t="s">
        <v>2149</v>
      </c>
      <c r="H220" s="51" t="s">
        <v>20</v>
      </c>
      <c r="I220" s="99" t="s">
        <v>60</v>
      </c>
      <c r="J220" s="51" t="s">
        <v>3201</v>
      </c>
      <c r="K220" s="95" t="s">
        <v>3664</v>
      </c>
      <c r="L220" s="43" t="s">
        <v>211</v>
      </c>
      <c r="M220" s="62" t="s">
        <v>955</v>
      </c>
      <c r="N220" s="62" t="s">
        <v>955</v>
      </c>
      <c r="O220" s="62"/>
      <c r="P220" s="62"/>
      <c r="Q220" s="62">
        <v>40326</v>
      </c>
      <c r="R220" s="43"/>
      <c r="S220" s="51"/>
      <c r="T220" s="51"/>
      <c r="U220" s="52"/>
      <c r="V220" s="52"/>
      <c r="W220" s="52"/>
      <c r="X220" s="75">
        <v>43195</v>
      </c>
      <c r="Y220" s="51" t="s">
        <v>27</v>
      </c>
      <c r="Z220" s="51" t="s">
        <v>27</v>
      </c>
      <c r="AA220" s="51" t="s">
        <v>27</v>
      </c>
      <c r="AB220" s="51"/>
      <c r="AC220" s="169"/>
    </row>
    <row r="221" spans="1:29" ht="15" hidden="1" customHeight="1">
      <c r="A221" s="51" t="s">
        <v>0</v>
      </c>
      <c r="B221" s="51" t="s">
        <v>2272</v>
      </c>
      <c r="C221" s="51" t="s">
        <v>22</v>
      </c>
      <c r="D221" s="51"/>
      <c r="E221" s="62" t="s">
        <v>17</v>
      </c>
      <c r="F221" s="143" t="s">
        <v>109</v>
      </c>
      <c r="G221" s="51"/>
      <c r="H221" s="51"/>
      <c r="I221" s="51"/>
      <c r="J221" s="51"/>
      <c r="K221" s="212"/>
      <c r="L221" s="43" t="s">
        <v>211</v>
      </c>
      <c r="M221" s="51" t="s">
        <v>22</v>
      </c>
      <c r="N221" s="62" t="s">
        <v>22</v>
      </c>
      <c r="O221" s="51"/>
      <c r="P221" s="112"/>
      <c r="Q221" s="112">
        <v>40288</v>
      </c>
      <c r="R221" s="43"/>
      <c r="S221" s="51"/>
      <c r="T221" s="51"/>
      <c r="U221" s="51"/>
      <c r="V221" s="51"/>
      <c r="W221" s="51"/>
      <c r="X221" s="75">
        <v>43216</v>
      </c>
      <c r="Y221" s="51" t="s">
        <v>27</v>
      </c>
      <c r="Z221" s="51" t="s">
        <v>27</v>
      </c>
      <c r="AA221" s="51" t="s">
        <v>27</v>
      </c>
      <c r="AB221" s="51"/>
      <c r="AC221" s="169"/>
    </row>
    <row r="222" spans="1:29" ht="15" hidden="1" customHeight="1">
      <c r="A222" s="51" t="s">
        <v>0</v>
      </c>
      <c r="B222" s="51" t="s">
        <v>632</v>
      </c>
      <c r="C222" s="51"/>
      <c r="D222" s="108"/>
      <c r="E222" s="62" t="s">
        <v>17</v>
      </c>
      <c r="F222" s="108" t="s">
        <v>633</v>
      </c>
      <c r="G222" s="51"/>
      <c r="H222" s="51" t="s">
        <v>96</v>
      </c>
      <c r="I222" s="51" t="s">
        <v>21</v>
      </c>
      <c r="J222" s="51" t="s">
        <v>24</v>
      </c>
      <c r="K222" s="43" t="s">
        <v>26</v>
      </c>
      <c r="L222" s="51" t="s">
        <v>763</v>
      </c>
      <c r="M222" s="51" t="s">
        <v>22</v>
      </c>
      <c r="N222" s="62" t="s">
        <v>22</v>
      </c>
      <c r="O222" s="51"/>
      <c r="P222" s="112"/>
      <c r="Q222" s="112"/>
      <c r="R222" s="51"/>
      <c r="S222" s="51"/>
      <c r="T222" s="51"/>
      <c r="U222" s="51"/>
      <c r="V222" s="51"/>
      <c r="W222" s="62"/>
      <c r="X222" s="75">
        <v>43224</v>
      </c>
      <c r="Y222" s="51" t="s">
        <v>27</v>
      </c>
      <c r="Z222" s="51" t="s">
        <v>27</v>
      </c>
      <c r="AA222" s="51" t="s">
        <v>27</v>
      </c>
      <c r="AB222" s="51"/>
      <c r="AC222" s="169"/>
    </row>
    <row r="223" spans="1:29" ht="15" hidden="1" customHeight="1">
      <c r="A223" s="51" t="s">
        <v>0</v>
      </c>
      <c r="B223" s="51" t="s">
        <v>724</v>
      </c>
      <c r="C223" s="51"/>
      <c r="D223" s="108"/>
      <c r="E223" s="62" t="s">
        <v>17</v>
      </c>
      <c r="F223" s="108" t="s">
        <v>725</v>
      </c>
      <c r="G223" s="51"/>
      <c r="H223" s="51" t="s">
        <v>96</v>
      </c>
      <c r="I223" s="51" t="s">
        <v>21</v>
      </c>
      <c r="J223" s="51" t="s">
        <v>24</v>
      </c>
      <c r="K223" s="43" t="s">
        <v>26</v>
      </c>
      <c r="L223" s="51" t="s">
        <v>1795</v>
      </c>
      <c r="M223" s="51" t="s">
        <v>22</v>
      </c>
      <c r="N223" s="62" t="s">
        <v>22</v>
      </c>
      <c r="O223" s="51"/>
      <c r="P223" s="112"/>
      <c r="Q223" s="112"/>
      <c r="R223" s="51"/>
      <c r="S223" s="51"/>
      <c r="T223" s="51"/>
      <c r="U223" s="51"/>
      <c r="V223" s="51"/>
      <c r="W223" s="62"/>
      <c r="X223" s="75">
        <v>43224</v>
      </c>
      <c r="Y223" s="51" t="s">
        <v>27</v>
      </c>
      <c r="Z223" s="51" t="s">
        <v>27</v>
      </c>
      <c r="AA223" s="51" t="s">
        <v>27</v>
      </c>
      <c r="AB223" s="51"/>
      <c r="AC223" s="169"/>
    </row>
    <row r="224" spans="1:29" ht="15" hidden="1" customHeight="1">
      <c r="A224" s="51" t="s">
        <v>0</v>
      </c>
      <c r="B224" s="51" t="s">
        <v>2261</v>
      </c>
      <c r="C224" s="51"/>
      <c r="D224" s="108"/>
      <c r="E224" s="62" t="s">
        <v>17</v>
      </c>
      <c r="F224" s="108" t="s">
        <v>2265</v>
      </c>
      <c r="G224" s="51"/>
      <c r="H224" s="51" t="s">
        <v>96</v>
      </c>
      <c r="I224" s="51" t="s">
        <v>21</v>
      </c>
      <c r="J224" s="51" t="s">
        <v>24</v>
      </c>
      <c r="K224" s="43" t="s">
        <v>26</v>
      </c>
      <c r="L224" s="51" t="s">
        <v>763</v>
      </c>
      <c r="M224" s="51" t="s">
        <v>22</v>
      </c>
      <c r="N224" s="62" t="s">
        <v>22</v>
      </c>
      <c r="O224" s="51"/>
      <c r="P224" s="112"/>
      <c r="Q224" s="112"/>
      <c r="R224" s="51"/>
      <c r="S224" s="51"/>
      <c r="T224" s="51"/>
      <c r="U224" s="51"/>
      <c r="V224" s="51"/>
      <c r="W224" s="62"/>
      <c r="X224" s="75">
        <v>43224</v>
      </c>
      <c r="Y224" s="51" t="s">
        <v>27</v>
      </c>
      <c r="Z224" s="51" t="s">
        <v>27</v>
      </c>
      <c r="AA224" s="51" t="s">
        <v>27</v>
      </c>
      <c r="AB224" s="51"/>
      <c r="AC224" s="169"/>
    </row>
    <row r="225" spans="1:29" ht="15" hidden="1" customHeight="1">
      <c r="A225" s="51" t="s">
        <v>0</v>
      </c>
      <c r="B225" s="51" t="s">
        <v>2262</v>
      </c>
      <c r="C225" s="51"/>
      <c r="D225" s="108"/>
      <c r="E225" s="62" t="s">
        <v>17</v>
      </c>
      <c r="F225" s="108" t="s">
        <v>2266</v>
      </c>
      <c r="G225" s="51"/>
      <c r="H225" s="51" t="s">
        <v>96</v>
      </c>
      <c r="I225" s="51" t="s">
        <v>21</v>
      </c>
      <c r="J225" s="51" t="s">
        <v>24</v>
      </c>
      <c r="K225" s="43" t="s">
        <v>26</v>
      </c>
      <c r="L225" s="51" t="s">
        <v>763</v>
      </c>
      <c r="M225" s="51" t="s">
        <v>22</v>
      </c>
      <c r="N225" s="62" t="s">
        <v>22</v>
      </c>
      <c r="O225" s="51"/>
      <c r="P225" s="112"/>
      <c r="Q225" s="112"/>
      <c r="R225" s="51"/>
      <c r="S225" s="51"/>
      <c r="T225" s="51"/>
      <c r="U225" s="51"/>
      <c r="V225" s="51"/>
      <c r="W225" s="62"/>
      <c r="X225" s="75">
        <v>43224</v>
      </c>
      <c r="Y225" s="51" t="s">
        <v>27</v>
      </c>
      <c r="Z225" s="51" t="s">
        <v>27</v>
      </c>
      <c r="AA225" s="51" t="s">
        <v>27</v>
      </c>
      <c r="AB225" s="51"/>
      <c r="AC225" s="169"/>
    </row>
    <row r="226" spans="1:29" ht="15" hidden="1" customHeight="1">
      <c r="A226" s="51" t="s">
        <v>0</v>
      </c>
      <c r="B226" s="51" t="s">
        <v>662</v>
      </c>
      <c r="C226" s="51"/>
      <c r="D226" s="108"/>
      <c r="E226" s="62" t="s">
        <v>17</v>
      </c>
      <c r="F226" s="108" t="s">
        <v>663</v>
      </c>
      <c r="G226" s="51"/>
      <c r="H226" s="51" t="s">
        <v>96</v>
      </c>
      <c r="I226" s="51" t="s">
        <v>21</v>
      </c>
      <c r="J226" s="51" t="s">
        <v>24</v>
      </c>
      <c r="K226" s="43" t="s">
        <v>26</v>
      </c>
      <c r="L226" s="51" t="s">
        <v>763</v>
      </c>
      <c r="M226" s="51" t="s">
        <v>22</v>
      </c>
      <c r="N226" s="62" t="s">
        <v>22</v>
      </c>
      <c r="O226" s="51"/>
      <c r="P226" s="112"/>
      <c r="Q226" s="112"/>
      <c r="R226" s="51"/>
      <c r="S226" s="51"/>
      <c r="T226" s="51"/>
      <c r="U226" s="51"/>
      <c r="V226" s="51"/>
      <c r="W226" s="62"/>
      <c r="X226" s="75">
        <v>43224</v>
      </c>
      <c r="Y226" s="51" t="s">
        <v>27</v>
      </c>
      <c r="Z226" s="51" t="s">
        <v>27</v>
      </c>
      <c r="AA226" s="51" t="s">
        <v>27</v>
      </c>
      <c r="AB226" s="51"/>
      <c r="AC226" s="169"/>
    </row>
    <row r="227" spans="1:29" ht="15" hidden="1" customHeight="1">
      <c r="A227" s="51" t="s">
        <v>0</v>
      </c>
      <c r="B227" s="51" t="s">
        <v>659</v>
      </c>
      <c r="C227" s="51"/>
      <c r="D227" s="108"/>
      <c r="E227" s="62" t="s">
        <v>17</v>
      </c>
      <c r="F227" s="108" t="s">
        <v>660</v>
      </c>
      <c r="G227" s="51"/>
      <c r="H227" s="51" t="s">
        <v>96</v>
      </c>
      <c r="I227" s="51" t="s">
        <v>21</v>
      </c>
      <c r="J227" s="51" t="s">
        <v>24</v>
      </c>
      <c r="K227" s="43" t="s">
        <v>26</v>
      </c>
      <c r="L227" s="51" t="s">
        <v>763</v>
      </c>
      <c r="M227" s="51" t="s">
        <v>22</v>
      </c>
      <c r="N227" s="62" t="s">
        <v>22</v>
      </c>
      <c r="O227" s="51"/>
      <c r="P227" s="112"/>
      <c r="Q227" s="112"/>
      <c r="R227" s="51"/>
      <c r="S227" s="51"/>
      <c r="T227" s="51"/>
      <c r="U227" s="51"/>
      <c r="V227" s="51"/>
      <c r="W227" s="62"/>
      <c r="X227" s="75">
        <v>43224</v>
      </c>
      <c r="Y227" s="51" t="s">
        <v>27</v>
      </c>
      <c r="Z227" s="51" t="s">
        <v>27</v>
      </c>
      <c r="AA227" s="51" t="s">
        <v>27</v>
      </c>
      <c r="AB227" s="51"/>
      <c r="AC227" s="169"/>
    </row>
    <row r="228" spans="1:29" ht="15" hidden="1" customHeight="1">
      <c r="A228" s="51" t="s">
        <v>0</v>
      </c>
      <c r="B228" s="51" t="s">
        <v>2263</v>
      </c>
      <c r="C228" s="51"/>
      <c r="D228" s="108"/>
      <c r="E228" s="62" t="s">
        <v>17</v>
      </c>
      <c r="F228" s="108" t="s">
        <v>2267</v>
      </c>
      <c r="G228" s="51"/>
      <c r="H228" s="51" t="s">
        <v>96</v>
      </c>
      <c r="I228" s="51" t="s">
        <v>21</v>
      </c>
      <c r="J228" s="51" t="s">
        <v>24</v>
      </c>
      <c r="K228" s="43" t="s">
        <v>26</v>
      </c>
      <c r="L228" s="51" t="s">
        <v>763</v>
      </c>
      <c r="M228" s="51" t="s">
        <v>22</v>
      </c>
      <c r="N228" s="62" t="s">
        <v>22</v>
      </c>
      <c r="O228" s="51"/>
      <c r="P228" s="112"/>
      <c r="Q228" s="112"/>
      <c r="R228" s="51"/>
      <c r="S228" s="51"/>
      <c r="T228" s="51"/>
      <c r="U228" s="51"/>
      <c r="V228" s="51"/>
      <c r="W228" s="62"/>
      <c r="X228" s="75">
        <v>43224</v>
      </c>
      <c r="Y228" s="51" t="s">
        <v>27</v>
      </c>
      <c r="Z228" s="51" t="s">
        <v>27</v>
      </c>
      <c r="AA228" s="51" t="s">
        <v>27</v>
      </c>
      <c r="AB228" s="51"/>
      <c r="AC228" s="169"/>
    </row>
    <row r="229" spans="1:29" ht="15" hidden="1" customHeight="1">
      <c r="A229" s="51" t="s">
        <v>0</v>
      </c>
      <c r="B229" s="51" t="s">
        <v>2264</v>
      </c>
      <c r="C229" s="51"/>
      <c r="D229" s="108"/>
      <c r="E229" s="62" t="s">
        <v>17</v>
      </c>
      <c r="F229" s="108" t="s">
        <v>2268</v>
      </c>
      <c r="G229" s="51"/>
      <c r="H229" s="51" t="s">
        <v>96</v>
      </c>
      <c r="I229" s="51" t="s">
        <v>21</v>
      </c>
      <c r="J229" s="51" t="s">
        <v>24</v>
      </c>
      <c r="K229" s="43" t="s">
        <v>26</v>
      </c>
      <c r="L229" s="51" t="s">
        <v>763</v>
      </c>
      <c r="M229" s="51" t="s">
        <v>22</v>
      </c>
      <c r="N229" s="62" t="s">
        <v>22</v>
      </c>
      <c r="O229" s="51"/>
      <c r="P229" s="112"/>
      <c r="Q229" s="112"/>
      <c r="R229" s="51"/>
      <c r="S229" s="51"/>
      <c r="T229" s="51"/>
      <c r="U229" s="52"/>
      <c r="V229" s="52"/>
      <c r="W229" s="62"/>
      <c r="X229" s="75">
        <v>43224</v>
      </c>
      <c r="Y229" s="51" t="s">
        <v>27</v>
      </c>
      <c r="Z229" s="51" t="s">
        <v>27</v>
      </c>
      <c r="AA229" s="51" t="s">
        <v>27</v>
      </c>
      <c r="AB229" s="51"/>
      <c r="AC229" s="169"/>
    </row>
    <row r="230" spans="1:29" ht="15" hidden="1" customHeight="1">
      <c r="A230" s="51" t="s">
        <v>0</v>
      </c>
      <c r="B230" s="51" t="s">
        <v>727</v>
      </c>
      <c r="C230" s="51"/>
      <c r="D230" s="108"/>
      <c r="E230" s="62" t="s">
        <v>17</v>
      </c>
      <c r="F230" s="108" t="s">
        <v>728</v>
      </c>
      <c r="G230" s="51"/>
      <c r="H230" s="51" t="s">
        <v>96</v>
      </c>
      <c r="I230" s="51" t="s">
        <v>21</v>
      </c>
      <c r="J230" s="51" t="s">
        <v>24</v>
      </c>
      <c r="K230" s="43" t="s">
        <v>26</v>
      </c>
      <c r="L230" s="51" t="s">
        <v>1795</v>
      </c>
      <c r="M230" s="51" t="s">
        <v>22</v>
      </c>
      <c r="N230" s="62" t="s">
        <v>22</v>
      </c>
      <c r="O230" s="51"/>
      <c r="P230" s="112"/>
      <c r="Q230" s="112"/>
      <c r="R230" s="51"/>
      <c r="S230" s="51"/>
      <c r="T230" s="51"/>
      <c r="U230" s="52"/>
      <c r="V230" s="52"/>
      <c r="W230" s="62"/>
      <c r="X230" s="75">
        <v>43224</v>
      </c>
      <c r="Y230" s="51" t="s">
        <v>27</v>
      </c>
      <c r="Z230" s="51" t="s">
        <v>27</v>
      </c>
      <c r="AA230" s="51" t="s">
        <v>27</v>
      </c>
      <c r="AB230" s="51"/>
      <c r="AC230" s="169" t="s">
        <v>2269</v>
      </c>
    </row>
    <row r="231" spans="1:29" ht="15" hidden="1" customHeight="1">
      <c r="A231" s="62" t="s">
        <v>0</v>
      </c>
      <c r="B231" s="43" t="s">
        <v>2294</v>
      </c>
      <c r="C231" s="43"/>
      <c r="D231" s="62"/>
      <c r="E231" s="62" t="s">
        <v>601</v>
      </c>
      <c r="F231" s="62"/>
      <c r="G231" s="62"/>
      <c r="H231" s="43" t="s">
        <v>104</v>
      </c>
      <c r="I231" s="62" t="s">
        <v>21</v>
      </c>
      <c r="J231" s="43" t="s">
        <v>24</v>
      </c>
      <c r="K231" s="43" t="s">
        <v>26</v>
      </c>
      <c r="L231" s="62" t="s">
        <v>31</v>
      </c>
      <c r="M231" s="62" t="s">
        <v>22</v>
      </c>
      <c r="N231" s="62" t="s">
        <v>22</v>
      </c>
      <c r="O231" s="62"/>
      <c r="P231" s="43"/>
      <c r="Q231" s="43"/>
      <c r="R231" s="62"/>
      <c r="S231" s="62"/>
      <c r="T231" s="62"/>
      <c r="U231" s="52"/>
      <c r="V231" s="52"/>
      <c r="W231" s="43"/>
      <c r="X231" s="77">
        <v>43196</v>
      </c>
      <c r="Y231" s="45" t="s">
        <v>27</v>
      </c>
      <c r="Z231" s="45" t="s">
        <v>27</v>
      </c>
      <c r="AA231" s="51" t="s">
        <v>27</v>
      </c>
      <c r="AB231" s="51"/>
      <c r="AC231" s="169"/>
    </row>
    <row r="232" spans="1:29" ht="15" hidden="1" customHeight="1">
      <c r="A232" s="51" t="s">
        <v>0</v>
      </c>
      <c r="B232" s="51" t="s">
        <v>2308</v>
      </c>
      <c r="C232" s="51" t="s">
        <v>27</v>
      </c>
      <c r="D232" s="51" t="s">
        <v>25</v>
      </c>
      <c r="E232" s="62" t="s">
        <v>17</v>
      </c>
      <c r="F232" s="143" t="s">
        <v>2328</v>
      </c>
      <c r="G232" s="51"/>
      <c r="H232" s="51" t="s">
        <v>20</v>
      </c>
      <c r="I232" s="51" t="s">
        <v>60</v>
      </c>
      <c r="J232" s="51" t="s">
        <v>3201</v>
      </c>
      <c r="K232" s="95" t="s">
        <v>3664</v>
      </c>
      <c r="L232" s="43" t="s">
        <v>211</v>
      </c>
      <c r="M232" s="51" t="s">
        <v>22</v>
      </c>
      <c r="N232" s="62" t="s">
        <v>22</v>
      </c>
      <c r="O232" s="51"/>
      <c r="P232" s="144"/>
      <c r="Q232" s="144">
        <v>40333</v>
      </c>
      <c r="R232" s="43"/>
      <c r="S232" s="51"/>
      <c r="T232" s="62"/>
      <c r="U232" s="52"/>
      <c r="V232" s="52"/>
      <c r="W232" s="51"/>
      <c r="X232" s="78">
        <v>43202</v>
      </c>
      <c r="Y232" s="45" t="s">
        <v>27</v>
      </c>
      <c r="Z232" s="45" t="s">
        <v>27</v>
      </c>
      <c r="AA232" s="51" t="s">
        <v>27</v>
      </c>
      <c r="AB232" s="51"/>
      <c r="AC232" s="169"/>
    </row>
    <row r="233" spans="1:29" ht="15" hidden="1" customHeight="1">
      <c r="A233" s="51" t="s">
        <v>0</v>
      </c>
      <c r="B233" s="51" t="s">
        <v>2309</v>
      </c>
      <c r="C233" s="51" t="s">
        <v>27</v>
      </c>
      <c r="D233" s="51" t="s">
        <v>25</v>
      </c>
      <c r="E233" s="62" t="s">
        <v>17</v>
      </c>
      <c r="F233" s="143" t="s">
        <v>2329</v>
      </c>
      <c r="G233" s="51"/>
      <c r="H233" s="51" t="s">
        <v>20</v>
      </c>
      <c r="I233" s="51" t="s">
        <v>60</v>
      </c>
      <c r="J233" s="51" t="s">
        <v>3201</v>
      </c>
      <c r="K233" s="95" t="s">
        <v>3664</v>
      </c>
      <c r="L233" s="43" t="s">
        <v>211</v>
      </c>
      <c r="M233" s="51" t="s">
        <v>22</v>
      </c>
      <c r="N233" s="62" t="s">
        <v>22</v>
      </c>
      <c r="O233" s="51"/>
      <c r="P233" s="144"/>
      <c r="Q233" s="144">
        <v>40334</v>
      </c>
      <c r="R233" s="43"/>
      <c r="S233" s="51"/>
      <c r="T233" s="62">
        <v>8660691471</v>
      </c>
      <c r="U233" s="52">
        <v>440152254859</v>
      </c>
      <c r="V233" s="52">
        <v>440152254859</v>
      </c>
      <c r="W233" s="51">
        <v>7349334917</v>
      </c>
      <c r="X233" s="78">
        <v>43202</v>
      </c>
      <c r="Y233" s="45" t="s">
        <v>27</v>
      </c>
      <c r="Z233" s="45" t="s">
        <v>27</v>
      </c>
      <c r="AA233" s="51" t="s">
        <v>27</v>
      </c>
      <c r="AB233" s="51"/>
      <c r="AC233" s="169"/>
    </row>
    <row r="234" spans="1:29" ht="15" hidden="1" customHeight="1">
      <c r="A234" s="51" t="s">
        <v>0</v>
      </c>
      <c r="B234" s="51" t="s">
        <v>2310</v>
      </c>
      <c r="C234" s="51" t="s">
        <v>27</v>
      </c>
      <c r="D234" s="43" t="s">
        <v>2758</v>
      </c>
      <c r="E234" s="62" t="s">
        <v>17</v>
      </c>
      <c r="F234" s="143" t="s">
        <v>2330</v>
      </c>
      <c r="G234" s="51"/>
      <c r="H234" s="51" t="s">
        <v>20</v>
      </c>
      <c r="I234" s="51" t="s">
        <v>60</v>
      </c>
      <c r="J234" s="51" t="s">
        <v>3201</v>
      </c>
      <c r="K234" s="95" t="s">
        <v>3664</v>
      </c>
      <c r="L234" s="43" t="s">
        <v>211</v>
      </c>
      <c r="M234" s="51" t="s">
        <v>22</v>
      </c>
      <c r="N234" s="62" t="s">
        <v>22</v>
      </c>
      <c r="O234" s="51"/>
      <c r="P234" s="144"/>
      <c r="Q234" s="144">
        <v>40335</v>
      </c>
      <c r="R234" s="43"/>
      <c r="S234" s="51"/>
      <c r="T234" s="62">
        <v>8660691472</v>
      </c>
      <c r="U234" s="52">
        <v>440152253598</v>
      </c>
      <c r="V234" s="52">
        <v>440152253598</v>
      </c>
      <c r="W234" s="51">
        <v>7349353440</v>
      </c>
      <c r="X234" s="78">
        <v>43202</v>
      </c>
      <c r="Y234" s="45" t="s">
        <v>27</v>
      </c>
      <c r="Z234" s="45" t="s">
        <v>27</v>
      </c>
      <c r="AA234" s="51" t="s">
        <v>27</v>
      </c>
      <c r="AB234" s="51"/>
      <c r="AC234" s="169"/>
    </row>
    <row r="235" spans="1:29" ht="15" hidden="1" customHeight="1">
      <c r="A235" s="51" t="s">
        <v>0</v>
      </c>
      <c r="B235" s="51" t="s">
        <v>2311</v>
      </c>
      <c r="C235" s="51" t="s">
        <v>27</v>
      </c>
      <c r="D235" s="51" t="s">
        <v>25</v>
      </c>
      <c r="E235" s="62" t="s">
        <v>17</v>
      </c>
      <c r="F235" s="143" t="s">
        <v>2331</v>
      </c>
      <c r="G235" s="51"/>
      <c r="H235" s="51" t="s">
        <v>20</v>
      </c>
      <c r="I235" s="51" t="s">
        <v>60</v>
      </c>
      <c r="J235" s="51" t="s">
        <v>3201</v>
      </c>
      <c r="K235" s="95" t="s">
        <v>3664</v>
      </c>
      <c r="L235" s="43" t="s">
        <v>211</v>
      </c>
      <c r="M235" s="51" t="s">
        <v>22</v>
      </c>
      <c r="N235" s="62" t="s">
        <v>22</v>
      </c>
      <c r="O235" s="51" t="s">
        <v>3639</v>
      </c>
      <c r="P235" s="144"/>
      <c r="Q235" s="144">
        <v>40336</v>
      </c>
      <c r="R235" s="43"/>
      <c r="S235" s="51"/>
      <c r="T235" s="62">
        <v>8660690671</v>
      </c>
      <c r="U235" s="52">
        <v>440152262526</v>
      </c>
      <c r="V235" s="52">
        <v>440152262526</v>
      </c>
      <c r="W235" s="51">
        <v>9945617840</v>
      </c>
      <c r="X235" s="78">
        <v>43202</v>
      </c>
      <c r="Y235" s="45" t="s">
        <v>27</v>
      </c>
      <c r="Z235" s="45" t="s">
        <v>27</v>
      </c>
      <c r="AA235" s="51" t="s">
        <v>27</v>
      </c>
      <c r="AB235" s="51"/>
      <c r="AC235" s="169"/>
    </row>
    <row r="236" spans="1:29" ht="15" hidden="1" customHeight="1">
      <c r="A236" s="51" t="s">
        <v>0</v>
      </c>
      <c r="B236" s="51" t="s">
        <v>2312</v>
      </c>
      <c r="C236" s="51" t="s">
        <v>27</v>
      </c>
      <c r="D236" s="43" t="s">
        <v>2758</v>
      </c>
      <c r="E236" s="62" t="s">
        <v>17</v>
      </c>
      <c r="F236" s="143" t="s">
        <v>2332</v>
      </c>
      <c r="G236" s="51"/>
      <c r="H236" s="51" t="s">
        <v>20</v>
      </c>
      <c r="I236" s="51" t="s">
        <v>60</v>
      </c>
      <c r="J236" s="51" t="s">
        <v>3201</v>
      </c>
      <c r="K236" s="95" t="s">
        <v>3664</v>
      </c>
      <c r="L236" s="43" t="s">
        <v>211</v>
      </c>
      <c r="M236" s="51" t="s">
        <v>22</v>
      </c>
      <c r="N236" s="62" t="s">
        <v>22</v>
      </c>
      <c r="O236" s="51"/>
      <c r="P236" s="144"/>
      <c r="Q236" s="144">
        <v>40337</v>
      </c>
      <c r="R236" s="43"/>
      <c r="S236" s="51"/>
      <c r="T236" s="62">
        <v>6361753254</v>
      </c>
      <c r="U236" s="52">
        <v>440152249862</v>
      </c>
      <c r="V236" s="52">
        <v>440152249862</v>
      </c>
      <c r="W236" s="51">
        <v>9148086634</v>
      </c>
      <c r="X236" s="78">
        <v>43199</v>
      </c>
      <c r="Y236" s="45" t="s">
        <v>27</v>
      </c>
      <c r="Z236" s="45" t="s">
        <v>27</v>
      </c>
      <c r="AA236" s="51" t="s">
        <v>27</v>
      </c>
      <c r="AB236" s="51"/>
      <c r="AC236" s="169"/>
    </row>
    <row r="237" spans="1:29" ht="15" hidden="1" customHeight="1">
      <c r="A237" s="51" t="s">
        <v>0</v>
      </c>
      <c r="B237" s="51" t="s">
        <v>2313</v>
      </c>
      <c r="C237" s="51" t="s">
        <v>27</v>
      </c>
      <c r="D237" s="43" t="s">
        <v>2758</v>
      </c>
      <c r="E237" s="62" t="s">
        <v>17</v>
      </c>
      <c r="F237" s="143" t="s">
        <v>2333</v>
      </c>
      <c r="G237" s="51"/>
      <c r="H237" s="51" t="s">
        <v>20</v>
      </c>
      <c r="I237" s="51" t="s">
        <v>60</v>
      </c>
      <c r="J237" s="51" t="s">
        <v>3201</v>
      </c>
      <c r="K237" s="95" t="s">
        <v>3664</v>
      </c>
      <c r="L237" s="43" t="s">
        <v>211</v>
      </c>
      <c r="M237" s="51" t="s">
        <v>22</v>
      </c>
      <c r="N237" s="62" t="s">
        <v>22</v>
      </c>
      <c r="O237" s="51"/>
      <c r="P237" s="144"/>
      <c r="Q237" s="144">
        <v>40338</v>
      </c>
      <c r="R237" s="43"/>
      <c r="S237" s="51"/>
      <c r="T237" s="62">
        <v>6361753217</v>
      </c>
      <c r="U237" s="52">
        <v>440152253587</v>
      </c>
      <c r="V237" s="52">
        <v>440152253587</v>
      </c>
      <c r="W237" s="51">
        <v>7349353996</v>
      </c>
      <c r="X237" s="78">
        <v>43199</v>
      </c>
      <c r="Y237" s="45" t="s">
        <v>27</v>
      </c>
      <c r="Z237" s="45" t="s">
        <v>27</v>
      </c>
      <c r="AA237" s="51" t="s">
        <v>27</v>
      </c>
      <c r="AB237" s="51"/>
      <c r="AC237" s="169"/>
    </row>
    <row r="238" spans="1:29" ht="15" hidden="1" customHeight="1">
      <c r="A238" s="51" t="s">
        <v>0</v>
      </c>
      <c r="B238" s="51" t="s">
        <v>2314</v>
      </c>
      <c r="C238" s="51" t="s">
        <v>27</v>
      </c>
      <c r="D238" s="51" t="s">
        <v>2761</v>
      </c>
      <c r="E238" s="62" t="s">
        <v>17</v>
      </c>
      <c r="F238" s="143" t="s">
        <v>2334</v>
      </c>
      <c r="G238" s="51"/>
      <c r="H238" s="51" t="s">
        <v>20</v>
      </c>
      <c r="I238" s="51" t="s">
        <v>60</v>
      </c>
      <c r="J238" s="51" t="s">
        <v>3201</v>
      </c>
      <c r="K238" s="95" t="s">
        <v>3664</v>
      </c>
      <c r="L238" s="43" t="s">
        <v>211</v>
      </c>
      <c r="M238" s="51" t="s">
        <v>22</v>
      </c>
      <c r="N238" s="62" t="s">
        <v>22</v>
      </c>
      <c r="O238" s="51" t="s">
        <v>3639</v>
      </c>
      <c r="P238" s="144"/>
      <c r="Q238" s="144">
        <v>40339</v>
      </c>
      <c r="R238" s="43"/>
      <c r="S238" s="51"/>
      <c r="T238" s="62">
        <v>6361753248</v>
      </c>
      <c r="U238" s="52">
        <v>440152253585</v>
      </c>
      <c r="V238" s="52">
        <v>440152253585</v>
      </c>
      <c r="W238" s="51">
        <v>9513309335</v>
      </c>
      <c r="X238" s="78">
        <v>43202</v>
      </c>
      <c r="Y238" s="45" t="s">
        <v>27</v>
      </c>
      <c r="Z238" s="45" t="s">
        <v>27</v>
      </c>
      <c r="AA238" s="51" t="s">
        <v>27</v>
      </c>
      <c r="AB238" s="51"/>
      <c r="AC238" s="169"/>
    </row>
    <row r="239" spans="1:29" ht="15" hidden="1" customHeight="1">
      <c r="A239" s="51" t="s">
        <v>0</v>
      </c>
      <c r="B239" s="51" t="s">
        <v>2315</v>
      </c>
      <c r="C239" s="51" t="s">
        <v>27</v>
      </c>
      <c r="D239" s="43" t="s">
        <v>2758</v>
      </c>
      <c r="E239" s="62" t="s">
        <v>17</v>
      </c>
      <c r="F239" s="143" t="s">
        <v>2335</v>
      </c>
      <c r="G239" s="51"/>
      <c r="H239" s="51" t="s">
        <v>20</v>
      </c>
      <c r="I239" s="51" t="s">
        <v>60</v>
      </c>
      <c r="J239" s="51" t="s">
        <v>3201</v>
      </c>
      <c r="K239" s="95" t="s">
        <v>3664</v>
      </c>
      <c r="L239" s="43" t="s">
        <v>211</v>
      </c>
      <c r="M239" s="51" t="s">
        <v>22</v>
      </c>
      <c r="N239" s="62" t="s">
        <v>22</v>
      </c>
      <c r="O239" s="51"/>
      <c r="P239" s="144"/>
      <c r="Q239" s="144">
        <v>40340</v>
      </c>
      <c r="R239" s="43"/>
      <c r="S239" s="51"/>
      <c r="T239" s="62">
        <v>6361753216</v>
      </c>
      <c r="U239" s="52">
        <v>440152254863</v>
      </c>
      <c r="V239" s="52">
        <v>440152254863</v>
      </c>
      <c r="W239" s="51">
        <v>9148086499</v>
      </c>
      <c r="X239" s="78">
        <v>43199</v>
      </c>
      <c r="Y239" s="45" t="s">
        <v>27</v>
      </c>
      <c r="Z239" s="45" t="s">
        <v>27</v>
      </c>
      <c r="AA239" s="51" t="s">
        <v>27</v>
      </c>
      <c r="AB239" s="51"/>
      <c r="AC239" s="169"/>
    </row>
    <row r="240" spans="1:29" ht="15" hidden="1" customHeight="1">
      <c r="A240" s="51" t="s">
        <v>0</v>
      </c>
      <c r="B240" s="51" t="s">
        <v>2316</v>
      </c>
      <c r="C240" s="51" t="s">
        <v>27</v>
      </c>
      <c r="D240" s="43" t="s">
        <v>2758</v>
      </c>
      <c r="E240" s="62" t="s">
        <v>17</v>
      </c>
      <c r="F240" s="143" t="s">
        <v>2336</v>
      </c>
      <c r="G240" s="51"/>
      <c r="H240" s="51" t="s">
        <v>20</v>
      </c>
      <c r="I240" s="51" t="s">
        <v>60</v>
      </c>
      <c r="J240" s="51" t="s">
        <v>3201</v>
      </c>
      <c r="K240" s="95" t="s">
        <v>3664</v>
      </c>
      <c r="L240" s="43" t="s">
        <v>211</v>
      </c>
      <c r="M240" s="51" t="s">
        <v>22</v>
      </c>
      <c r="N240" s="62" t="s">
        <v>22</v>
      </c>
      <c r="O240" s="51"/>
      <c r="P240" s="144"/>
      <c r="Q240" s="144">
        <v>40341</v>
      </c>
      <c r="R240" s="43"/>
      <c r="S240" s="51"/>
      <c r="T240" s="62">
        <v>6361753215</v>
      </c>
      <c r="U240" s="52">
        <v>440152253600</v>
      </c>
      <c r="V240" s="52">
        <v>440152253600</v>
      </c>
      <c r="W240" s="51">
        <v>9148086492</v>
      </c>
      <c r="X240" s="78">
        <v>43199</v>
      </c>
      <c r="Y240" s="45" t="s">
        <v>27</v>
      </c>
      <c r="Z240" s="45" t="s">
        <v>27</v>
      </c>
      <c r="AA240" s="51" t="s">
        <v>27</v>
      </c>
      <c r="AB240" s="51"/>
      <c r="AC240" s="169"/>
    </row>
    <row r="241" spans="1:29" ht="15" hidden="1" customHeight="1">
      <c r="A241" s="51" t="s">
        <v>0</v>
      </c>
      <c r="B241" s="51" t="s">
        <v>2317</v>
      </c>
      <c r="C241" s="51" t="s">
        <v>27</v>
      </c>
      <c r="D241" s="43" t="s">
        <v>2758</v>
      </c>
      <c r="E241" s="62" t="s">
        <v>17</v>
      </c>
      <c r="F241" s="143" t="s">
        <v>2337</v>
      </c>
      <c r="G241" s="51"/>
      <c r="H241" s="51" t="s">
        <v>20</v>
      </c>
      <c r="I241" s="51" t="s">
        <v>60</v>
      </c>
      <c r="J241" s="51" t="s">
        <v>3201</v>
      </c>
      <c r="K241" s="95" t="s">
        <v>3664</v>
      </c>
      <c r="L241" s="43" t="s">
        <v>211</v>
      </c>
      <c r="M241" s="51" t="s">
        <v>22</v>
      </c>
      <c r="N241" s="62" t="s">
        <v>22</v>
      </c>
      <c r="O241" s="51"/>
      <c r="P241" s="144"/>
      <c r="Q241" s="144">
        <v>40342</v>
      </c>
      <c r="R241" s="43"/>
      <c r="S241" s="51"/>
      <c r="T241" s="62">
        <v>6361753218</v>
      </c>
      <c r="U241" s="52">
        <v>440152254851</v>
      </c>
      <c r="V241" s="52">
        <v>440152254851</v>
      </c>
      <c r="W241" s="51">
        <v>9148086491</v>
      </c>
      <c r="X241" s="78">
        <v>43199</v>
      </c>
      <c r="Y241" s="45" t="s">
        <v>27</v>
      </c>
      <c r="Z241" s="45" t="s">
        <v>27</v>
      </c>
      <c r="AA241" s="51" t="s">
        <v>27</v>
      </c>
      <c r="AB241" s="51"/>
      <c r="AC241" s="169"/>
    </row>
    <row r="242" spans="1:29" ht="15" customHeight="1">
      <c r="A242" s="51" t="s">
        <v>0</v>
      </c>
      <c r="B242" s="51" t="s">
        <v>2318</v>
      </c>
      <c r="C242" s="51" t="s">
        <v>27</v>
      </c>
      <c r="D242" s="51" t="s">
        <v>2761</v>
      </c>
      <c r="E242" s="62" t="s">
        <v>17</v>
      </c>
      <c r="F242" s="143" t="s">
        <v>2338</v>
      </c>
      <c r="G242" s="51"/>
      <c r="H242" s="51" t="s">
        <v>3084</v>
      </c>
      <c r="I242" s="51" t="s">
        <v>21</v>
      </c>
      <c r="J242" s="51" t="s">
        <v>37</v>
      </c>
      <c r="K242" s="95" t="s">
        <v>337</v>
      </c>
      <c r="L242" s="43" t="s">
        <v>5368</v>
      </c>
      <c r="M242" s="51" t="s">
        <v>22</v>
      </c>
      <c r="N242" s="62" t="s">
        <v>22</v>
      </c>
      <c r="O242" s="51"/>
      <c r="P242" s="144"/>
      <c r="Q242" s="144">
        <v>40343</v>
      </c>
      <c r="R242" s="43"/>
      <c r="S242" s="51"/>
      <c r="T242" s="62">
        <v>6361753232</v>
      </c>
      <c r="U242" s="52">
        <v>440152254848</v>
      </c>
      <c r="V242" s="52">
        <v>440152254848</v>
      </c>
      <c r="W242" s="51">
        <v>7625046455</v>
      </c>
      <c r="X242" s="78">
        <v>43199</v>
      </c>
      <c r="Y242" s="45" t="s">
        <v>27</v>
      </c>
      <c r="Z242" s="45" t="s">
        <v>27</v>
      </c>
      <c r="AA242" s="51" t="s">
        <v>27</v>
      </c>
      <c r="AB242" s="51"/>
      <c r="AC242" s="51" t="s">
        <v>6865</v>
      </c>
    </row>
    <row r="243" spans="1:29" ht="15" hidden="1" customHeight="1">
      <c r="A243" s="51" t="s">
        <v>0</v>
      </c>
      <c r="B243" s="51" t="s">
        <v>2319</v>
      </c>
      <c r="C243" s="51" t="s">
        <v>27</v>
      </c>
      <c r="D243" s="51" t="s">
        <v>25</v>
      </c>
      <c r="E243" s="62" t="s">
        <v>17</v>
      </c>
      <c r="F243" s="143" t="s">
        <v>2339</v>
      </c>
      <c r="G243" s="51"/>
      <c r="H243" s="51" t="s">
        <v>20</v>
      </c>
      <c r="I243" s="51" t="s">
        <v>60</v>
      </c>
      <c r="J243" s="51" t="s">
        <v>3201</v>
      </c>
      <c r="K243" s="95" t="s">
        <v>3664</v>
      </c>
      <c r="L243" s="43" t="s">
        <v>211</v>
      </c>
      <c r="M243" s="51" t="s">
        <v>22</v>
      </c>
      <c r="N243" s="62" t="s">
        <v>22</v>
      </c>
      <c r="O243" s="51" t="s">
        <v>3639</v>
      </c>
      <c r="P243" s="144"/>
      <c r="Q243" s="144">
        <v>40344</v>
      </c>
      <c r="R243" s="43"/>
      <c r="S243" s="51"/>
      <c r="T243" s="62">
        <v>6361753223</v>
      </c>
      <c r="U243" s="52">
        <v>440152254881</v>
      </c>
      <c r="V243" s="52">
        <v>440152254881</v>
      </c>
      <c r="W243" s="51">
        <v>9148086493</v>
      </c>
      <c r="X243" s="78">
        <v>43199</v>
      </c>
      <c r="Y243" s="45" t="s">
        <v>27</v>
      </c>
      <c r="Z243" s="45" t="s">
        <v>27</v>
      </c>
      <c r="AA243" s="51" t="s">
        <v>27</v>
      </c>
      <c r="AB243" s="51"/>
      <c r="AC243" s="169"/>
    </row>
    <row r="244" spans="1:29" ht="15" hidden="1" customHeight="1">
      <c r="A244" s="51" t="s">
        <v>0</v>
      </c>
      <c r="B244" s="51" t="s">
        <v>2320</v>
      </c>
      <c r="C244" s="51" t="s">
        <v>27</v>
      </c>
      <c r="D244" s="51" t="s">
        <v>2761</v>
      </c>
      <c r="E244" s="62" t="s">
        <v>17</v>
      </c>
      <c r="F244" s="143" t="s">
        <v>2340</v>
      </c>
      <c r="G244" s="51"/>
      <c r="H244" s="51" t="s">
        <v>20</v>
      </c>
      <c r="I244" s="51" t="s">
        <v>60</v>
      </c>
      <c r="J244" s="51" t="s">
        <v>3201</v>
      </c>
      <c r="K244" s="95" t="s">
        <v>3664</v>
      </c>
      <c r="L244" s="43" t="s">
        <v>211</v>
      </c>
      <c r="M244" s="51" t="s">
        <v>22</v>
      </c>
      <c r="N244" s="62" t="s">
        <v>22</v>
      </c>
      <c r="O244" s="51" t="s">
        <v>3639</v>
      </c>
      <c r="P244" s="144"/>
      <c r="Q244" s="144">
        <v>40345</v>
      </c>
      <c r="R244" s="43"/>
      <c r="S244" s="51"/>
      <c r="T244" s="62">
        <v>6361753236</v>
      </c>
      <c r="U244" s="52">
        <v>440152258340</v>
      </c>
      <c r="V244" s="52">
        <v>440152258340</v>
      </c>
      <c r="W244" s="51">
        <v>9148086498</v>
      </c>
      <c r="X244" s="78">
        <v>43199</v>
      </c>
      <c r="Y244" s="45" t="s">
        <v>27</v>
      </c>
      <c r="Z244" s="45" t="s">
        <v>27</v>
      </c>
      <c r="AA244" s="51" t="s">
        <v>27</v>
      </c>
      <c r="AB244" s="51"/>
      <c r="AC244" s="169"/>
    </row>
    <row r="245" spans="1:29" ht="15" hidden="1" customHeight="1">
      <c r="A245" s="51" t="s">
        <v>0</v>
      </c>
      <c r="B245" s="51" t="s">
        <v>2321</v>
      </c>
      <c r="C245" s="51" t="s">
        <v>27</v>
      </c>
      <c r="D245" s="51" t="s">
        <v>2758</v>
      </c>
      <c r="E245" s="62" t="s">
        <v>17</v>
      </c>
      <c r="F245" s="143" t="s">
        <v>2341</v>
      </c>
      <c r="G245" s="51"/>
      <c r="H245" s="51" t="s">
        <v>20</v>
      </c>
      <c r="I245" s="51" t="s">
        <v>60</v>
      </c>
      <c r="J245" s="51" t="s">
        <v>3201</v>
      </c>
      <c r="K245" s="95" t="s">
        <v>3664</v>
      </c>
      <c r="L245" s="43" t="s">
        <v>211</v>
      </c>
      <c r="M245" s="51" t="s">
        <v>22</v>
      </c>
      <c r="N245" s="62" t="s">
        <v>22</v>
      </c>
      <c r="O245" s="51"/>
      <c r="P245" s="144"/>
      <c r="Q245" s="144">
        <v>40346</v>
      </c>
      <c r="R245" s="43"/>
      <c r="S245" s="51"/>
      <c r="T245" s="62">
        <v>6361753253</v>
      </c>
      <c r="U245" s="52">
        <v>440152249816</v>
      </c>
      <c r="V245" s="52">
        <v>440152249816</v>
      </c>
      <c r="W245" s="51">
        <v>9148086632</v>
      </c>
      <c r="X245" s="78">
        <v>43199</v>
      </c>
      <c r="Y245" s="45" t="s">
        <v>27</v>
      </c>
      <c r="Z245" s="45" t="s">
        <v>27</v>
      </c>
      <c r="AA245" s="51" t="s">
        <v>27</v>
      </c>
      <c r="AB245" s="51"/>
      <c r="AC245" s="169"/>
    </row>
    <row r="246" spans="1:29" ht="15.6" hidden="1" customHeight="1">
      <c r="A246" s="51" t="s">
        <v>0</v>
      </c>
      <c r="B246" s="51" t="s">
        <v>2322</v>
      </c>
      <c r="C246" s="51" t="s">
        <v>27</v>
      </c>
      <c r="D246" s="51" t="s">
        <v>2758</v>
      </c>
      <c r="E246" s="62" t="s">
        <v>17</v>
      </c>
      <c r="F246" s="143" t="s">
        <v>2342</v>
      </c>
      <c r="G246" s="51"/>
      <c r="H246" s="51" t="s">
        <v>20</v>
      </c>
      <c r="I246" s="51" t="s">
        <v>60</v>
      </c>
      <c r="J246" s="51" t="s">
        <v>3201</v>
      </c>
      <c r="K246" s="95" t="s">
        <v>3664</v>
      </c>
      <c r="L246" s="43" t="s">
        <v>211</v>
      </c>
      <c r="M246" s="51" t="s">
        <v>22</v>
      </c>
      <c r="N246" s="62" t="s">
        <v>22</v>
      </c>
      <c r="O246" s="51"/>
      <c r="P246" s="144"/>
      <c r="Q246" s="144">
        <v>40347</v>
      </c>
      <c r="R246" s="43"/>
      <c r="S246" s="51"/>
      <c r="T246" s="62">
        <v>6361753214</v>
      </c>
      <c r="U246" s="52">
        <v>440152249860</v>
      </c>
      <c r="V246" s="52">
        <v>440152249860</v>
      </c>
      <c r="W246" s="51">
        <v>9148086494</v>
      </c>
      <c r="X246" s="78">
        <v>43199</v>
      </c>
      <c r="Y246" s="45" t="s">
        <v>27</v>
      </c>
      <c r="Z246" s="45" t="s">
        <v>27</v>
      </c>
      <c r="AA246" s="51" t="s">
        <v>27</v>
      </c>
      <c r="AB246" s="51"/>
      <c r="AC246" s="169"/>
    </row>
    <row r="247" spans="1:29" ht="15" hidden="1" customHeight="1">
      <c r="A247" s="51" t="s">
        <v>0</v>
      </c>
      <c r="B247" s="51" t="s">
        <v>2323</v>
      </c>
      <c r="C247" s="51" t="s">
        <v>27</v>
      </c>
      <c r="D247" s="51" t="s">
        <v>25</v>
      </c>
      <c r="E247" s="62" t="s">
        <v>17</v>
      </c>
      <c r="F247" s="143" t="s">
        <v>2343</v>
      </c>
      <c r="G247" s="51"/>
      <c r="H247" s="51" t="s">
        <v>20</v>
      </c>
      <c r="I247" s="51" t="s">
        <v>60</v>
      </c>
      <c r="J247" s="51" t="s">
        <v>3201</v>
      </c>
      <c r="K247" s="95" t="s">
        <v>3664</v>
      </c>
      <c r="L247" s="43" t="s">
        <v>211</v>
      </c>
      <c r="M247" s="51" t="s">
        <v>22</v>
      </c>
      <c r="N247" s="62" t="s">
        <v>22</v>
      </c>
      <c r="O247" s="51" t="s">
        <v>3639</v>
      </c>
      <c r="P247" s="144"/>
      <c r="Q247" s="144">
        <v>40348</v>
      </c>
      <c r="R247" s="43"/>
      <c r="S247" s="51"/>
      <c r="T247" s="62">
        <v>6361753224</v>
      </c>
      <c r="U247" s="52">
        <v>440152249880</v>
      </c>
      <c r="V247" s="52">
        <v>440152254880</v>
      </c>
      <c r="W247" s="51">
        <v>9148086496</v>
      </c>
      <c r="X247" s="78">
        <v>43199</v>
      </c>
      <c r="Y247" s="45" t="s">
        <v>27</v>
      </c>
      <c r="Z247" s="45" t="s">
        <v>27</v>
      </c>
      <c r="AA247" s="51" t="s">
        <v>27</v>
      </c>
      <c r="AB247" s="51"/>
      <c r="AC247" s="169"/>
    </row>
    <row r="248" spans="1:29" ht="15" customHeight="1">
      <c r="A248" s="51" t="s">
        <v>0</v>
      </c>
      <c r="B248" s="51" t="s">
        <v>2324</v>
      </c>
      <c r="C248" s="51" t="s">
        <v>27</v>
      </c>
      <c r="D248" s="51" t="s">
        <v>2761</v>
      </c>
      <c r="E248" s="62" t="s">
        <v>17</v>
      </c>
      <c r="F248" s="143" t="s">
        <v>2344</v>
      </c>
      <c r="G248" s="51"/>
      <c r="H248" s="51" t="s">
        <v>3084</v>
      </c>
      <c r="I248" s="51" t="s">
        <v>60</v>
      </c>
      <c r="J248" s="51" t="s">
        <v>6858</v>
      </c>
      <c r="K248" s="95" t="s">
        <v>2651</v>
      </c>
      <c r="L248" s="43" t="s">
        <v>5368</v>
      </c>
      <c r="M248" s="51" t="s">
        <v>22</v>
      </c>
      <c r="N248" s="62" t="s">
        <v>22</v>
      </c>
      <c r="O248" s="51" t="s">
        <v>3639</v>
      </c>
      <c r="P248" s="144"/>
      <c r="Q248" s="144">
        <v>40349</v>
      </c>
      <c r="R248" s="43"/>
      <c r="S248" s="51"/>
      <c r="T248" s="62"/>
      <c r="U248" s="108"/>
      <c r="V248" s="51"/>
      <c r="W248" s="51"/>
      <c r="X248" s="78">
        <v>43199</v>
      </c>
      <c r="Y248" s="45" t="s">
        <v>27</v>
      </c>
      <c r="Z248" s="45" t="s">
        <v>27</v>
      </c>
      <c r="AA248" s="51" t="s">
        <v>27</v>
      </c>
      <c r="AB248" s="51"/>
      <c r="AC248" s="51" t="s">
        <v>6868</v>
      </c>
    </row>
    <row r="249" spans="1:29" ht="15" hidden="1" customHeight="1">
      <c r="A249" s="51" t="s">
        <v>0</v>
      </c>
      <c r="B249" s="51" t="s">
        <v>2325</v>
      </c>
      <c r="C249" s="51" t="s">
        <v>27</v>
      </c>
      <c r="D249" s="51" t="s">
        <v>2761</v>
      </c>
      <c r="E249" s="62" t="s">
        <v>17</v>
      </c>
      <c r="F249" s="143" t="s">
        <v>2345</v>
      </c>
      <c r="G249" s="51"/>
      <c r="H249" s="51" t="s">
        <v>20</v>
      </c>
      <c r="I249" s="51" t="s">
        <v>60</v>
      </c>
      <c r="J249" s="51" t="s">
        <v>3201</v>
      </c>
      <c r="K249" s="95" t="s">
        <v>3664</v>
      </c>
      <c r="L249" s="43" t="s">
        <v>211</v>
      </c>
      <c r="M249" s="51" t="s">
        <v>22</v>
      </c>
      <c r="N249" s="62" t="s">
        <v>22</v>
      </c>
      <c r="O249" s="51"/>
      <c r="P249" s="144"/>
      <c r="Q249" s="144">
        <v>40350</v>
      </c>
      <c r="R249" s="43"/>
      <c r="S249" s="51"/>
      <c r="T249" s="203">
        <v>6361753219</v>
      </c>
      <c r="U249" s="52">
        <v>440152249874</v>
      </c>
      <c r="V249" s="52">
        <v>440152254874</v>
      </c>
      <c r="W249" s="51">
        <v>7349781098</v>
      </c>
      <c r="X249" s="78">
        <v>43199</v>
      </c>
      <c r="Y249" s="45" t="s">
        <v>27</v>
      </c>
      <c r="Z249" s="45" t="s">
        <v>27</v>
      </c>
      <c r="AA249" s="51" t="s">
        <v>27</v>
      </c>
      <c r="AB249" s="51"/>
      <c r="AC249" s="169"/>
    </row>
    <row r="250" spans="1:29" ht="15" customHeight="1">
      <c r="A250" s="51" t="s">
        <v>0</v>
      </c>
      <c r="B250" s="51" t="s">
        <v>5731</v>
      </c>
      <c r="C250" s="51" t="s">
        <v>27</v>
      </c>
      <c r="D250" s="51" t="s">
        <v>2761</v>
      </c>
      <c r="E250" s="62" t="s">
        <v>17</v>
      </c>
      <c r="F250" s="372" t="s">
        <v>5732</v>
      </c>
      <c r="G250" s="51"/>
      <c r="H250" s="51" t="s">
        <v>3084</v>
      </c>
      <c r="I250" s="51" t="s">
        <v>21</v>
      </c>
      <c r="J250" s="51" t="s">
        <v>24</v>
      </c>
      <c r="K250" s="95" t="s">
        <v>5860</v>
      </c>
      <c r="L250" s="43" t="s">
        <v>4464</v>
      </c>
      <c r="M250" s="51" t="s">
        <v>22</v>
      </c>
      <c r="N250" s="62"/>
      <c r="O250" s="51"/>
      <c r="P250" s="144"/>
      <c r="Q250" s="144"/>
      <c r="R250" s="43"/>
      <c r="S250" s="51"/>
      <c r="T250" s="203"/>
      <c r="U250" s="52"/>
      <c r="V250" s="52"/>
      <c r="W250" s="51"/>
      <c r="X250" s="78"/>
      <c r="Y250" s="45" t="s">
        <v>27</v>
      </c>
      <c r="Z250" s="45" t="s">
        <v>27</v>
      </c>
      <c r="AA250" s="51" t="s">
        <v>27</v>
      </c>
      <c r="AB250" s="51"/>
      <c r="AC250" s="169" t="s">
        <v>5987</v>
      </c>
    </row>
    <row r="251" spans="1:29" ht="15" customHeight="1">
      <c r="A251" s="51" t="s">
        <v>0</v>
      </c>
      <c r="B251" s="51" t="s">
        <v>2326</v>
      </c>
      <c r="C251" s="51" t="s">
        <v>27</v>
      </c>
      <c r="D251" s="289" t="s">
        <v>25</v>
      </c>
      <c r="E251" s="62" t="s">
        <v>17</v>
      </c>
      <c r="F251" s="143" t="s">
        <v>2346</v>
      </c>
      <c r="G251" s="51"/>
      <c r="H251" s="51" t="s">
        <v>3084</v>
      </c>
      <c r="I251" s="51" t="s">
        <v>21</v>
      </c>
      <c r="J251" s="51" t="s">
        <v>37</v>
      </c>
      <c r="K251" s="95" t="s">
        <v>337</v>
      </c>
      <c r="L251" s="43" t="s">
        <v>4464</v>
      </c>
      <c r="M251" s="51" t="s">
        <v>22</v>
      </c>
      <c r="N251" s="62"/>
      <c r="O251" s="51"/>
      <c r="P251" s="144"/>
      <c r="Q251" s="144"/>
      <c r="R251" s="43"/>
      <c r="S251" s="51"/>
      <c r="T251" s="62"/>
      <c r="U251" s="51"/>
      <c r="V251" s="51"/>
      <c r="W251" s="51"/>
      <c r="X251" s="78">
        <v>43199</v>
      </c>
      <c r="Y251" s="45" t="s">
        <v>27</v>
      </c>
      <c r="Z251" s="45" t="s">
        <v>27</v>
      </c>
      <c r="AA251" s="51" t="s">
        <v>27</v>
      </c>
      <c r="AB251" s="51"/>
      <c r="AC251" s="169"/>
    </row>
    <row r="252" spans="1:29" ht="15" customHeight="1">
      <c r="A252" s="51" t="s">
        <v>0</v>
      </c>
      <c r="B252" s="51" t="s">
        <v>2327</v>
      </c>
      <c r="C252" s="51" t="s">
        <v>27</v>
      </c>
      <c r="D252" s="51" t="s">
        <v>25</v>
      </c>
      <c r="E252" s="62" t="s">
        <v>17</v>
      </c>
      <c r="F252" s="143" t="s">
        <v>2347</v>
      </c>
      <c r="G252" s="51"/>
      <c r="H252" s="51" t="s">
        <v>3084</v>
      </c>
      <c r="I252" s="51" t="s">
        <v>21</v>
      </c>
      <c r="J252" s="51" t="s">
        <v>37</v>
      </c>
      <c r="K252" s="95" t="s">
        <v>337</v>
      </c>
      <c r="L252" s="43" t="s">
        <v>5368</v>
      </c>
      <c r="M252" s="51" t="s">
        <v>22</v>
      </c>
      <c r="N252" s="62" t="s">
        <v>22</v>
      </c>
      <c r="O252" s="51"/>
      <c r="P252" s="144"/>
      <c r="Q252" s="144">
        <v>40352</v>
      </c>
      <c r="R252" s="43"/>
      <c r="S252" s="51"/>
      <c r="T252" s="62">
        <v>6361753220</v>
      </c>
      <c r="U252" s="52">
        <v>440152249873</v>
      </c>
      <c r="V252" s="52">
        <v>440152254873</v>
      </c>
      <c r="W252" s="51">
        <v>9148086497</v>
      </c>
      <c r="X252" s="78">
        <v>43199</v>
      </c>
      <c r="Y252" s="45" t="s">
        <v>27</v>
      </c>
      <c r="Z252" s="45" t="s">
        <v>27</v>
      </c>
      <c r="AA252" s="51" t="s">
        <v>27</v>
      </c>
      <c r="AB252" s="51"/>
      <c r="AC252" s="51" t="s">
        <v>6861</v>
      </c>
    </row>
    <row r="253" spans="1:29" ht="15" hidden="1" customHeight="1">
      <c r="A253" s="51" t="s">
        <v>0</v>
      </c>
      <c r="B253" s="51" t="s">
        <v>2349</v>
      </c>
      <c r="C253" s="51" t="s">
        <v>22</v>
      </c>
      <c r="D253" s="53"/>
      <c r="E253" s="51" t="s">
        <v>17</v>
      </c>
      <c r="F253" s="53" t="s">
        <v>2696</v>
      </c>
      <c r="G253" s="51"/>
      <c r="H253" s="51" t="s">
        <v>20</v>
      </c>
      <c r="I253" s="51" t="s">
        <v>60</v>
      </c>
      <c r="J253" s="51"/>
      <c r="K253" s="53"/>
      <c r="L253" s="51" t="s">
        <v>211</v>
      </c>
      <c r="M253" s="51" t="s">
        <v>22</v>
      </c>
      <c r="N253" s="62" t="s">
        <v>22</v>
      </c>
      <c r="O253" s="51"/>
      <c r="P253" s="51"/>
      <c r="Q253" s="51">
        <v>40353</v>
      </c>
      <c r="R253" s="51"/>
      <c r="S253" s="51"/>
      <c r="T253" s="138"/>
      <c r="U253" s="138"/>
      <c r="V253" s="138"/>
      <c r="W253" s="138"/>
      <c r="X253" s="78">
        <v>43199</v>
      </c>
      <c r="Y253" s="45" t="s">
        <v>27</v>
      </c>
      <c r="Z253" s="45" t="s">
        <v>22</v>
      </c>
      <c r="AA253" s="51" t="s">
        <v>22</v>
      </c>
      <c r="AB253" s="51"/>
      <c r="AC253" s="169" t="s">
        <v>2350</v>
      </c>
    </row>
    <row r="254" spans="1:29" s="68" customFormat="1" ht="15" hidden="1" customHeight="1">
      <c r="A254" s="62" t="s">
        <v>364</v>
      </c>
      <c r="B254" s="43" t="s">
        <v>365</v>
      </c>
      <c r="C254" s="43" t="s">
        <v>27</v>
      </c>
      <c r="D254" s="67" t="s">
        <v>2759</v>
      </c>
      <c r="E254" s="62" t="s">
        <v>17</v>
      </c>
      <c r="F254" s="62" t="s">
        <v>366</v>
      </c>
      <c r="G254" s="43" t="s">
        <v>1774</v>
      </c>
      <c r="H254" s="62" t="s">
        <v>20</v>
      </c>
      <c r="I254" s="43" t="s">
        <v>21</v>
      </c>
      <c r="J254" s="44" t="s">
        <v>2259</v>
      </c>
      <c r="K254" s="44" t="s">
        <v>61</v>
      </c>
      <c r="L254" s="43" t="s">
        <v>211</v>
      </c>
      <c r="M254" s="62" t="s">
        <v>22</v>
      </c>
      <c r="N254" s="62" t="s">
        <v>22</v>
      </c>
      <c r="O254" s="62" t="s">
        <v>22</v>
      </c>
      <c r="P254" s="62"/>
      <c r="Q254" s="62" t="s">
        <v>2717</v>
      </c>
      <c r="R254" s="43"/>
      <c r="S254" s="63"/>
      <c r="T254" s="142">
        <v>15904263195</v>
      </c>
      <c r="U254" s="116">
        <v>440152237231</v>
      </c>
      <c r="V254" s="63"/>
      <c r="W254" s="63"/>
      <c r="X254" s="77">
        <v>43194</v>
      </c>
      <c r="Y254" s="45" t="s">
        <v>27</v>
      </c>
      <c r="Z254" s="45" t="s">
        <v>27</v>
      </c>
      <c r="AA254" s="45" t="s">
        <v>27</v>
      </c>
      <c r="AB254" s="45"/>
      <c r="AC254" s="169"/>
    </row>
    <row r="255" spans="1:29" s="68" customFormat="1" ht="15" hidden="1" customHeight="1">
      <c r="A255" s="62" t="s">
        <v>364</v>
      </c>
      <c r="B255" s="43" t="s">
        <v>367</v>
      </c>
      <c r="C255" s="43" t="s">
        <v>27</v>
      </c>
      <c r="D255" s="67" t="s">
        <v>2759</v>
      </c>
      <c r="E255" s="62" t="s">
        <v>17</v>
      </c>
      <c r="F255" s="62" t="s">
        <v>368</v>
      </c>
      <c r="G255" s="43" t="s">
        <v>1774</v>
      </c>
      <c r="H255" s="62" t="s">
        <v>20</v>
      </c>
      <c r="I255" s="43" t="s">
        <v>21</v>
      </c>
      <c r="J255" s="44" t="s">
        <v>3677</v>
      </c>
      <c r="K255" s="44" t="s">
        <v>33</v>
      </c>
      <c r="L255" s="43" t="s">
        <v>211</v>
      </c>
      <c r="M255" s="62" t="s">
        <v>22</v>
      </c>
      <c r="N255" s="62" t="s">
        <v>22</v>
      </c>
      <c r="O255" s="62" t="s">
        <v>22</v>
      </c>
      <c r="P255" s="62"/>
      <c r="Q255" s="62" t="s">
        <v>2725</v>
      </c>
      <c r="R255" s="43"/>
      <c r="S255" s="63"/>
      <c r="T255" s="142" t="s">
        <v>2238</v>
      </c>
      <c r="U255" s="116">
        <v>440152237245</v>
      </c>
      <c r="V255" s="63"/>
      <c r="W255" s="63"/>
      <c r="X255" s="77">
        <v>43199</v>
      </c>
      <c r="Y255" s="45" t="s">
        <v>27</v>
      </c>
      <c r="Z255" s="45" t="s">
        <v>27</v>
      </c>
      <c r="AA255" s="45" t="s">
        <v>27</v>
      </c>
      <c r="AB255" s="45"/>
      <c r="AC255" s="169"/>
    </row>
    <row r="256" spans="1:29" s="68" customFormat="1" ht="15" hidden="1" customHeight="1">
      <c r="A256" s="62" t="s">
        <v>364</v>
      </c>
      <c r="B256" s="43" t="s">
        <v>369</v>
      </c>
      <c r="C256" s="43" t="s">
        <v>22</v>
      </c>
      <c r="D256" s="67"/>
      <c r="E256" s="62" t="s">
        <v>17</v>
      </c>
      <c r="F256" s="62" t="s">
        <v>370</v>
      </c>
      <c r="G256" s="43" t="s">
        <v>1775</v>
      </c>
      <c r="H256" s="62" t="s">
        <v>20</v>
      </c>
      <c r="I256" s="43" t="s">
        <v>21</v>
      </c>
      <c r="J256" s="44" t="s">
        <v>2259</v>
      </c>
      <c r="K256" s="44" t="s">
        <v>337</v>
      </c>
      <c r="L256" s="43" t="s">
        <v>211</v>
      </c>
      <c r="M256" s="62" t="s">
        <v>22</v>
      </c>
      <c r="N256" s="62" t="s">
        <v>22</v>
      </c>
      <c r="O256" s="62" t="s">
        <v>22</v>
      </c>
      <c r="P256" s="62"/>
      <c r="Q256" s="62" t="s">
        <v>22</v>
      </c>
      <c r="R256" s="43"/>
      <c r="S256" s="63"/>
      <c r="T256" s="142">
        <v>17610563407</v>
      </c>
      <c r="U256" s="116">
        <v>440152238744</v>
      </c>
      <c r="V256" s="63"/>
      <c r="W256" s="63"/>
      <c r="X256" s="77">
        <v>43222</v>
      </c>
      <c r="Y256" s="45" t="s">
        <v>27</v>
      </c>
      <c r="Z256" s="45" t="s">
        <v>27</v>
      </c>
      <c r="AA256" s="45" t="s">
        <v>349</v>
      </c>
      <c r="AB256" s="45" t="s">
        <v>2473</v>
      </c>
      <c r="AC256" s="169" t="s">
        <v>3164</v>
      </c>
    </row>
    <row r="257" spans="1:29" s="68" customFormat="1" ht="15" hidden="1" customHeight="1">
      <c r="A257" s="62" t="s">
        <v>364</v>
      </c>
      <c r="B257" s="43" t="s">
        <v>371</v>
      </c>
      <c r="C257" s="43" t="s">
        <v>27</v>
      </c>
      <c r="D257" s="67" t="s">
        <v>2761</v>
      </c>
      <c r="E257" s="62" t="s">
        <v>17</v>
      </c>
      <c r="F257" s="62" t="s">
        <v>372</v>
      </c>
      <c r="G257" s="43" t="s">
        <v>1775</v>
      </c>
      <c r="H257" s="62" t="s">
        <v>20</v>
      </c>
      <c r="I257" s="43" t="s">
        <v>21</v>
      </c>
      <c r="J257" s="44" t="s">
        <v>3677</v>
      </c>
      <c r="K257" s="44" t="s">
        <v>61</v>
      </c>
      <c r="L257" s="43" t="s">
        <v>23</v>
      </c>
      <c r="M257" s="62" t="s">
        <v>22</v>
      </c>
      <c r="N257" s="62" t="s">
        <v>22</v>
      </c>
      <c r="O257" s="62" t="s">
        <v>22</v>
      </c>
      <c r="P257" s="62"/>
      <c r="Q257" s="62" t="s">
        <v>22</v>
      </c>
      <c r="R257" s="43"/>
      <c r="S257" s="63"/>
      <c r="T257" s="142">
        <v>4915142647256</v>
      </c>
      <c r="U257" s="116">
        <v>440152048209</v>
      </c>
      <c r="V257" s="63"/>
      <c r="W257" s="63"/>
      <c r="X257" s="77">
        <v>43194</v>
      </c>
      <c r="Y257" s="45" t="s">
        <v>27</v>
      </c>
      <c r="Z257" s="45" t="s">
        <v>27</v>
      </c>
      <c r="AA257" s="45" t="s">
        <v>27</v>
      </c>
      <c r="AB257" s="45"/>
      <c r="AC257" s="169"/>
    </row>
    <row r="258" spans="1:29" s="68" customFormat="1" ht="15" hidden="1" customHeight="1">
      <c r="A258" s="62" t="s">
        <v>364</v>
      </c>
      <c r="B258" s="43" t="s">
        <v>373</v>
      </c>
      <c r="C258" s="43" t="s">
        <v>27</v>
      </c>
      <c r="D258" s="67" t="s">
        <v>25</v>
      </c>
      <c r="E258" s="62" t="s">
        <v>17</v>
      </c>
      <c r="F258" s="62" t="s">
        <v>374</v>
      </c>
      <c r="G258" s="43" t="s">
        <v>1751</v>
      </c>
      <c r="H258" s="62" t="s">
        <v>20</v>
      </c>
      <c r="I258" s="43" t="s">
        <v>21</v>
      </c>
      <c r="J258" s="44" t="s">
        <v>3677</v>
      </c>
      <c r="K258" s="44" t="s">
        <v>61</v>
      </c>
      <c r="L258" s="43" t="s">
        <v>211</v>
      </c>
      <c r="M258" s="62" t="s">
        <v>22</v>
      </c>
      <c r="N258" s="62" t="s">
        <v>22</v>
      </c>
      <c r="O258" s="62" t="s">
        <v>22</v>
      </c>
      <c r="P258" s="62"/>
      <c r="Q258" s="62" t="s">
        <v>22</v>
      </c>
      <c r="R258" s="43"/>
      <c r="S258" s="63"/>
      <c r="T258" s="142">
        <v>491605111593</v>
      </c>
      <c r="U258" s="116">
        <v>440152218154</v>
      </c>
      <c r="V258" s="63"/>
      <c r="W258" s="63"/>
      <c r="X258" s="77">
        <v>43194</v>
      </c>
      <c r="Y258" s="45" t="s">
        <v>27</v>
      </c>
      <c r="Z258" s="45" t="s">
        <v>27</v>
      </c>
      <c r="AA258" s="45" t="s">
        <v>27</v>
      </c>
      <c r="AB258" s="45"/>
      <c r="AC258" s="169"/>
    </row>
    <row r="259" spans="1:29" s="68" customFormat="1" ht="15" hidden="1" customHeight="1">
      <c r="A259" s="62" t="s">
        <v>364</v>
      </c>
      <c r="B259" s="43" t="s">
        <v>375</v>
      </c>
      <c r="C259" s="43" t="s">
        <v>27</v>
      </c>
      <c r="D259" s="67" t="s">
        <v>25</v>
      </c>
      <c r="E259" s="62" t="s">
        <v>17</v>
      </c>
      <c r="F259" s="62" t="s">
        <v>376</v>
      </c>
      <c r="G259" s="43" t="s">
        <v>1779</v>
      </c>
      <c r="H259" s="62" t="s">
        <v>20</v>
      </c>
      <c r="I259" s="43" t="s">
        <v>21</v>
      </c>
      <c r="J259" s="44" t="s">
        <v>3677</v>
      </c>
      <c r="K259" s="44" t="s">
        <v>38</v>
      </c>
      <c r="L259" s="43" t="s">
        <v>211</v>
      </c>
      <c r="M259" s="62" t="s">
        <v>22</v>
      </c>
      <c r="N259" s="62" t="s">
        <v>22</v>
      </c>
      <c r="O259" s="62" t="s">
        <v>22</v>
      </c>
      <c r="P259" s="62"/>
      <c r="Q259" s="62" t="s">
        <v>22</v>
      </c>
      <c r="R259" s="43"/>
      <c r="S259" s="63"/>
      <c r="T259" s="142">
        <v>491605101703</v>
      </c>
      <c r="U259" s="116">
        <v>440152238946</v>
      </c>
      <c r="V259" s="63"/>
      <c r="W259" s="63"/>
      <c r="X259" s="77">
        <v>43199</v>
      </c>
      <c r="Y259" s="45" t="s">
        <v>27</v>
      </c>
      <c r="Z259" s="45" t="s">
        <v>27</v>
      </c>
      <c r="AA259" s="45" t="s">
        <v>27</v>
      </c>
      <c r="AB259" s="45"/>
      <c r="AC259" s="169"/>
    </row>
    <row r="260" spans="1:29" s="68" customFormat="1" ht="15" hidden="1" customHeight="1">
      <c r="A260" s="62" t="s">
        <v>364</v>
      </c>
      <c r="B260" s="43" t="s">
        <v>377</v>
      </c>
      <c r="C260" s="43" t="s">
        <v>27</v>
      </c>
      <c r="D260" s="67" t="s">
        <v>2760</v>
      </c>
      <c r="E260" s="62" t="s">
        <v>17</v>
      </c>
      <c r="F260" s="62" t="s">
        <v>378</v>
      </c>
      <c r="G260" s="43" t="s">
        <v>1779</v>
      </c>
      <c r="H260" s="62" t="s">
        <v>20</v>
      </c>
      <c r="I260" s="43" t="s">
        <v>21</v>
      </c>
      <c r="J260" s="44" t="s">
        <v>3677</v>
      </c>
      <c r="K260" s="44" t="s">
        <v>61</v>
      </c>
      <c r="L260" s="43" t="s">
        <v>23</v>
      </c>
      <c r="M260" s="62" t="s">
        <v>22</v>
      </c>
      <c r="N260" s="62" t="s">
        <v>22</v>
      </c>
      <c r="O260" s="62" t="s">
        <v>22</v>
      </c>
      <c r="P260" s="62"/>
      <c r="Q260" s="62" t="s">
        <v>22</v>
      </c>
      <c r="R260" s="43"/>
      <c r="S260" s="63"/>
      <c r="T260" s="142">
        <v>1605111219</v>
      </c>
      <c r="U260" s="116">
        <v>440152056422</v>
      </c>
      <c r="V260" s="63"/>
      <c r="W260" s="63"/>
      <c r="X260" s="77">
        <v>43194</v>
      </c>
      <c r="Y260" s="45" t="s">
        <v>27</v>
      </c>
      <c r="Z260" s="45" t="s">
        <v>27</v>
      </c>
      <c r="AA260" s="45" t="s">
        <v>27</v>
      </c>
      <c r="AB260" s="45"/>
      <c r="AC260" s="169"/>
    </row>
    <row r="261" spans="1:29" s="68" customFormat="1" ht="15" hidden="1" customHeight="1">
      <c r="A261" s="62" t="s">
        <v>364</v>
      </c>
      <c r="B261" s="43" t="s">
        <v>379</v>
      </c>
      <c r="C261" s="43" t="s">
        <v>27</v>
      </c>
      <c r="D261" s="67" t="s">
        <v>2758</v>
      </c>
      <c r="E261" s="62" t="s">
        <v>17</v>
      </c>
      <c r="F261" s="62" t="s">
        <v>380</v>
      </c>
      <c r="G261" s="43" t="s">
        <v>1777</v>
      </c>
      <c r="H261" s="62" t="s">
        <v>20</v>
      </c>
      <c r="I261" s="43" t="s">
        <v>21</v>
      </c>
      <c r="J261" s="44" t="s">
        <v>3677</v>
      </c>
      <c r="K261" s="44" t="s">
        <v>33</v>
      </c>
      <c r="L261" s="43" t="s">
        <v>211</v>
      </c>
      <c r="M261" s="62" t="s">
        <v>22</v>
      </c>
      <c r="N261" s="62" t="s">
        <v>22</v>
      </c>
      <c r="O261" s="62" t="s">
        <v>22</v>
      </c>
      <c r="P261" s="62"/>
      <c r="Q261" s="62" t="s">
        <v>2724</v>
      </c>
      <c r="R261" s="43"/>
      <c r="S261" s="63"/>
      <c r="T261" s="142" t="s">
        <v>2237</v>
      </c>
      <c r="U261" s="116">
        <v>440152237241</v>
      </c>
      <c r="V261" s="63"/>
      <c r="W261" s="63"/>
      <c r="X261" s="77">
        <v>43194</v>
      </c>
      <c r="Y261" s="45" t="s">
        <v>27</v>
      </c>
      <c r="Z261" s="45" t="s">
        <v>27</v>
      </c>
      <c r="AA261" s="45" t="s">
        <v>27</v>
      </c>
      <c r="AB261" s="45"/>
      <c r="AC261" s="169"/>
    </row>
    <row r="262" spans="1:29" s="68" customFormat="1" ht="15" hidden="1" customHeight="1">
      <c r="A262" s="62" t="s">
        <v>364</v>
      </c>
      <c r="B262" s="43" t="s">
        <v>381</v>
      </c>
      <c r="C262" s="43" t="s">
        <v>27</v>
      </c>
      <c r="D262" s="67" t="s">
        <v>2759</v>
      </c>
      <c r="E262" s="62" t="s">
        <v>17</v>
      </c>
      <c r="F262" s="62" t="s">
        <v>382</v>
      </c>
      <c r="G262" s="43" t="s">
        <v>1777</v>
      </c>
      <c r="H262" s="62" t="s">
        <v>20</v>
      </c>
      <c r="I262" s="43" t="s">
        <v>21</v>
      </c>
      <c r="J262" s="44" t="s">
        <v>3677</v>
      </c>
      <c r="K262" s="44" t="s">
        <v>33</v>
      </c>
      <c r="L262" s="43" t="s">
        <v>211</v>
      </c>
      <c r="M262" s="62" t="s">
        <v>22</v>
      </c>
      <c r="N262" s="62" t="s">
        <v>22</v>
      </c>
      <c r="O262" s="62" t="s">
        <v>22</v>
      </c>
      <c r="P262" s="62"/>
      <c r="Q262" s="62" t="s">
        <v>2735</v>
      </c>
      <c r="R262" s="43"/>
      <c r="S262" s="63"/>
      <c r="T262" s="142" t="s">
        <v>2248</v>
      </c>
      <c r="U262" s="116">
        <v>440152056645</v>
      </c>
      <c r="V262" s="63"/>
      <c r="W262" s="63"/>
      <c r="X262" s="77">
        <v>43194</v>
      </c>
      <c r="Y262" s="45" t="s">
        <v>27</v>
      </c>
      <c r="Z262" s="45" t="s">
        <v>27</v>
      </c>
      <c r="AA262" s="45" t="s">
        <v>27</v>
      </c>
      <c r="AB262" s="45"/>
      <c r="AC262" s="169"/>
    </row>
    <row r="263" spans="1:29" s="68" customFormat="1" ht="15" hidden="1" customHeight="1">
      <c r="A263" s="62" t="s">
        <v>364</v>
      </c>
      <c r="B263" s="43" t="s">
        <v>383</v>
      </c>
      <c r="C263" s="43" t="s">
        <v>27</v>
      </c>
      <c r="D263" s="67" t="s">
        <v>2759</v>
      </c>
      <c r="E263" s="62" t="s">
        <v>17</v>
      </c>
      <c r="F263" s="62" t="s">
        <v>384</v>
      </c>
      <c r="G263" s="43" t="s">
        <v>1778</v>
      </c>
      <c r="H263" s="62" t="s">
        <v>20</v>
      </c>
      <c r="I263" s="43" t="s">
        <v>21</v>
      </c>
      <c r="J263" s="44" t="s">
        <v>3677</v>
      </c>
      <c r="K263" s="44" t="s">
        <v>337</v>
      </c>
      <c r="L263" s="43" t="s">
        <v>211</v>
      </c>
      <c r="M263" s="62" t="s">
        <v>22</v>
      </c>
      <c r="N263" s="62" t="s">
        <v>22</v>
      </c>
      <c r="O263" s="62" t="s">
        <v>22</v>
      </c>
      <c r="P263" s="62"/>
      <c r="Q263" s="62" t="s">
        <v>2745</v>
      </c>
      <c r="R263" s="43"/>
      <c r="S263" s="63"/>
      <c r="T263" s="142">
        <v>491605104651</v>
      </c>
      <c r="U263" s="116">
        <v>440152237248</v>
      </c>
      <c r="V263" s="63"/>
      <c r="W263" s="63"/>
      <c r="X263" s="77">
        <v>43194</v>
      </c>
      <c r="Y263" s="45" t="s">
        <v>27</v>
      </c>
      <c r="Z263" s="45" t="s">
        <v>27</v>
      </c>
      <c r="AA263" s="45" t="s">
        <v>27</v>
      </c>
      <c r="AB263" s="45"/>
      <c r="AC263" s="169"/>
    </row>
    <row r="264" spans="1:29" s="68" customFormat="1" ht="15" hidden="1" customHeight="1">
      <c r="A264" s="62" t="s">
        <v>364</v>
      </c>
      <c r="B264" s="43" t="s">
        <v>385</v>
      </c>
      <c r="C264" s="43" t="s">
        <v>27</v>
      </c>
      <c r="D264" s="67" t="s">
        <v>25</v>
      </c>
      <c r="E264" s="62" t="s">
        <v>17</v>
      </c>
      <c r="F264" s="62" t="s">
        <v>386</v>
      </c>
      <c r="G264" s="43" t="s">
        <v>1780</v>
      </c>
      <c r="H264" s="62" t="s">
        <v>20</v>
      </c>
      <c r="I264" s="43" t="s">
        <v>21</v>
      </c>
      <c r="J264" s="44" t="s">
        <v>2259</v>
      </c>
      <c r="K264" s="44" t="s">
        <v>33</v>
      </c>
      <c r="L264" s="43" t="s">
        <v>211</v>
      </c>
      <c r="M264" s="62" t="s">
        <v>22</v>
      </c>
      <c r="N264" s="62" t="s">
        <v>22</v>
      </c>
      <c r="O264" s="62" t="s">
        <v>22</v>
      </c>
      <c r="P264" s="62"/>
      <c r="Q264" s="62" t="s">
        <v>22</v>
      </c>
      <c r="R264" s="43"/>
      <c r="S264" s="63"/>
      <c r="T264" s="142">
        <v>4917610563440</v>
      </c>
      <c r="U264" s="116">
        <v>440152238951</v>
      </c>
      <c r="V264" s="63"/>
      <c r="W264" s="63"/>
      <c r="X264" s="77">
        <v>43194</v>
      </c>
      <c r="Y264" s="45" t="s">
        <v>27</v>
      </c>
      <c r="Z264" s="45" t="s">
        <v>27</v>
      </c>
      <c r="AA264" s="45" t="s">
        <v>27</v>
      </c>
      <c r="AB264" s="45"/>
      <c r="AC264" s="169"/>
    </row>
    <row r="265" spans="1:29" s="68" customFormat="1" ht="15" hidden="1" customHeight="1">
      <c r="A265" s="62" t="s">
        <v>364</v>
      </c>
      <c r="B265" s="43" t="s">
        <v>387</v>
      </c>
      <c r="C265" s="43" t="s">
        <v>27</v>
      </c>
      <c r="D265" s="67" t="s">
        <v>2758</v>
      </c>
      <c r="E265" s="62" t="s">
        <v>17</v>
      </c>
      <c r="F265" s="62" t="s">
        <v>388</v>
      </c>
      <c r="G265" s="43" t="s">
        <v>1780</v>
      </c>
      <c r="H265" s="62" t="s">
        <v>20</v>
      </c>
      <c r="I265" s="43" t="s">
        <v>21</v>
      </c>
      <c r="J265" s="44" t="s">
        <v>2259</v>
      </c>
      <c r="K265" s="44" t="s">
        <v>33</v>
      </c>
      <c r="L265" s="43" t="s">
        <v>211</v>
      </c>
      <c r="M265" s="62" t="s">
        <v>22</v>
      </c>
      <c r="N265" s="62" t="s">
        <v>22</v>
      </c>
      <c r="O265" s="62" t="s">
        <v>22</v>
      </c>
      <c r="P265" s="62"/>
      <c r="Q265" s="62" t="s">
        <v>2723</v>
      </c>
      <c r="R265" s="43"/>
      <c r="S265" s="63"/>
      <c r="T265" s="142" t="s">
        <v>2234</v>
      </c>
      <c r="U265" s="116">
        <v>440152237238</v>
      </c>
      <c r="V265" s="63"/>
      <c r="W265" s="63"/>
      <c r="X265" s="77">
        <v>43194</v>
      </c>
      <c r="Y265" s="45" t="s">
        <v>27</v>
      </c>
      <c r="Z265" s="45" t="s">
        <v>27</v>
      </c>
      <c r="AA265" s="45" t="s">
        <v>27</v>
      </c>
      <c r="AB265" s="45"/>
      <c r="AC265" s="169"/>
    </row>
    <row r="266" spans="1:29" s="68" customFormat="1" ht="15" hidden="1" customHeight="1">
      <c r="A266" s="62" t="s">
        <v>364</v>
      </c>
      <c r="B266" s="43" t="s">
        <v>389</v>
      </c>
      <c r="C266" s="43" t="s">
        <v>27</v>
      </c>
      <c r="D266" s="67" t="s">
        <v>2759</v>
      </c>
      <c r="E266" s="62" t="s">
        <v>17</v>
      </c>
      <c r="F266" s="62" t="s">
        <v>390</v>
      </c>
      <c r="G266" s="43" t="s">
        <v>1765</v>
      </c>
      <c r="H266" s="62" t="s">
        <v>20</v>
      </c>
      <c r="I266" s="43" t="s">
        <v>21</v>
      </c>
      <c r="J266" s="44" t="s">
        <v>2259</v>
      </c>
      <c r="K266" s="44" t="s">
        <v>33</v>
      </c>
      <c r="L266" s="43" t="s">
        <v>211</v>
      </c>
      <c r="M266" s="62" t="s">
        <v>22</v>
      </c>
      <c r="N266" s="62" t="s">
        <v>22</v>
      </c>
      <c r="O266" s="62" t="s">
        <v>22</v>
      </c>
      <c r="P266" s="62"/>
      <c r="Q266" s="62" t="s">
        <v>2746</v>
      </c>
      <c r="R266" s="43"/>
      <c r="S266" s="63"/>
      <c r="T266" s="142">
        <v>4917610506569</v>
      </c>
      <c r="U266" s="116">
        <v>440152239336</v>
      </c>
      <c r="V266" s="63"/>
      <c r="W266" s="63"/>
      <c r="X266" s="77">
        <v>43194</v>
      </c>
      <c r="Y266" s="45" t="s">
        <v>27</v>
      </c>
      <c r="Z266" s="45" t="s">
        <v>27</v>
      </c>
      <c r="AA266" s="45" t="s">
        <v>27</v>
      </c>
      <c r="AB266" s="45"/>
      <c r="AC266" s="169"/>
    </row>
    <row r="267" spans="1:29" s="68" customFormat="1" ht="15" hidden="1" customHeight="1">
      <c r="A267" s="62" t="s">
        <v>364</v>
      </c>
      <c r="B267" s="43" t="s">
        <v>391</v>
      </c>
      <c r="C267" s="43" t="s">
        <v>27</v>
      </c>
      <c r="D267" s="67" t="s">
        <v>2759</v>
      </c>
      <c r="E267" s="62" t="s">
        <v>17</v>
      </c>
      <c r="F267" s="62" t="s">
        <v>392</v>
      </c>
      <c r="G267" s="43" t="s">
        <v>1763</v>
      </c>
      <c r="H267" s="62" t="s">
        <v>20</v>
      </c>
      <c r="I267" s="43" t="s">
        <v>21</v>
      </c>
      <c r="J267" s="44" t="s">
        <v>2259</v>
      </c>
      <c r="K267" s="44" t="s">
        <v>33</v>
      </c>
      <c r="L267" s="43" t="s">
        <v>211</v>
      </c>
      <c r="M267" s="62" t="s">
        <v>22</v>
      </c>
      <c r="N267" s="62" t="s">
        <v>22</v>
      </c>
      <c r="O267" s="62" t="s">
        <v>22</v>
      </c>
      <c r="P267" s="62"/>
      <c r="Q267" s="62" t="s">
        <v>2722</v>
      </c>
      <c r="R267" s="43"/>
      <c r="S267" s="63"/>
      <c r="T267" s="142" t="s">
        <v>2233</v>
      </c>
      <c r="U267" s="116">
        <v>440152237254</v>
      </c>
      <c r="V267" s="63"/>
      <c r="W267" s="63"/>
      <c r="X267" s="77">
        <v>43194</v>
      </c>
      <c r="Y267" s="45" t="s">
        <v>27</v>
      </c>
      <c r="Z267" s="45" t="s">
        <v>27</v>
      </c>
      <c r="AA267" s="45" t="s">
        <v>27</v>
      </c>
      <c r="AB267" s="45"/>
      <c r="AC267" s="169"/>
    </row>
    <row r="268" spans="1:29" s="68" customFormat="1" ht="15" hidden="1" customHeight="1">
      <c r="A268" s="62" t="s">
        <v>364</v>
      </c>
      <c r="B268" s="43" t="s">
        <v>393</v>
      </c>
      <c r="C268" s="43" t="s">
        <v>27</v>
      </c>
      <c r="D268" s="67" t="s">
        <v>2759</v>
      </c>
      <c r="E268" s="62" t="s">
        <v>17</v>
      </c>
      <c r="F268" s="62" t="s">
        <v>394</v>
      </c>
      <c r="G268" s="43" t="s">
        <v>1769</v>
      </c>
      <c r="H268" s="62" t="s">
        <v>20</v>
      </c>
      <c r="I268" s="43" t="s">
        <v>21</v>
      </c>
      <c r="J268" s="44" t="s">
        <v>3677</v>
      </c>
      <c r="K268" s="44" t="s">
        <v>33</v>
      </c>
      <c r="L268" s="43" t="s">
        <v>211</v>
      </c>
      <c r="M268" s="62" t="s">
        <v>22</v>
      </c>
      <c r="N268" s="62" t="s">
        <v>22</v>
      </c>
      <c r="O268" s="62" t="s">
        <v>22</v>
      </c>
      <c r="P268" s="62"/>
      <c r="Q268" s="62" t="s">
        <v>27</v>
      </c>
      <c r="R268" s="43"/>
      <c r="S268" s="63"/>
      <c r="T268" s="142">
        <v>4915117966989</v>
      </c>
      <c r="U268" s="116">
        <v>440152238943</v>
      </c>
      <c r="V268" s="63"/>
      <c r="W268" s="63"/>
      <c r="X268" s="77">
        <v>43194</v>
      </c>
      <c r="Y268" s="45" t="s">
        <v>27</v>
      </c>
      <c r="Z268" s="45" t="s">
        <v>27</v>
      </c>
      <c r="AA268" s="45" t="s">
        <v>27</v>
      </c>
      <c r="AB268" s="45"/>
      <c r="AC268" s="169"/>
    </row>
    <row r="269" spans="1:29" s="68" customFormat="1" ht="15" hidden="1" customHeight="1">
      <c r="A269" s="62" t="s">
        <v>364</v>
      </c>
      <c r="B269" s="43" t="s">
        <v>395</v>
      </c>
      <c r="C269" s="43" t="s">
        <v>27</v>
      </c>
      <c r="D269" s="67" t="s">
        <v>2759</v>
      </c>
      <c r="E269" s="62" t="s">
        <v>17</v>
      </c>
      <c r="F269" s="62" t="s">
        <v>396</v>
      </c>
      <c r="G269" s="43" t="s">
        <v>1781</v>
      </c>
      <c r="H269" s="62" t="s">
        <v>20</v>
      </c>
      <c r="I269" s="43" t="s">
        <v>21</v>
      </c>
      <c r="J269" s="44" t="s">
        <v>2259</v>
      </c>
      <c r="K269" s="44" t="s">
        <v>61</v>
      </c>
      <c r="L269" s="43" t="s">
        <v>211</v>
      </c>
      <c r="M269" s="62" t="s">
        <v>22</v>
      </c>
      <c r="N269" s="62" t="s">
        <v>22</v>
      </c>
      <c r="O269" s="62" t="s">
        <v>22</v>
      </c>
      <c r="P269" s="62"/>
      <c r="Q269" s="62" t="s">
        <v>2729</v>
      </c>
      <c r="R269" s="43"/>
      <c r="S269" s="63"/>
      <c r="T269" s="142" t="s">
        <v>2242</v>
      </c>
      <c r="U269" s="116">
        <v>440152213644</v>
      </c>
      <c r="V269" s="63"/>
      <c r="W269" s="63"/>
      <c r="X269" s="77">
        <v>43194</v>
      </c>
      <c r="Y269" s="45" t="s">
        <v>27</v>
      </c>
      <c r="Z269" s="45" t="s">
        <v>27</v>
      </c>
      <c r="AA269" s="45" t="s">
        <v>27</v>
      </c>
      <c r="AB269" s="45"/>
      <c r="AC269" s="169"/>
    </row>
    <row r="270" spans="1:29" s="68" customFormat="1" ht="15" hidden="1" customHeight="1">
      <c r="A270" s="62" t="s">
        <v>364</v>
      </c>
      <c r="B270" s="43" t="s">
        <v>397</v>
      </c>
      <c r="C270" s="43" t="s">
        <v>27</v>
      </c>
      <c r="D270" s="67" t="s">
        <v>2760</v>
      </c>
      <c r="E270" s="62" t="s">
        <v>17</v>
      </c>
      <c r="F270" s="62" t="s">
        <v>398</v>
      </c>
      <c r="G270" s="43" t="s">
        <v>1768</v>
      </c>
      <c r="H270" s="62" t="s">
        <v>20</v>
      </c>
      <c r="I270" s="43" t="s">
        <v>21</v>
      </c>
      <c r="J270" s="44" t="s">
        <v>2259</v>
      </c>
      <c r="K270" s="44" t="s">
        <v>33</v>
      </c>
      <c r="L270" s="43" t="s">
        <v>211</v>
      </c>
      <c r="M270" s="62" t="s">
        <v>22</v>
      </c>
      <c r="N270" s="62" t="s">
        <v>22</v>
      </c>
      <c r="O270" s="62" t="s">
        <v>22</v>
      </c>
      <c r="P270" s="62"/>
      <c r="Q270" s="62" t="s">
        <v>2715</v>
      </c>
      <c r="R270" s="43"/>
      <c r="S270" s="63"/>
      <c r="T270" s="142">
        <v>4917610506581</v>
      </c>
      <c r="U270" s="116">
        <v>440152237226</v>
      </c>
      <c r="V270" s="63"/>
      <c r="W270" s="63"/>
      <c r="X270" s="77">
        <v>43194</v>
      </c>
      <c r="Y270" s="45" t="s">
        <v>27</v>
      </c>
      <c r="Z270" s="45" t="s">
        <v>27</v>
      </c>
      <c r="AA270" s="45" t="s">
        <v>27</v>
      </c>
      <c r="AB270" s="45"/>
      <c r="AC270" s="169"/>
    </row>
    <row r="271" spans="1:29" s="68" customFormat="1" ht="15" hidden="1" customHeight="1">
      <c r="A271" s="62" t="s">
        <v>364</v>
      </c>
      <c r="B271" s="43" t="s">
        <v>399</v>
      </c>
      <c r="C271" s="43" t="s">
        <v>27</v>
      </c>
      <c r="D271" s="67" t="s">
        <v>2758</v>
      </c>
      <c r="E271" s="62" t="s">
        <v>17</v>
      </c>
      <c r="F271" s="62" t="s">
        <v>1689</v>
      </c>
      <c r="G271" s="43" t="s">
        <v>1751</v>
      </c>
      <c r="H271" s="62" t="s">
        <v>20</v>
      </c>
      <c r="I271" s="43" t="s">
        <v>21</v>
      </c>
      <c r="J271" s="44" t="s">
        <v>3677</v>
      </c>
      <c r="K271" s="44" t="s">
        <v>61</v>
      </c>
      <c r="L271" s="43" t="s">
        <v>211</v>
      </c>
      <c r="M271" s="62" t="s">
        <v>22</v>
      </c>
      <c r="N271" s="62" t="s">
        <v>22</v>
      </c>
      <c r="O271" s="62" t="s">
        <v>22</v>
      </c>
      <c r="P271" s="62"/>
      <c r="Q271" s="62" t="s">
        <v>2718</v>
      </c>
      <c r="R271" s="43"/>
      <c r="S271" s="63"/>
      <c r="T271" s="142" t="s">
        <v>2230</v>
      </c>
      <c r="U271" s="116">
        <v>440152237234</v>
      </c>
      <c r="V271" s="63"/>
      <c r="W271" s="63"/>
      <c r="X271" s="77">
        <v>43194</v>
      </c>
      <c r="Y271" s="45" t="s">
        <v>27</v>
      </c>
      <c r="Z271" s="45" t="s">
        <v>27</v>
      </c>
      <c r="AA271" s="45" t="s">
        <v>27</v>
      </c>
      <c r="AB271" s="45"/>
      <c r="AC271" s="169"/>
    </row>
    <row r="272" spans="1:29" s="68" customFormat="1" ht="15" hidden="1" customHeight="1">
      <c r="A272" s="62" t="s">
        <v>364</v>
      </c>
      <c r="B272" s="43" t="s">
        <v>400</v>
      </c>
      <c r="C272" s="43" t="s">
        <v>27</v>
      </c>
      <c r="D272" s="67" t="s">
        <v>2759</v>
      </c>
      <c r="E272" s="62" t="s">
        <v>17</v>
      </c>
      <c r="F272" s="62" t="s">
        <v>1690</v>
      </c>
      <c r="G272" s="43" t="s">
        <v>1778</v>
      </c>
      <c r="H272" s="62" t="s">
        <v>20</v>
      </c>
      <c r="I272" s="43" t="s">
        <v>21</v>
      </c>
      <c r="J272" s="44" t="s">
        <v>2259</v>
      </c>
      <c r="K272" s="44" t="s">
        <v>61</v>
      </c>
      <c r="L272" s="43" t="s">
        <v>211</v>
      </c>
      <c r="M272" s="62" t="s">
        <v>22</v>
      </c>
      <c r="N272" s="62" t="s">
        <v>22</v>
      </c>
      <c r="O272" s="62" t="s">
        <v>22</v>
      </c>
      <c r="P272" s="62"/>
      <c r="Q272" s="62" t="s">
        <v>2739</v>
      </c>
      <c r="R272" s="43"/>
      <c r="S272" s="63"/>
      <c r="T272" s="142">
        <v>4917610056913</v>
      </c>
      <c r="U272" s="116">
        <v>440152237225</v>
      </c>
      <c r="V272" s="63"/>
      <c r="W272" s="63"/>
      <c r="X272" s="77">
        <v>43194</v>
      </c>
      <c r="Y272" s="45" t="s">
        <v>27</v>
      </c>
      <c r="Z272" s="45" t="s">
        <v>27</v>
      </c>
      <c r="AA272" s="45" t="s">
        <v>27</v>
      </c>
      <c r="AB272" s="45"/>
      <c r="AC272" s="169"/>
    </row>
    <row r="273" spans="1:29" s="68" customFormat="1" ht="15" hidden="1" customHeight="1">
      <c r="A273" s="62" t="s">
        <v>364</v>
      </c>
      <c r="B273" s="43" t="s">
        <v>401</v>
      </c>
      <c r="C273" s="43" t="s">
        <v>27</v>
      </c>
      <c r="D273" s="67" t="s">
        <v>2758</v>
      </c>
      <c r="E273" s="62" t="s">
        <v>17</v>
      </c>
      <c r="F273" s="62" t="s">
        <v>1691</v>
      </c>
      <c r="G273" s="43" t="s">
        <v>1752</v>
      </c>
      <c r="H273" s="62" t="s">
        <v>20</v>
      </c>
      <c r="I273" s="43" t="s">
        <v>21</v>
      </c>
      <c r="J273" s="44" t="s">
        <v>2259</v>
      </c>
      <c r="K273" s="44" t="s">
        <v>337</v>
      </c>
      <c r="L273" s="43" t="s">
        <v>211</v>
      </c>
      <c r="M273" s="62" t="s">
        <v>22</v>
      </c>
      <c r="N273" s="62" t="s">
        <v>22</v>
      </c>
      <c r="O273" s="62" t="s">
        <v>22</v>
      </c>
      <c r="P273" s="62"/>
      <c r="Q273" s="62" t="s">
        <v>2727</v>
      </c>
      <c r="R273" s="43"/>
      <c r="S273" s="63"/>
      <c r="T273" s="142" t="s">
        <v>2241</v>
      </c>
      <c r="U273" s="116">
        <v>440152238950</v>
      </c>
      <c r="V273" s="63"/>
      <c r="W273" s="63"/>
      <c r="X273" s="77">
        <v>43194</v>
      </c>
      <c r="Y273" s="45" t="s">
        <v>27</v>
      </c>
      <c r="Z273" s="45" t="s">
        <v>27</v>
      </c>
      <c r="AA273" s="45" t="s">
        <v>27</v>
      </c>
      <c r="AB273" s="45"/>
      <c r="AC273" s="169"/>
    </row>
    <row r="274" spans="1:29" s="68" customFormat="1" ht="15" hidden="1" customHeight="1">
      <c r="A274" s="62" t="s">
        <v>364</v>
      </c>
      <c r="B274" s="43" t="s">
        <v>402</v>
      </c>
      <c r="C274" s="43" t="s">
        <v>27</v>
      </c>
      <c r="D274" s="67" t="s">
        <v>2758</v>
      </c>
      <c r="E274" s="62" t="s">
        <v>17</v>
      </c>
      <c r="F274" s="62" t="s">
        <v>1692</v>
      </c>
      <c r="G274" s="43" t="s">
        <v>1772</v>
      </c>
      <c r="H274" s="62" t="s">
        <v>20</v>
      </c>
      <c r="I274" s="43" t="s">
        <v>21</v>
      </c>
      <c r="J274" s="44" t="s">
        <v>3677</v>
      </c>
      <c r="K274" s="44" t="s">
        <v>33</v>
      </c>
      <c r="L274" s="43" t="s">
        <v>211</v>
      </c>
      <c r="M274" s="62" t="s">
        <v>22</v>
      </c>
      <c r="N274" s="62" t="s">
        <v>22</v>
      </c>
      <c r="O274" s="62" t="s">
        <v>22</v>
      </c>
      <c r="P274" s="62"/>
      <c r="Q274" s="62" t="s">
        <v>2728</v>
      </c>
      <c r="R274" s="43"/>
      <c r="S274" s="63"/>
      <c r="T274" s="142" t="s">
        <v>2240</v>
      </c>
      <c r="U274" s="116">
        <v>440152237251</v>
      </c>
      <c r="V274" s="63"/>
      <c r="W274" s="63"/>
      <c r="X274" s="77">
        <v>43194</v>
      </c>
      <c r="Y274" s="45" t="s">
        <v>27</v>
      </c>
      <c r="Z274" s="45" t="s">
        <v>27</v>
      </c>
      <c r="AA274" s="45" t="s">
        <v>27</v>
      </c>
      <c r="AB274" s="45"/>
      <c r="AC274" s="169"/>
    </row>
    <row r="275" spans="1:29" s="68" customFormat="1" ht="15" hidden="1" customHeight="1">
      <c r="A275" s="62" t="s">
        <v>364</v>
      </c>
      <c r="B275" s="43" t="s">
        <v>403</v>
      </c>
      <c r="C275" s="43" t="s">
        <v>27</v>
      </c>
      <c r="D275" s="67" t="s">
        <v>2759</v>
      </c>
      <c r="E275" s="62" t="s">
        <v>17</v>
      </c>
      <c r="F275" s="62" t="s">
        <v>1693</v>
      </c>
      <c r="G275" s="43" t="s">
        <v>1741</v>
      </c>
      <c r="H275" s="62" t="s">
        <v>20</v>
      </c>
      <c r="I275" s="43" t="s">
        <v>21</v>
      </c>
      <c r="J275" s="44" t="s">
        <v>3677</v>
      </c>
      <c r="K275" s="44" t="s">
        <v>33</v>
      </c>
      <c r="L275" s="43" t="s">
        <v>211</v>
      </c>
      <c r="M275" s="62" t="s">
        <v>22</v>
      </c>
      <c r="N275" s="62" t="s">
        <v>22</v>
      </c>
      <c r="O275" s="62" t="s">
        <v>22</v>
      </c>
      <c r="P275" s="62"/>
      <c r="Q275" s="62" t="s">
        <v>2719</v>
      </c>
      <c r="R275" s="43"/>
      <c r="S275" s="63"/>
      <c r="T275" s="142" t="s">
        <v>2231</v>
      </c>
      <c r="U275" s="116">
        <v>440152237224</v>
      </c>
      <c r="V275" s="63"/>
      <c r="W275" s="63"/>
      <c r="X275" s="77">
        <v>43194</v>
      </c>
      <c r="Y275" s="45" t="s">
        <v>27</v>
      </c>
      <c r="Z275" s="45" t="s">
        <v>27</v>
      </c>
      <c r="AA275" s="45" t="s">
        <v>27</v>
      </c>
      <c r="AB275" s="45"/>
      <c r="AC275" s="169"/>
    </row>
    <row r="276" spans="1:29" s="68" customFormat="1" ht="15" hidden="1" customHeight="1">
      <c r="A276" s="62" t="s">
        <v>364</v>
      </c>
      <c r="B276" s="43" t="s">
        <v>404</v>
      </c>
      <c r="C276" s="43" t="s">
        <v>27</v>
      </c>
      <c r="D276" s="67" t="s">
        <v>25</v>
      </c>
      <c r="E276" s="62" t="s">
        <v>17</v>
      </c>
      <c r="F276" s="62" t="s">
        <v>1694</v>
      </c>
      <c r="G276" s="43" t="s">
        <v>1760</v>
      </c>
      <c r="H276" s="62" t="s">
        <v>20</v>
      </c>
      <c r="I276" s="43" t="s">
        <v>21</v>
      </c>
      <c r="J276" s="44" t="s">
        <v>2259</v>
      </c>
      <c r="K276" s="44" t="s">
        <v>33</v>
      </c>
      <c r="L276" s="43" t="s">
        <v>211</v>
      </c>
      <c r="M276" s="62" t="s">
        <v>22</v>
      </c>
      <c r="N276" s="62" t="s">
        <v>22</v>
      </c>
      <c r="O276" s="62" t="s">
        <v>22</v>
      </c>
      <c r="P276" s="62"/>
      <c r="Q276" s="62" t="s">
        <v>2742</v>
      </c>
      <c r="R276" s="43"/>
      <c r="S276" s="63"/>
      <c r="T276" s="142">
        <v>4915904545567</v>
      </c>
      <c r="U276" s="116">
        <v>440152237228</v>
      </c>
      <c r="V276" s="63"/>
      <c r="W276" s="63"/>
      <c r="X276" s="77">
        <v>43194</v>
      </c>
      <c r="Y276" s="45" t="s">
        <v>27</v>
      </c>
      <c r="Z276" s="45" t="s">
        <v>27</v>
      </c>
      <c r="AA276" s="45" t="s">
        <v>27</v>
      </c>
      <c r="AB276" s="45"/>
      <c r="AC276" s="169"/>
    </row>
    <row r="277" spans="1:29" s="68" customFormat="1" ht="15" hidden="1" customHeight="1">
      <c r="A277" s="62" t="s">
        <v>364</v>
      </c>
      <c r="B277" s="43" t="s">
        <v>405</v>
      </c>
      <c r="C277" s="43" t="s">
        <v>27</v>
      </c>
      <c r="D277" s="67" t="s">
        <v>2759</v>
      </c>
      <c r="E277" s="62" t="s">
        <v>17</v>
      </c>
      <c r="F277" s="62" t="s">
        <v>1695</v>
      </c>
      <c r="G277" s="43" t="s">
        <v>1760</v>
      </c>
      <c r="H277" s="62" t="s">
        <v>20</v>
      </c>
      <c r="I277" s="43" t="s">
        <v>21</v>
      </c>
      <c r="J277" s="44" t="s">
        <v>3677</v>
      </c>
      <c r="K277" s="44" t="s">
        <v>33</v>
      </c>
      <c r="L277" s="43" t="s">
        <v>211</v>
      </c>
      <c r="M277" s="62" t="s">
        <v>22</v>
      </c>
      <c r="N277" s="62" t="s">
        <v>22</v>
      </c>
      <c r="O277" s="62" t="s">
        <v>22</v>
      </c>
      <c r="P277" s="62"/>
      <c r="Q277" s="62" t="s">
        <v>2737</v>
      </c>
      <c r="R277" s="43"/>
      <c r="S277" s="63"/>
      <c r="T277" s="142" t="s">
        <v>2236</v>
      </c>
      <c r="U277" s="116">
        <v>440152237256</v>
      </c>
      <c r="V277" s="63"/>
      <c r="W277" s="63"/>
      <c r="X277" s="77">
        <v>43194</v>
      </c>
      <c r="Y277" s="45" t="s">
        <v>27</v>
      </c>
      <c r="Z277" s="45" t="s">
        <v>27</v>
      </c>
      <c r="AA277" s="45" t="s">
        <v>27</v>
      </c>
      <c r="AB277" s="45"/>
      <c r="AC277" s="169"/>
    </row>
    <row r="278" spans="1:29" s="68" customFormat="1" ht="15" hidden="1" customHeight="1">
      <c r="A278" s="62" t="s">
        <v>364</v>
      </c>
      <c r="B278" s="43" t="s">
        <v>406</v>
      </c>
      <c r="C278" s="43" t="s">
        <v>27</v>
      </c>
      <c r="D278" s="67" t="s">
        <v>25</v>
      </c>
      <c r="E278" s="62" t="s">
        <v>17</v>
      </c>
      <c r="F278" s="62" t="s">
        <v>1696</v>
      </c>
      <c r="G278" s="43" t="s">
        <v>1770</v>
      </c>
      <c r="H278" s="62" t="s">
        <v>20</v>
      </c>
      <c r="I278" s="43" t="s">
        <v>21</v>
      </c>
      <c r="J278" s="44" t="s">
        <v>2259</v>
      </c>
      <c r="K278" s="44" t="s">
        <v>33</v>
      </c>
      <c r="L278" s="43" t="s">
        <v>211</v>
      </c>
      <c r="M278" s="62" t="s">
        <v>22</v>
      </c>
      <c r="N278" s="62" t="s">
        <v>22</v>
      </c>
      <c r="O278" s="62" t="s">
        <v>22</v>
      </c>
      <c r="P278" s="62"/>
      <c r="Q278" s="62" t="s">
        <v>22</v>
      </c>
      <c r="R278" s="43"/>
      <c r="S278" s="63"/>
      <c r="T278" s="142">
        <v>4915904263196</v>
      </c>
      <c r="U278" s="116">
        <v>440152213453</v>
      </c>
      <c r="V278" s="63"/>
      <c r="W278" s="63"/>
      <c r="X278" s="77">
        <v>43199</v>
      </c>
      <c r="Y278" s="45" t="s">
        <v>27</v>
      </c>
      <c r="Z278" s="45" t="s">
        <v>27</v>
      </c>
      <c r="AA278" s="45" t="s">
        <v>27</v>
      </c>
      <c r="AB278" s="45"/>
      <c r="AC278" s="169"/>
    </row>
    <row r="279" spans="1:29" s="68" customFormat="1" ht="15" hidden="1" customHeight="1">
      <c r="A279" s="62" t="s">
        <v>364</v>
      </c>
      <c r="B279" s="43" t="s">
        <v>407</v>
      </c>
      <c r="C279" s="43" t="s">
        <v>27</v>
      </c>
      <c r="D279" s="67" t="s">
        <v>2759</v>
      </c>
      <c r="E279" s="62" t="s">
        <v>17</v>
      </c>
      <c r="F279" s="62" t="s">
        <v>1697</v>
      </c>
      <c r="G279" s="43" t="s">
        <v>1770</v>
      </c>
      <c r="H279" s="62" t="s">
        <v>20</v>
      </c>
      <c r="I279" s="43" t="s">
        <v>21</v>
      </c>
      <c r="J279" s="44" t="s">
        <v>2259</v>
      </c>
      <c r="K279" s="44" t="s">
        <v>61</v>
      </c>
      <c r="L279" s="43" t="s">
        <v>211</v>
      </c>
      <c r="M279" s="62" t="s">
        <v>22</v>
      </c>
      <c r="N279" s="62" t="s">
        <v>22</v>
      </c>
      <c r="O279" s="62" t="s">
        <v>22</v>
      </c>
      <c r="P279" s="62"/>
      <c r="Q279" s="62" t="s">
        <v>2747</v>
      </c>
      <c r="R279" s="43"/>
      <c r="S279" s="63"/>
      <c r="T279" s="142">
        <v>4915904545557</v>
      </c>
      <c r="U279" s="116">
        <v>440152219777</v>
      </c>
      <c r="V279" s="63"/>
      <c r="W279" s="63"/>
      <c r="X279" s="77">
        <v>43194</v>
      </c>
      <c r="Y279" s="45" t="s">
        <v>27</v>
      </c>
      <c r="Z279" s="45" t="s">
        <v>27</v>
      </c>
      <c r="AA279" s="45" t="s">
        <v>27</v>
      </c>
      <c r="AB279" s="45"/>
      <c r="AC279" s="169"/>
    </row>
    <row r="280" spans="1:29" s="68" customFormat="1" ht="15" hidden="1" customHeight="1">
      <c r="A280" s="62" t="s">
        <v>364</v>
      </c>
      <c r="B280" s="43" t="s">
        <v>408</v>
      </c>
      <c r="C280" s="43" t="s">
        <v>22</v>
      </c>
      <c r="D280" s="67"/>
      <c r="E280" s="62" t="s">
        <v>17</v>
      </c>
      <c r="F280" s="62" t="s">
        <v>1698</v>
      </c>
      <c r="G280" s="87" t="s">
        <v>1783</v>
      </c>
      <c r="H280" s="62" t="s">
        <v>20</v>
      </c>
      <c r="I280" s="43" t="s">
        <v>21</v>
      </c>
      <c r="J280" s="44"/>
      <c r="K280" s="44" t="s">
        <v>33</v>
      </c>
      <c r="L280" s="43"/>
      <c r="M280" s="62" t="s">
        <v>22</v>
      </c>
      <c r="N280" s="62" t="s">
        <v>22</v>
      </c>
      <c r="O280" s="62" t="s">
        <v>22</v>
      </c>
      <c r="P280" s="62"/>
      <c r="Q280" s="62" t="s">
        <v>22</v>
      </c>
      <c r="R280" s="43"/>
      <c r="S280" s="63"/>
      <c r="T280" s="142"/>
      <c r="U280" s="116"/>
      <c r="V280" s="63"/>
      <c r="W280" s="63"/>
      <c r="X280" s="77">
        <v>43194</v>
      </c>
      <c r="Y280" s="45" t="s">
        <v>27</v>
      </c>
      <c r="Z280" s="45" t="s">
        <v>27</v>
      </c>
      <c r="AA280" s="146" t="s">
        <v>2021</v>
      </c>
      <c r="AB280" s="146"/>
      <c r="AC280" s="169" t="s">
        <v>2251</v>
      </c>
    </row>
    <row r="281" spans="1:29" s="68" customFormat="1" ht="15" customHeight="1">
      <c r="A281" s="62" t="s">
        <v>364</v>
      </c>
      <c r="B281" s="43" t="s">
        <v>409</v>
      </c>
      <c r="C281" s="43" t="s">
        <v>27</v>
      </c>
      <c r="D281" s="53" t="s">
        <v>2758</v>
      </c>
      <c r="E281" s="62" t="s">
        <v>17</v>
      </c>
      <c r="F281" s="62" t="s">
        <v>1699</v>
      </c>
      <c r="G281" s="336" t="s">
        <v>5499</v>
      </c>
      <c r="H281" s="62" t="s">
        <v>3084</v>
      </c>
      <c r="I281" s="51" t="s">
        <v>21</v>
      </c>
      <c r="J281" s="44" t="s">
        <v>2259</v>
      </c>
      <c r="K281" s="44" t="s">
        <v>61</v>
      </c>
      <c r="L281" s="51" t="s">
        <v>4464</v>
      </c>
      <c r="M281" s="62" t="s">
        <v>22</v>
      </c>
      <c r="N281" s="62" t="s">
        <v>22</v>
      </c>
      <c r="O281" s="62" t="s">
        <v>3639</v>
      </c>
      <c r="P281" s="53" t="s">
        <v>4492</v>
      </c>
      <c r="Q281" s="62" t="s">
        <v>2720</v>
      </c>
      <c r="R281" s="43" t="s">
        <v>4493</v>
      </c>
      <c r="S281" s="43" t="s">
        <v>4494</v>
      </c>
      <c r="T281" s="142" t="s">
        <v>4554</v>
      </c>
      <c r="U281" s="116">
        <v>440152236943</v>
      </c>
      <c r="V281" s="63"/>
      <c r="W281" s="63"/>
      <c r="X281" s="77">
        <v>43194</v>
      </c>
      <c r="Y281" s="45" t="s">
        <v>27</v>
      </c>
      <c r="Z281" s="45" t="s">
        <v>27</v>
      </c>
      <c r="AA281" s="45" t="s">
        <v>27</v>
      </c>
      <c r="AB281" s="45"/>
      <c r="AC281" s="488"/>
    </row>
    <row r="282" spans="1:29" s="68" customFormat="1" ht="15" hidden="1" customHeight="1">
      <c r="A282" s="62" t="s">
        <v>364</v>
      </c>
      <c r="B282" s="43" t="s">
        <v>410</v>
      </c>
      <c r="C282" s="43" t="s">
        <v>27</v>
      </c>
      <c r="D282" s="67" t="s">
        <v>25</v>
      </c>
      <c r="E282" s="62" t="s">
        <v>17</v>
      </c>
      <c r="F282" s="62" t="s">
        <v>1707</v>
      </c>
      <c r="G282" s="43" t="s">
        <v>1743</v>
      </c>
      <c r="H282" s="62" t="s">
        <v>20</v>
      </c>
      <c r="I282" s="43" t="s">
        <v>21</v>
      </c>
      <c r="J282" s="44" t="s">
        <v>2259</v>
      </c>
      <c r="K282" s="44" t="s">
        <v>61</v>
      </c>
      <c r="L282" s="51" t="s">
        <v>211</v>
      </c>
      <c r="M282" s="62" t="s">
        <v>22</v>
      </c>
      <c r="N282" s="62" t="s">
        <v>22</v>
      </c>
      <c r="O282" s="62" t="s">
        <v>22</v>
      </c>
      <c r="P282" s="62"/>
      <c r="Q282" s="62" t="s">
        <v>22</v>
      </c>
      <c r="R282" s="43"/>
      <c r="S282" s="43"/>
      <c r="T282" s="142">
        <v>4917610056933</v>
      </c>
      <c r="U282" s="116">
        <v>440152237252</v>
      </c>
      <c r="V282" s="63"/>
      <c r="W282" s="63"/>
      <c r="X282" s="77">
        <v>43194</v>
      </c>
      <c r="Y282" s="45" t="s">
        <v>27</v>
      </c>
      <c r="Z282" s="45" t="s">
        <v>27</v>
      </c>
      <c r="AA282" s="45" t="s">
        <v>27</v>
      </c>
      <c r="AB282" s="45"/>
      <c r="AC282" s="169"/>
    </row>
    <row r="283" spans="1:29" s="68" customFormat="1" ht="15" hidden="1" customHeight="1">
      <c r="A283" s="62" t="s">
        <v>364</v>
      </c>
      <c r="B283" s="43" t="s">
        <v>411</v>
      </c>
      <c r="C283" s="43" t="s">
        <v>27</v>
      </c>
      <c r="D283" s="67" t="s">
        <v>2658</v>
      </c>
      <c r="E283" s="62" t="s">
        <v>17</v>
      </c>
      <c r="F283" s="62" t="s">
        <v>1700</v>
      </c>
      <c r="G283" s="43" t="s">
        <v>1745</v>
      </c>
      <c r="H283" s="62" t="s">
        <v>20</v>
      </c>
      <c r="I283" s="43" t="s">
        <v>21</v>
      </c>
      <c r="J283" s="44" t="s">
        <v>2259</v>
      </c>
      <c r="K283" s="44" t="s">
        <v>61</v>
      </c>
      <c r="L283" s="51" t="s">
        <v>211</v>
      </c>
      <c r="M283" s="62" t="s">
        <v>22</v>
      </c>
      <c r="N283" s="62" t="s">
        <v>22</v>
      </c>
      <c r="O283" s="62" t="s">
        <v>22</v>
      </c>
      <c r="P283" s="62"/>
      <c r="Q283" s="62" t="s">
        <v>2730</v>
      </c>
      <c r="R283" s="43"/>
      <c r="S283" s="43"/>
      <c r="T283" s="142" t="s">
        <v>2243</v>
      </c>
      <c r="U283" s="116">
        <v>440152237246</v>
      </c>
      <c r="V283" s="63"/>
      <c r="W283" s="63"/>
      <c r="X283" s="77">
        <v>43194</v>
      </c>
      <c r="Y283" s="45" t="s">
        <v>27</v>
      </c>
      <c r="Z283" s="45" t="s">
        <v>27</v>
      </c>
      <c r="AA283" s="45" t="s">
        <v>27</v>
      </c>
      <c r="AB283" s="45"/>
      <c r="AC283" s="169"/>
    </row>
    <row r="284" spans="1:29" s="68" customFormat="1" ht="15" hidden="1" customHeight="1">
      <c r="A284" s="62" t="s">
        <v>364</v>
      </c>
      <c r="B284" s="43" t="s">
        <v>412</v>
      </c>
      <c r="C284" s="43" t="s">
        <v>27</v>
      </c>
      <c r="D284" s="67" t="s">
        <v>2758</v>
      </c>
      <c r="E284" s="62" t="s">
        <v>17</v>
      </c>
      <c r="F284" s="62" t="s">
        <v>1701</v>
      </c>
      <c r="G284" s="43" t="s">
        <v>1745</v>
      </c>
      <c r="H284" s="62" t="s">
        <v>20</v>
      </c>
      <c r="I284" s="43" t="s">
        <v>21</v>
      </c>
      <c r="J284" s="44" t="s">
        <v>2259</v>
      </c>
      <c r="K284" s="44" t="s">
        <v>337</v>
      </c>
      <c r="L284" s="51" t="s">
        <v>211</v>
      </c>
      <c r="M284" s="62" t="s">
        <v>22</v>
      </c>
      <c r="N284" s="62" t="s">
        <v>22</v>
      </c>
      <c r="O284" s="62" t="s">
        <v>22</v>
      </c>
      <c r="P284" s="62"/>
      <c r="Q284" s="62" t="s">
        <v>2736</v>
      </c>
      <c r="R284" s="43"/>
      <c r="S284" s="43"/>
      <c r="T284" s="142" t="s">
        <v>2235</v>
      </c>
      <c r="U284" s="116">
        <v>440152237244</v>
      </c>
      <c r="V284" s="63"/>
      <c r="W284" s="63"/>
      <c r="X284" s="77">
        <v>43194</v>
      </c>
      <c r="Y284" s="45" t="s">
        <v>27</v>
      </c>
      <c r="Z284" s="45" t="s">
        <v>27</v>
      </c>
      <c r="AA284" s="45" t="s">
        <v>27</v>
      </c>
      <c r="AB284" s="45"/>
      <c r="AC284" s="169"/>
    </row>
    <row r="285" spans="1:29" s="68" customFormat="1" ht="15" hidden="1" customHeight="1">
      <c r="A285" s="62" t="s">
        <v>364</v>
      </c>
      <c r="B285" s="43" t="s">
        <v>413</v>
      </c>
      <c r="C285" s="43" t="s">
        <v>27</v>
      </c>
      <c r="D285" s="67" t="s">
        <v>2761</v>
      </c>
      <c r="E285" s="62" t="s">
        <v>17</v>
      </c>
      <c r="F285" s="62" t="s">
        <v>1702</v>
      </c>
      <c r="G285" s="43" t="s">
        <v>1771</v>
      </c>
      <c r="H285" s="62" t="s">
        <v>20</v>
      </c>
      <c r="I285" s="43" t="s">
        <v>21</v>
      </c>
      <c r="J285" s="44" t="s">
        <v>2259</v>
      </c>
      <c r="K285" s="44" t="s">
        <v>61</v>
      </c>
      <c r="L285" s="51" t="s">
        <v>23</v>
      </c>
      <c r="M285" s="62" t="s">
        <v>22</v>
      </c>
      <c r="N285" s="62" t="s">
        <v>22</v>
      </c>
      <c r="O285" s="62" t="s">
        <v>22</v>
      </c>
      <c r="P285" s="62"/>
      <c r="Q285" s="62" t="s">
        <v>22</v>
      </c>
      <c r="R285" s="43"/>
      <c r="S285" s="43"/>
      <c r="T285" s="142">
        <v>4915904545560</v>
      </c>
      <c r="U285" s="116">
        <v>440152219806</v>
      </c>
      <c r="V285" s="63"/>
      <c r="W285" s="63"/>
      <c r="X285" s="77">
        <v>43194</v>
      </c>
      <c r="Y285" s="45" t="s">
        <v>27</v>
      </c>
      <c r="Z285" s="45" t="s">
        <v>27</v>
      </c>
      <c r="AA285" s="45" t="s">
        <v>27</v>
      </c>
      <c r="AB285" s="45"/>
      <c r="AC285" s="169"/>
    </row>
    <row r="286" spans="1:29" s="68" customFormat="1" ht="15" hidden="1" customHeight="1">
      <c r="A286" s="62" t="s">
        <v>364</v>
      </c>
      <c r="B286" s="43" t="s">
        <v>414</v>
      </c>
      <c r="C286" s="43" t="s">
        <v>27</v>
      </c>
      <c r="D286" s="67" t="s">
        <v>2658</v>
      </c>
      <c r="E286" s="62" t="s">
        <v>17</v>
      </c>
      <c r="F286" s="62" t="s">
        <v>1703</v>
      </c>
      <c r="G286" s="43" t="s">
        <v>1771</v>
      </c>
      <c r="H286" s="62" t="s">
        <v>20</v>
      </c>
      <c r="I286" s="43" t="s">
        <v>21</v>
      </c>
      <c r="J286" s="44" t="s">
        <v>2259</v>
      </c>
      <c r="K286" s="44" t="s">
        <v>33</v>
      </c>
      <c r="L286" s="51" t="s">
        <v>211</v>
      </c>
      <c r="M286" s="62" t="s">
        <v>22</v>
      </c>
      <c r="N286" s="62" t="s">
        <v>22</v>
      </c>
      <c r="O286" s="62" t="s">
        <v>22</v>
      </c>
      <c r="P286" s="62"/>
      <c r="Q286" s="62" t="s">
        <v>2716</v>
      </c>
      <c r="R286" s="43"/>
      <c r="S286" s="43"/>
      <c r="T286" s="142" t="s">
        <v>2229</v>
      </c>
      <c r="U286" s="116">
        <v>440152237232</v>
      </c>
      <c r="V286" s="63"/>
      <c r="W286" s="63"/>
      <c r="X286" s="77">
        <v>43194</v>
      </c>
      <c r="Y286" s="45" t="s">
        <v>27</v>
      </c>
      <c r="Z286" s="45" t="s">
        <v>27</v>
      </c>
      <c r="AA286" s="45" t="s">
        <v>27</v>
      </c>
      <c r="AB286" s="45"/>
      <c r="AC286" s="169"/>
    </row>
    <row r="287" spans="1:29" s="68" customFormat="1" ht="15" hidden="1" customHeight="1">
      <c r="A287" s="62" t="s">
        <v>364</v>
      </c>
      <c r="B287" s="43" t="s">
        <v>415</v>
      </c>
      <c r="C287" s="43" t="s">
        <v>27</v>
      </c>
      <c r="D287" s="67" t="s">
        <v>2761</v>
      </c>
      <c r="E287" s="62" t="s">
        <v>17</v>
      </c>
      <c r="F287" s="62" t="s">
        <v>1704</v>
      </c>
      <c r="G287" s="43" t="s">
        <v>1773</v>
      </c>
      <c r="H287" s="62" t="s">
        <v>20</v>
      </c>
      <c r="I287" s="43" t="s">
        <v>21</v>
      </c>
      <c r="J287" s="44" t="s">
        <v>3677</v>
      </c>
      <c r="K287" s="44" t="s">
        <v>337</v>
      </c>
      <c r="L287" s="51" t="s">
        <v>23</v>
      </c>
      <c r="M287" s="62" t="s">
        <v>22</v>
      </c>
      <c r="N287" s="62" t="s">
        <v>22</v>
      </c>
      <c r="O287" s="62" t="s">
        <v>22</v>
      </c>
      <c r="P287" s="62"/>
      <c r="Q287" s="62" t="s">
        <v>22</v>
      </c>
      <c r="R287" s="43"/>
      <c r="S287" s="43"/>
      <c r="T287" s="142">
        <v>491605102237</v>
      </c>
      <c r="U287" s="116">
        <v>440152216697</v>
      </c>
      <c r="V287" s="63"/>
      <c r="W287" s="63"/>
      <c r="X287" s="77">
        <v>43194</v>
      </c>
      <c r="Y287" s="45" t="s">
        <v>27</v>
      </c>
      <c r="Z287" s="45" t="s">
        <v>27</v>
      </c>
      <c r="AA287" s="45" t="s">
        <v>27</v>
      </c>
      <c r="AB287" s="45"/>
      <c r="AC287" s="169"/>
    </row>
    <row r="288" spans="1:29" s="68" customFormat="1" ht="15" hidden="1" customHeight="1">
      <c r="A288" s="62" t="s">
        <v>364</v>
      </c>
      <c r="B288" s="43" t="s">
        <v>416</v>
      </c>
      <c r="C288" s="43" t="s">
        <v>27</v>
      </c>
      <c r="D288" s="67" t="s">
        <v>2761</v>
      </c>
      <c r="E288" s="62" t="s">
        <v>17</v>
      </c>
      <c r="F288" s="62" t="s">
        <v>1705</v>
      </c>
      <c r="G288" s="43" t="s">
        <v>1773</v>
      </c>
      <c r="H288" s="62" t="s">
        <v>20</v>
      </c>
      <c r="I288" s="43" t="s">
        <v>21</v>
      </c>
      <c r="J288" s="44" t="s">
        <v>3677</v>
      </c>
      <c r="K288" s="44" t="s">
        <v>33</v>
      </c>
      <c r="L288" s="51" t="s">
        <v>23</v>
      </c>
      <c r="M288" s="62" t="s">
        <v>22</v>
      </c>
      <c r="N288" s="62" t="s">
        <v>22</v>
      </c>
      <c r="O288" s="62" t="s">
        <v>22</v>
      </c>
      <c r="P288" s="62"/>
      <c r="Q288" s="62" t="s">
        <v>22</v>
      </c>
      <c r="R288" s="43"/>
      <c r="S288" s="43"/>
      <c r="T288" s="142">
        <v>491707979764</v>
      </c>
      <c r="U288" s="116">
        <v>440152217720</v>
      </c>
      <c r="V288" s="63"/>
      <c r="W288" s="63"/>
      <c r="X288" s="77">
        <v>43194</v>
      </c>
      <c r="Y288" s="45" t="s">
        <v>27</v>
      </c>
      <c r="Z288" s="45" t="s">
        <v>27</v>
      </c>
      <c r="AA288" s="45" t="s">
        <v>27</v>
      </c>
      <c r="AB288" s="45"/>
      <c r="AC288" s="169"/>
    </row>
    <row r="289" spans="1:29" s="68" customFormat="1" ht="15" hidden="1" customHeight="1">
      <c r="A289" s="62" t="s">
        <v>364</v>
      </c>
      <c r="B289" s="43" t="s">
        <v>417</v>
      </c>
      <c r="C289" s="43"/>
      <c r="D289" s="67"/>
      <c r="E289" s="62" t="s">
        <v>17</v>
      </c>
      <c r="F289" s="62" t="s">
        <v>1706</v>
      </c>
      <c r="G289" s="87" t="s">
        <v>1783</v>
      </c>
      <c r="H289" s="62" t="s">
        <v>96</v>
      </c>
      <c r="I289" s="43" t="s">
        <v>21</v>
      </c>
      <c r="J289" s="44"/>
      <c r="K289" s="44"/>
      <c r="L289" s="51"/>
      <c r="M289" s="62"/>
      <c r="N289" s="62"/>
      <c r="O289" s="62"/>
      <c r="P289" s="62"/>
      <c r="Q289" s="62"/>
      <c r="R289" s="43"/>
      <c r="S289" s="43"/>
      <c r="T289" s="142"/>
      <c r="U289" s="116"/>
      <c r="V289" s="63"/>
      <c r="W289" s="63"/>
      <c r="X289" s="62"/>
      <c r="Y289" s="45" t="s">
        <v>27</v>
      </c>
      <c r="Z289" s="45" t="s">
        <v>27</v>
      </c>
      <c r="AA289" s="146" t="s">
        <v>2021</v>
      </c>
      <c r="AB289" s="146"/>
      <c r="AC289" s="169"/>
    </row>
    <row r="290" spans="1:29" s="68" customFormat="1" ht="15" hidden="1" customHeight="1">
      <c r="A290" s="62" t="s">
        <v>364</v>
      </c>
      <c r="B290" s="43" t="s">
        <v>418</v>
      </c>
      <c r="C290" s="43" t="s">
        <v>27</v>
      </c>
      <c r="D290" s="67" t="s">
        <v>25</v>
      </c>
      <c r="E290" s="62" t="s">
        <v>17</v>
      </c>
      <c r="F290" s="62" t="s">
        <v>1708</v>
      </c>
      <c r="G290" s="43" t="s">
        <v>1753</v>
      </c>
      <c r="H290" s="62" t="s">
        <v>20</v>
      </c>
      <c r="I290" s="43" t="s">
        <v>21</v>
      </c>
      <c r="J290" s="44" t="s">
        <v>2259</v>
      </c>
      <c r="K290" s="44" t="s">
        <v>33</v>
      </c>
      <c r="L290" s="51" t="s">
        <v>23</v>
      </c>
      <c r="M290" s="62" t="s">
        <v>22</v>
      </c>
      <c r="N290" s="62" t="s">
        <v>22</v>
      </c>
      <c r="O290" s="62" t="s">
        <v>22</v>
      </c>
      <c r="P290" s="62"/>
      <c r="Q290" s="62" t="s">
        <v>22</v>
      </c>
      <c r="R290" s="43"/>
      <c r="S290" s="43"/>
      <c r="T290" s="142">
        <v>4915904545563</v>
      </c>
      <c r="U290" s="116">
        <v>440152217721</v>
      </c>
      <c r="V290" s="63"/>
      <c r="W290" s="63"/>
      <c r="X290" s="77">
        <v>43194</v>
      </c>
      <c r="Y290" s="45" t="s">
        <v>27</v>
      </c>
      <c r="Z290" s="45" t="s">
        <v>27</v>
      </c>
      <c r="AA290" s="45" t="s">
        <v>27</v>
      </c>
      <c r="AB290" s="45"/>
      <c r="AC290" s="169"/>
    </row>
    <row r="291" spans="1:29" s="68" customFormat="1" ht="15" customHeight="1">
      <c r="A291" s="62" t="s">
        <v>364</v>
      </c>
      <c r="B291" s="43" t="s">
        <v>419</v>
      </c>
      <c r="C291" s="43" t="s">
        <v>27</v>
      </c>
      <c r="D291" s="53" t="s">
        <v>2758</v>
      </c>
      <c r="E291" s="62" t="s">
        <v>5533</v>
      </c>
      <c r="F291" s="62" t="s">
        <v>1709</v>
      </c>
      <c r="G291" s="337" t="s">
        <v>5502</v>
      </c>
      <c r="H291" s="62" t="s">
        <v>3084</v>
      </c>
      <c r="I291" s="51" t="s">
        <v>60</v>
      </c>
      <c r="J291" s="438" t="s">
        <v>5855</v>
      </c>
      <c r="K291" s="44" t="s">
        <v>5854</v>
      </c>
      <c r="L291" s="51" t="s">
        <v>31</v>
      </c>
      <c r="M291" s="62" t="s">
        <v>22</v>
      </c>
      <c r="N291" s="62" t="s">
        <v>22</v>
      </c>
      <c r="O291" s="62" t="s">
        <v>3639</v>
      </c>
      <c r="P291" s="53" t="s">
        <v>4545</v>
      </c>
      <c r="Q291" s="62" t="s">
        <v>4547</v>
      </c>
      <c r="R291" s="43" t="s">
        <v>4550</v>
      </c>
      <c r="S291" s="43" t="s">
        <v>4551</v>
      </c>
      <c r="T291" s="142" t="s">
        <v>4590</v>
      </c>
      <c r="U291" s="116">
        <v>440152236952</v>
      </c>
      <c r="V291" s="63"/>
      <c r="W291" s="63"/>
      <c r="X291" s="77">
        <v>43194</v>
      </c>
      <c r="Y291" s="45" t="s">
        <v>27</v>
      </c>
      <c r="Z291" s="45" t="s">
        <v>27</v>
      </c>
      <c r="AA291" s="45" t="s">
        <v>22</v>
      </c>
      <c r="AB291" s="45"/>
      <c r="AC291" s="497" t="s">
        <v>6524</v>
      </c>
    </row>
    <row r="292" spans="1:29" s="68" customFormat="1" ht="15" hidden="1" customHeight="1">
      <c r="A292" s="62" t="s">
        <v>364</v>
      </c>
      <c r="B292" s="43" t="s">
        <v>420</v>
      </c>
      <c r="C292" s="43" t="s">
        <v>27</v>
      </c>
      <c r="D292" s="67" t="s">
        <v>2759</v>
      </c>
      <c r="E292" s="62" t="s">
        <v>17</v>
      </c>
      <c r="F292" s="62" t="s">
        <v>1710</v>
      </c>
      <c r="G292" s="43" t="s">
        <v>1748</v>
      </c>
      <c r="H292" s="62" t="s">
        <v>20</v>
      </c>
      <c r="I292" s="43" t="s">
        <v>21</v>
      </c>
      <c r="J292" s="44" t="s">
        <v>3677</v>
      </c>
      <c r="K292" s="44" t="s">
        <v>337</v>
      </c>
      <c r="L292" s="51" t="s">
        <v>211</v>
      </c>
      <c r="M292" s="62" t="s">
        <v>22</v>
      </c>
      <c r="N292" s="62" t="s">
        <v>22</v>
      </c>
      <c r="O292" s="62" t="s">
        <v>22</v>
      </c>
      <c r="P292" s="62"/>
      <c r="Q292" s="62" t="s">
        <v>2734</v>
      </c>
      <c r="R292" s="43"/>
      <c r="S292" s="43"/>
      <c r="T292" s="142" t="s">
        <v>2247</v>
      </c>
      <c r="U292" s="116">
        <v>440152237242</v>
      </c>
      <c r="V292" s="63"/>
      <c r="W292" s="63"/>
      <c r="X292" s="77">
        <v>43194</v>
      </c>
      <c r="Y292" s="45" t="s">
        <v>27</v>
      </c>
      <c r="Z292" s="45" t="s">
        <v>27</v>
      </c>
      <c r="AA292" s="45" t="s">
        <v>27</v>
      </c>
      <c r="AB292" s="45"/>
      <c r="AC292" s="169"/>
    </row>
    <row r="293" spans="1:29" s="68" customFormat="1" ht="15" customHeight="1">
      <c r="A293" s="62" t="s">
        <v>364</v>
      </c>
      <c r="B293" s="43" t="s">
        <v>451</v>
      </c>
      <c r="C293" s="43" t="s">
        <v>27</v>
      </c>
      <c r="D293" s="53" t="s">
        <v>2758</v>
      </c>
      <c r="E293" s="62" t="s">
        <v>17</v>
      </c>
      <c r="F293" s="62" t="s">
        <v>1711</v>
      </c>
      <c r="G293" s="338" t="s">
        <v>5503</v>
      </c>
      <c r="H293" s="62" t="s">
        <v>3084</v>
      </c>
      <c r="I293" s="51" t="s">
        <v>21</v>
      </c>
      <c r="J293" s="44" t="s">
        <v>3677</v>
      </c>
      <c r="K293" s="44" t="s">
        <v>337</v>
      </c>
      <c r="L293" s="51" t="s">
        <v>4464</v>
      </c>
      <c r="M293" s="62" t="s">
        <v>22</v>
      </c>
      <c r="N293" s="62" t="s">
        <v>22</v>
      </c>
      <c r="O293" s="62" t="s">
        <v>3639</v>
      </c>
      <c r="P293" s="53" t="s">
        <v>4545</v>
      </c>
      <c r="Q293" s="62" t="s">
        <v>4548</v>
      </c>
      <c r="R293" s="43" t="s">
        <v>4555</v>
      </c>
      <c r="S293" s="43" t="s">
        <v>4552</v>
      </c>
      <c r="T293" s="142">
        <v>491755812732</v>
      </c>
      <c r="U293" s="116">
        <v>440152236947</v>
      </c>
      <c r="V293" s="63"/>
      <c r="W293" s="63"/>
      <c r="X293" s="77">
        <v>43194</v>
      </c>
      <c r="Y293" s="45" t="s">
        <v>27</v>
      </c>
      <c r="Z293" s="45" t="s">
        <v>27</v>
      </c>
      <c r="AA293" s="45" t="s">
        <v>27</v>
      </c>
      <c r="AB293" s="45"/>
      <c r="AC293" s="304"/>
    </row>
    <row r="294" spans="1:29" s="68" customFormat="1" ht="15" hidden="1" customHeight="1">
      <c r="A294" s="62" t="s">
        <v>364</v>
      </c>
      <c r="B294" s="43" t="s">
        <v>452</v>
      </c>
      <c r="C294" s="43" t="s">
        <v>27</v>
      </c>
      <c r="D294" s="67" t="s">
        <v>2759</v>
      </c>
      <c r="E294" s="62" t="s">
        <v>17</v>
      </c>
      <c r="F294" s="62" t="s">
        <v>1712</v>
      </c>
      <c r="G294" s="43" t="s">
        <v>1750</v>
      </c>
      <c r="H294" s="62" t="s">
        <v>20</v>
      </c>
      <c r="I294" s="43" t="s">
        <v>21</v>
      </c>
      <c r="J294" s="44" t="s">
        <v>3677</v>
      </c>
      <c r="K294" s="44" t="s">
        <v>33</v>
      </c>
      <c r="L294" s="51" t="s">
        <v>211</v>
      </c>
      <c r="M294" s="62" t="s">
        <v>22</v>
      </c>
      <c r="N294" s="62" t="s">
        <v>22</v>
      </c>
      <c r="O294" s="62" t="s">
        <v>22</v>
      </c>
      <c r="P294" s="62"/>
      <c r="Q294" s="62" t="s">
        <v>2733</v>
      </c>
      <c r="R294" s="43"/>
      <c r="S294" s="43"/>
      <c r="T294" s="142" t="s">
        <v>2246</v>
      </c>
      <c r="U294" s="116">
        <v>440152237253</v>
      </c>
      <c r="V294" s="63"/>
      <c r="W294" s="63"/>
      <c r="X294" s="77">
        <v>43194</v>
      </c>
      <c r="Y294" s="45" t="s">
        <v>27</v>
      </c>
      <c r="Z294" s="45" t="s">
        <v>27</v>
      </c>
      <c r="AA294" s="45" t="s">
        <v>27</v>
      </c>
      <c r="AB294" s="45"/>
      <c r="AC294" s="169"/>
    </row>
    <row r="295" spans="1:29" s="68" customFormat="1" ht="15" hidden="1" customHeight="1">
      <c r="A295" s="62" t="s">
        <v>364</v>
      </c>
      <c r="B295" s="43" t="s">
        <v>453</v>
      </c>
      <c r="C295" s="43" t="s">
        <v>27</v>
      </c>
      <c r="D295" s="67" t="s">
        <v>2761</v>
      </c>
      <c r="E295" s="62" t="s">
        <v>17</v>
      </c>
      <c r="F295" s="62" t="s">
        <v>1713</v>
      </c>
      <c r="G295" s="43" t="s">
        <v>1759</v>
      </c>
      <c r="H295" s="62" t="s">
        <v>20</v>
      </c>
      <c r="I295" s="43" t="s">
        <v>21</v>
      </c>
      <c r="J295" s="44" t="s">
        <v>3677</v>
      </c>
      <c r="K295" s="44" t="s">
        <v>33</v>
      </c>
      <c r="L295" s="51" t="s">
        <v>23</v>
      </c>
      <c r="M295" s="62" t="s">
        <v>22</v>
      </c>
      <c r="N295" s="62" t="s">
        <v>22</v>
      </c>
      <c r="O295" s="62" t="s">
        <v>22</v>
      </c>
      <c r="P295" s="62"/>
      <c r="Q295" s="62" t="s">
        <v>22</v>
      </c>
      <c r="R295" s="43"/>
      <c r="S295" s="43"/>
      <c r="T295" s="142">
        <v>4915114539175</v>
      </c>
      <c r="U295" s="116">
        <v>440152217728</v>
      </c>
      <c r="V295" s="63"/>
      <c r="W295" s="63"/>
      <c r="X295" s="77">
        <v>43194</v>
      </c>
      <c r="Y295" s="45" t="s">
        <v>27</v>
      </c>
      <c r="Z295" s="45" t="s">
        <v>27</v>
      </c>
      <c r="AA295" s="45" t="s">
        <v>27</v>
      </c>
      <c r="AB295" s="45"/>
      <c r="AC295" s="169"/>
    </row>
    <row r="296" spans="1:29" s="68" customFormat="1" ht="15" hidden="1" customHeight="1">
      <c r="A296" s="62" t="s">
        <v>364</v>
      </c>
      <c r="B296" s="43" t="s">
        <v>454</v>
      </c>
      <c r="C296" s="43" t="s">
        <v>27</v>
      </c>
      <c r="D296" s="67" t="s">
        <v>25</v>
      </c>
      <c r="E296" s="62" t="s">
        <v>17</v>
      </c>
      <c r="F296" s="62" t="s">
        <v>1714</v>
      </c>
      <c r="G296" s="43" t="s">
        <v>1757</v>
      </c>
      <c r="H296" s="62" t="s">
        <v>20</v>
      </c>
      <c r="I296" s="43" t="s">
        <v>21</v>
      </c>
      <c r="J296" s="44" t="s">
        <v>3677</v>
      </c>
      <c r="K296" s="44" t="s">
        <v>33</v>
      </c>
      <c r="L296" s="51" t="s">
        <v>211</v>
      </c>
      <c r="M296" s="62" t="s">
        <v>22</v>
      </c>
      <c r="N296" s="62" t="s">
        <v>22</v>
      </c>
      <c r="O296" s="62" t="s">
        <v>22</v>
      </c>
      <c r="P296" s="62"/>
      <c r="Q296" s="62" t="s">
        <v>22</v>
      </c>
      <c r="R296" s="43"/>
      <c r="S296" s="43"/>
      <c r="T296" s="142">
        <v>491754979604</v>
      </c>
      <c r="U296" s="116">
        <v>440152237233</v>
      </c>
      <c r="V296" s="63"/>
      <c r="W296" s="63"/>
      <c r="X296" s="77">
        <v>43199</v>
      </c>
      <c r="Y296" s="45" t="s">
        <v>27</v>
      </c>
      <c r="Z296" s="45" t="s">
        <v>27</v>
      </c>
      <c r="AA296" s="45" t="s">
        <v>27</v>
      </c>
      <c r="AB296" s="45"/>
      <c r="AC296" s="169"/>
    </row>
    <row r="297" spans="1:29" s="68" customFormat="1" ht="15" hidden="1" customHeight="1">
      <c r="A297" s="62" t="s">
        <v>364</v>
      </c>
      <c r="B297" s="43" t="s">
        <v>455</v>
      </c>
      <c r="C297" s="43" t="s">
        <v>27</v>
      </c>
      <c r="D297" s="67" t="s">
        <v>2761</v>
      </c>
      <c r="E297" s="62" t="s">
        <v>17</v>
      </c>
      <c r="F297" s="62" t="s">
        <v>1715</v>
      </c>
      <c r="G297" s="43" t="s">
        <v>1759</v>
      </c>
      <c r="H297" s="62" t="s">
        <v>20</v>
      </c>
      <c r="I297" s="43" t="s">
        <v>21</v>
      </c>
      <c r="J297" s="44" t="s">
        <v>2259</v>
      </c>
      <c r="K297" s="44" t="s">
        <v>33</v>
      </c>
      <c r="L297" s="51" t="s">
        <v>23</v>
      </c>
      <c r="M297" s="62" t="s">
        <v>22</v>
      </c>
      <c r="N297" s="62" t="s">
        <v>22</v>
      </c>
      <c r="O297" s="62" t="s">
        <v>22</v>
      </c>
      <c r="P297" s="62"/>
      <c r="Q297" s="62" t="s">
        <v>22</v>
      </c>
      <c r="R297" s="43"/>
      <c r="S297" s="43"/>
      <c r="T297" s="142">
        <v>4917610563404</v>
      </c>
      <c r="U297" s="116">
        <v>440152217718</v>
      </c>
      <c r="V297" s="63"/>
      <c r="W297" s="63"/>
      <c r="X297" s="77">
        <v>43194</v>
      </c>
      <c r="Y297" s="45" t="s">
        <v>27</v>
      </c>
      <c r="Z297" s="45" t="s">
        <v>27</v>
      </c>
      <c r="AA297" s="45" t="s">
        <v>27</v>
      </c>
      <c r="AB297" s="45"/>
      <c r="AC297" s="169"/>
    </row>
    <row r="298" spans="1:29" s="68" customFormat="1" ht="15" hidden="1" customHeight="1">
      <c r="A298" s="62" t="s">
        <v>364</v>
      </c>
      <c r="B298" s="43" t="s">
        <v>456</v>
      </c>
      <c r="C298" s="43" t="s">
        <v>27</v>
      </c>
      <c r="D298" s="67" t="s">
        <v>2759</v>
      </c>
      <c r="E298" s="62" t="s">
        <v>17</v>
      </c>
      <c r="F298" s="62" t="s">
        <v>1716</v>
      </c>
      <c r="G298" s="43" t="s">
        <v>1782</v>
      </c>
      <c r="H298" s="62" t="s">
        <v>20</v>
      </c>
      <c r="I298" s="43" t="s">
        <v>21</v>
      </c>
      <c r="J298" s="44" t="s">
        <v>2259</v>
      </c>
      <c r="K298" s="44" t="s">
        <v>337</v>
      </c>
      <c r="L298" s="51" t="s">
        <v>23</v>
      </c>
      <c r="M298" s="62" t="s">
        <v>22</v>
      </c>
      <c r="N298" s="62" t="s">
        <v>22</v>
      </c>
      <c r="O298" s="62" t="s">
        <v>22</v>
      </c>
      <c r="P298" s="62"/>
      <c r="Q298" s="62" t="s">
        <v>22</v>
      </c>
      <c r="R298" s="43"/>
      <c r="S298" s="43"/>
      <c r="T298" s="142">
        <v>491723440046</v>
      </c>
      <c r="U298" s="116">
        <v>440152219765</v>
      </c>
      <c r="V298" s="63"/>
      <c r="W298" s="63"/>
      <c r="X298" s="77">
        <v>43194</v>
      </c>
      <c r="Y298" s="45" t="s">
        <v>27</v>
      </c>
      <c r="Z298" s="45" t="s">
        <v>27</v>
      </c>
      <c r="AA298" s="45" t="s">
        <v>27</v>
      </c>
      <c r="AB298" s="45"/>
      <c r="AC298" s="169"/>
    </row>
    <row r="299" spans="1:29" s="68" customFormat="1" ht="15" hidden="1" customHeight="1">
      <c r="A299" s="62" t="s">
        <v>364</v>
      </c>
      <c r="B299" s="43" t="s">
        <v>457</v>
      </c>
      <c r="C299" s="43" t="s">
        <v>27</v>
      </c>
      <c r="D299" s="67" t="s">
        <v>2658</v>
      </c>
      <c r="E299" s="62" t="s">
        <v>17</v>
      </c>
      <c r="F299" s="62" t="s">
        <v>1717</v>
      </c>
      <c r="G299" s="43" t="s">
        <v>1761</v>
      </c>
      <c r="H299" s="62" t="s">
        <v>20</v>
      </c>
      <c r="I299" s="43" t="s">
        <v>21</v>
      </c>
      <c r="J299" s="44" t="s">
        <v>2259</v>
      </c>
      <c r="K299" s="44" t="s">
        <v>33</v>
      </c>
      <c r="L299" s="51" t="s">
        <v>211</v>
      </c>
      <c r="M299" s="62" t="s">
        <v>22</v>
      </c>
      <c r="N299" s="62" t="s">
        <v>22</v>
      </c>
      <c r="O299" s="62" t="s">
        <v>22</v>
      </c>
      <c r="P299" s="62"/>
      <c r="Q299" s="62" t="s">
        <v>2738</v>
      </c>
      <c r="R299" s="43"/>
      <c r="S299" s="43"/>
      <c r="T299" s="142" t="s">
        <v>2250</v>
      </c>
      <c r="U299" s="116">
        <v>440152237247</v>
      </c>
      <c r="V299" s="63"/>
      <c r="W299" s="63"/>
      <c r="X299" s="77">
        <v>43194</v>
      </c>
      <c r="Y299" s="45" t="s">
        <v>27</v>
      </c>
      <c r="Z299" s="45" t="s">
        <v>27</v>
      </c>
      <c r="AA299" s="45" t="s">
        <v>27</v>
      </c>
      <c r="AB299" s="45"/>
      <c r="AC299" s="169"/>
    </row>
    <row r="300" spans="1:29" s="68" customFormat="1" ht="15" hidden="1" customHeight="1">
      <c r="A300" s="62" t="s">
        <v>364</v>
      </c>
      <c r="B300" s="43" t="s">
        <v>458</v>
      </c>
      <c r="C300" s="43" t="s">
        <v>27</v>
      </c>
      <c r="D300" s="67" t="s">
        <v>2761</v>
      </c>
      <c r="E300" s="62" t="s">
        <v>17</v>
      </c>
      <c r="F300" s="62" t="s">
        <v>1718</v>
      </c>
      <c r="G300" s="43" t="s">
        <v>1761</v>
      </c>
      <c r="H300" s="62" t="s">
        <v>20</v>
      </c>
      <c r="I300" s="43" t="s">
        <v>21</v>
      </c>
      <c r="J300" s="44" t="s">
        <v>2259</v>
      </c>
      <c r="K300" s="44" t="s">
        <v>337</v>
      </c>
      <c r="L300" s="51" t="s">
        <v>23</v>
      </c>
      <c r="M300" s="62" t="s">
        <v>22</v>
      </c>
      <c r="N300" s="62" t="s">
        <v>22</v>
      </c>
      <c r="O300" s="62" t="s">
        <v>22</v>
      </c>
      <c r="P300" s="62"/>
      <c r="Q300" s="62" t="s">
        <v>22</v>
      </c>
      <c r="R300" s="43"/>
      <c r="S300" s="43"/>
      <c r="T300" s="142">
        <v>4915904272980</v>
      </c>
      <c r="U300" s="116">
        <v>440152219806</v>
      </c>
      <c r="V300" s="63"/>
      <c r="W300" s="63"/>
      <c r="X300" s="77">
        <v>43194</v>
      </c>
      <c r="Y300" s="45" t="s">
        <v>27</v>
      </c>
      <c r="Z300" s="45" t="s">
        <v>27</v>
      </c>
      <c r="AA300" s="45" t="s">
        <v>27</v>
      </c>
      <c r="AB300" s="45"/>
      <c r="AC300" s="169"/>
    </row>
    <row r="301" spans="1:29" s="68" customFormat="1" ht="15" hidden="1" customHeight="1">
      <c r="A301" s="62" t="s">
        <v>364</v>
      </c>
      <c r="B301" s="43" t="s">
        <v>459</v>
      </c>
      <c r="C301" s="43" t="s">
        <v>27</v>
      </c>
      <c r="D301" s="67" t="s">
        <v>2760</v>
      </c>
      <c r="E301" s="62" t="s">
        <v>17</v>
      </c>
      <c r="F301" s="62" t="s">
        <v>1719</v>
      </c>
      <c r="G301" s="43" t="s">
        <v>1746</v>
      </c>
      <c r="H301" s="62" t="s">
        <v>20</v>
      </c>
      <c r="I301" s="43" t="s">
        <v>21</v>
      </c>
      <c r="J301" s="44" t="s">
        <v>2259</v>
      </c>
      <c r="K301" s="44" t="s">
        <v>337</v>
      </c>
      <c r="L301" s="51" t="s">
        <v>23</v>
      </c>
      <c r="M301" s="62" t="s">
        <v>22</v>
      </c>
      <c r="N301" s="62" t="s">
        <v>22</v>
      </c>
      <c r="O301" s="62" t="s">
        <v>22</v>
      </c>
      <c r="P301" s="62"/>
      <c r="Q301" s="62" t="s">
        <v>22</v>
      </c>
      <c r="R301" s="43"/>
      <c r="S301" s="43"/>
      <c r="T301" s="142">
        <v>4917610057074</v>
      </c>
      <c r="U301" s="116">
        <v>440152219814</v>
      </c>
      <c r="V301" s="63"/>
      <c r="W301" s="63"/>
      <c r="X301" s="77">
        <v>43194</v>
      </c>
      <c r="Y301" s="45" t="s">
        <v>27</v>
      </c>
      <c r="Z301" s="45" t="s">
        <v>27</v>
      </c>
      <c r="AA301" s="45" t="s">
        <v>27</v>
      </c>
      <c r="AB301" s="45"/>
      <c r="AC301" s="169"/>
    </row>
    <row r="302" spans="1:29" s="68" customFormat="1" ht="15" hidden="1" customHeight="1">
      <c r="A302" s="62" t="s">
        <v>364</v>
      </c>
      <c r="B302" s="43" t="s">
        <v>460</v>
      </c>
      <c r="C302" s="43" t="s">
        <v>27</v>
      </c>
      <c r="D302" s="67" t="s">
        <v>2759</v>
      </c>
      <c r="E302" s="62" t="s">
        <v>17</v>
      </c>
      <c r="F302" s="62" t="s">
        <v>1720</v>
      </c>
      <c r="G302" s="43" t="s">
        <v>1742</v>
      </c>
      <c r="H302" s="62" t="s">
        <v>20</v>
      </c>
      <c r="I302" s="43" t="s">
        <v>21</v>
      </c>
      <c r="J302" s="44" t="s">
        <v>2259</v>
      </c>
      <c r="K302" s="44" t="s">
        <v>337</v>
      </c>
      <c r="L302" s="51" t="s">
        <v>211</v>
      </c>
      <c r="M302" s="62" t="s">
        <v>22</v>
      </c>
      <c r="N302" s="62" t="s">
        <v>22</v>
      </c>
      <c r="O302" s="62" t="s">
        <v>22</v>
      </c>
      <c r="P302" s="62"/>
      <c r="Q302" s="62" t="s">
        <v>2732</v>
      </c>
      <c r="R302" s="43"/>
      <c r="S302" s="43"/>
      <c r="T302" s="142" t="s">
        <v>2245</v>
      </c>
      <c r="U302" s="116">
        <v>440152238746</v>
      </c>
      <c r="V302" s="63"/>
      <c r="W302" s="63"/>
      <c r="X302" s="77">
        <v>43194</v>
      </c>
      <c r="Y302" s="45" t="s">
        <v>27</v>
      </c>
      <c r="Z302" s="45" t="s">
        <v>27</v>
      </c>
      <c r="AA302" s="45" t="s">
        <v>27</v>
      </c>
      <c r="AB302" s="45"/>
      <c r="AC302" s="169"/>
    </row>
    <row r="303" spans="1:29" s="68" customFormat="1" ht="15" hidden="1" customHeight="1">
      <c r="A303" s="62" t="s">
        <v>364</v>
      </c>
      <c r="B303" s="43" t="s">
        <v>461</v>
      </c>
      <c r="C303" s="43" t="s">
        <v>27</v>
      </c>
      <c r="D303" s="67" t="s">
        <v>2658</v>
      </c>
      <c r="E303" s="62" t="s">
        <v>17</v>
      </c>
      <c r="F303" s="62" t="s">
        <v>1721</v>
      </c>
      <c r="G303" s="43" t="s">
        <v>1742</v>
      </c>
      <c r="H303" s="62" t="s">
        <v>20</v>
      </c>
      <c r="I303" s="43" t="s">
        <v>21</v>
      </c>
      <c r="J303" s="44" t="s">
        <v>3677</v>
      </c>
      <c r="K303" s="44" t="s">
        <v>61</v>
      </c>
      <c r="L303" s="51" t="s">
        <v>211</v>
      </c>
      <c r="M303" s="62" t="s">
        <v>22</v>
      </c>
      <c r="N303" s="62" t="s">
        <v>22</v>
      </c>
      <c r="O303" s="62" t="s">
        <v>22</v>
      </c>
      <c r="P303" s="62"/>
      <c r="Q303" s="62" t="s">
        <v>2721</v>
      </c>
      <c r="R303" s="43"/>
      <c r="S303" s="43"/>
      <c r="T303" s="142" t="s">
        <v>2232</v>
      </c>
      <c r="U303" s="116">
        <v>440152237247</v>
      </c>
      <c r="V303" s="63"/>
      <c r="W303" s="63"/>
      <c r="X303" s="77">
        <v>43194</v>
      </c>
      <c r="Y303" s="45" t="s">
        <v>27</v>
      </c>
      <c r="Z303" s="45" t="s">
        <v>27</v>
      </c>
      <c r="AA303" s="45" t="s">
        <v>27</v>
      </c>
      <c r="AB303" s="45"/>
      <c r="AC303" s="169"/>
    </row>
    <row r="304" spans="1:29" s="68" customFormat="1" ht="15" hidden="1" customHeight="1">
      <c r="A304" s="62" t="s">
        <v>364</v>
      </c>
      <c r="B304" s="43" t="s">
        <v>462</v>
      </c>
      <c r="C304" s="43" t="s">
        <v>27</v>
      </c>
      <c r="D304" s="67" t="s">
        <v>2759</v>
      </c>
      <c r="E304" s="62" t="s">
        <v>17</v>
      </c>
      <c r="F304" s="62" t="s">
        <v>1722</v>
      </c>
      <c r="G304" s="43" t="s">
        <v>1762</v>
      </c>
      <c r="H304" s="62" t="s">
        <v>20</v>
      </c>
      <c r="I304" s="43" t="s">
        <v>21</v>
      </c>
      <c r="J304" s="44" t="s">
        <v>3677</v>
      </c>
      <c r="K304" s="44" t="s">
        <v>337</v>
      </c>
      <c r="L304" s="51" t="s">
        <v>211</v>
      </c>
      <c r="M304" s="62" t="s">
        <v>22</v>
      </c>
      <c r="N304" s="62" t="s">
        <v>22</v>
      </c>
      <c r="O304" s="62" t="s">
        <v>22</v>
      </c>
      <c r="P304" s="62"/>
      <c r="Q304" s="62" t="s">
        <v>22</v>
      </c>
      <c r="R304" s="43"/>
      <c r="S304" s="43"/>
      <c r="T304" s="142">
        <v>491605107062</v>
      </c>
      <c r="U304" s="116">
        <v>440152237258</v>
      </c>
      <c r="V304" s="63"/>
      <c r="W304" s="63"/>
      <c r="X304" s="77">
        <v>43194</v>
      </c>
      <c r="Y304" s="45" t="s">
        <v>27</v>
      </c>
      <c r="Z304" s="45" t="s">
        <v>27</v>
      </c>
      <c r="AA304" s="45" t="s">
        <v>27</v>
      </c>
      <c r="AB304" s="45"/>
      <c r="AC304" s="169"/>
    </row>
    <row r="305" spans="1:29" s="68" customFormat="1" ht="15" hidden="1" customHeight="1">
      <c r="A305" s="62" t="s">
        <v>364</v>
      </c>
      <c r="B305" s="43" t="s">
        <v>463</v>
      </c>
      <c r="C305" s="43" t="s">
        <v>27</v>
      </c>
      <c r="D305" s="67" t="s">
        <v>25</v>
      </c>
      <c r="E305" s="62" t="s">
        <v>17</v>
      </c>
      <c r="F305" s="62" t="s">
        <v>1723</v>
      </c>
      <c r="G305" s="43" t="s">
        <v>1776</v>
      </c>
      <c r="H305" s="62" t="s">
        <v>20</v>
      </c>
      <c r="I305" s="43" t="s">
        <v>21</v>
      </c>
      <c r="J305" s="44" t="s">
        <v>2259</v>
      </c>
      <c r="K305" s="44" t="s">
        <v>337</v>
      </c>
      <c r="L305" s="51" t="s">
        <v>211</v>
      </c>
      <c r="M305" s="62" t="s">
        <v>22</v>
      </c>
      <c r="N305" s="62" t="s">
        <v>22</v>
      </c>
      <c r="O305" s="62" t="s">
        <v>22</v>
      </c>
      <c r="P305" s="62"/>
      <c r="Q305" s="62" t="s">
        <v>22</v>
      </c>
      <c r="R305" s="43"/>
      <c r="S305" s="43"/>
      <c r="T305" s="142">
        <v>4915904285613</v>
      </c>
      <c r="U305" s="116">
        <v>440152237249</v>
      </c>
      <c r="V305" s="63"/>
      <c r="W305" s="63"/>
      <c r="X305" s="77">
        <v>43194</v>
      </c>
      <c r="Y305" s="45" t="s">
        <v>27</v>
      </c>
      <c r="Z305" s="45" t="s">
        <v>27</v>
      </c>
      <c r="AA305" s="45" t="s">
        <v>27</v>
      </c>
      <c r="AB305" s="45"/>
      <c r="AC305" s="169"/>
    </row>
    <row r="306" spans="1:29" s="68" customFormat="1" ht="15" hidden="1" customHeight="1">
      <c r="A306" s="62" t="s">
        <v>364</v>
      </c>
      <c r="B306" s="43" t="s">
        <v>464</v>
      </c>
      <c r="C306" s="43" t="s">
        <v>27</v>
      </c>
      <c r="D306" s="67" t="s">
        <v>2758</v>
      </c>
      <c r="E306" s="62" t="s">
        <v>17</v>
      </c>
      <c r="F306" s="62" t="s">
        <v>1724</v>
      </c>
      <c r="G306" s="43" t="s">
        <v>1748</v>
      </c>
      <c r="H306" s="62" t="s">
        <v>20</v>
      </c>
      <c r="I306" s="43" t="s">
        <v>21</v>
      </c>
      <c r="J306" s="44" t="s">
        <v>2259</v>
      </c>
      <c r="K306" s="44" t="s">
        <v>33</v>
      </c>
      <c r="L306" s="51" t="s">
        <v>211</v>
      </c>
      <c r="M306" s="62" t="s">
        <v>22</v>
      </c>
      <c r="N306" s="62" t="s">
        <v>22</v>
      </c>
      <c r="O306" s="62" t="s">
        <v>22</v>
      </c>
      <c r="P306" s="62"/>
      <c r="Q306" s="62" t="s">
        <v>2726</v>
      </c>
      <c r="R306" s="43"/>
      <c r="S306" s="43"/>
      <c r="T306" s="142" t="s">
        <v>2239</v>
      </c>
      <c r="U306" s="116">
        <v>440152237220</v>
      </c>
      <c r="V306" s="63"/>
      <c r="W306" s="63"/>
      <c r="X306" s="77">
        <v>43194</v>
      </c>
      <c r="Y306" s="45" t="s">
        <v>27</v>
      </c>
      <c r="Z306" s="45" t="s">
        <v>27</v>
      </c>
      <c r="AA306" s="45" t="s">
        <v>27</v>
      </c>
      <c r="AB306" s="45"/>
      <c r="AC306" s="169"/>
    </row>
    <row r="307" spans="1:29" s="68" customFormat="1" ht="15" hidden="1" customHeight="1">
      <c r="A307" s="62" t="s">
        <v>364</v>
      </c>
      <c r="B307" s="43" t="s">
        <v>465</v>
      </c>
      <c r="C307" s="43" t="s">
        <v>27</v>
      </c>
      <c r="D307" s="67" t="s">
        <v>2760</v>
      </c>
      <c r="E307" s="62" t="s">
        <v>17</v>
      </c>
      <c r="F307" s="62" t="s">
        <v>1725</v>
      </c>
      <c r="G307" s="43" t="s">
        <v>1766</v>
      </c>
      <c r="H307" s="62" t="s">
        <v>20</v>
      </c>
      <c r="I307" s="43" t="s">
        <v>21</v>
      </c>
      <c r="J307" s="44" t="s">
        <v>2259</v>
      </c>
      <c r="K307" s="44" t="s">
        <v>33</v>
      </c>
      <c r="L307" s="51" t="s">
        <v>211</v>
      </c>
      <c r="M307" s="62" t="s">
        <v>22</v>
      </c>
      <c r="N307" s="62" t="s">
        <v>22</v>
      </c>
      <c r="O307" s="62" t="s">
        <v>22</v>
      </c>
      <c r="P307" s="62"/>
      <c r="Q307" s="62" t="s">
        <v>22</v>
      </c>
      <c r="R307" s="43"/>
      <c r="S307" s="43"/>
      <c r="T307" s="142">
        <v>4915904272977</v>
      </c>
      <c r="U307" s="116">
        <v>440152214081</v>
      </c>
      <c r="V307" s="63"/>
      <c r="W307" s="63"/>
      <c r="X307" s="77">
        <v>43194</v>
      </c>
      <c r="Y307" s="45" t="s">
        <v>27</v>
      </c>
      <c r="Z307" s="45" t="s">
        <v>27</v>
      </c>
      <c r="AA307" s="45" t="s">
        <v>27</v>
      </c>
      <c r="AB307" s="45"/>
      <c r="AC307" s="169"/>
    </row>
    <row r="308" spans="1:29" s="68" customFormat="1" ht="15" hidden="1" customHeight="1">
      <c r="A308" s="62" t="s">
        <v>364</v>
      </c>
      <c r="B308" s="43" t="s">
        <v>466</v>
      </c>
      <c r="C308" s="43" t="s">
        <v>27</v>
      </c>
      <c r="D308" s="67" t="s">
        <v>2759</v>
      </c>
      <c r="E308" s="62" t="s">
        <v>17</v>
      </c>
      <c r="F308" s="62" t="s">
        <v>1726</v>
      </c>
      <c r="G308" s="43" t="s">
        <v>1762</v>
      </c>
      <c r="H308" s="62" t="s">
        <v>20</v>
      </c>
      <c r="I308" s="43" t="s">
        <v>21</v>
      </c>
      <c r="J308" s="44" t="s">
        <v>2259</v>
      </c>
      <c r="K308" s="44" t="s">
        <v>337</v>
      </c>
      <c r="L308" s="51" t="s">
        <v>211</v>
      </c>
      <c r="M308" s="62" t="s">
        <v>22</v>
      </c>
      <c r="N308" s="62" t="s">
        <v>22</v>
      </c>
      <c r="O308" s="62" t="s">
        <v>22</v>
      </c>
      <c r="P308" s="62"/>
      <c r="Q308" s="62" t="s">
        <v>22</v>
      </c>
      <c r="R308" s="43"/>
      <c r="S308" s="43"/>
      <c r="T308" s="142">
        <v>4915904272975</v>
      </c>
      <c r="U308" s="116">
        <v>440152237250</v>
      </c>
      <c r="V308" s="63"/>
      <c r="W308" s="63"/>
      <c r="X308" s="77">
        <v>43194</v>
      </c>
      <c r="Y308" s="45" t="s">
        <v>27</v>
      </c>
      <c r="Z308" s="45" t="s">
        <v>27</v>
      </c>
      <c r="AA308" s="45" t="s">
        <v>27</v>
      </c>
      <c r="AB308" s="45"/>
      <c r="AC308" s="169"/>
    </row>
    <row r="309" spans="1:29" s="68" customFormat="1" ht="15" hidden="1" customHeight="1">
      <c r="A309" s="62" t="s">
        <v>364</v>
      </c>
      <c r="B309" s="43" t="s">
        <v>467</v>
      </c>
      <c r="C309" s="43" t="s">
        <v>27</v>
      </c>
      <c r="D309" s="67" t="s">
        <v>2761</v>
      </c>
      <c r="E309" s="62" t="s">
        <v>17</v>
      </c>
      <c r="F309" s="62" t="s">
        <v>1727</v>
      </c>
      <c r="G309" s="43" t="s">
        <v>1744</v>
      </c>
      <c r="H309" s="62" t="s">
        <v>20</v>
      </c>
      <c r="I309" s="43" t="s">
        <v>21</v>
      </c>
      <c r="J309" s="44" t="s">
        <v>2259</v>
      </c>
      <c r="K309" s="44" t="s">
        <v>33</v>
      </c>
      <c r="L309" s="51" t="s">
        <v>23</v>
      </c>
      <c r="M309" s="62" t="s">
        <v>22</v>
      </c>
      <c r="N309" s="62" t="s">
        <v>22</v>
      </c>
      <c r="O309" s="62" t="s">
        <v>22</v>
      </c>
      <c r="P309" s="62"/>
      <c r="Q309" s="62" t="s">
        <v>22</v>
      </c>
      <c r="R309" s="43"/>
      <c r="S309" s="43"/>
      <c r="T309" s="142">
        <v>4915904273133</v>
      </c>
      <c r="U309" s="116">
        <v>440152219752</v>
      </c>
      <c r="V309" s="63"/>
      <c r="W309" s="63"/>
      <c r="X309" s="77">
        <v>43194</v>
      </c>
      <c r="Y309" s="45" t="s">
        <v>27</v>
      </c>
      <c r="Z309" s="45" t="s">
        <v>27</v>
      </c>
      <c r="AA309" s="45" t="s">
        <v>27</v>
      </c>
      <c r="AB309" s="45"/>
      <c r="AC309" s="169"/>
    </row>
    <row r="310" spans="1:29" s="68" customFormat="1" ht="16.5" hidden="1" customHeight="1">
      <c r="A310" s="62" t="s">
        <v>364</v>
      </c>
      <c r="B310" s="43" t="s">
        <v>468</v>
      </c>
      <c r="C310" s="43" t="s">
        <v>27</v>
      </c>
      <c r="D310" s="67" t="s">
        <v>25</v>
      </c>
      <c r="E310" s="62" t="s">
        <v>17</v>
      </c>
      <c r="F310" s="62" t="s">
        <v>1728</v>
      </c>
      <c r="G310" s="43" t="s">
        <v>1767</v>
      </c>
      <c r="H310" s="62" t="s">
        <v>20</v>
      </c>
      <c r="I310" s="43" t="s">
        <v>21</v>
      </c>
      <c r="J310" s="44" t="s">
        <v>2259</v>
      </c>
      <c r="K310" s="44" t="s">
        <v>337</v>
      </c>
      <c r="L310" s="51" t="s">
        <v>211</v>
      </c>
      <c r="M310" s="62" t="s">
        <v>22</v>
      </c>
      <c r="N310" s="62" t="s">
        <v>22</v>
      </c>
      <c r="O310" s="62" t="s">
        <v>22</v>
      </c>
      <c r="P310" s="62"/>
      <c r="Q310" s="62" t="s">
        <v>2744</v>
      </c>
      <c r="R310" s="43"/>
      <c r="S310" s="43"/>
      <c r="T310" s="142">
        <v>4917610563402</v>
      </c>
      <c r="U310" s="116">
        <v>440152219815</v>
      </c>
      <c r="V310" s="63"/>
      <c r="W310" s="63"/>
      <c r="X310" s="77">
        <v>43194</v>
      </c>
      <c r="Y310" s="45" t="s">
        <v>27</v>
      </c>
      <c r="Z310" s="45" t="s">
        <v>27</v>
      </c>
      <c r="AA310" s="45" t="s">
        <v>27</v>
      </c>
      <c r="AB310" s="45"/>
      <c r="AC310" s="169"/>
    </row>
    <row r="311" spans="1:29" s="68" customFormat="1" ht="15" customHeight="1">
      <c r="A311" s="62" t="s">
        <v>364</v>
      </c>
      <c r="B311" s="43" t="s">
        <v>469</v>
      </c>
      <c r="C311" s="43" t="s">
        <v>27</v>
      </c>
      <c r="D311" s="53" t="s">
        <v>2758</v>
      </c>
      <c r="E311" s="62" t="s">
        <v>17</v>
      </c>
      <c r="F311" s="62" t="s">
        <v>1729</v>
      </c>
      <c r="G311" s="339" t="s">
        <v>5504</v>
      </c>
      <c r="H311" s="62" t="s">
        <v>3084</v>
      </c>
      <c r="I311" s="51" t="s">
        <v>21</v>
      </c>
      <c r="J311" s="44" t="s">
        <v>3677</v>
      </c>
      <c r="K311" s="44" t="s">
        <v>33</v>
      </c>
      <c r="L311" s="51" t="s">
        <v>4464</v>
      </c>
      <c r="M311" s="62" t="s">
        <v>22</v>
      </c>
      <c r="N311" s="62" t="s">
        <v>22</v>
      </c>
      <c r="O311" s="62" t="s">
        <v>3639</v>
      </c>
      <c r="P311" s="299" t="s">
        <v>4546</v>
      </c>
      <c r="Q311" s="62" t="s">
        <v>4547</v>
      </c>
      <c r="R311" s="43" t="s">
        <v>4549</v>
      </c>
      <c r="S311" s="43" t="s">
        <v>4553</v>
      </c>
      <c r="T311" s="142">
        <v>491604873107</v>
      </c>
      <c r="U311" s="116">
        <v>440152245980</v>
      </c>
      <c r="V311" s="63"/>
      <c r="W311" s="63"/>
      <c r="X311" s="77">
        <v>43199</v>
      </c>
      <c r="Y311" s="45" t="s">
        <v>27</v>
      </c>
      <c r="Z311" s="45" t="s">
        <v>27</v>
      </c>
      <c r="AA311" s="45" t="s">
        <v>27</v>
      </c>
      <c r="AB311" s="45"/>
      <c r="AC311" s="304"/>
    </row>
    <row r="312" spans="1:29" s="68" customFormat="1" ht="15" hidden="1" customHeight="1">
      <c r="A312" s="62" t="s">
        <v>364</v>
      </c>
      <c r="B312" s="43" t="s">
        <v>470</v>
      </c>
      <c r="C312" s="43" t="s">
        <v>27</v>
      </c>
      <c r="D312" s="67" t="s">
        <v>2759</v>
      </c>
      <c r="E312" s="62" t="s">
        <v>17</v>
      </c>
      <c r="F312" s="62" t="s">
        <v>1730</v>
      </c>
      <c r="G312" s="43" t="s">
        <v>1764</v>
      </c>
      <c r="H312" s="62" t="s">
        <v>20</v>
      </c>
      <c r="I312" s="43" t="s">
        <v>21</v>
      </c>
      <c r="J312" s="44" t="s">
        <v>2259</v>
      </c>
      <c r="K312" s="44" t="s">
        <v>337</v>
      </c>
      <c r="L312" s="51" t="s">
        <v>211</v>
      </c>
      <c r="M312" s="62" t="s">
        <v>22</v>
      </c>
      <c r="N312" s="62" t="s">
        <v>22</v>
      </c>
      <c r="O312" s="62" t="s">
        <v>22</v>
      </c>
      <c r="P312" s="62"/>
      <c r="Q312" s="62" t="s">
        <v>2731</v>
      </c>
      <c r="R312" s="43"/>
      <c r="S312" s="63"/>
      <c r="T312" s="142" t="s">
        <v>2244</v>
      </c>
      <c r="U312" s="116">
        <v>440152237365</v>
      </c>
      <c r="V312" s="63"/>
      <c r="W312" s="63"/>
      <c r="X312" s="77">
        <v>43194</v>
      </c>
      <c r="Y312" s="45" t="s">
        <v>27</v>
      </c>
      <c r="Z312" s="45" t="s">
        <v>27</v>
      </c>
      <c r="AA312" s="45" t="s">
        <v>27</v>
      </c>
      <c r="AB312" s="45"/>
      <c r="AC312" s="169"/>
    </row>
    <row r="313" spans="1:29" s="68" customFormat="1" ht="15" hidden="1" customHeight="1">
      <c r="A313" s="62" t="s">
        <v>364</v>
      </c>
      <c r="B313" s="43" t="s">
        <v>471</v>
      </c>
      <c r="C313" s="43" t="s">
        <v>27</v>
      </c>
      <c r="D313" s="67" t="s">
        <v>25</v>
      </c>
      <c r="E313" s="62" t="s">
        <v>17</v>
      </c>
      <c r="F313" s="62" t="s">
        <v>1731</v>
      </c>
      <c r="G313" s="43" t="s">
        <v>1746</v>
      </c>
      <c r="H313" s="62" t="s">
        <v>20</v>
      </c>
      <c r="I313" s="43" t="s">
        <v>21</v>
      </c>
      <c r="J313" s="44" t="s">
        <v>2259</v>
      </c>
      <c r="K313" s="44" t="s">
        <v>337</v>
      </c>
      <c r="L313" s="51" t="s">
        <v>211</v>
      </c>
      <c r="M313" s="62" t="s">
        <v>22</v>
      </c>
      <c r="N313" s="62" t="s">
        <v>22</v>
      </c>
      <c r="O313" s="62" t="s">
        <v>22</v>
      </c>
      <c r="P313" s="62"/>
      <c r="Q313" s="62" t="s">
        <v>22</v>
      </c>
      <c r="R313" s="43"/>
      <c r="S313" s="63"/>
      <c r="T313" s="142">
        <v>4917610056921</v>
      </c>
      <c r="U313" s="116">
        <v>440152237257</v>
      </c>
      <c r="V313" s="63"/>
      <c r="W313" s="63"/>
      <c r="X313" s="77">
        <v>43199</v>
      </c>
      <c r="Y313" s="45" t="s">
        <v>27</v>
      </c>
      <c r="Z313" s="45" t="s">
        <v>27</v>
      </c>
      <c r="AA313" s="45" t="s">
        <v>27</v>
      </c>
      <c r="AB313" s="45"/>
      <c r="AC313" s="169"/>
    </row>
    <row r="314" spans="1:29" s="68" customFormat="1" ht="15" customHeight="1">
      <c r="A314" s="62" t="s">
        <v>364</v>
      </c>
      <c r="B314" s="43" t="s">
        <v>472</v>
      </c>
      <c r="C314" s="43" t="s">
        <v>27</v>
      </c>
      <c r="D314" s="53" t="s">
        <v>2758</v>
      </c>
      <c r="E314" s="62" t="s">
        <v>17</v>
      </c>
      <c r="F314" s="62" t="s">
        <v>1732</v>
      </c>
      <c r="G314" s="340" t="s">
        <v>5498</v>
      </c>
      <c r="H314" s="51" t="s">
        <v>3084</v>
      </c>
      <c r="I314" s="51" t="s">
        <v>21</v>
      </c>
      <c r="J314" s="44" t="s">
        <v>3677</v>
      </c>
      <c r="K314" s="44" t="s">
        <v>337</v>
      </c>
      <c r="L314" s="51" t="s">
        <v>4464</v>
      </c>
      <c r="M314" s="62" t="s">
        <v>22</v>
      </c>
      <c r="N314" s="62" t="s">
        <v>22</v>
      </c>
      <c r="O314" s="62" t="s">
        <v>3639</v>
      </c>
      <c r="P314" s="53" t="s">
        <v>4545</v>
      </c>
      <c r="Q314" s="62" t="s">
        <v>4819</v>
      </c>
      <c r="R314" s="43" t="s">
        <v>4820</v>
      </c>
      <c r="S314" s="43" t="s">
        <v>4821</v>
      </c>
      <c r="T314" s="142">
        <v>4916096925805</v>
      </c>
      <c r="U314" s="116">
        <v>440152214471</v>
      </c>
      <c r="V314" s="63"/>
      <c r="W314" s="63"/>
      <c r="X314" s="62"/>
      <c r="Y314" s="45" t="s">
        <v>27</v>
      </c>
      <c r="Z314" s="45" t="s">
        <v>27</v>
      </c>
      <c r="AA314" s="45" t="s">
        <v>27</v>
      </c>
      <c r="AB314" s="45"/>
      <c r="AC314" s="169"/>
    </row>
    <row r="315" spans="1:29" s="68" customFormat="1" ht="15" hidden="1" customHeight="1">
      <c r="A315" s="62" t="s">
        <v>364</v>
      </c>
      <c r="B315" s="43" t="s">
        <v>473</v>
      </c>
      <c r="C315" s="43" t="s">
        <v>27</v>
      </c>
      <c r="D315" s="67" t="s">
        <v>2759</v>
      </c>
      <c r="E315" s="62" t="s">
        <v>17</v>
      </c>
      <c r="F315" s="62" t="s">
        <v>1733</v>
      </c>
      <c r="G315" s="43" t="s">
        <v>1766</v>
      </c>
      <c r="H315" s="62" t="s">
        <v>20</v>
      </c>
      <c r="I315" s="43" t="s">
        <v>21</v>
      </c>
      <c r="J315" s="44" t="s">
        <v>3677</v>
      </c>
      <c r="K315" s="44" t="s">
        <v>337</v>
      </c>
      <c r="L315" s="51" t="s">
        <v>211</v>
      </c>
      <c r="M315" s="62" t="s">
        <v>22</v>
      </c>
      <c r="N315" s="62" t="s">
        <v>22</v>
      </c>
      <c r="O315" s="62" t="s">
        <v>22</v>
      </c>
      <c r="P315" s="62"/>
      <c r="Q315" s="62" t="s">
        <v>2740</v>
      </c>
      <c r="R315" s="43"/>
      <c r="S315" s="63"/>
      <c r="T315" s="142" t="s">
        <v>2249</v>
      </c>
      <c r="U315" s="116">
        <v>440152237229</v>
      </c>
      <c r="V315" s="63"/>
      <c r="W315" s="63"/>
      <c r="X315" s="77">
        <v>43194</v>
      </c>
      <c r="Y315" s="45" t="s">
        <v>27</v>
      </c>
      <c r="Z315" s="45" t="s">
        <v>27</v>
      </c>
      <c r="AA315" s="45" t="s">
        <v>27</v>
      </c>
      <c r="AB315" s="45"/>
      <c r="AC315" s="169"/>
    </row>
    <row r="316" spans="1:29" s="68" customFormat="1" ht="15" hidden="1" customHeight="1">
      <c r="A316" s="62" t="s">
        <v>364</v>
      </c>
      <c r="B316" s="44" t="s">
        <v>545</v>
      </c>
      <c r="C316" s="44" t="s">
        <v>27</v>
      </c>
      <c r="D316" s="67" t="s">
        <v>25</v>
      </c>
      <c r="E316" s="62" t="s">
        <v>17</v>
      </c>
      <c r="F316" s="62" t="s">
        <v>1734</v>
      </c>
      <c r="G316" s="43" t="s">
        <v>1756</v>
      </c>
      <c r="H316" s="62" t="s">
        <v>20</v>
      </c>
      <c r="I316" s="43" t="s">
        <v>21</v>
      </c>
      <c r="J316" s="44" t="s">
        <v>3677</v>
      </c>
      <c r="K316" s="44" t="s">
        <v>337</v>
      </c>
      <c r="L316" s="51" t="s">
        <v>211</v>
      </c>
      <c r="M316" s="62" t="s">
        <v>22</v>
      </c>
      <c r="N316" s="62" t="s">
        <v>22</v>
      </c>
      <c r="O316" s="62" t="s">
        <v>22</v>
      </c>
      <c r="P316" s="62"/>
      <c r="Q316" s="62" t="s">
        <v>22</v>
      </c>
      <c r="R316" s="43"/>
      <c r="S316" s="63"/>
      <c r="T316" s="49">
        <v>491608473107</v>
      </c>
      <c r="U316" s="49">
        <v>440152238945</v>
      </c>
      <c r="V316" s="49"/>
      <c r="W316" s="49"/>
      <c r="X316" s="77">
        <v>43199</v>
      </c>
      <c r="Y316" s="45" t="s">
        <v>27</v>
      </c>
      <c r="Z316" s="45" t="s">
        <v>27</v>
      </c>
      <c r="AA316" s="45" t="s">
        <v>27</v>
      </c>
      <c r="AB316" s="45"/>
      <c r="AC316" s="169"/>
    </row>
    <row r="317" spans="1:29" s="68" customFormat="1" ht="15" hidden="1" customHeight="1">
      <c r="A317" s="62" t="s">
        <v>364</v>
      </c>
      <c r="B317" s="43" t="s">
        <v>546</v>
      </c>
      <c r="C317" s="43" t="s">
        <v>27</v>
      </c>
      <c r="D317" s="67" t="s">
        <v>25</v>
      </c>
      <c r="E317" s="62" t="s">
        <v>17</v>
      </c>
      <c r="F317" s="62" t="s">
        <v>1735</v>
      </c>
      <c r="G317" s="43" t="s">
        <v>1756</v>
      </c>
      <c r="H317" s="62" t="s">
        <v>20</v>
      </c>
      <c r="I317" s="43" t="s">
        <v>21</v>
      </c>
      <c r="J317" s="44" t="s">
        <v>3677</v>
      </c>
      <c r="K317" s="44" t="s">
        <v>337</v>
      </c>
      <c r="L317" s="51" t="s">
        <v>211</v>
      </c>
      <c r="M317" s="62" t="s">
        <v>22</v>
      </c>
      <c r="N317" s="62" t="s">
        <v>22</v>
      </c>
      <c r="O317" s="62" t="s">
        <v>22</v>
      </c>
      <c r="P317" s="62"/>
      <c r="Q317" s="62" t="s">
        <v>2741</v>
      </c>
      <c r="R317" s="43"/>
      <c r="S317" s="63"/>
      <c r="T317" s="49">
        <v>491608452963</v>
      </c>
      <c r="U317" s="49">
        <v>440152238945</v>
      </c>
      <c r="V317" s="49"/>
      <c r="W317" s="49"/>
      <c r="X317" s="77">
        <v>43194</v>
      </c>
      <c r="Y317" s="45" t="s">
        <v>27</v>
      </c>
      <c r="Z317" s="45" t="s">
        <v>27</v>
      </c>
      <c r="AA317" s="45" t="s">
        <v>27</v>
      </c>
      <c r="AB317" s="45"/>
      <c r="AC317" s="169"/>
    </row>
    <row r="318" spans="1:29" s="68" customFormat="1" ht="15" hidden="1" customHeight="1">
      <c r="A318" s="62" t="s">
        <v>364</v>
      </c>
      <c r="B318" s="43" t="s">
        <v>547</v>
      </c>
      <c r="C318" s="43" t="s">
        <v>27</v>
      </c>
      <c r="D318" s="67" t="s">
        <v>25</v>
      </c>
      <c r="E318" s="62" t="s">
        <v>17</v>
      </c>
      <c r="F318" s="62" t="s">
        <v>1736</v>
      </c>
      <c r="G318" s="43" t="s">
        <v>1755</v>
      </c>
      <c r="H318" s="62" t="s">
        <v>20</v>
      </c>
      <c r="I318" s="43" t="s">
        <v>21</v>
      </c>
      <c r="J318" s="44" t="s">
        <v>3677</v>
      </c>
      <c r="K318" s="44" t="s">
        <v>337</v>
      </c>
      <c r="L318" s="51" t="s">
        <v>211</v>
      </c>
      <c r="M318" s="62" t="s">
        <v>22</v>
      </c>
      <c r="N318" s="62" t="s">
        <v>22</v>
      </c>
      <c r="O318" s="62" t="s">
        <v>22</v>
      </c>
      <c r="P318" s="62"/>
      <c r="Q318" s="62" t="s">
        <v>22</v>
      </c>
      <c r="R318" s="43"/>
      <c r="S318" s="63"/>
      <c r="T318" s="49">
        <v>491706818065</v>
      </c>
      <c r="U318" s="49">
        <v>440152238956</v>
      </c>
      <c r="V318" s="49"/>
      <c r="W318" s="49"/>
      <c r="X318" s="77">
        <v>43199</v>
      </c>
      <c r="Y318" s="45" t="s">
        <v>27</v>
      </c>
      <c r="Z318" s="45" t="s">
        <v>27</v>
      </c>
      <c r="AA318" s="45" t="s">
        <v>27</v>
      </c>
      <c r="AB318" s="45"/>
      <c r="AC318" s="169"/>
    </row>
    <row r="319" spans="1:29" s="68" customFormat="1" ht="15" hidden="1" customHeight="1">
      <c r="A319" s="62" t="s">
        <v>364</v>
      </c>
      <c r="B319" s="43" t="s">
        <v>548</v>
      </c>
      <c r="C319" s="43" t="s">
        <v>27</v>
      </c>
      <c r="D319" s="67" t="s">
        <v>25</v>
      </c>
      <c r="E319" s="62" t="s">
        <v>17</v>
      </c>
      <c r="F319" s="62" t="s">
        <v>1737</v>
      </c>
      <c r="G319" s="43" t="s">
        <v>1755</v>
      </c>
      <c r="H319" s="62" t="s">
        <v>20</v>
      </c>
      <c r="I319" s="43" t="s">
        <v>21</v>
      </c>
      <c r="J319" s="44" t="s">
        <v>3677</v>
      </c>
      <c r="K319" s="44" t="s">
        <v>337</v>
      </c>
      <c r="L319" s="51" t="s">
        <v>211</v>
      </c>
      <c r="M319" s="62" t="s">
        <v>22</v>
      </c>
      <c r="N319" s="62" t="s">
        <v>22</v>
      </c>
      <c r="O319" s="62" t="s">
        <v>22</v>
      </c>
      <c r="P319" s="62"/>
      <c r="Q319" s="62" t="s">
        <v>2743</v>
      </c>
      <c r="R319" s="43"/>
      <c r="S319" s="63"/>
      <c r="T319" s="49">
        <v>491608472773</v>
      </c>
      <c r="U319" s="49">
        <v>440152238964</v>
      </c>
      <c r="V319" s="49"/>
      <c r="W319" s="49"/>
      <c r="X319" s="77">
        <v>43194</v>
      </c>
      <c r="Y319" s="45" t="s">
        <v>27</v>
      </c>
      <c r="Z319" s="45" t="s">
        <v>27</v>
      </c>
      <c r="AA319" s="45" t="s">
        <v>27</v>
      </c>
      <c r="AB319" s="45"/>
      <c r="AC319" s="169"/>
    </row>
    <row r="320" spans="1:29" s="68" customFormat="1" ht="15" hidden="1" customHeight="1">
      <c r="A320" s="62" t="s">
        <v>364</v>
      </c>
      <c r="B320" s="43" t="s">
        <v>549</v>
      </c>
      <c r="C320" s="43" t="s">
        <v>27</v>
      </c>
      <c r="D320" s="67" t="s">
        <v>25</v>
      </c>
      <c r="E320" s="62" t="s">
        <v>17</v>
      </c>
      <c r="F320" s="62" t="s">
        <v>1738</v>
      </c>
      <c r="G320" s="43" t="s">
        <v>1758</v>
      </c>
      <c r="H320" s="62" t="s">
        <v>20</v>
      </c>
      <c r="I320" s="43" t="s">
        <v>21</v>
      </c>
      <c r="J320" s="44" t="s">
        <v>3677</v>
      </c>
      <c r="K320" s="44" t="s">
        <v>337</v>
      </c>
      <c r="L320" s="51" t="s">
        <v>211</v>
      </c>
      <c r="M320" s="62" t="s">
        <v>22</v>
      </c>
      <c r="N320" s="62" t="s">
        <v>22</v>
      </c>
      <c r="O320" s="62" t="s">
        <v>22</v>
      </c>
      <c r="P320" s="62"/>
      <c r="Q320" s="62" t="s">
        <v>22</v>
      </c>
      <c r="R320" s="43"/>
      <c r="S320" s="63"/>
      <c r="T320" s="49">
        <v>491754337713</v>
      </c>
      <c r="U320" s="49">
        <v>440152238745</v>
      </c>
      <c r="V320" s="49"/>
      <c r="W320" s="49"/>
      <c r="X320" s="77">
        <v>43194</v>
      </c>
      <c r="Y320" s="45" t="s">
        <v>27</v>
      </c>
      <c r="Z320" s="45" t="s">
        <v>27</v>
      </c>
      <c r="AA320" s="45" t="s">
        <v>27</v>
      </c>
      <c r="AB320" s="45"/>
      <c r="AC320" s="169"/>
    </row>
    <row r="321" spans="1:29" s="68" customFormat="1" ht="15" hidden="1" customHeight="1">
      <c r="A321" s="62" t="s">
        <v>364</v>
      </c>
      <c r="B321" s="44" t="s">
        <v>550</v>
      </c>
      <c r="C321" s="44" t="s">
        <v>27</v>
      </c>
      <c r="D321" s="67"/>
      <c r="E321" s="62" t="s">
        <v>17</v>
      </c>
      <c r="F321" s="62" t="s">
        <v>1739</v>
      </c>
      <c r="G321" s="43" t="s">
        <v>1744</v>
      </c>
      <c r="H321" s="62" t="s">
        <v>20</v>
      </c>
      <c r="I321" s="43" t="s">
        <v>21</v>
      </c>
      <c r="J321" s="44" t="s">
        <v>2227</v>
      </c>
      <c r="K321" s="65"/>
      <c r="L321" s="51" t="s">
        <v>211</v>
      </c>
      <c r="M321" s="62" t="s">
        <v>22</v>
      </c>
      <c r="N321" s="62" t="s">
        <v>22</v>
      </c>
      <c r="O321" s="62" t="s">
        <v>22</v>
      </c>
      <c r="P321" s="62"/>
      <c r="Q321" s="62" t="s">
        <v>22</v>
      </c>
      <c r="R321" s="43"/>
      <c r="S321" s="63"/>
      <c r="T321" s="49">
        <v>33662201571</v>
      </c>
      <c r="U321" s="49">
        <v>440152238948</v>
      </c>
      <c r="V321" s="49"/>
      <c r="W321" s="49"/>
      <c r="X321" s="77">
        <v>43194</v>
      </c>
      <c r="Y321" s="45" t="s">
        <v>27</v>
      </c>
      <c r="Z321" s="45" t="s">
        <v>27</v>
      </c>
      <c r="AA321" s="45" t="s">
        <v>27</v>
      </c>
      <c r="AB321" s="45"/>
      <c r="AC321" s="169"/>
    </row>
    <row r="322" spans="1:29" s="68" customFormat="1" ht="15" hidden="1" customHeight="1">
      <c r="A322" s="62" t="s">
        <v>364</v>
      </c>
      <c r="B322" s="44" t="s">
        <v>551</v>
      </c>
      <c r="C322" s="44" t="s">
        <v>27</v>
      </c>
      <c r="D322" s="67"/>
      <c r="E322" s="62" t="s">
        <v>17</v>
      </c>
      <c r="F322" s="62" t="s">
        <v>1740</v>
      </c>
      <c r="G322" s="43" t="s">
        <v>1747</v>
      </c>
      <c r="H322" s="62" t="s">
        <v>20</v>
      </c>
      <c r="I322" s="43" t="s">
        <v>21</v>
      </c>
      <c r="J322" s="44" t="s">
        <v>2227</v>
      </c>
      <c r="K322" s="65"/>
      <c r="L322" s="51" t="s">
        <v>211</v>
      </c>
      <c r="M322" s="62" t="s">
        <v>22</v>
      </c>
      <c r="N322" s="62" t="s">
        <v>22</v>
      </c>
      <c r="O322" s="62" t="s">
        <v>22</v>
      </c>
      <c r="P322" s="62"/>
      <c r="Q322" s="62" t="s">
        <v>22</v>
      </c>
      <c r="R322" s="43"/>
      <c r="S322" s="63"/>
      <c r="T322" s="49">
        <v>33662201526</v>
      </c>
      <c r="U322" s="49">
        <v>440152238947</v>
      </c>
      <c r="V322" s="49"/>
      <c r="W322" s="49"/>
      <c r="X322" s="77">
        <v>43194</v>
      </c>
      <c r="Y322" s="45" t="s">
        <v>27</v>
      </c>
      <c r="Z322" s="45" t="s">
        <v>27</v>
      </c>
      <c r="AA322" s="45" t="s">
        <v>27</v>
      </c>
      <c r="AB322" s="45"/>
      <c r="AC322" s="169"/>
    </row>
    <row r="323" spans="1:29" s="68" customFormat="1" ht="15" hidden="1" customHeight="1">
      <c r="A323" s="62" t="s">
        <v>364</v>
      </c>
      <c r="B323" s="44" t="s">
        <v>774</v>
      </c>
      <c r="C323" s="44"/>
      <c r="D323" s="67"/>
      <c r="E323" s="62" t="s">
        <v>17</v>
      </c>
      <c r="F323" s="62" t="s">
        <v>1784</v>
      </c>
      <c r="G323" s="43"/>
      <c r="H323" s="62" t="s">
        <v>104</v>
      </c>
      <c r="I323" s="43" t="s">
        <v>21</v>
      </c>
      <c r="J323" s="44"/>
      <c r="K323" s="65"/>
      <c r="L323" s="51"/>
      <c r="M323" s="62"/>
      <c r="N323" s="62"/>
      <c r="O323" s="62"/>
      <c r="P323" s="62"/>
      <c r="Q323" s="62"/>
      <c r="R323" s="43"/>
      <c r="S323" s="63"/>
      <c r="T323" s="49"/>
      <c r="U323" s="116"/>
      <c r="V323" s="63"/>
      <c r="W323" s="63"/>
      <c r="X323" s="62"/>
      <c r="Y323" s="45"/>
      <c r="Z323" s="45"/>
      <c r="AA323" s="45"/>
      <c r="AB323" s="45"/>
      <c r="AC323" s="169"/>
    </row>
    <row r="324" spans="1:29" s="68" customFormat="1" ht="15" hidden="1" customHeight="1">
      <c r="A324" s="62" t="s">
        <v>364</v>
      </c>
      <c r="B324" s="44" t="s">
        <v>775</v>
      </c>
      <c r="C324" s="44"/>
      <c r="D324" s="67"/>
      <c r="E324" s="62" t="s">
        <v>17</v>
      </c>
      <c r="F324" s="62" t="s">
        <v>1785</v>
      </c>
      <c r="G324" s="43"/>
      <c r="H324" s="62" t="s">
        <v>104</v>
      </c>
      <c r="I324" s="43" t="s">
        <v>21</v>
      </c>
      <c r="J324" s="44"/>
      <c r="K324" s="65"/>
      <c r="L324" s="51"/>
      <c r="M324" s="62"/>
      <c r="N324" s="62"/>
      <c r="O324" s="62"/>
      <c r="P324" s="62"/>
      <c r="Q324" s="62"/>
      <c r="R324" s="43"/>
      <c r="S324" s="63"/>
      <c r="T324" s="49"/>
      <c r="U324" s="116"/>
      <c r="V324" s="63"/>
      <c r="W324" s="63"/>
      <c r="X324" s="62"/>
      <c r="Y324" s="45"/>
      <c r="Z324" s="45"/>
      <c r="AA324" s="45"/>
      <c r="AB324" s="45"/>
      <c r="AC324" s="169"/>
    </row>
    <row r="325" spans="1:29" s="68" customFormat="1" ht="15" hidden="1" customHeight="1">
      <c r="A325" s="62" t="s">
        <v>364</v>
      </c>
      <c r="B325" s="44" t="s">
        <v>776</v>
      </c>
      <c r="C325" s="44"/>
      <c r="D325" s="67"/>
      <c r="E325" s="62" t="s">
        <v>17</v>
      </c>
      <c r="F325" s="62" t="s">
        <v>1786</v>
      </c>
      <c r="G325" s="43"/>
      <c r="H325" s="62" t="s">
        <v>104</v>
      </c>
      <c r="I325" s="43" t="s">
        <v>21</v>
      </c>
      <c r="J325" s="44"/>
      <c r="K325" s="65"/>
      <c r="L325" s="51"/>
      <c r="M325" s="62"/>
      <c r="N325" s="62"/>
      <c r="O325" s="62"/>
      <c r="P325" s="62"/>
      <c r="Q325" s="62"/>
      <c r="R325" s="43"/>
      <c r="S325" s="63"/>
      <c r="T325" s="49"/>
      <c r="U325" s="116"/>
      <c r="V325" s="63"/>
      <c r="W325" s="63"/>
      <c r="X325" s="62"/>
      <c r="Y325" s="45"/>
      <c r="Z325" s="45"/>
      <c r="AA325" s="45"/>
      <c r="AB325" s="45"/>
      <c r="AC325" s="169"/>
    </row>
    <row r="326" spans="1:29" s="68" customFormat="1" ht="15" hidden="1" customHeight="1">
      <c r="A326" s="62" t="s">
        <v>364</v>
      </c>
      <c r="B326" s="44" t="s">
        <v>777</v>
      </c>
      <c r="C326" s="44"/>
      <c r="D326" s="67"/>
      <c r="E326" s="62" t="s">
        <v>17</v>
      </c>
      <c r="F326" s="62" t="s">
        <v>1787</v>
      </c>
      <c r="G326" s="43"/>
      <c r="H326" s="62" t="s">
        <v>104</v>
      </c>
      <c r="I326" s="43" t="s">
        <v>21</v>
      </c>
      <c r="J326" s="44"/>
      <c r="K326" s="65"/>
      <c r="L326" s="51"/>
      <c r="M326" s="62"/>
      <c r="N326" s="62"/>
      <c r="O326" s="62"/>
      <c r="P326" s="62"/>
      <c r="Q326" s="62"/>
      <c r="R326" s="43"/>
      <c r="S326" s="63"/>
      <c r="T326" s="49"/>
      <c r="U326" s="116"/>
      <c r="V326" s="63"/>
      <c r="W326" s="63"/>
      <c r="X326" s="62"/>
      <c r="Y326" s="45"/>
      <c r="Z326" s="45"/>
      <c r="AA326" s="45"/>
      <c r="AB326" s="45"/>
      <c r="AC326" s="169"/>
    </row>
    <row r="327" spans="1:29" s="68" customFormat="1" ht="15" hidden="1" customHeight="1">
      <c r="A327" s="62" t="s">
        <v>364</v>
      </c>
      <c r="B327" s="44" t="s">
        <v>778</v>
      </c>
      <c r="C327" s="44"/>
      <c r="D327" s="67"/>
      <c r="E327" s="62" t="s">
        <v>17</v>
      </c>
      <c r="F327" s="62" t="s">
        <v>1788</v>
      </c>
      <c r="G327" s="43"/>
      <c r="H327" s="62" t="s">
        <v>104</v>
      </c>
      <c r="I327" s="43" t="s">
        <v>21</v>
      </c>
      <c r="J327" s="44"/>
      <c r="K327" s="65"/>
      <c r="L327" s="51"/>
      <c r="M327" s="62"/>
      <c r="N327" s="62"/>
      <c r="O327" s="62"/>
      <c r="P327" s="62"/>
      <c r="Q327" s="62"/>
      <c r="R327" s="43"/>
      <c r="S327" s="63"/>
      <c r="T327" s="49"/>
      <c r="U327" s="116"/>
      <c r="V327" s="63"/>
      <c r="W327" s="63"/>
      <c r="X327" s="62"/>
      <c r="Y327" s="45"/>
      <c r="Z327" s="45"/>
      <c r="AA327" s="45"/>
      <c r="AB327" s="45"/>
      <c r="AC327" s="169"/>
    </row>
    <row r="328" spans="1:29" s="68" customFormat="1" ht="15" hidden="1" customHeight="1">
      <c r="A328" s="62" t="s">
        <v>364</v>
      </c>
      <c r="B328" s="46" t="s">
        <v>779</v>
      </c>
      <c r="C328" s="46"/>
      <c r="D328" s="67"/>
      <c r="E328" s="62" t="s">
        <v>17</v>
      </c>
      <c r="F328" s="62" t="s">
        <v>1789</v>
      </c>
      <c r="G328" s="43"/>
      <c r="H328" s="62" t="s">
        <v>104</v>
      </c>
      <c r="I328" s="43" t="s">
        <v>21</v>
      </c>
      <c r="J328" s="44"/>
      <c r="K328" s="65"/>
      <c r="L328" s="51"/>
      <c r="M328" s="62"/>
      <c r="N328" s="62"/>
      <c r="O328" s="62"/>
      <c r="P328" s="62"/>
      <c r="Q328" s="62"/>
      <c r="R328" s="43"/>
      <c r="S328" s="63"/>
      <c r="T328" s="49"/>
      <c r="U328" s="116"/>
      <c r="V328" s="63"/>
      <c r="W328" s="63"/>
      <c r="X328" s="62"/>
      <c r="Y328" s="45"/>
      <c r="Z328" s="45"/>
      <c r="AA328" s="45"/>
      <c r="AB328" s="45"/>
      <c r="AC328" s="169"/>
    </row>
    <row r="329" spans="1:29" s="68" customFormat="1" ht="15" customHeight="1">
      <c r="A329" s="62" t="s">
        <v>364</v>
      </c>
      <c r="B329" s="43" t="s">
        <v>780</v>
      </c>
      <c r="C329" s="43" t="s">
        <v>22</v>
      </c>
      <c r="D329" s="67"/>
      <c r="E329" s="62" t="s">
        <v>17</v>
      </c>
      <c r="F329" s="62" t="s">
        <v>1790</v>
      </c>
      <c r="G329" s="43"/>
      <c r="H329" s="62" t="s">
        <v>3084</v>
      </c>
      <c r="I329" s="43" t="s">
        <v>21</v>
      </c>
      <c r="J329" s="44"/>
      <c r="K329" s="65"/>
      <c r="L329" s="51"/>
      <c r="M329" s="62"/>
      <c r="N329" s="62"/>
      <c r="O329" s="62"/>
      <c r="P329" s="62"/>
      <c r="Q329" s="62"/>
      <c r="R329" s="43"/>
      <c r="S329" s="63"/>
      <c r="T329" s="49"/>
      <c r="U329" s="116"/>
      <c r="V329" s="63"/>
      <c r="W329" s="63"/>
      <c r="X329" s="62"/>
      <c r="Y329" s="45" t="s">
        <v>22</v>
      </c>
      <c r="Z329" s="45" t="s">
        <v>22</v>
      </c>
      <c r="AA329" s="45" t="s">
        <v>22</v>
      </c>
      <c r="AB329" s="45"/>
      <c r="AC329" s="169"/>
    </row>
    <row r="330" spans="1:29" s="68" customFormat="1" ht="15" hidden="1" customHeight="1">
      <c r="A330" s="62" t="s">
        <v>364</v>
      </c>
      <c r="B330" s="43" t="s">
        <v>781</v>
      </c>
      <c r="C330" s="43"/>
      <c r="D330" s="67"/>
      <c r="E330" s="62" t="s">
        <v>17</v>
      </c>
      <c r="F330" s="62" t="s">
        <v>1791</v>
      </c>
      <c r="G330" s="43"/>
      <c r="H330" s="62" t="s">
        <v>104</v>
      </c>
      <c r="I330" s="43" t="s">
        <v>21</v>
      </c>
      <c r="J330" s="44"/>
      <c r="K330" s="65"/>
      <c r="L330" s="51"/>
      <c r="M330" s="62"/>
      <c r="N330" s="62"/>
      <c r="O330" s="62"/>
      <c r="P330" s="62"/>
      <c r="Q330" s="62"/>
      <c r="R330" s="43"/>
      <c r="S330" s="63"/>
      <c r="T330" s="49"/>
      <c r="U330" s="116"/>
      <c r="V330" s="63"/>
      <c r="W330" s="63"/>
      <c r="X330" s="62"/>
      <c r="Y330" s="45"/>
      <c r="Z330" s="45"/>
      <c r="AA330" s="45"/>
      <c r="AB330" s="45"/>
      <c r="AC330" s="169"/>
    </row>
    <row r="331" spans="1:29" s="68" customFormat="1" ht="15" hidden="1" customHeight="1">
      <c r="A331" s="62" t="s">
        <v>364</v>
      </c>
      <c r="B331" s="43" t="s">
        <v>782</v>
      </c>
      <c r="C331" s="43"/>
      <c r="D331" s="67"/>
      <c r="E331" s="62" t="s">
        <v>601</v>
      </c>
      <c r="F331" s="62"/>
      <c r="G331" s="43"/>
      <c r="H331" s="62" t="s">
        <v>104</v>
      </c>
      <c r="I331" s="43" t="s">
        <v>21</v>
      </c>
      <c r="J331" s="44"/>
      <c r="K331" s="65"/>
      <c r="L331" s="51"/>
      <c r="M331" s="62"/>
      <c r="N331" s="62"/>
      <c r="O331" s="62"/>
      <c r="P331" s="62"/>
      <c r="Q331" s="62"/>
      <c r="R331" s="43"/>
      <c r="S331" s="63"/>
      <c r="T331" s="49"/>
      <c r="U331" s="116"/>
      <c r="V331" s="63"/>
      <c r="W331" s="63"/>
      <c r="X331" s="62"/>
      <c r="Y331" s="45"/>
      <c r="Z331" s="45"/>
      <c r="AA331" s="45"/>
      <c r="AB331" s="45"/>
      <c r="AC331" s="169"/>
    </row>
    <row r="332" spans="1:29" s="68" customFormat="1" ht="15" hidden="1" customHeight="1">
      <c r="A332" s="62" t="s">
        <v>364</v>
      </c>
      <c r="B332" s="43" t="s">
        <v>783</v>
      </c>
      <c r="C332" s="43"/>
      <c r="D332" s="67"/>
      <c r="E332" s="62" t="s">
        <v>601</v>
      </c>
      <c r="F332" s="62"/>
      <c r="G332" s="43"/>
      <c r="H332" s="62" t="s">
        <v>104</v>
      </c>
      <c r="I332" s="43" t="s">
        <v>21</v>
      </c>
      <c r="J332" s="44"/>
      <c r="K332" s="65"/>
      <c r="L332" s="51"/>
      <c r="M332" s="62"/>
      <c r="N332" s="62"/>
      <c r="O332" s="62"/>
      <c r="P332" s="62"/>
      <c r="Q332" s="62"/>
      <c r="R332" s="43"/>
      <c r="S332" s="63"/>
      <c r="T332" s="49"/>
      <c r="U332" s="116"/>
      <c r="V332" s="63"/>
      <c r="W332" s="63"/>
      <c r="X332" s="62"/>
      <c r="Y332" s="45"/>
      <c r="Z332" s="45"/>
      <c r="AA332" s="45"/>
      <c r="AB332" s="45"/>
      <c r="AC332" s="169"/>
    </row>
    <row r="333" spans="1:29" s="68" customFormat="1" ht="15" hidden="1" customHeight="1">
      <c r="A333" s="62" t="s">
        <v>364</v>
      </c>
      <c r="B333" s="44" t="s">
        <v>784</v>
      </c>
      <c r="C333" s="44"/>
      <c r="D333" s="67"/>
      <c r="E333" s="62" t="s">
        <v>601</v>
      </c>
      <c r="F333" s="62"/>
      <c r="G333" s="43"/>
      <c r="H333" s="62" t="s">
        <v>104</v>
      </c>
      <c r="I333" s="43" t="s">
        <v>21</v>
      </c>
      <c r="J333" s="44"/>
      <c r="K333" s="65"/>
      <c r="L333" s="51"/>
      <c r="M333" s="62"/>
      <c r="N333" s="62"/>
      <c r="O333" s="62"/>
      <c r="P333" s="62"/>
      <c r="Q333" s="62"/>
      <c r="R333" s="43"/>
      <c r="S333" s="63"/>
      <c r="T333" s="49"/>
      <c r="U333" s="116"/>
      <c r="V333" s="63"/>
      <c r="W333" s="63"/>
      <c r="X333" s="62"/>
      <c r="Y333" s="45"/>
      <c r="Z333" s="45"/>
      <c r="AA333" s="45"/>
      <c r="AB333" s="45"/>
      <c r="AC333" s="169"/>
    </row>
    <row r="334" spans="1:29" s="68" customFormat="1" ht="15" hidden="1" customHeight="1">
      <c r="A334" s="62" t="s">
        <v>364</v>
      </c>
      <c r="B334" s="43" t="s">
        <v>785</v>
      </c>
      <c r="C334" s="43"/>
      <c r="D334" s="67"/>
      <c r="E334" s="62" t="s">
        <v>601</v>
      </c>
      <c r="F334" s="62"/>
      <c r="G334" s="43"/>
      <c r="H334" s="62" t="s">
        <v>104</v>
      </c>
      <c r="I334" s="43" t="s">
        <v>21</v>
      </c>
      <c r="J334" s="44"/>
      <c r="K334" s="65"/>
      <c r="L334" s="51"/>
      <c r="M334" s="62"/>
      <c r="N334" s="62"/>
      <c r="O334" s="62"/>
      <c r="P334" s="62"/>
      <c r="Q334" s="62"/>
      <c r="R334" s="43"/>
      <c r="S334" s="63"/>
      <c r="T334" s="49"/>
      <c r="U334" s="116"/>
      <c r="V334" s="63"/>
      <c r="W334" s="63"/>
      <c r="X334" s="62"/>
      <c r="Y334" s="45"/>
      <c r="Z334" s="45"/>
      <c r="AA334" s="45"/>
      <c r="AB334" s="45"/>
      <c r="AC334" s="169"/>
    </row>
    <row r="335" spans="1:29" s="68" customFormat="1" ht="15" hidden="1" customHeight="1">
      <c r="A335" s="62" t="s">
        <v>364</v>
      </c>
      <c r="B335" s="43" t="s">
        <v>786</v>
      </c>
      <c r="C335" s="43"/>
      <c r="D335" s="67"/>
      <c r="E335" s="62" t="s">
        <v>601</v>
      </c>
      <c r="F335" s="62"/>
      <c r="G335" s="43"/>
      <c r="H335" s="62" t="s">
        <v>104</v>
      </c>
      <c r="I335" s="43" t="s">
        <v>21</v>
      </c>
      <c r="J335" s="44"/>
      <c r="K335" s="65"/>
      <c r="L335" s="51"/>
      <c r="M335" s="62"/>
      <c r="N335" s="62"/>
      <c r="O335" s="62"/>
      <c r="P335" s="62"/>
      <c r="Q335" s="62"/>
      <c r="R335" s="43"/>
      <c r="S335" s="63"/>
      <c r="T335" s="49"/>
      <c r="U335" s="116"/>
      <c r="V335" s="63"/>
      <c r="W335" s="63"/>
      <c r="X335" s="62"/>
      <c r="Y335" s="45"/>
      <c r="Z335" s="45"/>
      <c r="AA335" s="45"/>
      <c r="AB335" s="45"/>
      <c r="AC335" s="169"/>
    </row>
    <row r="336" spans="1:29" s="68" customFormat="1" ht="15" hidden="1" customHeight="1">
      <c r="A336" s="62" t="s">
        <v>364</v>
      </c>
      <c r="B336" s="43" t="s">
        <v>787</v>
      </c>
      <c r="C336" s="43"/>
      <c r="D336" s="67"/>
      <c r="E336" s="62" t="s">
        <v>601</v>
      </c>
      <c r="F336" s="62"/>
      <c r="G336" s="43"/>
      <c r="H336" s="62" t="s">
        <v>104</v>
      </c>
      <c r="I336" s="43" t="s">
        <v>21</v>
      </c>
      <c r="J336" s="44"/>
      <c r="K336" s="65"/>
      <c r="L336" s="51"/>
      <c r="M336" s="62"/>
      <c r="N336" s="62"/>
      <c r="O336" s="62"/>
      <c r="P336" s="62"/>
      <c r="Q336" s="62"/>
      <c r="R336" s="43"/>
      <c r="S336" s="63"/>
      <c r="T336" s="49"/>
      <c r="U336" s="116"/>
      <c r="V336" s="63"/>
      <c r="W336" s="63"/>
      <c r="X336" s="62"/>
      <c r="Y336" s="45"/>
      <c r="Z336" s="45"/>
      <c r="AA336" s="45"/>
      <c r="AB336" s="45"/>
      <c r="AC336" s="169"/>
    </row>
    <row r="337" spans="1:29" s="68" customFormat="1" ht="15" hidden="1" customHeight="1">
      <c r="A337" s="62" t="s">
        <v>364</v>
      </c>
      <c r="B337" s="43" t="s">
        <v>788</v>
      </c>
      <c r="C337" s="43"/>
      <c r="D337" s="67"/>
      <c r="E337" s="62" t="s">
        <v>601</v>
      </c>
      <c r="F337" s="62"/>
      <c r="G337" s="43"/>
      <c r="H337" s="62" t="s">
        <v>104</v>
      </c>
      <c r="I337" s="43" t="s">
        <v>21</v>
      </c>
      <c r="J337" s="44"/>
      <c r="K337" s="65"/>
      <c r="L337" s="51"/>
      <c r="M337" s="62"/>
      <c r="N337" s="62"/>
      <c r="O337" s="62"/>
      <c r="P337" s="62"/>
      <c r="Q337" s="62"/>
      <c r="R337" s="43"/>
      <c r="S337" s="63"/>
      <c r="T337" s="49"/>
      <c r="U337" s="116"/>
      <c r="V337" s="63"/>
      <c r="W337" s="63"/>
      <c r="X337" s="62"/>
      <c r="Y337" s="45"/>
      <c r="Z337" s="45"/>
      <c r="AA337" s="45"/>
      <c r="AB337" s="45"/>
      <c r="AC337" s="169"/>
    </row>
    <row r="338" spans="1:29" s="68" customFormat="1" ht="15" hidden="1" customHeight="1">
      <c r="A338" s="62" t="s">
        <v>364</v>
      </c>
      <c r="B338" s="44" t="s">
        <v>789</v>
      </c>
      <c r="C338" s="44"/>
      <c r="D338" s="67"/>
      <c r="E338" s="62" t="s">
        <v>601</v>
      </c>
      <c r="F338" s="62"/>
      <c r="G338" s="43"/>
      <c r="H338" s="62" t="s">
        <v>104</v>
      </c>
      <c r="I338" s="43" t="s">
        <v>21</v>
      </c>
      <c r="J338" s="44"/>
      <c r="K338" s="65"/>
      <c r="L338" s="51"/>
      <c r="M338" s="62"/>
      <c r="N338" s="62"/>
      <c r="O338" s="62"/>
      <c r="P338" s="62"/>
      <c r="Q338" s="62"/>
      <c r="R338" s="43"/>
      <c r="S338" s="63"/>
      <c r="T338" s="49"/>
      <c r="U338" s="116"/>
      <c r="V338" s="63"/>
      <c r="W338" s="63"/>
      <c r="X338" s="62"/>
      <c r="Y338" s="45"/>
      <c r="Z338" s="45"/>
      <c r="AA338" s="45"/>
      <c r="AB338" s="45"/>
      <c r="AC338" s="169"/>
    </row>
    <row r="339" spans="1:29" s="68" customFormat="1" ht="15" hidden="1" customHeight="1">
      <c r="A339" s="62" t="s">
        <v>364</v>
      </c>
      <c r="B339" s="44" t="s">
        <v>790</v>
      </c>
      <c r="C339" s="44"/>
      <c r="D339" s="67"/>
      <c r="E339" s="62" t="s">
        <v>601</v>
      </c>
      <c r="F339" s="62"/>
      <c r="G339" s="43"/>
      <c r="H339" s="62" t="s">
        <v>104</v>
      </c>
      <c r="I339" s="43" t="s">
        <v>21</v>
      </c>
      <c r="J339" s="44"/>
      <c r="K339" s="65"/>
      <c r="L339" s="51"/>
      <c r="M339" s="62"/>
      <c r="N339" s="62"/>
      <c r="O339" s="62"/>
      <c r="P339" s="62"/>
      <c r="Q339" s="62"/>
      <c r="R339" s="43"/>
      <c r="S339" s="63"/>
      <c r="T339" s="49"/>
      <c r="U339" s="116"/>
      <c r="V339" s="63"/>
      <c r="W339" s="63"/>
      <c r="X339" s="62"/>
      <c r="Y339" s="45"/>
      <c r="Z339" s="45"/>
      <c r="AA339" s="45"/>
      <c r="AB339" s="45"/>
      <c r="AC339" s="169"/>
    </row>
    <row r="340" spans="1:29" s="68" customFormat="1" ht="15" hidden="1" customHeight="1">
      <c r="A340" s="62" t="s">
        <v>364</v>
      </c>
      <c r="B340" s="44" t="s">
        <v>791</v>
      </c>
      <c r="C340" s="44"/>
      <c r="D340" s="67"/>
      <c r="E340" s="62" t="s">
        <v>601</v>
      </c>
      <c r="F340" s="62"/>
      <c r="G340" s="43"/>
      <c r="H340" s="62" t="s">
        <v>104</v>
      </c>
      <c r="I340" s="43" t="s">
        <v>21</v>
      </c>
      <c r="J340" s="44"/>
      <c r="K340" s="65"/>
      <c r="L340" s="51"/>
      <c r="M340" s="62"/>
      <c r="N340" s="62"/>
      <c r="O340" s="62"/>
      <c r="P340" s="62"/>
      <c r="Q340" s="62"/>
      <c r="R340" s="43"/>
      <c r="S340" s="63"/>
      <c r="T340" s="49"/>
      <c r="U340" s="116"/>
      <c r="V340" s="63"/>
      <c r="W340" s="63"/>
      <c r="X340" s="62"/>
      <c r="Y340" s="45"/>
      <c r="Z340" s="45"/>
      <c r="AA340" s="45"/>
      <c r="AB340" s="45"/>
      <c r="AC340" s="169"/>
    </row>
    <row r="341" spans="1:29" s="68" customFormat="1" ht="15" hidden="1" customHeight="1">
      <c r="A341" s="62" t="s">
        <v>364</v>
      </c>
      <c r="B341" s="44" t="s">
        <v>792</v>
      </c>
      <c r="C341" s="44"/>
      <c r="D341" s="67"/>
      <c r="E341" s="62" t="s">
        <v>601</v>
      </c>
      <c r="F341" s="62"/>
      <c r="G341" s="43"/>
      <c r="H341" s="62" t="s">
        <v>104</v>
      </c>
      <c r="I341" s="43" t="s">
        <v>21</v>
      </c>
      <c r="J341" s="44"/>
      <c r="K341" s="65"/>
      <c r="L341" s="51"/>
      <c r="M341" s="62"/>
      <c r="N341" s="62"/>
      <c r="O341" s="62"/>
      <c r="P341" s="62"/>
      <c r="Q341" s="62"/>
      <c r="R341" s="43"/>
      <c r="S341" s="63"/>
      <c r="T341" s="49"/>
      <c r="U341" s="116"/>
      <c r="V341" s="63"/>
      <c r="W341" s="63"/>
      <c r="X341" s="62"/>
      <c r="Y341" s="45"/>
      <c r="Z341" s="45"/>
      <c r="AA341" s="45"/>
      <c r="AB341" s="45"/>
      <c r="AC341" s="169"/>
    </row>
    <row r="342" spans="1:29" s="68" customFormat="1" ht="15" hidden="1" customHeight="1">
      <c r="A342" s="62" t="s">
        <v>364</v>
      </c>
      <c r="B342" s="44" t="s">
        <v>793</v>
      </c>
      <c r="C342" s="44"/>
      <c r="D342" s="67"/>
      <c r="E342" s="62" t="s">
        <v>601</v>
      </c>
      <c r="F342" s="62"/>
      <c r="G342" s="43"/>
      <c r="H342" s="62" t="s">
        <v>104</v>
      </c>
      <c r="I342" s="43" t="s">
        <v>21</v>
      </c>
      <c r="J342" s="44"/>
      <c r="K342" s="65"/>
      <c r="L342" s="51"/>
      <c r="M342" s="62"/>
      <c r="N342" s="62"/>
      <c r="O342" s="62"/>
      <c r="P342" s="62"/>
      <c r="Q342" s="62"/>
      <c r="R342" s="43"/>
      <c r="S342" s="63"/>
      <c r="T342" s="49"/>
      <c r="U342" s="116"/>
      <c r="V342" s="63"/>
      <c r="W342" s="63"/>
      <c r="X342" s="62"/>
      <c r="Y342" s="45"/>
      <c r="Z342" s="45"/>
      <c r="AA342" s="45"/>
      <c r="AB342" s="45"/>
      <c r="AC342" s="169"/>
    </row>
    <row r="343" spans="1:29" s="68" customFormat="1" ht="15" hidden="1" customHeight="1">
      <c r="A343" s="62" t="s">
        <v>364</v>
      </c>
      <c r="B343" s="46" t="s">
        <v>794</v>
      </c>
      <c r="C343" s="46"/>
      <c r="D343" s="67"/>
      <c r="E343" s="62" t="s">
        <v>601</v>
      </c>
      <c r="F343" s="62"/>
      <c r="G343" s="43"/>
      <c r="H343" s="62" t="s">
        <v>104</v>
      </c>
      <c r="I343" s="43" t="s">
        <v>21</v>
      </c>
      <c r="J343" s="44"/>
      <c r="K343" s="65"/>
      <c r="L343" s="51"/>
      <c r="M343" s="62"/>
      <c r="N343" s="62"/>
      <c r="O343" s="62"/>
      <c r="P343" s="62"/>
      <c r="Q343" s="62"/>
      <c r="R343" s="43"/>
      <c r="S343" s="63"/>
      <c r="T343" s="49"/>
      <c r="U343" s="116"/>
      <c r="V343" s="63"/>
      <c r="W343" s="63"/>
      <c r="X343" s="62"/>
      <c r="Y343" s="45"/>
      <c r="Z343" s="45"/>
      <c r="AA343" s="45"/>
      <c r="AB343" s="45"/>
      <c r="AC343" s="169"/>
    </row>
    <row r="344" spans="1:29" s="68" customFormat="1" ht="15" hidden="1" customHeight="1">
      <c r="A344" s="62" t="s">
        <v>364</v>
      </c>
      <c r="B344" s="43" t="s">
        <v>795</v>
      </c>
      <c r="C344" s="43"/>
      <c r="D344" s="67"/>
      <c r="E344" s="62" t="s">
        <v>601</v>
      </c>
      <c r="F344" s="62"/>
      <c r="G344" s="43"/>
      <c r="H344" s="62" t="s">
        <v>104</v>
      </c>
      <c r="I344" s="43" t="s">
        <v>21</v>
      </c>
      <c r="J344" s="44"/>
      <c r="K344" s="65"/>
      <c r="L344" s="51"/>
      <c r="M344" s="62"/>
      <c r="N344" s="62"/>
      <c r="O344" s="62"/>
      <c r="P344" s="62"/>
      <c r="Q344" s="62"/>
      <c r="R344" s="43"/>
      <c r="S344" s="63"/>
      <c r="T344" s="49"/>
      <c r="U344" s="116"/>
      <c r="V344" s="63"/>
      <c r="W344" s="63"/>
      <c r="X344" s="62"/>
      <c r="Y344" s="45"/>
      <c r="Z344" s="45"/>
      <c r="AA344" s="45"/>
      <c r="AB344" s="45"/>
      <c r="AC344" s="169"/>
    </row>
    <row r="345" spans="1:29" s="68" customFormat="1" ht="15" hidden="1" customHeight="1">
      <c r="A345" s="62" t="s">
        <v>364</v>
      </c>
      <c r="B345" s="43" t="s">
        <v>796</v>
      </c>
      <c r="C345" s="43"/>
      <c r="D345" s="67"/>
      <c r="E345" s="62" t="s">
        <v>601</v>
      </c>
      <c r="F345" s="62"/>
      <c r="G345" s="43"/>
      <c r="H345" s="62" t="s">
        <v>104</v>
      </c>
      <c r="I345" s="43" t="s">
        <v>21</v>
      </c>
      <c r="J345" s="44"/>
      <c r="K345" s="65"/>
      <c r="L345" s="51"/>
      <c r="M345" s="62"/>
      <c r="N345" s="62"/>
      <c r="O345" s="62"/>
      <c r="P345" s="62"/>
      <c r="Q345" s="62"/>
      <c r="R345" s="43"/>
      <c r="S345" s="63"/>
      <c r="T345" s="49"/>
      <c r="U345" s="116"/>
      <c r="V345" s="63"/>
      <c r="W345" s="63"/>
      <c r="X345" s="62"/>
      <c r="Y345" s="45"/>
      <c r="Z345" s="45"/>
      <c r="AA345" s="45"/>
      <c r="AB345" s="45"/>
      <c r="AC345" s="169"/>
    </row>
    <row r="346" spans="1:29" s="68" customFormat="1" ht="15" hidden="1" customHeight="1">
      <c r="A346" s="62" t="s">
        <v>364</v>
      </c>
      <c r="B346" s="43" t="s">
        <v>797</v>
      </c>
      <c r="C346" s="43"/>
      <c r="D346" s="67"/>
      <c r="E346" s="62" t="s">
        <v>601</v>
      </c>
      <c r="F346" s="62"/>
      <c r="G346" s="43"/>
      <c r="H346" s="62" t="s">
        <v>104</v>
      </c>
      <c r="I346" s="43" t="s">
        <v>21</v>
      </c>
      <c r="J346" s="44"/>
      <c r="K346" s="65"/>
      <c r="L346" s="51"/>
      <c r="M346" s="62"/>
      <c r="N346" s="62"/>
      <c r="O346" s="62"/>
      <c r="P346" s="62"/>
      <c r="Q346" s="62"/>
      <c r="R346" s="43"/>
      <c r="S346" s="63"/>
      <c r="T346" s="49"/>
      <c r="U346" s="116"/>
      <c r="V346" s="63"/>
      <c r="W346" s="63"/>
      <c r="X346" s="62"/>
      <c r="Y346" s="45"/>
      <c r="Z346" s="45"/>
      <c r="AA346" s="45"/>
      <c r="AB346" s="45"/>
      <c r="AC346" s="169"/>
    </row>
    <row r="347" spans="1:29" s="68" customFormat="1" ht="15" hidden="1" customHeight="1">
      <c r="A347" s="62" t="s">
        <v>364</v>
      </c>
      <c r="B347" s="43" t="s">
        <v>798</v>
      </c>
      <c r="C347" s="43"/>
      <c r="D347" s="67"/>
      <c r="E347" s="62" t="s">
        <v>601</v>
      </c>
      <c r="F347" s="62"/>
      <c r="G347" s="43"/>
      <c r="H347" s="62" t="s">
        <v>104</v>
      </c>
      <c r="I347" s="43" t="s">
        <v>21</v>
      </c>
      <c r="J347" s="44"/>
      <c r="K347" s="65"/>
      <c r="L347" s="51"/>
      <c r="M347" s="62"/>
      <c r="N347" s="62"/>
      <c r="O347" s="62"/>
      <c r="P347" s="62"/>
      <c r="Q347" s="62"/>
      <c r="R347" s="43"/>
      <c r="S347" s="63"/>
      <c r="T347" s="49"/>
      <c r="U347" s="116"/>
      <c r="V347" s="63"/>
      <c r="W347" s="63"/>
      <c r="X347" s="62"/>
      <c r="Y347" s="45"/>
      <c r="Z347" s="45"/>
      <c r="AA347" s="45"/>
      <c r="AB347" s="45"/>
      <c r="AC347" s="169"/>
    </row>
    <row r="348" spans="1:29" s="68" customFormat="1" ht="15" hidden="1" customHeight="1">
      <c r="A348" s="62" t="s">
        <v>364</v>
      </c>
      <c r="B348" s="44" t="s">
        <v>799</v>
      </c>
      <c r="C348" s="44"/>
      <c r="D348" s="67"/>
      <c r="E348" s="62" t="s">
        <v>601</v>
      </c>
      <c r="F348" s="62"/>
      <c r="G348" s="43"/>
      <c r="H348" s="62" t="s">
        <v>104</v>
      </c>
      <c r="I348" s="43" t="s">
        <v>21</v>
      </c>
      <c r="J348" s="44"/>
      <c r="K348" s="65"/>
      <c r="L348" s="51"/>
      <c r="M348" s="62"/>
      <c r="N348" s="62"/>
      <c r="O348" s="62"/>
      <c r="P348" s="62"/>
      <c r="Q348" s="62"/>
      <c r="R348" s="43"/>
      <c r="S348" s="63"/>
      <c r="T348" s="49"/>
      <c r="U348" s="116"/>
      <c r="V348" s="63"/>
      <c r="W348" s="63"/>
      <c r="X348" s="62"/>
      <c r="Y348" s="45"/>
      <c r="Z348" s="45"/>
      <c r="AA348" s="45"/>
      <c r="AB348" s="45"/>
      <c r="AC348" s="169"/>
    </row>
    <row r="349" spans="1:29" s="68" customFormat="1" ht="15" hidden="1" customHeight="1">
      <c r="A349" s="62" t="s">
        <v>364</v>
      </c>
      <c r="B349" s="43" t="s">
        <v>800</v>
      </c>
      <c r="C349" s="43"/>
      <c r="D349" s="67"/>
      <c r="E349" s="62" t="s">
        <v>601</v>
      </c>
      <c r="F349" s="62"/>
      <c r="G349" s="43"/>
      <c r="H349" s="62" t="s">
        <v>104</v>
      </c>
      <c r="I349" s="43" t="s">
        <v>21</v>
      </c>
      <c r="J349" s="44"/>
      <c r="K349" s="65"/>
      <c r="L349" s="51"/>
      <c r="M349" s="62"/>
      <c r="N349" s="62"/>
      <c r="O349" s="62"/>
      <c r="P349" s="62"/>
      <c r="Q349" s="62"/>
      <c r="R349" s="43"/>
      <c r="S349" s="63"/>
      <c r="T349" s="49"/>
      <c r="U349" s="116"/>
      <c r="V349" s="63"/>
      <c r="W349" s="63"/>
      <c r="X349" s="62"/>
      <c r="Y349" s="45"/>
      <c r="Z349" s="45"/>
      <c r="AA349" s="45"/>
      <c r="AB349" s="45"/>
      <c r="AC349" s="169"/>
    </row>
    <row r="350" spans="1:29" s="68" customFormat="1" ht="15" hidden="1" customHeight="1">
      <c r="A350" s="62" t="s">
        <v>364</v>
      </c>
      <c r="B350" s="43" t="s">
        <v>801</v>
      </c>
      <c r="C350" s="43"/>
      <c r="D350" s="67"/>
      <c r="E350" s="62" t="s">
        <v>601</v>
      </c>
      <c r="F350" s="62"/>
      <c r="G350" s="43"/>
      <c r="H350" s="62" t="s">
        <v>104</v>
      </c>
      <c r="I350" s="43" t="s">
        <v>21</v>
      </c>
      <c r="J350" s="44"/>
      <c r="K350" s="65"/>
      <c r="L350" s="51"/>
      <c r="M350" s="62"/>
      <c r="N350" s="62"/>
      <c r="O350" s="62"/>
      <c r="P350" s="62"/>
      <c r="Q350" s="62"/>
      <c r="R350" s="43"/>
      <c r="S350" s="63"/>
      <c r="T350" s="49"/>
      <c r="U350" s="116"/>
      <c r="V350" s="63"/>
      <c r="W350" s="63"/>
      <c r="X350" s="62"/>
      <c r="Y350" s="45"/>
      <c r="Z350" s="45"/>
      <c r="AA350" s="45"/>
      <c r="AB350" s="45"/>
      <c r="AC350" s="169"/>
    </row>
    <row r="351" spans="1:29" s="68" customFormat="1" ht="15" hidden="1" customHeight="1">
      <c r="A351" s="62" t="s">
        <v>364</v>
      </c>
      <c r="B351" s="43" t="s">
        <v>802</v>
      </c>
      <c r="C351" s="43"/>
      <c r="D351" s="67"/>
      <c r="E351" s="62" t="s">
        <v>601</v>
      </c>
      <c r="F351" s="62"/>
      <c r="G351" s="43"/>
      <c r="H351" s="62" t="s">
        <v>104</v>
      </c>
      <c r="I351" s="43" t="s">
        <v>21</v>
      </c>
      <c r="J351" s="44"/>
      <c r="K351" s="65"/>
      <c r="L351" s="51"/>
      <c r="M351" s="62"/>
      <c r="N351" s="62"/>
      <c r="O351" s="62"/>
      <c r="P351" s="62"/>
      <c r="Q351" s="62"/>
      <c r="R351" s="43"/>
      <c r="S351" s="63"/>
      <c r="T351" s="49"/>
      <c r="U351" s="116"/>
      <c r="V351" s="63"/>
      <c r="W351" s="63"/>
      <c r="X351" s="62"/>
      <c r="Y351" s="45"/>
      <c r="Z351" s="45"/>
      <c r="AA351" s="45"/>
      <c r="AB351" s="45"/>
      <c r="AC351" s="169"/>
    </row>
    <row r="352" spans="1:29" s="68" customFormat="1" ht="15" hidden="1" customHeight="1">
      <c r="A352" s="62" t="s">
        <v>364</v>
      </c>
      <c r="B352" s="43" t="s">
        <v>803</v>
      </c>
      <c r="C352" s="43"/>
      <c r="D352" s="67"/>
      <c r="E352" s="62" t="s">
        <v>601</v>
      </c>
      <c r="F352" s="62"/>
      <c r="G352" s="43"/>
      <c r="H352" s="62" t="s">
        <v>104</v>
      </c>
      <c r="I352" s="43" t="s">
        <v>21</v>
      </c>
      <c r="J352" s="44"/>
      <c r="K352" s="65"/>
      <c r="L352" s="51"/>
      <c r="M352" s="62"/>
      <c r="N352" s="62"/>
      <c r="O352" s="62"/>
      <c r="P352" s="62"/>
      <c r="Q352" s="62"/>
      <c r="R352" s="43"/>
      <c r="S352" s="63"/>
      <c r="T352" s="49"/>
      <c r="U352" s="116"/>
      <c r="V352" s="63"/>
      <c r="W352" s="63"/>
      <c r="X352" s="62"/>
      <c r="Y352" s="45"/>
      <c r="Z352" s="45"/>
      <c r="AA352" s="45"/>
      <c r="AB352" s="45"/>
      <c r="AC352" s="169"/>
    </row>
    <row r="353" spans="1:29" s="68" customFormat="1" ht="15" hidden="1" customHeight="1">
      <c r="A353" s="62" t="s">
        <v>364</v>
      </c>
      <c r="B353" s="44" t="s">
        <v>804</v>
      </c>
      <c r="C353" s="44"/>
      <c r="D353" s="67"/>
      <c r="E353" s="62" t="s">
        <v>601</v>
      </c>
      <c r="F353" s="62"/>
      <c r="G353" s="43"/>
      <c r="H353" s="62" t="s">
        <v>104</v>
      </c>
      <c r="I353" s="43" t="s">
        <v>21</v>
      </c>
      <c r="J353" s="44"/>
      <c r="K353" s="65"/>
      <c r="L353" s="51"/>
      <c r="M353" s="62"/>
      <c r="N353" s="62"/>
      <c r="O353" s="62"/>
      <c r="P353" s="62"/>
      <c r="Q353" s="62"/>
      <c r="R353" s="43"/>
      <c r="S353" s="63"/>
      <c r="T353" s="49"/>
      <c r="U353" s="116"/>
      <c r="V353" s="63"/>
      <c r="W353" s="63"/>
      <c r="X353" s="62"/>
      <c r="Y353" s="45"/>
      <c r="Z353" s="45"/>
      <c r="AA353" s="45"/>
      <c r="AB353" s="45"/>
      <c r="AC353" s="169"/>
    </row>
    <row r="354" spans="1:29" s="68" customFormat="1" ht="15" hidden="1" customHeight="1">
      <c r="A354" s="62" t="s">
        <v>364</v>
      </c>
      <c r="B354" s="44" t="s">
        <v>805</v>
      </c>
      <c r="C354" s="44"/>
      <c r="D354" s="67"/>
      <c r="E354" s="62" t="s">
        <v>17</v>
      </c>
      <c r="F354" s="62" t="s">
        <v>806</v>
      </c>
      <c r="G354" s="43"/>
      <c r="H354" s="62" t="s">
        <v>96</v>
      </c>
      <c r="I354" s="43" t="s">
        <v>21</v>
      </c>
      <c r="J354" s="44" t="s">
        <v>3677</v>
      </c>
      <c r="K354" s="65"/>
      <c r="L354" s="51" t="s">
        <v>97</v>
      </c>
      <c r="M354" s="62" t="s">
        <v>22</v>
      </c>
      <c r="N354" s="62" t="s">
        <v>22</v>
      </c>
      <c r="O354" s="62" t="s">
        <v>22</v>
      </c>
      <c r="P354" s="62"/>
      <c r="Q354" s="62" t="s">
        <v>22</v>
      </c>
      <c r="R354" s="43"/>
      <c r="S354" s="63"/>
      <c r="T354" s="49"/>
      <c r="U354" s="116"/>
      <c r="V354" s="63"/>
      <c r="W354" s="63"/>
      <c r="X354" s="77">
        <v>43195</v>
      </c>
      <c r="Y354" s="45" t="s">
        <v>27</v>
      </c>
      <c r="Z354" s="45" t="s">
        <v>27</v>
      </c>
      <c r="AA354" s="45" t="s">
        <v>27</v>
      </c>
      <c r="AB354" s="45"/>
      <c r="AC354" s="169"/>
    </row>
    <row r="355" spans="1:29" s="68" customFormat="1" ht="15" hidden="1" customHeight="1">
      <c r="A355" s="62" t="s">
        <v>364</v>
      </c>
      <c r="B355" s="44" t="s">
        <v>807</v>
      </c>
      <c r="C355" s="44"/>
      <c r="D355" s="67"/>
      <c r="E355" s="62" t="s">
        <v>17</v>
      </c>
      <c r="F355" s="62" t="s">
        <v>808</v>
      </c>
      <c r="G355" s="43"/>
      <c r="H355" s="62" t="s">
        <v>96</v>
      </c>
      <c r="I355" s="43" t="s">
        <v>21</v>
      </c>
      <c r="J355" s="44" t="s">
        <v>2259</v>
      </c>
      <c r="K355" s="65"/>
      <c r="L355" s="51" t="s">
        <v>763</v>
      </c>
      <c r="M355" s="62" t="s">
        <v>22</v>
      </c>
      <c r="N355" s="62" t="s">
        <v>22</v>
      </c>
      <c r="O355" s="62" t="s">
        <v>22</v>
      </c>
      <c r="P355" s="62"/>
      <c r="Q355" s="62" t="s">
        <v>22</v>
      </c>
      <c r="R355" s="43"/>
      <c r="S355" s="63"/>
      <c r="T355" s="49"/>
      <c r="U355" s="116"/>
      <c r="V355" s="63"/>
      <c r="W355" s="63"/>
      <c r="X355" s="77">
        <v>43195</v>
      </c>
      <c r="Y355" s="45" t="s">
        <v>27</v>
      </c>
      <c r="Z355" s="45" t="s">
        <v>27</v>
      </c>
      <c r="AA355" s="45" t="s">
        <v>27</v>
      </c>
      <c r="AB355" s="45"/>
      <c r="AC355" s="169"/>
    </row>
    <row r="356" spans="1:29" s="68" customFormat="1" ht="15" hidden="1" customHeight="1">
      <c r="A356" s="62" t="s">
        <v>364</v>
      </c>
      <c r="B356" s="44" t="s">
        <v>809</v>
      </c>
      <c r="C356" s="44"/>
      <c r="D356" s="67"/>
      <c r="E356" s="62" t="s">
        <v>17</v>
      </c>
      <c r="F356" s="62" t="s">
        <v>810</v>
      </c>
      <c r="G356" s="43"/>
      <c r="H356" s="62" t="s">
        <v>96</v>
      </c>
      <c r="I356" s="43" t="s">
        <v>21</v>
      </c>
      <c r="J356" s="44" t="s">
        <v>2259</v>
      </c>
      <c r="K356" s="65"/>
      <c r="L356" s="51" t="s">
        <v>763</v>
      </c>
      <c r="M356" s="62" t="s">
        <v>22</v>
      </c>
      <c r="N356" s="62" t="s">
        <v>22</v>
      </c>
      <c r="O356" s="62" t="s">
        <v>22</v>
      </c>
      <c r="P356" s="62"/>
      <c r="Q356" s="62" t="s">
        <v>22</v>
      </c>
      <c r="R356" s="43"/>
      <c r="S356" s="63"/>
      <c r="T356" s="49"/>
      <c r="U356" s="116"/>
      <c r="V356" s="63"/>
      <c r="W356" s="63"/>
      <c r="X356" s="77">
        <v>43195</v>
      </c>
      <c r="Y356" s="45" t="s">
        <v>27</v>
      </c>
      <c r="Z356" s="45" t="s">
        <v>27</v>
      </c>
      <c r="AA356" s="45" t="s">
        <v>27</v>
      </c>
      <c r="AB356" s="45"/>
      <c r="AC356" s="169"/>
    </row>
    <row r="357" spans="1:29" s="68" customFormat="1" ht="15" hidden="1" customHeight="1">
      <c r="A357" s="62" t="s">
        <v>364</v>
      </c>
      <c r="B357" s="44" t="s">
        <v>811</v>
      </c>
      <c r="C357" s="44"/>
      <c r="D357" s="67"/>
      <c r="E357" s="62" t="s">
        <v>17</v>
      </c>
      <c r="F357" s="62" t="s">
        <v>812</v>
      </c>
      <c r="G357" s="43"/>
      <c r="H357" s="62" t="s">
        <v>96</v>
      </c>
      <c r="I357" s="43" t="s">
        <v>21</v>
      </c>
      <c r="J357" s="44" t="s">
        <v>3677</v>
      </c>
      <c r="K357" s="65"/>
      <c r="L357" s="51" t="s">
        <v>763</v>
      </c>
      <c r="M357" s="62" t="s">
        <v>22</v>
      </c>
      <c r="N357" s="62" t="s">
        <v>22</v>
      </c>
      <c r="O357" s="62" t="s">
        <v>22</v>
      </c>
      <c r="P357" s="62"/>
      <c r="Q357" s="62" t="s">
        <v>22</v>
      </c>
      <c r="R357" s="43"/>
      <c r="S357" s="63"/>
      <c r="T357" s="49"/>
      <c r="U357" s="116"/>
      <c r="V357" s="63"/>
      <c r="W357" s="63"/>
      <c r="X357" s="77">
        <v>43195</v>
      </c>
      <c r="Y357" s="45" t="s">
        <v>27</v>
      </c>
      <c r="Z357" s="45" t="s">
        <v>27</v>
      </c>
      <c r="AA357" s="45" t="s">
        <v>27</v>
      </c>
      <c r="AB357" s="45"/>
      <c r="AC357" s="169"/>
    </row>
    <row r="358" spans="1:29" s="68" customFormat="1" ht="15" hidden="1" customHeight="1">
      <c r="A358" s="62" t="s">
        <v>364</v>
      </c>
      <c r="B358" s="46" t="s">
        <v>813</v>
      </c>
      <c r="C358" s="46"/>
      <c r="D358" s="67"/>
      <c r="E358" s="62" t="s">
        <v>17</v>
      </c>
      <c r="F358" s="62" t="s">
        <v>814</v>
      </c>
      <c r="G358" s="43"/>
      <c r="H358" s="62" t="s">
        <v>96</v>
      </c>
      <c r="I358" s="43" t="s">
        <v>21</v>
      </c>
      <c r="J358" s="44" t="s">
        <v>3677</v>
      </c>
      <c r="K358" s="65"/>
      <c r="L358" s="51" t="s">
        <v>763</v>
      </c>
      <c r="M358" s="62" t="s">
        <v>22</v>
      </c>
      <c r="N358" s="62" t="s">
        <v>22</v>
      </c>
      <c r="O358" s="62" t="s">
        <v>22</v>
      </c>
      <c r="P358" s="62"/>
      <c r="Q358" s="62" t="s">
        <v>22</v>
      </c>
      <c r="R358" s="43"/>
      <c r="S358" s="63"/>
      <c r="T358" s="49"/>
      <c r="U358" s="116"/>
      <c r="V358" s="63"/>
      <c r="W358" s="63"/>
      <c r="X358" s="77">
        <v>43195</v>
      </c>
      <c r="Y358" s="45" t="s">
        <v>27</v>
      </c>
      <c r="Z358" s="45" t="s">
        <v>27</v>
      </c>
      <c r="AA358" s="45" t="s">
        <v>27</v>
      </c>
      <c r="AB358" s="45"/>
      <c r="AC358" s="169"/>
    </row>
    <row r="359" spans="1:29" s="68" customFormat="1" ht="15" hidden="1" customHeight="1">
      <c r="A359" s="62" t="s">
        <v>364</v>
      </c>
      <c r="B359" s="43" t="s">
        <v>815</v>
      </c>
      <c r="C359" s="43"/>
      <c r="D359" s="67"/>
      <c r="E359" s="62" t="s">
        <v>17</v>
      </c>
      <c r="F359" s="62" t="s">
        <v>816</v>
      </c>
      <c r="G359" s="43"/>
      <c r="H359" s="62" t="s">
        <v>96</v>
      </c>
      <c r="I359" s="43" t="s">
        <v>21</v>
      </c>
      <c r="J359" s="44" t="s">
        <v>2259</v>
      </c>
      <c r="K359" s="65"/>
      <c r="L359" s="51" t="s">
        <v>763</v>
      </c>
      <c r="M359" s="62" t="s">
        <v>22</v>
      </c>
      <c r="N359" s="62" t="s">
        <v>22</v>
      </c>
      <c r="O359" s="62" t="s">
        <v>22</v>
      </c>
      <c r="P359" s="62"/>
      <c r="Q359" s="62" t="s">
        <v>22</v>
      </c>
      <c r="R359" s="43"/>
      <c r="S359" s="63"/>
      <c r="T359" s="49"/>
      <c r="U359" s="116"/>
      <c r="V359" s="63"/>
      <c r="W359" s="63"/>
      <c r="X359" s="77">
        <v>43195</v>
      </c>
      <c r="Y359" s="45" t="s">
        <v>27</v>
      </c>
      <c r="Z359" s="45" t="s">
        <v>27</v>
      </c>
      <c r="AA359" s="45" t="s">
        <v>27</v>
      </c>
      <c r="AB359" s="45"/>
      <c r="AC359" s="169"/>
    </row>
    <row r="360" spans="1:29" s="68" customFormat="1" ht="15" hidden="1" customHeight="1">
      <c r="A360" s="62" t="s">
        <v>364</v>
      </c>
      <c r="B360" s="43" t="s">
        <v>817</v>
      </c>
      <c r="C360" s="43"/>
      <c r="D360" s="67"/>
      <c r="E360" s="62" t="s">
        <v>17</v>
      </c>
      <c r="F360" s="62" t="s">
        <v>818</v>
      </c>
      <c r="G360" s="43"/>
      <c r="H360" s="62" t="s">
        <v>96</v>
      </c>
      <c r="I360" s="43" t="s">
        <v>21</v>
      </c>
      <c r="J360" s="44" t="s">
        <v>3677</v>
      </c>
      <c r="K360" s="65"/>
      <c r="L360" s="51" t="s">
        <v>763</v>
      </c>
      <c r="M360" s="62" t="s">
        <v>22</v>
      </c>
      <c r="N360" s="62" t="s">
        <v>22</v>
      </c>
      <c r="O360" s="62" t="s">
        <v>22</v>
      </c>
      <c r="P360" s="62"/>
      <c r="Q360" s="62" t="s">
        <v>22</v>
      </c>
      <c r="R360" s="43"/>
      <c r="S360" s="63"/>
      <c r="T360" s="49"/>
      <c r="U360" s="116"/>
      <c r="V360" s="63"/>
      <c r="W360" s="63"/>
      <c r="X360" s="77">
        <v>43195</v>
      </c>
      <c r="Y360" s="45" t="s">
        <v>27</v>
      </c>
      <c r="Z360" s="45" t="s">
        <v>27</v>
      </c>
      <c r="AA360" s="45" t="s">
        <v>27</v>
      </c>
      <c r="AB360" s="45"/>
      <c r="AC360" s="169"/>
    </row>
    <row r="361" spans="1:29" s="68" customFormat="1" ht="15" hidden="1" customHeight="1">
      <c r="A361" s="62" t="s">
        <v>364</v>
      </c>
      <c r="B361" s="43" t="s">
        <v>819</v>
      </c>
      <c r="C361" s="43"/>
      <c r="D361" s="67"/>
      <c r="E361" s="62" t="s">
        <v>17</v>
      </c>
      <c r="F361" s="62" t="s">
        <v>820</v>
      </c>
      <c r="G361" s="43"/>
      <c r="H361" s="62" t="s">
        <v>96</v>
      </c>
      <c r="I361" s="43" t="s">
        <v>21</v>
      </c>
      <c r="J361" s="44" t="s">
        <v>3677</v>
      </c>
      <c r="K361" s="65"/>
      <c r="L361" s="51" t="s">
        <v>763</v>
      </c>
      <c r="M361" s="62" t="s">
        <v>22</v>
      </c>
      <c r="N361" s="62" t="s">
        <v>22</v>
      </c>
      <c r="O361" s="62" t="s">
        <v>22</v>
      </c>
      <c r="P361" s="62"/>
      <c r="Q361" s="62" t="s">
        <v>22</v>
      </c>
      <c r="R361" s="43"/>
      <c r="S361" s="63"/>
      <c r="T361" s="49"/>
      <c r="U361" s="116"/>
      <c r="V361" s="63"/>
      <c r="W361" s="63"/>
      <c r="X361" s="77">
        <v>43195</v>
      </c>
      <c r="Y361" s="45" t="s">
        <v>27</v>
      </c>
      <c r="Z361" s="45" t="s">
        <v>27</v>
      </c>
      <c r="AA361" s="45" t="s">
        <v>27</v>
      </c>
      <c r="AB361" s="45"/>
      <c r="AC361" s="169"/>
    </row>
    <row r="362" spans="1:29" s="68" customFormat="1" ht="15" hidden="1" customHeight="1">
      <c r="A362" s="62" t="s">
        <v>364</v>
      </c>
      <c r="B362" s="43" t="s">
        <v>821</v>
      </c>
      <c r="C362" s="43"/>
      <c r="D362" s="67"/>
      <c r="E362" s="62" t="s">
        <v>17</v>
      </c>
      <c r="F362" s="62" t="s">
        <v>822</v>
      </c>
      <c r="G362" s="43"/>
      <c r="H362" s="62" t="s">
        <v>96</v>
      </c>
      <c r="I362" s="43" t="s">
        <v>21</v>
      </c>
      <c r="J362" s="44" t="s">
        <v>3677</v>
      </c>
      <c r="K362" s="65"/>
      <c r="L362" s="51" t="s">
        <v>763</v>
      </c>
      <c r="M362" s="62" t="s">
        <v>22</v>
      </c>
      <c r="N362" s="62" t="s">
        <v>22</v>
      </c>
      <c r="O362" s="62" t="s">
        <v>22</v>
      </c>
      <c r="P362" s="62"/>
      <c r="Q362" s="62" t="s">
        <v>22</v>
      </c>
      <c r="R362" s="43"/>
      <c r="S362" s="63"/>
      <c r="T362" s="49"/>
      <c r="U362" s="116"/>
      <c r="V362" s="63"/>
      <c r="W362" s="63"/>
      <c r="X362" s="77">
        <v>43195</v>
      </c>
      <c r="Y362" s="45" t="s">
        <v>27</v>
      </c>
      <c r="Z362" s="45" t="s">
        <v>27</v>
      </c>
      <c r="AA362" s="45" t="s">
        <v>27</v>
      </c>
      <c r="AB362" s="45"/>
      <c r="AC362" s="169"/>
    </row>
    <row r="363" spans="1:29" s="68" customFormat="1" ht="15" hidden="1" customHeight="1">
      <c r="A363" s="62" t="s">
        <v>364</v>
      </c>
      <c r="B363" s="44" t="s">
        <v>823</v>
      </c>
      <c r="C363" s="44"/>
      <c r="D363" s="67"/>
      <c r="E363" s="62" t="s">
        <v>17</v>
      </c>
      <c r="F363" s="62" t="s">
        <v>824</v>
      </c>
      <c r="G363" s="43"/>
      <c r="H363" s="62" t="s">
        <v>96</v>
      </c>
      <c r="I363" s="43" t="s">
        <v>21</v>
      </c>
      <c r="J363" s="44" t="s">
        <v>3677</v>
      </c>
      <c r="K363" s="65"/>
      <c r="L363" s="51" t="s">
        <v>763</v>
      </c>
      <c r="M363" s="62" t="s">
        <v>22</v>
      </c>
      <c r="N363" s="62" t="s">
        <v>22</v>
      </c>
      <c r="O363" s="62" t="s">
        <v>22</v>
      </c>
      <c r="P363" s="62"/>
      <c r="Q363" s="62" t="s">
        <v>22</v>
      </c>
      <c r="R363" s="43"/>
      <c r="S363" s="63"/>
      <c r="T363" s="49"/>
      <c r="U363" s="116"/>
      <c r="V363" s="63"/>
      <c r="W363" s="63"/>
      <c r="X363" s="77">
        <v>43195</v>
      </c>
      <c r="Y363" s="45" t="s">
        <v>27</v>
      </c>
      <c r="Z363" s="45" t="s">
        <v>27</v>
      </c>
      <c r="AA363" s="45" t="s">
        <v>27</v>
      </c>
      <c r="AB363" s="45"/>
      <c r="AC363" s="169"/>
    </row>
    <row r="364" spans="1:29" s="68" customFormat="1" ht="15" hidden="1" customHeight="1">
      <c r="A364" s="62" t="s">
        <v>364</v>
      </c>
      <c r="B364" s="43" t="s">
        <v>825</v>
      </c>
      <c r="C364" s="43"/>
      <c r="D364" s="67"/>
      <c r="E364" s="62" t="s">
        <v>17</v>
      </c>
      <c r="F364" s="62" t="s">
        <v>826</v>
      </c>
      <c r="G364" s="43"/>
      <c r="H364" s="62" t="s">
        <v>96</v>
      </c>
      <c r="I364" s="43" t="s">
        <v>21</v>
      </c>
      <c r="J364" s="44" t="s">
        <v>3677</v>
      </c>
      <c r="K364" s="65"/>
      <c r="L364" s="51" t="s">
        <v>763</v>
      </c>
      <c r="M364" s="62" t="s">
        <v>22</v>
      </c>
      <c r="N364" s="62" t="s">
        <v>22</v>
      </c>
      <c r="O364" s="62" t="s">
        <v>22</v>
      </c>
      <c r="P364" s="62"/>
      <c r="Q364" s="62" t="s">
        <v>27</v>
      </c>
      <c r="R364" s="43"/>
      <c r="S364" s="63"/>
      <c r="T364" s="49"/>
      <c r="U364" s="116"/>
      <c r="V364" s="63"/>
      <c r="W364" s="63"/>
      <c r="X364" s="77">
        <v>43195</v>
      </c>
      <c r="Y364" s="45" t="s">
        <v>27</v>
      </c>
      <c r="Z364" s="45" t="s">
        <v>27</v>
      </c>
      <c r="AA364" s="45" t="s">
        <v>27</v>
      </c>
      <c r="AB364" s="45"/>
      <c r="AC364" s="169"/>
    </row>
    <row r="365" spans="1:29" s="68" customFormat="1" ht="15" hidden="1" customHeight="1">
      <c r="A365" s="62" t="s">
        <v>364</v>
      </c>
      <c r="B365" s="43" t="s">
        <v>827</v>
      </c>
      <c r="C365" s="43"/>
      <c r="D365" s="67"/>
      <c r="E365" s="62" t="s">
        <v>17</v>
      </c>
      <c r="F365" s="62" t="s">
        <v>828</v>
      </c>
      <c r="G365" s="79"/>
      <c r="H365" s="62" t="s">
        <v>96</v>
      </c>
      <c r="I365" s="43" t="s">
        <v>21</v>
      </c>
      <c r="J365" s="44" t="s">
        <v>2259</v>
      </c>
      <c r="K365" s="65"/>
      <c r="L365" s="51" t="s">
        <v>763</v>
      </c>
      <c r="M365" s="62" t="s">
        <v>22</v>
      </c>
      <c r="N365" s="62" t="s">
        <v>22</v>
      </c>
      <c r="O365" s="62" t="s">
        <v>22</v>
      </c>
      <c r="P365" s="62"/>
      <c r="Q365" s="62" t="s">
        <v>27</v>
      </c>
      <c r="R365" s="43"/>
      <c r="S365" s="63"/>
      <c r="T365" s="49"/>
      <c r="U365" s="116"/>
      <c r="V365" s="63"/>
      <c r="W365" s="63"/>
      <c r="X365" s="77">
        <v>43195</v>
      </c>
      <c r="Y365" s="45" t="s">
        <v>27</v>
      </c>
      <c r="Z365" s="45" t="s">
        <v>27</v>
      </c>
      <c r="AA365" s="45" t="s">
        <v>27</v>
      </c>
      <c r="AB365" s="45"/>
      <c r="AC365" s="169"/>
    </row>
    <row r="366" spans="1:29" s="68" customFormat="1" ht="15" hidden="1" customHeight="1">
      <c r="A366" s="62" t="s">
        <v>364</v>
      </c>
      <c r="B366" s="43" t="s">
        <v>829</v>
      </c>
      <c r="C366" s="43"/>
      <c r="D366" s="67"/>
      <c r="E366" s="62" t="s">
        <v>17</v>
      </c>
      <c r="F366" s="62" t="s">
        <v>830</v>
      </c>
      <c r="G366" s="79"/>
      <c r="H366" s="62" t="s">
        <v>96</v>
      </c>
      <c r="I366" s="43" t="s">
        <v>21</v>
      </c>
      <c r="J366" s="44" t="s">
        <v>2259</v>
      </c>
      <c r="K366" s="65"/>
      <c r="L366" s="51" t="s">
        <v>763</v>
      </c>
      <c r="M366" s="62" t="s">
        <v>22</v>
      </c>
      <c r="N366" s="62" t="s">
        <v>22</v>
      </c>
      <c r="O366" s="62" t="s">
        <v>22</v>
      </c>
      <c r="P366" s="62"/>
      <c r="Q366" s="62" t="s">
        <v>22</v>
      </c>
      <c r="R366" s="43"/>
      <c r="S366" s="63"/>
      <c r="T366" s="49"/>
      <c r="U366" s="116"/>
      <c r="V366" s="63"/>
      <c r="W366" s="63"/>
      <c r="X366" s="77">
        <v>43195</v>
      </c>
      <c r="Y366" s="45" t="s">
        <v>27</v>
      </c>
      <c r="Z366" s="45" t="s">
        <v>27</v>
      </c>
      <c r="AA366" s="45" t="s">
        <v>27</v>
      </c>
      <c r="AB366" s="45"/>
      <c r="AC366" s="169"/>
    </row>
    <row r="367" spans="1:29" s="68" customFormat="1" ht="15" hidden="1" customHeight="1">
      <c r="A367" s="62" t="s">
        <v>364</v>
      </c>
      <c r="B367" s="43" t="s">
        <v>831</v>
      </c>
      <c r="C367" s="43"/>
      <c r="D367" s="67"/>
      <c r="E367" s="62" t="s">
        <v>17</v>
      </c>
      <c r="F367" s="62" t="s">
        <v>832</v>
      </c>
      <c r="G367" s="79"/>
      <c r="H367" s="62" t="s">
        <v>96</v>
      </c>
      <c r="I367" s="43" t="s">
        <v>21</v>
      </c>
      <c r="J367" s="44" t="s">
        <v>2259</v>
      </c>
      <c r="K367" s="65"/>
      <c r="L367" s="51" t="s">
        <v>763</v>
      </c>
      <c r="M367" s="62" t="s">
        <v>22</v>
      </c>
      <c r="N367" s="62" t="s">
        <v>22</v>
      </c>
      <c r="O367" s="62" t="s">
        <v>22</v>
      </c>
      <c r="P367" s="62"/>
      <c r="Q367" s="62" t="s">
        <v>22</v>
      </c>
      <c r="R367" s="43"/>
      <c r="S367" s="63"/>
      <c r="T367" s="49"/>
      <c r="U367" s="116"/>
      <c r="V367" s="63"/>
      <c r="W367" s="63"/>
      <c r="X367" s="77">
        <v>43195</v>
      </c>
      <c r="Y367" s="45" t="s">
        <v>27</v>
      </c>
      <c r="Z367" s="45" t="s">
        <v>27</v>
      </c>
      <c r="AA367" s="45" t="s">
        <v>27</v>
      </c>
      <c r="AB367" s="45"/>
      <c r="AC367" s="169"/>
    </row>
    <row r="368" spans="1:29" s="68" customFormat="1" ht="15" hidden="1" customHeight="1">
      <c r="A368" s="62" t="s">
        <v>364</v>
      </c>
      <c r="B368" s="44" t="s">
        <v>833</v>
      </c>
      <c r="C368" s="44"/>
      <c r="D368" s="67"/>
      <c r="E368" s="62" t="s">
        <v>17</v>
      </c>
      <c r="F368" s="62" t="s">
        <v>834</v>
      </c>
      <c r="G368" s="79"/>
      <c r="H368" s="62" t="s">
        <v>96</v>
      </c>
      <c r="I368" s="43" t="s">
        <v>21</v>
      </c>
      <c r="J368" s="44" t="s">
        <v>3677</v>
      </c>
      <c r="K368" s="65"/>
      <c r="L368" s="51" t="s">
        <v>763</v>
      </c>
      <c r="M368" s="62" t="s">
        <v>22</v>
      </c>
      <c r="N368" s="62" t="s">
        <v>22</v>
      </c>
      <c r="O368" s="62" t="s">
        <v>22</v>
      </c>
      <c r="P368" s="62"/>
      <c r="Q368" s="62" t="s">
        <v>22</v>
      </c>
      <c r="R368" s="43"/>
      <c r="S368" s="63"/>
      <c r="T368" s="49"/>
      <c r="U368" s="116"/>
      <c r="V368" s="63"/>
      <c r="W368" s="63"/>
      <c r="X368" s="77">
        <v>43195</v>
      </c>
      <c r="Y368" s="45" t="s">
        <v>27</v>
      </c>
      <c r="Z368" s="45" t="s">
        <v>27</v>
      </c>
      <c r="AA368" s="45" t="s">
        <v>27</v>
      </c>
      <c r="AB368" s="45"/>
      <c r="AC368" s="169"/>
    </row>
    <row r="369" spans="1:29" s="68" customFormat="1" ht="15" hidden="1" customHeight="1">
      <c r="A369" s="62" t="s">
        <v>364</v>
      </c>
      <c r="B369" s="44" t="s">
        <v>835</v>
      </c>
      <c r="C369" s="44"/>
      <c r="D369" s="67"/>
      <c r="E369" s="62" t="s">
        <v>17</v>
      </c>
      <c r="F369" s="62" t="s">
        <v>836</v>
      </c>
      <c r="G369" s="79"/>
      <c r="H369" s="62" t="s">
        <v>96</v>
      </c>
      <c r="I369" s="43" t="s">
        <v>21</v>
      </c>
      <c r="J369" s="44" t="s">
        <v>2259</v>
      </c>
      <c r="K369" s="65"/>
      <c r="L369" s="51" t="s">
        <v>763</v>
      </c>
      <c r="M369" s="62" t="s">
        <v>22</v>
      </c>
      <c r="N369" s="62" t="s">
        <v>22</v>
      </c>
      <c r="O369" s="62" t="s">
        <v>22</v>
      </c>
      <c r="P369" s="62"/>
      <c r="Q369" s="62" t="s">
        <v>22</v>
      </c>
      <c r="R369" s="43"/>
      <c r="S369" s="63"/>
      <c r="T369" s="49"/>
      <c r="U369" s="116"/>
      <c r="V369" s="63"/>
      <c r="W369" s="63"/>
      <c r="X369" s="77">
        <v>43195</v>
      </c>
      <c r="Y369" s="45" t="s">
        <v>27</v>
      </c>
      <c r="Z369" s="45" t="s">
        <v>27</v>
      </c>
      <c r="AA369" s="45" t="s">
        <v>27</v>
      </c>
      <c r="AB369" s="45"/>
      <c r="AC369" s="169"/>
    </row>
    <row r="370" spans="1:29" s="68" customFormat="1" ht="15" hidden="1" customHeight="1">
      <c r="A370" s="62" t="s">
        <v>364</v>
      </c>
      <c r="B370" s="44" t="s">
        <v>837</v>
      </c>
      <c r="C370" s="44"/>
      <c r="D370" s="67"/>
      <c r="E370" s="62" t="s">
        <v>17</v>
      </c>
      <c r="F370" s="62" t="s">
        <v>838</v>
      </c>
      <c r="G370" s="79"/>
      <c r="H370" s="62" t="s">
        <v>96</v>
      </c>
      <c r="I370" s="43" t="s">
        <v>21</v>
      </c>
      <c r="J370" s="44" t="s">
        <v>2259</v>
      </c>
      <c r="K370" s="65"/>
      <c r="L370" s="51" t="s">
        <v>763</v>
      </c>
      <c r="M370" s="62" t="s">
        <v>22</v>
      </c>
      <c r="N370" s="62" t="s">
        <v>22</v>
      </c>
      <c r="O370" s="62" t="s">
        <v>22</v>
      </c>
      <c r="P370" s="62"/>
      <c r="Q370" s="62" t="s">
        <v>27</v>
      </c>
      <c r="R370" s="43"/>
      <c r="S370" s="63"/>
      <c r="T370" s="49"/>
      <c r="U370" s="116"/>
      <c r="V370" s="63"/>
      <c r="W370" s="63"/>
      <c r="X370" s="77">
        <v>43195</v>
      </c>
      <c r="Y370" s="45" t="s">
        <v>27</v>
      </c>
      <c r="Z370" s="45" t="s">
        <v>27</v>
      </c>
      <c r="AA370" s="45" t="s">
        <v>27</v>
      </c>
      <c r="AB370" s="45"/>
      <c r="AC370" s="169"/>
    </row>
    <row r="371" spans="1:29" s="68" customFormat="1" ht="15" hidden="1" customHeight="1">
      <c r="A371" s="62" t="s">
        <v>364</v>
      </c>
      <c r="B371" s="44" t="s">
        <v>839</v>
      </c>
      <c r="C371" s="44"/>
      <c r="D371" s="67"/>
      <c r="E371" s="62" t="s">
        <v>17</v>
      </c>
      <c r="F371" s="62" t="s">
        <v>840</v>
      </c>
      <c r="G371" s="79"/>
      <c r="H371" s="62" t="s">
        <v>96</v>
      </c>
      <c r="I371" s="43" t="s">
        <v>21</v>
      </c>
      <c r="J371" s="44" t="s">
        <v>3677</v>
      </c>
      <c r="K371" s="65"/>
      <c r="L371" s="51" t="s">
        <v>763</v>
      </c>
      <c r="M371" s="62" t="s">
        <v>22</v>
      </c>
      <c r="N371" s="62" t="s">
        <v>22</v>
      </c>
      <c r="O371" s="62" t="s">
        <v>22</v>
      </c>
      <c r="P371" s="62"/>
      <c r="Q371" s="62" t="s">
        <v>22</v>
      </c>
      <c r="R371" s="43"/>
      <c r="S371" s="63"/>
      <c r="T371" s="49"/>
      <c r="U371" s="116"/>
      <c r="V371" s="63"/>
      <c r="W371" s="63"/>
      <c r="X371" s="77">
        <v>43195</v>
      </c>
      <c r="Y371" s="45" t="s">
        <v>27</v>
      </c>
      <c r="Z371" s="45" t="s">
        <v>27</v>
      </c>
      <c r="AA371" s="45" t="s">
        <v>27</v>
      </c>
      <c r="AB371" s="45"/>
      <c r="AC371" s="169"/>
    </row>
    <row r="372" spans="1:29" s="68" customFormat="1" ht="15" hidden="1" customHeight="1">
      <c r="A372" s="62" t="s">
        <v>364</v>
      </c>
      <c r="B372" s="44" t="s">
        <v>841</v>
      </c>
      <c r="C372" s="44"/>
      <c r="D372" s="67"/>
      <c r="E372" s="62" t="s">
        <v>17</v>
      </c>
      <c r="F372" s="62" t="s">
        <v>842</v>
      </c>
      <c r="G372" s="79"/>
      <c r="H372" s="62" t="s">
        <v>96</v>
      </c>
      <c r="I372" s="43" t="s">
        <v>21</v>
      </c>
      <c r="J372" s="44" t="s">
        <v>2259</v>
      </c>
      <c r="K372" s="65"/>
      <c r="L372" s="51" t="s">
        <v>763</v>
      </c>
      <c r="M372" s="62" t="s">
        <v>22</v>
      </c>
      <c r="N372" s="62" t="s">
        <v>22</v>
      </c>
      <c r="O372" s="62" t="s">
        <v>22</v>
      </c>
      <c r="P372" s="62"/>
      <c r="Q372" s="62" t="s">
        <v>22</v>
      </c>
      <c r="R372" s="43"/>
      <c r="S372" s="63"/>
      <c r="T372" s="49"/>
      <c r="U372" s="116"/>
      <c r="V372" s="63"/>
      <c r="W372" s="63"/>
      <c r="X372" s="77">
        <v>43195</v>
      </c>
      <c r="Y372" s="45" t="s">
        <v>27</v>
      </c>
      <c r="Z372" s="45" t="s">
        <v>27</v>
      </c>
      <c r="AA372" s="45" t="s">
        <v>27</v>
      </c>
      <c r="AB372" s="45"/>
      <c r="AC372" s="169"/>
    </row>
    <row r="373" spans="1:29" s="68" customFormat="1" ht="15" hidden="1" customHeight="1">
      <c r="A373" s="62" t="s">
        <v>364</v>
      </c>
      <c r="B373" s="46" t="s">
        <v>843</v>
      </c>
      <c r="C373" s="46"/>
      <c r="D373" s="67"/>
      <c r="E373" s="62" t="s">
        <v>17</v>
      </c>
      <c r="F373" s="62" t="s">
        <v>844</v>
      </c>
      <c r="G373" s="79"/>
      <c r="H373" s="62" t="s">
        <v>96</v>
      </c>
      <c r="I373" s="43" t="s">
        <v>21</v>
      </c>
      <c r="J373" s="44" t="s">
        <v>2259</v>
      </c>
      <c r="K373" s="65"/>
      <c r="L373" s="51" t="s">
        <v>763</v>
      </c>
      <c r="M373" s="62" t="s">
        <v>22</v>
      </c>
      <c r="N373" s="62" t="s">
        <v>22</v>
      </c>
      <c r="O373" s="62" t="s">
        <v>22</v>
      </c>
      <c r="P373" s="62"/>
      <c r="Q373" s="62" t="s">
        <v>22</v>
      </c>
      <c r="R373" s="43"/>
      <c r="S373" s="63"/>
      <c r="T373" s="49"/>
      <c r="U373" s="116"/>
      <c r="V373" s="63"/>
      <c r="W373" s="63"/>
      <c r="X373" s="77">
        <v>43195</v>
      </c>
      <c r="Y373" s="45" t="s">
        <v>27</v>
      </c>
      <c r="Z373" s="45" t="s">
        <v>27</v>
      </c>
      <c r="AA373" s="45" t="s">
        <v>27</v>
      </c>
      <c r="AB373" s="45"/>
      <c r="AC373" s="169"/>
    </row>
    <row r="374" spans="1:29" s="68" customFormat="1" ht="15" hidden="1" customHeight="1">
      <c r="A374" s="62" t="s">
        <v>364</v>
      </c>
      <c r="B374" s="43" t="s">
        <v>845</v>
      </c>
      <c r="C374" s="43"/>
      <c r="D374" s="67"/>
      <c r="E374" s="62" t="s">
        <v>17</v>
      </c>
      <c r="F374" s="62" t="s">
        <v>846</v>
      </c>
      <c r="G374" s="79"/>
      <c r="H374" s="62" t="s">
        <v>96</v>
      </c>
      <c r="I374" s="43" t="s">
        <v>21</v>
      </c>
      <c r="J374" s="44" t="s">
        <v>3677</v>
      </c>
      <c r="K374" s="65"/>
      <c r="L374" s="51" t="s">
        <v>763</v>
      </c>
      <c r="M374" s="62" t="s">
        <v>22</v>
      </c>
      <c r="N374" s="62" t="s">
        <v>22</v>
      </c>
      <c r="O374" s="62" t="s">
        <v>22</v>
      </c>
      <c r="P374" s="62"/>
      <c r="Q374" s="62" t="s">
        <v>22</v>
      </c>
      <c r="R374" s="43"/>
      <c r="S374" s="63"/>
      <c r="T374" s="49"/>
      <c r="U374" s="116"/>
      <c r="V374" s="63"/>
      <c r="W374" s="63"/>
      <c r="X374" s="77">
        <v>43195</v>
      </c>
      <c r="Y374" s="45" t="s">
        <v>27</v>
      </c>
      <c r="Z374" s="45" t="s">
        <v>27</v>
      </c>
      <c r="AA374" s="45" t="s">
        <v>27</v>
      </c>
      <c r="AB374" s="45"/>
      <c r="AC374" s="169"/>
    </row>
    <row r="375" spans="1:29" s="68" customFormat="1" ht="15" hidden="1" customHeight="1">
      <c r="A375" s="62" t="s">
        <v>364</v>
      </c>
      <c r="B375" s="43" t="s">
        <v>847</v>
      </c>
      <c r="C375" s="43"/>
      <c r="D375" s="67"/>
      <c r="E375" s="62" t="s">
        <v>17</v>
      </c>
      <c r="F375" s="62" t="s">
        <v>848</v>
      </c>
      <c r="G375" s="79"/>
      <c r="H375" s="62" t="s">
        <v>96</v>
      </c>
      <c r="I375" s="43" t="s">
        <v>21</v>
      </c>
      <c r="J375" s="44" t="s">
        <v>2259</v>
      </c>
      <c r="K375" s="65"/>
      <c r="L375" s="51" t="s">
        <v>97</v>
      </c>
      <c r="M375" s="62" t="s">
        <v>22</v>
      </c>
      <c r="N375" s="62" t="s">
        <v>22</v>
      </c>
      <c r="O375" s="62" t="s">
        <v>22</v>
      </c>
      <c r="P375" s="62"/>
      <c r="Q375" s="62" t="s">
        <v>22</v>
      </c>
      <c r="R375" s="43"/>
      <c r="S375" s="63"/>
      <c r="T375" s="49"/>
      <c r="U375" s="116"/>
      <c r="V375" s="63"/>
      <c r="W375" s="63"/>
      <c r="X375" s="77">
        <v>43195</v>
      </c>
      <c r="Y375" s="45" t="s">
        <v>27</v>
      </c>
      <c r="Z375" s="45" t="s">
        <v>27</v>
      </c>
      <c r="AA375" s="45" t="s">
        <v>27</v>
      </c>
      <c r="AB375" s="45"/>
      <c r="AC375" s="169"/>
    </row>
    <row r="376" spans="1:29" s="68" customFormat="1" ht="15" hidden="1" customHeight="1">
      <c r="A376" s="62" t="s">
        <v>364</v>
      </c>
      <c r="B376" s="43" t="s">
        <v>849</v>
      </c>
      <c r="C376" s="43"/>
      <c r="D376" s="67"/>
      <c r="E376" s="62" t="s">
        <v>17</v>
      </c>
      <c r="F376" s="62" t="s">
        <v>850</v>
      </c>
      <c r="G376" s="79"/>
      <c r="H376" s="62" t="s">
        <v>96</v>
      </c>
      <c r="I376" s="43" t="s">
        <v>21</v>
      </c>
      <c r="J376" s="44" t="s">
        <v>2259</v>
      </c>
      <c r="K376" s="65"/>
      <c r="L376" s="51" t="s">
        <v>763</v>
      </c>
      <c r="M376" s="62" t="s">
        <v>22</v>
      </c>
      <c r="N376" s="62" t="s">
        <v>22</v>
      </c>
      <c r="O376" s="62" t="s">
        <v>22</v>
      </c>
      <c r="P376" s="62"/>
      <c r="Q376" s="62" t="s">
        <v>22</v>
      </c>
      <c r="R376" s="43"/>
      <c r="S376" s="63"/>
      <c r="T376" s="49"/>
      <c r="U376" s="116"/>
      <c r="V376" s="63"/>
      <c r="W376" s="63"/>
      <c r="X376" s="77">
        <v>43195</v>
      </c>
      <c r="Y376" s="45" t="s">
        <v>27</v>
      </c>
      <c r="Z376" s="45" t="s">
        <v>27</v>
      </c>
      <c r="AA376" s="45" t="s">
        <v>27</v>
      </c>
      <c r="AB376" s="45"/>
      <c r="AC376" s="169"/>
    </row>
    <row r="377" spans="1:29" s="68" customFormat="1" ht="15" hidden="1" customHeight="1">
      <c r="A377" s="62" t="s">
        <v>364</v>
      </c>
      <c r="B377" s="43" t="s">
        <v>851</v>
      </c>
      <c r="C377" s="43"/>
      <c r="D377" s="67"/>
      <c r="E377" s="62" t="s">
        <v>17</v>
      </c>
      <c r="F377" s="62" t="s">
        <v>852</v>
      </c>
      <c r="G377" s="79"/>
      <c r="H377" s="62" t="s">
        <v>96</v>
      </c>
      <c r="I377" s="43" t="s">
        <v>21</v>
      </c>
      <c r="J377" s="44" t="s">
        <v>2259</v>
      </c>
      <c r="K377" s="65"/>
      <c r="L377" s="51" t="s">
        <v>97</v>
      </c>
      <c r="M377" s="62" t="s">
        <v>22</v>
      </c>
      <c r="N377" s="62" t="s">
        <v>22</v>
      </c>
      <c r="O377" s="62" t="s">
        <v>22</v>
      </c>
      <c r="P377" s="62"/>
      <c r="Q377" s="62" t="s">
        <v>22</v>
      </c>
      <c r="R377" s="43"/>
      <c r="S377" s="63"/>
      <c r="T377" s="49"/>
      <c r="U377" s="116"/>
      <c r="V377" s="63"/>
      <c r="W377" s="63"/>
      <c r="X377" s="77">
        <v>43195</v>
      </c>
      <c r="Y377" s="45" t="s">
        <v>27</v>
      </c>
      <c r="Z377" s="45" t="s">
        <v>27</v>
      </c>
      <c r="AA377" s="45" t="s">
        <v>27</v>
      </c>
      <c r="AB377" s="45"/>
      <c r="AC377" s="169"/>
    </row>
    <row r="378" spans="1:29" s="68" customFormat="1" ht="15" hidden="1" customHeight="1">
      <c r="A378" s="62" t="s">
        <v>364</v>
      </c>
      <c r="B378" s="44" t="s">
        <v>853</v>
      </c>
      <c r="C378" s="44"/>
      <c r="D378" s="67"/>
      <c r="E378" s="62" t="s">
        <v>17</v>
      </c>
      <c r="F378" s="62" t="s">
        <v>854</v>
      </c>
      <c r="G378" s="79"/>
      <c r="H378" s="62" t="s">
        <v>96</v>
      </c>
      <c r="I378" s="43" t="s">
        <v>21</v>
      </c>
      <c r="J378" s="44" t="s">
        <v>3677</v>
      </c>
      <c r="K378" s="65"/>
      <c r="L378" s="51" t="s">
        <v>763</v>
      </c>
      <c r="M378" s="62" t="s">
        <v>22</v>
      </c>
      <c r="N378" s="62" t="s">
        <v>22</v>
      </c>
      <c r="O378" s="62" t="s">
        <v>22</v>
      </c>
      <c r="P378" s="62"/>
      <c r="Q378" s="62" t="s">
        <v>22</v>
      </c>
      <c r="R378" s="43"/>
      <c r="S378" s="63"/>
      <c r="T378" s="49"/>
      <c r="U378" s="116"/>
      <c r="V378" s="63"/>
      <c r="W378" s="63"/>
      <c r="X378" s="77">
        <v>43195</v>
      </c>
      <c r="Y378" s="45" t="s">
        <v>27</v>
      </c>
      <c r="Z378" s="45" t="s">
        <v>27</v>
      </c>
      <c r="AA378" s="45" t="s">
        <v>27</v>
      </c>
      <c r="AB378" s="45"/>
      <c r="AC378" s="169"/>
    </row>
    <row r="379" spans="1:29" s="68" customFormat="1" ht="15" hidden="1" customHeight="1">
      <c r="A379" s="62" t="s">
        <v>364</v>
      </c>
      <c r="B379" s="43" t="s">
        <v>855</v>
      </c>
      <c r="C379" s="43"/>
      <c r="D379" s="67"/>
      <c r="E379" s="62" t="s">
        <v>17</v>
      </c>
      <c r="F379" s="62" t="s">
        <v>856</v>
      </c>
      <c r="G379" s="79"/>
      <c r="H379" s="62" t="s">
        <v>96</v>
      </c>
      <c r="I379" s="43" t="s">
        <v>21</v>
      </c>
      <c r="J379" s="44" t="s">
        <v>2259</v>
      </c>
      <c r="K379" s="65"/>
      <c r="L379" s="51" t="s">
        <v>763</v>
      </c>
      <c r="M379" s="62" t="s">
        <v>22</v>
      </c>
      <c r="N379" s="62" t="s">
        <v>22</v>
      </c>
      <c r="O379" s="62" t="s">
        <v>22</v>
      </c>
      <c r="P379" s="62"/>
      <c r="Q379" s="62" t="s">
        <v>22</v>
      </c>
      <c r="R379" s="43"/>
      <c r="S379" s="63"/>
      <c r="T379" s="49"/>
      <c r="U379" s="116"/>
      <c r="V379" s="63"/>
      <c r="W379" s="63"/>
      <c r="X379" s="77">
        <v>43195</v>
      </c>
      <c r="Y379" s="45" t="s">
        <v>27</v>
      </c>
      <c r="Z379" s="45" t="s">
        <v>27</v>
      </c>
      <c r="AA379" s="45" t="s">
        <v>27</v>
      </c>
      <c r="AB379" s="45"/>
      <c r="AC379" s="169"/>
    </row>
    <row r="380" spans="1:29" s="68" customFormat="1" ht="15" hidden="1" customHeight="1">
      <c r="A380" s="62" t="s">
        <v>364</v>
      </c>
      <c r="B380" s="43" t="s">
        <v>857</v>
      </c>
      <c r="C380" s="43"/>
      <c r="D380" s="67"/>
      <c r="E380" s="62" t="s">
        <v>17</v>
      </c>
      <c r="F380" s="62" t="s">
        <v>858</v>
      </c>
      <c r="G380" s="79"/>
      <c r="H380" s="62" t="s">
        <v>96</v>
      </c>
      <c r="I380" s="43" t="s">
        <v>21</v>
      </c>
      <c r="J380" s="44" t="s">
        <v>3677</v>
      </c>
      <c r="K380" s="65"/>
      <c r="L380" s="51" t="s">
        <v>763</v>
      </c>
      <c r="M380" s="62" t="s">
        <v>22</v>
      </c>
      <c r="N380" s="62" t="s">
        <v>22</v>
      </c>
      <c r="O380" s="62" t="s">
        <v>22</v>
      </c>
      <c r="P380" s="62"/>
      <c r="Q380" s="62" t="s">
        <v>22</v>
      </c>
      <c r="R380" s="43"/>
      <c r="S380" s="63"/>
      <c r="T380" s="49"/>
      <c r="U380" s="116"/>
      <c r="V380" s="63"/>
      <c r="W380" s="63"/>
      <c r="X380" s="77">
        <v>43195</v>
      </c>
      <c r="Y380" s="45" t="s">
        <v>27</v>
      </c>
      <c r="Z380" s="45" t="s">
        <v>27</v>
      </c>
      <c r="AA380" s="45" t="s">
        <v>27</v>
      </c>
      <c r="AB380" s="45"/>
      <c r="AC380" s="169"/>
    </row>
    <row r="381" spans="1:29" s="68" customFormat="1" ht="15" hidden="1" customHeight="1">
      <c r="A381" s="62" t="s">
        <v>364</v>
      </c>
      <c r="B381" s="43" t="s">
        <v>859</v>
      </c>
      <c r="C381" s="43"/>
      <c r="D381" s="67"/>
      <c r="E381" s="62" t="s">
        <v>17</v>
      </c>
      <c r="F381" s="62" t="s">
        <v>860</v>
      </c>
      <c r="G381" s="79"/>
      <c r="H381" s="62" t="s">
        <v>96</v>
      </c>
      <c r="I381" s="43" t="s">
        <v>21</v>
      </c>
      <c r="J381" s="44" t="s">
        <v>2260</v>
      </c>
      <c r="K381" s="65"/>
      <c r="L381" s="51" t="s">
        <v>763</v>
      </c>
      <c r="M381" s="62" t="s">
        <v>22</v>
      </c>
      <c r="N381" s="62" t="s">
        <v>22</v>
      </c>
      <c r="O381" s="168" t="s">
        <v>2227</v>
      </c>
      <c r="P381" s="62"/>
      <c r="Q381" s="62" t="s">
        <v>22</v>
      </c>
      <c r="R381" s="43"/>
      <c r="S381" s="63"/>
      <c r="T381" s="49"/>
      <c r="U381" s="116"/>
      <c r="V381" s="63"/>
      <c r="W381" s="63"/>
      <c r="X381" s="77">
        <v>43195</v>
      </c>
      <c r="Y381" s="45" t="s">
        <v>27</v>
      </c>
      <c r="Z381" s="45" t="s">
        <v>27</v>
      </c>
      <c r="AA381" s="45" t="s">
        <v>27</v>
      </c>
      <c r="AB381" s="45"/>
      <c r="AC381" s="169"/>
    </row>
    <row r="382" spans="1:29" s="68" customFormat="1" ht="15" hidden="1" customHeight="1">
      <c r="A382" s="62" t="s">
        <v>364</v>
      </c>
      <c r="B382" s="43" t="s">
        <v>861</v>
      </c>
      <c r="C382" s="43"/>
      <c r="D382" s="67"/>
      <c r="E382" s="62" t="s">
        <v>17</v>
      </c>
      <c r="F382" s="62" t="s">
        <v>862</v>
      </c>
      <c r="G382" s="79"/>
      <c r="H382" s="62" t="s">
        <v>96</v>
      </c>
      <c r="I382" s="43" t="s">
        <v>21</v>
      </c>
      <c r="J382" s="44" t="s">
        <v>2259</v>
      </c>
      <c r="K382" s="65"/>
      <c r="L382" s="51" t="s">
        <v>763</v>
      </c>
      <c r="M382" s="62" t="s">
        <v>22</v>
      </c>
      <c r="N382" s="62" t="s">
        <v>22</v>
      </c>
      <c r="O382" s="62" t="s">
        <v>22</v>
      </c>
      <c r="P382" s="62"/>
      <c r="Q382" s="62" t="s">
        <v>22</v>
      </c>
      <c r="R382" s="43"/>
      <c r="S382" s="63"/>
      <c r="T382" s="49"/>
      <c r="U382" s="116"/>
      <c r="V382" s="63"/>
      <c r="W382" s="63"/>
      <c r="X382" s="77">
        <v>43195</v>
      </c>
      <c r="Y382" s="45" t="s">
        <v>27</v>
      </c>
      <c r="Z382" s="45" t="s">
        <v>27</v>
      </c>
      <c r="AA382" s="45" t="s">
        <v>27</v>
      </c>
      <c r="AB382" s="45"/>
      <c r="AC382" s="169"/>
    </row>
    <row r="383" spans="1:29" s="68" customFormat="1" ht="15" hidden="1" customHeight="1">
      <c r="A383" s="62" t="s">
        <v>364</v>
      </c>
      <c r="B383" s="44" t="s">
        <v>863</v>
      </c>
      <c r="C383" s="44"/>
      <c r="D383" s="67"/>
      <c r="E383" s="62" t="s">
        <v>17</v>
      </c>
      <c r="F383" s="62" t="s">
        <v>864</v>
      </c>
      <c r="G383" s="79"/>
      <c r="H383" s="62" t="s">
        <v>96</v>
      </c>
      <c r="I383" s="43" t="s">
        <v>21</v>
      </c>
      <c r="J383" s="44" t="s">
        <v>2259</v>
      </c>
      <c r="K383" s="65"/>
      <c r="L383" s="51" t="s">
        <v>763</v>
      </c>
      <c r="M383" s="62" t="s">
        <v>22</v>
      </c>
      <c r="N383" s="62" t="s">
        <v>22</v>
      </c>
      <c r="O383" s="62" t="s">
        <v>22</v>
      </c>
      <c r="P383" s="62"/>
      <c r="Q383" s="62" t="s">
        <v>22</v>
      </c>
      <c r="R383" s="43"/>
      <c r="S383" s="63"/>
      <c r="T383" s="49"/>
      <c r="U383" s="116"/>
      <c r="V383" s="63"/>
      <c r="W383" s="63"/>
      <c r="X383" s="77">
        <v>43195</v>
      </c>
      <c r="Y383" s="45" t="s">
        <v>27</v>
      </c>
      <c r="Z383" s="45" t="s">
        <v>27</v>
      </c>
      <c r="AA383" s="45" t="s">
        <v>27</v>
      </c>
      <c r="AB383" s="45"/>
      <c r="AC383" s="169"/>
    </row>
    <row r="384" spans="1:29" s="68" customFormat="1" ht="15" hidden="1" customHeight="1">
      <c r="A384" s="62" t="s">
        <v>364</v>
      </c>
      <c r="B384" s="44" t="s">
        <v>865</v>
      </c>
      <c r="C384" s="44"/>
      <c r="D384" s="67"/>
      <c r="E384" s="62" t="s">
        <v>17</v>
      </c>
      <c r="F384" s="62" t="s">
        <v>866</v>
      </c>
      <c r="G384" s="79"/>
      <c r="H384" s="62" t="s">
        <v>96</v>
      </c>
      <c r="I384" s="43" t="s">
        <v>21</v>
      </c>
      <c r="J384" s="44" t="s">
        <v>3677</v>
      </c>
      <c r="K384" s="65"/>
      <c r="L384" s="51" t="s">
        <v>763</v>
      </c>
      <c r="M384" s="62" t="s">
        <v>22</v>
      </c>
      <c r="N384" s="62" t="s">
        <v>22</v>
      </c>
      <c r="O384" s="62" t="s">
        <v>22</v>
      </c>
      <c r="P384" s="62"/>
      <c r="Q384" s="62" t="s">
        <v>22</v>
      </c>
      <c r="R384" s="43"/>
      <c r="S384" s="63"/>
      <c r="T384" s="49"/>
      <c r="U384" s="116"/>
      <c r="V384" s="63"/>
      <c r="W384" s="63"/>
      <c r="X384" s="77">
        <v>43195</v>
      </c>
      <c r="Y384" s="45" t="s">
        <v>27</v>
      </c>
      <c r="Z384" s="45" t="s">
        <v>27</v>
      </c>
      <c r="AA384" s="45" t="s">
        <v>27</v>
      </c>
      <c r="AB384" s="45"/>
      <c r="AC384" s="169"/>
    </row>
    <row r="385" spans="1:29" s="68" customFormat="1" ht="15" hidden="1" customHeight="1">
      <c r="A385" s="62" t="s">
        <v>364</v>
      </c>
      <c r="B385" s="44" t="s">
        <v>867</v>
      </c>
      <c r="C385" s="44"/>
      <c r="D385" s="67"/>
      <c r="E385" s="62" t="s">
        <v>17</v>
      </c>
      <c r="F385" s="62" t="s">
        <v>868</v>
      </c>
      <c r="G385" s="79"/>
      <c r="H385" s="62" t="s">
        <v>96</v>
      </c>
      <c r="I385" s="43" t="s">
        <v>21</v>
      </c>
      <c r="J385" s="44" t="s">
        <v>3677</v>
      </c>
      <c r="K385" s="65"/>
      <c r="L385" s="51" t="s">
        <v>97</v>
      </c>
      <c r="M385" s="62" t="s">
        <v>22</v>
      </c>
      <c r="N385" s="62" t="s">
        <v>22</v>
      </c>
      <c r="O385" s="62" t="s">
        <v>22</v>
      </c>
      <c r="P385" s="62"/>
      <c r="Q385" s="62" t="s">
        <v>22</v>
      </c>
      <c r="R385" s="43"/>
      <c r="S385" s="63"/>
      <c r="T385" s="49"/>
      <c r="U385" s="116"/>
      <c r="V385" s="63"/>
      <c r="W385" s="63"/>
      <c r="X385" s="77">
        <v>43195</v>
      </c>
      <c r="Y385" s="45" t="s">
        <v>27</v>
      </c>
      <c r="Z385" s="45" t="s">
        <v>27</v>
      </c>
      <c r="AA385" s="45" t="s">
        <v>27</v>
      </c>
      <c r="AB385" s="45"/>
      <c r="AC385" s="169"/>
    </row>
    <row r="386" spans="1:29" s="68" customFormat="1" ht="15" hidden="1" customHeight="1">
      <c r="A386" s="62" t="s">
        <v>364</v>
      </c>
      <c r="B386" s="44" t="s">
        <v>869</v>
      </c>
      <c r="C386" s="44"/>
      <c r="D386" s="67"/>
      <c r="E386" s="62" t="s">
        <v>17</v>
      </c>
      <c r="F386" s="62" t="s">
        <v>870</v>
      </c>
      <c r="G386" s="79"/>
      <c r="H386" s="62" t="s">
        <v>96</v>
      </c>
      <c r="I386" s="43" t="s">
        <v>21</v>
      </c>
      <c r="J386" s="44" t="s">
        <v>2259</v>
      </c>
      <c r="K386" s="65"/>
      <c r="L386" s="51" t="s">
        <v>763</v>
      </c>
      <c r="M386" s="62" t="s">
        <v>22</v>
      </c>
      <c r="N386" s="62" t="s">
        <v>22</v>
      </c>
      <c r="O386" s="62" t="s">
        <v>22</v>
      </c>
      <c r="P386" s="62"/>
      <c r="Q386" s="62" t="s">
        <v>22</v>
      </c>
      <c r="R386" s="43"/>
      <c r="S386" s="63"/>
      <c r="T386" s="49"/>
      <c r="U386" s="116"/>
      <c r="V386" s="63"/>
      <c r="W386" s="63"/>
      <c r="X386" s="77">
        <v>43195</v>
      </c>
      <c r="Y386" s="45" t="s">
        <v>27</v>
      </c>
      <c r="Z386" s="45" t="s">
        <v>27</v>
      </c>
      <c r="AA386" s="45" t="s">
        <v>27</v>
      </c>
      <c r="AB386" s="45"/>
      <c r="AC386" s="169"/>
    </row>
    <row r="387" spans="1:29" s="68" customFormat="1" ht="15" hidden="1" customHeight="1">
      <c r="A387" s="62" t="s">
        <v>364</v>
      </c>
      <c r="B387" s="44" t="s">
        <v>871</v>
      </c>
      <c r="C387" s="44"/>
      <c r="D387" s="67"/>
      <c r="E387" s="62" t="s">
        <v>17</v>
      </c>
      <c r="F387" s="62" t="s">
        <v>872</v>
      </c>
      <c r="G387" s="79"/>
      <c r="H387" s="62" t="s">
        <v>96</v>
      </c>
      <c r="I387" s="43" t="s">
        <v>21</v>
      </c>
      <c r="J387" s="44" t="s">
        <v>3677</v>
      </c>
      <c r="K387" s="65"/>
      <c r="L387" s="51" t="s">
        <v>763</v>
      </c>
      <c r="M387" s="62" t="s">
        <v>22</v>
      </c>
      <c r="N387" s="62" t="s">
        <v>22</v>
      </c>
      <c r="O387" s="62" t="s">
        <v>22</v>
      </c>
      <c r="P387" s="62"/>
      <c r="Q387" s="62" t="s">
        <v>22</v>
      </c>
      <c r="R387" s="43"/>
      <c r="S387" s="63"/>
      <c r="T387" s="49"/>
      <c r="U387" s="116"/>
      <c r="V387" s="63"/>
      <c r="W387" s="63"/>
      <c r="X387" s="77">
        <v>43195</v>
      </c>
      <c r="Y387" s="45" t="s">
        <v>27</v>
      </c>
      <c r="Z387" s="45" t="s">
        <v>27</v>
      </c>
      <c r="AA387" s="45" t="s">
        <v>27</v>
      </c>
      <c r="AB387" s="45"/>
      <c r="AC387" s="169"/>
    </row>
    <row r="388" spans="1:29" s="68" customFormat="1" ht="15" hidden="1" customHeight="1">
      <c r="A388" s="62" t="s">
        <v>364</v>
      </c>
      <c r="B388" s="46" t="s">
        <v>873</v>
      </c>
      <c r="C388" s="46"/>
      <c r="D388" s="67"/>
      <c r="E388" s="62" t="s">
        <v>17</v>
      </c>
      <c r="F388" s="62" t="s">
        <v>874</v>
      </c>
      <c r="G388" s="79"/>
      <c r="H388" s="62" t="s">
        <v>96</v>
      </c>
      <c r="I388" s="43" t="s">
        <v>21</v>
      </c>
      <c r="J388" s="44" t="s">
        <v>2259</v>
      </c>
      <c r="K388" s="65"/>
      <c r="L388" s="51" t="s">
        <v>763</v>
      </c>
      <c r="M388" s="62" t="s">
        <v>22</v>
      </c>
      <c r="N388" s="62" t="s">
        <v>22</v>
      </c>
      <c r="O388" s="62" t="s">
        <v>22</v>
      </c>
      <c r="P388" s="62"/>
      <c r="Q388" s="62" t="s">
        <v>22</v>
      </c>
      <c r="R388" s="43"/>
      <c r="S388" s="63"/>
      <c r="T388" s="49"/>
      <c r="U388" s="116"/>
      <c r="V388" s="63"/>
      <c r="W388" s="63"/>
      <c r="X388" s="77">
        <v>43195</v>
      </c>
      <c r="Y388" s="45" t="s">
        <v>27</v>
      </c>
      <c r="Z388" s="45" t="s">
        <v>27</v>
      </c>
      <c r="AA388" s="45" t="s">
        <v>27</v>
      </c>
      <c r="AB388" s="45"/>
      <c r="AC388" s="169"/>
    </row>
    <row r="389" spans="1:29" ht="15" hidden="1" customHeight="1">
      <c r="A389" s="62" t="s">
        <v>364</v>
      </c>
      <c r="B389" s="51" t="s">
        <v>2296</v>
      </c>
      <c r="C389" s="51"/>
      <c r="D389" s="51"/>
      <c r="E389" s="51" t="s">
        <v>17</v>
      </c>
      <c r="F389" s="53" t="s">
        <v>2296</v>
      </c>
      <c r="G389" s="51" t="s">
        <v>2305</v>
      </c>
      <c r="H389" s="51" t="s">
        <v>599</v>
      </c>
      <c r="I389" s="51" t="s">
        <v>21</v>
      </c>
      <c r="J389" s="51" t="s">
        <v>2259</v>
      </c>
      <c r="K389" s="51"/>
      <c r="L389" s="51" t="s">
        <v>211</v>
      </c>
      <c r="M389" s="51" t="s">
        <v>22</v>
      </c>
      <c r="N389" s="51" t="s">
        <v>22</v>
      </c>
      <c r="O389" s="51" t="s">
        <v>22</v>
      </c>
      <c r="P389" s="51"/>
      <c r="Q389" s="51" t="s">
        <v>22</v>
      </c>
      <c r="R389" s="51"/>
      <c r="S389" s="51"/>
      <c r="T389" s="53">
        <v>4915904263207</v>
      </c>
      <c r="U389" s="52">
        <v>4999010640000</v>
      </c>
      <c r="V389" s="52"/>
      <c r="W389" s="52"/>
      <c r="X389" s="78">
        <v>43196</v>
      </c>
      <c r="Y389" s="51"/>
      <c r="Z389" s="51"/>
      <c r="AA389" s="51"/>
      <c r="AB389" s="51"/>
      <c r="AC389" s="169"/>
    </row>
    <row r="390" spans="1:29" ht="15" hidden="1" customHeight="1">
      <c r="A390" s="62" t="s">
        <v>364</v>
      </c>
      <c r="B390" s="51" t="s">
        <v>2297</v>
      </c>
      <c r="C390" s="51"/>
      <c r="D390" s="51"/>
      <c r="E390" s="51" t="s">
        <v>2008</v>
      </c>
      <c r="F390" s="53" t="s">
        <v>2297</v>
      </c>
      <c r="G390" s="51" t="s">
        <v>2305</v>
      </c>
      <c r="H390" s="51" t="s">
        <v>599</v>
      </c>
      <c r="I390" s="51" t="s">
        <v>21</v>
      </c>
      <c r="J390" s="51" t="s">
        <v>2259</v>
      </c>
      <c r="K390" s="51"/>
      <c r="L390" s="51" t="s">
        <v>211</v>
      </c>
      <c r="M390" s="51" t="s">
        <v>22</v>
      </c>
      <c r="N390" s="51" t="s">
        <v>22</v>
      </c>
      <c r="O390" s="51" t="s">
        <v>22</v>
      </c>
      <c r="P390" s="51"/>
      <c r="Q390" s="51" t="s">
        <v>22</v>
      </c>
      <c r="R390" s="51"/>
      <c r="S390" s="51"/>
      <c r="T390" s="53">
        <v>4917610506580</v>
      </c>
      <c r="U390" s="52">
        <v>4999010640000</v>
      </c>
      <c r="V390" s="52"/>
      <c r="W390" s="52"/>
      <c r="X390" s="78">
        <v>43196</v>
      </c>
      <c r="Y390" s="51"/>
      <c r="Z390" s="51"/>
      <c r="AA390" s="51"/>
      <c r="AB390" s="51"/>
      <c r="AC390" s="169"/>
    </row>
    <row r="391" spans="1:29" ht="15" hidden="1" customHeight="1">
      <c r="A391" s="62" t="s">
        <v>364</v>
      </c>
      <c r="B391" s="51" t="s">
        <v>2298</v>
      </c>
      <c r="C391" s="51"/>
      <c r="D391" s="51"/>
      <c r="E391" s="51" t="s">
        <v>2008</v>
      </c>
      <c r="F391" s="53" t="s">
        <v>2298</v>
      </c>
      <c r="G391" s="51" t="s">
        <v>2305</v>
      </c>
      <c r="H391" s="51" t="s">
        <v>599</v>
      </c>
      <c r="I391" s="51" t="s">
        <v>21</v>
      </c>
      <c r="J391" s="44" t="s">
        <v>3677</v>
      </c>
      <c r="K391" s="51"/>
      <c r="L391" s="51" t="s">
        <v>211</v>
      </c>
      <c r="M391" s="51" t="s">
        <v>22</v>
      </c>
      <c r="N391" s="51" t="s">
        <v>22</v>
      </c>
      <c r="O391" s="51" t="s">
        <v>22</v>
      </c>
      <c r="P391" s="51"/>
      <c r="Q391" s="51" t="s">
        <v>22</v>
      </c>
      <c r="R391" s="51"/>
      <c r="S391" s="51"/>
      <c r="T391" s="53">
        <v>491608455796</v>
      </c>
      <c r="U391" s="52">
        <v>4999010640000</v>
      </c>
      <c r="V391" s="52"/>
      <c r="W391" s="52"/>
      <c r="X391" s="78">
        <v>43196</v>
      </c>
      <c r="Y391" s="51"/>
      <c r="Z391" s="51"/>
      <c r="AA391" s="51"/>
      <c r="AB391" s="51"/>
      <c r="AC391" s="169"/>
    </row>
    <row r="392" spans="1:29" ht="15" hidden="1" customHeight="1">
      <c r="A392" s="62" t="s">
        <v>364</v>
      </c>
      <c r="B392" s="51" t="s">
        <v>2299</v>
      </c>
      <c r="C392" s="51"/>
      <c r="D392" s="51"/>
      <c r="E392" s="51" t="s">
        <v>2008</v>
      </c>
      <c r="F392" s="53" t="s">
        <v>2299</v>
      </c>
      <c r="G392" s="51" t="s">
        <v>2305</v>
      </c>
      <c r="H392" s="51" t="s">
        <v>599</v>
      </c>
      <c r="I392" s="51" t="s">
        <v>21</v>
      </c>
      <c r="J392" s="44" t="s">
        <v>3677</v>
      </c>
      <c r="K392" s="51"/>
      <c r="L392" s="51" t="s">
        <v>211</v>
      </c>
      <c r="M392" s="51" t="s">
        <v>22</v>
      </c>
      <c r="N392" s="51" t="s">
        <v>22</v>
      </c>
      <c r="O392" s="51" t="s">
        <v>22</v>
      </c>
      <c r="P392" s="51"/>
      <c r="Q392" s="51" t="s">
        <v>22</v>
      </c>
      <c r="R392" s="51"/>
      <c r="S392" s="51"/>
      <c r="T392" s="53">
        <v>491608442079</v>
      </c>
      <c r="U392" s="52">
        <v>4999010640000</v>
      </c>
      <c r="V392" s="52"/>
      <c r="W392" s="52"/>
      <c r="X392" s="78">
        <v>43196</v>
      </c>
      <c r="Y392" s="51"/>
      <c r="Z392" s="51"/>
      <c r="AA392" s="51"/>
      <c r="AB392" s="51"/>
      <c r="AC392" s="169"/>
    </row>
    <row r="393" spans="1:29" ht="15" hidden="1" customHeight="1">
      <c r="A393" s="62" t="s">
        <v>364</v>
      </c>
      <c r="B393" s="51" t="s">
        <v>2300</v>
      </c>
      <c r="C393" s="51"/>
      <c r="D393" s="51"/>
      <c r="E393" s="51" t="s">
        <v>2008</v>
      </c>
      <c r="F393" s="53" t="s">
        <v>2300</v>
      </c>
      <c r="G393" s="51" t="s">
        <v>2305</v>
      </c>
      <c r="H393" s="51" t="s">
        <v>599</v>
      </c>
      <c r="I393" s="51" t="s">
        <v>21</v>
      </c>
      <c r="J393" s="51" t="s">
        <v>2259</v>
      </c>
      <c r="K393" s="51"/>
      <c r="L393" s="51" t="s">
        <v>211</v>
      </c>
      <c r="M393" s="51" t="s">
        <v>22</v>
      </c>
      <c r="N393" s="51" t="s">
        <v>22</v>
      </c>
      <c r="O393" s="51" t="s">
        <v>22</v>
      </c>
      <c r="P393" s="51"/>
      <c r="Q393" s="51" t="s">
        <v>22</v>
      </c>
      <c r="R393" s="51"/>
      <c r="S393" s="51"/>
      <c r="T393" s="53">
        <v>4915904263204</v>
      </c>
      <c r="U393" s="52">
        <v>4999010640000</v>
      </c>
      <c r="V393" s="52"/>
      <c r="W393" s="52"/>
      <c r="X393" s="78">
        <v>43196</v>
      </c>
      <c r="Y393" s="51"/>
      <c r="Z393" s="51"/>
      <c r="AA393" s="51"/>
      <c r="AB393" s="51"/>
      <c r="AC393" s="169"/>
    </row>
    <row r="394" spans="1:29" ht="15" hidden="1" customHeight="1">
      <c r="A394" s="62" t="s">
        <v>364</v>
      </c>
      <c r="B394" s="51" t="s">
        <v>2301</v>
      </c>
      <c r="C394" s="51"/>
      <c r="D394" s="51"/>
      <c r="E394" s="51" t="s">
        <v>2008</v>
      </c>
      <c r="F394" s="53" t="s">
        <v>2301</v>
      </c>
      <c r="G394" s="51" t="s">
        <v>2305</v>
      </c>
      <c r="H394" s="51" t="s">
        <v>599</v>
      </c>
      <c r="I394" s="51" t="s">
        <v>21</v>
      </c>
      <c r="J394" s="44" t="s">
        <v>3677</v>
      </c>
      <c r="K394" s="51"/>
      <c r="L394" s="51" t="s">
        <v>211</v>
      </c>
      <c r="M394" s="51" t="s">
        <v>22</v>
      </c>
      <c r="N394" s="51" t="s">
        <v>22</v>
      </c>
      <c r="O394" s="51" t="s">
        <v>22</v>
      </c>
      <c r="P394" s="51"/>
      <c r="Q394" s="51" t="s">
        <v>22</v>
      </c>
      <c r="R394" s="51"/>
      <c r="S394" s="51"/>
      <c r="T394" s="53"/>
      <c r="U394" s="52">
        <v>4999010640000</v>
      </c>
      <c r="V394" s="52"/>
      <c r="W394" s="52"/>
      <c r="X394" s="78">
        <v>43196</v>
      </c>
      <c r="Y394" s="51"/>
      <c r="Z394" s="51"/>
      <c r="AA394" s="51"/>
      <c r="AB394" s="51"/>
      <c r="AC394" s="169"/>
    </row>
    <row r="395" spans="1:29" ht="15" hidden="1" customHeight="1">
      <c r="A395" s="62" t="s">
        <v>364</v>
      </c>
      <c r="B395" s="51" t="s">
        <v>2302</v>
      </c>
      <c r="C395" s="51"/>
      <c r="D395" s="51"/>
      <c r="E395" s="51" t="s">
        <v>2008</v>
      </c>
      <c r="F395" s="53" t="s">
        <v>2302</v>
      </c>
      <c r="G395" s="51" t="s">
        <v>2305</v>
      </c>
      <c r="H395" s="51" t="s">
        <v>599</v>
      </c>
      <c r="I395" s="51" t="s">
        <v>21</v>
      </c>
      <c r="J395" s="44" t="s">
        <v>3677</v>
      </c>
      <c r="K395" s="51"/>
      <c r="L395" s="51" t="s">
        <v>211</v>
      </c>
      <c r="M395" s="51" t="s">
        <v>22</v>
      </c>
      <c r="N395" s="51" t="s">
        <v>22</v>
      </c>
      <c r="O395" s="51" t="s">
        <v>22</v>
      </c>
      <c r="P395" s="51"/>
      <c r="Q395" s="51" t="s">
        <v>22</v>
      </c>
      <c r="R395" s="51"/>
      <c r="S395" s="51"/>
      <c r="T395" s="53">
        <v>491706820352</v>
      </c>
      <c r="U395" s="52">
        <v>4999010640000</v>
      </c>
      <c r="V395" s="52"/>
      <c r="W395" s="52"/>
      <c r="X395" s="78">
        <v>43196</v>
      </c>
      <c r="Y395" s="51"/>
      <c r="Z395" s="51"/>
      <c r="AA395" s="51"/>
      <c r="AB395" s="51"/>
      <c r="AC395" s="169"/>
    </row>
    <row r="396" spans="1:29" ht="15" hidden="1" customHeight="1">
      <c r="A396" s="62" t="s">
        <v>364</v>
      </c>
      <c r="B396" s="51" t="s">
        <v>2303</v>
      </c>
      <c r="C396" s="51"/>
      <c r="D396" s="51"/>
      <c r="E396" s="51" t="s">
        <v>2008</v>
      </c>
      <c r="F396" s="53" t="s">
        <v>2303</v>
      </c>
      <c r="G396" s="51" t="s">
        <v>2306</v>
      </c>
      <c r="H396" s="51" t="s">
        <v>599</v>
      </c>
      <c r="I396" s="51" t="s">
        <v>21</v>
      </c>
      <c r="J396" s="44" t="s">
        <v>3677</v>
      </c>
      <c r="K396" s="51"/>
      <c r="L396" s="51" t="s">
        <v>211</v>
      </c>
      <c r="M396" s="51" t="s">
        <v>22</v>
      </c>
      <c r="N396" s="51" t="s">
        <v>22</v>
      </c>
      <c r="O396" s="51" t="s">
        <v>22</v>
      </c>
      <c r="P396" s="51"/>
      <c r="Q396" s="51" t="s">
        <v>22</v>
      </c>
      <c r="R396" s="51"/>
      <c r="S396" s="51"/>
      <c r="T396" s="53">
        <v>1608495226</v>
      </c>
      <c r="U396" s="52">
        <v>440152048071</v>
      </c>
      <c r="V396" s="52"/>
      <c r="W396" s="52"/>
      <c r="X396" s="78">
        <v>43196</v>
      </c>
      <c r="Y396" s="51"/>
      <c r="Z396" s="51"/>
      <c r="AA396" s="51"/>
      <c r="AB396" s="51"/>
      <c r="AC396" s="169"/>
    </row>
    <row r="397" spans="1:29" ht="15" hidden="1" customHeight="1">
      <c r="A397" s="62" t="s">
        <v>364</v>
      </c>
      <c r="B397" s="51" t="s">
        <v>2304</v>
      </c>
      <c r="C397" s="51"/>
      <c r="D397" s="51"/>
      <c r="E397" s="51" t="s">
        <v>2008</v>
      </c>
      <c r="F397" s="53">
        <v>2794239</v>
      </c>
      <c r="G397" s="51" t="s">
        <v>2306</v>
      </c>
      <c r="H397" s="51" t="s">
        <v>599</v>
      </c>
      <c r="I397" s="51" t="s">
        <v>21</v>
      </c>
      <c r="J397" s="51" t="s">
        <v>2259</v>
      </c>
      <c r="K397" s="51"/>
      <c r="L397" s="51" t="s">
        <v>211</v>
      </c>
      <c r="M397" s="51" t="s">
        <v>22</v>
      </c>
      <c r="N397" s="51" t="s">
        <v>22</v>
      </c>
      <c r="O397" s="51" t="s">
        <v>22</v>
      </c>
      <c r="P397" s="51"/>
      <c r="Q397" s="51" t="s">
        <v>22</v>
      </c>
      <c r="R397" s="51"/>
      <c r="S397" s="51"/>
      <c r="T397" s="53">
        <v>17610506589</v>
      </c>
      <c r="U397" s="52">
        <v>440152047700</v>
      </c>
      <c r="V397" s="52"/>
      <c r="W397" s="52"/>
      <c r="X397" s="78">
        <v>43196</v>
      </c>
      <c r="Y397" s="51"/>
      <c r="Z397" s="51"/>
      <c r="AA397" s="51"/>
      <c r="AB397" s="51"/>
      <c r="AC397" s="169"/>
    </row>
    <row r="398" spans="1:29" s="68" customFormat="1" ht="15" hidden="1" customHeight="1">
      <c r="A398" s="62" t="s">
        <v>1244</v>
      </c>
      <c r="B398" s="43" t="s">
        <v>875</v>
      </c>
      <c r="C398" s="43"/>
      <c r="D398" s="67"/>
      <c r="E398" s="62" t="s">
        <v>17</v>
      </c>
      <c r="F398" s="53">
        <v>3220196</v>
      </c>
      <c r="G398" s="43"/>
      <c r="H398" s="62" t="s">
        <v>96</v>
      </c>
      <c r="I398" s="43" t="s">
        <v>21</v>
      </c>
      <c r="J398" s="44" t="s">
        <v>876</v>
      </c>
      <c r="K398" s="65" t="s">
        <v>337</v>
      </c>
      <c r="L398" s="51" t="s">
        <v>97</v>
      </c>
      <c r="M398" s="62" t="s">
        <v>22</v>
      </c>
      <c r="N398" s="62" t="s">
        <v>22</v>
      </c>
      <c r="O398" s="62"/>
      <c r="P398" s="62"/>
      <c r="Q398" s="62"/>
      <c r="R398" s="43"/>
      <c r="S398" s="63"/>
      <c r="T398" s="44"/>
      <c r="U398" s="63"/>
      <c r="V398" s="63"/>
      <c r="W398" s="63"/>
      <c r="X398" s="62"/>
      <c r="Y398" s="45" t="s">
        <v>27</v>
      </c>
      <c r="Z398" s="45" t="s">
        <v>27</v>
      </c>
      <c r="AA398" s="45"/>
      <c r="AB398" s="45"/>
      <c r="AC398" s="169"/>
    </row>
    <row r="399" spans="1:29" s="68" customFormat="1" ht="15" hidden="1" customHeight="1">
      <c r="A399" s="62" t="s">
        <v>1244</v>
      </c>
      <c r="B399" s="43" t="s">
        <v>877</v>
      </c>
      <c r="C399" s="43"/>
      <c r="D399" s="67"/>
      <c r="E399" s="62" t="s">
        <v>17</v>
      </c>
      <c r="F399" s="53">
        <v>3299768</v>
      </c>
      <c r="G399" s="43"/>
      <c r="H399" s="62" t="s">
        <v>96</v>
      </c>
      <c r="I399" s="43" t="s">
        <v>21</v>
      </c>
      <c r="J399" s="44" t="s">
        <v>876</v>
      </c>
      <c r="K399" s="65" t="s">
        <v>337</v>
      </c>
      <c r="L399" s="51" t="s">
        <v>97</v>
      </c>
      <c r="M399" s="62" t="s">
        <v>22</v>
      </c>
      <c r="N399" s="62" t="s">
        <v>22</v>
      </c>
      <c r="O399" s="62"/>
      <c r="P399" s="62"/>
      <c r="Q399" s="62"/>
      <c r="R399" s="43"/>
      <c r="S399" s="63"/>
      <c r="T399" s="44"/>
      <c r="U399" s="63"/>
      <c r="V399" s="63"/>
      <c r="W399" s="63"/>
      <c r="X399" s="62"/>
      <c r="Y399" s="45" t="s">
        <v>27</v>
      </c>
      <c r="Z399" s="45" t="s">
        <v>27</v>
      </c>
      <c r="AA399" s="45"/>
      <c r="AB399" s="45"/>
      <c r="AC399" s="169"/>
    </row>
    <row r="400" spans="1:29" s="68" customFormat="1" ht="15" hidden="1" customHeight="1">
      <c r="A400" s="62" t="s">
        <v>1244</v>
      </c>
      <c r="B400" s="43" t="s">
        <v>878</v>
      </c>
      <c r="C400" s="43"/>
      <c r="D400" s="67"/>
      <c r="E400" s="62" t="s">
        <v>17</v>
      </c>
      <c r="F400" s="53">
        <v>2510913</v>
      </c>
      <c r="G400" s="43"/>
      <c r="H400" s="62" t="s">
        <v>96</v>
      </c>
      <c r="I400" s="43" t="s">
        <v>21</v>
      </c>
      <c r="J400" s="44" t="s">
        <v>876</v>
      </c>
      <c r="K400" s="65" t="s">
        <v>337</v>
      </c>
      <c r="L400" s="51" t="s">
        <v>97</v>
      </c>
      <c r="M400" s="62" t="s">
        <v>22</v>
      </c>
      <c r="N400" s="62" t="s">
        <v>22</v>
      </c>
      <c r="O400" s="62"/>
      <c r="P400" s="62"/>
      <c r="Q400" s="62"/>
      <c r="R400" s="43"/>
      <c r="S400" s="63"/>
      <c r="T400" s="44"/>
      <c r="U400" s="63"/>
      <c r="V400" s="63"/>
      <c r="W400" s="63"/>
      <c r="X400" s="62"/>
      <c r="Y400" s="45" t="s">
        <v>27</v>
      </c>
      <c r="Z400" s="45" t="s">
        <v>27</v>
      </c>
      <c r="AA400" s="45"/>
      <c r="AB400" s="45"/>
      <c r="AC400" s="169"/>
    </row>
    <row r="401" spans="1:29" s="68" customFormat="1" ht="15" hidden="1" customHeight="1">
      <c r="A401" s="62" t="s">
        <v>1244</v>
      </c>
      <c r="B401" s="43" t="s">
        <v>879</v>
      </c>
      <c r="C401" s="43"/>
      <c r="D401" s="67"/>
      <c r="E401" s="62" t="s">
        <v>17</v>
      </c>
      <c r="F401" s="53">
        <v>3219975</v>
      </c>
      <c r="G401" s="43"/>
      <c r="H401" s="62" t="s">
        <v>96</v>
      </c>
      <c r="I401" s="43" t="s">
        <v>21</v>
      </c>
      <c r="J401" s="44" t="s">
        <v>3674</v>
      </c>
      <c r="K401" s="65" t="s">
        <v>337</v>
      </c>
      <c r="L401" s="51" t="s">
        <v>97</v>
      </c>
      <c r="M401" s="62" t="s">
        <v>22</v>
      </c>
      <c r="N401" s="62" t="s">
        <v>22</v>
      </c>
      <c r="O401" s="62"/>
      <c r="P401" s="62"/>
      <c r="Q401" s="62"/>
      <c r="R401" s="43"/>
      <c r="S401" s="63"/>
      <c r="T401" s="44"/>
      <c r="U401" s="63"/>
      <c r="V401" s="63"/>
      <c r="W401" s="63"/>
      <c r="X401" s="62"/>
      <c r="Y401" s="45" t="s">
        <v>27</v>
      </c>
      <c r="Z401" s="45" t="s">
        <v>27</v>
      </c>
      <c r="AA401" s="45"/>
      <c r="AB401" s="45"/>
      <c r="AC401" s="169"/>
    </row>
    <row r="402" spans="1:29" s="68" customFormat="1" ht="15" hidden="1" customHeight="1">
      <c r="A402" s="62" t="s">
        <v>1244</v>
      </c>
      <c r="B402" s="44" t="s">
        <v>880</v>
      </c>
      <c r="C402" s="44"/>
      <c r="D402" s="67"/>
      <c r="E402" s="62" t="s">
        <v>17</v>
      </c>
      <c r="F402" s="53">
        <v>3299649</v>
      </c>
      <c r="G402" s="43"/>
      <c r="H402" s="62" t="s">
        <v>96</v>
      </c>
      <c r="I402" s="43" t="s">
        <v>21</v>
      </c>
      <c r="J402" s="44" t="s">
        <v>3674</v>
      </c>
      <c r="K402" s="65" t="s">
        <v>337</v>
      </c>
      <c r="L402" s="51" t="s">
        <v>97</v>
      </c>
      <c r="M402" s="62" t="s">
        <v>22</v>
      </c>
      <c r="N402" s="62" t="s">
        <v>22</v>
      </c>
      <c r="O402" s="62"/>
      <c r="P402" s="62"/>
      <c r="Q402" s="62"/>
      <c r="R402" s="43"/>
      <c r="S402" s="63"/>
      <c r="T402" s="44"/>
      <c r="U402" s="63"/>
      <c r="V402" s="63"/>
      <c r="W402" s="63"/>
      <c r="X402" s="62"/>
      <c r="Y402" s="45" t="s">
        <v>349</v>
      </c>
      <c r="Z402" s="45" t="s">
        <v>22</v>
      </c>
      <c r="AA402" s="45"/>
      <c r="AB402" s="45"/>
      <c r="AC402" s="169"/>
    </row>
    <row r="403" spans="1:29" s="68" customFormat="1" ht="15" hidden="1" customHeight="1">
      <c r="A403" s="62" t="s">
        <v>1244</v>
      </c>
      <c r="B403" s="43" t="s">
        <v>881</v>
      </c>
      <c r="C403" s="43"/>
      <c r="D403" s="67"/>
      <c r="E403" s="62" t="s">
        <v>17</v>
      </c>
      <c r="F403" s="53">
        <v>3299426</v>
      </c>
      <c r="G403" s="43"/>
      <c r="H403" s="62" t="s">
        <v>96</v>
      </c>
      <c r="I403" s="43" t="s">
        <v>21</v>
      </c>
      <c r="J403" s="44" t="s">
        <v>3675</v>
      </c>
      <c r="K403" s="65" t="s">
        <v>33</v>
      </c>
      <c r="L403" s="51" t="s">
        <v>97</v>
      </c>
      <c r="M403" s="62" t="s">
        <v>22</v>
      </c>
      <c r="N403" s="62" t="s">
        <v>22</v>
      </c>
      <c r="O403" s="62"/>
      <c r="P403" s="62"/>
      <c r="Q403" s="62"/>
      <c r="R403" s="43"/>
      <c r="S403" s="63"/>
      <c r="T403" s="44"/>
      <c r="U403" s="63"/>
      <c r="V403" s="63"/>
      <c r="W403" s="63"/>
      <c r="X403" s="62"/>
      <c r="Y403" s="45" t="s">
        <v>27</v>
      </c>
      <c r="Z403" s="45" t="s">
        <v>27</v>
      </c>
      <c r="AA403" s="45"/>
      <c r="AB403" s="45"/>
      <c r="AC403" s="169"/>
    </row>
    <row r="404" spans="1:29" s="68" customFormat="1" ht="15" hidden="1" customHeight="1">
      <c r="A404" s="62" t="s">
        <v>1244</v>
      </c>
      <c r="B404" s="43" t="s">
        <v>882</v>
      </c>
      <c r="C404" s="43"/>
      <c r="D404" s="67"/>
      <c r="E404" s="62" t="s">
        <v>17</v>
      </c>
      <c r="F404" s="53">
        <v>3299342</v>
      </c>
      <c r="G404" s="43"/>
      <c r="H404" s="62" t="s">
        <v>96</v>
      </c>
      <c r="I404" s="43" t="s">
        <v>21</v>
      </c>
      <c r="J404" s="44"/>
      <c r="K404" s="65"/>
      <c r="L404" s="51" t="s">
        <v>97</v>
      </c>
      <c r="M404" s="62" t="s">
        <v>22</v>
      </c>
      <c r="N404" s="62" t="s">
        <v>22</v>
      </c>
      <c r="O404" s="62"/>
      <c r="P404" s="62"/>
      <c r="Q404" s="62"/>
      <c r="R404" s="43"/>
      <c r="S404" s="63"/>
      <c r="T404" s="44"/>
      <c r="U404" s="63"/>
      <c r="V404" s="63"/>
      <c r="W404" s="63"/>
      <c r="X404" s="62"/>
      <c r="Y404" s="45" t="s">
        <v>349</v>
      </c>
      <c r="Z404" s="45" t="s">
        <v>22</v>
      </c>
      <c r="AA404" s="45"/>
      <c r="AB404" s="45"/>
      <c r="AC404" s="169"/>
    </row>
    <row r="405" spans="1:29" s="68" customFormat="1" ht="15" hidden="1" customHeight="1">
      <c r="A405" s="62" t="s">
        <v>1244</v>
      </c>
      <c r="B405" s="43" t="s">
        <v>883</v>
      </c>
      <c r="C405" s="43"/>
      <c r="D405" s="67"/>
      <c r="E405" s="62" t="s">
        <v>17</v>
      </c>
      <c r="F405" s="53">
        <v>3299461</v>
      </c>
      <c r="G405" s="43"/>
      <c r="H405" s="62" t="s">
        <v>96</v>
      </c>
      <c r="I405" s="43" t="s">
        <v>21</v>
      </c>
      <c r="J405" s="44" t="s">
        <v>876</v>
      </c>
      <c r="K405" s="65" t="s">
        <v>337</v>
      </c>
      <c r="L405" s="51" t="s">
        <v>97</v>
      </c>
      <c r="M405" s="62" t="s">
        <v>22</v>
      </c>
      <c r="N405" s="62" t="s">
        <v>22</v>
      </c>
      <c r="O405" s="62"/>
      <c r="P405" s="62"/>
      <c r="Q405" s="62"/>
      <c r="R405" s="43"/>
      <c r="S405" s="63"/>
      <c r="T405" s="44"/>
      <c r="U405" s="63"/>
      <c r="V405" s="63"/>
      <c r="W405" s="63"/>
      <c r="X405" s="62"/>
      <c r="Y405" s="45" t="s">
        <v>27</v>
      </c>
      <c r="Z405" s="45" t="s">
        <v>27</v>
      </c>
      <c r="AA405" s="45"/>
      <c r="AB405" s="45"/>
      <c r="AC405" s="169"/>
    </row>
    <row r="406" spans="1:29" s="68" customFormat="1" ht="15" hidden="1" customHeight="1">
      <c r="A406" s="62" t="s">
        <v>1244</v>
      </c>
      <c r="B406" s="43" t="s">
        <v>884</v>
      </c>
      <c r="C406" s="43"/>
      <c r="D406" s="67"/>
      <c r="E406" s="62" t="s">
        <v>17</v>
      </c>
      <c r="F406" s="53">
        <v>3299469</v>
      </c>
      <c r="G406" s="43"/>
      <c r="H406" s="62" t="s">
        <v>96</v>
      </c>
      <c r="I406" s="43" t="s">
        <v>21</v>
      </c>
      <c r="J406" s="44" t="s">
        <v>876</v>
      </c>
      <c r="K406" s="65" t="s">
        <v>337</v>
      </c>
      <c r="L406" s="51" t="s">
        <v>97</v>
      </c>
      <c r="M406" s="62" t="s">
        <v>22</v>
      </c>
      <c r="N406" s="62" t="s">
        <v>22</v>
      </c>
      <c r="O406" s="62"/>
      <c r="P406" s="62"/>
      <c r="Q406" s="62"/>
      <c r="R406" s="43"/>
      <c r="S406" s="63"/>
      <c r="T406" s="44"/>
      <c r="U406" s="63"/>
      <c r="V406" s="63"/>
      <c r="W406" s="63"/>
      <c r="X406" s="62"/>
      <c r="Y406" s="45" t="s">
        <v>27</v>
      </c>
      <c r="Z406" s="45" t="s">
        <v>27</v>
      </c>
      <c r="AA406" s="45"/>
      <c r="AB406" s="45"/>
      <c r="AC406" s="169"/>
    </row>
    <row r="407" spans="1:29" s="68" customFormat="1" ht="15" hidden="1" customHeight="1">
      <c r="A407" s="62" t="s">
        <v>1244</v>
      </c>
      <c r="B407" s="44" t="s">
        <v>885</v>
      </c>
      <c r="C407" s="44"/>
      <c r="D407" s="67"/>
      <c r="E407" s="62" t="s">
        <v>17</v>
      </c>
      <c r="F407" s="53">
        <v>3299603</v>
      </c>
      <c r="G407" s="43"/>
      <c r="H407" s="62" t="s">
        <v>96</v>
      </c>
      <c r="I407" s="43" t="s">
        <v>21</v>
      </c>
      <c r="J407" s="44" t="s">
        <v>3674</v>
      </c>
      <c r="K407" s="65" t="s">
        <v>337</v>
      </c>
      <c r="L407" s="51" t="s">
        <v>97</v>
      </c>
      <c r="M407" s="62" t="s">
        <v>22</v>
      </c>
      <c r="N407" s="62" t="s">
        <v>22</v>
      </c>
      <c r="O407" s="62"/>
      <c r="P407" s="62"/>
      <c r="Q407" s="62"/>
      <c r="R407" s="43"/>
      <c r="S407" s="63"/>
      <c r="T407" s="44"/>
      <c r="U407" s="63"/>
      <c r="V407" s="63"/>
      <c r="W407" s="63"/>
      <c r="X407" s="62"/>
      <c r="Y407" s="45" t="s">
        <v>27</v>
      </c>
      <c r="Z407" s="45" t="s">
        <v>27</v>
      </c>
      <c r="AA407" s="45"/>
      <c r="AB407" s="45"/>
      <c r="AC407" s="169"/>
    </row>
    <row r="408" spans="1:29" s="68" customFormat="1" ht="15" hidden="1" customHeight="1">
      <c r="A408" s="62" t="s">
        <v>1244</v>
      </c>
      <c r="B408" s="44" t="s">
        <v>886</v>
      </c>
      <c r="C408" s="44"/>
      <c r="D408" s="67"/>
      <c r="E408" s="62" t="s">
        <v>17</v>
      </c>
      <c r="F408" s="53">
        <v>3299818</v>
      </c>
      <c r="G408" s="43"/>
      <c r="H408" s="62" t="s">
        <v>96</v>
      </c>
      <c r="I408" s="43" t="s">
        <v>21</v>
      </c>
      <c r="J408" s="44" t="s">
        <v>3674</v>
      </c>
      <c r="K408" s="65" t="s">
        <v>337</v>
      </c>
      <c r="L408" s="51" t="s">
        <v>97</v>
      </c>
      <c r="M408" s="62" t="s">
        <v>22</v>
      </c>
      <c r="N408" s="62" t="s">
        <v>22</v>
      </c>
      <c r="O408" s="62"/>
      <c r="P408" s="62"/>
      <c r="Q408" s="62"/>
      <c r="R408" s="43"/>
      <c r="S408" s="63"/>
      <c r="T408" s="44"/>
      <c r="U408" s="63"/>
      <c r="V408" s="63"/>
      <c r="W408" s="63"/>
      <c r="X408" s="62"/>
      <c r="Y408" s="45" t="s">
        <v>349</v>
      </c>
      <c r="Z408" s="45" t="s">
        <v>22</v>
      </c>
      <c r="AA408" s="45"/>
      <c r="AB408" s="45"/>
      <c r="AC408" s="169"/>
    </row>
    <row r="409" spans="1:29" s="68" customFormat="1" ht="15" hidden="1" customHeight="1">
      <c r="A409" s="62" t="s">
        <v>1244</v>
      </c>
      <c r="B409" s="44" t="s">
        <v>887</v>
      </c>
      <c r="C409" s="44"/>
      <c r="D409" s="67"/>
      <c r="E409" s="62" t="s">
        <v>17</v>
      </c>
      <c r="F409" s="53">
        <v>3316764</v>
      </c>
      <c r="G409" s="43"/>
      <c r="H409" s="62" t="s">
        <v>96</v>
      </c>
      <c r="I409" s="43" t="s">
        <v>21</v>
      </c>
      <c r="J409" s="44" t="s">
        <v>3674</v>
      </c>
      <c r="K409" s="65" t="s">
        <v>337</v>
      </c>
      <c r="L409" s="51" t="s">
        <v>97</v>
      </c>
      <c r="M409" s="62" t="s">
        <v>22</v>
      </c>
      <c r="N409" s="62" t="s">
        <v>22</v>
      </c>
      <c r="O409" s="62"/>
      <c r="P409" s="62"/>
      <c r="Q409" s="62"/>
      <c r="R409" s="43"/>
      <c r="S409" s="63"/>
      <c r="T409" s="44"/>
      <c r="U409" s="63"/>
      <c r="V409" s="63"/>
      <c r="W409" s="63"/>
      <c r="X409" s="62"/>
      <c r="Y409" s="45" t="s">
        <v>27</v>
      </c>
      <c r="Z409" s="45" t="s">
        <v>27</v>
      </c>
      <c r="AA409" s="45"/>
      <c r="AB409" s="45"/>
      <c r="AC409" s="169"/>
    </row>
    <row r="410" spans="1:29" s="68" customFormat="1" ht="15" hidden="1" customHeight="1">
      <c r="A410" s="62" t="s">
        <v>1244</v>
      </c>
      <c r="B410" s="44" t="s">
        <v>888</v>
      </c>
      <c r="C410" s="44"/>
      <c r="D410" s="67"/>
      <c r="E410" s="62" t="s">
        <v>17</v>
      </c>
      <c r="F410" s="53">
        <v>3220115</v>
      </c>
      <c r="G410" s="43"/>
      <c r="H410" s="62" t="s">
        <v>96</v>
      </c>
      <c r="I410" s="43" t="s">
        <v>21</v>
      </c>
      <c r="J410" s="44" t="s">
        <v>3675</v>
      </c>
      <c r="K410" s="65" t="s">
        <v>337</v>
      </c>
      <c r="L410" s="51" t="s">
        <v>97</v>
      </c>
      <c r="M410" s="62" t="s">
        <v>22</v>
      </c>
      <c r="N410" s="62" t="s">
        <v>22</v>
      </c>
      <c r="O410" s="62"/>
      <c r="P410" s="62"/>
      <c r="Q410" s="62"/>
      <c r="R410" s="43"/>
      <c r="S410" s="63"/>
      <c r="T410" s="44"/>
      <c r="U410" s="63"/>
      <c r="V410" s="63"/>
      <c r="W410" s="63"/>
      <c r="X410" s="62"/>
      <c r="Y410" s="45" t="s">
        <v>27</v>
      </c>
      <c r="Z410" s="45" t="s">
        <v>27</v>
      </c>
      <c r="AA410" s="45"/>
      <c r="AB410" s="45"/>
      <c r="AC410" s="169"/>
    </row>
    <row r="411" spans="1:29" s="68" customFormat="1" ht="15" hidden="1" customHeight="1">
      <c r="A411" s="62" t="s">
        <v>1244</v>
      </c>
      <c r="B411" s="44" t="s">
        <v>889</v>
      </c>
      <c r="C411" s="44"/>
      <c r="D411" s="67"/>
      <c r="E411" s="62" t="s">
        <v>17</v>
      </c>
      <c r="F411" s="53">
        <v>3299713</v>
      </c>
      <c r="G411" s="43"/>
      <c r="H411" s="62" t="s">
        <v>96</v>
      </c>
      <c r="I411" s="43" t="s">
        <v>21</v>
      </c>
      <c r="J411" s="44" t="s">
        <v>3675</v>
      </c>
      <c r="K411" s="65" t="s">
        <v>337</v>
      </c>
      <c r="L411" s="51" t="s">
        <v>97</v>
      </c>
      <c r="M411" s="62" t="s">
        <v>22</v>
      </c>
      <c r="N411" s="62" t="s">
        <v>22</v>
      </c>
      <c r="O411" s="62"/>
      <c r="P411" s="62"/>
      <c r="Q411" s="62"/>
      <c r="R411" s="43"/>
      <c r="S411" s="63"/>
      <c r="T411" s="44"/>
      <c r="U411" s="63"/>
      <c r="V411" s="63"/>
      <c r="W411" s="63"/>
      <c r="X411" s="62"/>
      <c r="Y411" s="45" t="s">
        <v>27</v>
      </c>
      <c r="Z411" s="45" t="s">
        <v>27</v>
      </c>
      <c r="AA411" s="45"/>
      <c r="AB411" s="45"/>
      <c r="AC411" s="169"/>
    </row>
    <row r="412" spans="1:29" s="68" customFormat="1" ht="15" hidden="1" customHeight="1">
      <c r="A412" s="62" t="s">
        <v>1244</v>
      </c>
      <c r="B412" s="46" t="s">
        <v>890</v>
      </c>
      <c r="C412" s="46"/>
      <c r="D412" s="67"/>
      <c r="E412" s="62" t="s">
        <v>17</v>
      </c>
      <c r="F412" s="53">
        <v>3299527</v>
      </c>
      <c r="G412" s="43"/>
      <c r="H412" s="62" t="s">
        <v>96</v>
      </c>
      <c r="I412" s="43" t="s">
        <v>21</v>
      </c>
      <c r="J412" s="44" t="s">
        <v>3675</v>
      </c>
      <c r="K412" s="65" t="s">
        <v>337</v>
      </c>
      <c r="L412" s="51" t="s">
        <v>97</v>
      </c>
      <c r="M412" s="62" t="s">
        <v>22</v>
      </c>
      <c r="N412" s="62" t="s">
        <v>22</v>
      </c>
      <c r="O412" s="62"/>
      <c r="P412" s="62"/>
      <c r="Q412" s="62"/>
      <c r="R412" s="43"/>
      <c r="S412" s="63"/>
      <c r="T412" s="44"/>
      <c r="U412" s="63"/>
      <c r="V412" s="63"/>
      <c r="W412" s="63"/>
      <c r="X412" s="62"/>
      <c r="Y412" s="45" t="s">
        <v>27</v>
      </c>
      <c r="Z412" s="45" t="s">
        <v>27</v>
      </c>
      <c r="AA412" s="45"/>
      <c r="AB412" s="45"/>
      <c r="AC412" s="169"/>
    </row>
    <row r="413" spans="1:29" s="68" customFormat="1" ht="15" hidden="1" customHeight="1">
      <c r="A413" s="62" t="s">
        <v>1244</v>
      </c>
      <c r="B413" s="43" t="s">
        <v>891</v>
      </c>
      <c r="C413" s="43"/>
      <c r="D413" s="67"/>
      <c r="E413" s="62" t="s">
        <v>17</v>
      </c>
      <c r="F413" s="53">
        <v>3299582</v>
      </c>
      <c r="G413" s="43"/>
      <c r="H413" s="62" t="s">
        <v>96</v>
      </c>
      <c r="I413" s="43" t="s">
        <v>21</v>
      </c>
      <c r="J413" s="44" t="s">
        <v>876</v>
      </c>
      <c r="K413" s="65" t="s">
        <v>337</v>
      </c>
      <c r="L413" s="51" t="s">
        <v>97</v>
      </c>
      <c r="M413" s="62" t="s">
        <v>22</v>
      </c>
      <c r="N413" s="62" t="s">
        <v>22</v>
      </c>
      <c r="O413" s="62"/>
      <c r="P413" s="62"/>
      <c r="Q413" s="62"/>
      <c r="R413" s="43"/>
      <c r="S413" s="63"/>
      <c r="T413" s="44"/>
      <c r="U413" s="63"/>
      <c r="V413" s="63"/>
      <c r="W413" s="63"/>
      <c r="X413" s="62"/>
      <c r="Y413" s="45" t="s">
        <v>27</v>
      </c>
      <c r="Z413" s="45" t="s">
        <v>27</v>
      </c>
      <c r="AA413" s="45"/>
      <c r="AB413" s="45"/>
      <c r="AC413" s="169"/>
    </row>
    <row r="414" spans="1:29" s="68" customFormat="1" ht="15" hidden="1" customHeight="1">
      <c r="A414" s="62" t="s">
        <v>1244</v>
      </c>
      <c r="B414" s="43" t="s">
        <v>892</v>
      </c>
      <c r="C414" s="43"/>
      <c r="D414" s="67"/>
      <c r="E414" s="62" t="s">
        <v>17</v>
      </c>
      <c r="F414" s="53">
        <v>3219834</v>
      </c>
      <c r="G414" s="43"/>
      <c r="H414" s="62" t="s">
        <v>96</v>
      </c>
      <c r="I414" s="43" t="s">
        <v>21</v>
      </c>
      <c r="J414" s="44" t="s">
        <v>876</v>
      </c>
      <c r="K414" s="65" t="s">
        <v>337</v>
      </c>
      <c r="L414" s="51" t="s">
        <v>97</v>
      </c>
      <c r="M414" s="62" t="s">
        <v>22</v>
      </c>
      <c r="N414" s="62" t="s">
        <v>22</v>
      </c>
      <c r="O414" s="62"/>
      <c r="P414" s="62"/>
      <c r="Q414" s="62"/>
      <c r="R414" s="43"/>
      <c r="S414" s="63"/>
      <c r="T414" s="44"/>
      <c r="U414" s="63"/>
      <c r="V414" s="63"/>
      <c r="W414" s="63"/>
      <c r="X414" s="62"/>
      <c r="Y414" s="45" t="s">
        <v>27</v>
      </c>
      <c r="Z414" s="45" t="s">
        <v>27</v>
      </c>
      <c r="AA414" s="45"/>
      <c r="AB414" s="45"/>
      <c r="AC414" s="169"/>
    </row>
    <row r="415" spans="1:29" s="68" customFormat="1" ht="15" hidden="1" customHeight="1">
      <c r="A415" s="62" t="s">
        <v>1244</v>
      </c>
      <c r="B415" s="43" t="s">
        <v>893</v>
      </c>
      <c r="C415" s="43"/>
      <c r="D415" s="67"/>
      <c r="E415" s="62" t="s">
        <v>17</v>
      </c>
      <c r="F415" s="53">
        <v>3219902</v>
      </c>
      <c r="G415" s="43"/>
      <c r="H415" s="62" t="s">
        <v>96</v>
      </c>
      <c r="I415" s="43" t="s">
        <v>21</v>
      </c>
      <c r="J415" s="44" t="s">
        <v>876</v>
      </c>
      <c r="K415" s="65" t="s">
        <v>337</v>
      </c>
      <c r="L415" s="51" t="s">
        <v>97</v>
      </c>
      <c r="M415" s="62" t="s">
        <v>22</v>
      </c>
      <c r="N415" s="62" t="s">
        <v>22</v>
      </c>
      <c r="O415" s="62"/>
      <c r="P415" s="62"/>
      <c r="Q415" s="62"/>
      <c r="R415" s="43"/>
      <c r="S415" s="63"/>
      <c r="T415" s="44"/>
      <c r="U415" s="63"/>
      <c r="V415" s="63"/>
      <c r="W415" s="63"/>
      <c r="X415" s="62"/>
      <c r="Y415" s="45" t="s">
        <v>27</v>
      </c>
      <c r="Z415" s="45" t="s">
        <v>27</v>
      </c>
      <c r="AA415" s="45"/>
      <c r="AB415" s="45"/>
      <c r="AC415" s="169"/>
    </row>
    <row r="416" spans="1:29" s="68" customFormat="1" ht="15" hidden="1" customHeight="1">
      <c r="A416" s="62" t="s">
        <v>1244</v>
      </c>
      <c r="B416" s="43" t="s">
        <v>894</v>
      </c>
      <c r="C416" s="43"/>
      <c r="D416" s="67"/>
      <c r="E416" s="62" t="s">
        <v>17</v>
      </c>
      <c r="F416" s="53">
        <v>3299765</v>
      </c>
      <c r="G416" s="43"/>
      <c r="H416" s="62" t="s">
        <v>96</v>
      </c>
      <c r="I416" s="43" t="s">
        <v>21</v>
      </c>
      <c r="J416" s="44" t="s">
        <v>876</v>
      </c>
      <c r="K416" s="65" t="s">
        <v>337</v>
      </c>
      <c r="L416" s="51" t="s">
        <v>97</v>
      </c>
      <c r="M416" s="62" t="s">
        <v>22</v>
      </c>
      <c r="N416" s="62" t="s">
        <v>22</v>
      </c>
      <c r="O416" s="62"/>
      <c r="P416" s="62"/>
      <c r="Q416" s="62"/>
      <c r="R416" s="43"/>
      <c r="S416" s="63"/>
      <c r="T416" s="44"/>
      <c r="U416" s="63"/>
      <c r="V416" s="63"/>
      <c r="W416" s="63"/>
      <c r="X416" s="62"/>
      <c r="Y416" s="45" t="s">
        <v>27</v>
      </c>
      <c r="Z416" s="45" t="s">
        <v>27</v>
      </c>
      <c r="AA416" s="45"/>
      <c r="AB416" s="45"/>
      <c r="AC416" s="169"/>
    </row>
    <row r="417" spans="1:29" s="68" customFormat="1" ht="15" hidden="1" customHeight="1">
      <c r="A417" s="62" t="s">
        <v>1244</v>
      </c>
      <c r="B417" s="44" t="s">
        <v>895</v>
      </c>
      <c r="C417" s="44"/>
      <c r="D417" s="67"/>
      <c r="E417" s="62" t="s">
        <v>17</v>
      </c>
      <c r="F417" s="53">
        <v>3220083</v>
      </c>
      <c r="G417" s="43"/>
      <c r="H417" s="62" t="s">
        <v>96</v>
      </c>
      <c r="I417" s="43" t="s">
        <v>21</v>
      </c>
      <c r="J417" s="44" t="s">
        <v>3674</v>
      </c>
      <c r="K417" s="65" t="s">
        <v>33</v>
      </c>
      <c r="L417" s="51" t="s">
        <v>97</v>
      </c>
      <c r="M417" s="62" t="s">
        <v>22</v>
      </c>
      <c r="N417" s="62" t="s">
        <v>22</v>
      </c>
      <c r="O417" s="62"/>
      <c r="P417" s="62"/>
      <c r="Q417" s="62"/>
      <c r="R417" s="43"/>
      <c r="S417" s="63"/>
      <c r="T417" s="44"/>
      <c r="U417" s="63"/>
      <c r="V417" s="63"/>
      <c r="W417" s="63"/>
      <c r="X417" s="62"/>
      <c r="Y417" s="45" t="s">
        <v>27</v>
      </c>
      <c r="Z417" s="45" t="s">
        <v>27</v>
      </c>
      <c r="AA417" s="45"/>
      <c r="AB417" s="45"/>
      <c r="AC417" s="169"/>
    </row>
    <row r="418" spans="1:29" s="68" customFormat="1" ht="15" hidden="1" customHeight="1">
      <c r="A418" s="62" t="s">
        <v>1244</v>
      </c>
      <c r="B418" s="43" t="s">
        <v>896</v>
      </c>
      <c r="C418" s="43"/>
      <c r="D418" s="67"/>
      <c r="E418" s="62" t="s">
        <v>17</v>
      </c>
      <c r="F418" s="53">
        <v>3220110</v>
      </c>
      <c r="G418" s="43"/>
      <c r="H418" s="62" t="s">
        <v>96</v>
      </c>
      <c r="I418" s="43" t="s">
        <v>21</v>
      </c>
      <c r="J418" s="44" t="s">
        <v>3674</v>
      </c>
      <c r="K418" s="65" t="s">
        <v>337</v>
      </c>
      <c r="L418" s="51" t="s">
        <v>97</v>
      </c>
      <c r="M418" s="62" t="s">
        <v>22</v>
      </c>
      <c r="N418" s="62" t="s">
        <v>22</v>
      </c>
      <c r="O418" s="62"/>
      <c r="P418" s="62"/>
      <c r="Q418" s="62"/>
      <c r="R418" s="43"/>
      <c r="S418" s="63"/>
      <c r="T418" s="44"/>
      <c r="U418" s="63"/>
      <c r="V418" s="63"/>
      <c r="W418" s="63"/>
      <c r="X418" s="62"/>
      <c r="Y418" s="45" t="s">
        <v>27</v>
      </c>
      <c r="Z418" s="45" t="s">
        <v>27</v>
      </c>
      <c r="AA418" s="45"/>
      <c r="AB418" s="45"/>
      <c r="AC418" s="169"/>
    </row>
    <row r="419" spans="1:29" s="68" customFormat="1" ht="15" hidden="1" customHeight="1">
      <c r="A419" s="62" t="s">
        <v>1244</v>
      </c>
      <c r="B419" s="43" t="s">
        <v>897</v>
      </c>
      <c r="C419" s="43"/>
      <c r="D419" s="67"/>
      <c r="E419" s="62" t="s">
        <v>17</v>
      </c>
      <c r="F419" s="53">
        <v>3299614</v>
      </c>
      <c r="G419" s="43"/>
      <c r="H419" s="62" t="s">
        <v>96</v>
      </c>
      <c r="I419" s="43" t="s">
        <v>21</v>
      </c>
      <c r="J419" s="44" t="s">
        <v>3674</v>
      </c>
      <c r="K419" s="65" t="s">
        <v>337</v>
      </c>
      <c r="L419" s="51" t="s">
        <v>97</v>
      </c>
      <c r="M419" s="62" t="s">
        <v>22</v>
      </c>
      <c r="N419" s="62" t="s">
        <v>22</v>
      </c>
      <c r="O419" s="62"/>
      <c r="P419" s="62"/>
      <c r="Q419" s="62"/>
      <c r="R419" s="43"/>
      <c r="S419" s="63"/>
      <c r="T419" s="44"/>
      <c r="U419" s="63"/>
      <c r="V419" s="63"/>
      <c r="W419" s="63"/>
      <c r="X419" s="62"/>
      <c r="Y419" s="45" t="s">
        <v>27</v>
      </c>
      <c r="Z419" s="45" t="s">
        <v>27</v>
      </c>
      <c r="AA419" s="45"/>
      <c r="AB419" s="45"/>
      <c r="AC419" s="169"/>
    </row>
    <row r="420" spans="1:29" s="68" customFormat="1" ht="15" hidden="1" customHeight="1">
      <c r="A420" s="62" t="s">
        <v>1244</v>
      </c>
      <c r="B420" s="43" t="s">
        <v>898</v>
      </c>
      <c r="C420" s="43"/>
      <c r="D420" s="67"/>
      <c r="E420" s="62" t="s">
        <v>17</v>
      </c>
      <c r="F420" s="53">
        <v>3299569</v>
      </c>
      <c r="G420" s="43"/>
      <c r="H420" s="62" t="s">
        <v>96</v>
      </c>
      <c r="I420" s="43" t="s">
        <v>21</v>
      </c>
      <c r="J420" s="44" t="s">
        <v>3674</v>
      </c>
      <c r="K420" s="65" t="s">
        <v>33</v>
      </c>
      <c r="L420" s="51" t="s">
        <v>97</v>
      </c>
      <c r="M420" s="62" t="s">
        <v>22</v>
      </c>
      <c r="N420" s="62" t="s">
        <v>22</v>
      </c>
      <c r="O420" s="62"/>
      <c r="P420" s="62"/>
      <c r="Q420" s="62"/>
      <c r="R420" s="43"/>
      <c r="S420" s="63"/>
      <c r="T420" s="44"/>
      <c r="U420" s="63"/>
      <c r="V420" s="63"/>
      <c r="W420" s="63"/>
      <c r="X420" s="62"/>
      <c r="Y420" s="45" t="s">
        <v>27</v>
      </c>
      <c r="Z420" s="45" t="s">
        <v>27</v>
      </c>
      <c r="AA420" s="45"/>
      <c r="AB420" s="45"/>
      <c r="AC420" s="169"/>
    </row>
    <row r="421" spans="1:29" s="68" customFormat="1" ht="15" hidden="1" customHeight="1">
      <c r="A421" s="62" t="s">
        <v>1244</v>
      </c>
      <c r="B421" s="43" t="s">
        <v>899</v>
      </c>
      <c r="C421" s="43"/>
      <c r="D421" s="67"/>
      <c r="E421" s="62" t="s">
        <v>17</v>
      </c>
      <c r="F421" s="53">
        <v>3299443</v>
      </c>
      <c r="G421" s="43"/>
      <c r="H421" s="62" t="s">
        <v>96</v>
      </c>
      <c r="I421" s="43" t="s">
        <v>21</v>
      </c>
      <c r="J421" s="44" t="s">
        <v>3674</v>
      </c>
      <c r="K421" s="65" t="s">
        <v>33</v>
      </c>
      <c r="L421" s="51" t="s">
        <v>97</v>
      </c>
      <c r="M421" s="62" t="s">
        <v>22</v>
      </c>
      <c r="N421" s="62" t="s">
        <v>22</v>
      </c>
      <c r="O421" s="62"/>
      <c r="P421" s="62"/>
      <c r="Q421" s="62"/>
      <c r="R421" s="43"/>
      <c r="S421" s="63"/>
      <c r="T421" s="44"/>
      <c r="U421" s="63"/>
      <c r="V421" s="63"/>
      <c r="W421" s="63"/>
      <c r="X421" s="62"/>
      <c r="Y421" s="45" t="s">
        <v>27</v>
      </c>
      <c r="Z421" s="45" t="s">
        <v>27</v>
      </c>
      <c r="AA421" s="45"/>
      <c r="AB421" s="45"/>
      <c r="AC421" s="169"/>
    </row>
    <row r="422" spans="1:29" s="68" customFormat="1" ht="15" hidden="1" customHeight="1">
      <c r="A422" s="62" t="s">
        <v>1244</v>
      </c>
      <c r="B422" s="44" t="s">
        <v>900</v>
      </c>
      <c r="C422" s="44"/>
      <c r="D422" s="67"/>
      <c r="E422" s="62" t="s">
        <v>17</v>
      </c>
      <c r="F422" s="53">
        <v>3299597</v>
      </c>
      <c r="G422" s="43"/>
      <c r="H422" s="62" t="s">
        <v>96</v>
      </c>
      <c r="I422" s="43" t="s">
        <v>21</v>
      </c>
      <c r="J422" s="44" t="s">
        <v>3675</v>
      </c>
      <c r="K422" s="65" t="s">
        <v>33</v>
      </c>
      <c r="L422" s="51" t="s">
        <v>97</v>
      </c>
      <c r="M422" s="62" t="s">
        <v>22</v>
      </c>
      <c r="N422" s="62" t="s">
        <v>22</v>
      </c>
      <c r="O422" s="62"/>
      <c r="P422" s="62"/>
      <c r="Q422" s="62"/>
      <c r="R422" s="43"/>
      <c r="S422" s="63"/>
      <c r="T422" s="44"/>
      <c r="U422" s="63"/>
      <c r="V422" s="63"/>
      <c r="W422" s="63"/>
      <c r="X422" s="62"/>
      <c r="Y422" s="45" t="s">
        <v>27</v>
      </c>
      <c r="Z422" s="45" t="s">
        <v>27</v>
      </c>
      <c r="AA422" s="45"/>
      <c r="AB422" s="45"/>
      <c r="AC422" s="169"/>
    </row>
    <row r="423" spans="1:29" s="68" customFormat="1" ht="15" hidden="1" customHeight="1">
      <c r="A423" s="62" t="s">
        <v>1244</v>
      </c>
      <c r="B423" s="44" t="s">
        <v>901</v>
      </c>
      <c r="C423" s="44"/>
      <c r="D423" s="67"/>
      <c r="E423" s="62" t="s">
        <v>17</v>
      </c>
      <c r="F423" s="53">
        <v>3299821</v>
      </c>
      <c r="G423" s="43"/>
      <c r="H423" s="62" t="s">
        <v>96</v>
      </c>
      <c r="I423" s="43" t="s">
        <v>21</v>
      </c>
      <c r="J423" s="44" t="s">
        <v>3675</v>
      </c>
      <c r="K423" s="65" t="s">
        <v>337</v>
      </c>
      <c r="L423" s="51" t="s">
        <v>97</v>
      </c>
      <c r="M423" s="62" t="s">
        <v>22</v>
      </c>
      <c r="N423" s="62" t="s">
        <v>22</v>
      </c>
      <c r="O423" s="62"/>
      <c r="P423" s="62"/>
      <c r="Q423" s="62"/>
      <c r="R423" s="43"/>
      <c r="S423" s="63"/>
      <c r="T423" s="44"/>
      <c r="U423" s="63"/>
      <c r="V423" s="63"/>
      <c r="W423" s="63"/>
      <c r="X423" s="62"/>
      <c r="Y423" s="45" t="s">
        <v>27</v>
      </c>
      <c r="Z423" s="45" t="s">
        <v>27</v>
      </c>
      <c r="AA423" s="45"/>
      <c r="AB423" s="45"/>
      <c r="AC423" s="169"/>
    </row>
    <row r="424" spans="1:29" s="68" customFormat="1" ht="15" hidden="1" customHeight="1">
      <c r="A424" s="62" t="s">
        <v>1244</v>
      </c>
      <c r="B424" s="44" t="s">
        <v>902</v>
      </c>
      <c r="C424" s="44"/>
      <c r="D424" s="67"/>
      <c r="E424" s="62" t="s">
        <v>17</v>
      </c>
      <c r="F424" s="53">
        <v>3299703</v>
      </c>
      <c r="G424" s="43"/>
      <c r="H424" s="62" t="s">
        <v>96</v>
      </c>
      <c r="I424" s="43" t="s">
        <v>21</v>
      </c>
      <c r="J424" s="44" t="s">
        <v>3675</v>
      </c>
      <c r="K424" s="65" t="s">
        <v>337</v>
      </c>
      <c r="L424" s="51" t="s">
        <v>97</v>
      </c>
      <c r="M424" s="62" t="s">
        <v>22</v>
      </c>
      <c r="N424" s="62" t="s">
        <v>22</v>
      </c>
      <c r="O424" s="62"/>
      <c r="P424" s="62"/>
      <c r="Q424" s="62"/>
      <c r="R424" s="43"/>
      <c r="S424" s="63"/>
      <c r="T424" s="44"/>
      <c r="U424" s="63"/>
      <c r="V424" s="63"/>
      <c r="W424" s="63"/>
      <c r="X424" s="62"/>
      <c r="Y424" s="45" t="s">
        <v>27</v>
      </c>
      <c r="Z424" s="45" t="s">
        <v>27</v>
      </c>
      <c r="AA424" s="45"/>
      <c r="AB424" s="45"/>
      <c r="AC424" s="169"/>
    </row>
    <row r="425" spans="1:29" s="68" customFormat="1" ht="15" hidden="1" customHeight="1">
      <c r="A425" s="62" t="s">
        <v>1244</v>
      </c>
      <c r="B425" s="44" t="s">
        <v>903</v>
      </c>
      <c r="C425" s="44"/>
      <c r="D425" s="67"/>
      <c r="E425" s="62" t="s">
        <v>17</v>
      </c>
      <c r="F425" s="53">
        <v>3299382</v>
      </c>
      <c r="G425" s="43"/>
      <c r="H425" s="62" t="s">
        <v>96</v>
      </c>
      <c r="I425" s="43" t="s">
        <v>21</v>
      </c>
      <c r="J425" s="44" t="s">
        <v>3675</v>
      </c>
      <c r="K425" s="65" t="s">
        <v>337</v>
      </c>
      <c r="L425" s="51" t="s">
        <v>97</v>
      </c>
      <c r="M425" s="62" t="s">
        <v>22</v>
      </c>
      <c r="N425" s="62" t="s">
        <v>22</v>
      </c>
      <c r="O425" s="62"/>
      <c r="P425" s="62"/>
      <c r="Q425" s="62"/>
      <c r="R425" s="43"/>
      <c r="S425" s="63"/>
      <c r="T425" s="44"/>
      <c r="U425" s="63"/>
      <c r="V425" s="63"/>
      <c r="W425" s="63"/>
      <c r="X425" s="62"/>
      <c r="Y425" s="45" t="s">
        <v>27</v>
      </c>
      <c r="Z425" s="45" t="s">
        <v>27</v>
      </c>
      <c r="AA425" s="45"/>
      <c r="AB425" s="45"/>
      <c r="AC425" s="169"/>
    </row>
    <row r="426" spans="1:29" s="68" customFormat="1" ht="15" hidden="1" customHeight="1">
      <c r="A426" s="62" t="s">
        <v>1244</v>
      </c>
      <c r="B426" s="44" t="s">
        <v>904</v>
      </c>
      <c r="C426" s="44"/>
      <c r="D426" s="67"/>
      <c r="E426" s="62" t="s">
        <v>17</v>
      </c>
      <c r="F426" s="53">
        <v>3299611</v>
      </c>
      <c r="G426" s="43"/>
      <c r="H426" s="62" t="s">
        <v>96</v>
      </c>
      <c r="I426" s="43" t="s">
        <v>21</v>
      </c>
      <c r="J426" s="44" t="s">
        <v>3675</v>
      </c>
      <c r="K426" s="65" t="s">
        <v>337</v>
      </c>
      <c r="L426" s="51" t="s">
        <v>97</v>
      </c>
      <c r="M426" s="62" t="s">
        <v>22</v>
      </c>
      <c r="N426" s="62" t="s">
        <v>22</v>
      </c>
      <c r="O426" s="62"/>
      <c r="P426" s="62"/>
      <c r="Q426" s="62"/>
      <c r="R426" s="43"/>
      <c r="S426" s="63"/>
      <c r="T426" s="44"/>
      <c r="U426" s="63"/>
      <c r="V426" s="63"/>
      <c r="W426" s="63"/>
      <c r="X426" s="62"/>
      <c r="Y426" s="45" t="s">
        <v>27</v>
      </c>
      <c r="Z426" s="45" t="s">
        <v>27</v>
      </c>
      <c r="AA426" s="45"/>
      <c r="AB426" s="45"/>
      <c r="AC426" s="169"/>
    </row>
    <row r="427" spans="1:29" s="68" customFormat="1" ht="15" hidden="1" customHeight="1">
      <c r="A427" s="62" t="s">
        <v>1244</v>
      </c>
      <c r="B427" s="46" t="s">
        <v>905</v>
      </c>
      <c r="C427" s="46"/>
      <c r="D427" s="67"/>
      <c r="E427" s="62" t="s">
        <v>17</v>
      </c>
      <c r="F427" s="53">
        <v>3299432</v>
      </c>
      <c r="G427" s="43"/>
      <c r="H427" s="62" t="s">
        <v>96</v>
      </c>
      <c r="I427" s="43" t="s">
        <v>21</v>
      </c>
      <c r="J427" s="44" t="s">
        <v>3675</v>
      </c>
      <c r="K427" s="65" t="s">
        <v>337</v>
      </c>
      <c r="L427" s="51" t="s">
        <v>97</v>
      </c>
      <c r="M427" s="62" t="s">
        <v>22</v>
      </c>
      <c r="N427" s="62" t="s">
        <v>22</v>
      </c>
      <c r="O427" s="62"/>
      <c r="P427" s="62"/>
      <c r="Q427" s="62"/>
      <c r="R427" s="43"/>
      <c r="S427" s="63"/>
      <c r="T427" s="44"/>
      <c r="U427" s="63"/>
      <c r="V427" s="63"/>
      <c r="W427" s="63"/>
      <c r="X427" s="62"/>
      <c r="Y427" s="45" t="s">
        <v>27</v>
      </c>
      <c r="Z427" s="45" t="s">
        <v>27</v>
      </c>
      <c r="AA427" s="45"/>
      <c r="AB427" s="45"/>
      <c r="AC427" s="169"/>
    </row>
    <row r="428" spans="1:29" s="68" customFormat="1" ht="15" hidden="1" customHeight="1">
      <c r="A428" s="62" t="s">
        <v>1244</v>
      </c>
      <c r="B428" s="43" t="s">
        <v>906</v>
      </c>
      <c r="C428" s="43"/>
      <c r="D428" s="67"/>
      <c r="E428" s="62" t="s">
        <v>17</v>
      </c>
      <c r="F428" s="53">
        <v>3516418</v>
      </c>
      <c r="G428" s="43"/>
      <c r="H428" s="62" t="s">
        <v>96</v>
      </c>
      <c r="I428" s="43" t="s">
        <v>21</v>
      </c>
      <c r="J428" s="44" t="s">
        <v>876</v>
      </c>
      <c r="K428" s="65" t="s">
        <v>337</v>
      </c>
      <c r="L428" s="51" t="s">
        <v>97</v>
      </c>
      <c r="M428" s="62" t="s">
        <v>22</v>
      </c>
      <c r="N428" s="62" t="s">
        <v>22</v>
      </c>
      <c r="O428" s="62"/>
      <c r="P428" s="62"/>
      <c r="Q428" s="62"/>
      <c r="R428" s="43"/>
      <c r="S428" s="63"/>
      <c r="T428" s="44"/>
      <c r="U428" s="63"/>
      <c r="V428" s="63"/>
      <c r="W428" s="63"/>
      <c r="X428" s="62"/>
      <c r="Y428" s="45" t="s">
        <v>27</v>
      </c>
      <c r="Z428" s="45" t="s">
        <v>27</v>
      </c>
      <c r="AA428" s="45"/>
      <c r="AB428" s="45"/>
      <c r="AC428" s="169"/>
    </row>
    <row r="429" spans="1:29" s="68" customFormat="1" ht="15" hidden="1" customHeight="1">
      <c r="A429" s="62" t="s">
        <v>1244</v>
      </c>
      <c r="B429" s="43" t="s">
        <v>907</v>
      </c>
      <c r="C429" s="43"/>
      <c r="D429" s="67"/>
      <c r="E429" s="62" t="s">
        <v>17</v>
      </c>
      <c r="F429" s="53">
        <v>3516433</v>
      </c>
      <c r="G429" s="43"/>
      <c r="H429" s="62" t="s">
        <v>96</v>
      </c>
      <c r="I429" s="43" t="s">
        <v>21</v>
      </c>
      <c r="J429" s="44" t="s">
        <v>3674</v>
      </c>
      <c r="K429" s="65" t="s">
        <v>337</v>
      </c>
      <c r="L429" s="51" t="s">
        <v>97</v>
      </c>
      <c r="M429" s="62" t="s">
        <v>22</v>
      </c>
      <c r="N429" s="62" t="s">
        <v>22</v>
      </c>
      <c r="O429" s="62"/>
      <c r="P429" s="62"/>
      <c r="Q429" s="62"/>
      <c r="R429" s="43"/>
      <c r="S429" s="63"/>
      <c r="T429" s="44"/>
      <c r="U429" s="63"/>
      <c r="V429" s="63"/>
      <c r="W429" s="63"/>
      <c r="X429" s="62"/>
      <c r="Y429" s="45" t="s">
        <v>27</v>
      </c>
      <c r="Z429" s="45" t="s">
        <v>27</v>
      </c>
      <c r="AA429" s="45"/>
      <c r="AB429" s="45"/>
      <c r="AC429" s="169"/>
    </row>
    <row r="430" spans="1:29" ht="15" hidden="1" customHeight="1">
      <c r="A430" s="62" t="s">
        <v>1244</v>
      </c>
      <c r="B430" s="43" t="s">
        <v>422</v>
      </c>
      <c r="C430" s="179" t="s">
        <v>27</v>
      </c>
      <c r="D430" s="180" t="s">
        <v>4220</v>
      </c>
      <c r="E430" s="62" t="s">
        <v>17</v>
      </c>
      <c r="F430" s="53">
        <v>2511046</v>
      </c>
      <c r="G430" s="51"/>
      <c r="H430" s="51" t="s">
        <v>20</v>
      </c>
      <c r="I430" s="43" t="s">
        <v>21</v>
      </c>
      <c r="J430" s="44" t="s">
        <v>3674</v>
      </c>
      <c r="K430" s="51" t="s">
        <v>337</v>
      </c>
      <c r="L430" s="51" t="s">
        <v>211</v>
      </c>
      <c r="M430" s="62" t="s">
        <v>22</v>
      </c>
      <c r="N430" s="62" t="s">
        <v>22</v>
      </c>
      <c r="O430" s="62" t="s">
        <v>22</v>
      </c>
      <c r="P430" s="62"/>
      <c r="Q430" s="62"/>
      <c r="R430" s="51"/>
      <c r="S430" s="51"/>
      <c r="T430" s="51"/>
      <c r="U430" s="52"/>
      <c r="V430" s="52"/>
      <c r="W430" s="52"/>
      <c r="X430" s="78"/>
      <c r="Y430" s="45" t="s">
        <v>27</v>
      </c>
      <c r="Z430" s="45" t="s">
        <v>27</v>
      </c>
      <c r="AA430" s="51" t="s">
        <v>27</v>
      </c>
      <c r="AB430" s="51"/>
      <c r="AC430" s="169"/>
    </row>
    <row r="431" spans="1:29" ht="15" hidden="1" customHeight="1">
      <c r="A431" s="62" t="s">
        <v>1244</v>
      </c>
      <c r="B431" s="43" t="s">
        <v>1951</v>
      </c>
      <c r="C431" s="179" t="s">
        <v>27</v>
      </c>
      <c r="D431" s="180" t="s">
        <v>4220</v>
      </c>
      <c r="E431" s="62" t="s">
        <v>17</v>
      </c>
      <c r="F431" s="53">
        <v>2510990</v>
      </c>
      <c r="G431" s="51"/>
      <c r="H431" s="51" t="s">
        <v>20</v>
      </c>
      <c r="I431" s="43" t="s">
        <v>21</v>
      </c>
      <c r="J431" s="44" t="s">
        <v>3674</v>
      </c>
      <c r="K431" s="51" t="s">
        <v>337</v>
      </c>
      <c r="L431" s="51" t="s">
        <v>211</v>
      </c>
      <c r="M431" s="62" t="s">
        <v>22</v>
      </c>
      <c r="N431" s="62" t="s">
        <v>22</v>
      </c>
      <c r="O431" s="62" t="s">
        <v>3639</v>
      </c>
      <c r="P431" s="62"/>
      <c r="Q431" s="62"/>
      <c r="R431" s="51"/>
      <c r="S431" s="51"/>
      <c r="T431" s="51"/>
      <c r="U431" s="52"/>
      <c r="V431" s="52"/>
      <c r="W431" s="52"/>
      <c r="X431" s="78"/>
      <c r="Y431" s="45" t="s">
        <v>27</v>
      </c>
      <c r="Z431" s="45" t="s">
        <v>27</v>
      </c>
      <c r="AA431" s="51" t="s">
        <v>27</v>
      </c>
      <c r="AB431" s="51"/>
      <c r="AC431" s="169"/>
    </row>
    <row r="432" spans="1:29" ht="15" hidden="1" customHeight="1">
      <c r="A432" s="62" t="s">
        <v>1244</v>
      </c>
      <c r="B432" s="43" t="s">
        <v>423</v>
      </c>
      <c r="C432" s="179" t="s">
        <v>27</v>
      </c>
      <c r="D432" s="180" t="s">
        <v>4219</v>
      </c>
      <c r="E432" s="62" t="s">
        <v>17</v>
      </c>
      <c r="F432" s="53">
        <v>2510450</v>
      </c>
      <c r="G432" s="51"/>
      <c r="H432" s="51" t="s">
        <v>20</v>
      </c>
      <c r="I432" s="43" t="s">
        <v>21</v>
      </c>
      <c r="J432" s="44" t="s">
        <v>3675</v>
      </c>
      <c r="K432" s="51" t="s">
        <v>337</v>
      </c>
      <c r="L432" s="51" t="s">
        <v>2351</v>
      </c>
      <c r="M432" s="62" t="s">
        <v>22</v>
      </c>
      <c r="N432" s="62" t="s">
        <v>22</v>
      </c>
      <c r="O432" s="62" t="s">
        <v>22</v>
      </c>
      <c r="P432" s="62"/>
      <c r="Q432" s="62"/>
      <c r="R432" s="51"/>
      <c r="S432" s="51"/>
      <c r="T432" s="51"/>
      <c r="U432" s="52"/>
      <c r="V432" s="52"/>
      <c r="W432" s="52"/>
      <c r="X432" s="78"/>
      <c r="Y432" s="45" t="s">
        <v>27</v>
      </c>
      <c r="Z432" s="45" t="s">
        <v>27</v>
      </c>
      <c r="AA432" s="51" t="s">
        <v>27</v>
      </c>
      <c r="AB432" s="51"/>
      <c r="AC432" s="169"/>
    </row>
    <row r="433" spans="1:29" ht="15" hidden="1" customHeight="1">
      <c r="A433" s="62" t="s">
        <v>1244</v>
      </c>
      <c r="B433" s="43" t="s">
        <v>424</v>
      </c>
      <c r="C433" s="179" t="s">
        <v>27</v>
      </c>
      <c r="D433" s="180" t="s">
        <v>2658</v>
      </c>
      <c r="E433" s="62" t="s">
        <v>17</v>
      </c>
      <c r="F433" s="53">
        <v>2510464</v>
      </c>
      <c r="G433" s="51"/>
      <c r="H433" s="51" t="s">
        <v>20</v>
      </c>
      <c r="I433" s="43" t="s">
        <v>21</v>
      </c>
      <c r="J433" s="44" t="s">
        <v>3675</v>
      </c>
      <c r="K433" s="51" t="s">
        <v>337</v>
      </c>
      <c r="L433" s="51" t="s">
        <v>211</v>
      </c>
      <c r="M433" s="62" t="s">
        <v>22</v>
      </c>
      <c r="N433" s="62" t="s">
        <v>22</v>
      </c>
      <c r="O433" s="62" t="s">
        <v>22</v>
      </c>
      <c r="P433" s="62"/>
      <c r="Q433" s="62"/>
      <c r="R433" s="51"/>
      <c r="S433" s="51"/>
      <c r="T433" s="51"/>
      <c r="U433" s="52"/>
      <c r="V433" s="52"/>
      <c r="W433" s="52"/>
      <c r="X433" s="78"/>
      <c r="Y433" s="45" t="s">
        <v>27</v>
      </c>
      <c r="Z433" s="45" t="s">
        <v>27</v>
      </c>
      <c r="AA433" s="51" t="s">
        <v>27</v>
      </c>
      <c r="AB433" s="51"/>
      <c r="AC433" s="169"/>
    </row>
    <row r="434" spans="1:29" ht="15" hidden="1" customHeight="1">
      <c r="A434" s="62" t="s">
        <v>1244</v>
      </c>
      <c r="B434" s="43" t="s">
        <v>425</v>
      </c>
      <c r="C434" s="179" t="s">
        <v>27</v>
      </c>
      <c r="D434" s="180" t="s">
        <v>4221</v>
      </c>
      <c r="E434" s="62" t="s">
        <v>17</v>
      </c>
      <c r="F434" s="53">
        <v>3219923</v>
      </c>
      <c r="G434" s="51"/>
      <c r="H434" s="51" t="s">
        <v>20</v>
      </c>
      <c r="I434" s="43" t="s">
        <v>21</v>
      </c>
      <c r="J434" s="44" t="s">
        <v>3675</v>
      </c>
      <c r="K434" s="51" t="s">
        <v>337</v>
      </c>
      <c r="L434" s="51" t="s">
        <v>211</v>
      </c>
      <c r="M434" s="62" t="s">
        <v>22</v>
      </c>
      <c r="N434" s="62" t="s">
        <v>22</v>
      </c>
      <c r="O434" s="62" t="s">
        <v>22</v>
      </c>
      <c r="P434" s="62"/>
      <c r="Q434" s="62"/>
      <c r="R434" s="51"/>
      <c r="S434" s="51"/>
      <c r="T434" s="51"/>
      <c r="U434" s="52"/>
      <c r="V434" s="52"/>
      <c r="W434" s="52"/>
      <c r="X434" s="78"/>
      <c r="Y434" s="45" t="s">
        <v>27</v>
      </c>
      <c r="Z434" s="45" t="s">
        <v>27</v>
      </c>
      <c r="AA434" s="51" t="s">
        <v>27</v>
      </c>
      <c r="AB434" s="51"/>
      <c r="AC434" s="169"/>
    </row>
    <row r="435" spans="1:29" ht="15" hidden="1" customHeight="1">
      <c r="A435" s="62" t="s">
        <v>1244</v>
      </c>
      <c r="B435" s="43" t="s">
        <v>426</v>
      </c>
      <c r="C435" s="179" t="s">
        <v>27</v>
      </c>
      <c r="D435" s="180" t="s">
        <v>2658</v>
      </c>
      <c r="E435" s="62" t="s">
        <v>17</v>
      </c>
      <c r="F435" s="53">
        <v>3219935</v>
      </c>
      <c r="G435" s="51"/>
      <c r="H435" s="51" t="s">
        <v>20</v>
      </c>
      <c r="I435" s="43" t="s">
        <v>21</v>
      </c>
      <c r="J435" s="44" t="s">
        <v>3674</v>
      </c>
      <c r="K435" s="51" t="s">
        <v>337</v>
      </c>
      <c r="L435" s="51" t="s">
        <v>211</v>
      </c>
      <c r="M435" s="62" t="s">
        <v>22</v>
      </c>
      <c r="N435" s="62" t="s">
        <v>22</v>
      </c>
      <c r="O435" s="62" t="s">
        <v>22</v>
      </c>
      <c r="P435" s="62"/>
      <c r="Q435" s="62"/>
      <c r="R435" s="51"/>
      <c r="S435" s="51"/>
      <c r="T435" s="51"/>
      <c r="U435" s="52"/>
      <c r="V435" s="52"/>
      <c r="W435" s="52"/>
      <c r="X435" s="78"/>
      <c r="Y435" s="45" t="s">
        <v>27</v>
      </c>
      <c r="Z435" s="45" t="s">
        <v>27</v>
      </c>
      <c r="AA435" s="51" t="s">
        <v>27</v>
      </c>
      <c r="AB435" s="51"/>
      <c r="AC435" s="169"/>
    </row>
    <row r="436" spans="1:29" ht="15" hidden="1" customHeight="1">
      <c r="A436" s="62" t="s">
        <v>1244</v>
      </c>
      <c r="B436" s="43" t="s">
        <v>427</v>
      </c>
      <c r="C436" s="179" t="s">
        <v>27</v>
      </c>
      <c r="D436" s="180" t="s">
        <v>2761</v>
      </c>
      <c r="E436" s="62" t="s">
        <v>17</v>
      </c>
      <c r="F436" s="53">
        <v>3219988</v>
      </c>
      <c r="G436" s="51"/>
      <c r="H436" s="51" t="s">
        <v>20</v>
      </c>
      <c r="I436" s="43" t="s">
        <v>21</v>
      </c>
      <c r="J436" s="44" t="s">
        <v>3675</v>
      </c>
      <c r="K436" s="51" t="s">
        <v>337</v>
      </c>
      <c r="L436" s="51" t="s">
        <v>211</v>
      </c>
      <c r="M436" s="62" t="s">
        <v>22</v>
      </c>
      <c r="N436" s="62" t="s">
        <v>22</v>
      </c>
      <c r="O436" s="62" t="s">
        <v>3639</v>
      </c>
      <c r="P436" s="62"/>
      <c r="Q436" s="62"/>
      <c r="R436" s="51"/>
      <c r="S436" s="51"/>
      <c r="T436" s="51"/>
      <c r="U436" s="52"/>
      <c r="V436" s="52"/>
      <c r="W436" s="52"/>
      <c r="X436" s="78"/>
      <c r="Y436" s="45" t="s">
        <v>27</v>
      </c>
      <c r="Z436" s="45" t="s">
        <v>27</v>
      </c>
      <c r="AA436" s="51" t="s">
        <v>27</v>
      </c>
      <c r="AB436" s="51"/>
      <c r="AC436" s="169"/>
    </row>
    <row r="437" spans="1:29" ht="15" hidden="1" customHeight="1">
      <c r="A437" s="62" t="s">
        <v>1244</v>
      </c>
      <c r="B437" s="43" t="s">
        <v>428</v>
      </c>
      <c r="C437" s="179" t="s">
        <v>27</v>
      </c>
      <c r="D437" s="180" t="s">
        <v>2658</v>
      </c>
      <c r="E437" s="62" t="s">
        <v>17</v>
      </c>
      <c r="F437" s="53">
        <v>3219860</v>
      </c>
      <c r="G437" s="51"/>
      <c r="H437" s="51" t="s">
        <v>20</v>
      </c>
      <c r="I437" s="43" t="s">
        <v>21</v>
      </c>
      <c r="J437" s="44" t="s">
        <v>3675</v>
      </c>
      <c r="K437" s="51" t="s">
        <v>337</v>
      </c>
      <c r="L437" s="51" t="s">
        <v>211</v>
      </c>
      <c r="M437" s="62" t="s">
        <v>22</v>
      </c>
      <c r="N437" s="62" t="s">
        <v>22</v>
      </c>
      <c r="O437" s="62" t="s">
        <v>3639</v>
      </c>
      <c r="P437" s="62"/>
      <c r="Q437" s="62"/>
      <c r="R437" s="51"/>
      <c r="S437" s="51"/>
      <c r="T437" s="51"/>
      <c r="U437" s="52"/>
      <c r="V437" s="52"/>
      <c r="W437" s="52"/>
      <c r="X437" s="78"/>
      <c r="Y437" s="45" t="s">
        <v>27</v>
      </c>
      <c r="Z437" s="45" t="s">
        <v>27</v>
      </c>
      <c r="AA437" s="51" t="s">
        <v>27</v>
      </c>
      <c r="AB437" s="51"/>
      <c r="AC437" s="169"/>
    </row>
    <row r="438" spans="1:29" ht="15" hidden="1" customHeight="1">
      <c r="A438" s="62" t="s">
        <v>1244</v>
      </c>
      <c r="B438" s="43" t="s">
        <v>429</v>
      </c>
      <c r="C438" s="179" t="s">
        <v>27</v>
      </c>
      <c r="D438" s="180" t="s">
        <v>2658</v>
      </c>
      <c r="E438" s="62" t="s">
        <v>17</v>
      </c>
      <c r="F438" s="53">
        <v>3219878</v>
      </c>
      <c r="G438" s="51"/>
      <c r="H438" s="51" t="s">
        <v>20</v>
      </c>
      <c r="I438" s="43" t="s">
        <v>21</v>
      </c>
      <c r="J438" s="44" t="s">
        <v>3674</v>
      </c>
      <c r="K438" s="51" t="s">
        <v>337</v>
      </c>
      <c r="L438" s="51" t="s">
        <v>211</v>
      </c>
      <c r="M438" s="62" t="s">
        <v>22</v>
      </c>
      <c r="N438" s="62" t="s">
        <v>22</v>
      </c>
      <c r="O438" s="62" t="s">
        <v>22</v>
      </c>
      <c r="P438" s="62"/>
      <c r="Q438" s="62"/>
      <c r="R438" s="51"/>
      <c r="S438" s="51"/>
      <c r="T438" s="51"/>
      <c r="U438" s="52"/>
      <c r="V438" s="52"/>
      <c r="W438" s="52"/>
      <c r="X438" s="78"/>
      <c r="Y438" s="45" t="s">
        <v>27</v>
      </c>
      <c r="Z438" s="45" t="s">
        <v>27</v>
      </c>
      <c r="AA438" s="51" t="s">
        <v>27</v>
      </c>
      <c r="AB438" s="51"/>
      <c r="AC438" s="169"/>
    </row>
    <row r="439" spans="1:29" ht="15" hidden="1" customHeight="1">
      <c r="A439" s="62" t="s">
        <v>1244</v>
      </c>
      <c r="B439" s="43" t="s">
        <v>430</v>
      </c>
      <c r="C439" s="179" t="s">
        <v>27</v>
      </c>
      <c r="D439" s="180" t="s">
        <v>4221</v>
      </c>
      <c r="E439" s="62" t="s">
        <v>17</v>
      </c>
      <c r="F439" s="53">
        <v>3220046</v>
      </c>
      <c r="G439" s="51"/>
      <c r="H439" s="51" t="s">
        <v>20</v>
      </c>
      <c r="I439" s="43" t="s">
        <v>21</v>
      </c>
      <c r="J439" s="44" t="s">
        <v>3675</v>
      </c>
      <c r="K439" s="51" t="s">
        <v>61</v>
      </c>
      <c r="L439" s="51" t="s">
        <v>211</v>
      </c>
      <c r="M439" s="62" t="s">
        <v>22</v>
      </c>
      <c r="N439" s="62" t="s">
        <v>22</v>
      </c>
      <c r="O439" s="62" t="s">
        <v>22</v>
      </c>
      <c r="P439" s="62"/>
      <c r="Q439" s="62"/>
      <c r="R439" s="51"/>
      <c r="S439" s="51"/>
      <c r="T439" s="51"/>
      <c r="U439" s="52"/>
      <c r="V439" s="52"/>
      <c r="W439" s="52"/>
      <c r="X439" s="78"/>
      <c r="Y439" s="45" t="s">
        <v>27</v>
      </c>
      <c r="Z439" s="45" t="s">
        <v>27</v>
      </c>
      <c r="AA439" s="51" t="s">
        <v>27</v>
      </c>
      <c r="AB439" s="51"/>
      <c r="AC439" s="169"/>
    </row>
    <row r="440" spans="1:29" ht="15" hidden="1" customHeight="1">
      <c r="A440" s="62" t="s">
        <v>1244</v>
      </c>
      <c r="B440" s="43" t="s">
        <v>432</v>
      </c>
      <c r="C440" s="179" t="s">
        <v>27</v>
      </c>
      <c r="D440" s="180" t="s">
        <v>4219</v>
      </c>
      <c r="E440" s="62" t="s">
        <v>17</v>
      </c>
      <c r="F440" s="53">
        <v>3220059</v>
      </c>
      <c r="G440" s="51"/>
      <c r="H440" s="51" t="s">
        <v>20</v>
      </c>
      <c r="I440" s="43" t="s">
        <v>21</v>
      </c>
      <c r="J440" s="44" t="s">
        <v>3675</v>
      </c>
      <c r="K440" s="51" t="s">
        <v>337</v>
      </c>
      <c r="L440" s="51" t="s">
        <v>2351</v>
      </c>
      <c r="M440" s="62" t="s">
        <v>22</v>
      </c>
      <c r="N440" s="62" t="s">
        <v>22</v>
      </c>
      <c r="O440" s="62" t="s">
        <v>22</v>
      </c>
      <c r="P440" s="62"/>
      <c r="Q440" s="62"/>
      <c r="R440" s="51"/>
      <c r="S440" s="51"/>
      <c r="T440" s="51"/>
      <c r="U440" s="52"/>
      <c r="V440" s="52"/>
      <c r="W440" s="52"/>
      <c r="X440" s="78"/>
      <c r="Y440" s="45" t="s">
        <v>27</v>
      </c>
      <c r="Z440" s="45" t="s">
        <v>27</v>
      </c>
      <c r="AA440" s="51" t="s">
        <v>27</v>
      </c>
      <c r="AB440" s="51"/>
      <c r="AC440" s="169"/>
    </row>
    <row r="441" spans="1:29" ht="15" hidden="1" customHeight="1">
      <c r="A441" s="62" t="s">
        <v>1244</v>
      </c>
      <c r="B441" s="43" t="s">
        <v>431</v>
      </c>
      <c r="C441" s="179" t="s">
        <v>27</v>
      </c>
      <c r="D441" s="180" t="s">
        <v>2658</v>
      </c>
      <c r="E441" s="62" t="s">
        <v>17</v>
      </c>
      <c r="F441" s="53">
        <v>3219884</v>
      </c>
      <c r="G441" s="51"/>
      <c r="H441" s="51" t="s">
        <v>20</v>
      </c>
      <c r="I441" s="43" t="s">
        <v>21</v>
      </c>
      <c r="J441" s="51" t="s">
        <v>3645</v>
      </c>
      <c r="K441" s="51" t="s">
        <v>3650</v>
      </c>
      <c r="L441" s="51" t="s">
        <v>211</v>
      </c>
      <c r="M441" s="62" t="s">
        <v>22</v>
      </c>
      <c r="N441" s="62" t="s">
        <v>27</v>
      </c>
      <c r="O441" s="62" t="s">
        <v>22</v>
      </c>
      <c r="P441" s="62"/>
      <c r="Q441" s="62"/>
      <c r="R441" s="51"/>
      <c r="S441" s="51"/>
      <c r="T441" s="51"/>
      <c r="U441" s="52"/>
      <c r="V441" s="52"/>
      <c r="W441" s="52"/>
      <c r="X441" s="78"/>
      <c r="Y441" s="45" t="s">
        <v>27</v>
      </c>
      <c r="Z441" s="45" t="s">
        <v>27</v>
      </c>
      <c r="AA441" s="51" t="s">
        <v>27</v>
      </c>
      <c r="AB441" s="51"/>
      <c r="AC441" s="169"/>
    </row>
    <row r="442" spans="1:29" ht="15" hidden="1" customHeight="1">
      <c r="A442" s="62" t="s">
        <v>1244</v>
      </c>
      <c r="B442" s="43" t="s">
        <v>1952</v>
      </c>
      <c r="C442" s="179" t="s">
        <v>27</v>
      </c>
      <c r="D442" s="180" t="s">
        <v>2761</v>
      </c>
      <c r="E442" s="62" t="s">
        <v>17</v>
      </c>
      <c r="F442" s="53">
        <v>3219970</v>
      </c>
      <c r="G442" s="51"/>
      <c r="H442" s="51" t="s">
        <v>20</v>
      </c>
      <c r="I442" s="43" t="s">
        <v>21</v>
      </c>
      <c r="J442" s="44" t="s">
        <v>3675</v>
      </c>
      <c r="K442" s="51" t="s">
        <v>337</v>
      </c>
      <c r="L442" s="51" t="s">
        <v>211</v>
      </c>
      <c r="M442" s="62" t="s">
        <v>22</v>
      </c>
      <c r="N442" s="62" t="s">
        <v>22</v>
      </c>
      <c r="O442" s="62" t="s">
        <v>3639</v>
      </c>
      <c r="P442" s="62"/>
      <c r="Q442" s="62"/>
      <c r="R442" s="51"/>
      <c r="S442" s="51"/>
      <c r="T442" s="51"/>
      <c r="U442" s="52"/>
      <c r="V442" s="52"/>
      <c r="W442" s="52"/>
      <c r="X442" s="78"/>
      <c r="Y442" s="45" t="s">
        <v>27</v>
      </c>
      <c r="Z442" s="45" t="s">
        <v>27</v>
      </c>
      <c r="AA442" s="51" t="s">
        <v>27</v>
      </c>
      <c r="AB442" s="51"/>
      <c r="AC442" s="169"/>
    </row>
    <row r="443" spans="1:29" ht="15" hidden="1" customHeight="1">
      <c r="A443" s="62" t="s">
        <v>1244</v>
      </c>
      <c r="B443" s="43" t="s">
        <v>1953</v>
      </c>
      <c r="C443" s="179" t="s">
        <v>27</v>
      </c>
      <c r="D443" s="180" t="s">
        <v>4219</v>
      </c>
      <c r="E443" s="62" t="s">
        <v>17</v>
      </c>
      <c r="F443" s="53">
        <v>3219891</v>
      </c>
      <c r="G443" s="51"/>
      <c r="H443" s="51" t="s">
        <v>20</v>
      </c>
      <c r="I443" s="43" t="s">
        <v>21</v>
      </c>
      <c r="J443" s="44" t="s">
        <v>3675</v>
      </c>
      <c r="K443" s="51" t="s">
        <v>337</v>
      </c>
      <c r="L443" s="51" t="s">
        <v>211</v>
      </c>
      <c r="M443" s="62" t="s">
        <v>22</v>
      </c>
      <c r="N443" s="62" t="s">
        <v>22</v>
      </c>
      <c r="O443" s="62" t="s">
        <v>22</v>
      </c>
      <c r="P443" s="62"/>
      <c r="Q443" s="62"/>
      <c r="R443" s="51"/>
      <c r="S443" s="51"/>
      <c r="T443" s="51"/>
      <c r="U443" s="52"/>
      <c r="V443" s="52"/>
      <c r="W443" s="52"/>
      <c r="X443" s="78"/>
      <c r="Y443" s="45" t="s">
        <v>27</v>
      </c>
      <c r="Z443" s="45" t="s">
        <v>27</v>
      </c>
      <c r="AA443" s="51" t="s">
        <v>27</v>
      </c>
      <c r="AB443" s="51"/>
      <c r="AC443" s="169"/>
    </row>
    <row r="444" spans="1:29" ht="15" hidden="1" customHeight="1">
      <c r="A444" s="62" t="s">
        <v>1244</v>
      </c>
      <c r="B444" s="43" t="s">
        <v>1954</v>
      </c>
      <c r="C444" s="179" t="s">
        <v>27</v>
      </c>
      <c r="D444" s="180" t="s">
        <v>2658</v>
      </c>
      <c r="E444" s="62" t="s">
        <v>17</v>
      </c>
      <c r="F444" s="53">
        <v>3219919</v>
      </c>
      <c r="G444" s="51"/>
      <c r="H444" s="51" t="s">
        <v>20</v>
      </c>
      <c r="I444" s="43" t="s">
        <v>21</v>
      </c>
      <c r="J444" s="51" t="s">
        <v>3645</v>
      </c>
      <c r="K444" s="51" t="s">
        <v>206</v>
      </c>
      <c r="L444" s="51" t="s">
        <v>211</v>
      </c>
      <c r="M444" s="62" t="s">
        <v>22</v>
      </c>
      <c r="N444" s="62" t="s">
        <v>27</v>
      </c>
      <c r="O444" s="62" t="s">
        <v>22</v>
      </c>
      <c r="P444" s="62"/>
      <c r="Q444" s="62"/>
      <c r="R444" s="51"/>
      <c r="S444" s="51"/>
      <c r="T444" s="51"/>
      <c r="U444" s="52"/>
      <c r="V444" s="52"/>
      <c r="W444" s="52"/>
      <c r="X444" s="78"/>
      <c r="Y444" s="45" t="s">
        <v>27</v>
      </c>
      <c r="Z444" s="45" t="s">
        <v>27</v>
      </c>
      <c r="AA444" s="51" t="s">
        <v>27</v>
      </c>
      <c r="AB444" s="51"/>
      <c r="AC444" s="169"/>
    </row>
    <row r="445" spans="1:29" ht="15" hidden="1" customHeight="1">
      <c r="A445" s="62" t="s">
        <v>1244</v>
      </c>
      <c r="B445" s="43" t="s">
        <v>1955</v>
      </c>
      <c r="C445" s="179" t="s">
        <v>27</v>
      </c>
      <c r="D445" s="180" t="s">
        <v>2761</v>
      </c>
      <c r="E445" s="62" t="s">
        <v>17</v>
      </c>
      <c r="F445" s="53">
        <v>3219938</v>
      </c>
      <c r="G445" s="51"/>
      <c r="H445" s="51" t="s">
        <v>20</v>
      </c>
      <c r="I445" s="43" t="s">
        <v>21</v>
      </c>
      <c r="J445" s="44" t="s">
        <v>3675</v>
      </c>
      <c r="K445" s="51" t="s">
        <v>337</v>
      </c>
      <c r="L445" s="51" t="s">
        <v>211</v>
      </c>
      <c r="M445" s="62" t="s">
        <v>22</v>
      </c>
      <c r="N445" s="62" t="s">
        <v>22</v>
      </c>
      <c r="O445" s="62" t="s">
        <v>22</v>
      </c>
      <c r="P445" s="62"/>
      <c r="Q445" s="62"/>
      <c r="R445" s="51"/>
      <c r="S445" s="51"/>
      <c r="T445" s="51"/>
      <c r="U445" s="52"/>
      <c r="V445" s="52"/>
      <c r="W445" s="52"/>
      <c r="X445" s="78"/>
      <c r="Y445" s="45" t="s">
        <v>27</v>
      </c>
      <c r="Z445" s="45" t="s">
        <v>27</v>
      </c>
      <c r="AA445" s="51" t="s">
        <v>27</v>
      </c>
      <c r="AB445" s="51"/>
      <c r="AC445" s="169"/>
    </row>
    <row r="446" spans="1:29" ht="15" hidden="1" customHeight="1">
      <c r="A446" s="62" t="s">
        <v>1244</v>
      </c>
      <c r="B446" s="43" t="s">
        <v>1956</v>
      </c>
      <c r="C446" s="179" t="s">
        <v>27</v>
      </c>
      <c r="D446" s="180" t="s">
        <v>2761</v>
      </c>
      <c r="E446" s="62" t="s">
        <v>17</v>
      </c>
      <c r="F446" s="53">
        <v>3220093</v>
      </c>
      <c r="G446" s="51"/>
      <c r="H446" s="51" t="s">
        <v>20</v>
      </c>
      <c r="I446" s="43" t="s">
        <v>21</v>
      </c>
      <c r="J446" s="44" t="s">
        <v>3675</v>
      </c>
      <c r="K446" s="51" t="s">
        <v>337</v>
      </c>
      <c r="L446" s="51" t="s">
        <v>211</v>
      </c>
      <c r="M446" s="62" t="s">
        <v>22</v>
      </c>
      <c r="N446" s="62" t="s">
        <v>22</v>
      </c>
      <c r="O446" s="62" t="s">
        <v>3639</v>
      </c>
      <c r="P446" s="62"/>
      <c r="Q446" s="62"/>
      <c r="R446" s="51"/>
      <c r="S446" s="51"/>
      <c r="T446" s="51"/>
      <c r="U446" s="52"/>
      <c r="V446" s="52"/>
      <c r="W446" s="52"/>
      <c r="X446" s="78"/>
      <c r="Y446" s="45" t="s">
        <v>27</v>
      </c>
      <c r="Z446" s="45" t="s">
        <v>27</v>
      </c>
      <c r="AA446" s="51" t="s">
        <v>27</v>
      </c>
      <c r="AB446" s="51"/>
      <c r="AC446" s="169"/>
    </row>
    <row r="447" spans="1:29" ht="15" hidden="1" customHeight="1">
      <c r="A447" s="62" t="s">
        <v>1244</v>
      </c>
      <c r="B447" s="43" t="s">
        <v>1957</v>
      </c>
      <c r="C447" s="179" t="s">
        <v>27</v>
      </c>
      <c r="D447" s="180" t="s">
        <v>2658</v>
      </c>
      <c r="E447" s="62" t="s">
        <v>17</v>
      </c>
      <c r="F447" s="53">
        <v>3220292</v>
      </c>
      <c r="G447" s="51"/>
      <c r="H447" s="51" t="s">
        <v>20</v>
      </c>
      <c r="I447" s="43" t="s">
        <v>21</v>
      </c>
      <c r="J447" s="44" t="s">
        <v>3675</v>
      </c>
      <c r="K447" s="51" t="s">
        <v>61</v>
      </c>
      <c r="L447" s="51" t="s">
        <v>211</v>
      </c>
      <c r="M447" s="62" t="s">
        <v>22</v>
      </c>
      <c r="N447" s="62" t="s">
        <v>22</v>
      </c>
      <c r="O447" s="62" t="s">
        <v>22</v>
      </c>
      <c r="P447" s="62"/>
      <c r="Q447" s="62"/>
      <c r="R447" s="51"/>
      <c r="S447" s="51"/>
      <c r="T447" s="51"/>
      <c r="U447" s="52"/>
      <c r="V447" s="52"/>
      <c r="W447" s="52"/>
      <c r="X447" s="78"/>
      <c r="Y447" s="45" t="s">
        <v>27</v>
      </c>
      <c r="Z447" s="45" t="s">
        <v>27</v>
      </c>
      <c r="AA447" s="51" t="s">
        <v>27</v>
      </c>
      <c r="AB447" s="51"/>
      <c r="AC447" s="169"/>
    </row>
    <row r="448" spans="1:29" ht="15" hidden="1" customHeight="1">
      <c r="A448" s="62" t="s">
        <v>1244</v>
      </c>
      <c r="B448" s="43" t="s">
        <v>1958</v>
      </c>
      <c r="C448" s="179" t="s">
        <v>27</v>
      </c>
      <c r="D448" s="180" t="s">
        <v>4221</v>
      </c>
      <c r="E448" s="62" t="s">
        <v>17</v>
      </c>
      <c r="F448" s="53">
        <v>3220092</v>
      </c>
      <c r="G448" s="51"/>
      <c r="H448" s="51" t="s">
        <v>20</v>
      </c>
      <c r="I448" s="43" t="s">
        <v>21</v>
      </c>
      <c r="J448" s="44" t="s">
        <v>3674</v>
      </c>
      <c r="K448" s="51" t="s">
        <v>33</v>
      </c>
      <c r="L448" s="51" t="s">
        <v>211</v>
      </c>
      <c r="M448" s="62" t="s">
        <v>22</v>
      </c>
      <c r="N448" s="62" t="s">
        <v>22</v>
      </c>
      <c r="O448" s="62" t="s">
        <v>22</v>
      </c>
      <c r="P448" s="62"/>
      <c r="Q448" s="62"/>
      <c r="R448" s="51"/>
      <c r="S448" s="51"/>
      <c r="T448" s="51"/>
      <c r="U448" s="52"/>
      <c r="V448" s="52"/>
      <c r="W448" s="52"/>
      <c r="X448" s="78"/>
      <c r="Y448" s="45" t="s">
        <v>27</v>
      </c>
      <c r="Z448" s="45" t="s">
        <v>27</v>
      </c>
      <c r="AA448" s="51" t="s">
        <v>27</v>
      </c>
      <c r="AB448" s="51"/>
      <c r="AC448" s="169"/>
    </row>
    <row r="449" spans="1:29" ht="15" hidden="1" customHeight="1">
      <c r="A449" s="62" t="s">
        <v>1244</v>
      </c>
      <c r="B449" s="43" t="s">
        <v>1959</v>
      </c>
      <c r="C449" s="179" t="s">
        <v>27</v>
      </c>
      <c r="D449" s="180" t="s">
        <v>2658</v>
      </c>
      <c r="E449" s="62" t="s">
        <v>17</v>
      </c>
      <c r="F449" s="53">
        <v>3220178</v>
      </c>
      <c r="G449" s="51"/>
      <c r="H449" s="51" t="s">
        <v>20</v>
      </c>
      <c r="I449" s="43" t="s">
        <v>21</v>
      </c>
      <c r="J449" s="44" t="s">
        <v>3674</v>
      </c>
      <c r="K449" s="51" t="s">
        <v>337</v>
      </c>
      <c r="L449" s="51" t="s">
        <v>211</v>
      </c>
      <c r="M449" s="62" t="s">
        <v>22</v>
      </c>
      <c r="N449" s="62" t="s">
        <v>22</v>
      </c>
      <c r="O449" s="62" t="s">
        <v>22</v>
      </c>
      <c r="P449" s="62"/>
      <c r="Q449" s="62"/>
      <c r="R449" s="51"/>
      <c r="S449" s="51"/>
      <c r="T449" s="51"/>
      <c r="U449" s="52"/>
      <c r="V449" s="52"/>
      <c r="W449" s="52"/>
      <c r="X449" s="78"/>
      <c r="Y449" s="45" t="s">
        <v>27</v>
      </c>
      <c r="Z449" s="45" t="s">
        <v>27</v>
      </c>
      <c r="AA449" s="51" t="s">
        <v>27</v>
      </c>
      <c r="AB449" s="51"/>
      <c r="AC449" s="169"/>
    </row>
    <row r="450" spans="1:29" ht="15" hidden="1" customHeight="1">
      <c r="A450" s="62" t="s">
        <v>1244</v>
      </c>
      <c r="B450" s="43" t="s">
        <v>1960</v>
      </c>
      <c r="C450" s="179" t="s">
        <v>27</v>
      </c>
      <c r="D450" s="180" t="s">
        <v>4221</v>
      </c>
      <c r="E450" s="62" t="s">
        <v>17</v>
      </c>
      <c r="F450" s="53">
        <v>3220085</v>
      </c>
      <c r="G450" s="51"/>
      <c r="H450" s="51" t="s">
        <v>20</v>
      </c>
      <c r="I450" s="43" t="s">
        <v>21</v>
      </c>
      <c r="J450" s="44" t="s">
        <v>3674</v>
      </c>
      <c r="K450" s="51" t="s">
        <v>33</v>
      </c>
      <c r="L450" s="51" t="s">
        <v>211</v>
      </c>
      <c r="M450" s="62" t="s">
        <v>22</v>
      </c>
      <c r="N450" s="62" t="s">
        <v>22</v>
      </c>
      <c r="O450" s="62" t="s">
        <v>22</v>
      </c>
      <c r="P450" s="62"/>
      <c r="Q450" s="62"/>
      <c r="R450" s="51"/>
      <c r="S450" s="51"/>
      <c r="T450" s="51"/>
      <c r="U450" s="52"/>
      <c r="V450" s="52"/>
      <c r="W450" s="52"/>
      <c r="X450" s="78"/>
      <c r="Y450" s="45" t="s">
        <v>27</v>
      </c>
      <c r="Z450" s="45" t="s">
        <v>27</v>
      </c>
      <c r="AA450" s="51" t="s">
        <v>27</v>
      </c>
      <c r="AB450" s="51"/>
      <c r="AC450" s="169"/>
    </row>
    <row r="451" spans="1:29" ht="15" hidden="1" customHeight="1">
      <c r="A451" s="62" t="s">
        <v>1244</v>
      </c>
      <c r="B451" s="43" t="s">
        <v>1961</v>
      </c>
      <c r="C451" s="179" t="s">
        <v>27</v>
      </c>
      <c r="D451" s="180" t="s">
        <v>2761</v>
      </c>
      <c r="E451" s="62" t="s">
        <v>17</v>
      </c>
      <c r="F451" s="53">
        <v>3299726</v>
      </c>
      <c r="G451" s="51"/>
      <c r="H451" s="51" t="s">
        <v>20</v>
      </c>
      <c r="I451" s="43" t="s">
        <v>21</v>
      </c>
      <c r="J451" s="44" t="s">
        <v>3675</v>
      </c>
      <c r="K451" s="51" t="s">
        <v>33</v>
      </c>
      <c r="L451" s="51" t="s">
        <v>211</v>
      </c>
      <c r="M451" s="62" t="s">
        <v>22</v>
      </c>
      <c r="N451" s="62" t="s">
        <v>22</v>
      </c>
      <c r="O451" s="62" t="s">
        <v>22</v>
      </c>
      <c r="P451" s="62"/>
      <c r="Q451" s="62"/>
      <c r="R451" s="51"/>
      <c r="S451" s="51"/>
      <c r="T451" s="51"/>
      <c r="U451" s="52"/>
      <c r="V451" s="52"/>
      <c r="W451" s="52"/>
      <c r="X451" s="78"/>
      <c r="Y451" s="45" t="s">
        <v>27</v>
      </c>
      <c r="Z451" s="45" t="s">
        <v>27</v>
      </c>
      <c r="AA451" s="51" t="s">
        <v>27</v>
      </c>
      <c r="AB451" s="51"/>
      <c r="AC451" s="169"/>
    </row>
    <row r="452" spans="1:29" ht="15" hidden="1" customHeight="1">
      <c r="A452" s="62" t="s">
        <v>1244</v>
      </c>
      <c r="B452" s="43" t="s">
        <v>1962</v>
      </c>
      <c r="C452" s="179" t="s">
        <v>27</v>
      </c>
      <c r="D452" s="180" t="s">
        <v>4219</v>
      </c>
      <c r="E452" s="62" t="s">
        <v>17</v>
      </c>
      <c r="F452" s="53">
        <v>3299340</v>
      </c>
      <c r="G452" s="51"/>
      <c r="H452" s="51" t="s">
        <v>20</v>
      </c>
      <c r="I452" s="43" t="s">
        <v>21</v>
      </c>
      <c r="J452" s="44" t="s">
        <v>3675</v>
      </c>
      <c r="K452" s="51" t="s">
        <v>337</v>
      </c>
      <c r="L452" s="51" t="s">
        <v>211</v>
      </c>
      <c r="M452" s="62" t="s">
        <v>22</v>
      </c>
      <c r="N452" s="62" t="s">
        <v>22</v>
      </c>
      <c r="O452" s="62" t="s">
        <v>22</v>
      </c>
      <c r="P452" s="62"/>
      <c r="Q452" s="62"/>
      <c r="R452" s="51"/>
      <c r="S452" s="51"/>
      <c r="T452" s="51"/>
      <c r="U452" s="52"/>
      <c r="V452" s="52"/>
      <c r="W452" s="52"/>
      <c r="X452" s="78"/>
      <c r="Y452" s="45" t="s">
        <v>27</v>
      </c>
      <c r="Z452" s="45" t="s">
        <v>27</v>
      </c>
      <c r="AA452" s="51" t="s">
        <v>27</v>
      </c>
      <c r="AB452" s="51"/>
      <c r="AC452" s="169"/>
    </row>
    <row r="453" spans="1:29" ht="15" hidden="1" customHeight="1">
      <c r="A453" s="62" t="s">
        <v>1244</v>
      </c>
      <c r="B453" s="43" t="s">
        <v>1963</v>
      </c>
      <c r="C453" s="179" t="s">
        <v>27</v>
      </c>
      <c r="D453" s="180" t="s">
        <v>2761</v>
      </c>
      <c r="E453" s="62" t="s">
        <v>17</v>
      </c>
      <c r="F453" s="53">
        <v>3299437</v>
      </c>
      <c r="G453" s="51"/>
      <c r="H453" s="51" t="s">
        <v>20</v>
      </c>
      <c r="I453" s="43" t="s">
        <v>21</v>
      </c>
      <c r="J453" s="44" t="s">
        <v>3675</v>
      </c>
      <c r="K453" s="51" t="s">
        <v>337</v>
      </c>
      <c r="L453" s="51" t="s">
        <v>211</v>
      </c>
      <c r="M453" s="62" t="s">
        <v>22</v>
      </c>
      <c r="N453" s="62" t="s">
        <v>22</v>
      </c>
      <c r="O453" s="62" t="s">
        <v>22</v>
      </c>
      <c r="P453" s="62"/>
      <c r="Q453" s="62"/>
      <c r="R453" s="51"/>
      <c r="S453" s="51"/>
      <c r="T453" s="51"/>
      <c r="U453" s="52"/>
      <c r="V453" s="52"/>
      <c r="W453" s="52"/>
      <c r="X453" s="78"/>
      <c r="Y453" s="45" t="s">
        <v>27</v>
      </c>
      <c r="Z453" s="45" t="s">
        <v>27</v>
      </c>
      <c r="AA453" s="51" t="s">
        <v>27</v>
      </c>
      <c r="AB453" s="51"/>
      <c r="AC453" s="169"/>
    </row>
    <row r="454" spans="1:29" ht="15" hidden="1" customHeight="1">
      <c r="A454" s="62" t="s">
        <v>1244</v>
      </c>
      <c r="B454" s="43" t="s">
        <v>1964</v>
      </c>
      <c r="C454" s="179" t="s">
        <v>27</v>
      </c>
      <c r="D454" s="180" t="s">
        <v>2658</v>
      </c>
      <c r="E454" s="62" t="s">
        <v>17</v>
      </c>
      <c r="F454" s="53">
        <v>3299802</v>
      </c>
      <c r="G454" s="51"/>
      <c r="H454" s="51" t="s">
        <v>20</v>
      </c>
      <c r="I454" s="43" t="s">
        <v>21</v>
      </c>
      <c r="J454" s="44" t="s">
        <v>3675</v>
      </c>
      <c r="K454" s="51" t="s">
        <v>61</v>
      </c>
      <c r="L454" s="51" t="s">
        <v>211</v>
      </c>
      <c r="M454" s="62" t="s">
        <v>22</v>
      </c>
      <c r="N454" s="62" t="s">
        <v>22</v>
      </c>
      <c r="O454" s="62" t="s">
        <v>22</v>
      </c>
      <c r="P454" s="62"/>
      <c r="Q454" s="62"/>
      <c r="R454" s="51"/>
      <c r="S454" s="51"/>
      <c r="T454" s="51"/>
      <c r="U454" s="52"/>
      <c r="V454" s="52"/>
      <c r="W454" s="52"/>
      <c r="X454" s="78"/>
      <c r="Y454" s="45" t="s">
        <v>27</v>
      </c>
      <c r="Z454" s="45" t="s">
        <v>27</v>
      </c>
      <c r="AA454" s="51" t="s">
        <v>27</v>
      </c>
      <c r="AB454" s="51"/>
      <c r="AC454" s="169"/>
    </row>
    <row r="455" spans="1:29" ht="15" hidden="1" customHeight="1">
      <c r="A455" s="62" t="s">
        <v>1244</v>
      </c>
      <c r="B455" s="43" t="s">
        <v>1965</v>
      </c>
      <c r="C455" s="179" t="s">
        <v>27</v>
      </c>
      <c r="D455" s="180" t="s">
        <v>4220</v>
      </c>
      <c r="E455" s="62" t="s">
        <v>17</v>
      </c>
      <c r="F455" s="53">
        <v>3299676</v>
      </c>
      <c r="G455" s="51"/>
      <c r="H455" s="51" t="s">
        <v>20</v>
      </c>
      <c r="I455" s="43" t="s">
        <v>21</v>
      </c>
      <c r="J455" s="44" t="s">
        <v>3675</v>
      </c>
      <c r="K455" s="51" t="s">
        <v>61</v>
      </c>
      <c r="L455" s="51" t="s">
        <v>211</v>
      </c>
      <c r="M455" s="62" t="s">
        <v>22</v>
      </c>
      <c r="N455" s="62" t="s">
        <v>22</v>
      </c>
      <c r="O455" s="62" t="s">
        <v>22</v>
      </c>
      <c r="P455" s="62"/>
      <c r="Q455" s="62"/>
      <c r="R455" s="51"/>
      <c r="S455" s="51"/>
      <c r="T455" s="51"/>
      <c r="U455" s="52"/>
      <c r="V455" s="52"/>
      <c r="W455" s="52"/>
      <c r="X455" s="78"/>
      <c r="Y455" s="45" t="s">
        <v>27</v>
      </c>
      <c r="Z455" s="45" t="s">
        <v>27</v>
      </c>
      <c r="AA455" s="51" t="s">
        <v>27</v>
      </c>
      <c r="AB455" s="51"/>
      <c r="AC455" s="169"/>
    </row>
    <row r="456" spans="1:29" ht="15" hidden="1" customHeight="1">
      <c r="A456" s="62" t="s">
        <v>1244</v>
      </c>
      <c r="B456" s="43" t="s">
        <v>1966</v>
      </c>
      <c r="C456" s="179" t="s">
        <v>27</v>
      </c>
      <c r="D456" s="180" t="s">
        <v>4220</v>
      </c>
      <c r="E456" s="62" t="s">
        <v>17</v>
      </c>
      <c r="F456" s="53">
        <v>3299759</v>
      </c>
      <c r="G456" s="51"/>
      <c r="H456" s="51" t="s">
        <v>20</v>
      </c>
      <c r="I456" s="43" t="s">
        <v>21</v>
      </c>
      <c r="J456" s="44" t="s">
        <v>3674</v>
      </c>
      <c r="K456" s="51" t="s">
        <v>33</v>
      </c>
      <c r="L456" s="51" t="s">
        <v>211</v>
      </c>
      <c r="M456" s="62" t="s">
        <v>22</v>
      </c>
      <c r="N456" s="62" t="s">
        <v>22</v>
      </c>
      <c r="O456" s="62" t="s">
        <v>22</v>
      </c>
      <c r="P456" s="62"/>
      <c r="Q456" s="62"/>
      <c r="R456" s="51"/>
      <c r="S456" s="51"/>
      <c r="T456" s="51"/>
      <c r="U456" s="52"/>
      <c r="V456" s="52"/>
      <c r="W456" s="52"/>
      <c r="X456" s="78"/>
      <c r="Y456" s="45" t="s">
        <v>27</v>
      </c>
      <c r="Z456" s="45" t="s">
        <v>27</v>
      </c>
      <c r="AA456" s="51" t="s">
        <v>27</v>
      </c>
      <c r="AB456" s="51"/>
      <c r="AC456" s="169"/>
    </row>
    <row r="457" spans="1:29" ht="15" hidden="1" customHeight="1">
      <c r="A457" s="62" t="s">
        <v>1244</v>
      </c>
      <c r="B457" s="43" t="s">
        <v>1967</v>
      </c>
      <c r="C457" s="179" t="s">
        <v>27</v>
      </c>
      <c r="D457" s="180" t="s">
        <v>2658</v>
      </c>
      <c r="E457" s="62" t="s">
        <v>17</v>
      </c>
      <c r="F457" s="53">
        <v>3299653</v>
      </c>
      <c r="G457" s="51"/>
      <c r="H457" s="51" t="s">
        <v>20</v>
      </c>
      <c r="I457" s="43" t="s">
        <v>21</v>
      </c>
      <c r="J457" s="44" t="s">
        <v>3674</v>
      </c>
      <c r="K457" s="51" t="s">
        <v>33</v>
      </c>
      <c r="L457" s="51" t="s">
        <v>211</v>
      </c>
      <c r="M457" s="62" t="s">
        <v>22</v>
      </c>
      <c r="N457" s="62" t="s">
        <v>22</v>
      </c>
      <c r="O457" s="62" t="s">
        <v>22</v>
      </c>
      <c r="P457" s="62"/>
      <c r="Q457" s="62"/>
      <c r="R457" s="51"/>
      <c r="S457" s="51"/>
      <c r="T457" s="51"/>
      <c r="U457" s="52"/>
      <c r="V457" s="52"/>
      <c r="W457" s="52"/>
      <c r="X457" s="78"/>
      <c r="Y457" s="45" t="s">
        <v>27</v>
      </c>
      <c r="Z457" s="45" t="s">
        <v>27</v>
      </c>
      <c r="AA457" s="51" t="s">
        <v>27</v>
      </c>
      <c r="AB457" s="51"/>
      <c r="AC457" s="169"/>
    </row>
    <row r="458" spans="1:29" ht="15" hidden="1" customHeight="1">
      <c r="A458" s="62" t="s">
        <v>1244</v>
      </c>
      <c r="B458" s="43" t="s">
        <v>1968</v>
      </c>
      <c r="C458" s="179" t="s">
        <v>27</v>
      </c>
      <c r="D458" s="180" t="s">
        <v>4220</v>
      </c>
      <c r="E458" s="62" t="s">
        <v>17</v>
      </c>
      <c r="F458" s="53">
        <v>3299409</v>
      </c>
      <c r="G458" s="51"/>
      <c r="H458" s="51" t="s">
        <v>20</v>
      </c>
      <c r="I458" s="43" t="s">
        <v>21</v>
      </c>
      <c r="J458" s="51" t="s">
        <v>3645</v>
      </c>
      <c r="K458" s="51" t="s">
        <v>206</v>
      </c>
      <c r="L458" s="51" t="s">
        <v>211</v>
      </c>
      <c r="M458" s="62" t="s">
        <v>22</v>
      </c>
      <c r="N458" s="62" t="s">
        <v>27</v>
      </c>
      <c r="O458" s="62" t="s">
        <v>3639</v>
      </c>
      <c r="P458" s="62"/>
      <c r="Q458" s="62"/>
      <c r="R458" s="51"/>
      <c r="S458" s="51"/>
      <c r="T458" s="51"/>
      <c r="U458" s="52"/>
      <c r="V458" s="52"/>
      <c r="W458" s="52"/>
      <c r="X458" s="78"/>
      <c r="Y458" s="45" t="s">
        <v>27</v>
      </c>
      <c r="Z458" s="45" t="s">
        <v>27</v>
      </c>
      <c r="AA458" s="51" t="s">
        <v>27</v>
      </c>
      <c r="AB458" s="51"/>
      <c r="AC458" s="169"/>
    </row>
    <row r="459" spans="1:29" ht="15" hidden="1" customHeight="1">
      <c r="A459" s="62" t="s">
        <v>1244</v>
      </c>
      <c r="B459" s="43" t="s">
        <v>1969</v>
      </c>
      <c r="C459" s="179" t="s">
        <v>27</v>
      </c>
      <c r="D459" s="180" t="s">
        <v>2761</v>
      </c>
      <c r="E459" s="62" t="s">
        <v>17</v>
      </c>
      <c r="F459" s="53">
        <v>3299634</v>
      </c>
      <c r="G459" s="51"/>
      <c r="H459" s="51" t="s">
        <v>20</v>
      </c>
      <c r="I459" s="43" t="s">
        <v>21</v>
      </c>
      <c r="J459" s="44" t="s">
        <v>3675</v>
      </c>
      <c r="K459" s="51" t="s">
        <v>337</v>
      </c>
      <c r="L459" s="51" t="s">
        <v>211</v>
      </c>
      <c r="M459" s="62" t="s">
        <v>22</v>
      </c>
      <c r="N459" s="62" t="s">
        <v>22</v>
      </c>
      <c r="O459" s="62" t="s">
        <v>22</v>
      </c>
      <c r="P459" s="62"/>
      <c r="Q459" s="62"/>
      <c r="R459" s="51"/>
      <c r="S459" s="51"/>
      <c r="T459" s="51"/>
      <c r="U459" s="52"/>
      <c r="V459" s="52"/>
      <c r="W459" s="52"/>
      <c r="X459" s="78"/>
      <c r="Y459" s="45" t="s">
        <v>27</v>
      </c>
      <c r="Z459" s="45" t="s">
        <v>27</v>
      </c>
      <c r="AA459" s="51" t="s">
        <v>27</v>
      </c>
      <c r="AB459" s="51"/>
      <c r="AC459" s="169"/>
    </row>
    <row r="460" spans="1:29" ht="15" hidden="1" customHeight="1">
      <c r="A460" s="62" t="s">
        <v>1244</v>
      </c>
      <c r="B460" s="43" t="s">
        <v>1970</v>
      </c>
      <c r="C460" s="179" t="s">
        <v>27</v>
      </c>
      <c r="D460" s="180" t="s">
        <v>2658</v>
      </c>
      <c r="E460" s="62" t="s">
        <v>17</v>
      </c>
      <c r="F460" s="53">
        <v>3299563</v>
      </c>
      <c r="G460" s="51"/>
      <c r="H460" s="51" t="s">
        <v>20</v>
      </c>
      <c r="I460" s="43" t="s">
        <v>21</v>
      </c>
      <c r="J460" s="51" t="s">
        <v>3645</v>
      </c>
      <c r="K460" s="51" t="s">
        <v>3650</v>
      </c>
      <c r="L460" s="51" t="s">
        <v>211</v>
      </c>
      <c r="M460" s="62" t="s">
        <v>22</v>
      </c>
      <c r="N460" s="62" t="s">
        <v>27</v>
      </c>
      <c r="O460" s="62" t="s">
        <v>22</v>
      </c>
      <c r="P460" s="62"/>
      <c r="Q460" s="62"/>
      <c r="R460" s="51"/>
      <c r="S460" s="51"/>
      <c r="T460" s="51"/>
      <c r="U460" s="52"/>
      <c r="V460" s="52"/>
      <c r="W460" s="52"/>
      <c r="X460" s="78"/>
      <c r="Y460" s="45" t="s">
        <v>27</v>
      </c>
      <c r="Z460" s="45" t="s">
        <v>27</v>
      </c>
      <c r="AA460" s="51" t="s">
        <v>27</v>
      </c>
      <c r="AB460" s="51"/>
      <c r="AC460" s="169"/>
    </row>
    <row r="461" spans="1:29" ht="15" hidden="1" customHeight="1">
      <c r="A461" s="62" t="s">
        <v>1244</v>
      </c>
      <c r="B461" s="43" t="s">
        <v>1971</v>
      </c>
      <c r="C461" s="179" t="s">
        <v>27</v>
      </c>
      <c r="D461" s="180" t="s">
        <v>2658</v>
      </c>
      <c r="E461" s="62" t="s">
        <v>17</v>
      </c>
      <c r="F461" s="53">
        <v>3299785</v>
      </c>
      <c r="G461" s="51"/>
      <c r="H461" s="51" t="s">
        <v>20</v>
      </c>
      <c r="I461" s="43" t="s">
        <v>21</v>
      </c>
      <c r="J461" s="51" t="s">
        <v>3645</v>
      </c>
      <c r="K461" s="51" t="s">
        <v>206</v>
      </c>
      <c r="L461" s="51" t="s">
        <v>211</v>
      </c>
      <c r="M461" s="62" t="s">
        <v>22</v>
      </c>
      <c r="N461" s="62" t="s">
        <v>27</v>
      </c>
      <c r="O461" s="62" t="s">
        <v>22</v>
      </c>
      <c r="P461" s="62"/>
      <c r="Q461" s="62"/>
      <c r="R461" s="51"/>
      <c r="S461" s="51"/>
      <c r="T461" s="51"/>
      <c r="U461" s="52"/>
      <c r="V461" s="52"/>
      <c r="W461" s="52"/>
      <c r="X461" s="78"/>
      <c r="Y461" s="45" t="s">
        <v>27</v>
      </c>
      <c r="Z461" s="45" t="s">
        <v>27</v>
      </c>
      <c r="AA461" s="51" t="s">
        <v>27</v>
      </c>
      <c r="AB461" s="51"/>
      <c r="AC461" s="169"/>
    </row>
    <row r="462" spans="1:29" ht="15" hidden="1" customHeight="1">
      <c r="A462" s="62" t="s">
        <v>1244</v>
      </c>
      <c r="B462" s="43" t="s">
        <v>1972</v>
      </c>
      <c r="C462" s="179" t="s">
        <v>27</v>
      </c>
      <c r="D462" s="180" t="s">
        <v>2658</v>
      </c>
      <c r="E462" s="62" t="s">
        <v>17</v>
      </c>
      <c r="F462" s="53">
        <v>2510795</v>
      </c>
      <c r="G462" s="51"/>
      <c r="H462" s="51" t="s">
        <v>20</v>
      </c>
      <c r="I462" s="43" t="s">
        <v>21</v>
      </c>
      <c r="J462" s="51" t="s">
        <v>3645</v>
      </c>
      <c r="K462" s="51" t="s">
        <v>3650</v>
      </c>
      <c r="L462" s="51" t="s">
        <v>211</v>
      </c>
      <c r="M462" s="62" t="s">
        <v>22</v>
      </c>
      <c r="N462" s="62" t="s">
        <v>27</v>
      </c>
      <c r="O462" s="62" t="s">
        <v>22</v>
      </c>
      <c r="P462" s="62"/>
      <c r="Q462" s="62"/>
      <c r="R462" s="51"/>
      <c r="S462" s="51"/>
      <c r="T462" s="51"/>
      <c r="U462" s="52"/>
      <c r="V462" s="52"/>
      <c r="W462" s="52"/>
      <c r="X462" s="78"/>
      <c r="Y462" s="45" t="s">
        <v>27</v>
      </c>
      <c r="Z462" s="45" t="s">
        <v>27</v>
      </c>
      <c r="AA462" s="51" t="s">
        <v>27</v>
      </c>
      <c r="AB462" s="51"/>
      <c r="AC462" s="169"/>
    </row>
    <row r="463" spans="1:29" ht="15" hidden="1" customHeight="1">
      <c r="A463" s="62" t="s">
        <v>1244</v>
      </c>
      <c r="B463" s="43" t="s">
        <v>1973</v>
      </c>
      <c r="C463" s="179" t="s">
        <v>27</v>
      </c>
      <c r="D463" s="180" t="s">
        <v>2658</v>
      </c>
      <c r="E463" s="62" t="s">
        <v>17</v>
      </c>
      <c r="F463" s="53">
        <v>3299831</v>
      </c>
      <c r="G463" s="51"/>
      <c r="H463" s="51" t="s">
        <v>20</v>
      </c>
      <c r="I463" s="43" t="s">
        <v>21</v>
      </c>
      <c r="J463" s="51" t="s">
        <v>876</v>
      </c>
      <c r="K463" s="51" t="s">
        <v>206</v>
      </c>
      <c r="L463" s="51" t="s">
        <v>211</v>
      </c>
      <c r="M463" s="62" t="s">
        <v>22</v>
      </c>
      <c r="N463" s="62" t="s">
        <v>27</v>
      </c>
      <c r="O463" s="62" t="s">
        <v>22</v>
      </c>
      <c r="P463" s="62"/>
      <c r="Q463" s="62"/>
      <c r="R463" s="51"/>
      <c r="S463" s="51"/>
      <c r="T463" s="51"/>
      <c r="U463" s="52"/>
      <c r="V463" s="52"/>
      <c r="W463" s="52"/>
      <c r="X463" s="78"/>
      <c r="Y463" s="45" t="s">
        <v>27</v>
      </c>
      <c r="Z463" s="45" t="s">
        <v>27</v>
      </c>
      <c r="AA463" s="51" t="s">
        <v>27</v>
      </c>
      <c r="AB463" s="51"/>
      <c r="AC463" s="169"/>
    </row>
    <row r="464" spans="1:29" ht="15" hidden="1" customHeight="1">
      <c r="A464" s="62" t="s">
        <v>1244</v>
      </c>
      <c r="B464" s="43" t="s">
        <v>1974</v>
      </c>
      <c r="C464" s="179" t="s">
        <v>27</v>
      </c>
      <c r="D464" s="180" t="s">
        <v>4221</v>
      </c>
      <c r="E464" s="62" t="s">
        <v>17</v>
      </c>
      <c r="F464" s="53">
        <v>3299452</v>
      </c>
      <c r="G464" s="51"/>
      <c r="H464" s="51" t="s">
        <v>20</v>
      </c>
      <c r="I464" s="43" t="s">
        <v>21</v>
      </c>
      <c r="J464" s="51" t="s">
        <v>876</v>
      </c>
      <c r="K464" s="51" t="s">
        <v>206</v>
      </c>
      <c r="L464" s="51" t="s">
        <v>211</v>
      </c>
      <c r="M464" s="62" t="s">
        <v>22</v>
      </c>
      <c r="N464" s="62" t="s">
        <v>27</v>
      </c>
      <c r="O464" s="62" t="s">
        <v>22</v>
      </c>
      <c r="P464" s="62"/>
      <c r="Q464" s="62"/>
      <c r="R464" s="51"/>
      <c r="S464" s="51"/>
      <c r="T464" s="51"/>
      <c r="U464" s="52"/>
      <c r="V464" s="52"/>
      <c r="W464" s="52"/>
      <c r="X464" s="78"/>
      <c r="Y464" s="45" t="s">
        <v>27</v>
      </c>
      <c r="Z464" s="45" t="s">
        <v>27</v>
      </c>
      <c r="AA464" s="51" t="s">
        <v>27</v>
      </c>
      <c r="AB464" s="51"/>
      <c r="AC464" s="169"/>
    </row>
    <row r="465" spans="1:29" ht="15" hidden="1" customHeight="1">
      <c r="A465" s="62" t="s">
        <v>1244</v>
      </c>
      <c r="B465" s="43" t="s">
        <v>1975</v>
      </c>
      <c r="C465" s="179" t="s">
        <v>27</v>
      </c>
      <c r="D465" s="180" t="s">
        <v>4219</v>
      </c>
      <c r="E465" s="62" t="s">
        <v>17</v>
      </c>
      <c r="F465" s="53">
        <v>3516395</v>
      </c>
      <c r="G465" s="51"/>
      <c r="H465" s="51" t="s">
        <v>20</v>
      </c>
      <c r="I465" s="43" t="s">
        <v>21</v>
      </c>
      <c r="J465" s="51" t="s">
        <v>3645</v>
      </c>
      <c r="K465" s="51" t="s">
        <v>206</v>
      </c>
      <c r="L465" s="51" t="s">
        <v>211</v>
      </c>
      <c r="M465" s="62" t="s">
        <v>22</v>
      </c>
      <c r="N465" s="62" t="s">
        <v>27</v>
      </c>
      <c r="O465" s="62" t="s">
        <v>22</v>
      </c>
      <c r="P465" s="62"/>
      <c r="Q465" s="62"/>
      <c r="R465" s="51"/>
      <c r="S465" s="51"/>
      <c r="T465" s="51"/>
      <c r="U465" s="52"/>
      <c r="V465" s="52"/>
      <c r="W465" s="52"/>
      <c r="X465" s="78"/>
      <c r="Y465" s="45" t="s">
        <v>27</v>
      </c>
      <c r="Z465" s="45" t="s">
        <v>27</v>
      </c>
      <c r="AA465" s="51" t="s">
        <v>27</v>
      </c>
      <c r="AB465" s="51"/>
      <c r="AC465" s="169"/>
    </row>
    <row r="466" spans="1:29" ht="15" hidden="1" customHeight="1">
      <c r="A466" s="62" t="s">
        <v>1244</v>
      </c>
      <c r="B466" s="43" t="s">
        <v>1976</v>
      </c>
      <c r="C466" s="179" t="s">
        <v>27</v>
      </c>
      <c r="D466" s="180" t="s">
        <v>4221</v>
      </c>
      <c r="E466" s="62" t="s">
        <v>17</v>
      </c>
      <c r="F466" s="53">
        <v>3219839</v>
      </c>
      <c r="G466" s="51"/>
      <c r="H466" s="51" t="s">
        <v>20</v>
      </c>
      <c r="I466" s="43" t="s">
        <v>21</v>
      </c>
      <c r="J466" s="51" t="s">
        <v>3645</v>
      </c>
      <c r="K466" s="51" t="s">
        <v>206</v>
      </c>
      <c r="L466" s="51" t="s">
        <v>211</v>
      </c>
      <c r="M466" s="62" t="s">
        <v>22</v>
      </c>
      <c r="N466" s="62" t="s">
        <v>27</v>
      </c>
      <c r="O466" s="62" t="s">
        <v>22</v>
      </c>
      <c r="P466" s="62"/>
      <c r="Q466" s="62"/>
      <c r="R466" s="51"/>
      <c r="S466" s="51"/>
      <c r="T466" s="51"/>
      <c r="U466" s="52"/>
      <c r="V466" s="52"/>
      <c r="W466" s="52"/>
      <c r="X466" s="78"/>
      <c r="Y466" s="45" t="s">
        <v>27</v>
      </c>
      <c r="Z466" s="45" t="s">
        <v>27</v>
      </c>
      <c r="AA466" s="51" t="s">
        <v>27</v>
      </c>
      <c r="AB466" s="51"/>
      <c r="AC466" s="169"/>
    </row>
    <row r="467" spans="1:29" ht="15" hidden="1" customHeight="1">
      <c r="A467" s="62" t="s">
        <v>1244</v>
      </c>
      <c r="B467" s="43" t="s">
        <v>1977</v>
      </c>
      <c r="C467" s="179" t="s">
        <v>27</v>
      </c>
      <c r="D467" s="180" t="s">
        <v>2658</v>
      </c>
      <c r="E467" s="62" t="s">
        <v>17</v>
      </c>
      <c r="F467" s="53">
        <v>3219874</v>
      </c>
      <c r="G467" s="51"/>
      <c r="H467" s="51" t="s">
        <v>20</v>
      </c>
      <c r="I467" s="43" t="s">
        <v>21</v>
      </c>
      <c r="J467" s="51" t="s">
        <v>3645</v>
      </c>
      <c r="K467" s="51" t="s">
        <v>206</v>
      </c>
      <c r="L467" s="51" t="s">
        <v>211</v>
      </c>
      <c r="M467" s="62" t="s">
        <v>22</v>
      </c>
      <c r="N467" s="62" t="s">
        <v>27</v>
      </c>
      <c r="O467" s="62" t="s">
        <v>22</v>
      </c>
      <c r="P467" s="62"/>
      <c r="Q467" s="62"/>
      <c r="R467" s="51"/>
      <c r="S467" s="51"/>
      <c r="T467" s="51"/>
      <c r="U467" s="52"/>
      <c r="V467" s="52"/>
      <c r="W467" s="52"/>
      <c r="X467" s="78"/>
      <c r="Y467" s="45" t="s">
        <v>27</v>
      </c>
      <c r="Z467" s="45" t="s">
        <v>27</v>
      </c>
      <c r="AA467" s="51" t="s">
        <v>27</v>
      </c>
      <c r="AB467" s="51"/>
      <c r="AC467" s="169"/>
    </row>
    <row r="468" spans="1:29" ht="15" hidden="1" customHeight="1">
      <c r="A468" s="62" t="s">
        <v>1244</v>
      </c>
      <c r="B468" s="43" t="s">
        <v>1978</v>
      </c>
      <c r="C468" s="179" t="s">
        <v>27</v>
      </c>
      <c r="D468" s="180" t="s">
        <v>4221</v>
      </c>
      <c r="E468" s="62" t="s">
        <v>17</v>
      </c>
      <c r="F468" s="53">
        <v>3219972</v>
      </c>
      <c r="G468" s="51"/>
      <c r="H468" s="51" t="s">
        <v>20</v>
      </c>
      <c r="I468" s="43" t="s">
        <v>21</v>
      </c>
      <c r="J468" s="51" t="s">
        <v>3645</v>
      </c>
      <c r="K468" s="51" t="s">
        <v>3650</v>
      </c>
      <c r="L468" s="51" t="s">
        <v>211</v>
      </c>
      <c r="M468" s="62" t="s">
        <v>22</v>
      </c>
      <c r="N468" s="62" t="s">
        <v>27</v>
      </c>
      <c r="O468" s="62" t="s">
        <v>22</v>
      </c>
      <c r="P468" s="62"/>
      <c r="Q468" s="62"/>
      <c r="R468" s="51"/>
      <c r="S468" s="51"/>
      <c r="T468" s="51"/>
      <c r="U468" s="52"/>
      <c r="V468" s="52"/>
      <c r="W468" s="52"/>
      <c r="X468" s="78"/>
      <c r="Y468" s="45" t="s">
        <v>27</v>
      </c>
      <c r="Z468" s="45" t="s">
        <v>27</v>
      </c>
      <c r="AA468" s="51" t="s">
        <v>27</v>
      </c>
      <c r="AB468" s="51"/>
      <c r="AC468" s="169"/>
    </row>
    <row r="469" spans="1:29" ht="15" hidden="1" customHeight="1">
      <c r="A469" s="62" t="s">
        <v>1244</v>
      </c>
      <c r="B469" s="43" t="s">
        <v>1979</v>
      </c>
      <c r="C469" s="179" t="s">
        <v>27</v>
      </c>
      <c r="D469" s="180" t="s">
        <v>4221</v>
      </c>
      <c r="E469" s="62" t="s">
        <v>17</v>
      </c>
      <c r="F469" s="53">
        <v>2794293</v>
      </c>
      <c r="G469" s="51"/>
      <c r="H469" s="51" t="s">
        <v>20</v>
      </c>
      <c r="I469" s="43" t="s">
        <v>21</v>
      </c>
      <c r="J469" s="51" t="s">
        <v>3645</v>
      </c>
      <c r="K469" s="51" t="s">
        <v>3650</v>
      </c>
      <c r="L469" s="51" t="s">
        <v>211</v>
      </c>
      <c r="M469" s="62" t="s">
        <v>22</v>
      </c>
      <c r="N469" s="62" t="s">
        <v>27</v>
      </c>
      <c r="O469" s="62" t="s">
        <v>22</v>
      </c>
      <c r="P469" s="62"/>
      <c r="Q469" s="62"/>
      <c r="R469" s="51"/>
      <c r="S469" s="51"/>
      <c r="T469" s="51"/>
      <c r="U469" s="52"/>
      <c r="V469" s="52"/>
      <c r="W469" s="52"/>
      <c r="X469" s="78"/>
      <c r="Y469" s="45" t="s">
        <v>27</v>
      </c>
      <c r="Z469" s="45" t="s">
        <v>27</v>
      </c>
      <c r="AA469" s="51" t="s">
        <v>27</v>
      </c>
      <c r="AB469" s="51"/>
      <c r="AC469" s="169"/>
    </row>
    <row r="470" spans="1:29" ht="15" hidden="1" customHeight="1">
      <c r="A470" s="62" t="s">
        <v>1244</v>
      </c>
      <c r="B470" s="43" t="s">
        <v>1980</v>
      </c>
      <c r="C470" s="179" t="s">
        <v>27</v>
      </c>
      <c r="D470" s="180" t="s">
        <v>4219</v>
      </c>
      <c r="E470" s="62" t="s">
        <v>17</v>
      </c>
      <c r="F470" s="53">
        <v>3516408</v>
      </c>
      <c r="G470" s="51"/>
      <c r="H470" s="51" t="s">
        <v>20</v>
      </c>
      <c r="I470" s="43" t="s">
        <v>21</v>
      </c>
      <c r="J470" s="51" t="s">
        <v>3645</v>
      </c>
      <c r="K470" s="51" t="s">
        <v>3650</v>
      </c>
      <c r="L470" s="51" t="s">
        <v>211</v>
      </c>
      <c r="M470" s="62" t="s">
        <v>22</v>
      </c>
      <c r="N470" s="62" t="s">
        <v>27</v>
      </c>
      <c r="O470" s="62" t="s">
        <v>22</v>
      </c>
      <c r="P470" s="62"/>
      <c r="Q470" s="62"/>
      <c r="R470" s="51"/>
      <c r="S470" s="51"/>
      <c r="T470" s="51"/>
      <c r="U470" s="52"/>
      <c r="V470" s="52"/>
      <c r="W470" s="52"/>
      <c r="X470" s="78"/>
      <c r="Y470" s="45" t="s">
        <v>27</v>
      </c>
      <c r="Z470" s="45" t="s">
        <v>27</v>
      </c>
      <c r="AA470" s="51" t="s">
        <v>27</v>
      </c>
      <c r="AB470" s="51"/>
      <c r="AC470" s="169"/>
    </row>
    <row r="471" spans="1:29" ht="15" hidden="1" customHeight="1">
      <c r="A471" s="62" t="s">
        <v>1244</v>
      </c>
      <c r="B471" s="43" t="s">
        <v>1981</v>
      </c>
      <c r="C471" s="179" t="s">
        <v>27</v>
      </c>
      <c r="D471" s="180" t="s">
        <v>2658</v>
      </c>
      <c r="E471" s="62" t="s">
        <v>17</v>
      </c>
      <c r="F471" s="53">
        <v>3516368</v>
      </c>
      <c r="G471" s="51"/>
      <c r="H471" s="51" t="s">
        <v>20</v>
      </c>
      <c r="I471" s="43" t="s">
        <v>21</v>
      </c>
      <c r="J471" s="51" t="s">
        <v>3645</v>
      </c>
      <c r="K471" s="51" t="s">
        <v>3650</v>
      </c>
      <c r="L471" s="51" t="s">
        <v>211</v>
      </c>
      <c r="M471" s="62" t="s">
        <v>22</v>
      </c>
      <c r="N471" s="62" t="s">
        <v>27</v>
      </c>
      <c r="O471" s="62" t="s">
        <v>22</v>
      </c>
      <c r="P471" s="62"/>
      <c r="Q471" s="62"/>
      <c r="R471" s="51"/>
      <c r="S471" s="51"/>
      <c r="T471" s="51"/>
      <c r="U471" s="52"/>
      <c r="V471" s="52"/>
      <c r="W471" s="52"/>
      <c r="X471" s="78"/>
      <c r="Y471" s="45" t="s">
        <v>27</v>
      </c>
      <c r="Z471" s="45" t="s">
        <v>27</v>
      </c>
      <c r="AA471" s="51" t="s">
        <v>27</v>
      </c>
      <c r="AB471" s="51"/>
      <c r="AC471" s="169"/>
    </row>
    <row r="472" spans="1:29" ht="15" hidden="1" customHeight="1">
      <c r="A472" s="62" t="s">
        <v>1244</v>
      </c>
      <c r="B472" s="43" t="s">
        <v>1982</v>
      </c>
      <c r="C472" s="179" t="s">
        <v>27</v>
      </c>
      <c r="D472" s="180" t="s">
        <v>2761</v>
      </c>
      <c r="E472" s="62" t="s">
        <v>17</v>
      </c>
      <c r="F472" s="53">
        <v>3516385</v>
      </c>
      <c r="G472" s="51"/>
      <c r="H472" s="51" t="s">
        <v>20</v>
      </c>
      <c r="I472" s="43" t="s">
        <v>21</v>
      </c>
      <c r="J472" s="51" t="s">
        <v>3645</v>
      </c>
      <c r="K472" s="51" t="s">
        <v>206</v>
      </c>
      <c r="L472" s="51" t="s">
        <v>211</v>
      </c>
      <c r="M472" s="62" t="s">
        <v>22</v>
      </c>
      <c r="N472" s="62" t="s">
        <v>27</v>
      </c>
      <c r="O472" s="62" t="s">
        <v>3639</v>
      </c>
      <c r="P472" s="62"/>
      <c r="Q472" s="62"/>
      <c r="R472" s="51"/>
      <c r="S472" s="51"/>
      <c r="T472" s="51"/>
      <c r="U472" s="52"/>
      <c r="V472" s="52"/>
      <c r="W472" s="52"/>
      <c r="X472" s="78"/>
      <c r="Y472" s="45" t="s">
        <v>27</v>
      </c>
      <c r="Z472" s="45" t="s">
        <v>27</v>
      </c>
      <c r="AA472" s="51" t="s">
        <v>27</v>
      </c>
      <c r="AB472" s="51"/>
      <c r="AC472" s="169"/>
    </row>
    <row r="473" spans="1:29" ht="15" hidden="1" customHeight="1">
      <c r="A473" s="62" t="s">
        <v>1244</v>
      </c>
      <c r="B473" s="43" t="s">
        <v>1983</v>
      </c>
      <c r="C473" s="179" t="s">
        <v>27</v>
      </c>
      <c r="D473" s="180" t="s">
        <v>2227</v>
      </c>
      <c r="E473" s="62" t="s">
        <v>17</v>
      </c>
      <c r="F473" s="53">
        <v>3516388</v>
      </c>
      <c r="G473" s="51"/>
      <c r="H473" s="51" t="s">
        <v>20</v>
      </c>
      <c r="I473" s="43" t="s">
        <v>21</v>
      </c>
      <c r="J473" s="51" t="s">
        <v>3645</v>
      </c>
      <c r="K473" s="51" t="s">
        <v>3650</v>
      </c>
      <c r="L473" s="51" t="s">
        <v>211</v>
      </c>
      <c r="M473" s="62" t="s">
        <v>22</v>
      </c>
      <c r="N473" s="62" t="s">
        <v>27</v>
      </c>
      <c r="O473" s="62" t="s">
        <v>22</v>
      </c>
      <c r="P473" s="62"/>
      <c r="Q473" s="62"/>
      <c r="R473" s="51"/>
      <c r="S473" s="51"/>
      <c r="T473" s="51"/>
      <c r="U473" s="52"/>
      <c r="V473" s="52"/>
      <c r="W473" s="52"/>
      <c r="X473" s="78"/>
      <c r="Y473" s="45" t="s">
        <v>27</v>
      </c>
      <c r="Z473" s="45" t="s">
        <v>27</v>
      </c>
      <c r="AA473" s="51" t="s">
        <v>27</v>
      </c>
      <c r="AB473" s="51"/>
      <c r="AC473" s="169"/>
    </row>
    <row r="474" spans="1:29" ht="15" hidden="1" customHeight="1">
      <c r="A474" s="62" t="s">
        <v>1244</v>
      </c>
      <c r="B474" s="43" t="s">
        <v>1984</v>
      </c>
      <c r="C474" s="179" t="s">
        <v>27</v>
      </c>
      <c r="D474" s="180" t="s">
        <v>2761</v>
      </c>
      <c r="E474" s="62" t="s">
        <v>17</v>
      </c>
      <c r="F474" s="53">
        <v>3516434</v>
      </c>
      <c r="G474" s="51"/>
      <c r="H474" s="51" t="s">
        <v>20</v>
      </c>
      <c r="I474" s="43" t="s">
        <v>21</v>
      </c>
      <c r="J474" s="51" t="s">
        <v>3645</v>
      </c>
      <c r="K474" s="51" t="s">
        <v>206</v>
      </c>
      <c r="L474" s="51" t="s">
        <v>211</v>
      </c>
      <c r="M474" s="62" t="s">
        <v>22</v>
      </c>
      <c r="N474" s="62" t="s">
        <v>27</v>
      </c>
      <c r="O474" s="62" t="s">
        <v>3639</v>
      </c>
      <c r="P474" s="62"/>
      <c r="Q474" s="62"/>
      <c r="R474" s="51"/>
      <c r="S474" s="51"/>
      <c r="T474" s="51"/>
      <c r="U474" s="52"/>
      <c r="V474" s="52"/>
      <c r="W474" s="52"/>
      <c r="X474" s="78"/>
      <c r="Y474" s="45" t="s">
        <v>27</v>
      </c>
      <c r="Z474" s="45" t="s">
        <v>27</v>
      </c>
      <c r="AA474" s="51" t="s">
        <v>27</v>
      </c>
      <c r="AB474" s="51"/>
      <c r="AC474" s="169"/>
    </row>
    <row r="475" spans="1:29" ht="15" hidden="1" customHeight="1">
      <c r="A475" s="62" t="s">
        <v>1244</v>
      </c>
      <c r="B475" s="43" t="s">
        <v>1985</v>
      </c>
      <c r="C475" s="179" t="s">
        <v>27</v>
      </c>
      <c r="D475" s="180" t="s">
        <v>2227</v>
      </c>
      <c r="E475" s="62" t="s">
        <v>17</v>
      </c>
      <c r="F475" s="53">
        <v>3516431</v>
      </c>
      <c r="G475" s="51"/>
      <c r="H475" s="51" t="s">
        <v>20</v>
      </c>
      <c r="I475" s="43" t="s">
        <v>21</v>
      </c>
      <c r="J475" s="51" t="s">
        <v>3645</v>
      </c>
      <c r="K475" s="51" t="s">
        <v>3650</v>
      </c>
      <c r="L475" s="51" t="s">
        <v>211</v>
      </c>
      <c r="M475" s="62" t="s">
        <v>22</v>
      </c>
      <c r="N475" s="62" t="s">
        <v>27</v>
      </c>
      <c r="O475" s="62" t="s">
        <v>3639</v>
      </c>
      <c r="P475" s="62"/>
      <c r="Q475" s="62"/>
      <c r="R475" s="51"/>
      <c r="S475" s="51"/>
      <c r="T475" s="51"/>
      <c r="U475" s="52"/>
      <c r="V475" s="52"/>
      <c r="W475" s="52"/>
      <c r="X475" s="78"/>
      <c r="Y475" s="45" t="s">
        <v>27</v>
      </c>
      <c r="Z475" s="45" t="s">
        <v>27</v>
      </c>
      <c r="AA475" s="51" t="s">
        <v>22</v>
      </c>
      <c r="AB475" s="51" t="s">
        <v>2473</v>
      </c>
      <c r="AC475" s="181" t="s">
        <v>2890</v>
      </c>
    </row>
    <row r="476" spans="1:29" ht="15" hidden="1" customHeight="1">
      <c r="A476" s="62" t="s">
        <v>1244</v>
      </c>
      <c r="B476" s="43" t="s">
        <v>1986</v>
      </c>
      <c r="C476" s="179" t="s">
        <v>27</v>
      </c>
      <c r="D476" s="180" t="s">
        <v>4219</v>
      </c>
      <c r="E476" s="62" t="s">
        <v>17</v>
      </c>
      <c r="F476" s="53">
        <v>3516369</v>
      </c>
      <c r="G476" s="51"/>
      <c r="H476" s="51" t="s">
        <v>20</v>
      </c>
      <c r="I476" s="43" t="s">
        <v>21</v>
      </c>
      <c r="J476" s="51" t="s">
        <v>3645</v>
      </c>
      <c r="K476" s="51" t="s">
        <v>3650</v>
      </c>
      <c r="L476" s="51" t="s">
        <v>211</v>
      </c>
      <c r="M476" s="62" t="s">
        <v>22</v>
      </c>
      <c r="N476" s="62" t="s">
        <v>27</v>
      </c>
      <c r="O476" s="62" t="s">
        <v>22</v>
      </c>
      <c r="P476" s="62"/>
      <c r="Q476" s="62"/>
      <c r="R476" s="51"/>
      <c r="S476" s="51"/>
      <c r="T476" s="51"/>
      <c r="U476" s="52"/>
      <c r="V476" s="52"/>
      <c r="W476" s="52"/>
      <c r="X476" s="78"/>
      <c r="Y476" s="45" t="s">
        <v>27</v>
      </c>
      <c r="Z476" s="45" t="s">
        <v>27</v>
      </c>
      <c r="AA476" s="51" t="s">
        <v>27</v>
      </c>
      <c r="AB476" s="51"/>
      <c r="AC476" s="169"/>
    </row>
    <row r="477" spans="1:29" ht="15" hidden="1" customHeight="1">
      <c r="A477" s="62" t="s">
        <v>1244</v>
      </c>
      <c r="B477" s="51" t="s">
        <v>2288</v>
      </c>
      <c r="C477" s="179" t="s">
        <v>27</v>
      </c>
      <c r="D477" s="180" t="s">
        <v>4219</v>
      </c>
      <c r="E477" s="62" t="s">
        <v>17</v>
      </c>
      <c r="F477" s="53">
        <v>2510760</v>
      </c>
      <c r="G477" s="51"/>
      <c r="H477" s="51" t="s">
        <v>20</v>
      </c>
      <c r="I477" s="43" t="s">
        <v>21</v>
      </c>
      <c r="J477" s="44" t="s">
        <v>3675</v>
      </c>
      <c r="K477" s="53" t="s">
        <v>337</v>
      </c>
      <c r="L477" s="51" t="s">
        <v>211</v>
      </c>
      <c r="M477" s="62" t="s">
        <v>22</v>
      </c>
      <c r="N477" s="62" t="s">
        <v>22</v>
      </c>
      <c r="O477" s="62" t="s">
        <v>22</v>
      </c>
      <c r="P477" s="51"/>
      <c r="Q477" s="51"/>
      <c r="R477" s="140"/>
      <c r="S477" s="51"/>
      <c r="T477" s="53"/>
      <c r="U477" s="138"/>
      <c r="V477" s="138"/>
      <c r="W477" s="138"/>
      <c r="X477" s="78"/>
      <c r="Y477" s="45" t="s">
        <v>27</v>
      </c>
      <c r="Z477" s="45" t="s">
        <v>27</v>
      </c>
      <c r="AA477" s="51" t="s">
        <v>27</v>
      </c>
      <c r="AB477" s="51"/>
      <c r="AC477" s="169"/>
    </row>
    <row r="478" spans="1:29" ht="15" hidden="1" customHeight="1">
      <c r="A478" s="62" t="s">
        <v>1244</v>
      </c>
      <c r="B478" s="51" t="s">
        <v>2289</v>
      </c>
      <c r="C478" s="179" t="s">
        <v>27</v>
      </c>
      <c r="D478" s="180" t="s">
        <v>4219</v>
      </c>
      <c r="E478" s="62" t="s">
        <v>17</v>
      </c>
      <c r="F478" s="53">
        <v>2511064</v>
      </c>
      <c r="G478" s="51"/>
      <c r="H478" s="51" t="s">
        <v>20</v>
      </c>
      <c r="I478" s="43" t="s">
        <v>21</v>
      </c>
      <c r="J478" s="44" t="s">
        <v>3675</v>
      </c>
      <c r="K478" s="53" t="s">
        <v>337</v>
      </c>
      <c r="L478" s="51" t="s">
        <v>211</v>
      </c>
      <c r="M478" s="62" t="s">
        <v>22</v>
      </c>
      <c r="N478" s="62" t="s">
        <v>22</v>
      </c>
      <c r="O478" s="62" t="s">
        <v>22</v>
      </c>
      <c r="P478" s="51"/>
      <c r="Q478" s="51"/>
      <c r="R478" s="51"/>
      <c r="S478" s="51"/>
      <c r="T478" s="53"/>
      <c r="U478" s="138"/>
      <c r="V478" s="138"/>
      <c r="W478" s="138"/>
      <c r="X478" s="78"/>
      <c r="Y478" s="45" t="s">
        <v>27</v>
      </c>
      <c r="Z478" s="45" t="s">
        <v>27</v>
      </c>
      <c r="AA478" s="51" t="s">
        <v>27</v>
      </c>
      <c r="AB478" s="51"/>
      <c r="AC478" s="169"/>
    </row>
    <row r="479" spans="1:29" ht="15" hidden="1" customHeight="1">
      <c r="A479" s="62" t="s">
        <v>1244</v>
      </c>
      <c r="B479" s="43" t="s">
        <v>1987</v>
      </c>
      <c r="C479" s="179" t="s">
        <v>27</v>
      </c>
      <c r="D479" s="180" t="s">
        <v>2227</v>
      </c>
      <c r="E479" s="62" t="s">
        <v>17</v>
      </c>
      <c r="F479" s="53">
        <v>2510972</v>
      </c>
      <c r="G479" s="51"/>
      <c r="H479" s="51" t="s">
        <v>20</v>
      </c>
      <c r="I479" s="43" t="s">
        <v>21</v>
      </c>
      <c r="J479" s="51" t="s">
        <v>3645</v>
      </c>
      <c r="K479" s="51" t="s">
        <v>206</v>
      </c>
      <c r="L479" s="51" t="s">
        <v>211</v>
      </c>
      <c r="M479" s="62" t="s">
        <v>22</v>
      </c>
      <c r="N479" s="62" t="s">
        <v>27</v>
      </c>
      <c r="O479" s="62" t="s">
        <v>22</v>
      </c>
      <c r="P479" s="62"/>
      <c r="Q479" s="62"/>
      <c r="R479" s="51"/>
      <c r="S479" s="51"/>
      <c r="T479" s="51"/>
      <c r="U479" s="52"/>
      <c r="V479" s="52"/>
      <c r="W479" s="52"/>
      <c r="X479" s="78"/>
      <c r="Y479" s="45" t="s">
        <v>27</v>
      </c>
      <c r="Z479" s="45" t="s">
        <v>27</v>
      </c>
      <c r="AA479" s="51" t="s">
        <v>27</v>
      </c>
      <c r="AB479" s="51"/>
      <c r="AC479" s="169"/>
    </row>
    <row r="480" spans="1:29" ht="15" hidden="1" customHeight="1">
      <c r="A480" s="62" t="s">
        <v>1244</v>
      </c>
      <c r="B480" s="43" t="s">
        <v>1988</v>
      </c>
      <c r="C480" s="179" t="s">
        <v>27</v>
      </c>
      <c r="D480" s="180" t="s">
        <v>4219</v>
      </c>
      <c r="E480" s="62" t="s">
        <v>17</v>
      </c>
      <c r="F480" s="53">
        <v>2510460</v>
      </c>
      <c r="G480" s="51"/>
      <c r="H480" s="51" t="s">
        <v>20</v>
      </c>
      <c r="I480" s="43" t="s">
        <v>21</v>
      </c>
      <c r="J480" s="51" t="s">
        <v>3645</v>
      </c>
      <c r="K480" s="51" t="s">
        <v>206</v>
      </c>
      <c r="L480" s="51" t="s">
        <v>211</v>
      </c>
      <c r="M480" s="62" t="s">
        <v>22</v>
      </c>
      <c r="N480" s="62" t="s">
        <v>27</v>
      </c>
      <c r="O480" s="62" t="s">
        <v>22</v>
      </c>
      <c r="P480" s="62"/>
      <c r="Q480" s="62"/>
      <c r="R480" s="51"/>
      <c r="S480" s="51"/>
      <c r="T480" s="51"/>
      <c r="U480" s="52"/>
      <c r="V480" s="52"/>
      <c r="W480" s="52"/>
      <c r="X480" s="78"/>
      <c r="Y480" s="45" t="s">
        <v>27</v>
      </c>
      <c r="Z480" s="45" t="s">
        <v>27</v>
      </c>
      <c r="AA480" s="51" t="s">
        <v>27</v>
      </c>
      <c r="AB480" s="51"/>
      <c r="AC480" s="169"/>
    </row>
    <row r="481" spans="1:29" ht="15" hidden="1" customHeight="1">
      <c r="A481" s="62" t="s">
        <v>1244</v>
      </c>
      <c r="B481" s="43" t="s">
        <v>1989</v>
      </c>
      <c r="C481" s="179" t="s">
        <v>27</v>
      </c>
      <c r="D481" s="180" t="s">
        <v>4220</v>
      </c>
      <c r="E481" s="62" t="s">
        <v>17</v>
      </c>
      <c r="F481" s="53">
        <v>2250508</v>
      </c>
      <c r="G481" s="51"/>
      <c r="H481" s="51" t="s">
        <v>20</v>
      </c>
      <c r="I481" s="43" t="s">
        <v>21</v>
      </c>
      <c r="J481" s="51" t="s">
        <v>876</v>
      </c>
      <c r="K481" s="51" t="s">
        <v>3650</v>
      </c>
      <c r="L481" s="51" t="s">
        <v>211</v>
      </c>
      <c r="M481" s="62" t="s">
        <v>22</v>
      </c>
      <c r="N481" s="62" t="s">
        <v>27</v>
      </c>
      <c r="O481" s="62" t="s">
        <v>22</v>
      </c>
      <c r="P481" s="62"/>
      <c r="Q481" s="62"/>
      <c r="R481" s="51"/>
      <c r="S481" s="51"/>
      <c r="T481" s="51"/>
      <c r="U481" s="52"/>
      <c r="V481" s="52"/>
      <c r="W481" s="52"/>
      <c r="X481" s="78"/>
      <c r="Y481" s="45" t="s">
        <v>27</v>
      </c>
      <c r="Z481" s="45" t="s">
        <v>27</v>
      </c>
      <c r="AA481" s="51" t="s">
        <v>27</v>
      </c>
      <c r="AB481" s="51"/>
      <c r="AC481" s="169"/>
    </row>
    <row r="482" spans="1:29" ht="15" hidden="1" customHeight="1">
      <c r="A482" s="62" t="s">
        <v>1244</v>
      </c>
      <c r="B482" s="51" t="s">
        <v>2281</v>
      </c>
      <c r="C482" s="179" t="s">
        <v>27</v>
      </c>
      <c r="D482" s="180" t="s">
        <v>4221</v>
      </c>
      <c r="E482" s="62" t="s">
        <v>17</v>
      </c>
      <c r="F482" s="53">
        <v>2511000</v>
      </c>
      <c r="G482" s="51"/>
      <c r="H482" s="51" t="s">
        <v>20</v>
      </c>
      <c r="I482" s="43" t="s">
        <v>21</v>
      </c>
      <c r="J482" s="51" t="s">
        <v>876</v>
      </c>
      <c r="K482" s="53" t="s">
        <v>3650</v>
      </c>
      <c r="L482" s="51" t="s">
        <v>211</v>
      </c>
      <c r="M482" s="62" t="s">
        <v>22</v>
      </c>
      <c r="N482" s="62" t="s">
        <v>27</v>
      </c>
      <c r="O482" s="62" t="s">
        <v>22</v>
      </c>
      <c r="P482" s="62"/>
      <c r="Q482" s="62"/>
      <c r="R482" s="51"/>
      <c r="S482" s="51"/>
      <c r="T482" s="53"/>
      <c r="U482" s="138"/>
      <c r="V482" s="138"/>
      <c r="W482" s="138"/>
      <c r="X482" s="78"/>
      <c r="Y482" s="45" t="s">
        <v>27</v>
      </c>
      <c r="Z482" s="45" t="s">
        <v>27</v>
      </c>
      <c r="AA482" s="51" t="s">
        <v>27</v>
      </c>
      <c r="AB482" s="51"/>
      <c r="AC482" s="169"/>
    </row>
    <row r="483" spans="1:29" ht="15" hidden="1" customHeight="1">
      <c r="A483" s="62" t="s">
        <v>1244</v>
      </c>
      <c r="B483" s="43" t="s">
        <v>1990</v>
      </c>
      <c r="C483" s="179" t="s">
        <v>27</v>
      </c>
      <c r="D483" s="180" t="s">
        <v>2761</v>
      </c>
      <c r="E483" s="62" t="s">
        <v>17</v>
      </c>
      <c r="F483" s="53">
        <v>3648534</v>
      </c>
      <c r="G483" s="51"/>
      <c r="H483" s="51" t="s">
        <v>20</v>
      </c>
      <c r="I483" s="43" t="s">
        <v>21</v>
      </c>
      <c r="J483" s="51" t="s">
        <v>3645</v>
      </c>
      <c r="K483" s="51" t="s">
        <v>206</v>
      </c>
      <c r="L483" s="51" t="s">
        <v>211</v>
      </c>
      <c r="M483" s="62" t="s">
        <v>22</v>
      </c>
      <c r="N483" s="62" t="s">
        <v>27</v>
      </c>
      <c r="O483" s="62" t="s">
        <v>22</v>
      </c>
      <c r="P483" s="62"/>
      <c r="Q483" s="62"/>
      <c r="R483" s="51"/>
      <c r="S483" s="51"/>
      <c r="T483" s="51"/>
      <c r="U483" s="52"/>
      <c r="V483" s="52"/>
      <c r="W483" s="52"/>
      <c r="X483" s="78"/>
      <c r="Y483" s="45" t="s">
        <v>27</v>
      </c>
      <c r="Z483" s="45" t="s">
        <v>27</v>
      </c>
      <c r="AA483" s="51" t="s">
        <v>27</v>
      </c>
      <c r="AB483" s="51"/>
      <c r="AC483" s="169"/>
    </row>
    <row r="484" spans="1:29" ht="15" hidden="1" customHeight="1">
      <c r="A484" s="62" t="s">
        <v>1244</v>
      </c>
      <c r="B484" s="43" t="s">
        <v>1991</v>
      </c>
      <c r="C484" s="179" t="s">
        <v>27</v>
      </c>
      <c r="D484" s="180" t="s">
        <v>2761</v>
      </c>
      <c r="E484" s="62" t="s">
        <v>17</v>
      </c>
      <c r="F484" s="53">
        <v>3648327</v>
      </c>
      <c r="G484" s="51"/>
      <c r="H484" s="51" t="s">
        <v>20</v>
      </c>
      <c r="I484" s="43" t="s">
        <v>21</v>
      </c>
      <c r="J484" s="44" t="s">
        <v>3675</v>
      </c>
      <c r="K484" s="51" t="s">
        <v>33</v>
      </c>
      <c r="L484" s="51" t="s">
        <v>211</v>
      </c>
      <c r="M484" s="62" t="s">
        <v>22</v>
      </c>
      <c r="N484" s="62" t="s">
        <v>22</v>
      </c>
      <c r="O484" s="62" t="s">
        <v>22</v>
      </c>
      <c r="P484" s="62"/>
      <c r="Q484" s="62"/>
      <c r="R484" s="51"/>
      <c r="S484" s="51"/>
      <c r="T484" s="51"/>
      <c r="U484" s="52"/>
      <c r="V484" s="52"/>
      <c r="W484" s="52"/>
      <c r="X484" s="78"/>
      <c r="Y484" s="45" t="s">
        <v>27</v>
      </c>
      <c r="Z484" s="45" t="s">
        <v>27</v>
      </c>
      <c r="AA484" s="51" t="s">
        <v>27</v>
      </c>
      <c r="AB484" s="51"/>
      <c r="AC484" s="169"/>
    </row>
    <row r="485" spans="1:29" ht="15" hidden="1" customHeight="1">
      <c r="A485" s="62" t="s">
        <v>1244</v>
      </c>
      <c r="B485" s="43" t="s">
        <v>1992</v>
      </c>
      <c r="C485" s="179" t="s">
        <v>27</v>
      </c>
      <c r="D485" s="180" t="s">
        <v>2658</v>
      </c>
      <c r="E485" s="62" t="s">
        <v>17</v>
      </c>
      <c r="F485" s="53">
        <v>3648206</v>
      </c>
      <c r="G485" s="51"/>
      <c r="H485" s="51" t="s">
        <v>20</v>
      </c>
      <c r="I485" s="43" t="s">
        <v>21</v>
      </c>
      <c r="J485" s="51" t="s">
        <v>3645</v>
      </c>
      <c r="K485" s="51" t="s">
        <v>206</v>
      </c>
      <c r="L485" s="51" t="s">
        <v>211</v>
      </c>
      <c r="M485" s="62" t="s">
        <v>22</v>
      </c>
      <c r="N485" s="62" t="s">
        <v>27</v>
      </c>
      <c r="O485" s="62" t="s">
        <v>22</v>
      </c>
      <c r="P485" s="62"/>
      <c r="Q485" s="62"/>
      <c r="R485" s="51"/>
      <c r="S485" s="51"/>
      <c r="T485" s="51"/>
      <c r="U485" s="52"/>
      <c r="V485" s="52"/>
      <c r="W485" s="52"/>
      <c r="X485" s="78"/>
      <c r="Y485" s="45" t="s">
        <v>27</v>
      </c>
      <c r="Z485" s="45" t="s">
        <v>27</v>
      </c>
      <c r="AA485" s="51" t="s">
        <v>27</v>
      </c>
      <c r="AB485" s="51"/>
      <c r="AC485" s="169"/>
    </row>
    <row r="486" spans="1:29" ht="15" hidden="1" customHeight="1">
      <c r="A486" s="62" t="s">
        <v>1244</v>
      </c>
      <c r="B486" s="43" t="s">
        <v>1993</v>
      </c>
      <c r="C486" s="179" t="s">
        <v>27</v>
      </c>
      <c r="D486" s="180" t="s">
        <v>4219</v>
      </c>
      <c r="E486" s="62" t="s">
        <v>17</v>
      </c>
      <c r="F486" s="53">
        <v>3648270</v>
      </c>
      <c r="G486" s="51"/>
      <c r="H486" s="51" t="s">
        <v>20</v>
      </c>
      <c r="I486" s="43" t="s">
        <v>21</v>
      </c>
      <c r="J486" s="51" t="s">
        <v>3645</v>
      </c>
      <c r="K486" s="51" t="s">
        <v>3650</v>
      </c>
      <c r="L486" s="51" t="s">
        <v>211</v>
      </c>
      <c r="M486" s="62" t="s">
        <v>22</v>
      </c>
      <c r="N486" s="62" t="s">
        <v>27</v>
      </c>
      <c r="O486" s="62" t="s">
        <v>22</v>
      </c>
      <c r="P486" s="62"/>
      <c r="Q486" s="62"/>
      <c r="R486" s="51"/>
      <c r="S486" s="51"/>
      <c r="T486" s="51"/>
      <c r="U486" s="52"/>
      <c r="V486" s="52"/>
      <c r="W486" s="52"/>
      <c r="X486" s="78"/>
      <c r="Y486" s="45" t="s">
        <v>27</v>
      </c>
      <c r="Z486" s="45" t="s">
        <v>27</v>
      </c>
      <c r="AA486" s="51" t="s">
        <v>27</v>
      </c>
      <c r="AB486" s="51"/>
      <c r="AC486" s="169"/>
    </row>
    <row r="487" spans="1:29" ht="15" hidden="1" customHeight="1">
      <c r="A487" s="62" t="s">
        <v>1244</v>
      </c>
      <c r="B487" s="43" t="s">
        <v>1994</v>
      </c>
      <c r="C487" s="179" t="s">
        <v>27</v>
      </c>
      <c r="D487" s="180" t="s">
        <v>2761</v>
      </c>
      <c r="E487" s="62" t="s">
        <v>17</v>
      </c>
      <c r="F487" s="53">
        <v>3648549</v>
      </c>
      <c r="G487" s="51"/>
      <c r="H487" s="51" t="s">
        <v>20</v>
      </c>
      <c r="I487" s="43" t="s">
        <v>21</v>
      </c>
      <c r="J487" s="51" t="s">
        <v>3645</v>
      </c>
      <c r="K487" s="51" t="s">
        <v>206</v>
      </c>
      <c r="L487" s="51" t="s">
        <v>211</v>
      </c>
      <c r="M487" s="62" t="s">
        <v>22</v>
      </c>
      <c r="N487" s="62" t="s">
        <v>27</v>
      </c>
      <c r="O487" s="62" t="s">
        <v>22</v>
      </c>
      <c r="P487" s="62"/>
      <c r="Q487" s="62"/>
      <c r="R487" s="51"/>
      <c r="S487" s="51"/>
      <c r="T487" s="51"/>
      <c r="U487" s="52"/>
      <c r="V487" s="52"/>
      <c r="W487" s="52"/>
      <c r="X487" s="78"/>
      <c r="Y487" s="45" t="s">
        <v>27</v>
      </c>
      <c r="Z487" s="45" t="s">
        <v>27</v>
      </c>
      <c r="AA487" s="51" t="s">
        <v>27</v>
      </c>
      <c r="AB487" s="51"/>
      <c r="AC487" s="169"/>
    </row>
    <row r="488" spans="1:29" ht="15" hidden="1" customHeight="1">
      <c r="A488" s="62" t="s">
        <v>1244</v>
      </c>
      <c r="B488" s="43" t="s">
        <v>1995</v>
      </c>
      <c r="C488" s="179" t="s">
        <v>27</v>
      </c>
      <c r="D488" s="180" t="s">
        <v>4219</v>
      </c>
      <c r="E488" s="62" t="s">
        <v>17</v>
      </c>
      <c r="F488" s="53">
        <v>3633233</v>
      </c>
      <c r="G488" s="51"/>
      <c r="H488" s="51" t="s">
        <v>20</v>
      </c>
      <c r="I488" s="43" t="s">
        <v>21</v>
      </c>
      <c r="J488" s="51" t="s">
        <v>3645</v>
      </c>
      <c r="K488" s="51" t="s">
        <v>3650</v>
      </c>
      <c r="L488" s="51" t="s">
        <v>211</v>
      </c>
      <c r="M488" s="62" t="s">
        <v>22</v>
      </c>
      <c r="N488" s="62" t="s">
        <v>27</v>
      </c>
      <c r="O488" s="62" t="s">
        <v>22</v>
      </c>
      <c r="P488" s="62"/>
      <c r="Q488" s="62"/>
      <c r="R488" s="51"/>
      <c r="S488" s="51"/>
      <c r="T488" s="51"/>
      <c r="U488" s="52"/>
      <c r="V488" s="52"/>
      <c r="W488" s="52"/>
      <c r="X488" s="78"/>
      <c r="Y488" s="45" t="s">
        <v>27</v>
      </c>
      <c r="Z488" s="45" t="s">
        <v>27</v>
      </c>
      <c r="AA488" s="51" t="s">
        <v>27</v>
      </c>
      <c r="AB488" s="51"/>
      <c r="AC488" s="169"/>
    </row>
    <row r="489" spans="1:29" ht="15" hidden="1" customHeight="1">
      <c r="A489" s="62" t="s">
        <v>1244</v>
      </c>
      <c r="B489" s="43" t="s">
        <v>1996</v>
      </c>
      <c r="C489" s="179" t="s">
        <v>27</v>
      </c>
      <c r="D489" s="180" t="s">
        <v>4219</v>
      </c>
      <c r="E489" s="62" t="s">
        <v>17</v>
      </c>
      <c r="F489" s="53">
        <v>3648450</v>
      </c>
      <c r="G489" s="51"/>
      <c r="H489" s="51" t="s">
        <v>20</v>
      </c>
      <c r="I489" s="43" t="s">
        <v>21</v>
      </c>
      <c r="J489" s="51" t="s">
        <v>3645</v>
      </c>
      <c r="K489" s="51" t="s">
        <v>3650</v>
      </c>
      <c r="L489" s="51" t="s">
        <v>211</v>
      </c>
      <c r="M489" s="62" t="s">
        <v>22</v>
      </c>
      <c r="N489" s="62" t="s">
        <v>27</v>
      </c>
      <c r="O489" s="62" t="s">
        <v>22</v>
      </c>
      <c r="P489" s="62"/>
      <c r="Q489" s="62"/>
      <c r="R489" s="51"/>
      <c r="S489" s="51"/>
      <c r="T489" s="51"/>
      <c r="U489" s="52"/>
      <c r="V489" s="52"/>
      <c r="W489" s="52"/>
      <c r="X489" s="78"/>
      <c r="Y489" s="45" t="s">
        <v>27</v>
      </c>
      <c r="Z489" s="45" t="s">
        <v>27</v>
      </c>
      <c r="AA489" s="51" t="s">
        <v>27</v>
      </c>
      <c r="AB489" s="51"/>
      <c r="AC489" s="169"/>
    </row>
    <row r="490" spans="1:29" ht="15" hidden="1" customHeight="1">
      <c r="A490" s="62" t="s">
        <v>1244</v>
      </c>
      <c r="B490" s="43" t="s">
        <v>1997</v>
      </c>
      <c r="C490" s="179" t="s">
        <v>27</v>
      </c>
      <c r="D490" s="180" t="s">
        <v>4219</v>
      </c>
      <c r="E490" s="62" t="s">
        <v>17</v>
      </c>
      <c r="F490" s="53">
        <v>3648256</v>
      </c>
      <c r="G490" s="51"/>
      <c r="H490" s="51" t="s">
        <v>20</v>
      </c>
      <c r="I490" s="43" t="s">
        <v>21</v>
      </c>
      <c r="J490" s="51" t="s">
        <v>3645</v>
      </c>
      <c r="K490" s="51" t="s">
        <v>206</v>
      </c>
      <c r="L490" s="51" t="s">
        <v>211</v>
      </c>
      <c r="M490" s="62" t="s">
        <v>22</v>
      </c>
      <c r="N490" s="62" t="s">
        <v>27</v>
      </c>
      <c r="O490" s="62" t="s">
        <v>22</v>
      </c>
      <c r="P490" s="62"/>
      <c r="Q490" s="62"/>
      <c r="R490" s="51"/>
      <c r="S490" s="51"/>
      <c r="T490" s="51"/>
      <c r="U490" s="52"/>
      <c r="V490" s="52"/>
      <c r="W490" s="52"/>
      <c r="X490" s="78"/>
      <c r="Y490" s="45" t="s">
        <v>27</v>
      </c>
      <c r="Z490" s="45" t="s">
        <v>27</v>
      </c>
      <c r="AA490" s="51" t="s">
        <v>27</v>
      </c>
      <c r="AB490" s="51"/>
      <c r="AC490" s="169"/>
    </row>
    <row r="491" spans="1:29" ht="15" hidden="1" customHeight="1">
      <c r="A491" s="62" t="s">
        <v>1244</v>
      </c>
      <c r="B491" s="43" t="s">
        <v>1998</v>
      </c>
      <c r="C491" s="179" t="s">
        <v>27</v>
      </c>
      <c r="D491" s="180" t="s">
        <v>2761</v>
      </c>
      <c r="E491" s="62" t="s">
        <v>17</v>
      </c>
      <c r="F491" s="53">
        <v>3648443</v>
      </c>
      <c r="G491" s="51"/>
      <c r="H491" s="51" t="s">
        <v>20</v>
      </c>
      <c r="I491" s="43" t="s">
        <v>21</v>
      </c>
      <c r="J491" s="44" t="s">
        <v>3675</v>
      </c>
      <c r="K491" s="51" t="s">
        <v>337</v>
      </c>
      <c r="L491" s="51" t="s">
        <v>211</v>
      </c>
      <c r="M491" s="62" t="s">
        <v>22</v>
      </c>
      <c r="N491" s="62" t="s">
        <v>27</v>
      </c>
      <c r="O491" s="62" t="s">
        <v>22</v>
      </c>
      <c r="P491" s="62"/>
      <c r="Q491" s="62"/>
      <c r="R491" s="51"/>
      <c r="S491" s="51"/>
      <c r="T491" s="51"/>
      <c r="U491" s="52"/>
      <c r="V491" s="52"/>
      <c r="W491" s="52"/>
      <c r="X491" s="78"/>
      <c r="Y491" s="45" t="s">
        <v>27</v>
      </c>
      <c r="Z491" s="45" t="s">
        <v>27</v>
      </c>
      <c r="AA491" s="51" t="s">
        <v>27</v>
      </c>
      <c r="AB491" s="51"/>
      <c r="AC491" s="169"/>
    </row>
    <row r="492" spans="1:29" ht="15" hidden="1" customHeight="1">
      <c r="A492" s="62" t="s">
        <v>1244</v>
      </c>
      <c r="B492" s="43" t="s">
        <v>1999</v>
      </c>
      <c r="C492" s="179" t="s">
        <v>27</v>
      </c>
      <c r="D492" s="180" t="s">
        <v>4219</v>
      </c>
      <c r="E492" s="62" t="s">
        <v>17</v>
      </c>
      <c r="F492" s="53">
        <v>3648399</v>
      </c>
      <c r="G492" s="51"/>
      <c r="H492" s="51" t="s">
        <v>20</v>
      </c>
      <c r="I492" s="43" t="s">
        <v>21</v>
      </c>
      <c r="J492" s="51" t="s">
        <v>3645</v>
      </c>
      <c r="K492" s="51" t="s">
        <v>206</v>
      </c>
      <c r="L492" s="51" t="s">
        <v>211</v>
      </c>
      <c r="M492" s="62" t="s">
        <v>22</v>
      </c>
      <c r="N492" s="62" t="s">
        <v>27</v>
      </c>
      <c r="O492" s="62" t="s">
        <v>22</v>
      </c>
      <c r="P492" s="62"/>
      <c r="Q492" s="62"/>
      <c r="R492" s="51"/>
      <c r="S492" s="51"/>
      <c r="T492" s="51"/>
      <c r="U492" s="52"/>
      <c r="V492" s="52"/>
      <c r="W492" s="52"/>
      <c r="X492" s="78"/>
      <c r="Y492" s="45" t="s">
        <v>27</v>
      </c>
      <c r="Z492" s="45" t="s">
        <v>27</v>
      </c>
      <c r="AA492" s="51" t="s">
        <v>27</v>
      </c>
      <c r="AB492" s="51"/>
      <c r="AC492" s="169"/>
    </row>
    <row r="493" spans="1:29" ht="15" hidden="1" customHeight="1">
      <c r="A493" s="62" t="s">
        <v>1244</v>
      </c>
      <c r="B493" s="43" t="s">
        <v>2000</v>
      </c>
      <c r="C493" s="179" t="s">
        <v>27</v>
      </c>
      <c r="D493" s="180" t="s">
        <v>4219</v>
      </c>
      <c r="E493" s="62" t="s">
        <v>17</v>
      </c>
      <c r="F493" s="53">
        <v>3648253</v>
      </c>
      <c r="G493" s="51"/>
      <c r="H493" s="51" t="s">
        <v>20</v>
      </c>
      <c r="I493" s="43" t="s">
        <v>21</v>
      </c>
      <c r="J493" s="51" t="s">
        <v>3645</v>
      </c>
      <c r="K493" s="51" t="s">
        <v>206</v>
      </c>
      <c r="L493" s="51" t="s">
        <v>211</v>
      </c>
      <c r="M493" s="62" t="s">
        <v>22</v>
      </c>
      <c r="N493" s="62" t="s">
        <v>27</v>
      </c>
      <c r="O493" s="62" t="s">
        <v>22</v>
      </c>
      <c r="P493" s="62"/>
      <c r="Q493" s="62"/>
      <c r="R493" s="51"/>
      <c r="S493" s="51"/>
      <c r="T493" s="51"/>
      <c r="U493" s="52"/>
      <c r="V493" s="52"/>
      <c r="W493" s="52"/>
      <c r="X493" s="78"/>
      <c r="Y493" s="45" t="s">
        <v>27</v>
      </c>
      <c r="Z493" s="45" t="s">
        <v>27</v>
      </c>
      <c r="AA493" s="51" t="s">
        <v>27</v>
      </c>
      <c r="AB493" s="51"/>
      <c r="AC493" s="169"/>
    </row>
    <row r="494" spans="1:29" ht="15" hidden="1" customHeight="1">
      <c r="A494" s="62" t="s">
        <v>1244</v>
      </c>
      <c r="B494" s="43" t="s">
        <v>2001</v>
      </c>
      <c r="C494" s="179" t="s">
        <v>27</v>
      </c>
      <c r="D494" s="180" t="s">
        <v>4219</v>
      </c>
      <c r="E494" s="62" t="s">
        <v>17</v>
      </c>
      <c r="F494" s="53">
        <v>3648266</v>
      </c>
      <c r="G494" s="51"/>
      <c r="H494" s="51" t="s">
        <v>20</v>
      </c>
      <c r="I494" s="43" t="s">
        <v>21</v>
      </c>
      <c r="J494" s="51" t="s">
        <v>3645</v>
      </c>
      <c r="K494" s="51" t="s">
        <v>3650</v>
      </c>
      <c r="L494" s="51" t="s">
        <v>211</v>
      </c>
      <c r="M494" s="62" t="s">
        <v>22</v>
      </c>
      <c r="N494" s="62" t="s">
        <v>27</v>
      </c>
      <c r="O494" s="62" t="s">
        <v>22</v>
      </c>
      <c r="P494" s="62"/>
      <c r="Q494" s="62"/>
      <c r="R494" s="51"/>
      <c r="S494" s="51"/>
      <c r="T494" s="51"/>
      <c r="U494" s="52"/>
      <c r="V494" s="52"/>
      <c r="W494" s="52"/>
      <c r="X494" s="78"/>
      <c r="Y494" s="45" t="s">
        <v>27</v>
      </c>
      <c r="Z494" s="45" t="s">
        <v>27</v>
      </c>
      <c r="AA494" s="51" t="s">
        <v>27</v>
      </c>
      <c r="AB494" s="51"/>
      <c r="AC494" s="169"/>
    </row>
    <row r="495" spans="1:29" ht="15" hidden="1" customHeight="1">
      <c r="A495" s="62" t="s">
        <v>1244</v>
      </c>
      <c r="B495" s="43" t="s">
        <v>2002</v>
      </c>
      <c r="C495" s="179" t="s">
        <v>27</v>
      </c>
      <c r="D495" s="180" t="s">
        <v>2761</v>
      </c>
      <c r="E495" s="62" t="s">
        <v>17</v>
      </c>
      <c r="F495" s="53">
        <v>3648273</v>
      </c>
      <c r="G495" s="51"/>
      <c r="H495" s="51" t="s">
        <v>20</v>
      </c>
      <c r="I495" s="43" t="s">
        <v>21</v>
      </c>
      <c r="J495" s="51" t="s">
        <v>3645</v>
      </c>
      <c r="K495" s="51" t="s">
        <v>206</v>
      </c>
      <c r="L495" s="51" t="s">
        <v>211</v>
      </c>
      <c r="M495" s="62" t="s">
        <v>22</v>
      </c>
      <c r="N495" s="62" t="s">
        <v>27</v>
      </c>
      <c r="O495" s="62" t="s">
        <v>22</v>
      </c>
      <c r="P495" s="62"/>
      <c r="Q495" s="62"/>
      <c r="R495" s="51"/>
      <c r="S495" s="51"/>
      <c r="T495" s="51"/>
      <c r="U495" s="52"/>
      <c r="V495" s="52"/>
      <c r="W495" s="52"/>
      <c r="X495" s="78"/>
      <c r="Y495" s="45" t="s">
        <v>27</v>
      </c>
      <c r="Z495" s="45" t="s">
        <v>27</v>
      </c>
      <c r="AA495" s="51" t="s">
        <v>27</v>
      </c>
      <c r="AB495" s="51"/>
      <c r="AC495" s="169"/>
    </row>
    <row r="496" spans="1:29" ht="15" hidden="1" customHeight="1">
      <c r="A496" s="62" t="s">
        <v>1244</v>
      </c>
      <c r="B496" s="43" t="s">
        <v>2003</v>
      </c>
      <c r="C496" s="179" t="s">
        <v>27</v>
      </c>
      <c r="D496" s="180" t="s">
        <v>4219</v>
      </c>
      <c r="E496" s="62" t="s">
        <v>17</v>
      </c>
      <c r="F496" s="53">
        <v>3648458</v>
      </c>
      <c r="G496" s="51"/>
      <c r="H496" s="51" t="s">
        <v>20</v>
      </c>
      <c r="I496" s="43" t="s">
        <v>21</v>
      </c>
      <c r="J496" s="51" t="s">
        <v>3645</v>
      </c>
      <c r="K496" s="51" t="s">
        <v>206</v>
      </c>
      <c r="L496" s="51" t="s">
        <v>211</v>
      </c>
      <c r="M496" s="62" t="s">
        <v>22</v>
      </c>
      <c r="N496" s="62" t="s">
        <v>27</v>
      </c>
      <c r="O496" s="62" t="s">
        <v>22</v>
      </c>
      <c r="P496" s="62"/>
      <c r="Q496" s="62"/>
      <c r="R496" s="51"/>
      <c r="S496" s="51"/>
      <c r="T496" s="51"/>
      <c r="U496" s="52"/>
      <c r="V496" s="52"/>
      <c r="W496" s="52"/>
      <c r="X496" s="78"/>
      <c r="Y496" s="45" t="s">
        <v>27</v>
      </c>
      <c r="Z496" s="45" t="s">
        <v>27</v>
      </c>
      <c r="AA496" s="51" t="s">
        <v>27</v>
      </c>
      <c r="AB496" s="51"/>
      <c r="AC496" s="169"/>
    </row>
    <row r="497" spans="1:29" ht="15" hidden="1" customHeight="1">
      <c r="A497" s="62" t="s">
        <v>1244</v>
      </c>
      <c r="B497" s="43" t="s">
        <v>2004</v>
      </c>
      <c r="C497" s="179" t="s">
        <v>27</v>
      </c>
      <c r="D497" s="180" t="s">
        <v>2761</v>
      </c>
      <c r="E497" s="62" t="s">
        <v>17</v>
      </c>
      <c r="F497" s="53">
        <v>3648542</v>
      </c>
      <c r="G497" s="51"/>
      <c r="H497" s="51" t="s">
        <v>20</v>
      </c>
      <c r="I497" s="43" t="s">
        <v>21</v>
      </c>
      <c r="J497" s="51" t="s">
        <v>3645</v>
      </c>
      <c r="K497" s="51" t="s">
        <v>3650</v>
      </c>
      <c r="L497" s="51" t="s">
        <v>211</v>
      </c>
      <c r="M497" s="62" t="s">
        <v>22</v>
      </c>
      <c r="N497" s="62" t="s">
        <v>27</v>
      </c>
      <c r="O497" s="62" t="s">
        <v>22</v>
      </c>
      <c r="P497" s="62"/>
      <c r="Q497" s="62"/>
      <c r="R497" s="51"/>
      <c r="S497" s="51"/>
      <c r="T497" s="51"/>
      <c r="U497" s="52"/>
      <c r="V497" s="52"/>
      <c r="W497" s="52"/>
      <c r="X497" s="78"/>
      <c r="Y497" s="45" t="s">
        <v>27</v>
      </c>
      <c r="Z497" s="45" t="s">
        <v>27</v>
      </c>
      <c r="AA497" s="51" t="s">
        <v>27</v>
      </c>
      <c r="AB497" s="51"/>
      <c r="AC497" s="169"/>
    </row>
    <row r="498" spans="1:29" ht="15" hidden="1" customHeight="1">
      <c r="A498" s="62" t="s">
        <v>1244</v>
      </c>
      <c r="B498" s="43" t="s">
        <v>2005</v>
      </c>
      <c r="C498" s="179" t="s">
        <v>27</v>
      </c>
      <c r="D498" s="180" t="s">
        <v>2761</v>
      </c>
      <c r="E498" s="62" t="s">
        <v>17</v>
      </c>
      <c r="F498" s="53">
        <v>3648333</v>
      </c>
      <c r="G498" s="51"/>
      <c r="H498" s="51" t="s">
        <v>20</v>
      </c>
      <c r="I498" s="43" t="s">
        <v>21</v>
      </c>
      <c r="J498" s="51" t="s">
        <v>3645</v>
      </c>
      <c r="K498" s="51" t="s">
        <v>3650</v>
      </c>
      <c r="L498" s="51" t="s">
        <v>211</v>
      </c>
      <c r="M498" s="62" t="s">
        <v>22</v>
      </c>
      <c r="N498" s="62" t="s">
        <v>27</v>
      </c>
      <c r="O498" s="62" t="s">
        <v>22</v>
      </c>
      <c r="P498" s="62"/>
      <c r="Q498" s="62"/>
      <c r="R498" s="145"/>
      <c r="S498" s="51"/>
      <c r="T498" s="51"/>
      <c r="U498" s="52"/>
      <c r="V498" s="52"/>
      <c r="W498" s="52"/>
      <c r="X498" s="78">
        <v>43187</v>
      </c>
      <c r="Y498" s="45" t="s">
        <v>27</v>
      </c>
      <c r="Z498" s="45" t="s">
        <v>27</v>
      </c>
      <c r="AA498" s="51" t="s">
        <v>27</v>
      </c>
      <c r="AB498" s="51"/>
      <c r="AC498" s="169"/>
    </row>
    <row r="499" spans="1:29" ht="15" hidden="1" customHeight="1">
      <c r="A499" s="62" t="s">
        <v>1244</v>
      </c>
      <c r="B499" s="51" t="s">
        <v>2282</v>
      </c>
      <c r="C499" s="179" t="s">
        <v>27</v>
      </c>
      <c r="D499" s="180" t="s">
        <v>4219</v>
      </c>
      <c r="E499" s="62" t="s">
        <v>17</v>
      </c>
      <c r="F499" s="53">
        <v>3648229</v>
      </c>
      <c r="G499" s="51"/>
      <c r="H499" s="51" t="s">
        <v>20</v>
      </c>
      <c r="I499" s="43" t="s">
        <v>21</v>
      </c>
      <c r="J499" s="44" t="s">
        <v>3675</v>
      </c>
      <c r="K499" s="53" t="s">
        <v>337</v>
      </c>
      <c r="L499" s="51" t="s">
        <v>211</v>
      </c>
      <c r="M499" s="62" t="s">
        <v>22</v>
      </c>
      <c r="N499" s="62" t="s">
        <v>22</v>
      </c>
      <c r="O499" s="62" t="s">
        <v>22</v>
      </c>
      <c r="P499" s="51"/>
      <c r="Q499" s="51"/>
      <c r="R499" s="51"/>
      <c r="S499" s="51"/>
      <c r="T499" s="53"/>
      <c r="U499" s="138"/>
      <c r="V499" s="138"/>
      <c r="W499" s="138"/>
      <c r="X499" s="78"/>
      <c r="Y499" s="45" t="s">
        <v>27</v>
      </c>
      <c r="Z499" s="45" t="s">
        <v>27</v>
      </c>
      <c r="AA499" s="51" t="s">
        <v>27</v>
      </c>
      <c r="AB499" s="51"/>
      <c r="AC499" s="169"/>
    </row>
    <row r="500" spans="1:29" ht="15" hidden="1" customHeight="1">
      <c r="A500" s="62" t="s">
        <v>1244</v>
      </c>
      <c r="B500" s="51" t="s">
        <v>2287</v>
      </c>
      <c r="C500" s="179" t="s">
        <v>27</v>
      </c>
      <c r="D500" s="180" t="s">
        <v>4221</v>
      </c>
      <c r="E500" s="62" t="s">
        <v>17</v>
      </c>
      <c r="F500" s="53">
        <v>3648456</v>
      </c>
      <c r="G500" s="51"/>
      <c r="H500" s="51" t="s">
        <v>20</v>
      </c>
      <c r="I500" s="43" t="s">
        <v>21</v>
      </c>
      <c r="J500" s="44" t="s">
        <v>3674</v>
      </c>
      <c r="K500" s="53" t="s">
        <v>337</v>
      </c>
      <c r="L500" s="51" t="s">
        <v>211</v>
      </c>
      <c r="M500" s="62" t="s">
        <v>22</v>
      </c>
      <c r="N500" s="62" t="s">
        <v>22</v>
      </c>
      <c r="O500" s="62" t="s">
        <v>22</v>
      </c>
      <c r="P500" s="51"/>
      <c r="Q500" s="51"/>
      <c r="R500" s="51"/>
      <c r="S500" s="51"/>
      <c r="T500" s="53"/>
      <c r="U500" s="138"/>
      <c r="V500" s="138"/>
      <c r="W500" s="138"/>
      <c r="X500" s="78"/>
      <c r="Y500" s="45" t="s">
        <v>27</v>
      </c>
      <c r="Z500" s="45" t="s">
        <v>27</v>
      </c>
      <c r="AA500" s="51" t="s">
        <v>27</v>
      </c>
      <c r="AB500" s="51"/>
      <c r="AC500" s="169"/>
    </row>
    <row r="501" spans="1:29" ht="15" hidden="1" customHeight="1">
      <c r="A501" s="62" t="s">
        <v>1244</v>
      </c>
      <c r="B501" s="51" t="s">
        <v>2283</v>
      </c>
      <c r="C501" s="179" t="s">
        <v>27</v>
      </c>
      <c r="D501" s="180" t="s">
        <v>2227</v>
      </c>
      <c r="E501" s="62" t="s">
        <v>17</v>
      </c>
      <c r="F501" s="53">
        <v>3648478</v>
      </c>
      <c r="G501" s="51"/>
      <c r="H501" s="51" t="s">
        <v>20</v>
      </c>
      <c r="I501" s="43" t="s">
        <v>21</v>
      </c>
      <c r="J501" s="51"/>
      <c r="K501" s="53" t="s">
        <v>337</v>
      </c>
      <c r="L501" s="51" t="s">
        <v>211</v>
      </c>
      <c r="M501" s="62" t="s">
        <v>22</v>
      </c>
      <c r="N501" s="62" t="s">
        <v>22</v>
      </c>
      <c r="O501" s="62" t="s">
        <v>2227</v>
      </c>
      <c r="P501" s="51"/>
      <c r="Q501" s="51"/>
      <c r="R501" s="51"/>
      <c r="S501" s="51"/>
      <c r="T501" s="53"/>
      <c r="U501" s="138"/>
      <c r="V501" s="138"/>
      <c r="W501" s="138"/>
      <c r="X501" s="78"/>
      <c r="Y501" s="45" t="s">
        <v>27</v>
      </c>
      <c r="Z501" s="45" t="s">
        <v>27</v>
      </c>
      <c r="AA501" s="51" t="s">
        <v>27</v>
      </c>
      <c r="AB501" s="51"/>
      <c r="AC501" s="169"/>
    </row>
    <row r="502" spans="1:29" ht="15" hidden="1" customHeight="1">
      <c r="A502" s="62" t="s">
        <v>1244</v>
      </c>
      <c r="B502" s="51" t="s">
        <v>2284</v>
      </c>
      <c r="C502" s="179" t="s">
        <v>27</v>
      </c>
      <c r="D502" s="180" t="s">
        <v>2761</v>
      </c>
      <c r="E502" s="62" t="s">
        <v>17</v>
      </c>
      <c r="F502" s="53">
        <v>3648446</v>
      </c>
      <c r="G502" s="51"/>
      <c r="H502" s="51" t="s">
        <v>20</v>
      </c>
      <c r="I502" s="43" t="s">
        <v>21</v>
      </c>
      <c r="J502" s="44" t="s">
        <v>3675</v>
      </c>
      <c r="K502" s="53" t="s">
        <v>337</v>
      </c>
      <c r="L502" s="51" t="s">
        <v>211</v>
      </c>
      <c r="M502" s="62" t="s">
        <v>22</v>
      </c>
      <c r="N502" s="62" t="s">
        <v>22</v>
      </c>
      <c r="O502" s="62" t="s">
        <v>3639</v>
      </c>
      <c r="P502" s="51"/>
      <c r="Q502" s="51"/>
      <c r="R502" s="51"/>
      <c r="S502" s="51"/>
      <c r="T502" s="53"/>
      <c r="U502" s="138"/>
      <c r="V502" s="138"/>
      <c r="W502" s="138"/>
      <c r="X502" s="78"/>
      <c r="Y502" s="45" t="s">
        <v>27</v>
      </c>
      <c r="Z502" s="45" t="s">
        <v>27</v>
      </c>
      <c r="AA502" s="51" t="s">
        <v>27</v>
      </c>
      <c r="AB502" s="51"/>
      <c r="AC502" s="169"/>
    </row>
    <row r="503" spans="1:29" ht="15" hidden="1" customHeight="1">
      <c r="A503" s="62" t="s">
        <v>1244</v>
      </c>
      <c r="B503" s="51" t="s">
        <v>2285</v>
      </c>
      <c r="C503" s="179" t="s">
        <v>27</v>
      </c>
      <c r="D503" s="180" t="s">
        <v>4219</v>
      </c>
      <c r="E503" s="62" t="s">
        <v>17</v>
      </c>
      <c r="F503" s="53">
        <v>3648292</v>
      </c>
      <c r="G503" s="51"/>
      <c r="H503" s="51" t="s">
        <v>20</v>
      </c>
      <c r="I503" s="43" t="s">
        <v>21</v>
      </c>
      <c r="J503" s="44" t="s">
        <v>3675</v>
      </c>
      <c r="K503" s="53" t="s">
        <v>337</v>
      </c>
      <c r="L503" s="51" t="s">
        <v>211</v>
      </c>
      <c r="M503" s="62" t="s">
        <v>22</v>
      </c>
      <c r="N503" s="62" t="s">
        <v>22</v>
      </c>
      <c r="O503" s="62" t="s">
        <v>22</v>
      </c>
      <c r="P503" s="51"/>
      <c r="Q503" s="51"/>
      <c r="R503" s="51"/>
      <c r="S503" s="51"/>
      <c r="T503" s="53"/>
      <c r="U503" s="138"/>
      <c r="V503" s="138"/>
      <c r="W503" s="138"/>
      <c r="X503" s="78"/>
      <c r="Y503" s="45" t="s">
        <v>27</v>
      </c>
      <c r="Z503" s="45" t="s">
        <v>27</v>
      </c>
      <c r="AA503" s="51" t="s">
        <v>27</v>
      </c>
      <c r="AB503" s="51"/>
      <c r="AC503" s="169"/>
    </row>
    <row r="504" spans="1:29" ht="15" hidden="1" customHeight="1">
      <c r="A504" s="62" t="s">
        <v>1244</v>
      </c>
      <c r="B504" s="51" t="s">
        <v>2286</v>
      </c>
      <c r="C504" s="179" t="s">
        <v>27</v>
      </c>
      <c r="D504" s="180" t="s">
        <v>4219</v>
      </c>
      <c r="E504" s="62" t="s">
        <v>17</v>
      </c>
      <c r="F504" s="139">
        <v>3648475</v>
      </c>
      <c r="G504" s="51"/>
      <c r="H504" s="51" t="s">
        <v>20</v>
      </c>
      <c r="I504" s="43" t="s">
        <v>21</v>
      </c>
      <c r="J504" s="44" t="s">
        <v>3675</v>
      </c>
      <c r="K504" s="53" t="s">
        <v>337</v>
      </c>
      <c r="L504" s="51" t="s">
        <v>211</v>
      </c>
      <c r="M504" s="62" t="s">
        <v>22</v>
      </c>
      <c r="N504" s="62" t="s">
        <v>22</v>
      </c>
      <c r="O504" s="62" t="s">
        <v>22</v>
      </c>
      <c r="P504" s="51"/>
      <c r="Q504" s="51"/>
      <c r="R504" s="51"/>
      <c r="S504" s="51"/>
      <c r="T504" s="53"/>
      <c r="U504" s="138"/>
      <c r="V504" s="138"/>
      <c r="W504" s="138"/>
      <c r="X504" s="78"/>
      <c r="Y504" s="45" t="s">
        <v>27</v>
      </c>
      <c r="Z504" s="45" t="s">
        <v>27</v>
      </c>
      <c r="AA504" s="51" t="s">
        <v>27</v>
      </c>
      <c r="AB504" s="51"/>
      <c r="AC504" s="181"/>
    </row>
    <row r="505" spans="1:29" s="68" customFormat="1" ht="15" hidden="1" customHeight="1" thickBot="1">
      <c r="A505" s="62" t="s">
        <v>336</v>
      </c>
      <c r="B505" s="46" t="s">
        <v>338</v>
      </c>
      <c r="C505" s="46" t="s">
        <v>27</v>
      </c>
      <c r="D505" s="67" t="s">
        <v>25</v>
      </c>
      <c r="E505" s="62" t="s">
        <v>953</v>
      </c>
      <c r="F505" s="62" t="s">
        <v>954</v>
      </c>
      <c r="G505" s="43"/>
      <c r="H505" s="62" t="s">
        <v>20</v>
      </c>
      <c r="I505" s="43" t="s">
        <v>21</v>
      </c>
      <c r="J505" s="44" t="s">
        <v>3675</v>
      </c>
      <c r="K505" s="65" t="s">
        <v>337</v>
      </c>
      <c r="L505" s="51" t="s">
        <v>211</v>
      </c>
      <c r="M505" s="62" t="s">
        <v>955</v>
      </c>
      <c r="N505" s="62" t="s">
        <v>955</v>
      </c>
      <c r="O505" s="62" t="s">
        <v>3639</v>
      </c>
      <c r="P505" s="62" t="s">
        <v>3819</v>
      </c>
      <c r="Q505" s="246">
        <v>70002</v>
      </c>
      <c r="R505" s="43"/>
      <c r="S505" s="63" t="s">
        <v>956</v>
      </c>
      <c r="T505" s="44">
        <v>4846495811</v>
      </c>
      <c r="U505" s="116">
        <v>440152238700</v>
      </c>
      <c r="V505" s="63"/>
      <c r="W505" s="63"/>
      <c r="X505" s="62">
        <v>43168</v>
      </c>
      <c r="Y505" s="45" t="s">
        <v>27</v>
      </c>
      <c r="Z505" s="45" t="s">
        <v>27</v>
      </c>
      <c r="AA505" s="45" t="s">
        <v>27</v>
      </c>
      <c r="AB505" s="45"/>
      <c r="AC505" s="169"/>
    </row>
    <row r="506" spans="1:29" s="68" customFormat="1" ht="15" hidden="1" customHeight="1" thickBot="1">
      <c r="A506" s="62" t="s">
        <v>336</v>
      </c>
      <c r="B506" s="43" t="s">
        <v>339</v>
      </c>
      <c r="C506" s="46" t="s">
        <v>27</v>
      </c>
      <c r="D506" s="67" t="s">
        <v>25</v>
      </c>
      <c r="E506" s="62" t="s">
        <v>953</v>
      </c>
      <c r="F506" s="62" t="s">
        <v>957</v>
      </c>
      <c r="G506" s="43"/>
      <c r="H506" s="62" t="s">
        <v>20</v>
      </c>
      <c r="I506" s="43" t="s">
        <v>21</v>
      </c>
      <c r="J506" s="51" t="s">
        <v>876</v>
      </c>
      <c r="K506" s="44" t="s">
        <v>206</v>
      </c>
      <c r="L506" s="51" t="s">
        <v>211</v>
      </c>
      <c r="M506" s="62" t="s">
        <v>955</v>
      </c>
      <c r="N506" s="62" t="s">
        <v>27</v>
      </c>
      <c r="O506" s="62" t="s">
        <v>3639</v>
      </c>
      <c r="P506" s="62" t="s">
        <v>3824</v>
      </c>
      <c r="Q506" s="246">
        <v>70003</v>
      </c>
      <c r="R506" s="147"/>
      <c r="S506" s="94" t="s">
        <v>1867</v>
      </c>
      <c r="T506" s="94">
        <v>440152249345</v>
      </c>
      <c r="U506" s="117">
        <v>440152249345</v>
      </c>
      <c r="V506" s="94"/>
      <c r="W506" s="94"/>
      <c r="X506" s="62"/>
      <c r="Y506" s="45" t="s">
        <v>27</v>
      </c>
      <c r="Z506" s="45" t="s">
        <v>27</v>
      </c>
      <c r="AA506" s="45" t="s">
        <v>27</v>
      </c>
      <c r="AB506" s="45"/>
      <c r="AC506" s="169"/>
    </row>
    <row r="507" spans="1:29" s="68" customFormat="1" ht="15" hidden="1" customHeight="1" thickBot="1">
      <c r="A507" s="62" t="s">
        <v>336</v>
      </c>
      <c r="B507" s="43" t="s">
        <v>340</v>
      </c>
      <c r="C507" s="46" t="s">
        <v>27</v>
      </c>
      <c r="D507" s="67" t="s">
        <v>25</v>
      </c>
      <c r="E507" s="62" t="s">
        <v>953</v>
      </c>
      <c r="F507" s="62" t="s">
        <v>958</v>
      </c>
      <c r="G507" s="43"/>
      <c r="H507" s="62" t="s">
        <v>20</v>
      </c>
      <c r="I507" s="43" t="s">
        <v>21</v>
      </c>
      <c r="J507" s="44" t="s">
        <v>3674</v>
      </c>
      <c r="K507" s="65" t="s">
        <v>337</v>
      </c>
      <c r="L507" s="51" t="s">
        <v>211</v>
      </c>
      <c r="M507" s="62" t="s">
        <v>955</v>
      </c>
      <c r="N507" s="62" t="s">
        <v>22</v>
      </c>
      <c r="O507" s="62" t="s">
        <v>3639</v>
      </c>
      <c r="P507" s="62" t="s">
        <v>3822</v>
      </c>
      <c r="Q507" s="246">
        <v>70004</v>
      </c>
      <c r="R507" s="43"/>
      <c r="S507" s="63" t="s">
        <v>959</v>
      </c>
      <c r="T507" s="44">
        <v>4845158223</v>
      </c>
      <c r="U507" s="116">
        <v>440152238689</v>
      </c>
      <c r="V507" s="63"/>
      <c r="W507" s="63"/>
      <c r="X507" s="62"/>
      <c r="Y507" s="45" t="s">
        <v>27</v>
      </c>
      <c r="Z507" s="45" t="s">
        <v>27</v>
      </c>
      <c r="AA507" s="45" t="s">
        <v>27</v>
      </c>
      <c r="AB507" s="45"/>
      <c r="AC507" s="169"/>
    </row>
    <row r="508" spans="1:29" s="207" customFormat="1" ht="15" hidden="1" customHeight="1" thickBot="1">
      <c r="A508" s="62" t="s">
        <v>336</v>
      </c>
      <c r="B508" s="62" t="s">
        <v>341</v>
      </c>
      <c r="C508" s="184" t="s">
        <v>22</v>
      </c>
      <c r="D508" s="67" t="s">
        <v>25</v>
      </c>
      <c r="E508" s="62" t="s">
        <v>953</v>
      </c>
      <c r="F508" s="62" t="s">
        <v>960</v>
      </c>
      <c r="G508" s="62"/>
      <c r="H508" s="62" t="s">
        <v>20</v>
      </c>
      <c r="I508" s="62" t="s">
        <v>21</v>
      </c>
      <c r="J508" s="51" t="s">
        <v>3674</v>
      </c>
      <c r="K508" s="65" t="s">
        <v>337</v>
      </c>
      <c r="L508" s="51" t="s">
        <v>2351</v>
      </c>
      <c r="M508" s="62" t="s">
        <v>955</v>
      </c>
      <c r="N508" s="62" t="s">
        <v>27</v>
      </c>
      <c r="O508" s="62" t="s">
        <v>3639</v>
      </c>
      <c r="P508" s="62" t="s">
        <v>3823</v>
      </c>
      <c r="Q508" s="246">
        <v>70004</v>
      </c>
      <c r="R508" s="62"/>
      <c r="S508" s="63" t="s">
        <v>961</v>
      </c>
      <c r="T508" s="67">
        <v>9717277633</v>
      </c>
      <c r="U508" s="116">
        <v>440152249238</v>
      </c>
      <c r="V508" s="63"/>
      <c r="W508" s="63"/>
      <c r="X508" s="62"/>
      <c r="Y508" s="205" t="s">
        <v>27</v>
      </c>
      <c r="Z508" s="205" t="s">
        <v>27</v>
      </c>
      <c r="AA508" s="205" t="s">
        <v>27</v>
      </c>
      <c r="AB508" s="205"/>
      <c r="AC508" s="206"/>
    </row>
    <row r="509" spans="1:29" s="68" customFormat="1" ht="15" hidden="1" customHeight="1" thickBot="1">
      <c r="A509" s="62" t="s">
        <v>336</v>
      </c>
      <c r="B509" s="43" t="s">
        <v>342</v>
      </c>
      <c r="C509" s="46" t="s">
        <v>27</v>
      </c>
      <c r="D509" s="67" t="s">
        <v>2761</v>
      </c>
      <c r="E509" s="62" t="s">
        <v>17</v>
      </c>
      <c r="F509" s="62" t="s">
        <v>5163</v>
      </c>
      <c r="G509" s="43"/>
      <c r="H509" s="62" t="s">
        <v>20</v>
      </c>
      <c r="I509" s="43" t="s">
        <v>21</v>
      </c>
      <c r="J509" s="44" t="s">
        <v>3675</v>
      </c>
      <c r="K509" s="65" t="s">
        <v>337</v>
      </c>
      <c r="L509" s="51" t="s">
        <v>211</v>
      </c>
      <c r="M509" s="62" t="s">
        <v>955</v>
      </c>
      <c r="N509" s="62" t="s">
        <v>955</v>
      </c>
      <c r="O509" s="62" t="s">
        <v>3639</v>
      </c>
      <c r="P509" s="62" t="s">
        <v>3819</v>
      </c>
      <c r="Q509" s="246">
        <v>70004</v>
      </c>
      <c r="R509" s="43"/>
      <c r="S509" s="63" t="s">
        <v>962</v>
      </c>
      <c r="T509" s="44">
        <v>5034427037</v>
      </c>
      <c r="U509" s="116">
        <v>440152239030</v>
      </c>
      <c r="V509" s="63"/>
      <c r="W509" s="63"/>
      <c r="X509" s="62"/>
      <c r="Y509" s="45" t="s">
        <v>27</v>
      </c>
      <c r="Z509" s="45" t="s">
        <v>27</v>
      </c>
      <c r="AA509" s="45" t="s">
        <v>27</v>
      </c>
      <c r="AB509" s="45"/>
      <c r="AC509" s="169"/>
    </row>
    <row r="510" spans="1:29" s="68" customFormat="1" ht="15" hidden="1" customHeight="1" thickBot="1">
      <c r="A510" s="62" t="s">
        <v>336</v>
      </c>
      <c r="B510" s="44" t="s">
        <v>343</v>
      </c>
      <c r="C510" s="46" t="s">
        <v>27</v>
      </c>
      <c r="D510" s="67" t="s">
        <v>2759</v>
      </c>
      <c r="E510" s="62" t="s">
        <v>17</v>
      </c>
      <c r="F510" s="62" t="s">
        <v>963</v>
      </c>
      <c r="G510" s="43"/>
      <c r="H510" s="62" t="s">
        <v>20</v>
      </c>
      <c r="I510" s="43" t="s">
        <v>60</v>
      </c>
      <c r="J510" s="167" t="s">
        <v>3676</v>
      </c>
      <c r="K510" s="65" t="s">
        <v>3663</v>
      </c>
      <c r="L510" s="51" t="s">
        <v>211</v>
      </c>
      <c r="M510" s="62" t="s">
        <v>955</v>
      </c>
      <c r="N510" s="62" t="s">
        <v>955</v>
      </c>
      <c r="O510" s="62" t="s">
        <v>3639</v>
      </c>
      <c r="P510" s="62" t="s">
        <v>3822</v>
      </c>
      <c r="Q510" s="246">
        <v>70004</v>
      </c>
      <c r="R510" s="43"/>
      <c r="S510" s="63" t="s">
        <v>964</v>
      </c>
      <c r="T510" s="44">
        <v>5034443872</v>
      </c>
      <c r="U510" s="116">
        <v>440152239034</v>
      </c>
      <c r="V510" s="63"/>
      <c r="W510" s="63"/>
      <c r="X510" s="62"/>
      <c r="Y510" s="45" t="s">
        <v>27</v>
      </c>
      <c r="Z510" s="45" t="s">
        <v>27</v>
      </c>
      <c r="AA510" s="45" t="s">
        <v>27</v>
      </c>
      <c r="AB510" s="45"/>
      <c r="AC510" s="169"/>
    </row>
    <row r="511" spans="1:29" s="68" customFormat="1" ht="15" hidden="1" customHeight="1" thickBot="1">
      <c r="A511" s="62" t="s">
        <v>336</v>
      </c>
      <c r="B511" s="43" t="s">
        <v>344</v>
      </c>
      <c r="C511" s="46" t="s">
        <v>27</v>
      </c>
      <c r="D511" s="67" t="s">
        <v>25</v>
      </c>
      <c r="E511" s="62" t="s">
        <v>17</v>
      </c>
      <c r="F511" s="62" t="s">
        <v>966</v>
      </c>
      <c r="G511" s="43"/>
      <c r="H511" s="62" t="s">
        <v>20</v>
      </c>
      <c r="I511" s="43" t="s">
        <v>21</v>
      </c>
      <c r="J511" s="44" t="s">
        <v>3674</v>
      </c>
      <c r="K511" s="65" t="s">
        <v>337</v>
      </c>
      <c r="L511" s="51" t="s">
        <v>211</v>
      </c>
      <c r="M511" s="62" t="s">
        <v>955</v>
      </c>
      <c r="N511" s="62" t="s">
        <v>955</v>
      </c>
      <c r="O511" s="62" t="s">
        <v>3639</v>
      </c>
      <c r="P511" s="62" t="s">
        <v>3822</v>
      </c>
      <c r="Q511" s="246">
        <v>70004</v>
      </c>
      <c r="R511" s="43"/>
      <c r="S511" s="63" t="s">
        <v>967</v>
      </c>
      <c r="T511" s="44">
        <v>4084768449</v>
      </c>
      <c r="U511" s="116">
        <v>440152239035</v>
      </c>
      <c r="V511" s="63"/>
      <c r="W511" s="63"/>
      <c r="X511" s="62"/>
      <c r="Y511" s="45" t="s">
        <v>27</v>
      </c>
      <c r="Z511" s="45" t="s">
        <v>27</v>
      </c>
      <c r="AA511" s="45" t="s">
        <v>27</v>
      </c>
      <c r="AB511" s="45"/>
      <c r="AC511" s="169"/>
    </row>
    <row r="512" spans="1:29" s="155" customFormat="1" ht="15" hidden="1" customHeight="1" thickBot="1">
      <c r="A512" s="87" t="s">
        <v>336</v>
      </c>
      <c r="B512" s="87" t="s">
        <v>345</v>
      </c>
      <c r="C512" s="243" t="s">
        <v>27</v>
      </c>
      <c r="D512" s="151"/>
      <c r="E512" s="87" t="s">
        <v>17</v>
      </c>
      <c r="F512" s="87" t="s">
        <v>968</v>
      </c>
      <c r="G512" s="87"/>
      <c r="H512" s="87" t="s">
        <v>20</v>
      </c>
      <c r="I512" s="87" t="s">
        <v>21</v>
      </c>
      <c r="J512" s="151" t="s">
        <v>3675</v>
      </c>
      <c r="K512" s="244" t="s">
        <v>337</v>
      </c>
      <c r="L512" s="51" t="s">
        <v>211</v>
      </c>
      <c r="M512" s="87" t="s">
        <v>955</v>
      </c>
      <c r="N512" s="87" t="s">
        <v>955</v>
      </c>
      <c r="O512" s="87"/>
      <c r="P512" s="87"/>
      <c r="Q512" s="286">
        <v>70004</v>
      </c>
      <c r="R512" s="87"/>
      <c r="S512" s="152" t="s">
        <v>969</v>
      </c>
      <c r="T512" s="151">
        <v>5033804525</v>
      </c>
      <c r="U512" s="153">
        <v>440152238690</v>
      </c>
      <c r="V512" s="152"/>
      <c r="W512" s="152"/>
      <c r="X512" s="87"/>
      <c r="Y512" s="146" t="s">
        <v>27</v>
      </c>
      <c r="Z512" s="146" t="s">
        <v>27</v>
      </c>
      <c r="AA512" s="146" t="s">
        <v>22</v>
      </c>
      <c r="AB512" s="146" t="s">
        <v>2475</v>
      </c>
      <c r="AC512" s="170" t="s">
        <v>970</v>
      </c>
    </row>
    <row r="513" spans="1:29" s="68" customFormat="1" ht="15" hidden="1" customHeight="1" thickBot="1">
      <c r="A513" s="62" t="s">
        <v>336</v>
      </c>
      <c r="B513" s="43" t="s">
        <v>346</v>
      </c>
      <c r="C513" s="46" t="s">
        <v>27</v>
      </c>
      <c r="D513" s="67" t="s">
        <v>25</v>
      </c>
      <c r="E513" s="62" t="s">
        <v>17</v>
      </c>
      <c r="F513" s="62" t="s">
        <v>971</v>
      </c>
      <c r="G513" s="43"/>
      <c r="H513" s="62" t="s">
        <v>20</v>
      </c>
      <c r="I513" s="43" t="s">
        <v>21</v>
      </c>
      <c r="J513" s="44" t="s">
        <v>3675</v>
      </c>
      <c r="K513" s="65" t="s">
        <v>337</v>
      </c>
      <c r="L513" s="51" t="s">
        <v>211</v>
      </c>
      <c r="M513" s="62" t="s">
        <v>955</v>
      </c>
      <c r="N513" s="62" t="s">
        <v>955</v>
      </c>
      <c r="O513" s="62" t="s">
        <v>3639</v>
      </c>
      <c r="P513" s="62" t="s">
        <v>3819</v>
      </c>
      <c r="Q513" s="246">
        <v>70004</v>
      </c>
      <c r="R513" s="43"/>
      <c r="S513" s="63" t="s">
        <v>972</v>
      </c>
      <c r="T513" s="44">
        <v>6105704834</v>
      </c>
      <c r="U513" s="116">
        <v>440152239031</v>
      </c>
      <c r="V513" s="63"/>
      <c r="W513" s="63"/>
      <c r="X513" s="62"/>
      <c r="Y513" s="45" t="s">
        <v>27</v>
      </c>
      <c r="Z513" s="45" t="s">
        <v>27</v>
      </c>
      <c r="AA513" s="45" t="s">
        <v>27</v>
      </c>
      <c r="AB513" s="45"/>
      <c r="AC513" s="169"/>
    </row>
    <row r="514" spans="1:29" s="68" customFormat="1" ht="15" hidden="1" customHeight="1" thickBot="1">
      <c r="A514" s="62" t="s">
        <v>336</v>
      </c>
      <c r="B514" s="44" t="s">
        <v>347</v>
      </c>
      <c r="C514" s="46" t="s">
        <v>27</v>
      </c>
      <c r="D514" s="67" t="s">
        <v>25</v>
      </c>
      <c r="E514" s="62" t="s">
        <v>17</v>
      </c>
      <c r="F514" s="62" t="s">
        <v>973</v>
      </c>
      <c r="G514" s="43"/>
      <c r="H514" s="62" t="s">
        <v>20</v>
      </c>
      <c r="I514" s="43" t="s">
        <v>21</v>
      </c>
      <c r="J514" s="44" t="s">
        <v>3674</v>
      </c>
      <c r="K514" s="65" t="s">
        <v>337</v>
      </c>
      <c r="L514" s="51" t="s">
        <v>211</v>
      </c>
      <c r="M514" s="62" t="s">
        <v>955</v>
      </c>
      <c r="N514" s="62" t="s">
        <v>955</v>
      </c>
      <c r="O514" s="62" t="s">
        <v>3639</v>
      </c>
      <c r="P514" s="62" t="s">
        <v>3822</v>
      </c>
      <c r="Q514" s="246">
        <v>70004</v>
      </c>
      <c r="R514" s="43"/>
      <c r="S514" s="63" t="s">
        <v>974</v>
      </c>
      <c r="T514" s="44">
        <v>4843755068</v>
      </c>
      <c r="U514" s="116">
        <v>440152238686</v>
      </c>
      <c r="V514" s="63"/>
      <c r="W514" s="63"/>
      <c r="X514" s="62"/>
      <c r="Y514" s="45" t="s">
        <v>27</v>
      </c>
      <c r="Z514" s="45" t="s">
        <v>27</v>
      </c>
      <c r="AA514" s="45" t="s">
        <v>27</v>
      </c>
      <c r="AB514" s="45"/>
      <c r="AC514" s="169"/>
    </row>
    <row r="515" spans="1:29" s="68" customFormat="1" ht="15" hidden="1" customHeight="1" thickBot="1">
      <c r="A515" s="62" t="s">
        <v>336</v>
      </c>
      <c r="B515" s="44" t="s">
        <v>348</v>
      </c>
      <c r="C515" s="46" t="s">
        <v>27</v>
      </c>
      <c r="D515" s="67" t="s">
        <v>2761</v>
      </c>
      <c r="E515" s="62" t="s">
        <v>17</v>
      </c>
      <c r="F515" s="62" t="s">
        <v>975</v>
      </c>
      <c r="G515" s="43"/>
      <c r="H515" s="62" t="s">
        <v>20</v>
      </c>
      <c r="I515" s="43" t="s">
        <v>21</v>
      </c>
      <c r="J515" s="51" t="s">
        <v>876</v>
      </c>
      <c r="K515" s="44" t="s">
        <v>206</v>
      </c>
      <c r="L515" s="51" t="s">
        <v>211</v>
      </c>
      <c r="M515" s="62" t="s">
        <v>955</v>
      </c>
      <c r="N515" s="62" t="s">
        <v>27</v>
      </c>
      <c r="O515" s="62" t="s">
        <v>3639</v>
      </c>
      <c r="P515" s="62" t="s">
        <v>3824</v>
      </c>
      <c r="Q515" s="246">
        <v>70004</v>
      </c>
      <c r="R515" s="43"/>
      <c r="S515" s="63" t="s">
        <v>976</v>
      </c>
      <c r="T515" s="44">
        <v>4087617688</v>
      </c>
      <c r="U515" s="116">
        <v>440152249322</v>
      </c>
      <c r="V515" s="63"/>
      <c r="W515" s="63"/>
      <c r="X515" s="62"/>
      <c r="Y515" s="45" t="s">
        <v>27</v>
      </c>
      <c r="Z515" s="45" t="s">
        <v>27</v>
      </c>
      <c r="AA515" s="45" t="s">
        <v>27</v>
      </c>
      <c r="AB515" s="45"/>
      <c r="AC515" s="169"/>
    </row>
    <row r="516" spans="1:29" s="68" customFormat="1" ht="15" hidden="1" customHeight="1" thickBot="1">
      <c r="A516" s="62" t="s">
        <v>336</v>
      </c>
      <c r="B516" s="44" t="s">
        <v>350</v>
      </c>
      <c r="C516" s="46" t="s">
        <v>27</v>
      </c>
      <c r="D516" s="67" t="s">
        <v>2759</v>
      </c>
      <c r="E516" s="62" t="s">
        <v>17</v>
      </c>
      <c r="F516" s="62" t="s">
        <v>977</v>
      </c>
      <c r="G516" s="43"/>
      <c r="H516" s="62" t="s">
        <v>20</v>
      </c>
      <c r="I516" s="43" t="s">
        <v>21</v>
      </c>
      <c r="J516" s="44" t="s">
        <v>3675</v>
      </c>
      <c r="K516" s="65" t="s">
        <v>337</v>
      </c>
      <c r="L516" s="51" t="s">
        <v>211</v>
      </c>
      <c r="M516" s="62" t="s">
        <v>955</v>
      </c>
      <c r="N516" s="62" t="s">
        <v>955</v>
      </c>
      <c r="O516" s="62" t="s">
        <v>3639</v>
      </c>
      <c r="P516" s="248" t="s">
        <v>3821</v>
      </c>
      <c r="Q516" s="246">
        <v>70004</v>
      </c>
      <c r="R516" s="43"/>
      <c r="S516" s="63" t="s">
        <v>978</v>
      </c>
      <c r="T516" s="44">
        <v>5035160031</v>
      </c>
      <c r="U516" s="116">
        <v>440152249253</v>
      </c>
      <c r="V516" s="63"/>
      <c r="W516" s="63"/>
      <c r="X516" s="62"/>
      <c r="Y516" s="45" t="s">
        <v>27</v>
      </c>
      <c r="Z516" s="45" t="s">
        <v>27</v>
      </c>
      <c r="AA516" s="45" t="s">
        <v>27</v>
      </c>
      <c r="AB516" s="45"/>
      <c r="AC516" s="169"/>
    </row>
    <row r="517" spans="1:29" s="68" customFormat="1" ht="15" hidden="1" customHeight="1" thickBot="1">
      <c r="A517" s="62" t="s">
        <v>336</v>
      </c>
      <c r="B517" s="44" t="s">
        <v>351</v>
      </c>
      <c r="C517" s="46" t="s">
        <v>27</v>
      </c>
      <c r="D517" s="67" t="s">
        <v>2759</v>
      </c>
      <c r="E517" s="62" t="s">
        <v>17</v>
      </c>
      <c r="F517" s="62" t="s">
        <v>979</v>
      </c>
      <c r="G517" s="43"/>
      <c r="H517" s="62" t="s">
        <v>20</v>
      </c>
      <c r="I517" s="43" t="s">
        <v>21</v>
      </c>
      <c r="J517" s="44" t="s">
        <v>3674</v>
      </c>
      <c r="K517" s="65" t="s">
        <v>337</v>
      </c>
      <c r="L517" s="51" t="s">
        <v>211</v>
      </c>
      <c r="M517" s="62" t="s">
        <v>955</v>
      </c>
      <c r="N517" s="62" t="s">
        <v>955</v>
      </c>
      <c r="O517" s="62" t="s">
        <v>3639</v>
      </c>
      <c r="P517" s="62" t="s">
        <v>3822</v>
      </c>
      <c r="Q517" s="246">
        <v>70004</v>
      </c>
      <c r="R517" s="43"/>
      <c r="S517" s="63" t="s">
        <v>980</v>
      </c>
      <c r="T517" s="44">
        <v>4084398108</v>
      </c>
      <c r="U517" s="116">
        <v>440152238702</v>
      </c>
      <c r="V517" s="63"/>
      <c r="W517" s="63"/>
      <c r="X517" s="62"/>
      <c r="Y517" s="45" t="s">
        <v>27</v>
      </c>
      <c r="Z517" s="45" t="s">
        <v>27</v>
      </c>
      <c r="AA517" s="45" t="s">
        <v>27</v>
      </c>
      <c r="AB517" s="45"/>
      <c r="AC517" s="169"/>
    </row>
    <row r="518" spans="1:29" s="68" customFormat="1" ht="15" hidden="1" customHeight="1" thickBot="1">
      <c r="A518" s="62" t="s">
        <v>336</v>
      </c>
      <c r="B518" s="46" t="s">
        <v>352</v>
      </c>
      <c r="C518" s="46" t="s">
        <v>27</v>
      </c>
      <c r="D518" s="67" t="s">
        <v>2758</v>
      </c>
      <c r="E518" s="62" t="s">
        <v>17</v>
      </c>
      <c r="F518" s="62" t="s">
        <v>981</v>
      </c>
      <c r="G518" s="43"/>
      <c r="H518" s="62" t="s">
        <v>20</v>
      </c>
      <c r="I518" s="43" t="s">
        <v>21</v>
      </c>
      <c r="J518" s="44" t="s">
        <v>3675</v>
      </c>
      <c r="K518" s="65" t="s">
        <v>337</v>
      </c>
      <c r="L518" s="51" t="s">
        <v>211</v>
      </c>
      <c r="M518" s="62" t="s">
        <v>955</v>
      </c>
      <c r="N518" s="62" t="s">
        <v>955</v>
      </c>
      <c r="O518" s="62" t="s">
        <v>3639</v>
      </c>
      <c r="P518" s="62" t="s">
        <v>3819</v>
      </c>
      <c r="Q518" s="246">
        <v>70004</v>
      </c>
      <c r="R518" s="43"/>
      <c r="S518" s="63" t="s">
        <v>982</v>
      </c>
      <c r="T518" s="44">
        <v>5038518687</v>
      </c>
      <c r="U518" s="116">
        <v>440152238683</v>
      </c>
      <c r="V518" s="63"/>
      <c r="W518" s="63"/>
      <c r="X518" s="62"/>
      <c r="Y518" s="45" t="s">
        <v>27</v>
      </c>
      <c r="Z518" s="45" t="s">
        <v>27</v>
      </c>
      <c r="AA518" s="45" t="s">
        <v>27</v>
      </c>
      <c r="AB518" s="45"/>
      <c r="AC518" s="169"/>
    </row>
    <row r="519" spans="1:29" s="68" customFormat="1" ht="15" hidden="1" customHeight="1" thickBot="1">
      <c r="A519" s="62" t="s">
        <v>336</v>
      </c>
      <c r="B519" s="43" t="s">
        <v>353</v>
      </c>
      <c r="C519" s="46" t="s">
        <v>27</v>
      </c>
      <c r="D519" s="67" t="s">
        <v>25</v>
      </c>
      <c r="E519" s="62" t="s">
        <v>17</v>
      </c>
      <c r="F519" s="62" t="s">
        <v>983</v>
      </c>
      <c r="G519" s="43"/>
      <c r="H519" s="62" t="s">
        <v>20</v>
      </c>
      <c r="I519" s="43" t="s">
        <v>21</v>
      </c>
      <c r="J519" s="44" t="s">
        <v>3675</v>
      </c>
      <c r="K519" s="65" t="s">
        <v>337</v>
      </c>
      <c r="L519" s="51" t="s">
        <v>211</v>
      </c>
      <c r="M519" s="62" t="s">
        <v>955</v>
      </c>
      <c r="N519" s="62" t="s">
        <v>955</v>
      </c>
      <c r="O519" s="62" t="s">
        <v>3639</v>
      </c>
      <c r="P519" s="62" t="s">
        <v>3819</v>
      </c>
      <c r="Q519" s="246">
        <v>70004</v>
      </c>
      <c r="R519" s="43"/>
      <c r="S519" s="63" t="s">
        <v>984</v>
      </c>
      <c r="T519" s="80">
        <v>4843409040</v>
      </c>
      <c r="U519" s="116">
        <v>440152239032</v>
      </c>
      <c r="V519" s="63"/>
      <c r="W519" s="63"/>
      <c r="X519" s="62"/>
      <c r="Y519" s="45" t="s">
        <v>27</v>
      </c>
      <c r="Z519" s="45" t="s">
        <v>27</v>
      </c>
      <c r="AA519" s="45" t="s">
        <v>27</v>
      </c>
      <c r="AB519" s="45"/>
      <c r="AC519" s="169"/>
    </row>
    <row r="520" spans="1:29" s="68" customFormat="1" ht="15" hidden="1" customHeight="1" thickBot="1">
      <c r="A520" s="62" t="s">
        <v>336</v>
      </c>
      <c r="B520" s="43" t="s">
        <v>354</v>
      </c>
      <c r="C520" s="46" t="s">
        <v>27</v>
      </c>
      <c r="D520" s="67" t="s">
        <v>25</v>
      </c>
      <c r="E520" s="62" t="s">
        <v>17</v>
      </c>
      <c r="F520" s="62" t="s">
        <v>985</v>
      </c>
      <c r="G520" s="43"/>
      <c r="H520" s="62" t="s">
        <v>20</v>
      </c>
      <c r="I520" s="43" t="s">
        <v>21</v>
      </c>
      <c r="J520" s="44" t="s">
        <v>876</v>
      </c>
      <c r="K520" s="44" t="s">
        <v>1586</v>
      </c>
      <c r="L520" s="51" t="s">
        <v>211</v>
      </c>
      <c r="M520" s="62" t="s">
        <v>955</v>
      </c>
      <c r="N520" s="62" t="s">
        <v>27</v>
      </c>
      <c r="O520" s="62" t="s">
        <v>3639</v>
      </c>
      <c r="P520" s="62" t="s">
        <v>3824</v>
      </c>
      <c r="Q520" s="246">
        <v>70004</v>
      </c>
      <c r="R520" s="43"/>
      <c r="S520" s="63" t="s">
        <v>986</v>
      </c>
      <c r="T520" s="80">
        <v>9717088358</v>
      </c>
      <c r="U520" s="116">
        <v>440152238696</v>
      </c>
      <c r="V520" s="63"/>
      <c r="W520" s="63"/>
      <c r="X520" s="62"/>
      <c r="Y520" s="45" t="s">
        <v>27</v>
      </c>
      <c r="Z520" s="45" t="s">
        <v>27</v>
      </c>
      <c r="AA520" s="45" t="s">
        <v>27</v>
      </c>
      <c r="AB520" s="45"/>
      <c r="AC520" s="169"/>
    </row>
    <row r="521" spans="1:29" s="68" customFormat="1" ht="15" hidden="1" customHeight="1" thickBot="1">
      <c r="A521" s="62" t="s">
        <v>336</v>
      </c>
      <c r="B521" s="43" t="s">
        <v>355</v>
      </c>
      <c r="C521" s="46" t="s">
        <v>27</v>
      </c>
      <c r="D521" s="67" t="s">
        <v>2761</v>
      </c>
      <c r="E521" s="62" t="s">
        <v>17</v>
      </c>
      <c r="F521" s="62" t="s">
        <v>987</v>
      </c>
      <c r="G521" s="43"/>
      <c r="H521" s="62" t="s">
        <v>20</v>
      </c>
      <c r="I521" s="43" t="s">
        <v>21</v>
      </c>
      <c r="J521" s="44" t="s">
        <v>3674</v>
      </c>
      <c r="K521" s="65" t="s">
        <v>337</v>
      </c>
      <c r="L521" s="51" t="s">
        <v>211</v>
      </c>
      <c r="M521" s="62" t="s">
        <v>955</v>
      </c>
      <c r="N521" s="62" t="s">
        <v>955</v>
      </c>
      <c r="O521" s="62" t="s">
        <v>3639</v>
      </c>
      <c r="P521" s="62" t="s">
        <v>3819</v>
      </c>
      <c r="Q521" s="246">
        <v>70004</v>
      </c>
      <c r="R521" s="43"/>
      <c r="S521" s="63" t="s">
        <v>988</v>
      </c>
      <c r="T521" s="80">
        <v>9713305230</v>
      </c>
      <c r="U521" s="116">
        <v>440152238644</v>
      </c>
      <c r="V521" s="63"/>
      <c r="W521" s="63"/>
      <c r="X521" s="62"/>
      <c r="Y521" s="45" t="s">
        <v>27</v>
      </c>
      <c r="Z521" s="45" t="s">
        <v>27</v>
      </c>
      <c r="AA521" s="45" t="s">
        <v>27</v>
      </c>
      <c r="AB521" s="45"/>
      <c r="AC521" s="169"/>
    </row>
    <row r="522" spans="1:29" s="68" customFormat="1" ht="15" hidden="1" customHeight="1" thickBot="1">
      <c r="A522" s="62" t="s">
        <v>336</v>
      </c>
      <c r="B522" s="43" t="s">
        <v>356</v>
      </c>
      <c r="C522" s="46" t="s">
        <v>27</v>
      </c>
      <c r="D522" s="67" t="s">
        <v>25</v>
      </c>
      <c r="E522" s="62" t="s">
        <v>17</v>
      </c>
      <c r="F522" s="62" t="s">
        <v>989</v>
      </c>
      <c r="G522" s="43"/>
      <c r="H522" s="62" t="s">
        <v>20</v>
      </c>
      <c r="I522" s="43" t="s">
        <v>21</v>
      </c>
      <c r="J522" s="44" t="s">
        <v>3674</v>
      </c>
      <c r="K522" s="65" t="s">
        <v>337</v>
      </c>
      <c r="L522" s="51" t="s">
        <v>211</v>
      </c>
      <c r="M522" s="62" t="s">
        <v>955</v>
      </c>
      <c r="N522" s="62" t="s">
        <v>955</v>
      </c>
      <c r="O522" s="62" t="s">
        <v>3639</v>
      </c>
      <c r="P522" s="62" t="s">
        <v>3823</v>
      </c>
      <c r="Q522" s="246">
        <v>70004</v>
      </c>
      <c r="R522" s="43"/>
      <c r="S522" s="69" t="s">
        <v>990</v>
      </c>
      <c r="T522" s="80">
        <v>4845228082</v>
      </c>
      <c r="U522" s="116">
        <v>440152249237</v>
      </c>
      <c r="V522" s="63"/>
      <c r="W522" s="63"/>
      <c r="X522" s="62"/>
      <c r="Y522" s="45" t="s">
        <v>27</v>
      </c>
      <c r="Z522" s="45" t="s">
        <v>27</v>
      </c>
      <c r="AA522" s="45" t="s">
        <v>27</v>
      </c>
      <c r="AB522" s="45"/>
      <c r="AC522" s="169"/>
    </row>
    <row r="523" spans="1:29" s="68" customFormat="1" ht="15" hidden="1" customHeight="1" thickBot="1">
      <c r="A523" s="62" t="s">
        <v>336</v>
      </c>
      <c r="B523" s="44" t="s">
        <v>357</v>
      </c>
      <c r="C523" s="46" t="s">
        <v>27</v>
      </c>
      <c r="D523" s="67" t="s">
        <v>2761</v>
      </c>
      <c r="E523" s="62" t="s">
        <v>17</v>
      </c>
      <c r="F523" s="62" t="s">
        <v>991</v>
      </c>
      <c r="G523" s="43"/>
      <c r="H523" s="62" t="s">
        <v>20</v>
      </c>
      <c r="I523" s="43" t="s">
        <v>21</v>
      </c>
      <c r="J523" s="44" t="s">
        <v>3674</v>
      </c>
      <c r="K523" s="65" t="s">
        <v>337</v>
      </c>
      <c r="L523" s="51" t="s">
        <v>211</v>
      </c>
      <c r="M523" s="62" t="s">
        <v>955</v>
      </c>
      <c r="N523" s="62" t="s">
        <v>955</v>
      </c>
      <c r="O523" s="62" t="s">
        <v>3639</v>
      </c>
      <c r="P523" s="62" t="s">
        <v>3822</v>
      </c>
      <c r="Q523" s="246">
        <v>70004</v>
      </c>
      <c r="R523" s="43"/>
      <c r="S523" s="63" t="s">
        <v>992</v>
      </c>
      <c r="T523" s="80">
        <v>6103908910</v>
      </c>
      <c r="U523" s="116">
        <v>440152249319</v>
      </c>
      <c r="V523" s="63"/>
      <c r="W523" s="63"/>
      <c r="X523" s="77">
        <v>43154</v>
      </c>
      <c r="Y523" s="45" t="s">
        <v>27</v>
      </c>
      <c r="Z523" s="45" t="s">
        <v>27</v>
      </c>
      <c r="AA523" s="45" t="s">
        <v>27</v>
      </c>
      <c r="AB523" s="45"/>
      <c r="AC523" s="169"/>
    </row>
    <row r="524" spans="1:29" s="68" customFormat="1" ht="15" hidden="1" customHeight="1" thickBot="1">
      <c r="A524" s="62" t="s">
        <v>336</v>
      </c>
      <c r="B524" s="44" t="s">
        <v>358</v>
      </c>
      <c r="C524" s="46" t="s">
        <v>27</v>
      </c>
      <c r="D524" s="67" t="s">
        <v>25</v>
      </c>
      <c r="E524" s="62" t="s">
        <v>17</v>
      </c>
      <c r="F524" s="62" t="s">
        <v>993</v>
      </c>
      <c r="G524" s="43"/>
      <c r="H524" s="62" t="s">
        <v>20</v>
      </c>
      <c r="I524" s="43" t="s">
        <v>21</v>
      </c>
      <c r="J524" s="44" t="s">
        <v>3675</v>
      </c>
      <c r="K524" s="65" t="s">
        <v>337</v>
      </c>
      <c r="L524" s="51" t="s">
        <v>211</v>
      </c>
      <c r="M524" s="62" t="s">
        <v>955</v>
      </c>
      <c r="N524" s="62" t="s">
        <v>955</v>
      </c>
      <c r="O524" s="62" t="s">
        <v>3639</v>
      </c>
      <c r="P524" s="62" t="s">
        <v>3819</v>
      </c>
      <c r="Q524" s="246">
        <v>70004</v>
      </c>
      <c r="R524" s="43"/>
      <c r="S524" s="63" t="s">
        <v>994</v>
      </c>
      <c r="T524" s="80">
        <v>6109695907</v>
      </c>
      <c r="U524" s="116">
        <v>440152238179</v>
      </c>
      <c r="V524" s="63"/>
      <c r="W524" s="63"/>
      <c r="X524" s="62"/>
      <c r="Y524" s="45" t="s">
        <v>27</v>
      </c>
      <c r="Z524" s="45" t="s">
        <v>27</v>
      </c>
      <c r="AA524" s="45" t="s">
        <v>27</v>
      </c>
      <c r="AB524" s="45"/>
      <c r="AC524" s="169"/>
    </row>
    <row r="525" spans="1:29" s="68" customFormat="1" ht="15" hidden="1" customHeight="1" thickBot="1">
      <c r="A525" s="62" t="s">
        <v>336</v>
      </c>
      <c r="B525" s="44" t="s">
        <v>359</v>
      </c>
      <c r="C525" s="46" t="s">
        <v>27</v>
      </c>
      <c r="D525" s="67" t="s">
        <v>25</v>
      </c>
      <c r="E525" s="62" t="s">
        <v>17</v>
      </c>
      <c r="F525" s="62" t="s">
        <v>995</v>
      </c>
      <c r="G525" s="43"/>
      <c r="H525" s="62" t="s">
        <v>20</v>
      </c>
      <c r="I525" s="43" t="s">
        <v>21</v>
      </c>
      <c r="J525" s="44" t="s">
        <v>3674</v>
      </c>
      <c r="K525" s="65" t="s">
        <v>337</v>
      </c>
      <c r="L525" s="51" t="s">
        <v>211</v>
      </c>
      <c r="M525" s="62" t="s">
        <v>955</v>
      </c>
      <c r="N525" s="62" t="s">
        <v>955</v>
      </c>
      <c r="O525" s="62" t="s">
        <v>3639</v>
      </c>
      <c r="P525" s="62" t="s">
        <v>3822</v>
      </c>
      <c r="Q525" s="246">
        <v>70004</v>
      </c>
      <c r="R525" s="43"/>
      <c r="S525" s="69" t="s">
        <v>996</v>
      </c>
      <c r="T525" s="80">
        <v>4842688854</v>
      </c>
      <c r="U525" s="116">
        <v>440152249234</v>
      </c>
      <c r="V525" s="63"/>
      <c r="W525" s="63"/>
      <c r="X525" s="62"/>
      <c r="Y525" s="45" t="s">
        <v>27</v>
      </c>
      <c r="Z525" s="45" t="s">
        <v>27</v>
      </c>
      <c r="AA525" s="45" t="s">
        <v>27</v>
      </c>
      <c r="AB525" s="45"/>
      <c r="AC525" s="169"/>
    </row>
    <row r="526" spans="1:29" s="68" customFormat="1" ht="15" hidden="1" customHeight="1" thickBot="1">
      <c r="A526" s="62" t="s">
        <v>336</v>
      </c>
      <c r="B526" s="46" t="s">
        <v>360</v>
      </c>
      <c r="C526" s="46" t="s">
        <v>27</v>
      </c>
      <c r="D526" s="67" t="s">
        <v>2759</v>
      </c>
      <c r="E526" s="62" t="s">
        <v>17</v>
      </c>
      <c r="F526" s="62" t="s">
        <v>997</v>
      </c>
      <c r="G526" s="43"/>
      <c r="H526" s="62" t="s">
        <v>20</v>
      </c>
      <c r="I526" s="43" t="s">
        <v>21</v>
      </c>
      <c r="J526" s="44" t="s">
        <v>3675</v>
      </c>
      <c r="K526" s="65" t="s">
        <v>337</v>
      </c>
      <c r="L526" s="51" t="s">
        <v>211</v>
      </c>
      <c r="M526" s="62" t="s">
        <v>955</v>
      </c>
      <c r="N526" s="62" t="s">
        <v>955</v>
      </c>
      <c r="O526" s="62" t="s">
        <v>3639</v>
      </c>
      <c r="P526" s="247" t="s">
        <v>3820</v>
      </c>
      <c r="Q526" s="246">
        <v>70004</v>
      </c>
      <c r="R526" s="43"/>
      <c r="S526" s="63" t="s">
        <v>998</v>
      </c>
      <c r="T526" s="80">
        <v>4846495812</v>
      </c>
      <c r="U526" s="116">
        <v>440152239014</v>
      </c>
      <c r="V526" s="63"/>
      <c r="W526" s="63"/>
      <c r="X526" s="62"/>
      <c r="Y526" s="45" t="s">
        <v>27</v>
      </c>
      <c r="Z526" s="45" t="s">
        <v>27</v>
      </c>
      <c r="AA526" s="45" t="s">
        <v>27</v>
      </c>
      <c r="AB526" s="45"/>
      <c r="AC526" s="169"/>
    </row>
    <row r="527" spans="1:29" s="68" customFormat="1" ht="15" hidden="1" customHeight="1" thickBot="1">
      <c r="A527" s="62" t="s">
        <v>336</v>
      </c>
      <c r="B527" s="43" t="s">
        <v>361</v>
      </c>
      <c r="C527" s="46" t="s">
        <v>27</v>
      </c>
      <c r="D527" s="67" t="s">
        <v>2893</v>
      </c>
      <c r="E527" s="62" t="s">
        <v>17</v>
      </c>
      <c r="F527" s="62" t="s">
        <v>999</v>
      </c>
      <c r="G527" s="43"/>
      <c r="H527" s="62" t="s">
        <v>20</v>
      </c>
      <c r="I527" s="43" t="s">
        <v>60</v>
      </c>
      <c r="J527" s="44" t="s">
        <v>3674</v>
      </c>
      <c r="K527" s="65" t="s">
        <v>337</v>
      </c>
      <c r="L527" s="51" t="s">
        <v>211</v>
      </c>
      <c r="M527" s="62" t="s">
        <v>955</v>
      </c>
      <c r="N527" s="62" t="s">
        <v>955</v>
      </c>
      <c r="O527" s="62" t="s">
        <v>3639</v>
      </c>
      <c r="P527" s="248" t="s">
        <v>3824</v>
      </c>
      <c r="Q527" s="246">
        <v>70004</v>
      </c>
      <c r="R527" s="43"/>
      <c r="S527" s="63" t="s">
        <v>1000</v>
      </c>
      <c r="T527" s="80">
        <v>9717082984</v>
      </c>
      <c r="U527" s="118">
        <v>440152238641</v>
      </c>
      <c r="V527" s="69"/>
      <c r="W527" s="69"/>
      <c r="X527" s="62"/>
      <c r="Y527" s="45" t="s">
        <v>27</v>
      </c>
      <c r="Z527" s="45" t="s">
        <v>27</v>
      </c>
      <c r="AA527" s="45" t="s">
        <v>27</v>
      </c>
      <c r="AB527" s="45"/>
      <c r="AC527" s="169"/>
    </row>
    <row r="528" spans="1:29" s="68" customFormat="1" ht="15" hidden="1" customHeight="1" thickBot="1">
      <c r="A528" s="62" t="s">
        <v>336</v>
      </c>
      <c r="B528" s="43" t="s">
        <v>363</v>
      </c>
      <c r="C528" s="46" t="s">
        <v>27</v>
      </c>
      <c r="D528" s="67" t="s">
        <v>2658</v>
      </c>
      <c r="E528" s="62" t="s">
        <v>17</v>
      </c>
      <c r="F528" s="62" t="s">
        <v>1001</v>
      </c>
      <c r="G528" s="43"/>
      <c r="H528" s="62" t="s">
        <v>20</v>
      </c>
      <c r="I528" s="43" t="s">
        <v>60</v>
      </c>
      <c r="J528" s="44" t="s">
        <v>3674</v>
      </c>
      <c r="K528" s="65" t="s">
        <v>337</v>
      </c>
      <c r="L528" s="51" t="s">
        <v>211</v>
      </c>
      <c r="M528" s="62" t="s">
        <v>955</v>
      </c>
      <c r="N528" s="62" t="s">
        <v>955</v>
      </c>
      <c r="O528" s="62" t="s">
        <v>3639</v>
      </c>
      <c r="P528" s="247" t="s">
        <v>3820</v>
      </c>
      <c r="Q528" s="246">
        <v>70004</v>
      </c>
      <c r="R528" s="43"/>
      <c r="S528" s="63" t="s">
        <v>1002</v>
      </c>
      <c r="T528" s="80">
        <v>9717246941</v>
      </c>
      <c r="U528" s="118">
        <v>440152238645</v>
      </c>
      <c r="V528" s="69"/>
      <c r="W528" s="69"/>
      <c r="X528" s="62"/>
      <c r="Y528" s="45" t="s">
        <v>27</v>
      </c>
      <c r="Z528" s="45" t="s">
        <v>27</v>
      </c>
      <c r="AA528" s="45" t="s">
        <v>27</v>
      </c>
      <c r="AB528" s="45"/>
      <c r="AC528" s="169"/>
    </row>
    <row r="529" spans="1:29" s="68" customFormat="1" ht="15" hidden="1" customHeight="1" thickBot="1">
      <c r="A529" s="62" t="s">
        <v>336</v>
      </c>
      <c r="B529" s="43" t="s">
        <v>433</v>
      </c>
      <c r="C529" s="46" t="s">
        <v>27</v>
      </c>
      <c r="D529" s="67" t="s">
        <v>2658</v>
      </c>
      <c r="E529" s="62" t="s">
        <v>17</v>
      </c>
      <c r="F529" s="62" t="s">
        <v>1003</v>
      </c>
      <c r="G529" s="43"/>
      <c r="H529" s="62" t="s">
        <v>20</v>
      </c>
      <c r="I529" s="43" t="s">
        <v>21</v>
      </c>
      <c r="J529" s="44" t="s">
        <v>3674</v>
      </c>
      <c r="K529" s="65" t="s">
        <v>337</v>
      </c>
      <c r="L529" s="51" t="s">
        <v>211</v>
      </c>
      <c r="M529" s="62" t="s">
        <v>955</v>
      </c>
      <c r="N529" s="62" t="s">
        <v>955</v>
      </c>
      <c r="O529" s="62" t="s">
        <v>3639</v>
      </c>
      <c r="P529" s="248" t="s">
        <v>3828</v>
      </c>
      <c r="Q529" s="246">
        <v>70004</v>
      </c>
      <c r="R529" s="43"/>
      <c r="S529" s="63" t="s">
        <v>1004</v>
      </c>
      <c r="T529" s="80">
        <v>9717083189</v>
      </c>
      <c r="U529" s="118">
        <v>440152238684</v>
      </c>
      <c r="V529" s="69"/>
      <c r="W529" s="69"/>
      <c r="X529" s="62"/>
      <c r="Y529" s="45" t="s">
        <v>27</v>
      </c>
      <c r="Z529" s="45" t="s">
        <v>27</v>
      </c>
      <c r="AA529" s="45" t="s">
        <v>27</v>
      </c>
      <c r="AB529" s="45"/>
      <c r="AC529" s="169"/>
    </row>
    <row r="530" spans="1:29" s="68" customFormat="1" ht="15" hidden="1" customHeight="1" thickBot="1">
      <c r="A530" s="62" t="s">
        <v>336</v>
      </c>
      <c r="B530" s="43" t="s">
        <v>434</v>
      </c>
      <c r="C530" s="46" t="s">
        <v>27</v>
      </c>
      <c r="D530" s="67" t="s">
        <v>2658</v>
      </c>
      <c r="E530" s="62" t="s">
        <v>17</v>
      </c>
      <c r="F530" s="62" t="s">
        <v>1005</v>
      </c>
      <c r="G530" s="43"/>
      <c r="H530" s="62" t="s">
        <v>20</v>
      </c>
      <c r="I530" s="43" t="s">
        <v>21</v>
      </c>
      <c r="J530" s="44" t="s">
        <v>876</v>
      </c>
      <c r="K530" s="65" t="s">
        <v>337</v>
      </c>
      <c r="L530" s="51" t="s">
        <v>211</v>
      </c>
      <c r="M530" s="62" t="s">
        <v>27</v>
      </c>
      <c r="N530" s="62" t="s">
        <v>955</v>
      </c>
      <c r="O530" s="62" t="s">
        <v>3639</v>
      </c>
      <c r="P530" s="247" t="s">
        <v>3820</v>
      </c>
      <c r="Q530" s="246">
        <v>70004</v>
      </c>
      <c r="R530" s="43"/>
      <c r="S530" s="63" t="s">
        <v>1006</v>
      </c>
      <c r="T530" s="80">
        <v>9712711124</v>
      </c>
      <c r="U530" s="116">
        <v>440152238632</v>
      </c>
      <c r="V530" s="63"/>
      <c r="W530" s="63"/>
      <c r="X530" s="62"/>
      <c r="Y530" s="45" t="s">
        <v>27</v>
      </c>
      <c r="Z530" s="45" t="s">
        <v>27</v>
      </c>
      <c r="AA530" s="45" t="s">
        <v>27</v>
      </c>
      <c r="AB530" s="45"/>
      <c r="AC530" s="169"/>
    </row>
    <row r="531" spans="1:29" s="207" customFormat="1" ht="15" hidden="1" customHeight="1" thickBot="1">
      <c r="A531" s="62" t="s">
        <v>336</v>
      </c>
      <c r="B531" s="67" t="s">
        <v>435</v>
      </c>
      <c r="C531" s="184" t="s">
        <v>27</v>
      </c>
      <c r="D531" s="67" t="s">
        <v>2761</v>
      </c>
      <c r="E531" s="62" t="s">
        <v>17</v>
      </c>
      <c r="F531" s="62" t="s">
        <v>1007</v>
      </c>
      <c r="G531" s="62"/>
      <c r="H531" s="62" t="s">
        <v>20</v>
      </c>
      <c r="I531" s="62" t="s">
        <v>21</v>
      </c>
      <c r="J531" s="44" t="s">
        <v>3675</v>
      </c>
      <c r="K531" s="65" t="s">
        <v>337</v>
      </c>
      <c r="L531" s="51" t="s">
        <v>211</v>
      </c>
      <c r="M531" s="62" t="s">
        <v>955</v>
      </c>
      <c r="N531" s="62" t="s">
        <v>955</v>
      </c>
      <c r="O531" s="62" t="s">
        <v>3639</v>
      </c>
      <c r="P531" s="62" t="s">
        <v>3819</v>
      </c>
      <c r="Q531" s="246">
        <v>70004</v>
      </c>
      <c r="R531" s="62"/>
      <c r="S531" s="63" t="s">
        <v>1008</v>
      </c>
      <c r="T531" s="70">
        <v>5033809878</v>
      </c>
      <c r="U531" s="116">
        <v>440152239516</v>
      </c>
      <c r="V531" s="63"/>
      <c r="W531" s="63"/>
      <c r="X531" s="62"/>
      <c r="Y531" s="205" t="s">
        <v>27</v>
      </c>
      <c r="Z531" s="205" t="s">
        <v>27</v>
      </c>
      <c r="AA531" s="205" t="s">
        <v>27</v>
      </c>
      <c r="AB531" s="205"/>
      <c r="AC531" s="206"/>
    </row>
    <row r="532" spans="1:29" s="155" customFormat="1" ht="15" hidden="1" customHeight="1" thickBot="1">
      <c r="A532" s="87" t="s">
        <v>336</v>
      </c>
      <c r="B532" s="87" t="s">
        <v>436</v>
      </c>
      <c r="C532" s="243" t="s">
        <v>27</v>
      </c>
      <c r="D532" s="151" t="s">
        <v>2894</v>
      </c>
      <c r="E532" s="87" t="s">
        <v>17</v>
      </c>
      <c r="F532" s="87" t="s">
        <v>1009</v>
      </c>
      <c r="G532" s="87"/>
      <c r="H532" s="87" t="s">
        <v>20</v>
      </c>
      <c r="I532" s="87" t="s">
        <v>60</v>
      </c>
      <c r="J532" s="151" t="s">
        <v>3684</v>
      </c>
      <c r="K532" s="244" t="s">
        <v>337</v>
      </c>
      <c r="L532" s="51" t="s">
        <v>211</v>
      </c>
      <c r="M532" s="87" t="s">
        <v>955</v>
      </c>
      <c r="N532" s="87" t="s">
        <v>955</v>
      </c>
      <c r="O532" s="87"/>
      <c r="P532" s="87" t="s">
        <v>3824</v>
      </c>
      <c r="Q532" s="246">
        <v>70004</v>
      </c>
      <c r="R532" s="87"/>
      <c r="S532" s="152" t="s">
        <v>1010</v>
      </c>
      <c r="T532" s="245">
        <v>5036869214</v>
      </c>
      <c r="U532" s="153">
        <v>440152239021</v>
      </c>
      <c r="V532" s="152"/>
      <c r="W532" s="152"/>
      <c r="X532" s="87"/>
      <c r="Y532" s="146" t="s">
        <v>27</v>
      </c>
      <c r="Z532" s="146" t="s">
        <v>27</v>
      </c>
      <c r="AA532" s="146" t="s">
        <v>27</v>
      </c>
      <c r="AB532" s="146"/>
      <c r="AC532" s="170" t="s">
        <v>3685</v>
      </c>
    </row>
    <row r="533" spans="1:29" s="68" customFormat="1" ht="15" hidden="1" customHeight="1" thickBot="1">
      <c r="A533" s="62" t="s">
        <v>336</v>
      </c>
      <c r="B533" s="43" t="s">
        <v>437</v>
      </c>
      <c r="C533" s="46" t="s">
        <v>27</v>
      </c>
      <c r="D533" s="67" t="s">
        <v>2761</v>
      </c>
      <c r="E533" s="62" t="s">
        <v>17</v>
      </c>
      <c r="F533" s="62" t="s">
        <v>1011</v>
      </c>
      <c r="G533" s="43"/>
      <c r="H533" s="62" t="s">
        <v>20</v>
      </c>
      <c r="I533" s="43" t="s">
        <v>21</v>
      </c>
      <c r="J533" s="44" t="s">
        <v>3674</v>
      </c>
      <c r="K533" s="65" t="s">
        <v>337</v>
      </c>
      <c r="L533" s="51" t="s">
        <v>211</v>
      </c>
      <c r="M533" s="62" t="s">
        <v>955</v>
      </c>
      <c r="N533" s="62" t="s">
        <v>955</v>
      </c>
      <c r="O533" s="62" t="s">
        <v>3639</v>
      </c>
      <c r="P533" s="62" t="s">
        <v>3822</v>
      </c>
      <c r="Q533" s="246">
        <v>70004</v>
      </c>
      <c r="R533" s="43"/>
      <c r="S533" s="63" t="s">
        <v>1012</v>
      </c>
      <c r="T533" s="80">
        <v>5034438815</v>
      </c>
      <c r="U533" s="116">
        <v>440152238681</v>
      </c>
      <c r="V533" s="63"/>
      <c r="W533" s="63"/>
      <c r="X533" s="62"/>
      <c r="Y533" s="45" t="s">
        <v>27</v>
      </c>
      <c r="Z533" s="45" t="s">
        <v>27</v>
      </c>
      <c r="AA533" s="45" t="s">
        <v>27</v>
      </c>
      <c r="AB533" s="45"/>
      <c r="AC533" s="169"/>
    </row>
    <row r="534" spans="1:29" s="68" customFormat="1" ht="15" hidden="1" customHeight="1" thickBot="1">
      <c r="A534" s="62" t="s">
        <v>336</v>
      </c>
      <c r="B534" s="43" t="s">
        <v>438</v>
      </c>
      <c r="C534" s="46" t="s">
        <v>27</v>
      </c>
      <c r="D534" s="67" t="s">
        <v>2893</v>
      </c>
      <c r="E534" s="62" t="s">
        <v>17</v>
      </c>
      <c r="F534" s="62" t="s">
        <v>1013</v>
      </c>
      <c r="G534" s="43"/>
      <c r="H534" s="62" t="s">
        <v>20</v>
      </c>
      <c r="I534" s="43" t="s">
        <v>60</v>
      </c>
      <c r="J534" s="44" t="s">
        <v>3674</v>
      </c>
      <c r="K534" s="65" t="s">
        <v>337</v>
      </c>
      <c r="L534" s="51" t="s">
        <v>211</v>
      </c>
      <c r="M534" s="62" t="s">
        <v>955</v>
      </c>
      <c r="N534" s="62" t="s">
        <v>955</v>
      </c>
      <c r="O534" s="62" t="s">
        <v>3639</v>
      </c>
      <c r="P534" s="62" t="s">
        <v>3822</v>
      </c>
      <c r="Q534" s="246">
        <v>70004</v>
      </c>
      <c r="R534" s="43"/>
      <c r="S534" s="63" t="s">
        <v>1014</v>
      </c>
      <c r="T534" s="80">
        <v>9717083913</v>
      </c>
      <c r="U534" s="116">
        <v>440152239024</v>
      </c>
      <c r="V534" s="63"/>
      <c r="W534" s="63"/>
      <c r="X534" s="62"/>
      <c r="Y534" s="45" t="s">
        <v>27</v>
      </c>
      <c r="Z534" s="45" t="s">
        <v>27</v>
      </c>
      <c r="AA534" s="45" t="s">
        <v>27</v>
      </c>
      <c r="AB534" s="45"/>
      <c r="AC534" s="169"/>
    </row>
    <row r="535" spans="1:29" s="68" customFormat="1" ht="15" hidden="1" customHeight="1" thickBot="1">
      <c r="A535" s="62" t="s">
        <v>336</v>
      </c>
      <c r="B535" s="43" t="s">
        <v>439</v>
      </c>
      <c r="C535" s="46" t="s">
        <v>27</v>
      </c>
      <c r="D535" s="67" t="s">
        <v>2761</v>
      </c>
      <c r="E535" s="62" t="s">
        <v>17</v>
      </c>
      <c r="F535" s="62" t="s">
        <v>1015</v>
      </c>
      <c r="G535" s="43"/>
      <c r="H535" s="62" t="s">
        <v>20</v>
      </c>
      <c r="I535" s="43" t="s">
        <v>21</v>
      </c>
      <c r="J535" s="44" t="s">
        <v>3675</v>
      </c>
      <c r="K535" s="65" t="s">
        <v>337</v>
      </c>
      <c r="L535" s="51" t="s">
        <v>211</v>
      </c>
      <c r="M535" s="62" t="s">
        <v>955</v>
      </c>
      <c r="N535" s="62" t="s">
        <v>955</v>
      </c>
      <c r="O535" s="62" t="s">
        <v>3639</v>
      </c>
      <c r="P535" s="62" t="s">
        <v>3819</v>
      </c>
      <c r="Q535" s="246">
        <v>70004</v>
      </c>
      <c r="R535" s="43"/>
      <c r="S535" s="63" t="s">
        <v>1016</v>
      </c>
      <c r="T535" s="80">
        <v>5034385789</v>
      </c>
      <c r="U535" s="116">
        <v>440152239515</v>
      </c>
      <c r="V535" s="63"/>
      <c r="W535" s="63"/>
      <c r="X535" s="62"/>
      <c r="Y535" s="45" t="s">
        <v>27</v>
      </c>
      <c r="Z535" s="45" t="s">
        <v>27</v>
      </c>
      <c r="AA535" s="45" t="s">
        <v>27</v>
      </c>
      <c r="AB535" s="45"/>
      <c r="AC535" s="169"/>
    </row>
    <row r="536" spans="1:29" s="68" customFormat="1" ht="15" hidden="1" customHeight="1" thickBot="1">
      <c r="A536" s="62" t="s">
        <v>336</v>
      </c>
      <c r="B536" s="44" t="s">
        <v>440</v>
      </c>
      <c r="C536" s="46" t="s">
        <v>27</v>
      </c>
      <c r="D536" s="67" t="s">
        <v>2658</v>
      </c>
      <c r="E536" s="62" t="s">
        <v>17</v>
      </c>
      <c r="F536" s="62" t="s">
        <v>1017</v>
      </c>
      <c r="G536" s="43"/>
      <c r="H536" s="62" t="s">
        <v>20</v>
      </c>
      <c r="I536" s="43" t="s">
        <v>21</v>
      </c>
      <c r="J536" s="44" t="s">
        <v>3675</v>
      </c>
      <c r="K536" s="65" t="s">
        <v>337</v>
      </c>
      <c r="L536" s="51" t="s">
        <v>211</v>
      </c>
      <c r="M536" s="62" t="s">
        <v>955</v>
      </c>
      <c r="N536" s="62" t="s">
        <v>955</v>
      </c>
      <c r="O536" s="62" t="s">
        <v>3639</v>
      </c>
      <c r="P536" s="247" t="s">
        <v>3820</v>
      </c>
      <c r="Q536" s="246">
        <v>70004</v>
      </c>
      <c r="R536" s="43"/>
      <c r="S536" s="63" t="s">
        <v>1018</v>
      </c>
      <c r="T536" s="80">
        <v>5034810875</v>
      </c>
      <c r="U536" s="116">
        <v>440152239017</v>
      </c>
      <c r="V536" s="63"/>
      <c r="W536" s="63"/>
      <c r="X536" s="62"/>
      <c r="Y536" s="45" t="s">
        <v>27</v>
      </c>
      <c r="Z536" s="45" t="s">
        <v>27</v>
      </c>
      <c r="AA536" s="45" t="s">
        <v>27</v>
      </c>
      <c r="AB536" s="45"/>
      <c r="AC536" s="169"/>
    </row>
    <row r="537" spans="1:29" s="68" customFormat="1" ht="15" hidden="1" customHeight="1" thickBot="1">
      <c r="A537" s="62" t="s">
        <v>336</v>
      </c>
      <c r="B537" s="44" t="s">
        <v>441</v>
      </c>
      <c r="C537" s="46" t="s">
        <v>27</v>
      </c>
      <c r="D537" s="67" t="s">
        <v>2658</v>
      </c>
      <c r="E537" s="62" t="s">
        <v>17</v>
      </c>
      <c r="F537" s="62" t="s">
        <v>1019</v>
      </c>
      <c r="G537" s="43"/>
      <c r="H537" s="62" t="s">
        <v>20</v>
      </c>
      <c r="I537" s="43" t="s">
        <v>21</v>
      </c>
      <c r="J537" s="44" t="s">
        <v>3674</v>
      </c>
      <c r="K537" s="65" t="s">
        <v>337</v>
      </c>
      <c r="L537" s="51" t="s">
        <v>211</v>
      </c>
      <c r="M537" s="62" t="s">
        <v>955</v>
      </c>
      <c r="N537" s="62" t="s">
        <v>955</v>
      </c>
      <c r="O537" s="62" t="s">
        <v>3639</v>
      </c>
      <c r="P537" s="248" t="s">
        <v>3826</v>
      </c>
      <c r="Q537" s="246">
        <v>70004</v>
      </c>
      <c r="R537" s="43"/>
      <c r="S537" s="63" t="s">
        <v>1020</v>
      </c>
      <c r="T537" s="80">
        <v>9714705860</v>
      </c>
      <c r="U537" s="116">
        <v>440152239510</v>
      </c>
      <c r="V537" s="63"/>
      <c r="W537" s="63"/>
      <c r="X537" s="62"/>
      <c r="Y537" s="45" t="s">
        <v>27</v>
      </c>
      <c r="Z537" s="45" t="s">
        <v>27</v>
      </c>
      <c r="AA537" s="45" t="s">
        <v>27</v>
      </c>
      <c r="AB537" s="45"/>
      <c r="AC537" s="169"/>
    </row>
    <row r="538" spans="1:29" s="68" customFormat="1" ht="15" hidden="1" customHeight="1" thickBot="1">
      <c r="A538" s="62" t="s">
        <v>336</v>
      </c>
      <c r="B538" s="44" t="s">
        <v>440</v>
      </c>
      <c r="C538" s="46" t="s">
        <v>27</v>
      </c>
      <c r="D538" s="67" t="s">
        <v>2658</v>
      </c>
      <c r="E538" s="62" t="s">
        <v>17</v>
      </c>
      <c r="F538" s="62" t="s">
        <v>1021</v>
      </c>
      <c r="G538" s="43"/>
      <c r="H538" s="62" t="s">
        <v>20</v>
      </c>
      <c r="I538" s="43" t="s">
        <v>21</v>
      </c>
      <c r="J538" s="44" t="s">
        <v>3674</v>
      </c>
      <c r="K538" s="65" t="s">
        <v>337</v>
      </c>
      <c r="L538" s="51" t="s">
        <v>211</v>
      </c>
      <c r="M538" s="62" t="s">
        <v>955</v>
      </c>
      <c r="N538" s="62" t="s">
        <v>955</v>
      </c>
      <c r="O538" s="62" t="s">
        <v>3639</v>
      </c>
      <c r="P538" s="247" t="s">
        <v>3820</v>
      </c>
      <c r="Q538" s="246">
        <v>70004</v>
      </c>
      <c r="R538" s="43"/>
      <c r="S538" s="63" t="s">
        <v>1022</v>
      </c>
      <c r="T538" s="80">
        <v>5032689984</v>
      </c>
      <c r="U538" s="116">
        <v>440152239018</v>
      </c>
      <c r="V538" s="63"/>
      <c r="W538" s="63"/>
      <c r="X538" s="62"/>
      <c r="Y538" s="45" t="s">
        <v>27</v>
      </c>
      <c r="Z538" s="45" t="s">
        <v>27</v>
      </c>
      <c r="AA538" s="45" t="s">
        <v>27</v>
      </c>
      <c r="AB538" s="45"/>
      <c r="AC538" s="169"/>
    </row>
    <row r="539" spans="1:29" s="68" customFormat="1" ht="15" hidden="1" customHeight="1" thickBot="1">
      <c r="A539" s="62" t="s">
        <v>336</v>
      </c>
      <c r="B539" s="44" t="s">
        <v>442</v>
      </c>
      <c r="C539" s="46" t="s">
        <v>27</v>
      </c>
      <c r="D539" s="67" t="s">
        <v>2658</v>
      </c>
      <c r="E539" s="62" t="s">
        <v>17</v>
      </c>
      <c r="F539" s="62" t="s">
        <v>1023</v>
      </c>
      <c r="G539" s="43"/>
      <c r="H539" s="62" t="s">
        <v>20</v>
      </c>
      <c r="I539" s="43" t="s">
        <v>21</v>
      </c>
      <c r="J539" s="44" t="s">
        <v>1025</v>
      </c>
      <c r="K539" s="53" t="s">
        <v>1586</v>
      </c>
      <c r="L539" s="51" t="s">
        <v>211</v>
      </c>
      <c r="M539" s="62" t="s">
        <v>955</v>
      </c>
      <c r="N539" s="62" t="s">
        <v>27</v>
      </c>
      <c r="O539" s="62" t="s">
        <v>3639</v>
      </c>
      <c r="P539" s="248" t="s">
        <v>3823</v>
      </c>
      <c r="Q539" s="246">
        <v>70004</v>
      </c>
      <c r="R539" s="43"/>
      <c r="S539" s="63" t="s">
        <v>1024</v>
      </c>
      <c r="T539" s="80">
        <v>9135269047</v>
      </c>
      <c r="U539" s="116">
        <v>440152249323</v>
      </c>
      <c r="V539" s="63"/>
      <c r="W539" s="63"/>
      <c r="X539" s="62"/>
      <c r="Y539" s="45" t="s">
        <v>27</v>
      </c>
      <c r="Z539" s="45" t="s">
        <v>27</v>
      </c>
      <c r="AA539" s="45" t="s">
        <v>27</v>
      </c>
      <c r="AB539" s="45"/>
      <c r="AC539" s="169"/>
    </row>
    <row r="540" spans="1:29" s="68" customFormat="1" ht="15" hidden="1" customHeight="1" thickBot="1">
      <c r="A540" s="62" t="s">
        <v>336</v>
      </c>
      <c r="B540" s="44" t="s">
        <v>443</v>
      </c>
      <c r="C540" s="46" t="s">
        <v>27</v>
      </c>
      <c r="D540" s="67" t="s">
        <v>2761</v>
      </c>
      <c r="E540" s="62" t="s">
        <v>17</v>
      </c>
      <c r="F540" s="62" t="s">
        <v>1026</v>
      </c>
      <c r="G540" s="43"/>
      <c r="H540" s="62" t="s">
        <v>20</v>
      </c>
      <c r="I540" s="43" t="s">
        <v>21</v>
      </c>
      <c r="J540" s="44" t="s">
        <v>3674</v>
      </c>
      <c r="K540" s="53" t="s">
        <v>1586</v>
      </c>
      <c r="L540" s="51" t="s">
        <v>211</v>
      </c>
      <c r="M540" s="62" t="s">
        <v>955</v>
      </c>
      <c r="N540" s="62" t="s">
        <v>955</v>
      </c>
      <c r="O540" s="62" t="s">
        <v>3639</v>
      </c>
      <c r="P540" s="62" t="s">
        <v>3822</v>
      </c>
      <c r="Q540" s="246">
        <v>70004</v>
      </c>
      <c r="R540" s="43"/>
      <c r="S540" s="63" t="s">
        <v>1027</v>
      </c>
      <c r="T540" s="80">
        <v>5032708800</v>
      </c>
      <c r="U540" s="116">
        <v>440152239016</v>
      </c>
      <c r="V540" s="63"/>
      <c r="W540" s="63"/>
      <c r="X540" s="62"/>
      <c r="Y540" s="45" t="s">
        <v>27</v>
      </c>
      <c r="Z540" s="45" t="s">
        <v>27</v>
      </c>
      <c r="AA540" s="45" t="s">
        <v>27</v>
      </c>
      <c r="AB540" s="45"/>
      <c r="AC540" s="169"/>
    </row>
    <row r="541" spans="1:29" s="68" customFormat="1" ht="15" hidden="1" customHeight="1" thickBot="1">
      <c r="A541" s="62" t="s">
        <v>336</v>
      </c>
      <c r="B541" s="46" t="s">
        <v>444</v>
      </c>
      <c r="C541" s="46" t="s">
        <v>27</v>
      </c>
      <c r="D541" s="67" t="s">
        <v>2658</v>
      </c>
      <c r="E541" s="62" t="s">
        <v>17</v>
      </c>
      <c r="F541" s="62" t="s">
        <v>1028</v>
      </c>
      <c r="G541" s="43"/>
      <c r="H541" s="62" t="s">
        <v>20</v>
      </c>
      <c r="I541" s="43" t="s">
        <v>21</v>
      </c>
      <c r="J541" s="44" t="s">
        <v>3674</v>
      </c>
      <c r="K541" s="53" t="s">
        <v>1586</v>
      </c>
      <c r="L541" s="51" t="s">
        <v>211</v>
      </c>
      <c r="M541" s="62" t="s">
        <v>955</v>
      </c>
      <c r="N541" s="62" t="s">
        <v>955</v>
      </c>
      <c r="O541" s="62" t="s">
        <v>3639</v>
      </c>
      <c r="P541" s="62" t="s">
        <v>3822</v>
      </c>
      <c r="Q541" s="246">
        <v>70004</v>
      </c>
      <c r="R541" s="43"/>
      <c r="S541" s="69" t="s">
        <v>1029</v>
      </c>
      <c r="T541" s="80">
        <v>9717083913</v>
      </c>
      <c r="U541" s="116">
        <v>440152239023</v>
      </c>
      <c r="V541" s="63"/>
      <c r="W541" s="63"/>
      <c r="X541" s="62"/>
      <c r="Y541" s="45" t="s">
        <v>27</v>
      </c>
      <c r="Z541" s="45" t="s">
        <v>27</v>
      </c>
      <c r="AA541" s="45" t="s">
        <v>27</v>
      </c>
      <c r="AB541" s="45"/>
      <c r="AC541" s="169"/>
    </row>
    <row r="542" spans="1:29" s="68" customFormat="1" ht="15" hidden="1" customHeight="1" thickBot="1">
      <c r="A542" s="62" t="s">
        <v>336</v>
      </c>
      <c r="B542" s="43" t="s">
        <v>445</v>
      </c>
      <c r="C542" s="46" t="s">
        <v>27</v>
      </c>
      <c r="D542" s="67" t="s">
        <v>2658</v>
      </c>
      <c r="E542" s="62" t="s">
        <v>17</v>
      </c>
      <c r="F542" s="62" t="s">
        <v>1030</v>
      </c>
      <c r="G542" s="43"/>
      <c r="H542" s="62" t="s">
        <v>20</v>
      </c>
      <c r="I542" s="43" t="s">
        <v>21</v>
      </c>
      <c r="J542" s="44" t="s">
        <v>3675</v>
      </c>
      <c r="K542" s="53" t="s">
        <v>1586</v>
      </c>
      <c r="L542" s="51" t="s">
        <v>211</v>
      </c>
      <c r="M542" s="62" t="s">
        <v>955</v>
      </c>
      <c r="N542" s="62" t="s">
        <v>955</v>
      </c>
      <c r="O542" s="62" t="s">
        <v>3639</v>
      </c>
      <c r="P542" s="248" t="s">
        <v>3822</v>
      </c>
      <c r="Q542" s="246">
        <v>70004</v>
      </c>
      <c r="R542" s="43"/>
      <c r="S542" s="63" t="s">
        <v>1031</v>
      </c>
      <c r="T542" s="44"/>
      <c r="U542" s="116">
        <v>440152239020</v>
      </c>
      <c r="V542" s="63"/>
      <c r="W542" s="63"/>
      <c r="X542" s="62"/>
      <c r="Y542" s="45" t="s">
        <v>27</v>
      </c>
      <c r="Z542" s="45" t="s">
        <v>27</v>
      </c>
      <c r="AA542" s="45" t="s">
        <v>27</v>
      </c>
      <c r="AB542" s="45"/>
      <c r="AC542" s="169"/>
    </row>
    <row r="543" spans="1:29" s="68" customFormat="1" ht="15" hidden="1" customHeight="1" thickBot="1">
      <c r="A543" s="62" t="s">
        <v>336</v>
      </c>
      <c r="B543" s="43" t="s">
        <v>446</v>
      </c>
      <c r="C543" s="46" t="s">
        <v>27</v>
      </c>
      <c r="D543" s="67" t="s">
        <v>25</v>
      </c>
      <c r="E543" s="62" t="s">
        <v>17</v>
      </c>
      <c r="F543" s="62" t="s">
        <v>1032</v>
      </c>
      <c r="G543" s="43"/>
      <c r="H543" s="62" t="s">
        <v>20</v>
      </c>
      <c r="I543" s="43" t="s">
        <v>21</v>
      </c>
      <c r="J543" s="44" t="s">
        <v>3675</v>
      </c>
      <c r="K543" s="53" t="s">
        <v>1586</v>
      </c>
      <c r="L543" s="51" t="s">
        <v>211</v>
      </c>
      <c r="M543" s="62" t="s">
        <v>955</v>
      </c>
      <c r="N543" s="62" t="s">
        <v>955</v>
      </c>
      <c r="O543" s="62" t="s">
        <v>3639</v>
      </c>
      <c r="P543" s="62" t="s">
        <v>3819</v>
      </c>
      <c r="Q543" s="246">
        <v>70004</v>
      </c>
      <c r="R543" s="43"/>
      <c r="S543" s="63" t="s">
        <v>1033</v>
      </c>
      <c r="T543" s="80">
        <v>6109695975</v>
      </c>
      <c r="U543" s="116">
        <v>440152249235</v>
      </c>
      <c r="V543" s="63"/>
      <c r="W543" s="63"/>
      <c r="X543" s="62"/>
      <c r="Y543" s="45" t="s">
        <v>27</v>
      </c>
      <c r="Z543" s="45" t="s">
        <v>27</v>
      </c>
      <c r="AA543" s="45" t="s">
        <v>27</v>
      </c>
      <c r="AB543" s="45"/>
      <c r="AC543" s="169"/>
    </row>
    <row r="544" spans="1:29" s="68" customFormat="1" ht="15" hidden="1" customHeight="1" thickBot="1">
      <c r="A544" s="62" t="s">
        <v>336</v>
      </c>
      <c r="B544" s="43" t="s">
        <v>447</v>
      </c>
      <c r="C544" s="46" t="s">
        <v>27</v>
      </c>
      <c r="D544" s="67" t="s">
        <v>2893</v>
      </c>
      <c r="E544" s="62" t="s">
        <v>17</v>
      </c>
      <c r="F544" s="62" t="s">
        <v>1034</v>
      </c>
      <c r="G544" s="43"/>
      <c r="H544" s="62" t="s">
        <v>20</v>
      </c>
      <c r="I544" s="43" t="s">
        <v>60</v>
      </c>
      <c r="J544" s="44" t="s">
        <v>1025</v>
      </c>
      <c r="K544" s="53" t="s">
        <v>1586</v>
      </c>
      <c r="L544" s="51" t="s">
        <v>211</v>
      </c>
      <c r="M544" s="62" t="s">
        <v>27</v>
      </c>
      <c r="N544" s="62" t="s">
        <v>955</v>
      </c>
      <c r="O544" s="62" t="s">
        <v>3639</v>
      </c>
      <c r="P544" s="62" t="s">
        <v>3821</v>
      </c>
      <c r="Q544" s="246">
        <v>70004</v>
      </c>
      <c r="R544" s="43"/>
      <c r="S544" s="63" t="s">
        <v>1035</v>
      </c>
      <c r="T544" s="80">
        <v>9135268081</v>
      </c>
      <c r="U544" s="116">
        <v>4401522390182</v>
      </c>
      <c r="V544" s="63"/>
      <c r="W544" s="63"/>
      <c r="X544" s="65"/>
      <c r="Y544" s="45" t="s">
        <v>27</v>
      </c>
      <c r="Z544" s="45" t="s">
        <v>27</v>
      </c>
      <c r="AA544" s="45" t="s">
        <v>27</v>
      </c>
      <c r="AB544" s="45"/>
      <c r="AC544" s="169"/>
    </row>
    <row r="545" spans="1:29" s="68" customFormat="1" ht="15" hidden="1" customHeight="1" thickBot="1">
      <c r="A545" s="62" t="s">
        <v>336</v>
      </c>
      <c r="B545" s="43" t="s">
        <v>448</v>
      </c>
      <c r="C545" s="46" t="s">
        <v>27</v>
      </c>
      <c r="D545" s="67" t="s">
        <v>2893</v>
      </c>
      <c r="E545" s="62" t="s">
        <v>17</v>
      </c>
      <c r="F545" s="62" t="s">
        <v>1036</v>
      </c>
      <c r="G545" s="43"/>
      <c r="H545" s="62" t="s">
        <v>20</v>
      </c>
      <c r="I545" s="43" t="s">
        <v>60</v>
      </c>
      <c r="J545" s="44" t="s">
        <v>3675</v>
      </c>
      <c r="K545" s="53" t="s">
        <v>1586</v>
      </c>
      <c r="L545" s="51" t="s">
        <v>211</v>
      </c>
      <c r="M545" s="62" t="s">
        <v>955</v>
      </c>
      <c r="N545" s="62" t="s">
        <v>955</v>
      </c>
      <c r="O545" s="62" t="s">
        <v>3639</v>
      </c>
      <c r="P545" s="248" t="s">
        <v>3827</v>
      </c>
      <c r="Q545" s="246">
        <v>70004</v>
      </c>
      <c r="R545" s="43"/>
      <c r="S545" s="63" t="s">
        <v>1037</v>
      </c>
      <c r="T545" s="44"/>
      <c r="U545" s="116">
        <v>440152239027</v>
      </c>
      <c r="V545" s="63"/>
      <c r="W545" s="63"/>
      <c r="X545" s="62"/>
      <c r="Y545" s="45" t="s">
        <v>27</v>
      </c>
      <c r="Z545" s="45" t="s">
        <v>27</v>
      </c>
      <c r="AA545" s="45" t="s">
        <v>27</v>
      </c>
      <c r="AB545" s="45"/>
      <c r="AC545" s="169"/>
    </row>
    <row r="546" spans="1:29" s="68" customFormat="1" ht="15" hidden="1" customHeight="1" thickBot="1">
      <c r="A546" s="62" t="s">
        <v>336</v>
      </c>
      <c r="B546" s="44" t="s">
        <v>449</v>
      </c>
      <c r="C546" s="46" t="s">
        <v>27</v>
      </c>
      <c r="D546" s="67" t="s">
        <v>2658</v>
      </c>
      <c r="E546" s="62" t="s">
        <v>17</v>
      </c>
      <c r="F546" s="62" t="s">
        <v>1038</v>
      </c>
      <c r="G546" s="43"/>
      <c r="H546" s="62" t="s">
        <v>20</v>
      </c>
      <c r="I546" s="43" t="s">
        <v>21</v>
      </c>
      <c r="J546" s="44" t="s">
        <v>3675</v>
      </c>
      <c r="K546" s="53" t="s">
        <v>1586</v>
      </c>
      <c r="L546" s="51" t="s">
        <v>211</v>
      </c>
      <c r="M546" s="62" t="s">
        <v>955</v>
      </c>
      <c r="N546" s="62" t="s">
        <v>955</v>
      </c>
      <c r="O546" s="62" t="s">
        <v>3639</v>
      </c>
      <c r="P546" s="248" t="s">
        <v>3821</v>
      </c>
      <c r="Q546" s="246">
        <v>70004</v>
      </c>
      <c r="R546" s="43"/>
      <c r="S546" s="63" t="s">
        <v>1819</v>
      </c>
      <c r="T546" s="44"/>
      <c r="U546" s="116">
        <v>440152238643</v>
      </c>
      <c r="V546" s="63"/>
      <c r="W546" s="63"/>
      <c r="X546" s="62"/>
      <c r="Y546" s="45" t="s">
        <v>27</v>
      </c>
      <c r="Z546" s="45" t="s">
        <v>27</v>
      </c>
      <c r="AA546" s="45" t="s">
        <v>27</v>
      </c>
      <c r="AB546" s="45"/>
      <c r="AC546" s="169"/>
    </row>
    <row r="547" spans="1:29" s="68" customFormat="1" ht="15" hidden="1" customHeight="1" thickBot="1">
      <c r="A547" s="62" t="s">
        <v>336</v>
      </c>
      <c r="B547" s="43" t="s">
        <v>1039</v>
      </c>
      <c r="C547" s="46" t="s">
        <v>27</v>
      </c>
      <c r="D547" s="67" t="s">
        <v>25</v>
      </c>
      <c r="E547" s="62" t="s">
        <v>17</v>
      </c>
      <c r="F547" s="62" t="s">
        <v>1040</v>
      </c>
      <c r="G547" s="43"/>
      <c r="H547" s="62" t="s">
        <v>20</v>
      </c>
      <c r="I547" s="43" t="s">
        <v>21</v>
      </c>
      <c r="J547" s="44" t="s">
        <v>3674</v>
      </c>
      <c r="K547" s="53" t="s">
        <v>1586</v>
      </c>
      <c r="L547" s="51" t="s">
        <v>211</v>
      </c>
      <c r="M547" s="62" t="s">
        <v>955</v>
      </c>
      <c r="N547" s="62" t="s">
        <v>955</v>
      </c>
      <c r="O547" s="62" t="s">
        <v>3639</v>
      </c>
      <c r="P547" s="62" t="s">
        <v>3822</v>
      </c>
      <c r="Q547" s="246">
        <v>70004</v>
      </c>
      <c r="R547" s="43"/>
      <c r="S547" s="63" t="s">
        <v>1817</v>
      </c>
      <c r="T547" s="44"/>
      <c r="U547" s="116">
        <v>440152239026</v>
      </c>
      <c r="V547" s="63"/>
      <c r="W547" s="63"/>
      <c r="X547" s="62"/>
      <c r="Y547" s="45" t="s">
        <v>27</v>
      </c>
      <c r="Z547" s="45" t="s">
        <v>27</v>
      </c>
      <c r="AA547" s="45" t="s">
        <v>27</v>
      </c>
      <c r="AB547" s="45"/>
      <c r="AC547" s="169"/>
    </row>
    <row r="548" spans="1:29" s="68" customFormat="1" ht="15" hidden="1" customHeight="1" thickBot="1">
      <c r="A548" s="62" t="s">
        <v>336</v>
      </c>
      <c r="B548" s="43" t="s">
        <v>1041</v>
      </c>
      <c r="C548" s="46" t="s">
        <v>27</v>
      </c>
      <c r="D548" s="67" t="s">
        <v>25</v>
      </c>
      <c r="E548" s="62" t="s">
        <v>17</v>
      </c>
      <c r="F548" s="62" t="s">
        <v>1042</v>
      </c>
      <c r="G548" s="43"/>
      <c r="H548" s="62" t="s">
        <v>20</v>
      </c>
      <c r="I548" s="43" t="s">
        <v>21</v>
      </c>
      <c r="J548" s="44" t="s">
        <v>3674</v>
      </c>
      <c r="K548" s="53" t="s">
        <v>1586</v>
      </c>
      <c r="L548" s="51" t="s">
        <v>211</v>
      </c>
      <c r="M548" s="62" t="s">
        <v>955</v>
      </c>
      <c r="N548" s="62" t="s">
        <v>955</v>
      </c>
      <c r="O548" s="62" t="s">
        <v>3639</v>
      </c>
      <c r="P548" s="247" t="s">
        <v>3820</v>
      </c>
      <c r="Q548" s="246">
        <v>70004</v>
      </c>
      <c r="R548" s="43"/>
      <c r="S548" s="63" t="s">
        <v>1818</v>
      </c>
      <c r="T548" s="44"/>
      <c r="U548" s="116">
        <v>440152249321</v>
      </c>
      <c r="V548" s="63"/>
      <c r="W548" s="63"/>
      <c r="X548" s="62"/>
      <c r="Y548" s="45" t="s">
        <v>27</v>
      </c>
      <c r="Z548" s="45" t="s">
        <v>27</v>
      </c>
      <c r="AA548" s="45" t="s">
        <v>27</v>
      </c>
      <c r="AB548" s="45"/>
      <c r="AC548" s="169"/>
    </row>
    <row r="549" spans="1:29" s="68" customFormat="1" ht="15" hidden="1" customHeight="1" thickBot="1">
      <c r="A549" s="62" t="s">
        <v>336</v>
      </c>
      <c r="B549" s="43" t="s">
        <v>1043</v>
      </c>
      <c r="C549" s="46" t="s">
        <v>27</v>
      </c>
      <c r="D549" s="67" t="s">
        <v>2658</v>
      </c>
      <c r="E549" s="62" t="s">
        <v>17</v>
      </c>
      <c r="F549" s="62" t="s">
        <v>1044</v>
      </c>
      <c r="G549" s="43"/>
      <c r="H549" s="62" t="s">
        <v>20</v>
      </c>
      <c r="I549" s="43" t="s">
        <v>21</v>
      </c>
      <c r="J549" s="44" t="s">
        <v>3675</v>
      </c>
      <c r="K549" s="53" t="s">
        <v>1586</v>
      </c>
      <c r="L549" s="51" t="s">
        <v>211</v>
      </c>
      <c r="M549" s="62" t="s">
        <v>955</v>
      </c>
      <c r="N549" s="62" t="s">
        <v>955</v>
      </c>
      <c r="O549" s="62" t="s">
        <v>3639</v>
      </c>
      <c r="P549" s="248" t="s">
        <v>3829</v>
      </c>
      <c r="Q549" s="246">
        <v>70004</v>
      </c>
      <c r="R549" s="43"/>
      <c r="S549" s="63" t="s">
        <v>1820</v>
      </c>
      <c r="T549" s="44"/>
      <c r="U549" s="116">
        <v>440152239037</v>
      </c>
      <c r="V549" s="63"/>
      <c r="W549" s="63"/>
      <c r="X549" s="62"/>
      <c r="Y549" s="45" t="s">
        <v>27</v>
      </c>
      <c r="Z549" s="45" t="s">
        <v>27</v>
      </c>
      <c r="AA549" s="45" t="s">
        <v>27</v>
      </c>
      <c r="AB549" s="45"/>
      <c r="AC549" s="169"/>
    </row>
    <row r="550" spans="1:29" s="68" customFormat="1" ht="15" hidden="1" customHeight="1" thickBot="1">
      <c r="A550" s="62" t="s">
        <v>336</v>
      </c>
      <c r="B550" s="43" t="s">
        <v>1045</v>
      </c>
      <c r="C550" s="46" t="s">
        <v>27</v>
      </c>
      <c r="D550" s="67" t="s">
        <v>2658</v>
      </c>
      <c r="E550" s="62" t="s">
        <v>17</v>
      </c>
      <c r="F550" s="62" t="s">
        <v>1046</v>
      </c>
      <c r="G550" s="43"/>
      <c r="H550" s="62" t="s">
        <v>20</v>
      </c>
      <c r="I550" s="43" t="s">
        <v>21</v>
      </c>
      <c r="J550" s="44" t="s">
        <v>3675</v>
      </c>
      <c r="K550" s="53" t="s">
        <v>1586</v>
      </c>
      <c r="L550" s="51" t="s">
        <v>211</v>
      </c>
      <c r="M550" s="62" t="s">
        <v>955</v>
      </c>
      <c r="N550" s="62" t="s">
        <v>955</v>
      </c>
      <c r="O550" s="62" t="s">
        <v>3639</v>
      </c>
      <c r="P550" s="248" t="s">
        <v>3819</v>
      </c>
      <c r="Q550" s="246">
        <v>70004</v>
      </c>
      <c r="R550" s="43"/>
      <c r="S550" s="63" t="s">
        <v>1821</v>
      </c>
      <c r="T550" s="44"/>
      <c r="U550" s="116">
        <v>440152238697</v>
      </c>
      <c r="V550" s="63"/>
      <c r="W550" s="63"/>
      <c r="X550" s="62"/>
      <c r="Y550" s="45" t="s">
        <v>27</v>
      </c>
      <c r="Z550" s="45" t="s">
        <v>27</v>
      </c>
      <c r="AA550" s="45" t="s">
        <v>27</v>
      </c>
      <c r="AB550" s="45"/>
      <c r="AC550" s="169"/>
    </row>
    <row r="551" spans="1:29" s="68" customFormat="1" ht="15" hidden="1" customHeight="1" thickBot="1">
      <c r="A551" s="62" t="s">
        <v>336</v>
      </c>
      <c r="B551" s="44" t="s">
        <v>1047</v>
      </c>
      <c r="C551" s="46" t="s">
        <v>27</v>
      </c>
      <c r="D551" s="67" t="s">
        <v>2758</v>
      </c>
      <c r="E551" s="62" t="s">
        <v>17</v>
      </c>
      <c r="F551" s="91" t="s">
        <v>1800</v>
      </c>
      <c r="G551" s="43"/>
      <c r="H551" s="62" t="s">
        <v>20</v>
      </c>
      <c r="I551" s="43" t="s">
        <v>21</v>
      </c>
      <c r="J551" s="44" t="s">
        <v>3675</v>
      </c>
      <c r="K551" s="53" t="s">
        <v>1586</v>
      </c>
      <c r="L551" s="51" t="s">
        <v>211</v>
      </c>
      <c r="M551" s="62" t="s">
        <v>955</v>
      </c>
      <c r="N551" s="62" t="s">
        <v>955</v>
      </c>
      <c r="O551" s="62" t="s">
        <v>3639</v>
      </c>
      <c r="P551" s="247" t="s">
        <v>3820</v>
      </c>
      <c r="Q551" s="246">
        <v>70004</v>
      </c>
      <c r="R551" s="43"/>
      <c r="S551" s="63" t="s">
        <v>1822</v>
      </c>
      <c r="T551" s="44"/>
      <c r="U551" s="116">
        <v>440152239019</v>
      </c>
      <c r="V551" s="63"/>
      <c r="W551" s="63"/>
      <c r="X551" s="62"/>
      <c r="Y551" s="45" t="s">
        <v>27</v>
      </c>
      <c r="Z551" s="45" t="s">
        <v>27</v>
      </c>
      <c r="AA551" s="45" t="s">
        <v>27</v>
      </c>
      <c r="AB551" s="45"/>
      <c r="AC551" s="169"/>
    </row>
    <row r="552" spans="1:29" s="68" customFormat="1" ht="15" hidden="1" customHeight="1" thickBot="1">
      <c r="A552" s="62" t="s">
        <v>336</v>
      </c>
      <c r="B552" s="44" t="s">
        <v>1048</v>
      </c>
      <c r="C552" s="46" t="s">
        <v>27</v>
      </c>
      <c r="D552" s="67" t="s">
        <v>2761</v>
      </c>
      <c r="E552" s="62" t="s">
        <v>17</v>
      </c>
      <c r="F552" s="62" t="s">
        <v>2277</v>
      </c>
      <c r="G552" s="43"/>
      <c r="H552" s="62" t="s">
        <v>20</v>
      </c>
      <c r="I552" s="43" t="s">
        <v>21</v>
      </c>
      <c r="J552" s="44" t="s">
        <v>3674</v>
      </c>
      <c r="K552" s="53" t="s">
        <v>1586</v>
      </c>
      <c r="L552" s="51" t="s">
        <v>211</v>
      </c>
      <c r="M552" s="62" t="s">
        <v>955</v>
      </c>
      <c r="N552" s="62" t="s">
        <v>955</v>
      </c>
      <c r="O552" s="62" t="s">
        <v>3639</v>
      </c>
      <c r="P552" s="62" t="s">
        <v>3822</v>
      </c>
      <c r="Q552" s="246">
        <v>70004</v>
      </c>
      <c r="R552" s="43"/>
      <c r="S552" s="63"/>
      <c r="T552" s="44"/>
      <c r="U552" s="116"/>
      <c r="V552" s="63"/>
      <c r="W552" s="63"/>
      <c r="X552" s="62"/>
      <c r="Y552" s="45" t="s">
        <v>27</v>
      </c>
      <c r="Z552" s="45" t="s">
        <v>27</v>
      </c>
      <c r="AA552" s="45" t="s">
        <v>27</v>
      </c>
      <c r="AB552" s="45"/>
      <c r="AC552" s="169"/>
    </row>
    <row r="553" spans="1:29" s="155" customFormat="1" ht="15" hidden="1" customHeight="1" thickBot="1">
      <c r="A553" s="87" t="s">
        <v>336</v>
      </c>
      <c r="B553" s="151" t="s">
        <v>1049</v>
      </c>
      <c r="C553" s="46" t="s">
        <v>22</v>
      </c>
      <c r="D553" s="67" t="s">
        <v>2893</v>
      </c>
      <c r="E553" s="87" t="s">
        <v>17</v>
      </c>
      <c r="F553" s="154" t="s">
        <v>1823</v>
      </c>
      <c r="G553" s="87"/>
      <c r="H553" s="87" t="s">
        <v>20</v>
      </c>
      <c r="I553" s="87" t="s">
        <v>21</v>
      </c>
      <c r="J553" s="87" t="s">
        <v>3674</v>
      </c>
      <c r="K553" s="53" t="s">
        <v>1586</v>
      </c>
      <c r="L553" s="51" t="s">
        <v>211</v>
      </c>
      <c r="M553" s="87" t="s">
        <v>955</v>
      </c>
      <c r="N553" s="87" t="s">
        <v>955</v>
      </c>
      <c r="O553" s="62" t="s">
        <v>3639</v>
      </c>
      <c r="P553" s="247" t="s">
        <v>3820</v>
      </c>
      <c r="Q553" s="246">
        <v>70004</v>
      </c>
      <c r="R553" s="87"/>
      <c r="S553" s="152"/>
      <c r="T553" s="151"/>
      <c r="U553" s="153"/>
      <c r="V553" s="152"/>
      <c r="W553" s="152"/>
      <c r="X553" s="87"/>
      <c r="Y553" s="146" t="s">
        <v>27</v>
      </c>
      <c r="Z553" s="146" t="s">
        <v>27</v>
      </c>
      <c r="AA553" s="146" t="s">
        <v>349</v>
      </c>
      <c r="AB553" s="146" t="s">
        <v>2473</v>
      </c>
      <c r="AC553" s="170" t="s">
        <v>2660</v>
      </c>
    </row>
    <row r="554" spans="1:29" s="68" customFormat="1" ht="15" hidden="1" customHeight="1" thickBot="1">
      <c r="A554" s="62" t="s">
        <v>336</v>
      </c>
      <c r="B554" s="44" t="s">
        <v>1050</v>
      </c>
      <c r="C554" s="46" t="s">
        <v>27</v>
      </c>
      <c r="D554" s="67" t="s">
        <v>2658</v>
      </c>
      <c r="E554" s="62" t="s">
        <v>17</v>
      </c>
      <c r="F554" s="91" t="s">
        <v>1824</v>
      </c>
      <c r="G554" s="43"/>
      <c r="H554" s="62" t="s">
        <v>20</v>
      </c>
      <c r="I554" s="43" t="s">
        <v>21</v>
      </c>
      <c r="J554" s="44" t="s">
        <v>1025</v>
      </c>
      <c r="K554" s="53" t="s">
        <v>1586</v>
      </c>
      <c r="L554" s="51" t="s">
        <v>211</v>
      </c>
      <c r="M554" s="62" t="s">
        <v>955</v>
      </c>
      <c r="N554" s="62" t="s">
        <v>955</v>
      </c>
      <c r="O554" s="62" t="s">
        <v>3639</v>
      </c>
      <c r="P554" s="248" t="s">
        <v>3821</v>
      </c>
      <c r="Q554" s="246">
        <v>70004</v>
      </c>
      <c r="R554" s="43"/>
      <c r="S554" s="63"/>
      <c r="T554" s="44"/>
      <c r="U554" s="116"/>
      <c r="V554" s="63"/>
      <c r="W554" s="63"/>
      <c r="X554" s="62"/>
      <c r="Y554" s="45" t="s">
        <v>27</v>
      </c>
      <c r="Z554" s="45" t="s">
        <v>27</v>
      </c>
      <c r="AA554" s="45" t="s">
        <v>27</v>
      </c>
      <c r="AB554" s="45"/>
      <c r="AC554" s="169"/>
    </row>
    <row r="555" spans="1:29" s="68" customFormat="1" ht="15" hidden="1" customHeight="1" thickBot="1">
      <c r="A555" s="62" t="s">
        <v>336</v>
      </c>
      <c r="B555" s="44" t="s">
        <v>1051</v>
      </c>
      <c r="C555" s="46" t="s">
        <v>27</v>
      </c>
      <c r="D555" s="67" t="s">
        <v>2658</v>
      </c>
      <c r="E555" s="62" t="s">
        <v>17</v>
      </c>
      <c r="F555" s="91" t="s">
        <v>1825</v>
      </c>
      <c r="G555" s="43"/>
      <c r="H555" s="62" t="s">
        <v>20</v>
      </c>
      <c r="I555" s="43" t="s">
        <v>21</v>
      </c>
      <c r="J555" s="44" t="s">
        <v>876</v>
      </c>
      <c r="K555" s="53" t="s">
        <v>1586</v>
      </c>
      <c r="L555" s="51" t="s">
        <v>211</v>
      </c>
      <c r="M555" s="62" t="s">
        <v>955</v>
      </c>
      <c r="N555" s="62" t="s">
        <v>955</v>
      </c>
      <c r="O555" s="62" t="s">
        <v>3639</v>
      </c>
      <c r="P555" s="248" t="s">
        <v>3824</v>
      </c>
      <c r="Q555" s="246">
        <v>70004</v>
      </c>
      <c r="R555" s="43"/>
      <c r="S555" s="63"/>
      <c r="T555" s="44"/>
      <c r="U555" s="116"/>
      <c r="V555" s="63"/>
      <c r="W555" s="63"/>
      <c r="X555" s="62"/>
      <c r="Y555" s="45" t="s">
        <v>27</v>
      </c>
      <c r="Z555" s="45" t="s">
        <v>27</v>
      </c>
      <c r="AA555" s="45" t="s">
        <v>27</v>
      </c>
      <c r="AB555" s="45"/>
      <c r="AC555" s="169"/>
    </row>
    <row r="556" spans="1:29" s="68" customFormat="1" ht="15" hidden="1" customHeight="1" thickBot="1">
      <c r="A556" s="62" t="s">
        <v>336</v>
      </c>
      <c r="B556" s="46" t="s">
        <v>1052</v>
      </c>
      <c r="C556" s="46" t="s">
        <v>27</v>
      </c>
      <c r="D556" s="67" t="s">
        <v>2758</v>
      </c>
      <c r="E556" s="62" t="s">
        <v>17</v>
      </c>
      <c r="F556" s="91" t="s">
        <v>1826</v>
      </c>
      <c r="G556" s="43"/>
      <c r="H556" s="62" t="s">
        <v>20</v>
      </c>
      <c r="I556" s="43" t="s">
        <v>21</v>
      </c>
      <c r="J556" s="44" t="s">
        <v>1025</v>
      </c>
      <c r="K556" s="53" t="s">
        <v>1586</v>
      </c>
      <c r="L556" s="51" t="s">
        <v>211</v>
      </c>
      <c r="M556" s="62" t="s">
        <v>955</v>
      </c>
      <c r="N556" s="62" t="s">
        <v>955</v>
      </c>
      <c r="O556" s="62" t="s">
        <v>3639</v>
      </c>
      <c r="P556" s="62" t="s">
        <v>3821</v>
      </c>
      <c r="Q556" s="246">
        <v>70004</v>
      </c>
      <c r="R556" s="43"/>
      <c r="S556" s="63"/>
      <c r="T556" s="44"/>
      <c r="U556" s="116"/>
      <c r="V556" s="63"/>
      <c r="W556" s="63"/>
      <c r="X556" s="62"/>
      <c r="Y556" s="45" t="s">
        <v>27</v>
      </c>
      <c r="Z556" s="45" t="s">
        <v>27</v>
      </c>
      <c r="AA556" s="45" t="s">
        <v>27</v>
      </c>
      <c r="AB556" s="45"/>
      <c r="AC556" s="169"/>
    </row>
    <row r="557" spans="1:29" s="68" customFormat="1" ht="15" hidden="1" customHeight="1" thickBot="1">
      <c r="A557" s="62" t="s">
        <v>336</v>
      </c>
      <c r="B557" s="43" t="s">
        <v>1053</v>
      </c>
      <c r="C557" s="46" t="s">
        <v>27</v>
      </c>
      <c r="D557" s="67" t="s">
        <v>2761</v>
      </c>
      <c r="E557" s="62" t="s">
        <v>17</v>
      </c>
      <c r="F557" s="91" t="s">
        <v>1827</v>
      </c>
      <c r="G557" s="43"/>
      <c r="H557" s="62" t="s">
        <v>20</v>
      </c>
      <c r="I557" s="43" t="s">
        <v>21</v>
      </c>
      <c r="J557" s="44" t="s">
        <v>876</v>
      </c>
      <c r="K557" s="53" t="s">
        <v>1586</v>
      </c>
      <c r="L557" s="51" t="s">
        <v>211</v>
      </c>
      <c r="M557" s="62" t="s">
        <v>955</v>
      </c>
      <c r="N557" s="62" t="s">
        <v>955</v>
      </c>
      <c r="O557" s="62" t="s">
        <v>3639</v>
      </c>
      <c r="P557" s="62" t="s">
        <v>3824</v>
      </c>
      <c r="Q557" s="246">
        <v>70004</v>
      </c>
      <c r="R557" s="43"/>
      <c r="S557" s="63"/>
      <c r="T557" s="44"/>
      <c r="U557" s="116"/>
      <c r="V557" s="63"/>
      <c r="W557" s="63"/>
      <c r="X557" s="62"/>
      <c r="Y557" s="45" t="s">
        <v>27</v>
      </c>
      <c r="Z557" s="45" t="s">
        <v>27</v>
      </c>
      <c r="AA557" s="45" t="s">
        <v>27</v>
      </c>
      <c r="AB557" s="45"/>
      <c r="AC557" s="169"/>
    </row>
    <row r="558" spans="1:29" s="68" customFormat="1" ht="15" hidden="1" customHeight="1" thickBot="1">
      <c r="A558" s="62" t="s">
        <v>336</v>
      </c>
      <c r="B558" s="43" t="s">
        <v>1054</v>
      </c>
      <c r="C558" s="46" t="s">
        <v>27</v>
      </c>
      <c r="D558" s="67" t="s">
        <v>2758</v>
      </c>
      <c r="E558" s="62" t="s">
        <v>17</v>
      </c>
      <c r="F558" s="91" t="s">
        <v>1828</v>
      </c>
      <c r="G558" s="43"/>
      <c r="H558" s="62" t="s">
        <v>20</v>
      </c>
      <c r="I558" s="43" t="s">
        <v>21</v>
      </c>
      <c r="J558" s="44" t="s">
        <v>876</v>
      </c>
      <c r="K558" s="53" t="s">
        <v>1586</v>
      </c>
      <c r="L558" s="51" t="s">
        <v>211</v>
      </c>
      <c r="M558" s="62" t="s">
        <v>955</v>
      </c>
      <c r="N558" s="62" t="s">
        <v>955</v>
      </c>
      <c r="O558" s="62" t="s">
        <v>3639</v>
      </c>
      <c r="P558" s="247" t="s">
        <v>3820</v>
      </c>
      <c r="Q558" s="246">
        <v>70004</v>
      </c>
      <c r="R558" s="43"/>
      <c r="S558" s="63"/>
      <c r="T558" s="44"/>
      <c r="U558" s="116"/>
      <c r="V558" s="63"/>
      <c r="W558" s="63"/>
      <c r="X558" s="62"/>
      <c r="Y558" s="45" t="s">
        <v>27</v>
      </c>
      <c r="Z558" s="45" t="s">
        <v>27</v>
      </c>
      <c r="AA558" s="45" t="s">
        <v>27</v>
      </c>
      <c r="AB558" s="45"/>
      <c r="AC558" s="169"/>
    </row>
    <row r="559" spans="1:29" s="68" customFormat="1" ht="15" hidden="1" customHeight="1" thickBot="1">
      <c r="A559" s="62" t="s">
        <v>336</v>
      </c>
      <c r="B559" s="43" t="s">
        <v>1055</v>
      </c>
      <c r="C559" s="46" t="s">
        <v>27</v>
      </c>
      <c r="D559" s="67" t="s">
        <v>2893</v>
      </c>
      <c r="E559" s="62" t="s">
        <v>17</v>
      </c>
      <c r="F559" s="91" t="s">
        <v>1829</v>
      </c>
      <c r="G559" s="43"/>
      <c r="H559" s="62" t="s">
        <v>20</v>
      </c>
      <c r="I559" s="43" t="s">
        <v>60</v>
      </c>
      <c r="J559" s="44" t="s">
        <v>876</v>
      </c>
      <c r="K559" s="53" t="s">
        <v>1586</v>
      </c>
      <c r="L559" s="51" t="s">
        <v>211</v>
      </c>
      <c r="M559" s="62" t="s">
        <v>955</v>
      </c>
      <c r="N559" s="62" t="s">
        <v>955</v>
      </c>
      <c r="O559" s="62" t="s">
        <v>3639</v>
      </c>
      <c r="P559" s="62" t="s">
        <v>3825</v>
      </c>
      <c r="Q559" s="246">
        <v>70004</v>
      </c>
      <c r="R559" s="43"/>
      <c r="S559" s="63"/>
      <c r="T559" s="44"/>
      <c r="U559" s="116"/>
      <c r="V559" s="63"/>
      <c r="W559" s="63"/>
      <c r="X559" s="62"/>
      <c r="Y559" s="45" t="s">
        <v>27</v>
      </c>
      <c r="Z559" s="45" t="s">
        <v>27</v>
      </c>
      <c r="AA559" s="45" t="s">
        <v>27</v>
      </c>
      <c r="AB559" s="45"/>
      <c r="AC559" s="169"/>
    </row>
    <row r="560" spans="1:29" s="85" customFormat="1" ht="15" hidden="1" customHeight="1" thickBot="1">
      <c r="A560" s="82" t="s">
        <v>336</v>
      </c>
      <c r="B560" s="82" t="s">
        <v>1056</v>
      </c>
      <c r="C560" s="46" t="s">
        <v>22</v>
      </c>
      <c r="D560" s="67" t="s">
        <v>2893</v>
      </c>
      <c r="E560" s="82" t="s">
        <v>17</v>
      </c>
      <c r="F560" s="91"/>
      <c r="G560" s="82"/>
      <c r="H560" s="82"/>
      <c r="I560" s="82"/>
      <c r="J560" s="82"/>
      <c r="K560" s="53" t="s">
        <v>1586</v>
      </c>
      <c r="L560" s="51" t="s">
        <v>211</v>
      </c>
      <c r="M560" s="82" t="s">
        <v>955</v>
      </c>
      <c r="N560" s="82" t="s">
        <v>955</v>
      </c>
      <c r="O560" s="62" t="s">
        <v>3639</v>
      </c>
      <c r="P560" s="82"/>
      <c r="Q560" s="246">
        <v>70004</v>
      </c>
      <c r="R560" s="82"/>
      <c r="S560" s="83"/>
      <c r="T560" s="82"/>
      <c r="U560" s="119"/>
      <c r="V560" s="83"/>
      <c r="W560" s="83"/>
      <c r="X560" s="82"/>
      <c r="Y560" s="84" t="s">
        <v>27</v>
      </c>
      <c r="Z560" s="84" t="s">
        <v>27</v>
      </c>
      <c r="AA560" s="84" t="s">
        <v>2021</v>
      </c>
      <c r="AB560" s="84"/>
      <c r="AC560" s="171" t="s">
        <v>1057</v>
      </c>
    </row>
    <row r="561" spans="1:29" s="68" customFormat="1" ht="15" hidden="1" customHeight="1" thickBot="1">
      <c r="A561" s="62" t="s">
        <v>336</v>
      </c>
      <c r="B561" s="44" t="s">
        <v>1058</v>
      </c>
      <c r="C561" s="46" t="s">
        <v>27</v>
      </c>
      <c r="D561" s="67" t="s">
        <v>2758</v>
      </c>
      <c r="E561" s="62" t="s">
        <v>17</v>
      </c>
      <c r="F561" s="91" t="s">
        <v>1830</v>
      </c>
      <c r="G561" s="43"/>
      <c r="H561" s="62" t="s">
        <v>20</v>
      </c>
      <c r="I561" s="43" t="s">
        <v>21</v>
      </c>
      <c r="J561" s="44" t="s">
        <v>876</v>
      </c>
      <c r="K561" s="53" t="s">
        <v>1586</v>
      </c>
      <c r="L561" s="51" t="s">
        <v>211</v>
      </c>
      <c r="M561" s="62" t="s">
        <v>955</v>
      </c>
      <c r="N561" s="62" t="s">
        <v>27</v>
      </c>
      <c r="O561" s="62" t="s">
        <v>3639</v>
      </c>
      <c r="P561" s="62" t="s">
        <v>3823</v>
      </c>
      <c r="Q561" s="246">
        <v>70004</v>
      </c>
      <c r="R561" s="43"/>
      <c r="S561" s="63"/>
      <c r="T561" s="44"/>
      <c r="U561" s="116"/>
      <c r="V561" s="63"/>
      <c r="W561" s="63"/>
      <c r="X561" s="62"/>
      <c r="Y561" s="45" t="s">
        <v>27</v>
      </c>
      <c r="Z561" s="45" t="s">
        <v>27</v>
      </c>
      <c r="AA561" s="45" t="s">
        <v>27</v>
      </c>
      <c r="AB561" s="45"/>
      <c r="AC561" s="169"/>
    </row>
    <row r="562" spans="1:29" s="68" customFormat="1" ht="15" hidden="1" customHeight="1" thickBot="1">
      <c r="A562" s="62" t="s">
        <v>336</v>
      </c>
      <c r="B562" s="43" t="s">
        <v>1059</v>
      </c>
      <c r="C562" s="46" t="s">
        <v>27</v>
      </c>
      <c r="D562" s="67" t="s">
        <v>2759</v>
      </c>
      <c r="E562" s="62" t="s">
        <v>17</v>
      </c>
      <c r="F562" s="91" t="s">
        <v>1831</v>
      </c>
      <c r="G562" s="43"/>
      <c r="H562" s="62" t="s">
        <v>20</v>
      </c>
      <c r="I562" s="43" t="s">
        <v>60</v>
      </c>
      <c r="J562" s="44" t="s">
        <v>3684</v>
      </c>
      <c r="K562" s="53" t="s">
        <v>2364</v>
      </c>
      <c r="L562" s="51" t="s">
        <v>211</v>
      </c>
      <c r="M562" s="62" t="s">
        <v>955</v>
      </c>
      <c r="N562" s="62" t="s">
        <v>27</v>
      </c>
      <c r="O562" s="62" t="s">
        <v>3639</v>
      </c>
      <c r="P562" s="62" t="s">
        <v>3823</v>
      </c>
      <c r="Q562" s="246">
        <v>70004</v>
      </c>
      <c r="R562" s="43"/>
      <c r="S562" s="63"/>
      <c r="T562" s="44"/>
      <c r="U562" s="116"/>
      <c r="V562" s="63"/>
      <c r="W562" s="63"/>
      <c r="X562" s="62"/>
      <c r="Y562" s="45" t="s">
        <v>27</v>
      </c>
      <c r="Z562" s="45" t="s">
        <v>27</v>
      </c>
      <c r="AA562" s="45" t="s">
        <v>27</v>
      </c>
      <c r="AB562" s="45"/>
      <c r="AC562" s="169"/>
    </row>
    <row r="563" spans="1:29" s="115" customFormat="1" ht="15" hidden="1" customHeight="1" thickBot="1">
      <c r="A563" s="43" t="s">
        <v>336</v>
      </c>
      <c r="B563" s="43" t="s">
        <v>1060</v>
      </c>
      <c r="C563" s="46" t="s">
        <v>27</v>
      </c>
      <c r="D563" s="67" t="s">
        <v>2761</v>
      </c>
      <c r="E563" s="43" t="s">
        <v>17</v>
      </c>
      <c r="F563" s="93" t="s">
        <v>1832</v>
      </c>
      <c r="G563" s="43"/>
      <c r="H563" s="43" t="s">
        <v>20</v>
      </c>
      <c r="I563" s="43" t="s">
        <v>21</v>
      </c>
      <c r="J563" s="44" t="s">
        <v>876</v>
      </c>
      <c r="K563" s="53" t="s">
        <v>1586</v>
      </c>
      <c r="L563" s="51" t="s">
        <v>211</v>
      </c>
      <c r="M563" s="43" t="s">
        <v>955</v>
      </c>
      <c r="N563" s="43" t="s">
        <v>27</v>
      </c>
      <c r="O563" s="62" t="s">
        <v>3639</v>
      </c>
      <c r="P563" s="43" t="s">
        <v>3824</v>
      </c>
      <c r="Q563" s="246">
        <v>70004</v>
      </c>
      <c r="R563" s="43"/>
      <c r="S563" s="113"/>
      <c r="T563" s="44"/>
      <c r="U563" s="120"/>
      <c r="V563" s="113"/>
      <c r="W563" s="113"/>
      <c r="X563" s="43"/>
      <c r="Y563" s="45" t="s">
        <v>27</v>
      </c>
      <c r="Z563" s="45" t="s">
        <v>27</v>
      </c>
      <c r="AA563" s="45" t="s">
        <v>27</v>
      </c>
      <c r="AB563" s="45"/>
      <c r="AC563" s="172"/>
    </row>
    <row r="564" spans="1:29" s="68" customFormat="1" ht="15" hidden="1" customHeight="1" thickBot="1">
      <c r="A564" s="62" t="s">
        <v>336</v>
      </c>
      <c r="B564" s="43" t="s">
        <v>1061</v>
      </c>
      <c r="C564" s="46" t="s">
        <v>27</v>
      </c>
      <c r="D564" s="67" t="s">
        <v>2658</v>
      </c>
      <c r="E564" s="62" t="s">
        <v>17</v>
      </c>
      <c r="F564" s="91" t="s">
        <v>1833</v>
      </c>
      <c r="G564" s="43"/>
      <c r="H564" s="62" t="s">
        <v>20</v>
      </c>
      <c r="I564" s="43" t="s">
        <v>21</v>
      </c>
      <c r="J564" s="44" t="s">
        <v>876</v>
      </c>
      <c r="K564" s="53" t="s">
        <v>1586</v>
      </c>
      <c r="L564" s="51" t="s">
        <v>211</v>
      </c>
      <c r="M564" s="62" t="s">
        <v>955</v>
      </c>
      <c r="N564" s="62" t="s">
        <v>27</v>
      </c>
      <c r="O564" s="62" t="s">
        <v>3639</v>
      </c>
      <c r="P564" s="248" t="s">
        <v>3823</v>
      </c>
      <c r="Q564" s="246">
        <v>70004</v>
      </c>
      <c r="R564" s="43"/>
      <c r="S564" s="63"/>
      <c r="T564" s="44"/>
      <c r="U564" s="116"/>
      <c r="V564" s="63"/>
      <c r="W564" s="63"/>
      <c r="X564" s="62"/>
      <c r="Y564" s="45" t="s">
        <v>27</v>
      </c>
      <c r="Z564" s="45" t="s">
        <v>27</v>
      </c>
      <c r="AA564" s="45" t="s">
        <v>27</v>
      </c>
      <c r="AB564" s="45"/>
      <c r="AC564" s="169"/>
    </row>
    <row r="565" spans="1:29" s="68" customFormat="1" ht="15" hidden="1" customHeight="1" thickBot="1">
      <c r="A565" s="62" t="s">
        <v>336</v>
      </c>
      <c r="B565" s="43" t="s">
        <v>1062</v>
      </c>
      <c r="C565" s="46" t="s">
        <v>27</v>
      </c>
      <c r="D565" s="67" t="s">
        <v>2893</v>
      </c>
      <c r="E565" s="62" t="s">
        <v>17</v>
      </c>
      <c r="F565" s="91" t="s">
        <v>1834</v>
      </c>
      <c r="G565" s="43"/>
      <c r="H565" s="62" t="s">
        <v>20</v>
      </c>
      <c r="I565" s="43" t="s">
        <v>60</v>
      </c>
      <c r="J565" s="44" t="s">
        <v>876</v>
      </c>
      <c r="K565" s="53" t="s">
        <v>1586</v>
      </c>
      <c r="L565" s="51" t="s">
        <v>211</v>
      </c>
      <c r="M565" s="62" t="s">
        <v>955</v>
      </c>
      <c r="N565" s="62" t="s">
        <v>27</v>
      </c>
      <c r="O565" s="62" t="s">
        <v>3639</v>
      </c>
      <c r="P565" s="248" t="s">
        <v>3826</v>
      </c>
      <c r="Q565" s="246">
        <v>70004</v>
      </c>
      <c r="R565" s="147"/>
      <c r="S565" s="95" t="s">
        <v>1876</v>
      </c>
      <c r="T565" s="121">
        <v>4087610356</v>
      </c>
      <c r="U565" s="122">
        <v>440152249318</v>
      </c>
      <c r="V565" s="121"/>
      <c r="W565" s="121"/>
      <c r="X565" s="77">
        <v>43151</v>
      </c>
      <c r="Y565" s="45" t="s">
        <v>27</v>
      </c>
      <c r="Z565" s="45" t="s">
        <v>27</v>
      </c>
      <c r="AA565" s="45" t="s">
        <v>27</v>
      </c>
      <c r="AB565" s="45"/>
      <c r="AC565" s="169"/>
    </row>
    <row r="566" spans="1:29" s="68" customFormat="1" ht="15" hidden="1" customHeight="1" thickBot="1">
      <c r="A566" s="62" t="s">
        <v>336</v>
      </c>
      <c r="B566" s="44" t="s">
        <v>1063</v>
      </c>
      <c r="C566" s="46" t="s">
        <v>27</v>
      </c>
      <c r="D566" s="67" t="s">
        <v>2761</v>
      </c>
      <c r="E566" s="62" t="s">
        <v>17</v>
      </c>
      <c r="F566" s="91" t="s">
        <v>1835</v>
      </c>
      <c r="G566" s="43"/>
      <c r="H566" s="62" t="s">
        <v>20</v>
      </c>
      <c r="I566" s="43" t="s">
        <v>21</v>
      </c>
      <c r="J566" s="44" t="s">
        <v>876</v>
      </c>
      <c r="K566" s="53" t="s">
        <v>1586</v>
      </c>
      <c r="L566" s="51" t="s">
        <v>211</v>
      </c>
      <c r="M566" s="62" t="s">
        <v>955</v>
      </c>
      <c r="N566" s="62" t="s">
        <v>27</v>
      </c>
      <c r="O566" s="62" t="s">
        <v>3639</v>
      </c>
      <c r="P566" s="62" t="s">
        <v>3824</v>
      </c>
      <c r="Q566" s="246">
        <v>70004</v>
      </c>
      <c r="R566" s="147"/>
      <c r="S566" s="95" t="s">
        <v>1877</v>
      </c>
      <c r="T566" s="121">
        <v>5038670752</v>
      </c>
      <c r="U566" s="122">
        <v>440152249320</v>
      </c>
      <c r="V566" s="121"/>
      <c r="W566" s="121"/>
      <c r="X566" s="77">
        <v>43151</v>
      </c>
      <c r="Y566" s="45" t="s">
        <v>27</v>
      </c>
      <c r="Z566" s="45" t="s">
        <v>27</v>
      </c>
      <c r="AA566" s="45" t="s">
        <v>27</v>
      </c>
      <c r="AB566" s="45"/>
      <c r="AC566" s="169"/>
    </row>
    <row r="567" spans="1:29" s="68" customFormat="1" ht="15" hidden="1" customHeight="1" thickBot="1">
      <c r="A567" s="62" t="s">
        <v>336</v>
      </c>
      <c r="B567" s="44" t="s">
        <v>1064</v>
      </c>
      <c r="C567" s="46" t="s">
        <v>27</v>
      </c>
      <c r="D567" s="67" t="s">
        <v>2658</v>
      </c>
      <c r="E567" s="62" t="s">
        <v>17</v>
      </c>
      <c r="F567" s="91" t="s">
        <v>1836</v>
      </c>
      <c r="G567" s="43"/>
      <c r="H567" s="62" t="s">
        <v>20</v>
      </c>
      <c r="I567" s="43" t="s">
        <v>21</v>
      </c>
      <c r="J567" s="44" t="s">
        <v>876</v>
      </c>
      <c r="K567" s="53" t="s">
        <v>1586</v>
      </c>
      <c r="L567" s="51" t="s">
        <v>211</v>
      </c>
      <c r="M567" s="62" t="s">
        <v>955</v>
      </c>
      <c r="N567" s="62" t="s">
        <v>27</v>
      </c>
      <c r="O567" s="62" t="s">
        <v>3639</v>
      </c>
      <c r="P567" s="248" t="s">
        <v>3821</v>
      </c>
      <c r="Q567" s="246">
        <v>70004</v>
      </c>
      <c r="R567" s="147"/>
      <c r="S567" s="95" t="s">
        <v>1874</v>
      </c>
      <c r="T567" s="123">
        <v>9712913192</v>
      </c>
      <c r="U567" s="122">
        <v>440152249324</v>
      </c>
      <c r="V567" s="121"/>
      <c r="W567" s="121"/>
      <c r="X567" s="77">
        <v>43160</v>
      </c>
      <c r="Y567" s="45" t="s">
        <v>27</v>
      </c>
      <c r="Z567" s="45" t="s">
        <v>27</v>
      </c>
      <c r="AA567" s="45" t="s">
        <v>27</v>
      </c>
      <c r="AB567" s="45"/>
      <c r="AC567" s="169"/>
    </row>
    <row r="568" spans="1:29" s="68" customFormat="1" ht="15" hidden="1" customHeight="1" thickBot="1">
      <c r="A568" s="62" t="s">
        <v>336</v>
      </c>
      <c r="B568" s="44" t="s">
        <v>1065</v>
      </c>
      <c r="C568" s="46" t="s">
        <v>27</v>
      </c>
      <c r="D568" s="67" t="s">
        <v>2893</v>
      </c>
      <c r="E568" s="62" t="s">
        <v>17</v>
      </c>
      <c r="F568" s="91" t="s">
        <v>1837</v>
      </c>
      <c r="G568" s="43"/>
      <c r="H568" s="62" t="s">
        <v>20</v>
      </c>
      <c r="I568" s="43" t="s">
        <v>60</v>
      </c>
      <c r="J568" s="44" t="s">
        <v>876</v>
      </c>
      <c r="K568" s="53" t="s">
        <v>1586</v>
      </c>
      <c r="L568" s="51" t="s">
        <v>211</v>
      </c>
      <c r="M568" s="62" t="s">
        <v>955</v>
      </c>
      <c r="N568" s="62" t="s">
        <v>27</v>
      </c>
      <c r="O568" s="62" t="s">
        <v>3639</v>
      </c>
      <c r="P568" s="62" t="s">
        <v>3823</v>
      </c>
      <c r="Q568" s="246">
        <v>70004</v>
      </c>
      <c r="R568" s="43"/>
      <c r="S568" s="63"/>
      <c r="T568" s="44"/>
      <c r="U568" s="116"/>
      <c r="V568" s="63"/>
      <c r="W568" s="63"/>
      <c r="X568" s="62"/>
      <c r="Y568" s="45" t="s">
        <v>27</v>
      </c>
      <c r="Z568" s="45" t="s">
        <v>27</v>
      </c>
      <c r="AA568" s="45" t="s">
        <v>27</v>
      </c>
      <c r="AB568" s="45"/>
      <c r="AC568" s="169"/>
    </row>
    <row r="569" spans="1:29" s="68" customFormat="1" ht="15" hidden="1" customHeight="1" thickBot="1">
      <c r="A569" s="62" t="s">
        <v>336</v>
      </c>
      <c r="B569" s="44" t="s">
        <v>1066</v>
      </c>
      <c r="C569" s="46" t="s">
        <v>27</v>
      </c>
      <c r="D569" s="67" t="s">
        <v>2759</v>
      </c>
      <c r="E569" s="62" t="s">
        <v>17</v>
      </c>
      <c r="F569" s="91" t="s">
        <v>1838</v>
      </c>
      <c r="G569" s="43"/>
      <c r="H569" s="62" t="s">
        <v>20</v>
      </c>
      <c r="I569" s="43" t="s">
        <v>21</v>
      </c>
      <c r="J569" s="44" t="s">
        <v>876</v>
      </c>
      <c r="K569" s="53" t="s">
        <v>1586</v>
      </c>
      <c r="L569" s="51" t="s">
        <v>211</v>
      </c>
      <c r="M569" s="62" t="s">
        <v>955</v>
      </c>
      <c r="N569" s="62" t="s">
        <v>27</v>
      </c>
      <c r="O569" s="62" t="s">
        <v>3639</v>
      </c>
      <c r="P569" s="62" t="s">
        <v>3823</v>
      </c>
      <c r="Q569" s="246">
        <v>70004</v>
      </c>
      <c r="R569" s="147"/>
      <c r="S569" s="95" t="s">
        <v>1878</v>
      </c>
      <c r="T569">
        <v>5037292826</v>
      </c>
      <c r="U569" s="122">
        <v>440152249245</v>
      </c>
      <c r="V569" s="121"/>
      <c r="W569" s="121"/>
      <c r="X569" s="77">
        <v>43147</v>
      </c>
      <c r="Y569" s="45" t="s">
        <v>27</v>
      </c>
      <c r="Z569" s="45" t="s">
        <v>27</v>
      </c>
      <c r="AA569" s="45" t="s">
        <v>27</v>
      </c>
      <c r="AB569" s="45"/>
      <c r="AC569" s="169"/>
    </row>
    <row r="570" spans="1:29" s="68" customFormat="1" ht="15" hidden="1" customHeight="1" thickBot="1">
      <c r="A570" s="62" t="s">
        <v>336</v>
      </c>
      <c r="B570" s="44" t="s">
        <v>1067</v>
      </c>
      <c r="C570" s="46" t="s">
        <v>27</v>
      </c>
      <c r="D570" s="67" t="s">
        <v>2658</v>
      </c>
      <c r="E570" s="62" t="s">
        <v>17</v>
      </c>
      <c r="F570" s="91" t="s">
        <v>1839</v>
      </c>
      <c r="G570" s="43"/>
      <c r="H570" s="62" t="s">
        <v>20</v>
      </c>
      <c r="I570" s="43" t="s">
        <v>21</v>
      </c>
      <c r="J570" s="44" t="s">
        <v>876</v>
      </c>
      <c r="K570" s="53" t="s">
        <v>1586</v>
      </c>
      <c r="L570" s="51" t="s">
        <v>211</v>
      </c>
      <c r="M570" s="62" t="s">
        <v>955</v>
      </c>
      <c r="N570" s="62" t="s">
        <v>27</v>
      </c>
      <c r="O570" s="62" t="s">
        <v>3639</v>
      </c>
      <c r="P570" s="62" t="s">
        <v>3823</v>
      </c>
      <c r="Q570" s="246">
        <v>70004</v>
      </c>
      <c r="R570" s="147"/>
      <c r="S570" s="95" t="s">
        <v>1879</v>
      </c>
      <c r="T570" s="121">
        <v>4087610432</v>
      </c>
      <c r="U570" s="122">
        <v>440152249240</v>
      </c>
      <c r="V570" s="121"/>
      <c r="W570" s="121"/>
      <c r="X570" s="77">
        <v>43145</v>
      </c>
      <c r="Y570" s="45" t="s">
        <v>27</v>
      </c>
      <c r="Z570" s="45" t="s">
        <v>27</v>
      </c>
      <c r="AA570" s="45" t="s">
        <v>27</v>
      </c>
      <c r="AB570" s="45"/>
      <c r="AC570" s="169"/>
    </row>
    <row r="571" spans="1:29" s="68" customFormat="1" ht="15" hidden="1" customHeight="1" thickBot="1">
      <c r="A571" s="62" t="s">
        <v>336</v>
      </c>
      <c r="B571" s="46" t="s">
        <v>1068</v>
      </c>
      <c r="C571" s="46" t="s">
        <v>27</v>
      </c>
      <c r="D571" s="67" t="s">
        <v>2658</v>
      </c>
      <c r="E571" s="62" t="s">
        <v>17</v>
      </c>
      <c r="F571" s="91" t="s">
        <v>1841</v>
      </c>
      <c r="G571" s="43"/>
      <c r="H571" s="62" t="s">
        <v>20</v>
      </c>
      <c r="I571" s="43" t="s">
        <v>21</v>
      </c>
      <c r="J571" s="44" t="s">
        <v>876</v>
      </c>
      <c r="K571" s="53" t="s">
        <v>1586</v>
      </c>
      <c r="L571" s="51" t="s">
        <v>211</v>
      </c>
      <c r="M571" s="62" t="s">
        <v>955</v>
      </c>
      <c r="N571" s="62" t="s">
        <v>27</v>
      </c>
      <c r="O571" s="62" t="s">
        <v>3639</v>
      </c>
      <c r="P571" s="62" t="s">
        <v>3823</v>
      </c>
      <c r="Q571" s="246">
        <v>70004</v>
      </c>
      <c r="R571" s="147"/>
      <c r="S571" s="95" t="s">
        <v>1875</v>
      </c>
      <c r="T571" s="123">
        <v>9712913190</v>
      </c>
      <c r="U571" s="122">
        <v>440152249325</v>
      </c>
      <c r="V571" s="121"/>
      <c r="W571" s="121"/>
      <c r="X571" s="77">
        <v>43160</v>
      </c>
      <c r="Y571" s="45" t="s">
        <v>27</v>
      </c>
      <c r="Z571" s="45" t="s">
        <v>27</v>
      </c>
      <c r="AA571" s="45" t="s">
        <v>27</v>
      </c>
      <c r="AB571" s="45"/>
      <c r="AC571" s="169"/>
    </row>
    <row r="572" spans="1:29" s="68" customFormat="1" ht="15" hidden="1" customHeight="1" thickBot="1">
      <c r="A572" s="62" t="s">
        <v>336</v>
      </c>
      <c r="B572" s="43" t="s">
        <v>1069</v>
      </c>
      <c r="C572" s="46" t="s">
        <v>27</v>
      </c>
      <c r="D572" s="67" t="s">
        <v>2893</v>
      </c>
      <c r="E572" s="62" t="s">
        <v>17</v>
      </c>
      <c r="F572" s="91" t="s">
        <v>1834</v>
      </c>
      <c r="G572" s="43"/>
      <c r="H572" s="62" t="s">
        <v>20</v>
      </c>
      <c r="I572" s="43" t="s">
        <v>60</v>
      </c>
      <c r="J572" s="44" t="s">
        <v>876</v>
      </c>
      <c r="K572" s="53" t="s">
        <v>1586</v>
      </c>
      <c r="L572" s="51" t="s">
        <v>211</v>
      </c>
      <c r="M572" s="62" t="s">
        <v>955</v>
      </c>
      <c r="N572" s="62" t="s">
        <v>27</v>
      </c>
      <c r="O572" s="62" t="s">
        <v>3639</v>
      </c>
      <c r="P572" s="248" t="s">
        <v>3826</v>
      </c>
      <c r="Q572" s="246">
        <v>70004</v>
      </c>
      <c r="R572" s="147"/>
      <c r="S572" s="95" t="s">
        <v>1884</v>
      </c>
      <c r="T572" s="121">
        <v>4087612745</v>
      </c>
      <c r="U572" s="122">
        <v>440152249241</v>
      </c>
      <c r="V572" s="121"/>
      <c r="W572" s="121"/>
      <c r="X572" s="77">
        <v>43145</v>
      </c>
      <c r="Y572" s="45" t="s">
        <v>27</v>
      </c>
      <c r="Z572" s="45" t="s">
        <v>27</v>
      </c>
      <c r="AA572" s="45" t="s">
        <v>27</v>
      </c>
      <c r="AB572" s="45"/>
      <c r="AC572" s="173"/>
    </row>
    <row r="573" spans="1:29" s="68" customFormat="1" ht="15" hidden="1" customHeight="1" thickBot="1">
      <c r="A573" s="62" t="s">
        <v>336</v>
      </c>
      <c r="B573" s="43" t="s">
        <v>1070</v>
      </c>
      <c r="C573" s="46" t="s">
        <v>27</v>
      </c>
      <c r="D573" s="67" t="s">
        <v>2759</v>
      </c>
      <c r="E573" s="62" t="s">
        <v>17</v>
      </c>
      <c r="F573" s="91" t="s">
        <v>1840</v>
      </c>
      <c r="G573" s="43"/>
      <c r="H573" s="62" t="s">
        <v>20</v>
      </c>
      <c r="I573" s="43" t="s">
        <v>21</v>
      </c>
      <c r="J573" s="44" t="s">
        <v>876</v>
      </c>
      <c r="K573" s="53" t="s">
        <v>1586</v>
      </c>
      <c r="L573" s="51" t="s">
        <v>211</v>
      </c>
      <c r="M573" s="62" t="s">
        <v>955</v>
      </c>
      <c r="N573" s="62" t="s">
        <v>27</v>
      </c>
      <c r="O573" s="62" t="s">
        <v>3639</v>
      </c>
      <c r="P573" s="62" t="s">
        <v>3823</v>
      </c>
      <c r="Q573" s="246">
        <v>70004</v>
      </c>
      <c r="R573" s="147"/>
      <c r="S573" s="95" t="s">
        <v>1882</v>
      </c>
      <c r="T573" s="121">
        <v>4087613620</v>
      </c>
      <c r="U573" s="122">
        <v>440152249243</v>
      </c>
      <c r="V573" s="121"/>
      <c r="W573" s="121"/>
      <c r="X573" s="77">
        <v>43145</v>
      </c>
      <c r="Y573" s="45" t="s">
        <v>27</v>
      </c>
      <c r="Z573" s="45" t="s">
        <v>27</v>
      </c>
      <c r="AA573" s="45" t="s">
        <v>27</v>
      </c>
      <c r="AB573" s="45"/>
      <c r="AC573" s="169"/>
    </row>
    <row r="574" spans="1:29" s="68" customFormat="1" ht="15" hidden="1" customHeight="1" thickBot="1">
      <c r="A574" s="62" t="s">
        <v>336</v>
      </c>
      <c r="B574" s="43" t="s">
        <v>1071</v>
      </c>
      <c r="C574" s="46" t="s">
        <v>27</v>
      </c>
      <c r="D574" s="67" t="s">
        <v>2759</v>
      </c>
      <c r="E574" s="62" t="s">
        <v>17</v>
      </c>
      <c r="F574" s="91" t="s">
        <v>1842</v>
      </c>
      <c r="G574" s="43"/>
      <c r="H574" s="62" t="s">
        <v>20</v>
      </c>
      <c r="I574" s="43" t="s">
        <v>21</v>
      </c>
      <c r="J574" s="44" t="s">
        <v>1025</v>
      </c>
      <c r="K574" s="53" t="s">
        <v>1586</v>
      </c>
      <c r="L574" s="51" t="s">
        <v>211</v>
      </c>
      <c r="M574" s="62" t="s">
        <v>955</v>
      </c>
      <c r="N574" s="62" t="s">
        <v>27</v>
      </c>
      <c r="O574" s="62" t="s">
        <v>3639</v>
      </c>
      <c r="P574" s="248" t="s">
        <v>3821</v>
      </c>
      <c r="Q574" s="246">
        <v>70004</v>
      </c>
      <c r="R574" s="147"/>
      <c r="S574" s="95" t="s">
        <v>1883</v>
      </c>
      <c r="T574" s="44"/>
      <c r="U574" s="122">
        <v>440152249236</v>
      </c>
      <c r="V574" s="121"/>
      <c r="W574" s="121"/>
      <c r="X574" s="77">
        <v>43145</v>
      </c>
      <c r="Y574" s="45" t="s">
        <v>27</v>
      </c>
      <c r="Z574" s="45" t="s">
        <v>27</v>
      </c>
      <c r="AA574" s="45" t="s">
        <v>27</v>
      </c>
      <c r="AB574" s="45"/>
      <c r="AC574" s="169"/>
    </row>
    <row r="575" spans="1:29" s="68" customFormat="1" ht="15" hidden="1" customHeight="1" thickBot="1">
      <c r="A575" s="62" t="s">
        <v>336</v>
      </c>
      <c r="B575" s="43" t="s">
        <v>1072</v>
      </c>
      <c r="C575" s="46" t="s">
        <v>27</v>
      </c>
      <c r="D575" s="67" t="s">
        <v>2893</v>
      </c>
      <c r="E575" s="62" t="s">
        <v>17</v>
      </c>
      <c r="F575" s="91" t="s">
        <v>1843</v>
      </c>
      <c r="G575" s="43"/>
      <c r="H575" s="62" t="s">
        <v>20</v>
      </c>
      <c r="I575" s="43" t="s">
        <v>60</v>
      </c>
      <c r="J575" s="44" t="s">
        <v>876</v>
      </c>
      <c r="K575" s="53" t="s">
        <v>1586</v>
      </c>
      <c r="L575" s="51" t="s">
        <v>211</v>
      </c>
      <c r="M575" s="62" t="s">
        <v>955</v>
      </c>
      <c r="N575" s="62" t="s">
        <v>27</v>
      </c>
      <c r="O575" s="62" t="s">
        <v>3639</v>
      </c>
      <c r="P575" s="62" t="s">
        <v>3823</v>
      </c>
      <c r="Q575" s="246">
        <v>70004</v>
      </c>
      <c r="R575" s="147"/>
      <c r="S575" s="95" t="s">
        <v>1881</v>
      </c>
      <c r="T575" s="121">
        <v>4087612499</v>
      </c>
      <c r="U575" s="122">
        <v>440152249249</v>
      </c>
      <c r="V575" s="121"/>
      <c r="W575" s="121"/>
      <c r="X575" s="77">
        <v>43145</v>
      </c>
      <c r="Y575" s="45" t="s">
        <v>27</v>
      </c>
      <c r="Z575" s="45" t="s">
        <v>27</v>
      </c>
      <c r="AA575" s="45" t="s">
        <v>27</v>
      </c>
      <c r="AB575" s="45"/>
      <c r="AC575" s="169"/>
    </row>
    <row r="576" spans="1:29" s="68" customFormat="1" ht="15" hidden="1" customHeight="1" thickBot="1">
      <c r="A576" s="62" t="s">
        <v>336</v>
      </c>
      <c r="B576" s="44" t="s">
        <v>1073</v>
      </c>
      <c r="C576" s="46" t="s">
        <v>27</v>
      </c>
      <c r="D576" s="67" t="s">
        <v>2758</v>
      </c>
      <c r="E576" s="62" t="s">
        <v>17</v>
      </c>
      <c r="F576" s="91" t="s">
        <v>1844</v>
      </c>
      <c r="G576" s="43"/>
      <c r="H576" s="62" t="s">
        <v>20</v>
      </c>
      <c r="I576" s="43" t="s">
        <v>21</v>
      </c>
      <c r="J576" s="44" t="s">
        <v>876</v>
      </c>
      <c r="K576" s="53" t="s">
        <v>1586</v>
      </c>
      <c r="L576" s="51" t="s">
        <v>211</v>
      </c>
      <c r="M576" s="62" t="s">
        <v>955</v>
      </c>
      <c r="N576" s="62" t="s">
        <v>27</v>
      </c>
      <c r="O576" s="62" t="s">
        <v>3639</v>
      </c>
      <c r="P576" s="62" t="s">
        <v>3823</v>
      </c>
      <c r="Q576" s="246">
        <v>70004</v>
      </c>
      <c r="R576" s="147"/>
      <c r="S576" s="95" t="s">
        <v>1880</v>
      </c>
      <c r="T576" s="121">
        <v>4087612499</v>
      </c>
      <c r="U576" s="122">
        <v>440152249242</v>
      </c>
      <c r="V576" s="121"/>
      <c r="W576" s="121"/>
      <c r="X576" s="77">
        <v>43145</v>
      </c>
      <c r="Y576" s="45" t="s">
        <v>27</v>
      </c>
      <c r="Z576" s="45" t="s">
        <v>27</v>
      </c>
      <c r="AA576" s="45" t="s">
        <v>27</v>
      </c>
      <c r="AB576" s="45"/>
      <c r="AC576" s="169"/>
    </row>
    <row r="577" spans="1:29" s="68" customFormat="1" ht="15" hidden="1" customHeight="1" thickBot="1">
      <c r="A577" s="62" t="s">
        <v>336</v>
      </c>
      <c r="B577" s="43" t="s">
        <v>450</v>
      </c>
      <c r="C577" s="46" t="s">
        <v>27</v>
      </c>
      <c r="D577" s="67" t="s">
        <v>2761</v>
      </c>
      <c r="E577" s="62" t="s">
        <v>17</v>
      </c>
      <c r="F577" s="91" t="s">
        <v>1834</v>
      </c>
      <c r="G577" s="43"/>
      <c r="H577" s="62" t="s">
        <v>20</v>
      </c>
      <c r="I577" s="43" t="s">
        <v>21</v>
      </c>
      <c r="J577" s="44" t="s">
        <v>876</v>
      </c>
      <c r="K577" s="53" t="s">
        <v>1586</v>
      </c>
      <c r="L577" s="51" t="s">
        <v>211</v>
      </c>
      <c r="M577" s="93" t="s">
        <v>955</v>
      </c>
      <c r="N577" s="62" t="s">
        <v>27</v>
      </c>
      <c r="O577" s="62" t="s">
        <v>3639</v>
      </c>
      <c r="P577" s="62" t="s">
        <v>3823</v>
      </c>
      <c r="Q577" s="246">
        <v>70004</v>
      </c>
      <c r="R577" s="147"/>
      <c r="S577" s="95" t="s">
        <v>1873</v>
      </c>
      <c r="T577" s="123">
        <v>9714132781</v>
      </c>
      <c r="U577" s="122">
        <v>440152249329</v>
      </c>
      <c r="V577" s="121"/>
      <c r="W577" s="121"/>
      <c r="X577" s="77">
        <v>43161</v>
      </c>
      <c r="Y577" s="45" t="s">
        <v>27</v>
      </c>
      <c r="Z577" s="45" t="s">
        <v>27</v>
      </c>
      <c r="AA577" s="45" t="s">
        <v>27</v>
      </c>
      <c r="AB577" s="45"/>
      <c r="AC577" s="169"/>
    </row>
    <row r="578" spans="1:29" s="68" customFormat="1" ht="15" hidden="1" customHeight="1" thickBot="1">
      <c r="A578" s="62" t="s">
        <v>336</v>
      </c>
      <c r="B578" s="43" t="s">
        <v>481</v>
      </c>
      <c r="C578" s="46" t="s">
        <v>27</v>
      </c>
      <c r="D578" s="67" t="s">
        <v>2658</v>
      </c>
      <c r="E578" s="62" t="s">
        <v>17</v>
      </c>
      <c r="F578" s="91" t="s">
        <v>1834</v>
      </c>
      <c r="G578" s="43"/>
      <c r="H578" s="62" t="s">
        <v>20</v>
      </c>
      <c r="I578" s="43" t="s">
        <v>21</v>
      </c>
      <c r="J578" s="44" t="s">
        <v>876</v>
      </c>
      <c r="K578" s="53" t="s">
        <v>1586</v>
      </c>
      <c r="L578" s="51" t="s">
        <v>211</v>
      </c>
      <c r="M578" s="62" t="s">
        <v>955</v>
      </c>
      <c r="N578" s="62" t="s">
        <v>22</v>
      </c>
      <c r="O578" s="62" t="s">
        <v>3639</v>
      </c>
      <c r="P578" s="247" t="s">
        <v>3820</v>
      </c>
      <c r="Q578" s="246">
        <v>70004</v>
      </c>
      <c r="R578" s="43"/>
      <c r="S578" s="63"/>
      <c r="T578" s="44"/>
      <c r="U578" s="116"/>
      <c r="V578" s="63"/>
      <c r="W578" s="63"/>
      <c r="X578" s="62"/>
      <c r="Y578" s="45" t="s">
        <v>27</v>
      </c>
      <c r="Z578" s="45" t="s">
        <v>27</v>
      </c>
      <c r="AA578" s="45" t="s">
        <v>27</v>
      </c>
      <c r="AB578" s="45"/>
      <c r="AC578" s="174"/>
    </row>
    <row r="579" spans="1:29" ht="15" hidden="1" customHeight="1" thickBot="1">
      <c r="A579" s="51" t="s">
        <v>336</v>
      </c>
      <c r="B579" s="92" t="s">
        <v>1801</v>
      </c>
      <c r="C579" s="46" t="s">
        <v>27</v>
      </c>
      <c r="D579" s="67" t="s">
        <v>2761</v>
      </c>
      <c r="E579" s="62" t="s">
        <v>17</v>
      </c>
      <c r="F579" s="91" t="s">
        <v>1845</v>
      </c>
      <c r="G579" s="51"/>
      <c r="H579" s="92" t="s">
        <v>20</v>
      </c>
      <c r="I579" s="43" t="s">
        <v>21</v>
      </c>
      <c r="J579" s="44" t="s">
        <v>876</v>
      </c>
      <c r="K579" s="53" t="s">
        <v>1586</v>
      </c>
      <c r="L579" s="51" t="s">
        <v>211</v>
      </c>
      <c r="M579" s="93" t="s">
        <v>22</v>
      </c>
      <c r="N579" s="51" t="s">
        <v>27</v>
      </c>
      <c r="O579" s="62" t="s">
        <v>3639</v>
      </c>
      <c r="P579" s="51" t="s">
        <v>3824</v>
      </c>
      <c r="Q579" s="246">
        <v>70004</v>
      </c>
      <c r="R579" s="147"/>
      <c r="S579" s="95" t="s">
        <v>1871</v>
      </c>
      <c r="T579" s="123">
        <v>9712913187</v>
      </c>
      <c r="U579" s="122">
        <v>440152249308</v>
      </c>
      <c r="V579" s="121"/>
      <c r="W579" s="121"/>
      <c r="X579" s="78"/>
      <c r="Y579" s="51" t="s">
        <v>27</v>
      </c>
      <c r="Z579" s="51" t="s">
        <v>27</v>
      </c>
      <c r="AA579" s="51" t="s">
        <v>27</v>
      </c>
      <c r="AB579" s="51"/>
      <c r="AC579" s="169"/>
    </row>
    <row r="580" spans="1:29" ht="15" hidden="1" customHeight="1" thickBot="1">
      <c r="A580" s="51" t="s">
        <v>336</v>
      </c>
      <c r="B580" s="92" t="s">
        <v>1802</v>
      </c>
      <c r="C580" s="46" t="s">
        <v>27</v>
      </c>
      <c r="D580" s="67" t="s">
        <v>25</v>
      </c>
      <c r="E580" s="62" t="s">
        <v>17</v>
      </c>
      <c r="F580" s="91" t="s">
        <v>1846</v>
      </c>
      <c r="G580" s="51"/>
      <c r="H580" s="92" t="s">
        <v>20</v>
      </c>
      <c r="I580" s="43" t="s">
        <v>21</v>
      </c>
      <c r="J580" s="44" t="s">
        <v>876</v>
      </c>
      <c r="K580" s="53" t="s">
        <v>1586</v>
      </c>
      <c r="L580" s="51" t="s">
        <v>211</v>
      </c>
      <c r="M580" s="92" t="s">
        <v>22</v>
      </c>
      <c r="N580" s="62" t="s">
        <v>27</v>
      </c>
      <c r="O580" s="62" t="s">
        <v>3639</v>
      </c>
      <c r="P580" s="62" t="s">
        <v>3823</v>
      </c>
      <c r="Q580" s="246">
        <v>70004</v>
      </c>
      <c r="R580" s="43"/>
      <c r="S580" s="51"/>
      <c r="T580" s="51"/>
      <c r="U580" s="52"/>
      <c r="V580" s="52"/>
      <c r="W580" s="52"/>
      <c r="X580" s="78"/>
      <c r="Y580" s="51" t="s">
        <v>27</v>
      </c>
      <c r="Z580" s="51" t="s">
        <v>27</v>
      </c>
      <c r="AA580" s="51" t="s">
        <v>27</v>
      </c>
      <c r="AB580" s="51"/>
      <c r="AC580" s="169"/>
    </row>
    <row r="581" spans="1:29" ht="15" hidden="1" customHeight="1" thickBot="1">
      <c r="A581" s="92" t="s">
        <v>336</v>
      </c>
      <c r="B581" s="92" t="s">
        <v>1803</v>
      </c>
      <c r="C581" s="46" t="s">
        <v>27</v>
      </c>
      <c r="D581" s="67" t="s">
        <v>2761</v>
      </c>
      <c r="E581" s="62" t="s">
        <v>17</v>
      </c>
      <c r="F581" s="91" t="s">
        <v>1847</v>
      </c>
      <c r="G581" s="51"/>
      <c r="H581" s="92" t="s">
        <v>20</v>
      </c>
      <c r="I581" s="43" t="s">
        <v>60</v>
      </c>
      <c r="J581" s="44" t="s">
        <v>876</v>
      </c>
      <c r="K581" s="53" t="s">
        <v>1586</v>
      </c>
      <c r="L581" s="51" t="s">
        <v>211</v>
      </c>
      <c r="M581" s="92" t="s">
        <v>22</v>
      </c>
      <c r="N581" s="62" t="s">
        <v>27</v>
      </c>
      <c r="O581" s="62" t="s">
        <v>3639</v>
      </c>
      <c r="P581" s="62" t="s">
        <v>3824</v>
      </c>
      <c r="Q581" s="246">
        <v>70004</v>
      </c>
      <c r="R581" s="147"/>
      <c r="S581" s="94" t="s">
        <v>1869</v>
      </c>
      <c r="T581" s="123">
        <v>9712913185</v>
      </c>
      <c r="U581" s="122">
        <v>440152249314</v>
      </c>
      <c r="V581" s="121"/>
      <c r="W581" s="121"/>
      <c r="X581" s="78"/>
      <c r="Y581" s="51" t="s">
        <v>27</v>
      </c>
      <c r="Z581" s="51" t="s">
        <v>27</v>
      </c>
      <c r="AA581" s="51" t="s">
        <v>27</v>
      </c>
      <c r="AB581" s="51"/>
      <c r="AC581" s="169"/>
    </row>
    <row r="582" spans="1:29" ht="15" hidden="1" customHeight="1" thickBot="1">
      <c r="A582" s="92" t="s">
        <v>336</v>
      </c>
      <c r="B582" s="92" t="s">
        <v>1804</v>
      </c>
      <c r="C582" s="46" t="s">
        <v>27</v>
      </c>
      <c r="D582" s="67" t="s">
        <v>2761</v>
      </c>
      <c r="E582" s="62" t="s">
        <v>17</v>
      </c>
      <c r="F582" s="91" t="s">
        <v>1848</v>
      </c>
      <c r="G582" s="51"/>
      <c r="H582" s="92" t="s">
        <v>20</v>
      </c>
      <c r="I582" s="43" t="s">
        <v>21</v>
      </c>
      <c r="J582" s="44" t="s">
        <v>876</v>
      </c>
      <c r="K582" s="53" t="s">
        <v>1586</v>
      </c>
      <c r="L582" s="51" t="s">
        <v>211</v>
      </c>
      <c r="M582" s="92" t="s">
        <v>22</v>
      </c>
      <c r="N582" s="62" t="s">
        <v>27</v>
      </c>
      <c r="O582" s="62" t="s">
        <v>3639</v>
      </c>
      <c r="P582" s="62" t="s">
        <v>3823</v>
      </c>
      <c r="Q582" s="246">
        <v>70004</v>
      </c>
      <c r="R582" s="43"/>
      <c r="S582" s="51"/>
      <c r="T582" s="51"/>
      <c r="U582" s="52"/>
      <c r="V582" s="52"/>
      <c r="W582" s="52"/>
      <c r="X582" s="78"/>
      <c r="Y582" s="51" t="s">
        <v>27</v>
      </c>
      <c r="Z582" s="51" t="s">
        <v>27</v>
      </c>
      <c r="AA582" s="51" t="s">
        <v>27</v>
      </c>
      <c r="AB582" s="51"/>
      <c r="AC582" s="169"/>
    </row>
    <row r="583" spans="1:29" s="127" customFormat="1" ht="15" hidden="1" customHeight="1" thickBot="1">
      <c r="A583" s="93" t="s">
        <v>336</v>
      </c>
      <c r="B583" s="93" t="s">
        <v>1805</v>
      </c>
      <c r="C583" s="46" t="s">
        <v>27</v>
      </c>
      <c r="D583" s="67" t="s">
        <v>25</v>
      </c>
      <c r="E583" s="43" t="s">
        <v>17</v>
      </c>
      <c r="F583" s="93" t="s">
        <v>1845</v>
      </c>
      <c r="G583" s="44"/>
      <c r="H583" s="93" t="s">
        <v>20</v>
      </c>
      <c r="I583" s="43" t="s">
        <v>21</v>
      </c>
      <c r="J583" s="44" t="s">
        <v>876</v>
      </c>
      <c r="K583" s="114" t="s">
        <v>1586</v>
      </c>
      <c r="L583" s="51" t="s">
        <v>211</v>
      </c>
      <c r="M583" s="93" t="s">
        <v>22</v>
      </c>
      <c r="N583" s="43" t="s">
        <v>27</v>
      </c>
      <c r="O583" s="62" t="s">
        <v>3639</v>
      </c>
      <c r="P583" s="43" t="s">
        <v>3825</v>
      </c>
      <c r="Q583" s="246">
        <v>70004</v>
      </c>
      <c r="R583" s="147"/>
      <c r="S583" s="124" t="s">
        <v>1868</v>
      </c>
      <c r="T583" s="125">
        <v>9712913191</v>
      </c>
      <c r="U583" s="126">
        <v>440152249343</v>
      </c>
      <c r="V583" s="125"/>
      <c r="W583" s="125"/>
      <c r="X583" s="76"/>
      <c r="Y583" s="44" t="s">
        <v>27</v>
      </c>
      <c r="Z583" s="44" t="s">
        <v>27</v>
      </c>
      <c r="AA583" s="44" t="s">
        <v>27</v>
      </c>
      <c r="AB583" s="44"/>
      <c r="AC583" s="175"/>
    </row>
    <row r="584" spans="1:29" ht="15" hidden="1" customHeight="1" thickBot="1">
      <c r="A584" s="51" t="s">
        <v>336</v>
      </c>
      <c r="B584" s="92" t="s">
        <v>1806</v>
      </c>
      <c r="C584" s="46" t="s">
        <v>27</v>
      </c>
      <c r="D584" s="67" t="s">
        <v>2761</v>
      </c>
      <c r="E584" s="62" t="s">
        <v>17</v>
      </c>
      <c r="F584" s="91" t="s">
        <v>1849</v>
      </c>
      <c r="G584" s="51"/>
      <c r="H584" s="51" t="s">
        <v>20</v>
      </c>
      <c r="I584" s="43" t="s">
        <v>21</v>
      </c>
      <c r="J584" s="44" t="s">
        <v>876</v>
      </c>
      <c r="K584" s="65" t="s">
        <v>1586</v>
      </c>
      <c r="L584" s="51" t="s">
        <v>211</v>
      </c>
      <c r="M584" s="92" t="s">
        <v>22</v>
      </c>
      <c r="N584" s="62" t="s">
        <v>27</v>
      </c>
      <c r="O584" s="62" t="s">
        <v>3639</v>
      </c>
      <c r="P584" s="62" t="s">
        <v>3824</v>
      </c>
      <c r="Q584" s="246">
        <v>70004</v>
      </c>
      <c r="R584" s="147"/>
      <c r="S584" s="95" t="s">
        <v>1870</v>
      </c>
      <c r="T584" s="123">
        <v>9712913183</v>
      </c>
      <c r="U584" s="122">
        <v>440152249311</v>
      </c>
      <c r="V584" s="121"/>
      <c r="W584" s="121"/>
      <c r="X584" s="78">
        <v>43180</v>
      </c>
      <c r="Y584" s="51" t="s">
        <v>27</v>
      </c>
      <c r="Z584" s="51" t="s">
        <v>27</v>
      </c>
      <c r="AA584" s="51" t="s">
        <v>27</v>
      </c>
      <c r="AB584" s="51"/>
      <c r="AC584" s="169"/>
    </row>
    <row r="585" spans="1:29" s="192" customFormat="1" ht="15" hidden="1" customHeight="1" thickBot="1">
      <c r="A585" s="67" t="s">
        <v>336</v>
      </c>
      <c r="B585" s="91" t="s">
        <v>1807</v>
      </c>
      <c r="C585" s="184" t="s">
        <v>27</v>
      </c>
      <c r="D585" s="67" t="s">
        <v>2758</v>
      </c>
      <c r="E585" s="62" t="s">
        <v>17</v>
      </c>
      <c r="F585" s="91" t="s">
        <v>1850</v>
      </c>
      <c r="G585" s="67"/>
      <c r="H585" s="67" t="s">
        <v>20</v>
      </c>
      <c r="I585" s="62" t="s">
        <v>21</v>
      </c>
      <c r="J585" s="67" t="s">
        <v>876</v>
      </c>
      <c r="K585" s="53" t="s">
        <v>1586</v>
      </c>
      <c r="L585" s="51" t="s">
        <v>211</v>
      </c>
      <c r="M585" s="91" t="s">
        <v>22</v>
      </c>
      <c r="N585" s="91" t="s">
        <v>22</v>
      </c>
      <c r="O585" s="62" t="s">
        <v>3639</v>
      </c>
      <c r="P585" s="91" t="s">
        <v>3823</v>
      </c>
      <c r="Q585" s="246">
        <v>70004</v>
      </c>
      <c r="R585" s="62"/>
      <c r="S585" s="67"/>
      <c r="T585" s="67"/>
      <c r="U585" s="208"/>
      <c r="V585" s="208"/>
      <c r="W585" s="208"/>
      <c r="X585" s="190">
        <v>43180</v>
      </c>
      <c r="Y585" s="67" t="s">
        <v>27</v>
      </c>
      <c r="Z585" s="67" t="s">
        <v>27</v>
      </c>
      <c r="AA585" s="67" t="s">
        <v>27</v>
      </c>
      <c r="AB585" s="67"/>
      <c r="AC585" s="209" t="s">
        <v>2972</v>
      </c>
    </row>
    <row r="586" spans="1:29" ht="15" hidden="1" customHeight="1" thickBot="1">
      <c r="A586" s="92" t="s">
        <v>336</v>
      </c>
      <c r="B586" s="92" t="s">
        <v>1808</v>
      </c>
      <c r="C586" s="46" t="s">
        <v>27</v>
      </c>
      <c r="D586" s="67" t="s">
        <v>2658</v>
      </c>
      <c r="E586" s="62" t="s">
        <v>17</v>
      </c>
      <c r="F586" s="91" t="s">
        <v>1851</v>
      </c>
      <c r="G586" s="51"/>
      <c r="H586" s="51" t="s">
        <v>20</v>
      </c>
      <c r="I586" s="43" t="s">
        <v>21</v>
      </c>
      <c r="J586" s="44" t="s">
        <v>876</v>
      </c>
      <c r="K586" s="53" t="s">
        <v>1586</v>
      </c>
      <c r="L586" s="51" t="s">
        <v>211</v>
      </c>
      <c r="M586" s="92" t="s">
        <v>22</v>
      </c>
      <c r="N586" s="62" t="s">
        <v>27</v>
      </c>
      <c r="O586" s="62" t="s">
        <v>3639</v>
      </c>
      <c r="P586" s="62" t="s">
        <v>3823</v>
      </c>
      <c r="Q586" s="246">
        <v>70004</v>
      </c>
      <c r="R586" s="43"/>
      <c r="S586" s="51"/>
      <c r="T586" s="51"/>
      <c r="U586" s="52"/>
      <c r="V586" s="52"/>
      <c r="W586" s="52"/>
      <c r="X586" s="78">
        <v>43180</v>
      </c>
      <c r="Y586" s="51" t="s">
        <v>27</v>
      </c>
      <c r="Z586" s="51" t="s">
        <v>27</v>
      </c>
      <c r="AA586" s="51" t="s">
        <v>27</v>
      </c>
      <c r="AB586" s="51"/>
      <c r="AC586" s="169"/>
    </row>
    <row r="587" spans="1:29" ht="15" hidden="1" customHeight="1" thickBot="1">
      <c r="A587" s="51" t="s">
        <v>336</v>
      </c>
      <c r="B587" s="92" t="s">
        <v>1809</v>
      </c>
      <c r="C587" s="46" t="s">
        <v>27</v>
      </c>
      <c r="D587" s="67" t="s">
        <v>25</v>
      </c>
      <c r="E587" s="62" t="s">
        <v>17</v>
      </c>
      <c r="F587" s="91" t="s">
        <v>1852</v>
      </c>
      <c r="G587" s="51"/>
      <c r="H587" s="51" t="s">
        <v>20</v>
      </c>
      <c r="I587" s="43" t="s">
        <v>21</v>
      </c>
      <c r="J587" s="44" t="s">
        <v>876</v>
      </c>
      <c r="K587" s="53" t="s">
        <v>1586</v>
      </c>
      <c r="L587" s="51" t="s">
        <v>211</v>
      </c>
      <c r="M587" s="92" t="s">
        <v>22</v>
      </c>
      <c r="N587" s="62" t="s">
        <v>27</v>
      </c>
      <c r="O587" s="62" t="s">
        <v>3639</v>
      </c>
      <c r="P587" s="62" t="s">
        <v>3823</v>
      </c>
      <c r="Q587" s="246">
        <v>70004</v>
      </c>
      <c r="R587" s="43"/>
      <c r="S587" s="51"/>
      <c r="T587" s="51"/>
      <c r="U587" s="52"/>
      <c r="V587" s="52"/>
      <c r="W587" s="52"/>
      <c r="X587" s="78">
        <v>43180</v>
      </c>
      <c r="Y587" s="51" t="s">
        <v>27</v>
      </c>
      <c r="Z587" s="51" t="s">
        <v>27</v>
      </c>
      <c r="AA587" s="51" t="s">
        <v>27</v>
      </c>
      <c r="AB587" s="51"/>
      <c r="AC587" s="169"/>
    </row>
    <row r="588" spans="1:29" ht="15" hidden="1" customHeight="1" thickBot="1">
      <c r="A588" s="92" t="s">
        <v>336</v>
      </c>
      <c r="B588" s="92" t="s">
        <v>1810</v>
      </c>
      <c r="C588" s="46" t="s">
        <v>27</v>
      </c>
      <c r="D588" s="67" t="s">
        <v>25</v>
      </c>
      <c r="E588" s="62" t="s">
        <v>17</v>
      </c>
      <c r="F588" s="91" t="s">
        <v>1853</v>
      </c>
      <c r="G588" s="51"/>
      <c r="H588" s="51" t="s">
        <v>20</v>
      </c>
      <c r="I588" s="43" t="s">
        <v>21</v>
      </c>
      <c r="J588" s="44" t="s">
        <v>876</v>
      </c>
      <c r="K588" s="53" t="s">
        <v>1586</v>
      </c>
      <c r="L588" s="51" t="s">
        <v>211</v>
      </c>
      <c r="M588" s="92" t="s">
        <v>22</v>
      </c>
      <c r="N588" s="62" t="s">
        <v>27</v>
      </c>
      <c r="O588" s="62" t="s">
        <v>3639</v>
      </c>
      <c r="P588" s="62" t="s">
        <v>3824</v>
      </c>
      <c r="Q588" s="246">
        <v>70004</v>
      </c>
      <c r="R588" s="147"/>
      <c r="S588" s="94" t="s">
        <v>1863</v>
      </c>
      <c r="T588" s="121">
        <v>9717277497</v>
      </c>
      <c r="U588" s="122">
        <v>4401522493459</v>
      </c>
      <c r="V588" s="121"/>
      <c r="W588" s="121"/>
      <c r="X588" s="78">
        <v>43180</v>
      </c>
      <c r="Y588" s="51" t="s">
        <v>27</v>
      </c>
      <c r="Z588" s="51" t="s">
        <v>27</v>
      </c>
      <c r="AA588" s="51" t="s">
        <v>27</v>
      </c>
      <c r="AB588" s="51"/>
      <c r="AC588" s="169"/>
    </row>
    <row r="589" spans="1:29" ht="15" hidden="1" customHeight="1" thickBot="1">
      <c r="A589" s="51" t="s">
        <v>336</v>
      </c>
      <c r="B589" s="92" t="s">
        <v>1811</v>
      </c>
      <c r="C589" s="46" t="s">
        <v>27</v>
      </c>
      <c r="D589" s="67" t="s">
        <v>25</v>
      </c>
      <c r="E589" s="62" t="s">
        <v>17</v>
      </c>
      <c r="F589" s="91" t="s">
        <v>1854</v>
      </c>
      <c r="G589" s="51"/>
      <c r="H589" s="51" t="s">
        <v>20</v>
      </c>
      <c r="I589" s="43" t="s">
        <v>21</v>
      </c>
      <c r="J589" s="44" t="s">
        <v>876</v>
      </c>
      <c r="K589" s="53" t="s">
        <v>1586</v>
      </c>
      <c r="L589" s="51" t="s">
        <v>211</v>
      </c>
      <c r="M589" s="92" t="s">
        <v>22</v>
      </c>
      <c r="N589" s="62" t="s">
        <v>27</v>
      </c>
      <c r="O589" s="62" t="s">
        <v>3639</v>
      </c>
      <c r="P589" s="62" t="s">
        <v>3825</v>
      </c>
      <c r="Q589" s="246">
        <v>70004</v>
      </c>
      <c r="R589" s="147"/>
      <c r="S589" s="94" t="s">
        <v>1862</v>
      </c>
      <c r="T589" s="121">
        <v>9717274291</v>
      </c>
      <c r="U589" s="122">
        <v>440152249351</v>
      </c>
      <c r="V589" s="121"/>
      <c r="W589" s="121"/>
      <c r="X589" s="78">
        <v>43180</v>
      </c>
      <c r="Y589" s="51" t="s">
        <v>27</v>
      </c>
      <c r="Z589" s="51" t="s">
        <v>27</v>
      </c>
      <c r="AA589" s="51" t="s">
        <v>27</v>
      </c>
      <c r="AB589" s="51"/>
      <c r="AC589" s="169"/>
    </row>
    <row r="590" spans="1:29" ht="15" hidden="1" customHeight="1" thickBot="1">
      <c r="A590" s="92" t="s">
        <v>336</v>
      </c>
      <c r="B590" s="92" t="s">
        <v>1812</v>
      </c>
      <c r="C590" s="46" t="s">
        <v>27</v>
      </c>
      <c r="D590" s="67" t="s">
        <v>25</v>
      </c>
      <c r="E590" s="62" t="s">
        <v>17</v>
      </c>
      <c r="F590" s="91" t="s">
        <v>1855</v>
      </c>
      <c r="G590" s="51"/>
      <c r="H590" s="51" t="s">
        <v>20</v>
      </c>
      <c r="I590" s="43" t="s">
        <v>21</v>
      </c>
      <c r="J590" s="44" t="s">
        <v>876</v>
      </c>
      <c r="K590" s="53" t="s">
        <v>1586</v>
      </c>
      <c r="L590" s="51" t="s">
        <v>211</v>
      </c>
      <c r="M590" s="92" t="s">
        <v>955</v>
      </c>
      <c r="N590" s="62" t="s">
        <v>27</v>
      </c>
      <c r="O590" s="62" t="s">
        <v>3639</v>
      </c>
      <c r="P590" s="62" t="s">
        <v>3824</v>
      </c>
      <c r="Q590" s="246">
        <v>70004</v>
      </c>
      <c r="R590" s="147"/>
      <c r="S590" s="94" t="s">
        <v>1866</v>
      </c>
      <c r="T590" s="121">
        <v>9717277295</v>
      </c>
      <c r="U590" s="122">
        <v>440152249353</v>
      </c>
      <c r="V590" s="121"/>
      <c r="W590" s="121"/>
      <c r="X590" s="78">
        <v>43180</v>
      </c>
      <c r="Y590" s="51" t="s">
        <v>27</v>
      </c>
      <c r="Z590" s="51" t="s">
        <v>27</v>
      </c>
      <c r="AA590" s="51" t="s">
        <v>27</v>
      </c>
      <c r="AB590" s="51"/>
      <c r="AC590" s="169"/>
    </row>
    <row r="591" spans="1:29" ht="15" hidden="1" customHeight="1" thickBot="1">
      <c r="A591" s="92" t="s">
        <v>336</v>
      </c>
      <c r="B591" s="92" t="s">
        <v>1813</v>
      </c>
      <c r="C591" s="46" t="s">
        <v>27</v>
      </c>
      <c r="D591" s="67" t="s">
        <v>25</v>
      </c>
      <c r="E591" s="62" t="s">
        <v>17</v>
      </c>
      <c r="F591" s="91" t="s">
        <v>1856</v>
      </c>
      <c r="G591" s="51"/>
      <c r="H591" s="51" t="s">
        <v>20</v>
      </c>
      <c r="I591" s="43" t="s">
        <v>21</v>
      </c>
      <c r="J591" s="44" t="s">
        <v>876</v>
      </c>
      <c r="K591" s="53" t="s">
        <v>1586</v>
      </c>
      <c r="L591" s="51" t="s">
        <v>211</v>
      </c>
      <c r="M591" s="92" t="s">
        <v>955</v>
      </c>
      <c r="N591" s="62" t="s">
        <v>27</v>
      </c>
      <c r="O591" s="62" t="s">
        <v>3639</v>
      </c>
      <c r="P591" s="62" t="s">
        <v>3824</v>
      </c>
      <c r="Q591" s="246">
        <v>70004</v>
      </c>
      <c r="R591" s="147"/>
      <c r="S591" s="94" t="s">
        <v>1865</v>
      </c>
      <c r="T591" s="121">
        <v>9717277292</v>
      </c>
      <c r="U591" s="122">
        <v>440152249347</v>
      </c>
      <c r="V591" s="121"/>
      <c r="W591" s="121"/>
      <c r="X591" s="78">
        <v>43180</v>
      </c>
      <c r="Y591" s="51" t="s">
        <v>27</v>
      </c>
      <c r="Z591" s="51" t="s">
        <v>27</v>
      </c>
      <c r="AA591" s="51" t="s">
        <v>27</v>
      </c>
      <c r="AB591" s="51"/>
      <c r="AC591" s="169"/>
    </row>
    <row r="592" spans="1:29" ht="15" hidden="1" customHeight="1" thickBot="1">
      <c r="A592" s="92" t="s">
        <v>336</v>
      </c>
      <c r="B592" s="92" t="s">
        <v>1814</v>
      </c>
      <c r="C592" s="46" t="s">
        <v>27</v>
      </c>
      <c r="D592" s="67" t="s">
        <v>2759</v>
      </c>
      <c r="E592" s="62" t="s">
        <v>17</v>
      </c>
      <c r="F592" s="91" t="s">
        <v>1857</v>
      </c>
      <c r="G592" s="51"/>
      <c r="H592" s="51" t="s">
        <v>20</v>
      </c>
      <c r="I592" s="43" t="s">
        <v>21</v>
      </c>
      <c r="J592" s="44" t="s">
        <v>876</v>
      </c>
      <c r="K592" s="53" t="s">
        <v>1586</v>
      </c>
      <c r="L592" s="51" t="s">
        <v>211</v>
      </c>
      <c r="M592" s="92" t="s">
        <v>22</v>
      </c>
      <c r="N592" s="62" t="s">
        <v>27</v>
      </c>
      <c r="O592" s="62" t="s">
        <v>3639</v>
      </c>
      <c r="P592" s="62" t="s">
        <v>3819</v>
      </c>
      <c r="Q592" s="246">
        <v>70004</v>
      </c>
      <c r="R592" s="147"/>
      <c r="S592" s="94" t="s">
        <v>1864</v>
      </c>
      <c r="T592" s="121">
        <v>9717276967</v>
      </c>
      <c r="U592" s="122">
        <v>440152249348</v>
      </c>
      <c r="V592" s="121"/>
      <c r="W592" s="121"/>
      <c r="X592" s="78">
        <v>43180</v>
      </c>
      <c r="Y592" s="51" t="s">
        <v>27</v>
      </c>
      <c r="Z592" s="51" t="s">
        <v>27</v>
      </c>
      <c r="AA592" s="51" t="s">
        <v>27</v>
      </c>
      <c r="AB592" s="51"/>
      <c r="AC592" s="169"/>
    </row>
    <row r="593" spans="1:29" ht="15" hidden="1" customHeight="1" thickBot="1">
      <c r="A593" s="92" t="s">
        <v>336</v>
      </c>
      <c r="B593" s="92" t="s">
        <v>1815</v>
      </c>
      <c r="C593" s="46" t="s">
        <v>27</v>
      </c>
      <c r="D593" s="67" t="s">
        <v>25</v>
      </c>
      <c r="E593" s="62" t="s">
        <v>17</v>
      </c>
      <c r="F593" s="91" t="s">
        <v>1858</v>
      </c>
      <c r="G593" s="51"/>
      <c r="H593" s="51" t="s">
        <v>20</v>
      </c>
      <c r="I593" s="43" t="s">
        <v>21</v>
      </c>
      <c r="J593" s="44" t="s">
        <v>876</v>
      </c>
      <c r="K593" s="53" t="s">
        <v>1586</v>
      </c>
      <c r="L593" s="51" t="s">
        <v>211</v>
      </c>
      <c r="M593" s="92" t="s">
        <v>955</v>
      </c>
      <c r="N593" s="62" t="s">
        <v>27</v>
      </c>
      <c r="O593" s="62" t="s">
        <v>3639</v>
      </c>
      <c r="P593" s="62" t="s">
        <v>3824</v>
      </c>
      <c r="Q593" s="246">
        <v>70004</v>
      </c>
      <c r="R593" s="147"/>
      <c r="S593" s="94" t="s">
        <v>1861</v>
      </c>
      <c r="T593" s="121">
        <v>5037184985</v>
      </c>
      <c r="U593" s="122">
        <v>440152249346</v>
      </c>
      <c r="V593" s="121"/>
      <c r="W593" s="121"/>
      <c r="X593" s="78">
        <v>43185</v>
      </c>
      <c r="Y593" s="51" t="s">
        <v>27</v>
      </c>
      <c r="Z593" s="51" t="s">
        <v>27</v>
      </c>
      <c r="AA593" s="51" t="s">
        <v>27</v>
      </c>
      <c r="AB593" s="51"/>
      <c r="AC593" s="169"/>
    </row>
    <row r="594" spans="1:29" ht="15" hidden="1" customHeight="1" thickBot="1">
      <c r="A594" s="92" t="s">
        <v>336</v>
      </c>
      <c r="B594" s="92" t="s">
        <v>1816</v>
      </c>
      <c r="C594" s="46" t="s">
        <v>27</v>
      </c>
      <c r="D594" s="67" t="s">
        <v>25</v>
      </c>
      <c r="E594" s="62" t="s">
        <v>17</v>
      </c>
      <c r="F594" s="91" t="s">
        <v>1859</v>
      </c>
      <c r="G594" s="51"/>
      <c r="H594" s="51" t="s">
        <v>20</v>
      </c>
      <c r="I594" s="43" t="s">
        <v>21</v>
      </c>
      <c r="J594" s="44" t="s">
        <v>876</v>
      </c>
      <c r="K594" s="44" t="s">
        <v>206</v>
      </c>
      <c r="L594" s="51" t="s">
        <v>211</v>
      </c>
      <c r="M594" s="92" t="s">
        <v>22</v>
      </c>
      <c r="N594" s="62" t="s">
        <v>27</v>
      </c>
      <c r="O594" s="62" t="s">
        <v>3639</v>
      </c>
      <c r="P594" s="62"/>
      <c r="Q594" s="246">
        <v>70004</v>
      </c>
      <c r="R594" s="147"/>
      <c r="S594" s="94" t="s">
        <v>1860</v>
      </c>
      <c r="T594" s="121">
        <v>971727403</v>
      </c>
      <c r="U594" s="122">
        <v>440152249352</v>
      </c>
      <c r="V594" s="121"/>
      <c r="W594" s="121"/>
      <c r="X594" s="78">
        <v>43185</v>
      </c>
      <c r="Y594" s="51" t="s">
        <v>27</v>
      </c>
      <c r="Z594" s="51" t="s">
        <v>27</v>
      </c>
      <c r="AA594" s="51" t="s">
        <v>27</v>
      </c>
      <c r="AB594" s="51"/>
      <c r="AC594" s="173"/>
    </row>
    <row r="595" spans="1:29" s="192" customFormat="1" ht="15" hidden="1" customHeight="1" thickBot="1">
      <c r="A595" s="91" t="s">
        <v>336</v>
      </c>
      <c r="B595" s="185" t="s">
        <v>2279</v>
      </c>
      <c r="C595" s="184" t="s">
        <v>27</v>
      </c>
      <c r="D595" s="67" t="s">
        <v>2761</v>
      </c>
      <c r="E595" s="62" t="s">
        <v>17</v>
      </c>
      <c r="F595" s="91"/>
      <c r="G595" s="67"/>
      <c r="H595" s="67" t="s">
        <v>20</v>
      </c>
      <c r="I595" s="62" t="s">
        <v>21</v>
      </c>
      <c r="J595" s="67" t="s">
        <v>876</v>
      </c>
      <c r="K595" s="44" t="s">
        <v>206</v>
      </c>
      <c r="L595" s="51" t="s">
        <v>211</v>
      </c>
      <c r="M595" s="91" t="s">
        <v>22</v>
      </c>
      <c r="N595" s="62" t="s">
        <v>27</v>
      </c>
      <c r="O595" s="62" t="s">
        <v>3639</v>
      </c>
      <c r="P595" s="62" t="s">
        <v>3825</v>
      </c>
      <c r="Q595" s="246">
        <v>70004</v>
      </c>
      <c r="R595" s="186"/>
      <c r="S595" s="187" t="s">
        <v>1860</v>
      </c>
      <c r="T595" s="188">
        <v>971727403</v>
      </c>
      <c r="U595" s="189">
        <v>440152249352</v>
      </c>
      <c r="V595" s="188"/>
      <c r="W595" s="188"/>
      <c r="X595" s="190">
        <v>43185</v>
      </c>
      <c r="Y595" s="67" t="s">
        <v>27</v>
      </c>
      <c r="Z595" s="67" t="s">
        <v>27</v>
      </c>
      <c r="AA595" s="67" t="s">
        <v>27</v>
      </c>
      <c r="AB595" s="67"/>
      <c r="AC595" s="191"/>
    </row>
    <row r="596" spans="1:29" ht="15" hidden="1" customHeight="1" thickBot="1">
      <c r="A596" s="128" t="s">
        <v>336</v>
      </c>
      <c r="B596" s="129" t="s">
        <v>2280</v>
      </c>
      <c r="C596" s="46" t="s">
        <v>27</v>
      </c>
      <c r="D596" s="67" t="s">
        <v>25</v>
      </c>
      <c r="E596" s="130" t="s">
        <v>17</v>
      </c>
      <c r="F596" s="159" t="s">
        <v>2691</v>
      </c>
      <c r="G596" s="131"/>
      <c r="H596" s="131" t="s">
        <v>20</v>
      </c>
      <c r="I596" s="132" t="s">
        <v>21</v>
      </c>
      <c r="J596" s="133" t="s">
        <v>876</v>
      </c>
      <c r="K596" s="44" t="s">
        <v>206</v>
      </c>
      <c r="L596" s="51" t="s">
        <v>211</v>
      </c>
      <c r="M596" s="128" t="s">
        <v>22</v>
      </c>
      <c r="N596" s="130" t="s">
        <v>27</v>
      </c>
      <c r="O596" s="62" t="s">
        <v>3639</v>
      </c>
      <c r="P596" s="130" t="s">
        <v>3825</v>
      </c>
      <c r="Q596" s="246">
        <v>70004</v>
      </c>
      <c r="R596" s="147"/>
      <c r="S596" s="94" t="s">
        <v>1860</v>
      </c>
      <c r="T596" s="134">
        <v>971727403</v>
      </c>
      <c r="U596" s="135">
        <v>440152249352</v>
      </c>
      <c r="V596" s="134"/>
      <c r="W596" s="134"/>
      <c r="X596" s="137">
        <v>43185</v>
      </c>
      <c r="Y596" s="131" t="s">
        <v>27</v>
      </c>
      <c r="Z596" s="131" t="s">
        <v>27</v>
      </c>
      <c r="AA596" s="131" t="s">
        <v>27</v>
      </c>
      <c r="AB596" s="51"/>
      <c r="AC596" s="173"/>
    </row>
    <row r="597" spans="1:29" ht="15" hidden="1" customHeight="1">
      <c r="A597" s="226" t="s">
        <v>203</v>
      </c>
      <c r="B597" s="226" t="s">
        <v>2027</v>
      </c>
      <c r="C597" s="226" t="s">
        <v>27</v>
      </c>
      <c r="D597" s="226" t="s">
        <v>2893</v>
      </c>
      <c r="E597" s="226" t="s">
        <v>2008</v>
      </c>
      <c r="F597" s="226">
        <v>2510408</v>
      </c>
      <c r="G597" s="227" t="s">
        <v>4239</v>
      </c>
      <c r="H597" s="226" t="s">
        <v>20</v>
      </c>
      <c r="I597" s="227" t="s">
        <v>60</v>
      </c>
      <c r="J597" s="225" t="s">
        <v>2487</v>
      </c>
      <c r="K597" s="225" t="s">
        <v>2650</v>
      </c>
      <c r="L597" s="51" t="s">
        <v>211</v>
      </c>
      <c r="M597" s="226" t="s">
        <v>22</v>
      </c>
      <c r="N597" s="226" t="s">
        <v>27</v>
      </c>
      <c r="O597" s="226" t="s">
        <v>3639</v>
      </c>
      <c r="P597" s="226" t="s">
        <v>3204</v>
      </c>
      <c r="Q597" s="226" t="s">
        <v>3831</v>
      </c>
      <c r="R597" s="227" t="s">
        <v>2772</v>
      </c>
      <c r="S597" s="225" t="s">
        <v>2773</v>
      </c>
      <c r="T597" s="228">
        <v>13910404844</v>
      </c>
      <c r="U597" s="225" t="s">
        <v>1660</v>
      </c>
      <c r="V597" s="225" t="s">
        <v>2083</v>
      </c>
      <c r="W597" s="229">
        <v>18911034661</v>
      </c>
      <c r="X597" s="230">
        <v>43301</v>
      </c>
      <c r="Y597" s="238" t="s">
        <v>27</v>
      </c>
      <c r="Z597" s="238" t="s">
        <v>27</v>
      </c>
      <c r="AA597" s="238" t="s">
        <v>27</v>
      </c>
      <c r="AB597" s="45" t="s">
        <v>2887</v>
      </c>
      <c r="AC597" s="169"/>
    </row>
    <row r="598" spans="1:29" s="68" customFormat="1" ht="15" hidden="1" customHeight="1">
      <c r="A598" s="226" t="s">
        <v>203</v>
      </c>
      <c r="B598" s="226" t="s">
        <v>205</v>
      </c>
      <c r="C598" s="226" t="s">
        <v>27</v>
      </c>
      <c r="D598" s="226" t="s">
        <v>4443</v>
      </c>
      <c r="E598" s="226" t="s">
        <v>2008</v>
      </c>
      <c r="F598" s="226">
        <v>2510479</v>
      </c>
      <c r="G598" s="227" t="s">
        <v>4240</v>
      </c>
      <c r="H598" s="226" t="s">
        <v>20</v>
      </c>
      <c r="I598" s="227" t="s">
        <v>21</v>
      </c>
      <c r="J598" s="225" t="s">
        <v>204</v>
      </c>
      <c r="K598" s="225" t="s">
        <v>206</v>
      </c>
      <c r="L598" s="51" t="s">
        <v>211</v>
      </c>
      <c r="M598" s="226" t="s">
        <v>22</v>
      </c>
      <c r="N598" s="226" t="s">
        <v>27</v>
      </c>
      <c r="O598" s="226" t="s">
        <v>3639</v>
      </c>
      <c r="P598" s="226" t="s">
        <v>3205</v>
      </c>
      <c r="Q598" s="226" t="s">
        <v>3832</v>
      </c>
      <c r="R598" s="227" t="s">
        <v>2774</v>
      </c>
      <c r="S598" s="225" t="s">
        <v>2775</v>
      </c>
      <c r="T598" s="228">
        <v>15321617389</v>
      </c>
      <c r="U598" s="225" t="s">
        <v>3206</v>
      </c>
      <c r="V598" s="225" t="s">
        <v>3207</v>
      </c>
      <c r="W598" s="229"/>
      <c r="X598" s="230">
        <v>43252</v>
      </c>
      <c r="Y598" s="238" t="s">
        <v>27</v>
      </c>
      <c r="Z598" s="238" t="s">
        <v>27</v>
      </c>
      <c r="AA598" s="238" t="s">
        <v>27</v>
      </c>
      <c r="AB598" s="45" t="s">
        <v>2887</v>
      </c>
      <c r="AC598" s="169"/>
    </row>
    <row r="599" spans="1:29" s="68" customFormat="1" ht="15" hidden="1" customHeight="1">
      <c r="A599" s="226" t="s">
        <v>203</v>
      </c>
      <c r="B599" s="226" t="s">
        <v>207</v>
      </c>
      <c r="C599" s="226" t="s">
        <v>27</v>
      </c>
      <c r="D599" s="226" t="s">
        <v>2658</v>
      </c>
      <c r="E599" s="226" t="s">
        <v>2008</v>
      </c>
      <c r="F599" s="226">
        <v>2250585</v>
      </c>
      <c r="G599" s="227" t="s">
        <v>4241</v>
      </c>
      <c r="H599" s="226" t="s">
        <v>20</v>
      </c>
      <c r="I599" s="227" t="s">
        <v>60</v>
      </c>
      <c r="J599" s="225" t="s">
        <v>2484</v>
      </c>
      <c r="K599" s="225" t="s">
        <v>4427</v>
      </c>
      <c r="L599" s="51" t="s">
        <v>211</v>
      </c>
      <c r="M599" s="226" t="s">
        <v>22</v>
      </c>
      <c r="N599" s="226" t="s">
        <v>22</v>
      </c>
      <c r="O599" s="226" t="s">
        <v>3639</v>
      </c>
      <c r="P599" s="226" t="s">
        <v>3208</v>
      </c>
      <c r="Q599" s="226" t="s">
        <v>3833</v>
      </c>
      <c r="R599" s="227" t="s">
        <v>2482</v>
      </c>
      <c r="S599" s="225" t="s">
        <v>2483</v>
      </c>
      <c r="T599" s="228">
        <v>13910409924</v>
      </c>
      <c r="U599" s="225" t="s">
        <v>3209</v>
      </c>
      <c r="V599" s="225" t="s">
        <v>3210</v>
      </c>
      <c r="W599" s="229">
        <v>13810859312</v>
      </c>
      <c r="X599" s="230">
        <v>43200</v>
      </c>
      <c r="Y599" s="238" t="s">
        <v>27</v>
      </c>
      <c r="Z599" s="238" t="s">
        <v>27</v>
      </c>
      <c r="AA599" s="238" t="s">
        <v>27</v>
      </c>
      <c r="AB599" s="45" t="s">
        <v>2887</v>
      </c>
      <c r="AC599" s="169"/>
    </row>
    <row r="600" spans="1:29" s="68" customFormat="1" ht="15" hidden="1" customHeight="1">
      <c r="A600" s="226" t="s">
        <v>203</v>
      </c>
      <c r="B600" s="226" t="s">
        <v>210</v>
      </c>
      <c r="C600" s="226" t="s">
        <v>27</v>
      </c>
      <c r="D600" s="226" t="s">
        <v>2658</v>
      </c>
      <c r="E600" s="226" t="s">
        <v>2008</v>
      </c>
      <c r="F600" s="226">
        <v>2510712</v>
      </c>
      <c r="G600" s="227" t="s">
        <v>4242</v>
      </c>
      <c r="H600" s="226" t="s">
        <v>20</v>
      </c>
      <c r="I600" s="227" t="s">
        <v>60</v>
      </c>
      <c r="J600" s="225" t="s">
        <v>3834</v>
      </c>
      <c r="K600" s="225" t="s">
        <v>2390</v>
      </c>
      <c r="L600" s="51" t="s">
        <v>211</v>
      </c>
      <c r="M600" s="226" t="s">
        <v>22</v>
      </c>
      <c r="N600" s="226" t="s">
        <v>22</v>
      </c>
      <c r="O600" s="226" t="s">
        <v>27</v>
      </c>
      <c r="P600" s="226" t="s">
        <v>3211</v>
      </c>
      <c r="Q600" s="226" t="s">
        <v>3835</v>
      </c>
      <c r="R600" s="227" t="s">
        <v>3836</v>
      </c>
      <c r="S600" s="225" t="s">
        <v>3837</v>
      </c>
      <c r="T600" s="228">
        <v>13800001332</v>
      </c>
      <c r="U600" s="225" t="s">
        <v>1600</v>
      </c>
      <c r="V600" s="225" t="s">
        <v>2038</v>
      </c>
      <c r="W600" s="229">
        <v>13800001333</v>
      </c>
      <c r="X600" s="230">
        <v>43290</v>
      </c>
      <c r="Y600" s="238" t="s">
        <v>27</v>
      </c>
      <c r="Z600" s="238" t="s">
        <v>27</v>
      </c>
      <c r="AA600" s="238" t="s">
        <v>27</v>
      </c>
      <c r="AB600" s="45" t="s">
        <v>2887</v>
      </c>
      <c r="AC600" s="169"/>
    </row>
    <row r="601" spans="1:29" s="68" customFormat="1" ht="15" hidden="1" customHeight="1">
      <c r="A601" s="226" t="s">
        <v>203</v>
      </c>
      <c r="B601" s="226" t="s">
        <v>212</v>
      </c>
      <c r="C601" s="226" t="s">
        <v>27</v>
      </c>
      <c r="D601" s="226" t="s">
        <v>2893</v>
      </c>
      <c r="E601" s="226" t="s">
        <v>2008</v>
      </c>
      <c r="F601" s="226">
        <v>2510554</v>
      </c>
      <c r="G601" s="227" t="s">
        <v>4243</v>
      </c>
      <c r="H601" s="226" t="s">
        <v>20</v>
      </c>
      <c r="I601" s="227" t="s">
        <v>60</v>
      </c>
      <c r="J601" s="225" t="s">
        <v>2501</v>
      </c>
      <c r="K601" s="225" t="s">
        <v>2649</v>
      </c>
      <c r="L601" s="51" t="s">
        <v>211</v>
      </c>
      <c r="M601" s="226" t="s">
        <v>22</v>
      </c>
      <c r="N601" s="226" t="s">
        <v>27</v>
      </c>
      <c r="O601" s="226" t="s">
        <v>3639</v>
      </c>
      <c r="P601" s="226" t="s">
        <v>3212</v>
      </c>
      <c r="Q601" s="226" t="s">
        <v>3838</v>
      </c>
      <c r="R601" s="227" t="s">
        <v>2895</v>
      </c>
      <c r="S601" s="225" t="s">
        <v>2896</v>
      </c>
      <c r="T601" s="228">
        <v>18911034663</v>
      </c>
      <c r="U601" s="225" t="s">
        <v>3213</v>
      </c>
      <c r="V601" s="225" t="s">
        <v>3214</v>
      </c>
      <c r="W601" s="229">
        <v>13810331714</v>
      </c>
      <c r="X601" s="230">
        <v>43215</v>
      </c>
      <c r="Y601" s="238" t="s">
        <v>27</v>
      </c>
      <c r="Z601" s="238" t="s">
        <v>27</v>
      </c>
      <c r="AA601" s="238" t="s">
        <v>27</v>
      </c>
      <c r="AB601" s="45" t="s">
        <v>2887</v>
      </c>
      <c r="AC601" s="169"/>
    </row>
    <row r="602" spans="1:29" s="68" customFormat="1" ht="15" hidden="1" customHeight="1">
      <c r="A602" s="226" t="s">
        <v>203</v>
      </c>
      <c r="B602" s="226" t="s">
        <v>213</v>
      </c>
      <c r="C602" s="226" t="s">
        <v>27</v>
      </c>
      <c r="D602" s="226" t="s">
        <v>4443</v>
      </c>
      <c r="E602" s="226" t="s">
        <v>2008</v>
      </c>
      <c r="F602" s="226">
        <v>2510721</v>
      </c>
      <c r="G602" s="227" t="s">
        <v>4244</v>
      </c>
      <c r="H602" s="226" t="s">
        <v>20</v>
      </c>
      <c r="I602" s="227" t="s">
        <v>21</v>
      </c>
      <c r="J602" s="225" t="s">
        <v>204</v>
      </c>
      <c r="K602" s="225" t="s">
        <v>206</v>
      </c>
      <c r="L602" s="51" t="s">
        <v>211</v>
      </c>
      <c r="M602" s="226" t="s">
        <v>22</v>
      </c>
      <c r="N602" s="226" t="s">
        <v>27</v>
      </c>
      <c r="O602" s="226" t="s">
        <v>3639</v>
      </c>
      <c r="P602" s="226" t="s">
        <v>3215</v>
      </c>
      <c r="Q602" s="226" t="s">
        <v>3839</v>
      </c>
      <c r="R602" s="227" t="s">
        <v>2923</v>
      </c>
      <c r="S602" s="225" t="s">
        <v>2924</v>
      </c>
      <c r="T602" s="228">
        <v>18911473170</v>
      </c>
      <c r="U602" s="225" t="s">
        <v>3216</v>
      </c>
      <c r="V602" s="225" t="s">
        <v>3217</v>
      </c>
      <c r="W602" s="229"/>
      <c r="X602" s="230">
        <v>43217</v>
      </c>
      <c r="Y602" s="238" t="s">
        <v>27</v>
      </c>
      <c r="Z602" s="238" t="s">
        <v>27</v>
      </c>
      <c r="AA602" s="238" t="s">
        <v>27</v>
      </c>
      <c r="AB602" s="45" t="s">
        <v>2887</v>
      </c>
      <c r="AC602" s="169"/>
    </row>
    <row r="603" spans="1:29" s="68" customFormat="1" ht="15" hidden="1" customHeight="1">
      <c r="A603" s="226" t="s">
        <v>203</v>
      </c>
      <c r="B603" s="226" t="s">
        <v>215</v>
      </c>
      <c r="C603" s="226" t="s">
        <v>27</v>
      </c>
      <c r="D603" s="226" t="s">
        <v>2658</v>
      </c>
      <c r="E603" s="226" t="s">
        <v>2008</v>
      </c>
      <c r="F603" s="226">
        <v>2510498</v>
      </c>
      <c r="G603" s="227" t="s">
        <v>4244</v>
      </c>
      <c r="H603" s="226" t="s">
        <v>20</v>
      </c>
      <c r="I603" s="227" t="s">
        <v>60</v>
      </c>
      <c r="J603" s="225" t="s">
        <v>2485</v>
      </c>
      <c r="K603" s="225" t="s">
        <v>4426</v>
      </c>
      <c r="L603" s="51" t="s">
        <v>211</v>
      </c>
      <c r="M603" s="226" t="s">
        <v>22</v>
      </c>
      <c r="N603" s="226" t="s">
        <v>22</v>
      </c>
      <c r="O603" s="226" t="s">
        <v>3639</v>
      </c>
      <c r="P603" s="226" t="s">
        <v>3218</v>
      </c>
      <c r="Q603" s="226" t="s">
        <v>3840</v>
      </c>
      <c r="R603" s="227" t="s">
        <v>2481</v>
      </c>
      <c r="S603" s="225" t="s">
        <v>2157</v>
      </c>
      <c r="T603" s="228">
        <v>18618480753</v>
      </c>
      <c r="U603" s="225" t="s">
        <v>1672</v>
      </c>
      <c r="V603" s="225" t="s">
        <v>2095</v>
      </c>
      <c r="W603" s="229">
        <v>13810711215</v>
      </c>
      <c r="X603" s="230">
        <v>43214</v>
      </c>
      <c r="Y603" s="238" t="s">
        <v>27</v>
      </c>
      <c r="Z603" s="238" t="s">
        <v>27</v>
      </c>
      <c r="AA603" s="238" t="s">
        <v>27</v>
      </c>
      <c r="AB603" s="45" t="s">
        <v>2887</v>
      </c>
      <c r="AC603" s="169"/>
    </row>
    <row r="604" spans="1:29" s="68" customFormat="1" ht="15" hidden="1" customHeight="1">
      <c r="A604" s="226" t="s">
        <v>203</v>
      </c>
      <c r="B604" s="226" t="s">
        <v>216</v>
      </c>
      <c r="C604" s="226" t="s">
        <v>27</v>
      </c>
      <c r="D604" s="226" t="s">
        <v>2658</v>
      </c>
      <c r="E604" s="226" t="s">
        <v>2008</v>
      </c>
      <c r="F604" s="226">
        <v>2510929</v>
      </c>
      <c r="G604" s="227" t="s">
        <v>4245</v>
      </c>
      <c r="H604" s="226" t="s">
        <v>20</v>
      </c>
      <c r="I604" s="227" t="s">
        <v>21</v>
      </c>
      <c r="J604" s="225" t="s">
        <v>204</v>
      </c>
      <c r="K604" s="225" t="s">
        <v>1586</v>
      </c>
      <c r="L604" s="51" t="s">
        <v>211</v>
      </c>
      <c r="M604" s="226" t="s">
        <v>22</v>
      </c>
      <c r="N604" s="226" t="s">
        <v>27</v>
      </c>
      <c r="O604" s="226" t="s">
        <v>3639</v>
      </c>
      <c r="P604" s="226" t="s">
        <v>3215</v>
      </c>
      <c r="Q604" s="226" t="s">
        <v>3841</v>
      </c>
      <c r="R604" s="227" t="s">
        <v>3085</v>
      </c>
      <c r="S604" s="225" t="s">
        <v>3086</v>
      </c>
      <c r="T604" s="228">
        <v>18911473504</v>
      </c>
      <c r="U604" s="225" t="s">
        <v>3219</v>
      </c>
      <c r="V604" s="225" t="s">
        <v>3220</v>
      </c>
      <c r="W604" s="229"/>
      <c r="X604" s="230">
        <v>43217</v>
      </c>
      <c r="Y604" s="238" t="s">
        <v>27</v>
      </c>
      <c r="Z604" s="238" t="s">
        <v>27</v>
      </c>
      <c r="AA604" s="238" t="s">
        <v>27</v>
      </c>
      <c r="AB604" s="45" t="s">
        <v>2887</v>
      </c>
      <c r="AC604" s="169"/>
    </row>
    <row r="605" spans="1:29" s="68" customFormat="1" ht="15" hidden="1" customHeight="1">
      <c r="A605" s="226" t="s">
        <v>203</v>
      </c>
      <c r="B605" s="226" t="s">
        <v>217</v>
      </c>
      <c r="C605" s="226" t="s">
        <v>27</v>
      </c>
      <c r="D605" s="226" t="s">
        <v>2893</v>
      </c>
      <c r="E605" s="226" t="s">
        <v>2008</v>
      </c>
      <c r="F605" s="226">
        <v>2510954</v>
      </c>
      <c r="G605" s="227" t="s">
        <v>4246</v>
      </c>
      <c r="H605" s="226" t="s">
        <v>20</v>
      </c>
      <c r="I605" s="227" t="s">
        <v>21</v>
      </c>
      <c r="J605" s="225" t="s">
        <v>209</v>
      </c>
      <c r="K605" s="225" t="s">
        <v>26</v>
      </c>
      <c r="L605" s="51" t="s">
        <v>211</v>
      </c>
      <c r="M605" s="226" t="s">
        <v>22</v>
      </c>
      <c r="N605" s="226" t="s">
        <v>22</v>
      </c>
      <c r="O605" s="226" t="s">
        <v>3639</v>
      </c>
      <c r="P605" s="226" t="s">
        <v>3221</v>
      </c>
      <c r="Q605" s="226" t="s">
        <v>3842</v>
      </c>
      <c r="R605" s="227" t="s">
        <v>2776</v>
      </c>
      <c r="S605" s="225" t="s">
        <v>2777</v>
      </c>
      <c r="T605" s="228">
        <v>13811653692</v>
      </c>
      <c r="U605" s="225" t="s">
        <v>3222</v>
      </c>
      <c r="V605" s="225" t="s">
        <v>3223</v>
      </c>
      <c r="W605" s="229"/>
      <c r="X605" s="230">
        <v>43213</v>
      </c>
      <c r="Y605" s="238" t="s">
        <v>27</v>
      </c>
      <c r="Z605" s="238" t="s">
        <v>27</v>
      </c>
      <c r="AA605" s="238" t="s">
        <v>27</v>
      </c>
      <c r="AB605" s="45" t="s">
        <v>2887</v>
      </c>
      <c r="AC605" s="169"/>
    </row>
    <row r="606" spans="1:29" s="68" customFormat="1" ht="15" hidden="1" customHeight="1">
      <c r="A606" s="226" t="s">
        <v>203</v>
      </c>
      <c r="B606" s="226" t="s">
        <v>219</v>
      </c>
      <c r="C606" s="226" t="s">
        <v>27</v>
      </c>
      <c r="D606" s="226" t="s">
        <v>2658</v>
      </c>
      <c r="E606" s="226" t="s">
        <v>2008</v>
      </c>
      <c r="F606" s="226">
        <v>2510582</v>
      </c>
      <c r="G606" s="227" t="s">
        <v>4247</v>
      </c>
      <c r="H606" s="226" t="s">
        <v>20</v>
      </c>
      <c r="I606" s="227" t="s">
        <v>60</v>
      </c>
      <c r="J606" s="225" t="s">
        <v>2486</v>
      </c>
      <c r="K606" s="225" t="s">
        <v>2358</v>
      </c>
      <c r="L606" s="51" t="s">
        <v>211</v>
      </c>
      <c r="M606" s="226" t="s">
        <v>22</v>
      </c>
      <c r="N606" s="226" t="s">
        <v>22</v>
      </c>
      <c r="O606" s="226" t="s">
        <v>3639</v>
      </c>
      <c r="P606" s="226" t="s">
        <v>3224</v>
      </c>
      <c r="Q606" s="226" t="s">
        <v>3843</v>
      </c>
      <c r="R606" s="227" t="s">
        <v>2778</v>
      </c>
      <c r="S606" s="225" t="s">
        <v>2779</v>
      </c>
      <c r="T606" s="228">
        <v>13811021282</v>
      </c>
      <c r="U606" s="225" t="s">
        <v>3225</v>
      </c>
      <c r="V606" s="225" t="s">
        <v>3226</v>
      </c>
      <c r="W606" s="229">
        <v>13051119001</v>
      </c>
      <c r="X606" s="230">
        <v>43214</v>
      </c>
      <c r="Y606" s="238" t="s">
        <v>27</v>
      </c>
      <c r="Z606" s="238" t="s">
        <v>27</v>
      </c>
      <c r="AA606" s="238" t="s">
        <v>27</v>
      </c>
      <c r="AB606" s="45" t="s">
        <v>2887</v>
      </c>
      <c r="AC606" s="169"/>
    </row>
    <row r="607" spans="1:29" s="68" customFormat="1" ht="15" hidden="1" customHeight="1">
      <c r="A607" s="226" t="s">
        <v>203</v>
      </c>
      <c r="B607" s="226" t="s">
        <v>220</v>
      </c>
      <c r="C607" s="226" t="s">
        <v>27</v>
      </c>
      <c r="D607" s="226" t="s">
        <v>4443</v>
      </c>
      <c r="E607" s="226" t="s">
        <v>2008</v>
      </c>
      <c r="F607" s="226">
        <v>2511059</v>
      </c>
      <c r="G607" s="227" t="s">
        <v>4248</v>
      </c>
      <c r="H607" s="226" t="s">
        <v>20</v>
      </c>
      <c r="I607" s="227" t="s">
        <v>60</v>
      </c>
      <c r="J607" s="225" t="s">
        <v>2487</v>
      </c>
      <c r="K607" s="225" t="s">
        <v>2650</v>
      </c>
      <c r="L607" s="51" t="s">
        <v>211</v>
      </c>
      <c r="M607" s="226" t="s">
        <v>22</v>
      </c>
      <c r="N607" s="226" t="s">
        <v>27</v>
      </c>
      <c r="O607" s="226" t="s">
        <v>3639</v>
      </c>
      <c r="P607" s="226" t="s">
        <v>3208</v>
      </c>
      <c r="Q607" s="226" t="s">
        <v>3844</v>
      </c>
      <c r="R607" s="227" t="s">
        <v>2780</v>
      </c>
      <c r="S607" s="225" t="s">
        <v>2781</v>
      </c>
      <c r="T607" s="228">
        <v>13810018074</v>
      </c>
      <c r="U607" s="225" t="s">
        <v>2118</v>
      </c>
      <c r="V607" s="225" t="s">
        <v>2039</v>
      </c>
      <c r="W607" s="229">
        <v>18911124235</v>
      </c>
      <c r="X607" s="230">
        <v>43214</v>
      </c>
      <c r="Y607" s="238" t="s">
        <v>27</v>
      </c>
      <c r="Z607" s="238" t="s">
        <v>27</v>
      </c>
      <c r="AA607" s="238" t="s">
        <v>27</v>
      </c>
      <c r="AB607" s="45" t="s">
        <v>2887</v>
      </c>
      <c r="AC607" s="169"/>
    </row>
    <row r="608" spans="1:29" s="68" customFormat="1" ht="15" hidden="1" customHeight="1">
      <c r="A608" s="226" t="s">
        <v>203</v>
      </c>
      <c r="B608" s="226" t="s">
        <v>221</v>
      </c>
      <c r="C608" s="226" t="s">
        <v>27</v>
      </c>
      <c r="D608" s="226" t="s">
        <v>4443</v>
      </c>
      <c r="E608" s="226" t="s">
        <v>2008</v>
      </c>
      <c r="F608" s="226">
        <v>2250577</v>
      </c>
      <c r="G608" s="227" t="s">
        <v>4249</v>
      </c>
      <c r="H608" s="226" t="s">
        <v>20</v>
      </c>
      <c r="I608" s="227" t="s">
        <v>60</v>
      </c>
      <c r="J608" s="225" t="s">
        <v>3696</v>
      </c>
      <c r="K608" s="225" t="s">
        <v>3663</v>
      </c>
      <c r="L608" s="51" t="s">
        <v>211</v>
      </c>
      <c r="M608" s="226" t="s">
        <v>22</v>
      </c>
      <c r="N608" s="226" t="s">
        <v>22</v>
      </c>
      <c r="O608" s="226" t="s">
        <v>3639</v>
      </c>
      <c r="P608" s="226" t="s">
        <v>3227</v>
      </c>
      <c r="Q608" s="226" t="s">
        <v>3845</v>
      </c>
      <c r="R608" s="227" t="s">
        <v>2488</v>
      </c>
      <c r="S608" s="225" t="s">
        <v>2158</v>
      </c>
      <c r="T608" s="228">
        <v>13121819332</v>
      </c>
      <c r="U608" s="225" t="s">
        <v>3228</v>
      </c>
      <c r="V608" s="225" t="s">
        <v>3229</v>
      </c>
      <c r="W608" s="229">
        <v>18501967551</v>
      </c>
      <c r="X608" s="230">
        <v>43334</v>
      </c>
      <c r="Y608" s="238" t="s">
        <v>27</v>
      </c>
      <c r="Z608" s="238" t="s">
        <v>27</v>
      </c>
      <c r="AA608" s="238" t="s">
        <v>27</v>
      </c>
      <c r="AB608" s="45" t="s">
        <v>2887</v>
      </c>
      <c r="AC608" s="169"/>
    </row>
    <row r="609" spans="1:29" s="68" customFormat="1" ht="15" hidden="1" customHeight="1">
      <c r="A609" s="226" t="s">
        <v>203</v>
      </c>
      <c r="B609" s="226" t="s">
        <v>224</v>
      </c>
      <c r="C609" s="226" t="s">
        <v>27</v>
      </c>
      <c r="D609" s="226" t="s">
        <v>2893</v>
      </c>
      <c r="E609" s="226" t="s">
        <v>2008</v>
      </c>
      <c r="F609" s="226">
        <v>2250566</v>
      </c>
      <c r="G609" s="227" t="s">
        <v>4250</v>
      </c>
      <c r="H609" s="226" t="s">
        <v>20</v>
      </c>
      <c r="I609" s="227" t="s">
        <v>60</v>
      </c>
      <c r="J609" s="225" t="s">
        <v>2485</v>
      </c>
      <c r="K609" s="225" t="s">
        <v>4426</v>
      </c>
      <c r="L609" s="51" t="s">
        <v>211</v>
      </c>
      <c r="M609" s="226" t="s">
        <v>22</v>
      </c>
      <c r="N609" s="226" t="s">
        <v>22</v>
      </c>
      <c r="O609" s="226" t="s">
        <v>3639</v>
      </c>
      <c r="P609" s="226" t="s">
        <v>3230</v>
      </c>
      <c r="Q609" s="226" t="s">
        <v>3846</v>
      </c>
      <c r="R609" s="227" t="s">
        <v>2782</v>
      </c>
      <c r="S609" s="225" t="s">
        <v>2783</v>
      </c>
      <c r="T609" s="228">
        <v>15600242251</v>
      </c>
      <c r="U609" s="225" t="s">
        <v>1601</v>
      </c>
      <c r="V609" s="225" t="s">
        <v>2040</v>
      </c>
      <c r="W609" s="229">
        <v>13810832971</v>
      </c>
      <c r="X609" s="230">
        <v>43334</v>
      </c>
      <c r="Y609" s="238" t="s">
        <v>27</v>
      </c>
      <c r="Z609" s="238" t="s">
        <v>27</v>
      </c>
      <c r="AA609" s="238" t="s">
        <v>27</v>
      </c>
      <c r="AB609" s="45" t="s">
        <v>2889</v>
      </c>
      <c r="AC609" s="169"/>
    </row>
    <row r="610" spans="1:29" s="68" customFormat="1" ht="15" hidden="1" customHeight="1">
      <c r="A610" s="226" t="s">
        <v>203</v>
      </c>
      <c r="B610" s="226" t="s">
        <v>225</v>
      </c>
      <c r="C610" s="226" t="s">
        <v>27</v>
      </c>
      <c r="D610" s="226" t="s">
        <v>2893</v>
      </c>
      <c r="E610" s="226" t="s">
        <v>2008</v>
      </c>
      <c r="F610" s="226">
        <v>2510734</v>
      </c>
      <c r="G610" s="227" t="s">
        <v>4251</v>
      </c>
      <c r="H610" s="226" t="s">
        <v>20</v>
      </c>
      <c r="I610" s="227" t="s">
        <v>21</v>
      </c>
      <c r="J610" s="225" t="s">
        <v>204</v>
      </c>
      <c r="K610" s="225" t="s">
        <v>1586</v>
      </c>
      <c r="L610" s="51" t="s">
        <v>211</v>
      </c>
      <c r="M610" s="226" t="s">
        <v>22</v>
      </c>
      <c r="N610" s="226" t="s">
        <v>27</v>
      </c>
      <c r="O610" s="226" t="s">
        <v>3639</v>
      </c>
      <c r="P610" s="226" t="s">
        <v>3221</v>
      </c>
      <c r="Q610" s="226" t="s">
        <v>3847</v>
      </c>
      <c r="R610" s="227" t="s">
        <v>2784</v>
      </c>
      <c r="S610" s="225" t="s">
        <v>2785</v>
      </c>
      <c r="T610" s="228">
        <v>15321837105</v>
      </c>
      <c r="U610" s="225" t="s">
        <v>3231</v>
      </c>
      <c r="V610" s="225" t="s">
        <v>3232</v>
      </c>
      <c r="W610" s="229"/>
      <c r="X610" s="230">
        <v>43213</v>
      </c>
      <c r="Y610" s="238" t="s">
        <v>27</v>
      </c>
      <c r="Z610" s="238" t="s">
        <v>27</v>
      </c>
      <c r="AA610" s="238" t="s">
        <v>27</v>
      </c>
      <c r="AB610" s="45" t="s">
        <v>2887</v>
      </c>
      <c r="AC610" s="169"/>
    </row>
    <row r="611" spans="1:29" s="68" customFormat="1" ht="15" hidden="1" customHeight="1">
      <c r="A611" s="226" t="s">
        <v>203</v>
      </c>
      <c r="B611" s="226" t="s">
        <v>226</v>
      </c>
      <c r="C611" s="226" t="s">
        <v>27</v>
      </c>
      <c r="D611" s="226" t="s">
        <v>2893</v>
      </c>
      <c r="E611" s="226" t="s">
        <v>2008</v>
      </c>
      <c r="F611" s="226">
        <v>2510896</v>
      </c>
      <c r="G611" s="227" t="s">
        <v>4252</v>
      </c>
      <c r="H611" s="226" t="s">
        <v>20</v>
      </c>
      <c r="I611" s="227" t="s">
        <v>60</v>
      </c>
      <c r="J611" s="225" t="s">
        <v>2486</v>
      </c>
      <c r="K611" s="225" t="s">
        <v>2358</v>
      </c>
      <c r="L611" s="51" t="s">
        <v>211</v>
      </c>
      <c r="M611" s="226" t="s">
        <v>22</v>
      </c>
      <c r="N611" s="226" t="s">
        <v>22</v>
      </c>
      <c r="O611" s="226" t="s">
        <v>3639</v>
      </c>
      <c r="P611" s="226" t="s">
        <v>3212</v>
      </c>
      <c r="Q611" s="226" t="s">
        <v>3848</v>
      </c>
      <c r="R611" s="227" t="s">
        <v>3004</v>
      </c>
      <c r="S611" s="225" t="s">
        <v>3005</v>
      </c>
      <c r="T611" s="228">
        <v>13810274084</v>
      </c>
      <c r="U611" s="225" t="s">
        <v>3233</v>
      </c>
      <c r="V611" s="225" t="s">
        <v>3234</v>
      </c>
      <c r="W611" s="229">
        <v>18514727175</v>
      </c>
      <c r="X611" s="230">
        <v>43301</v>
      </c>
      <c r="Y611" s="238" t="s">
        <v>27</v>
      </c>
      <c r="Z611" s="238" t="s">
        <v>27</v>
      </c>
      <c r="AA611" s="238" t="s">
        <v>27</v>
      </c>
      <c r="AB611" s="45" t="s">
        <v>2887</v>
      </c>
      <c r="AC611" s="169"/>
    </row>
    <row r="612" spans="1:29" s="68" customFormat="1" ht="15" hidden="1" customHeight="1">
      <c r="A612" s="226" t="s">
        <v>203</v>
      </c>
      <c r="B612" s="226" t="s">
        <v>227</v>
      </c>
      <c r="C612" s="226" t="s">
        <v>22</v>
      </c>
      <c r="D612" s="226" t="s">
        <v>4443</v>
      </c>
      <c r="E612" s="226" t="s">
        <v>2008</v>
      </c>
      <c r="F612" s="226">
        <v>2510856</v>
      </c>
      <c r="G612" s="227" t="s">
        <v>4253</v>
      </c>
      <c r="H612" s="226" t="s">
        <v>20</v>
      </c>
      <c r="I612" s="227" t="s">
        <v>60</v>
      </c>
      <c r="J612" s="225" t="s">
        <v>2487</v>
      </c>
      <c r="K612" s="225" t="s">
        <v>2650</v>
      </c>
      <c r="L612" s="51" t="s">
        <v>211</v>
      </c>
      <c r="M612" s="226" t="s">
        <v>22</v>
      </c>
      <c r="N612" s="226" t="s">
        <v>27</v>
      </c>
      <c r="O612" s="226" t="s">
        <v>38</v>
      </c>
      <c r="P612" s="226" t="s">
        <v>3235</v>
      </c>
      <c r="Q612" s="226" t="s">
        <v>3849</v>
      </c>
      <c r="R612" s="227" t="s">
        <v>2489</v>
      </c>
      <c r="S612" s="225" t="s">
        <v>2159</v>
      </c>
      <c r="T612" s="228">
        <v>13810719763</v>
      </c>
      <c r="U612" s="225" t="s">
        <v>3236</v>
      </c>
      <c r="V612" s="225" t="s">
        <v>3237</v>
      </c>
      <c r="W612" s="229">
        <v>18911175845</v>
      </c>
      <c r="X612" s="230">
        <v>43334</v>
      </c>
      <c r="Y612" s="238" t="s">
        <v>27</v>
      </c>
      <c r="Z612" s="238" t="s">
        <v>27</v>
      </c>
      <c r="AA612" s="238" t="s">
        <v>27</v>
      </c>
      <c r="AB612" s="45" t="s">
        <v>2887</v>
      </c>
      <c r="AC612" s="169"/>
    </row>
    <row r="613" spans="1:29" s="68" customFormat="1" ht="15" hidden="1" customHeight="1">
      <c r="A613" s="226" t="s">
        <v>203</v>
      </c>
      <c r="B613" s="226" t="s">
        <v>229</v>
      </c>
      <c r="C613" s="226" t="s">
        <v>27</v>
      </c>
      <c r="D613" s="226" t="s">
        <v>2893</v>
      </c>
      <c r="E613" s="226" t="s">
        <v>2008</v>
      </c>
      <c r="F613" s="226">
        <v>2510566</v>
      </c>
      <c r="G613" s="227" t="s">
        <v>4254</v>
      </c>
      <c r="H613" s="226" t="s">
        <v>20</v>
      </c>
      <c r="I613" s="227" t="s">
        <v>21</v>
      </c>
      <c r="J613" s="225" t="s">
        <v>204</v>
      </c>
      <c r="K613" s="225" t="s">
        <v>1586</v>
      </c>
      <c r="L613" s="51" t="s">
        <v>211</v>
      </c>
      <c r="M613" s="226" t="s">
        <v>22</v>
      </c>
      <c r="N613" s="226" t="s">
        <v>27</v>
      </c>
      <c r="O613" s="226" t="s">
        <v>3639</v>
      </c>
      <c r="P613" s="226" t="s">
        <v>3238</v>
      </c>
      <c r="Q613" s="226" t="s">
        <v>3850</v>
      </c>
      <c r="R613" s="227" t="s">
        <v>2490</v>
      </c>
      <c r="S613" s="225" t="s">
        <v>2491</v>
      </c>
      <c r="T613" s="228">
        <v>18911473634</v>
      </c>
      <c r="U613" s="225" t="s">
        <v>3239</v>
      </c>
      <c r="V613" s="225" t="s">
        <v>3240</v>
      </c>
      <c r="W613" s="229"/>
      <c r="X613" s="230"/>
      <c r="Y613" s="238" t="s">
        <v>27</v>
      </c>
      <c r="Z613" s="238" t="s">
        <v>27</v>
      </c>
      <c r="AA613" s="238" t="s">
        <v>27</v>
      </c>
      <c r="AB613" s="45" t="s">
        <v>2887</v>
      </c>
      <c r="AC613" s="169"/>
    </row>
    <row r="614" spans="1:29" s="68" customFormat="1" ht="15" hidden="1" customHeight="1">
      <c r="A614" s="226" t="s">
        <v>203</v>
      </c>
      <c r="B614" s="226" t="s">
        <v>230</v>
      </c>
      <c r="C614" s="226" t="s">
        <v>27</v>
      </c>
      <c r="D614" s="226" t="s">
        <v>2658</v>
      </c>
      <c r="E614" s="226" t="s">
        <v>2008</v>
      </c>
      <c r="F614" s="226">
        <v>2794259</v>
      </c>
      <c r="G614" s="227" t="s">
        <v>4255</v>
      </c>
      <c r="H614" s="226" t="s">
        <v>20</v>
      </c>
      <c r="I614" s="227" t="s">
        <v>21</v>
      </c>
      <c r="J614" s="225" t="s">
        <v>209</v>
      </c>
      <c r="K614" s="225" t="s">
        <v>61</v>
      </c>
      <c r="L614" s="51" t="s">
        <v>211</v>
      </c>
      <c r="M614" s="226" t="s">
        <v>22</v>
      </c>
      <c r="N614" s="226" t="s">
        <v>22</v>
      </c>
      <c r="O614" s="226" t="s">
        <v>3639</v>
      </c>
      <c r="P614" s="226" t="s">
        <v>3241</v>
      </c>
      <c r="Q614" s="226" t="s">
        <v>3851</v>
      </c>
      <c r="R614" s="227" t="s">
        <v>2897</v>
      </c>
      <c r="S614" s="225" t="s">
        <v>2898</v>
      </c>
      <c r="T614" s="228">
        <v>13810419362</v>
      </c>
      <c r="U614" s="225" t="s">
        <v>3242</v>
      </c>
      <c r="V614" s="225" t="s">
        <v>3243</v>
      </c>
      <c r="W614" s="229"/>
      <c r="X614" s="230">
        <v>43215</v>
      </c>
      <c r="Y614" s="238" t="s">
        <v>27</v>
      </c>
      <c r="Z614" s="238" t="s">
        <v>27</v>
      </c>
      <c r="AA614" s="238" t="s">
        <v>27</v>
      </c>
      <c r="AB614" s="45" t="s">
        <v>2887</v>
      </c>
      <c r="AC614" s="169"/>
    </row>
    <row r="615" spans="1:29" s="68" customFormat="1" ht="15" hidden="1" customHeight="1">
      <c r="A615" s="226" t="s">
        <v>203</v>
      </c>
      <c r="B615" s="226" t="s">
        <v>232</v>
      </c>
      <c r="C615" s="226" t="s">
        <v>27</v>
      </c>
      <c r="D615" s="226" t="s">
        <v>2658</v>
      </c>
      <c r="E615" s="226" t="s">
        <v>2008</v>
      </c>
      <c r="F615" s="226">
        <v>2794278</v>
      </c>
      <c r="G615" s="227" t="s">
        <v>4256</v>
      </c>
      <c r="H615" s="226" t="s">
        <v>20</v>
      </c>
      <c r="I615" s="227" t="s">
        <v>21</v>
      </c>
      <c r="J615" s="225" t="s">
        <v>209</v>
      </c>
      <c r="K615" s="225" t="s">
        <v>236</v>
      </c>
      <c r="L615" s="51" t="s">
        <v>211</v>
      </c>
      <c r="M615" s="226" t="s">
        <v>22</v>
      </c>
      <c r="N615" s="226" t="s">
        <v>22</v>
      </c>
      <c r="O615" s="226" t="s">
        <v>3639</v>
      </c>
      <c r="P615" s="226" t="s">
        <v>3215</v>
      </c>
      <c r="Q615" s="226" t="s">
        <v>3852</v>
      </c>
      <c r="R615" s="227" t="s">
        <v>2921</v>
      </c>
      <c r="S615" s="225" t="s">
        <v>2922</v>
      </c>
      <c r="T615" s="228">
        <v>13810917290</v>
      </c>
      <c r="U615" s="225" t="s">
        <v>3244</v>
      </c>
      <c r="V615" s="225" t="s">
        <v>3245</v>
      </c>
      <c r="W615" s="229"/>
      <c r="X615" s="230">
        <v>43217</v>
      </c>
      <c r="Y615" s="238" t="s">
        <v>27</v>
      </c>
      <c r="Z615" s="238" t="s">
        <v>27</v>
      </c>
      <c r="AA615" s="238" t="s">
        <v>27</v>
      </c>
      <c r="AB615" s="45" t="s">
        <v>2887</v>
      </c>
      <c r="AC615" s="169"/>
    </row>
    <row r="616" spans="1:29" s="68" customFormat="1" ht="15" hidden="1" customHeight="1">
      <c r="A616" s="226" t="s">
        <v>203</v>
      </c>
      <c r="B616" s="226" t="s">
        <v>234</v>
      </c>
      <c r="C616" s="226" t="s">
        <v>27</v>
      </c>
      <c r="D616" s="226" t="s">
        <v>4443</v>
      </c>
      <c r="E616" s="226" t="s">
        <v>2008</v>
      </c>
      <c r="F616" s="226">
        <v>2510449</v>
      </c>
      <c r="G616" s="227" t="s">
        <v>4257</v>
      </c>
      <c r="H616" s="226" t="s">
        <v>20</v>
      </c>
      <c r="I616" s="227" t="s">
        <v>21</v>
      </c>
      <c r="J616" s="225" t="s">
        <v>204</v>
      </c>
      <c r="K616" s="225" t="s">
        <v>206</v>
      </c>
      <c r="L616" s="51" t="s">
        <v>211</v>
      </c>
      <c r="M616" s="226" t="s">
        <v>22</v>
      </c>
      <c r="N616" s="226" t="s">
        <v>27</v>
      </c>
      <c r="O616" s="226" t="s">
        <v>3639</v>
      </c>
      <c r="P616" s="226" t="s">
        <v>3215</v>
      </c>
      <c r="Q616" s="226" t="s">
        <v>3853</v>
      </c>
      <c r="R616" s="227" t="s">
        <v>2786</v>
      </c>
      <c r="S616" s="225" t="s">
        <v>2787</v>
      </c>
      <c r="T616" s="228">
        <v>13381264089</v>
      </c>
      <c r="U616" s="225" t="s">
        <v>3246</v>
      </c>
      <c r="V616" s="225" t="s">
        <v>3247</v>
      </c>
      <c r="W616" s="229"/>
      <c r="X616" s="230"/>
      <c r="Y616" s="238" t="s">
        <v>27</v>
      </c>
      <c r="Z616" s="238" t="s">
        <v>27</v>
      </c>
      <c r="AA616" s="238" t="s">
        <v>27</v>
      </c>
      <c r="AB616" s="45" t="s">
        <v>2887</v>
      </c>
      <c r="AC616" s="169"/>
    </row>
    <row r="617" spans="1:29" s="68" customFormat="1" ht="15" hidden="1" customHeight="1">
      <c r="A617" s="226" t="s">
        <v>203</v>
      </c>
      <c r="B617" s="226" t="s">
        <v>235</v>
      </c>
      <c r="C617" s="226" t="s">
        <v>27</v>
      </c>
      <c r="D617" s="226" t="s">
        <v>4443</v>
      </c>
      <c r="E617" s="226" t="s">
        <v>2008</v>
      </c>
      <c r="F617" s="226">
        <v>2510472</v>
      </c>
      <c r="G617" s="227" t="s">
        <v>4258</v>
      </c>
      <c r="H617" s="226" t="s">
        <v>20</v>
      </c>
      <c r="I617" s="227" t="s">
        <v>21</v>
      </c>
      <c r="J617" s="225" t="s">
        <v>204</v>
      </c>
      <c r="K617" s="225" t="s">
        <v>206</v>
      </c>
      <c r="L617" s="51" t="s">
        <v>211</v>
      </c>
      <c r="M617" s="226" t="s">
        <v>22</v>
      </c>
      <c r="N617" s="226" t="s">
        <v>27</v>
      </c>
      <c r="O617" s="226" t="s">
        <v>3639</v>
      </c>
      <c r="P617" s="226" t="s">
        <v>3205</v>
      </c>
      <c r="Q617" s="226" t="s">
        <v>3854</v>
      </c>
      <c r="R617" s="227" t="s">
        <v>2788</v>
      </c>
      <c r="S617" s="225" t="s">
        <v>2789</v>
      </c>
      <c r="T617" s="228">
        <v>15321700580</v>
      </c>
      <c r="U617" s="225" t="s">
        <v>3248</v>
      </c>
      <c r="V617" s="225" t="s">
        <v>3249</v>
      </c>
      <c r="W617" s="229"/>
      <c r="X617" s="230">
        <v>43252</v>
      </c>
      <c r="Y617" s="238" t="s">
        <v>27</v>
      </c>
      <c r="Z617" s="238" t="s">
        <v>27</v>
      </c>
      <c r="AA617" s="238" t="s">
        <v>27</v>
      </c>
      <c r="AB617" s="45" t="s">
        <v>2887</v>
      </c>
      <c r="AC617" s="169"/>
    </row>
    <row r="618" spans="1:29" s="68" customFormat="1" ht="15" hidden="1" customHeight="1">
      <c r="A618" s="226" t="s">
        <v>203</v>
      </c>
      <c r="B618" s="226" t="s">
        <v>2028</v>
      </c>
      <c r="C618" s="226" t="s">
        <v>27</v>
      </c>
      <c r="D618" s="226" t="s">
        <v>2658</v>
      </c>
      <c r="E618" s="226" t="s">
        <v>2008</v>
      </c>
      <c r="F618" s="226">
        <v>2794351</v>
      </c>
      <c r="G618" s="227" t="s">
        <v>4255</v>
      </c>
      <c r="H618" s="226" t="s">
        <v>20</v>
      </c>
      <c r="I618" s="227" t="s">
        <v>21</v>
      </c>
      <c r="J618" s="225" t="s">
        <v>209</v>
      </c>
      <c r="K618" s="225" t="s">
        <v>26</v>
      </c>
      <c r="L618" s="51" t="s">
        <v>211</v>
      </c>
      <c r="M618" s="226" t="s">
        <v>22</v>
      </c>
      <c r="N618" s="226" t="s">
        <v>22</v>
      </c>
      <c r="O618" s="226" t="s">
        <v>3639</v>
      </c>
      <c r="P618" s="226" t="s">
        <v>3204</v>
      </c>
      <c r="Q618" s="226" t="s">
        <v>3855</v>
      </c>
      <c r="R618" s="227" t="s">
        <v>2790</v>
      </c>
      <c r="S618" s="225" t="s">
        <v>2791</v>
      </c>
      <c r="T618" s="228">
        <v>13811053671</v>
      </c>
      <c r="U618" s="225" t="s">
        <v>2451</v>
      </c>
      <c r="V618" s="225" t="s">
        <v>2452</v>
      </c>
      <c r="W618" s="229"/>
      <c r="X618" s="230">
        <v>43213</v>
      </c>
      <c r="Y618" s="238" t="s">
        <v>27</v>
      </c>
      <c r="Z618" s="238" t="s">
        <v>27</v>
      </c>
      <c r="AA618" s="238" t="s">
        <v>27</v>
      </c>
      <c r="AB618" s="45" t="s">
        <v>2887</v>
      </c>
      <c r="AC618" s="169"/>
    </row>
    <row r="619" spans="1:29" s="68" customFormat="1" ht="15" hidden="1" customHeight="1">
      <c r="A619" s="226" t="s">
        <v>203</v>
      </c>
      <c r="B619" s="226" t="s">
        <v>237</v>
      </c>
      <c r="C619" s="226" t="s">
        <v>27</v>
      </c>
      <c r="D619" s="226" t="s">
        <v>2658</v>
      </c>
      <c r="E619" s="226" t="s">
        <v>2008</v>
      </c>
      <c r="F619" s="226">
        <v>2794261</v>
      </c>
      <c r="G619" s="227" t="s">
        <v>4259</v>
      </c>
      <c r="H619" s="226" t="s">
        <v>20</v>
      </c>
      <c r="I619" s="227" t="s">
        <v>21</v>
      </c>
      <c r="J619" s="225" t="s">
        <v>223</v>
      </c>
      <c r="K619" s="225" t="s">
        <v>337</v>
      </c>
      <c r="L619" s="51" t="s">
        <v>211</v>
      </c>
      <c r="M619" s="226" t="s">
        <v>22</v>
      </c>
      <c r="N619" s="226" t="s">
        <v>22</v>
      </c>
      <c r="O619" s="226" t="s">
        <v>3639</v>
      </c>
      <c r="P619" s="226" t="s">
        <v>3241</v>
      </c>
      <c r="Q619" s="226" t="s">
        <v>3856</v>
      </c>
      <c r="R619" s="227" t="s">
        <v>3087</v>
      </c>
      <c r="S619" s="225" t="s">
        <v>3088</v>
      </c>
      <c r="T619" s="228">
        <v>13121815027</v>
      </c>
      <c r="U619" s="225" t="s">
        <v>3250</v>
      </c>
      <c r="V619" s="225" t="s">
        <v>3251</v>
      </c>
      <c r="W619" s="229"/>
      <c r="X619" s="230">
        <v>43217</v>
      </c>
      <c r="Y619" s="238" t="s">
        <v>27</v>
      </c>
      <c r="Z619" s="238" t="s">
        <v>27</v>
      </c>
      <c r="AA619" s="238" t="s">
        <v>27</v>
      </c>
      <c r="AB619" s="45" t="s">
        <v>2887</v>
      </c>
      <c r="AC619" s="169"/>
    </row>
    <row r="620" spans="1:29" s="68" customFormat="1" ht="15" hidden="1" customHeight="1">
      <c r="A620" s="226" t="s">
        <v>203</v>
      </c>
      <c r="B620" s="226" t="s">
        <v>239</v>
      </c>
      <c r="C620" s="226" t="s">
        <v>27</v>
      </c>
      <c r="D620" s="226" t="s">
        <v>2658</v>
      </c>
      <c r="E620" s="226" t="s">
        <v>2008</v>
      </c>
      <c r="F620" s="226">
        <v>2794238</v>
      </c>
      <c r="G620" s="227" t="s">
        <v>4260</v>
      </c>
      <c r="H620" s="226" t="s">
        <v>20</v>
      </c>
      <c r="I620" s="227" t="s">
        <v>60</v>
      </c>
      <c r="J620" s="225" t="s">
        <v>2486</v>
      </c>
      <c r="K620" s="225" t="s">
        <v>2651</v>
      </c>
      <c r="L620" s="51" t="s">
        <v>211</v>
      </c>
      <c r="M620" s="226" t="s">
        <v>22</v>
      </c>
      <c r="N620" s="226" t="s">
        <v>22</v>
      </c>
      <c r="O620" s="226" t="s">
        <v>3639</v>
      </c>
      <c r="P620" s="226" t="s">
        <v>3218</v>
      </c>
      <c r="Q620" s="226" t="s">
        <v>3857</v>
      </c>
      <c r="R620" s="227" t="s">
        <v>2899</v>
      </c>
      <c r="S620" s="225" t="s">
        <v>2900</v>
      </c>
      <c r="T620" s="228">
        <v>13810421462</v>
      </c>
      <c r="U620" s="225" t="s">
        <v>3252</v>
      </c>
      <c r="V620" s="225" t="s">
        <v>3253</v>
      </c>
      <c r="W620" s="229">
        <v>18611415619</v>
      </c>
      <c r="X620" s="230">
        <v>43215</v>
      </c>
      <c r="Y620" s="238" t="s">
        <v>27</v>
      </c>
      <c r="Z620" s="238" t="s">
        <v>27</v>
      </c>
      <c r="AA620" s="238" t="s">
        <v>27</v>
      </c>
      <c r="AB620" s="45" t="s">
        <v>2887</v>
      </c>
      <c r="AC620" s="169"/>
    </row>
    <row r="621" spans="1:29" s="68" customFormat="1" ht="15" hidden="1" customHeight="1">
      <c r="A621" s="226" t="s">
        <v>203</v>
      </c>
      <c r="B621" s="226" t="s">
        <v>240</v>
      </c>
      <c r="C621" s="226" t="s">
        <v>27</v>
      </c>
      <c r="D621" s="226" t="s">
        <v>2658</v>
      </c>
      <c r="E621" s="226" t="s">
        <v>2008</v>
      </c>
      <c r="F621" s="226">
        <v>2794254</v>
      </c>
      <c r="G621" s="227" t="s">
        <v>4261</v>
      </c>
      <c r="H621" s="226" t="s">
        <v>20</v>
      </c>
      <c r="I621" s="227" t="s">
        <v>21</v>
      </c>
      <c r="J621" s="225" t="s">
        <v>209</v>
      </c>
      <c r="K621" s="225" t="s">
        <v>26</v>
      </c>
      <c r="L621" s="51" t="s">
        <v>211</v>
      </c>
      <c r="M621" s="226" t="s">
        <v>22</v>
      </c>
      <c r="N621" s="226" t="s">
        <v>22</v>
      </c>
      <c r="O621" s="226" t="s">
        <v>3639</v>
      </c>
      <c r="P621" s="226" t="s">
        <v>3205</v>
      </c>
      <c r="Q621" s="226" t="s">
        <v>3858</v>
      </c>
      <c r="R621" s="227" t="s">
        <v>2792</v>
      </c>
      <c r="S621" s="225" t="s">
        <v>2793</v>
      </c>
      <c r="T621" s="228">
        <v>13810012874</v>
      </c>
      <c r="U621" s="225" t="s">
        <v>1602</v>
      </c>
      <c r="V621" s="225" t="s">
        <v>2042</v>
      </c>
      <c r="W621" s="229"/>
      <c r="X621" s="230">
        <v>43214</v>
      </c>
      <c r="Y621" s="238" t="s">
        <v>27</v>
      </c>
      <c r="Z621" s="238" t="s">
        <v>27</v>
      </c>
      <c r="AA621" s="238" t="s">
        <v>27</v>
      </c>
      <c r="AB621" s="45" t="s">
        <v>2887</v>
      </c>
      <c r="AC621" s="169"/>
    </row>
    <row r="622" spans="1:29" s="68" customFormat="1" ht="15" hidden="1" customHeight="1">
      <c r="A622" s="226" t="s">
        <v>203</v>
      </c>
      <c r="B622" s="226" t="s">
        <v>241</v>
      </c>
      <c r="C622" s="226" t="s">
        <v>27</v>
      </c>
      <c r="D622" s="226" t="s">
        <v>4443</v>
      </c>
      <c r="E622" s="226" t="s">
        <v>2008</v>
      </c>
      <c r="F622" s="226">
        <v>2510508</v>
      </c>
      <c r="G622" s="227" t="s">
        <v>4262</v>
      </c>
      <c r="H622" s="226" t="s">
        <v>20</v>
      </c>
      <c r="I622" s="227" t="s">
        <v>60</v>
      </c>
      <c r="J622" s="225" t="s">
        <v>2485</v>
      </c>
      <c r="K622" s="225" t="s">
        <v>4426</v>
      </c>
      <c r="L622" s="51" t="s">
        <v>211</v>
      </c>
      <c r="M622" s="226" t="s">
        <v>22</v>
      </c>
      <c r="N622" s="226" t="s">
        <v>22</v>
      </c>
      <c r="O622" s="226" t="s">
        <v>3639</v>
      </c>
      <c r="P622" s="226" t="s">
        <v>3208</v>
      </c>
      <c r="Q622" s="226" t="s">
        <v>3859</v>
      </c>
      <c r="R622" s="227" t="s">
        <v>2794</v>
      </c>
      <c r="S622" s="225" t="s">
        <v>2795</v>
      </c>
      <c r="T622" s="228">
        <v>13240004792</v>
      </c>
      <c r="U622" s="225" t="s">
        <v>1627</v>
      </c>
      <c r="V622" s="225" t="s">
        <v>2075</v>
      </c>
      <c r="W622" s="229">
        <v>13810014974</v>
      </c>
      <c r="X622" s="230">
        <v>43334</v>
      </c>
      <c r="Y622" s="238" t="s">
        <v>27</v>
      </c>
      <c r="Z622" s="238" t="s">
        <v>27</v>
      </c>
      <c r="AA622" s="238" t="s">
        <v>27</v>
      </c>
      <c r="AB622" s="45" t="s">
        <v>2887</v>
      </c>
      <c r="AC622" s="169"/>
    </row>
    <row r="623" spans="1:29" s="68" customFormat="1" ht="15" hidden="1" customHeight="1">
      <c r="A623" s="226" t="s">
        <v>203</v>
      </c>
      <c r="B623" s="226" t="s">
        <v>242</v>
      </c>
      <c r="C623" s="226" t="s">
        <v>27</v>
      </c>
      <c r="D623" s="226" t="s">
        <v>4443</v>
      </c>
      <c r="E623" s="226" t="s">
        <v>2008</v>
      </c>
      <c r="F623" s="226">
        <v>2794335</v>
      </c>
      <c r="G623" s="227" t="s">
        <v>4263</v>
      </c>
      <c r="H623" s="226" t="s">
        <v>20</v>
      </c>
      <c r="I623" s="227" t="s">
        <v>60</v>
      </c>
      <c r="J623" s="225" t="s">
        <v>2486</v>
      </c>
      <c r="K623" s="225" t="s">
        <v>4264</v>
      </c>
      <c r="L623" s="51" t="s">
        <v>211</v>
      </c>
      <c r="M623" s="226" t="s">
        <v>22</v>
      </c>
      <c r="N623" s="226" t="s">
        <v>22</v>
      </c>
      <c r="O623" s="226" t="s">
        <v>3639</v>
      </c>
      <c r="P623" s="226" t="s">
        <v>3218</v>
      </c>
      <c r="Q623" s="226" t="s">
        <v>3860</v>
      </c>
      <c r="R623" s="227" t="s">
        <v>2492</v>
      </c>
      <c r="S623" s="225" t="s">
        <v>244</v>
      </c>
      <c r="T623" s="228">
        <v>13810737621</v>
      </c>
      <c r="U623" s="225" t="s">
        <v>3254</v>
      </c>
      <c r="V623" s="225" t="s">
        <v>3255</v>
      </c>
      <c r="W623" s="229">
        <v>13021924290</v>
      </c>
      <c r="X623" s="230">
        <v>43252</v>
      </c>
      <c r="Y623" s="238" t="s">
        <v>27</v>
      </c>
      <c r="Z623" s="238" t="s">
        <v>27</v>
      </c>
      <c r="AA623" s="238" t="s">
        <v>27</v>
      </c>
      <c r="AB623" s="45" t="s">
        <v>2889</v>
      </c>
      <c r="AC623" s="169"/>
    </row>
    <row r="624" spans="1:29" s="68" customFormat="1" ht="15" hidden="1" customHeight="1">
      <c r="A624" s="226" t="s">
        <v>203</v>
      </c>
      <c r="B624" s="226" t="s">
        <v>245</v>
      </c>
      <c r="C624" s="226" t="s">
        <v>27</v>
      </c>
      <c r="D624" s="226" t="s">
        <v>2658</v>
      </c>
      <c r="E624" s="226" t="s">
        <v>2008</v>
      </c>
      <c r="F624" s="226">
        <v>2510665</v>
      </c>
      <c r="G624" s="227" t="s">
        <v>4265</v>
      </c>
      <c r="H624" s="226" t="s">
        <v>20</v>
      </c>
      <c r="I624" s="227" t="s">
        <v>60</v>
      </c>
      <c r="J624" s="225" t="s">
        <v>1588</v>
      </c>
      <c r="K624" s="225" t="s">
        <v>2364</v>
      </c>
      <c r="L624" s="51" t="s">
        <v>211</v>
      </c>
      <c r="M624" s="226" t="s">
        <v>22</v>
      </c>
      <c r="N624" s="226" t="s">
        <v>27</v>
      </c>
      <c r="O624" s="226" t="s">
        <v>3639</v>
      </c>
      <c r="P624" s="226" t="s">
        <v>3208</v>
      </c>
      <c r="Q624" s="226" t="s">
        <v>3861</v>
      </c>
      <c r="R624" s="227" t="s">
        <v>2901</v>
      </c>
      <c r="S624" s="225" t="s">
        <v>2902</v>
      </c>
      <c r="T624" s="228">
        <v>18911124173</v>
      </c>
      <c r="U624" s="225" t="s">
        <v>3256</v>
      </c>
      <c r="V624" s="225" t="s">
        <v>3257</v>
      </c>
      <c r="W624" s="229">
        <v>15510204789</v>
      </c>
      <c r="X624" s="230">
        <v>43215</v>
      </c>
      <c r="Y624" s="238" t="s">
        <v>27</v>
      </c>
      <c r="Z624" s="238" t="s">
        <v>27</v>
      </c>
      <c r="AA624" s="238" t="s">
        <v>27</v>
      </c>
      <c r="AB624" s="45" t="s">
        <v>2887</v>
      </c>
      <c r="AC624" s="169"/>
    </row>
    <row r="625" spans="1:29" s="68" customFormat="1" ht="15" hidden="1" customHeight="1">
      <c r="A625" s="226" t="s">
        <v>203</v>
      </c>
      <c r="B625" s="226" t="s">
        <v>246</v>
      </c>
      <c r="C625" s="226" t="s">
        <v>27</v>
      </c>
      <c r="D625" s="226" t="s">
        <v>4443</v>
      </c>
      <c r="E625" s="226" t="s">
        <v>2008</v>
      </c>
      <c r="F625" s="226">
        <v>2794266</v>
      </c>
      <c r="G625" s="227" t="s">
        <v>4266</v>
      </c>
      <c r="H625" s="226" t="s">
        <v>20</v>
      </c>
      <c r="I625" s="227" t="s">
        <v>60</v>
      </c>
      <c r="J625" s="225" t="s">
        <v>2486</v>
      </c>
      <c r="K625" s="225" t="s">
        <v>2651</v>
      </c>
      <c r="L625" s="51" t="s">
        <v>211</v>
      </c>
      <c r="M625" s="226" t="s">
        <v>22</v>
      </c>
      <c r="N625" s="226" t="s">
        <v>22</v>
      </c>
      <c r="O625" s="226" t="s">
        <v>3639</v>
      </c>
      <c r="P625" s="226" t="s">
        <v>3212</v>
      </c>
      <c r="Q625" s="226" t="s">
        <v>3862</v>
      </c>
      <c r="R625" s="227" t="s">
        <v>2903</v>
      </c>
      <c r="S625" s="225" t="s">
        <v>2904</v>
      </c>
      <c r="T625" s="228">
        <v>13810503615</v>
      </c>
      <c r="U625" s="225" t="s">
        <v>3258</v>
      </c>
      <c r="V625" s="225" t="s">
        <v>3259</v>
      </c>
      <c r="W625" s="229">
        <v>13269092273</v>
      </c>
      <c r="X625" s="230">
        <v>43323</v>
      </c>
      <c r="Y625" s="238" t="s">
        <v>27</v>
      </c>
      <c r="Z625" s="238" t="s">
        <v>27</v>
      </c>
      <c r="AA625" s="238" t="s">
        <v>27</v>
      </c>
      <c r="AB625" s="45" t="s">
        <v>2887</v>
      </c>
      <c r="AC625" s="169"/>
    </row>
    <row r="626" spans="1:29" s="68" customFormat="1" ht="15" hidden="1" customHeight="1">
      <c r="A626" s="226" t="s">
        <v>203</v>
      </c>
      <c r="B626" s="226" t="s">
        <v>248</v>
      </c>
      <c r="C626" s="226" t="s">
        <v>27</v>
      </c>
      <c r="D626" s="226" t="s">
        <v>4444</v>
      </c>
      <c r="E626" s="226" t="s">
        <v>2008</v>
      </c>
      <c r="F626" s="226">
        <v>2510403</v>
      </c>
      <c r="G626" s="227" t="s">
        <v>4256</v>
      </c>
      <c r="H626" s="226" t="s">
        <v>20</v>
      </c>
      <c r="I626" s="227" t="s">
        <v>21</v>
      </c>
      <c r="J626" s="225" t="s">
        <v>204</v>
      </c>
      <c r="K626" s="225" t="s">
        <v>1586</v>
      </c>
      <c r="L626" s="51" t="s">
        <v>211</v>
      </c>
      <c r="M626" s="226" t="s">
        <v>22</v>
      </c>
      <c r="N626" s="226" t="s">
        <v>27</v>
      </c>
      <c r="O626" s="226" t="s">
        <v>3639</v>
      </c>
      <c r="P626" s="226" t="s">
        <v>3260</v>
      </c>
      <c r="Q626" s="226" t="s">
        <v>3863</v>
      </c>
      <c r="R626" s="227" t="s">
        <v>3006</v>
      </c>
      <c r="S626" s="225" t="s">
        <v>3007</v>
      </c>
      <c r="T626" s="228">
        <v>13381264192</v>
      </c>
      <c r="U626" s="225" t="s">
        <v>1074</v>
      </c>
      <c r="V626" s="225" t="s">
        <v>2043</v>
      </c>
      <c r="W626" s="229"/>
      <c r="X626" s="230">
        <v>43216</v>
      </c>
      <c r="Y626" s="238" t="s">
        <v>27</v>
      </c>
      <c r="Z626" s="238" t="s">
        <v>27</v>
      </c>
      <c r="AA626" s="238" t="s">
        <v>27</v>
      </c>
      <c r="AB626" s="45" t="s">
        <v>2887</v>
      </c>
      <c r="AC626" s="169"/>
    </row>
    <row r="627" spans="1:29" s="68" customFormat="1" ht="15" hidden="1" customHeight="1">
      <c r="A627" s="226" t="s">
        <v>203</v>
      </c>
      <c r="B627" s="226" t="s">
        <v>249</v>
      </c>
      <c r="C627" s="226" t="s">
        <v>27</v>
      </c>
      <c r="D627" s="226" t="s">
        <v>2893</v>
      </c>
      <c r="E627" s="226" t="s">
        <v>2008</v>
      </c>
      <c r="F627" s="226">
        <v>2794316</v>
      </c>
      <c r="G627" s="227" t="s">
        <v>4267</v>
      </c>
      <c r="H627" s="226" t="s">
        <v>20</v>
      </c>
      <c r="I627" s="227" t="s">
        <v>60</v>
      </c>
      <c r="J627" s="225" t="s">
        <v>2485</v>
      </c>
      <c r="K627" s="225" t="s">
        <v>4426</v>
      </c>
      <c r="L627" s="51" t="s">
        <v>211</v>
      </c>
      <c r="M627" s="226" t="s">
        <v>22</v>
      </c>
      <c r="N627" s="226" t="s">
        <v>22</v>
      </c>
      <c r="O627" s="226" t="s">
        <v>3639</v>
      </c>
      <c r="P627" s="226" t="s">
        <v>3224</v>
      </c>
      <c r="Q627" s="226" t="s">
        <v>3864</v>
      </c>
      <c r="R627" s="227" t="s">
        <v>2796</v>
      </c>
      <c r="S627" s="225" t="s">
        <v>2797</v>
      </c>
      <c r="T627" s="228">
        <v>13121817129</v>
      </c>
      <c r="U627" s="225" t="s">
        <v>3168</v>
      </c>
      <c r="V627" s="225" t="s">
        <v>2208</v>
      </c>
      <c r="W627" s="229">
        <v>13811271442</v>
      </c>
      <c r="X627" s="230">
        <v>43334</v>
      </c>
      <c r="Y627" s="238" t="s">
        <v>27</v>
      </c>
      <c r="Z627" s="238" t="s">
        <v>27</v>
      </c>
      <c r="AA627" s="238" t="s">
        <v>27</v>
      </c>
      <c r="AB627" s="45" t="s">
        <v>2887</v>
      </c>
      <c r="AC627" s="169"/>
    </row>
    <row r="628" spans="1:29" s="68" customFormat="1" ht="15" hidden="1" customHeight="1">
      <c r="A628" s="226" t="s">
        <v>203</v>
      </c>
      <c r="B628" s="226" t="s">
        <v>2029</v>
      </c>
      <c r="C628" s="226" t="s">
        <v>27</v>
      </c>
      <c r="D628" s="226" t="s">
        <v>2893</v>
      </c>
      <c r="E628" s="226" t="s">
        <v>2008</v>
      </c>
      <c r="F628" s="226">
        <v>2794256</v>
      </c>
      <c r="G628" s="227" t="s">
        <v>4268</v>
      </c>
      <c r="H628" s="226" t="s">
        <v>20</v>
      </c>
      <c r="I628" s="227" t="s">
        <v>60</v>
      </c>
      <c r="J628" s="225" t="s">
        <v>2501</v>
      </c>
      <c r="K628" s="225" t="s">
        <v>2649</v>
      </c>
      <c r="L628" s="51" t="s">
        <v>211</v>
      </c>
      <c r="M628" s="226" t="s">
        <v>22</v>
      </c>
      <c r="N628" s="226" t="s">
        <v>27</v>
      </c>
      <c r="O628" s="226" t="s">
        <v>3639</v>
      </c>
      <c r="P628" s="226" t="s">
        <v>3261</v>
      </c>
      <c r="Q628" s="226" t="s">
        <v>3865</v>
      </c>
      <c r="R628" s="227" t="s">
        <v>3156</v>
      </c>
      <c r="S628" s="225" t="s">
        <v>3157</v>
      </c>
      <c r="T628" s="228">
        <v>13331048816</v>
      </c>
      <c r="U628" s="225" t="s">
        <v>3262</v>
      </c>
      <c r="V628" s="225" t="s">
        <v>3263</v>
      </c>
      <c r="W628" s="229">
        <v>13811021750</v>
      </c>
      <c r="X628" s="230">
        <v>43214</v>
      </c>
      <c r="Y628" s="238" t="s">
        <v>27</v>
      </c>
      <c r="Z628" s="238" t="s">
        <v>27</v>
      </c>
      <c r="AA628" s="238" t="s">
        <v>27</v>
      </c>
      <c r="AB628" s="45" t="s">
        <v>2887</v>
      </c>
      <c r="AC628" s="169"/>
    </row>
    <row r="629" spans="1:29" s="68" customFormat="1" ht="15" hidden="1" customHeight="1">
      <c r="A629" s="226" t="s">
        <v>203</v>
      </c>
      <c r="B629" s="226" t="s">
        <v>251</v>
      </c>
      <c r="C629" s="226" t="s">
        <v>27</v>
      </c>
      <c r="D629" s="226" t="s">
        <v>2658</v>
      </c>
      <c r="E629" s="226" t="s">
        <v>2008</v>
      </c>
      <c r="F629" s="226">
        <v>2794216</v>
      </c>
      <c r="G629" s="227" t="s">
        <v>4269</v>
      </c>
      <c r="H629" s="226" t="s">
        <v>20</v>
      </c>
      <c r="I629" s="227" t="s">
        <v>21</v>
      </c>
      <c r="J629" s="225" t="s">
        <v>209</v>
      </c>
      <c r="K629" s="225" t="s">
        <v>26</v>
      </c>
      <c r="L629" s="51" t="s">
        <v>211</v>
      </c>
      <c r="M629" s="226" t="s">
        <v>22</v>
      </c>
      <c r="N629" s="226" t="s">
        <v>22</v>
      </c>
      <c r="O629" s="226" t="s">
        <v>3639</v>
      </c>
      <c r="P629" s="226" t="s">
        <v>3241</v>
      </c>
      <c r="Q629" s="226" t="s">
        <v>3866</v>
      </c>
      <c r="R629" s="227" t="s">
        <v>2493</v>
      </c>
      <c r="S629" s="225" t="s">
        <v>252</v>
      </c>
      <c r="T629" s="228">
        <v>13810431494</v>
      </c>
      <c r="U629" s="225" t="s">
        <v>3264</v>
      </c>
      <c r="V629" s="225" t="s">
        <v>3265</v>
      </c>
      <c r="W629" s="229"/>
      <c r="X629" s="230"/>
      <c r="Y629" s="238" t="s">
        <v>27</v>
      </c>
      <c r="Z629" s="238" t="s">
        <v>27</v>
      </c>
      <c r="AA629" s="238" t="s">
        <v>27</v>
      </c>
      <c r="AB629" s="45" t="s">
        <v>2887</v>
      </c>
      <c r="AC629" s="169"/>
    </row>
    <row r="630" spans="1:29" s="68" customFormat="1" ht="15" hidden="1" customHeight="1">
      <c r="A630" s="226" t="s">
        <v>203</v>
      </c>
      <c r="B630" s="226" t="s">
        <v>253</v>
      </c>
      <c r="C630" s="226" t="s">
        <v>27</v>
      </c>
      <c r="D630" s="226" t="s">
        <v>2893</v>
      </c>
      <c r="E630" s="226" t="s">
        <v>2008</v>
      </c>
      <c r="F630" s="226">
        <v>2794405</v>
      </c>
      <c r="G630" s="227" t="s">
        <v>4270</v>
      </c>
      <c r="H630" s="226" t="s">
        <v>20</v>
      </c>
      <c r="I630" s="227" t="s">
        <v>21</v>
      </c>
      <c r="J630" s="225" t="s">
        <v>204</v>
      </c>
      <c r="K630" s="225" t="s">
        <v>206</v>
      </c>
      <c r="L630" s="51" t="s">
        <v>211</v>
      </c>
      <c r="M630" s="226" t="s">
        <v>22</v>
      </c>
      <c r="N630" s="226" t="s">
        <v>27</v>
      </c>
      <c r="O630" s="226" t="s">
        <v>3639</v>
      </c>
      <c r="P630" s="226" t="s">
        <v>3238</v>
      </c>
      <c r="Q630" s="226" t="s">
        <v>3867</v>
      </c>
      <c r="R630" s="227" t="s">
        <v>2798</v>
      </c>
      <c r="S630" s="225" t="s">
        <v>2799</v>
      </c>
      <c r="T630" s="228">
        <v>13381264659</v>
      </c>
      <c r="U630" s="225" t="s">
        <v>1090</v>
      </c>
      <c r="V630" s="225" t="s">
        <v>2045</v>
      </c>
      <c r="W630" s="229"/>
      <c r="X630" s="230">
        <v>43214</v>
      </c>
      <c r="Y630" s="238" t="s">
        <v>27</v>
      </c>
      <c r="Z630" s="238" t="s">
        <v>27</v>
      </c>
      <c r="AA630" s="238" t="s">
        <v>27</v>
      </c>
      <c r="AB630" s="45" t="s">
        <v>2887</v>
      </c>
      <c r="AC630" s="169"/>
    </row>
    <row r="631" spans="1:29" s="68" customFormat="1" ht="15" hidden="1" customHeight="1">
      <c r="A631" s="226" t="s">
        <v>203</v>
      </c>
      <c r="B631" s="226" t="s">
        <v>255</v>
      </c>
      <c r="C631" s="226" t="s">
        <v>27</v>
      </c>
      <c r="D631" s="226" t="s">
        <v>4443</v>
      </c>
      <c r="E631" s="226" t="s">
        <v>2008</v>
      </c>
      <c r="F631" s="226">
        <v>2794343</v>
      </c>
      <c r="G631" s="227" t="s">
        <v>4271</v>
      </c>
      <c r="H631" s="226" t="s">
        <v>20</v>
      </c>
      <c r="I631" s="227" t="s">
        <v>21</v>
      </c>
      <c r="J631" s="225" t="s">
        <v>204</v>
      </c>
      <c r="K631" s="225" t="s">
        <v>1586</v>
      </c>
      <c r="L631" s="51" t="s">
        <v>211</v>
      </c>
      <c r="M631" s="226" t="s">
        <v>22</v>
      </c>
      <c r="N631" s="226" t="s">
        <v>27</v>
      </c>
      <c r="O631" s="226" t="s">
        <v>3639</v>
      </c>
      <c r="P631" s="226" t="s">
        <v>3215</v>
      </c>
      <c r="Q631" s="226" t="s">
        <v>2258</v>
      </c>
      <c r="R631" s="227" t="s">
        <v>2919</v>
      </c>
      <c r="S631" s="225" t="s">
        <v>2920</v>
      </c>
      <c r="T631" s="228">
        <v>15321726283</v>
      </c>
      <c r="U631" s="225" t="s">
        <v>3266</v>
      </c>
      <c r="V631" s="225" t="s">
        <v>3267</v>
      </c>
      <c r="W631" s="229"/>
      <c r="X631" s="230">
        <v>43217</v>
      </c>
      <c r="Y631" s="238" t="s">
        <v>27</v>
      </c>
      <c r="Z631" s="238" t="s">
        <v>27</v>
      </c>
      <c r="AA631" s="238" t="s">
        <v>27</v>
      </c>
      <c r="AB631" s="45" t="s">
        <v>2887</v>
      </c>
      <c r="AC631" s="169"/>
    </row>
    <row r="632" spans="1:29" s="68" customFormat="1" ht="15" hidden="1" customHeight="1">
      <c r="A632" s="226" t="s">
        <v>203</v>
      </c>
      <c r="B632" s="226" t="s">
        <v>256</v>
      </c>
      <c r="C632" s="226" t="s">
        <v>27</v>
      </c>
      <c r="D632" s="226" t="s">
        <v>2658</v>
      </c>
      <c r="E632" s="226" t="s">
        <v>2008</v>
      </c>
      <c r="F632" s="226">
        <v>2794264</v>
      </c>
      <c r="G632" s="227" t="s">
        <v>4259</v>
      </c>
      <c r="H632" s="226" t="s">
        <v>20</v>
      </c>
      <c r="I632" s="227" t="s">
        <v>21</v>
      </c>
      <c r="J632" s="225" t="s">
        <v>209</v>
      </c>
      <c r="K632" s="225" t="s">
        <v>26</v>
      </c>
      <c r="L632" s="51" t="s">
        <v>211</v>
      </c>
      <c r="M632" s="226" t="s">
        <v>22</v>
      </c>
      <c r="N632" s="226" t="s">
        <v>22</v>
      </c>
      <c r="O632" s="226" t="s">
        <v>3639</v>
      </c>
      <c r="P632" s="226" t="s">
        <v>3238</v>
      </c>
      <c r="Q632" s="226" t="s">
        <v>3868</v>
      </c>
      <c r="R632" s="227" t="s">
        <v>2494</v>
      </c>
      <c r="S632" s="225" t="s">
        <v>2495</v>
      </c>
      <c r="T632" s="228">
        <v>13811021052</v>
      </c>
      <c r="U632" s="225" t="s">
        <v>1603</v>
      </c>
      <c r="V632" s="225" t="s">
        <v>2047</v>
      </c>
      <c r="W632" s="229"/>
      <c r="X632" s="230"/>
      <c r="Y632" s="238" t="s">
        <v>27</v>
      </c>
      <c r="Z632" s="238" t="s">
        <v>27</v>
      </c>
      <c r="AA632" s="238" t="s">
        <v>27</v>
      </c>
      <c r="AB632" s="45" t="s">
        <v>2887</v>
      </c>
      <c r="AC632" s="169"/>
    </row>
    <row r="633" spans="1:29" s="68" customFormat="1" ht="15" hidden="1" customHeight="1">
      <c r="A633" s="226" t="s">
        <v>203</v>
      </c>
      <c r="B633" s="226" t="s">
        <v>257</v>
      </c>
      <c r="C633" s="226" t="s">
        <v>27</v>
      </c>
      <c r="D633" s="226" t="s">
        <v>2893</v>
      </c>
      <c r="E633" s="226" t="s">
        <v>2008</v>
      </c>
      <c r="F633" s="226">
        <v>2794281</v>
      </c>
      <c r="G633" s="227" t="s">
        <v>4272</v>
      </c>
      <c r="H633" s="226" t="s">
        <v>20</v>
      </c>
      <c r="I633" s="227" t="s">
        <v>60</v>
      </c>
      <c r="J633" s="225" t="s">
        <v>2501</v>
      </c>
      <c r="K633" s="225" t="s">
        <v>2649</v>
      </c>
      <c r="L633" s="51" t="s">
        <v>211</v>
      </c>
      <c r="M633" s="226" t="s">
        <v>22</v>
      </c>
      <c r="N633" s="226" t="s">
        <v>27</v>
      </c>
      <c r="O633" s="226" t="s">
        <v>3639</v>
      </c>
      <c r="P633" s="226" t="s">
        <v>3389</v>
      </c>
      <c r="Q633" s="226" t="s">
        <v>3869</v>
      </c>
      <c r="R633" s="227" t="s">
        <v>3661</v>
      </c>
      <c r="S633" s="225" t="s">
        <v>3662</v>
      </c>
      <c r="T633" s="228">
        <v>17310575392</v>
      </c>
      <c r="U633" s="225" t="s">
        <v>3268</v>
      </c>
      <c r="V633" s="225" t="s">
        <v>3269</v>
      </c>
      <c r="W633" s="229">
        <v>13810274748</v>
      </c>
      <c r="X633" s="230"/>
      <c r="Y633" s="238" t="s">
        <v>27</v>
      </c>
      <c r="Z633" s="238" t="s">
        <v>27</v>
      </c>
      <c r="AA633" s="238" t="s">
        <v>27</v>
      </c>
      <c r="AB633" s="45" t="s">
        <v>2887</v>
      </c>
      <c r="AC633" s="169"/>
    </row>
    <row r="634" spans="1:29" s="68" customFormat="1" ht="15" hidden="1" customHeight="1">
      <c r="A634" s="226" t="s">
        <v>203</v>
      </c>
      <c r="B634" s="226" t="s">
        <v>1467</v>
      </c>
      <c r="C634" s="226" t="s">
        <v>27</v>
      </c>
      <c r="D634" s="226" t="s">
        <v>4443</v>
      </c>
      <c r="E634" s="226" t="s">
        <v>2008</v>
      </c>
      <c r="F634" s="226">
        <v>2794270</v>
      </c>
      <c r="G634" s="227" t="s">
        <v>4273</v>
      </c>
      <c r="H634" s="226" t="s">
        <v>20</v>
      </c>
      <c r="I634" s="227" t="s">
        <v>21</v>
      </c>
      <c r="J634" s="225" t="s">
        <v>1587</v>
      </c>
      <c r="K634" s="225" t="s">
        <v>206</v>
      </c>
      <c r="L634" s="51" t="s">
        <v>211</v>
      </c>
      <c r="M634" s="226" t="s">
        <v>22</v>
      </c>
      <c r="N634" s="226" t="s">
        <v>22</v>
      </c>
      <c r="O634" s="226" t="s">
        <v>27</v>
      </c>
      <c r="P634" s="226" t="s">
        <v>3870</v>
      </c>
      <c r="Q634" s="226" t="s">
        <v>3871</v>
      </c>
      <c r="R634" s="227" t="s">
        <v>2496</v>
      </c>
      <c r="S634" s="225" t="s">
        <v>1589</v>
      </c>
      <c r="T634" s="228">
        <v>18900670335</v>
      </c>
      <c r="U634" s="225" t="s">
        <v>3270</v>
      </c>
      <c r="V634" s="225" t="s">
        <v>3271</v>
      </c>
      <c r="W634" s="229"/>
      <c r="X634" s="230"/>
      <c r="Y634" s="238" t="s">
        <v>27</v>
      </c>
      <c r="Z634" s="238" t="s">
        <v>27</v>
      </c>
      <c r="AA634" s="238" t="s">
        <v>27</v>
      </c>
      <c r="AB634" s="45" t="s">
        <v>2887</v>
      </c>
      <c r="AC634" s="169"/>
    </row>
    <row r="635" spans="1:29" s="68" customFormat="1" ht="15" hidden="1" customHeight="1">
      <c r="A635" s="226" t="s">
        <v>203</v>
      </c>
      <c r="B635" s="226" t="s">
        <v>1468</v>
      </c>
      <c r="C635" s="226" t="s">
        <v>22</v>
      </c>
      <c r="D635" s="226" t="s">
        <v>4443</v>
      </c>
      <c r="E635" s="226" t="s">
        <v>2008</v>
      </c>
      <c r="F635" s="226">
        <v>2794423</v>
      </c>
      <c r="G635" s="227" t="s">
        <v>4274</v>
      </c>
      <c r="H635" s="226" t="s">
        <v>20</v>
      </c>
      <c r="I635" s="227" t="s">
        <v>60</v>
      </c>
      <c r="J635" s="225" t="s">
        <v>2487</v>
      </c>
      <c r="K635" s="225" t="s">
        <v>2650</v>
      </c>
      <c r="L635" s="51" t="s">
        <v>211</v>
      </c>
      <c r="M635" s="226" t="s">
        <v>22</v>
      </c>
      <c r="N635" s="226" t="s">
        <v>27</v>
      </c>
      <c r="O635" s="226" t="s">
        <v>38</v>
      </c>
      <c r="P635" s="226" t="s">
        <v>3235</v>
      </c>
      <c r="Q635" s="226" t="s">
        <v>3872</v>
      </c>
      <c r="R635" s="227" t="s">
        <v>2497</v>
      </c>
      <c r="S635" s="225" t="s">
        <v>2033</v>
      </c>
      <c r="T635" s="228">
        <v>13810309107</v>
      </c>
      <c r="U635" s="225" t="s">
        <v>3272</v>
      </c>
      <c r="V635" s="225" t="s">
        <v>3273</v>
      </c>
      <c r="W635" s="229">
        <v>18010341439</v>
      </c>
      <c r="X635" s="230">
        <v>43334</v>
      </c>
      <c r="Y635" s="238" t="s">
        <v>27</v>
      </c>
      <c r="Z635" s="238" t="s">
        <v>27</v>
      </c>
      <c r="AA635" s="238" t="s">
        <v>27</v>
      </c>
      <c r="AB635" s="45" t="s">
        <v>2887</v>
      </c>
      <c r="AC635" s="169"/>
    </row>
    <row r="636" spans="1:29" s="68" customFormat="1" ht="15" hidden="1" customHeight="1">
      <c r="A636" s="226" t="s">
        <v>203</v>
      </c>
      <c r="B636" s="226" t="s">
        <v>258</v>
      </c>
      <c r="C636" s="226" t="s">
        <v>27</v>
      </c>
      <c r="D636" s="226" t="s">
        <v>4443</v>
      </c>
      <c r="E636" s="226" t="s">
        <v>2008</v>
      </c>
      <c r="F636" s="226">
        <v>2794218</v>
      </c>
      <c r="G636" s="227" t="s">
        <v>4275</v>
      </c>
      <c r="H636" s="226" t="s">
        <v>20</v>
      </c>
      <c r="I636" s="227" t="s">
        <v>60</v>
      </c>
      <c r="J636" s="225" t="s">
        <v>1588</v>
      </c>
      <c r="K636" s="225" t="s">
        <v>2364</v>
      </c>
      <c r="L636" s="51" t="s">
        <v>211</v>
      </c>
      <c r="M636" s="226" t="s">
        <v>22</v>
      </c>
      <c r="N636" s="226" t="s">
        <v>27</v>
      </c>
      <c r="O636" s="226" t="s">
        <v>3639</v>
      </c>
      <c r="P636" s="226" t="s">
        <v>3227</v>
      </c>
      <c r="Q636" s="226" t="s">
        <v>3873</v>
      </c>
      <c r="R636" s="227" t="s">
        <v>2498</v>
      </c>
      <c r="S636" s="225" t="s">
        <v>2160</v>
      </c>
      <c r="T636" s="228">
        <v>18910224067</v>
      </c>
      <c r="U636" s="225" t="s">
        <v>1077</v>
      </c>
      <c r="V636" s="225" t="s">
        <v>2048</v>
      </c>
      <c r="W636" s="229">
        <v>18611422157</v>
      </c>
      <c r="X636" s="230">
        <v>43190</v>
      </c>
      <c r="Y636" s="238" t="s">
        <v>27</v>
      </c>
      <c r="Z636" s="238" t="s">
        <v>27</v>
      </c>
      <c r="AA636" s="238" t="s">
        <v>27</v>
      </c>
      <c r="AB636" s="45" t="s">
        <v>2887</v>
      </c>
      <c r="AC636" s="169"/>
    </row>
    <row r="637" spans="1:29" s="68" customFormat="1" ht="15" hidden="1" customHeight="1">
      <c r="A637" s="226" t="s">
        <v>203</v>
      </c>
      <c r="B637" s="226" t="s">
        <v>260</v>
      </c>
      <c r="C637" s="226" t="s">
        <v>27</v>
      </c>
      <c r="D637" s="226" t="s">
        <v>2658</v>
      </c>
      <c r="E637" s="226" t="s">
        <v>2008</v>
      </c>
      <c r="F637" s="226">
        <v>2794297</v>
      </c>
      <c r="G637" s="227" t="s">
        <v>4276</v>
      </c>
      <c r="H637" s="226" t="s">
        <v>20</v>
      </c>
      <c r="I637" s="227" t="s">
        <v>21</v>
      </c>
      <c r="J637" s="225" t="s">
        <v>223</v>
      </c>
      <c r="K637" s="225" t="s">
        <v>33</v>
      </c>
      <c r="L637" s="51" t="s">
        <v>211</v>
      </c>
      <c r="M637" s="226" t="s">
        <v>22</v>
      </c>
      <c r="N637" s="226" t="s">
        <v>22</v>
      </c>
      <c r="O637" s="226" t="s">
        <v>3639</v>
      </c>
      <c r="P637" s="226" t="s">
        <v>3241</v>
      </c>
      <c r="Q637" s="226" t="s">
        <v>3874</v>
      </c>
      <c r="R637" s="227" t="s">
        <v>2499</v>
      </c>
      <c r="S637" s="225" t="s">
        <v>1590</v>
      </c>
      <c r="T637" s="228">
        <v>13121817832</v>
      </c>
      <c r="U637" s="225" t="s">
        <v>3274</v>
      </c>
      <c r="V637" s="225" t="s">
        <v>3275</v>
      </c>
      <c r="W637" s="229"/>
      <c r="X637" s="230"/>
      <c r="Y637" s="238" t="s">
        <v>27</v>
      </c>
      <c r="Z637" s="238" t="s">
        <v>27</v>
      </c>
      <c r="AA637" s="238" t="s">
        <v>27</v>
      </c>
      <c r="AB637" s="45" t="s">
        <v>2887</v>
      </c>
      <c r="AC637" s="169"/>
    </row>
    <row r="638" spans="1:29" s="68" customFormat="1" ht="15" hidden="1" customHeight="1">
      <c r="A638" s="226" t="s">
        <v>203</v>
      </c>
      <c r="B638" s="226" t="s">
        <v>262</v>
      </c>
      <c r="C638" s="226" t="s">
        <v>27</v>
      </c>
      <c r="D638" s="226" t="s">
        <v>2658</v>
      </c>
      <c r="E638" s="226" t="s">
        <v>2008</v>
      </c>
      <c r="F638" s="226">
        <v>2794395</v>
      </c>
      <c r="G638" s="227" t="s">
        <v>4277</v>
      </c>
      <c r="H638" s="226" t="s">
        <v>20</v>
      </c>
      <c r="I638" s="227" t="s">
        <v>21</v>
      </c>
      <c r="J638" s="225" t="s">
        <v>209</v>
      </c>
      <c r="K638" s="225" t="s">
        <v>26</v>
      </c>
      <c r="L638" s="51" t="s">
        <v>211</v>
      </c>
      <c r="M638" s="226" t="s">
        <v>22</v>
      </c>
      <c r="N638" s="226" t="s">
        <v>22</v>
      </c>
      <c r="O638" s="226" t="s">
        <v>3639</v>
      </c>
      <c r="P638" s="226" t="s">
        <v>3215</v>
      </c>
      <c r="Q638" s="226" t="s">
        <v>3875</v>
      </c>
      <c r="R638" s="227" t="s">
        <v>3089</v>
      </c>
      <c r="S638" s="225" t="s">
        <v>3090</v>
      </c>
      <c r="T638" s="228">
        <v>13810673179</v>
      </c>
      <c r="U638" s="225" t="s">
        <v>1604</v>
      </c>
      <c r="V638" s="225" t="s">
        <v>2049</v>
      </c>
      <c r="W638" s="229"/>
      <c r="X638" s="230">
        <v>43217</v>
      </c>
      <c r="Y638" s="238" t="s">
        <v>27</v>
      </c>
      <c r="Z638" s="238" t="s">
        <v>27</v>
      </c>
      <c r="AA638" s="238" t="s">
        <v>27</v>
      </c>
      <c r="AB638" s="45" t="s">
        <v>2887</v>
      </c>
      <c r="AC638" s="169"/>
    </row>
    <row r="639" spans="1:29" s="68" customFormat="1" ht="15" hidden="1" customHeight="1">
      <c r="A639" s="226" t="s">
        <v>203</v>
      </c>
      <c r="B639" s="226" t="s">
        <v>263</v>
      </c>
      <c r="C639" s="226" t="s">
        <v>22</v>
      </c>
      <c r="D639" s="226" t="s">
        <v>4443</v>
      </c>
      <c r="E639" s="226" t="s">
        <v>2008</v>
      </c>
      <c r="F639" s="226">
        <v>2794284</v>
      </c>
      <c r="G639" s="227" t="s">
        <v>4457</v>
      </c>
      <c r="H639" s="226" t="s">
        <v>20</v>
      </c>
      <c r="I639" s="227" t="s">
        <v>60</v>
      </c>
      <c r="J639" s="225" t="s">
        <v>2501</v>
      </c>
      <c r="K639" s="225" t="s">
        <v>2649</v>
      </c>
      <c r="L639" s="51" t="s">
        <v>211</v>
      </c>
      <c r="M639" s="226" t="s">
        <v>22</v>
      </c>
      <c r="N639" s="226" t="s">
        <v>27</v>
      </c>
      <c r="O639" s="226" t="s">
        <v>38</v>
      </c>
      <c r="P639" s="226" t="s">
        <v>3276</v>
      </c>
      <c r="Q639" s="226" t="s">
        <v>3876</v>
      </c>
      <c r="R639" s="227" t="s">
        <v>2500</v>
      </c>
      <c r="S639" s="225" t="s">
        <v>2161</v>
      </c>
      <c r="T639" s="228">
        <v>18911034659</v>
      </c>
      <c r="U639" s="225" t="s">
        <v>3277</v>
      </c>
      <c r="V639" s="225" t="s">
        <v>3278</v>
      </c>
      <c r="W639" s="229">
        <v>13810278704</v>
      </c>
      <c r="X639" s="230">
        <v>43334</v>
      </c>
      <c r="Y639" s="238" t="s">
        <v>27</v>
      </c>
      <c r="Z639" s="238" t="s">
        <v>27</v>
      </c>
      <c r="AA639" s="238" t="s">
        <v>27</v>
      </c>
      <c r="AB639" s="45" t="s">
        <v>2887</v>
      </c>
      <c r="AC639" s="169"/>
    </row>
    <row r="640" spans="1:29" s="68" customFormat="1" ht="15" hidden="1" customHeight="1">
      <c r="A640" s="226" t="s">
        <v>203</v>
      </c>
      <c r="B640" s="226" t="s">
        <v>265</v>
      </c>
      <c r="C640" s="226" t="s">
        <v>27</v>
      </c>
      <c r="D640" s="226" t="s">
        <v>2893</v>
      </c>
      <c r="E640" s="226" t="s">
        <v>2008</v>
      </c>
      <c r="F640" s="226">
        <v>2511031</v>
      </c>
      <c r="G640" s="227" t="s">
        <v>4279</v>
      </c>
      <c r="H640" s="226" t="s">
        <v>20</v>
      </c>
      <c r="I640" s="227" t="s">
        <v>60</v>
      </c>
      <c r="J640" s="225" t="s">
        <v>2487</v>
      </c>
      <c r="K640" s="225" t="s">
        <v>2650</v>
      </c>
      <c r="L640" s="51" t="s">
        <v>211</v>
      </c>
      <c r="M640" s="226" t="s">
        <v>22</v>
      </c>
      <c r="N640" s="226" t="s">
        <v>27</v>
      </c>
      <c r="O640" s="226" t="s">
        <v>3639</v>
      </c>
      <c r="P640" s="226" t="s">
        <v>3204</v>
      </c>
      <c r="Q640" s="226" t="s">
        <v>3877</v>
      </c>
      <c r="R640" s="227" t="s">
        <v>2502</v>
      </c>
      <c r="S640" s="225" t="s">
        <v>2503</v>
      </c>
      <c r="T640" s="228">
        <v>13910624014</v>
      </c>
      <c r="U640" s="225" t="s">
        <v>3279</v>
      </c>
      <c r="V640" s="225" t="s">
        <v>3280</v>
      </c>
      <c r="W640" s="229">
        <v>13381264126</v>
      </c>
      <c r="X640" s="230">
        <v>43200</v>
      </c>
      <c r="Y640" s="238" t="s">
        <v>27</v>
      </c>
      <c r="Z640" s="238" t="s">
        <v>27</v>
      </c>
      <c r="AA640" s="238" t="s">
        <v>27</v>
      </c>
      <c r="AB640" s="45" t="s">
        <v>2887</v>
      </c>
      <c r="AC640" s="169"/>
    </row>
    <row r="641" spans="1:29" s="68" customFormat="1" ht="15" hidden="1" customHeight="1">
      <c r="A641" s="226" t="s">
        <v>203</v>
      </c>
      <c r="B641" s="226" t="s">
        <v>266</v>
      </c>
      <c r="C641" s="226" t="s">
        <v>27</v>
      </c>
      <c r="D641" s="226" t="s">
        <v>4444</v>
      </c>
      <c r="E641" s="226" t="s">
        <v>2008</v>
      </c>
      <c r="F641" s="226">
        <v>2794217</v>
      </c>
      <c r="G641" s="227" t="s">
        <v>4276</v>
      </c>
      <c r="H641" s="226" t="s">
        <v>20</v>
      </c>
      <c r="I641" s="227" t="s">
        <v>21</v>
      </c>
      <c r="J641" s="225" t="s">
        <v>209</v>
      </c>
      <c r="K641" s="225" t="s">
        <v>26</v>
      </c>
      <c r="L641" s="51" t="s">
        <v>211</v>
      </c>
      <c r="M641" s="226" t="s">
        <v>22</v>
      </c>
      <c r="N641" s="226" t="s">
        <v>22</v>
      </c>
      <c r="O641" s="226" t="s">
        <v>3639</v>
      </c>
      <c r="P641" s="226" t="s">
        <v>3205</v>
      </c>
      <c r="Q641" s="226" t="s">
        <v>3878</v>
      </c>
      <c r="R641" s="227" t="s">
        <v>2800</v>
      </c>
      <c r="S641" s="225" t="s">
        <v>2801</v>
      </c>
      <c r="T641" s="228">
        <v>13810746302</v>
      </c>
      <c r="U641" s="225" t="s">
        <v>3281</v>
      </c>
      <c r="V641" s="225" t="s">
        <v>3282</v>
      </c>
      <c r="W641" s="229"/>
      <c r="X641" s="230">
        <v>43252</v>
      </c>
      <c r="Y641" s="238" t="s">
        <v>27</v>
      </c>
      <c r="Z641" s="238" t="s">
        <v>27</v>
      </c>
      <c r="AA641" s="238" t="s">
        <v>27</v>
      </c>
      <c r="AB641" s="45" t="s">
        <v>2887</v>
      </c>
      <c r="AC641" s="169"/>
    </row>
    <row r="642" spans="1:29" s="68" customFormat="1" ht="15" hidden="1" customHeight="1">
      <c r="A642" s="226" t="s">
        <v>203</v>
      </c>
      <c r="B642" s="226" t="s">
        <v>267</v>
      </c>
      <c r="C642" s="226" t="s">
        <v>27</v>
      </c>
      <c r="D642" s="226" t="s">
        <v>4443</v>
      </c>
      <c r="E642" s="226" t="s">
        <v>2008</v>
      </c>
      <c r="F642" s="226">
        <v>2794274</v>
      </c>
      <c r="G642" s="227" t="s">
        <v>4280</v>
      </c>
      <c r="H642" s="226" t="s">
        <v>20</v>
      </c>
      <c r="I642" s="227" t="s">
        <v>60</v>
      </c>
      <c r="J642" s="225" t="s">
        <v>3696</v>
      </c>
      <c r="K642" s="225" t="s">
        <v>3663</v>
      </c>
      <c r="L642" s="51" t="s">
        <v>211</v>
      </c>
      <c r="M642" s="226" t="s">
        <v>22</v>
      </c>
      <c r="N642" s="226" t="s">
        <v>22</v>
      </c>
      <c r="O642" s="226" t="s">
        <v>3639</v>
      </c>
      <c r="P642" s="226" t="s">
        <v>3227</v>
      </c>
      <c r="Q642" s="226" t="s">
        <v>3879</v>
      </c>
      <c r="R642" s="227" t="s">
        <v>2905</v>
      </c>
      <c r="S642" s="225" t="s">
        <v>2906</v>
      </c>
      <c r="T642" s="228">
        <v>18618442550</v>
      </c>
      <c r="U642" s="225" t="s">
        <v>1098</v>
      </c>
      <c r="V642" s="225" t="s">
        <v>2051</v>
      </c>
      <c r="W642" s="229">
        <v>13051113736</v>
      </c>
      <c r="X642" s="230">
        <v>43334</v>
      </c>
      <c r="Y642" s="238" t="s">
        <v>27</v>
      </c>
      <c r="Z642" s="238" t="s">
        <v>27</v>
      </c>
      <c r="AA642" s="238" t="s">
        <v>27</v>
      </c>
      <c r="AB642" s="45" t="s">
        <v>2887</v>
      </c>
      <c r="AC642" s="169"/>
    </row>
    <row r="643" spans="1:29" s="68" customFormat="1" ht="15" hidden="1" customHeight="1">
      <c r="A643" s="226" t="s">
        <v>203</v>
      </c>
      <c r="B643" s="226" t="s">
        <v>2030</v>
      </c>
      <c r="C643" s="226" t="s">
        <v>22</v>
      </c>
      <c r="D643" s="226" t="s">
        <v>4443</v>
      </c>
      <c r="E643" s="226" t="s">
        <v>2008</v>
      </c>
      <c r="F643" s="226">
        <v>2794252</v>
      </c>
      <c r="G643" s="227" t="s">
        <v>4280</v>
      </c>
      <c r="H643" s="226" t="s">
        <v>20</v>
      </c>
      <c r="I643" s="227" t="s">
        <v>60</v>
      </c>
      <c r="J643" s="225" t="s">
        <v>2501</v>
      </c>
      <c r="K643" s="225" t="s">
        <v>2649</v>
      </c>
      <c r="L643" s="51" t="s">
        <v>211</v>
      </c>
      <c r="M643" s="226" t="s">
        <v>22</v>
      </c>
      <c r="N643" s="226" t="s">
        <v>27</v>
      </c>
      <c r="O643" s="226" t="s">
        <v>38</v>
      </c>
      <c r="P643" s="226" t="s">
        <v>3224</v>
      </c>
      <c r="Q643" s="226" t="s">
        <v>3880</v>
      </c>
      <c r="R643" s="227" t="s">
        <v>2504</v>
      </c>
      <c r="S643" s="225" t="s">
        <v>1591</v>
      </c>
      <c r="T643" s="228">
        <v>17310163142</v>
      </c>
      <c r="U643" s="225" t="s">
        <v>1606</v>
      </c>
      <c r="V643" s="225" t="s">
        <v>2052</v>
      </c>
      <c r="W643" s="229">
        <v>13810021134</v>
      </c>
      <c r="X643" s="230">
        <v>43334</v>
      </c>
      <c r="Y643" s="238" t="s">
        <v>27</v>
      </c>
      <c r="Z643" s="238" t="s">
        <v>27</v>
      </c>
      <c r="AA643" s="238" t="s">
        <v>27</v>
      </c>
      <c r="AB643" s="45" t="s">
        <v>2887</v>
      </c>
      <c r="AC643" s="169"/>
    </row>
    <row r="644" spans="1:29" s="68" customFormat="1" ht="15" hidden="1" customHeight="1">
      <c r="A644" s="226" t="s">
        <v>203</v>
      </c>
      <c r="B644" s="226" t="s">
        <v>1469</v>
      </c>
      <c r="C644" s="226" t="s">
        <v>27</v>
      </c>
      <c r="D644" s="226" t="s">
        <v>4443</v>
      </c>
      <c r="E644" s="226" t="s">
        <v>2008</v>
      </c>
      <c r="F644" s="226">
        <v>2794280</v>
      </c>
      <c r="G644" s="227" t="s">
        <v>4281</v>
      </c>
      <c r="H644" s="226" t="s">
        <v>20</v>
      </c>
      <c r="I644" s="227" t="s">
        <v>60</v>
      </c>
      <c r="J644" s="225" t="s">
        <v>2486</v>
      </c>
      <c r="K644" s="225" t="s">
        <v>4264</v>
      </c>
      <c r="L644" s="51" t="s">
        <v>211</v>
      </c>
      <c r="M644" s="226" t="s">
        <v>22</v>
      </c>
      <c r="N644" s="226" t="s">
        <v>22</v>
      </c>
      <c r="O644" s="226" t="s">
        <v>3639</v>
      </c>
      <c r="P644" s="226" t="s">
        <v>3208</v>
      </c>
      <c r="Q644" s="226" t="s">
        <v>3881</v>
      </c>
      <c r="R644" s="227" t="s">
        <v>2589</v>
      </c>
      <c r="S644" s="225" t="s">
        <v>1086</v>
      </c>
      <c r="T644" s="228">
        <v>13810023914</v>
      </c>
      <c r="U644" s="225" t="s">
        <v>1607</v>
      </c>
      <c r="V644" s="225" t="s">
        <v>2053</v>
      </c>
      <c r="W644" s="229">
        <v>13146394285</v>
      </c>
      <c r="X644" s="230">
        <v>43252</v>
      </c>
      <c r="Y644" s="238" t="s">
        <v>27</v>
      </c>
      <c r="Z644" s="238" t="s">
        <v>27</v>
      </c>
      <c r="AA644" s="238" t="s">
        <v>27</v>
      </c>
      <c r="AB644" s="45" t="s">
        <v>2887</v>
      </c>
      <c r="AC644" s="169"/>
    </row>
    <row r="645" spans="1:29" s="68" customFormat="1" ht="15" hidden="1" customHeight="1">
      <c r="A645" s="226" t="s">
        <v>203</v>
      </c>
      <c r="B645" s="226" t="s">
        <v>268</v>
      </c>
      <c r="C645" s="226" t="s">
        <v>22</v>
      </c>
      <c r="D645" s="226" t="s">
        <v>4443</v>
      </c>
      <c r="E645" s="226" t="s">
        <v>2008</v>
      </c>
      <c r="F645" s="226">
        <v>2794385</v>
      </c>
      <c r="G645" s="227" t="s">
        <v>4282</v>
      </c>
      <c r="H645" s="226" t="s">
        <v>20</v>
      </c>
      <c r="I645" s="227" t="s">
        <v>60</v>
      </c>
      <c r="J645" s="225" t="s">
        <v>2501</v>
      </c>
      <c r="K645" s="225" t="s">
        <v>2649</v>
      </c>
      <c r="L645" s="51" t="s">
        <v>211</v>
      </c>
      <c r="M645" s="226" t="s">
        <v>22</v>
      </c>
      <c r="N645" s="226" t="s">
        <v>27</v>
      </c>
      <c r="O645" s="226" t="s">
        <v>38</v>
      </c>
      <c r="P645" s="226" t="s">
        <v>3218</v>
      </c>
      <c r="Q645" s="226" t="s">
        <v>3882</v>
      </c>
      <c r="R645" s="227" t="s">
        <v>2505</v>
      </c>
      <c r="S645" s="225" t="s">
        <v>2506</v>
      </c>
      <c r="T645" s="228">
        <v>18911124236</v>
      </c>
      <c r="U645" s="225" t="s">
        <v>3283</v>
      </c>
      <c r="V645" s="225" t="s">
        <v>3284</v>
      </c>
      <c r="W645" s="229">
        <v>13810018964</v>
      </c>
      <c r="X645" s="230">
        <v>43334</v>
      </c>
      <c r="Y645" s="238" t="s">
        <v>27</v>
      </c>
      <c r="Z645" s="238" t="s">
        <v>27</v>
      </c>
      <c r="AA645" s="238" t="s">
        <v>27</v>
      </c>
      <c r="AB645" s="45" t="s">
        <v>2887</v>
      </c>
      <c r="AC645" s="169"/>
    </row>
    <row r="646" spans="1:29" s="68" customFormat="1" ht="15" hidden="1" customHeight="1">
      <c r="A646" s="226" t="s">
        <v>203</v>
      </c>
      <c r="B646" s="226" t="s">
        <v>269</v>
      </c>
      <c r="C646" s="226" t="s">
        <v>27</v>
      </c>
      <c r="D646" s="226" t="s">
        <v>2658</v>
      </c>
      <c r="E646" s="226" t="s">
        <v>2008</v>
      </c>
      <c r="F646" s="226">
        <v>2794242</v>
      </c>
      <c r="G646" s="227" t="s">
        <v>4283</v>
      </c>
      <c r="H646" s="226" t="s">
        <v>20</v>
      </c>
      <c r="I646" s="227" t="s">
        <v>21</v>
      </c>
      <c r="J646" s="225" t="s">
        <v>223</v>
      </c>
      <c r="K646" s="225" t="s">
        <v>337</v>
      </c>
      <c r="L646" s="51" t="s">
        <v>211</v>
      </c>
      <c r="M646" s="226" t="s">
        <v>22</v>
      </c>
      <c r="N646" s="226" t="s">
        <v>22</v>
      </c>
      <c r="O646" s="226" t="s">
        <v>3639</v>
      </c>
      <c r="P646" s="226" t="s">
        <v>3241</v>
      </c>
      <c r="Q646" s="226" t="s">
        <v>3883</v>
      </c>
      <c r="R646" s="227" t="s">
        <v>3091</v>
      </c>
      <c r="S646" s="225" t="s">
        <v>3092</v>
      </c>
      <c r="T646" s="228">
        <v>18611413035</v>
      </c>
      <c r="U646" s="225" t="s">
        <v>3285</v>
      </c>
      <c r="V646" s="225" t="s">
        <v>3286</v>
      </c>
      <c r="W646" s="229"/>
      <c r="X646" s="230">
        <v>43217</v>
      </c>
      <c r="Y646" s="238" t="s">
        <v>27</v>
      </c>
      <c r="Z646" s="238" t="s">
        <v>27</v>
      </c>
      <c r="AA646" s="238" t="s">
        <v>27</v>
      </c>
      <c r="AB646" s="45" t="s">
        <v>2887</v>
      </c>
      <c r="AC646" s="169"/>
    </row>
    <row r="647" spans="1:29" s="68" customFormat="1" ht="15" hidden="1" customHeight="1">
      <c r="A647" s="226" t="s">
        <v>203</v>
      </c>
      <c r="B647" s="226" t="s">
        <v>2031</v>
      </c>
      <c r="C647" s="226" t="s">
        <v>27</v>
      </c>
      <c r="D647" s="226" t="s">
        <v>2893</v>
      </c>
      <c r="E647" s="226" t="s">
        <v>2008</v>
      </c>
      <c r="F647" s="226">
        <v>2794313</v>
      </c>
      <c r="G647" s="227" t="s">
        <v>4283</v>
      </c>
      <c r="H647" s="226" t="s">
        <v>20</v>
      </c>
      <c r="I647" s="227" t="s">
        <v>60</v>
      </c>
      <c r="J647" s="225" t="s">
        <v>2485</v>
      </c>
      <c r="K647" s="225" t="s">
        <v>2429</v>
      </c>
      <c r="L647" s="51" t="s">
        <v>211</v>
      </c>
      <c r="M647" s="226" t="s">
        <v>22</v>
      </c>
      <c r="N647" s="226" t="s">
        <v>22</v>
      </c>
      <c r="O647" s="226" t="s">
        <v>3639</v>
      </c>
      <c r="P647" s="226" t="s">
        <v>3212</v>
      </c>
      <c r="Q647" s="226" t="s">
        <v>3884</v>
      </c>
      <c r="R647" s="227" t="s">
        <v>3008</v>
      </c>
      <c r="S647" s="225" t="s">
        <v>3009</v>
      </c>
      <c r="T647" s="228">
        <v>13021026457</v>
      </c>
      <c r="U647" s="225" t="s">
        <v>3287</v>
      </c>
      <c r="V647" s="225" t="s">
        <v>3288</v>
      </c>
      <c r="W647" s="229">
        <v>13810065574</v>
      </c>
      <c r="X647" s="230">
        <v>43216</v>
      </c>
      <c r="Y647" s="238" t="s">
        <v>27</v>
      </c>
      <c r="Z647" s="238" t="s">
        <v>27</v>
      </c>
      <c r="AA647" s="238" t="s">
        <v>27</v>
      </c>
      <c r="AB647" s="45" t="s">
        <v>2887</v>
      </c>
      <c r="AC647" s="169"/>
    </row>
    <row r="648" spans="1:29" s="68" customFormat="1" ht="15" hidden="1" customHeight="1">
      <c r="A648" s="226" t="s">
        <v>203</v>
      </c>
      <c r="B648" s="226" t="s">
        <v>2032</v>
      </c>
      <c r="C648" s="226" t="s">
        <v>22</v>
      </c>
      <c r="D648" s="226" t="s">
        <v>4443</v>
      </c>
      <c r="E648" s="226" t="s">
        <v>2008</v>
      </c>
      <c r="F648" s="226">
        <v>2794243</v>
      </c>
      <c r="G648" s="227" t="s">
        <v>4284</v>
      </c>
      <c r="H648" s="226" t="s">
        <v>20</v>
      </c>
      <c r="I648" s="227" t="s">
        <v>60</v>
      </c>
      <c r="J648" s="225" t="s">
        <v>2487</v>
      </c>
      <c r="K648" s="225" t="s">
        <v>2650</v>
      </c>
      <c r="L648" s="51" t="s">
        <v>211</v>
      </c>
      <c r="M648" s="226" t="s">
        <v>22</v>
      </c>
      <c r="N648" s="226" t="s">
        <v>27</v>
      </c>
      <c r="O648" s="226" t="s">
        <v>38</v>
      </c>
      <c r="P648" s="226" t="s">
        <v>3235</v>
      </c>
      <c r="Q648" s="226" t="s">
        <v>3885</v>
      </c>
      <c r="R648" s="227" t="s">
        <v>2802</v>
      </c>
      <c r="S648" s="225" t="s">
        <v>2803</v>
      </c>
      <c r="T648" s="228">
        <v>13810069147</v>
      </c>
      <c r="U648" s="225" t="s">
        <v>3289</v>
      </c>
      <c r="V648" s="225" t="s">
        <v>3290</v>
      </c>
      <c r="W648" s="229">
        <v>18911175674</v>
      </c>
      <c r="X648" s="230">
        <v>43334</v>
      </c>
      <c r="Y648" s="238" t="s">
        <v>27</v>
      </c>
      <c r="Z648" s="238" t="s">
        <v>27</v>
      </c>
      <c r="AA648" s="238" t="s">
        <v>27</v>
      </c>
      <c r="AB648" s="45" t="s">
        <v>2887</v>
      </c>
      <c r="AC648" s="169"/>
    </row>
    <row r="649" spans="1:29" s="68" customFormat="1" ht="15" hidden="1" customHeight="1">
      <c r="A649" s="226" t="s">
        <v>203</v>
      </c>
      <c r="B649" s="226" t="s">
        <v>271</v>
      </c>
      <c r="C649" s="226" t="s">
        <v>22</v>
      </c>
      <c r="D649" s="226" t="s">
        <v>4443</v>
      </c>
      <c r="E649" s="226" t="s">
        <v>2008</v>
      </c>
      <c r="F649" s="226">
        <v>2794410</v>
      </c>
      <c r="G649" s="227" t="s">
        <v>4279</v>
      </c>
      <c r="H649" s="226" t="s">
        <v>20</v>
      </c>
      <c r="I649" s="227" t="s">
        <v>60</v>
      </c>
      <c r="J649" s="225" t="s">
        <v>2487</v>
      </c>
      <c r="K649" s="225" t="s">
        <v>2650</v>
      </c>
      <c r="L649" s="51" t="s">
        <v>211</v>
      </c>
      <c r="M649" s="226" t="s">
        <v>22</v>
      </c>
      <c r="N649" s="226" t="s">
        <v>27</v>
      </c>
      <c r="O649" s="226" t="s">
        <v>38</v>
      </c>
      <c r="P649" s="226" t="s">
        <v>3235</v>
      </c>
      <c r="Q649" s="226" t="s">
        <v>3886</v>
      </c>
      <c r="R649" s="227" t="s">
        <v>2907</v>
      </c>
      <c r="S649" s="225" t="s">
        <v>2908</v>
      </c>
      <c r="T649" s="228">
        <v>13810713965</v>
      </c>
      <c r="U649" s="225" t="s">
        <v>1608</v>
      </c>
      <c r="V649" s="225" t="s">
        <v>2055</v>
      </c>
      <c r="W649" s="229">
        <v>18911034613</v>
      </c>
      <c r="X649" s="230">
        <v>43334</v>
      </c>
      <c r="Y649" s="238" t="s">
        <v>27</v>
      </c>
      <c r="Z649" s="238" t="s">
        <v>27</v>
      </c>
      <c r="AA649" s="238" t="s">
        <v>27</v>
      </c>
      <c r="AB649" s="45" t="s">
        <v>2887</v>
      </c>
      <c r="AC649" s="169"/>
    </row>
    <row r="650" spans="1:29" s="68" customFormat="1" ht="15" hidden="1" customHeight="1">
      <c r="A650" s="226" t="s">
        <v>203</v>
      </c>
      <c r="B650" s="226" t="s">
        <v>272</v>
      </c>
      <c r="C650" s="226" t="s">
        <v>27</v>
      </c>
      <c r="D650" s="226" t="s">
        <v>4444</v>
      </c>
      <c r="E650" s="226" t="s">
        <v>2008</v>
      </c>
      <c r="F650" s="226">
        <v>2510413</v>
      </c>
      <c r="G650" s="227" t="s">
        <v>4285</v>
      </c>
      <c r="H650" s="226" t="s">
        <v>20</v>
      </c>
      <c r="I650" s="227" t="s">
        <v>21</v>
      </c>
      <c r="J650" s="225" t="s">
        <v>209</v>
      </c>
      <c r="K650" s="225" t="s">
        <v>26</v>
      </c>
      <c r="L650" s="51" t="s">
        <v>211</v>
      </c>
      <c r="M650" s="226" t="s">
        <v>22</v>
      </c>
      <c r="N650" s="226" t="s">
        <v>22</v>
      </c>
      <c r="O650" s="226" t="s">
        <v>3639</v>
      </c>
      <c r="P650" s="226" t="s">
        <v>3205</v>
      </c>
      <c r="Q650" s="226" t="s">
        <v>3887</v>
      </c>
      <c r="R650" s="227" t="s">
        <v>2804</v>
      </c>
      <c r="S650" s="225" t="s">
        <v>2805</v>
      </c>
      <c r="T650" s="228">
        <v>13810278443</v>
      </c>
      <c r="U650" s="225" t="s">
        <v>3291</v>
      </c>
      <c r="V650" s="225" t="s">
        <v>3292</v>
      </c>
      <c r="W650" s="229"/>
      <c r="X650" s="230">
        <v>43213</v>
      </c>
      <c r="Y650" s="238" t="s">
        <v>27</v>
      </c>
      <c r="Z650" s="238" t="s">
        <v>27</v>
      </c>
      <c r="AA650" s="238" t="s">
        <v>27</v>
      </c>
      <c r="AB650" s="45" t="s">
        <v>2887</v>
      </c>
      <c r="AC650" s="169"/>
    </row>
    <row r="651" spans="1:29" s="68" customFormat="1" ht="15" hidden="1" customHeight="1">
      <c r="A651" s="226" t="s">
        <v>203</v>
      </c>
      <c r="B651" s="226" t="s">
        <v>273</v>
      </c>
      <c r="C651" s="226" t="s">
        <v>27</v>
      </c>
      <c r="D651" s="226" t="s">
        <v>2893</v>
      </c>
      <c r="E651" s="226" t="s">
        <v>2008</v>
      </c>
      <c r="F651" s="226">
        <v>2510493</v>
      </c>
      <c r="G651" s="227" t="s">
        <v>4286</v>
      </c>
      <c r="H651" s="226" t="s">
        <v>20</v>
      </c>
      <c r="I651" s="227" t="s">
        <v>60</v>
      </c>
      <c r="J651" s="225" t="s">
        <v>2501</v>
      </c>
      <c r="K651" s="225" t="s">
        <v>2649</v>
      </c>
      <c r="L651" s="51" t="s">
        <v>211</v>
      </c>
      <c r="M651" s="226" t="s">
        <v>22</v>
      </c>
      <c r="N651" s="226" t="s">
        <v>27</v>
      </c>
      <c r="O651" s="226" t="s">
        <v>3639</v>
      </c>
      <c r="P651" s="226" t="s">
        <v>3212</v>
      </c>
      <c r="Q651" s="226" t="s">
        <v>3888</v>
      </c>
      <c r="R651" s="227" t="s">
        <v>2806</v>
      </c>
      <c r="S651" s="225" t="s">
        <v>2807</v>
      </c>
      <c r="T651" s="228">
        <v>18911124221</v>
      </c>
      <c r="U651" s="225" t="s">
        <v>1097</v>
      </c>
      <c r="V651" s="225" t="s">
        <v>2056</v>
      </c>
      <c r="W651" s="229">
        <v>13810017734</v>
      </c>
      <c r="X651" s="230"/>
      <c r="Y651" s="238" t="s">
        <v>27</v>
      </c>
      <c r="Z651" s="238" t="s">
        <v>27</v>
      </c>
      <c r="AA651" s="238" t="s">
        <v>27</v>
      </c>
      <c r="AB651" s="45" t="s">
        <v>2887</v>
      </c>
      <c r="AC651" s="169"/>
    </row>
    <row r="652" spans="1:29" s="68" customFormat="1" ht="15" hidden="1" customHeight="1">
      <c r="A652" s="226" t="s">
        <v>203</v>
      </c>
      <c r="B652" s="226" t="s">
        <v>274</v>
      </c>
      <c r="C652" s="226" t="s">
        <v>27</v>
      </c>
      <c r="D652" s="226" t="s">
        <v>2893</v>
      </c>
      <c r="E652" s="226" t="s">
        <v>2008</v>
      </c>
      <c r="F652" s="226">
        <v>2794325</v>
      </c>
      <c r="G652" s="227" t="s">
        <v>4284</v>
      </c>
      <c r="H652" s="226" t="s">
        <v>20</v>
      </c>
      <c r="I652" s="227" t="s">
        <v>60</v>
      </c>
      <c r="J652" s="225" t="s">
        <v>2486</v>
      </c>
      <c r="K652" s="225" t="s">
        <v>2651</v>
      </c>
      <c r="L652" s="51" t="s">
        <v>211</v>
      </c>
      <c r="M652" s="226" t="s">
        <v>22</v>
      </c>
      <c r="N652" s="226" t="s">
        <v>22</v>
      </c>
      <c r="O652" s="226" t="s">
        <v>3639</v>
      </c>
      <c r="P652" s="226" t="s">
        <v>3204</v>
      </c>
      <c r="Q652" s="226" t="s">
        <v>3889</v>
      </c>
      <c r="R652" s="227" t="s">
        <v>3010</v>
      </c>
      <c r="S652" s="225" t="s">
        <v>3011</v>
      </c>
      <c r="T652" s="228">
        <v>13810012943</v>
      </c>
      <c r="U652" s="225" t="s">
        <v>3293</v>
      </c>
      <c r="V652" s="225" t="s">
        <v>3294</v>
      </c>
      <c r="W652" s="229">
        <v>18610416471</v>
      </c>
      <c r="X652" s="230">
        <v>43334</v>
      </c>
      <c r="Y652" s="238" t="s">
        <v>27</v>
      </c>
      <c r="Z652" s="238" t="s">
        <v>27</v>
      </c>
      <c r="AA652" s="238" t="s">
        <v>27</v>
      </c>
      <c r="AB652" s="45" t="s">
        <v>2887</v>
      </c>
      <c r="AC652" s="169"/>
    </row>
    <row r="653" spans="1:29" s="68" customFormat="1" ht="15" hidden="1" customHeight="1">
      <c r="A653" s="226" t="s">
        <v>203</v>
      </c>
      <c r="B653" s="226" t="s">
        <v>275</v>
      </c>
      <c r="C653" s="226" t="s">
        <v>27</v>
      </c>
      <c r="D653" s="226" t="s">
        <v>2658</v>
      </c>
      <c r="E653" s="226" t="s">
        <v>2008</v>
      </c>
      <c r="F653" s="226">
        <v>2794222</v>
      </c>
      <c r="G653" s="227" t="s">
        <v>4287</v>
      </c>
      <c r="H653" s="226" t="s">
        <v>20</v>
      </c>
      <c r="I653" s="227" t="s">
        <v>60</v>
      </c>
      <c r="J653" s="225" t="s">
        <v>2501</v>
      </c>
      <c r="K653" s="225" t="s">
        <v>2649</v>
      </c>
      <c r="L653" s="51" t="s">
        <v>211</v>
      </c>
      <c r="M653" s="226" t="s">
        <v>27</v>
      </c>
      <c r="N653" s="226" t="s">
        <v>27</v>
      </c>
      <c r="O653" s="226" t="s">
        <v>22</v>
      </c>
      <c r="P653" s="226" t="e">
        <v>#N/A</v>
      </c>
      <c r="Q653" s="226"/>
      <c r="R653" s="227" t="s">
        <v>3093</v>
      </c>
      <c r="S653" s="225" t="s">
        <v>3094</v>
      </c>
      <c r="T653" s="228">
        <v>18911175040</v>
      </c>
      <c r="U653" s="225" t="s">
        <v>1118</v>
      </c>
      <c r="V653" s="225" t="s">
        <v>2111</v>
      </c>
      <c r="W653" s="229">
        <v>13810760572</v>
      </c>
      <c r="X653" s="230">
        <v>43215</v>
      </c>
      <c r="Y653" s="238" t="s">
        <v>27</v>
      </c>
      <c r="Z653" s="238" t="s">
        <v>27</v>
      </c>
      <c r="AA653" s="238" t="s">
        <v>27</v>
      </c>
      <c r="AB653" s="45" t="s">
        <v>2887</v>
      </c>
      <c r="AC653" s="169"/>
    </row>
    <row r="654" spans="1:29" s="68" customFormat="1" ht="15" hidden="1" customHeight="1">
      <c r="A654" s="226" t="s">
        <v>203</v>
      </c>
      <c r="B654" s="226" t="s">
        <v>277</v>
      </c>
      <c r="C654" s="226" t="s">
        <v>27</v>
      </c>
      <c r="D654" s="226" t="s">
        <v>2893</v>
      </c>
      <c r="E654" s="226" t="s">
        <v>2008</v>
      </c>
      <c r="F654" s="226">
        <v>3220130</v>
      </c>
      <c r="G654" s="227" t="s">
        <v>4288</v>
      </c>
      <c r="H654" s="226" t="s">
        <v>20</v>
      </c>
      <c r="I654" s="227" t="s">
        <v>60</v>
      </c>
      <c r="J654" s="225" t="s">
        <v>2486</v>
      </c>
      <c r="K654" s="225" t="s">
        <v>2651</v>
      </c>
      <c r="L654" s="51" t="s">
        <v>211</v>
      </c>
      <c r="M654" s="226" t="s">
        <v>22</v>
      </c>
      <c r="N654" s="226" t="s">
        <v>22</v>
      </c>
      <c r="O654" s="226" t="s">
        <v>3639</v>
      </c>
      <c r="P654" s="226" t="s">
        <v>3224</v>
      </c>
      <c r="Q654" s="226" t="s">
        <v>3890</v>
      </c>
      <c r="R654" s="227" t="s">
        <v>2507</v>
      </c>
      <c r="S654" s="225" t="s">
        <v>1592</v>
      </c>
      <c r="T654" s="228">
        <v>13810769681</v>
      </c>
      <c r="U654" s="225" t="s">
        <v>1609</v>
      </c>
      <c r="V654" s="225" t="s">
        <v>2057</v>
      </c>
      <c r="W654" s="229">
        <v>13167589227</v>
      </c>
      <c r="X654" s="230">
        <v>43334</v>
      </c>
      <c r="Y654" s="238" t="s">
        <v>27</v>
      </c>
      <c r="Z654" s="238" t="s">
        <v>27</v>
      </c>
      <c r="AA654" s="238" t="s">
        <v>27</v>
      </c>
      <c r="AB654" s="45" t="s">
        <v>2887</v>
      </c>
      <c r="AC654" s="169"/>
    </row>
    <row r="655" spans="1:29" s="68" customFormat="1" ht="15" hidden="1" customHeight="1">
      <c r="A655" s="226" t="s">
        <v>203</v>
      </c>
      <c r="B655" s="226" t="s">
        <v>278</v>
      </c>
      <c r="C655" s="226" t="s">
        <v>27</v>
      </c>
      <c r="D655" s="226" t="s">
        <v>2658</v>
      </c>
      <c r="E655" s="226" t="s">
        <v>2008</v>
      </c>
      <c r="F655" s="226">
        <v>3220102</v>
      </c>
      <c r="G655" s="227" t="s">
        <v>4289</v>
      </c>
      <c r="H655" s="226" t="s">
        <v>20</v>
      </c>
      <c r="I655" s="227" t="s">
        <v>21</v>
      </c>
      <c r="J655" s="225" t="s">
        <v>204</v>
      </c>
      <c r="K655" s="225" t="s">
        <v>1586</v>
      </c>
      <c r="L655" s="51" t="s">
        <v>211</v>
      </c>
      <c r="M655" s="226" t="s">
        <v>22</v>
      </c>
      <c r="N655" s="226" t="s">
        <v>27</v>
      </c>
      <c r="O655" s="226" t="s">
        <v>3639</v>
      </c>
      <c r="P655" s="226" t="s">
        <v>3215</v>
      </c>
      <c r="Q655" s="226" t="s">
        <v>3891</v>
      </c>
      <c r="R655" s="227" t="s">
        <v>3095</v>
      </c>
      <c r="S655" s="225" t="s">
        <v>3096</v>
      </c>
      <c r="T655" s="228">
        <v>17310344182</v>
      </c>
      <c r="U655" s="225" t="s">
        <v>1610</v>
      </c>
      <c r="V655" s="225" t="s">
        <v>2058</v>
      </c>
      <c r="W655" s="229"/>
      <c r="X655" s="230">
        <v>43217</v>
      </c>
      <c r="Y655" s="238" t="s">
        <v>27</v>
      </c>
      <c r="Z655" s="238" t="s">
        <v>27</v>
      </c>
      <c r="AA655" s="238" t="s">
        <v>27</v>
      </c>
      <c r="AB655" s="45" t="s">
        <v>2887</v>
      </c>
      <c r="AC655" s="169"/>
    </row>
    <row r="656" spans="1:29" s="68" customFormat="1" ht="15" hidden="1" customHeight="1">
      <c r="A656" s="226" t="s">
        <v>203</v>
      </c>
      <c r="B656" s="226" t="s">
        <v>279</v>
      </c>
      <c r="C656" s="226" t="s">
        <v>27</v>
      </c>
      <c r="D656" s="226" t="s">
        <v>4443</v>
      </c>
      <c r="E656" s="226" t="s">
        <v>2008</v>
      </c>
      <c r="F656" s="226">
        <v>2510744</v>
      </c>
      <c r="G656" s="227" t="s">
        <v>4290</v>
      </c>
      <c r="H656" s="226" t="s">
        <v>20</v>
      </c>
      <c r="I656" s="227" t="s">
        <v>60</v>
      </c>
      <c r="J656" s="225" t="s">
        <v>2485</v>
      </c>
      <c r="K656" s="225" t="s">
        <v>4426</v>
      </c>
      <c r="L656" s="51" t="s">
        <v>211</v>
      </c>
      <c r="M656" s="226" t="s">
        <v>22</v>
      </c>
      <c r="N656" s="226" t="s">
        <v>22</v>
      </c>
      <c r="O656" s="226" t="s">
        <v>3639</v>
      </c>
      <c r="P656" s="226" t="s">
        <v>3261</v>
      </c>
      <c r="Q656" s="226" t="s">
        <v>3892</v>
      </c>
      <c r="R656" s="227" t="s">
        <v>2508</v>
      </c>
      <c r="S656" s="225" t="s">
        <v>2509</v>
      </c>
      <c r="T656" s="228">
        <v>18511270971</v>
      </c>
      <c r="U656" s="225" t="s">
        <v>3295</v>
      </c>
      <c r="V656" s="225" t="s">
        <v>3296</v>
      </c>
      <c r="W656" s="229">
        <v>13810331542</v>
      </c>
      <c r="X656" s="230">
        <v>43323</v>
      </c>
      <c r="Y656" s="238" t="s">
        <v>27</v>
      </c>
      <c r="Z656" s="238" t="s">
        <v>27</v>
      </c>
      <c r="AA656" s="238" t="s">
        <v>27</v>
      </c>
      <c r="AB656" s="45" t="s">
        <v>2887</v>
      </c>
      <c r="AC656" s="169"/>
    </row>
    <row r="657" spans="1:29" s="68" customFormat="1" ht="15" hidden="1" customHeight="1">
      <c r="A657" s="226" t="s">
        <v>203</v>
      </c>
      <c r="B657" s="226" t="s">
        <v>280</v>
      </c>
      <c r="C657" s="226" t="s">
        <v>27</v>
      </c>
      <c r="D657" s="226" t="s">
        <v>2658</v>
      </c>
      <c r="E657" s="226" t="s">
        <v>2008</v>
      </c>
      <c r="F657" s="226">
        <v>2510979</v>
      </c>
      <c r="G657" s="227" t="s">
        <v>4291</v>
      </c>
      <c r="H657" s="226" t="s">
        <v>20</v>
      </c>
      <c r="I657" s="227" t="s">
        <v>21</v>
      </c>
      <c r="J657" s="225" t="s">
        <v>223</v>
      </c>
      <c r="K657" s="225" t="s">
        <v>33</v>
      </c>
      <c r="L657" s="51" t="s">
        <v>211</v>
      </c>
      <c r="M657" s="226" t="s">
        <v>22</v>
      </c>
      <c r="N657" s="226" t="s">
        <v>22</v>
      </c>
      <c r="O657" s="226" t="s">
        <v>3639</v>
      </c>
      <c r="P657" s="226" t="s">
        <v>3241</v>
      </c>
      <c r="Q657" s="226" t="s">
        <v>3893</v>
      </c>
      <c r="R657" s="227" t="s">
        <v>3097</v>
      </c>
      <c r="S657" s="225" t="s">
        <v>3098</v>
      </c>
      <c r="T657" s="228">
        <v>18611415722</v>
      </c>
      <c r="U657" s="225" t="s">
        <v>3297</v>
      </c>
      <c r="V657" s="225" t="s">
        <v>3298</v>
      </c>
      <c r="W657" s="229"/>
      <c r="X657" s="230">
        <v>43217</v>
      </c>
      <c r="Y657" s="238" t="s">
        <v>27</v>
      </c>
      <c r="Z657" s="238" t="s">
        <v>27</v>
      </c>
      <c r="AA657" s="238" t="s">
        <v>27</v>
      </c>
      <c r="AB657" s="45" t="s">
        <v>2887</v>
      </c>
      <c r="AC657" s="169"/>
    </row>
    <row r="658" spans="1:29" s="68" customFormat="1" ht="15" hidden="1" customHeight="1">
      <c r="A658" s="226" t="s">
        <v>203</v>
      </c>
      <c r="B658" s="226" t="s">
        <v>281</v>
      </c>
      <c r="C658" s="226" t="s">
        <v>27</v>
      </c>
      <c r="D658" s="226" t="s">
        <v>2893</v>
      </c>
      <c r="E658" s="226" t="s">
        <v>2008</v>
      </c>
      <c r="F658" s="226">
        <v>3220240</v>
      </c>
      <c r="G658" s="227" t="s">
        <v>4292</v>
      </c>
      <c r="H658" s="226" t="s">
        <v>20</v>
      </c>
      <c r="I658" s="227" t="s">
        <v>60</v>
      </c>
      <c r="J658" s="225" t="s">
        <v>2486</v>
      </c>
      <c r="K658" s="225" t="s">
        <v>2651</v>
      </c>
      <c r="L658" s="51" t="s">
        <v>211</v>
      </c>
      <c r="M658" s="226" t="s">
        <v>22</v>
      </c>
      <c r="N658" s="226" t="s">
        <v>22</v>
      </c>
      <c r="O658" s="226" t="s">
        <v>3639</v>
      </c>
      <c r="P658" s="226" t="s">
        <v>3208</v>
      </c>
      <c r="Q658" s="226" t="s">
        <v>3894</v>
      </c>
      <c r="R658" s="227" t="s">
        <v>2911</v>
      </c>
      <c r="S658" s="225" t="s">
        <v>2912</v>
      </c>
      <c r="T658" s="228">
        <v>13810503772</v>
      </c>
      <c r="U658" s="225" t="s">
        <v>3299</v>
      </c>
      <c r="V658" s="225" t="s">
        <v>3300</v>
      </c>
      <c r="W658" s="229">
        <v>13260159171</v>
      </c>
      <c r="X658" s="230">
        <v>43334</v>
      </c>
      <c r="Y658" s="238" t="s">
        <v>27</v>
      </c>
      <c r="Z658" s="238" t="s">
        <v>27</v>
      </c>
      <c r="AA658" s="238" t="s">
        <v>27</v>
      </c>
      <c r="AB658" s="45" t="s">
        <v>2887</v>
      </c>
      <c r="AC658" s="169"/>
    </row>
    <row r="659" spans="1:29" s="68" customFormat="1" ht="15" hidden="1" customHeight="1">
      <c r="A659" s="226" t="s">
        <v>203</v>
      </c>
      <c r="B659" s="226" t="s">
        <v>282</v>
      </c>
      <c r="C659" s="226" t="s">
        <v>27</v>
      </c>
      <c r="D659" s="226" t="s">
        <v>2658</v>
      </c>
      <c r="E659" s="226" t="s">
        <v>2008</v>
      </c>
      <c r="F659" s="226">
        <v>3220100</v>
      </c>
      <c r="G659" s="227" t="s">
        <v>4293</v>
      </c>
      <c r="H659" s="226" t="s">
        <v>20</v>
      </c>
      <c r="I659" s="227" t="s">
        <v>60</v>
      </c>
      <c r="J659" s="225" t="s">
        <v>2486</v>
      </c>
      <c r="K659" s="225" t="s">
        <v>2358</v>
      </c>
      <c r="L659" s="51" t="s">
        <v>211</v>
      </c>
      <c r="M659" s="226" t="s">
        <v>22</v>
      </c>
      <c r="N659" s="226" t="s">
        <v>22</v>
      </c>
      <c r="O659" s="226" t="s">
        <v>3639</v>
      </c>
      <c r="P659" s="226" t="s">
        <v>3224</v>
      </c>
      <c r="Q659" s="226" t="s">
        <v>3895</v>
      </c>
      <c r="R659" s="227" t="s">
        <v>2510</v>
      </c>
      <c r="S659" s="225" t="s">
        <v>1593</v>
      </c>
      <c r="T659" s="228">
        <v>13810797353</v>
      </c>
      <c r="U659" s="225" t="s">
        <v>3301</v>
      </c>
      <c r="V659" s="225" t="s">
        <v>3302</v>
      </c>
      <c r="W659" s="229">
        <v>15600127804</v>
      </c>
      <c r="X659" s="230">
        <v>43334</v>
      </c>
      <c r="Y659" s="238" t="s">
        <v>27</v>
      </c>
      <c r="Z659" s="238" t="s">
        <v>27</v>
      </c>
      <c r="AA659" s="238" t="s">
        <v>27</v>
      </c>
      <c r="AB659" s="45" t="s">
        <v>2889</v>
      </c>
      <c r="AC659" s="169"/>
    </row>
    <row r="660" spans="1:29" s="68" customFormat="1" ht="15" hidden="1" customHeight="1">
      <c r="A660" s="226" t="s">
        <v>203</v>
      </c>
      <c r="B660" s="226" t="s">
        <v>283</v>
      </c>
      <c r="C660" s="226" t="s">
        <v>27</v>
      </c>
      <c r="D660" s="226" t="s">
        <v>2893</v>
      </c>
      <c r="E660" s="226" t="s">
        <v>2008</v>
      </c>
      <c r="F660" s="226">
        <v>3220223</v>
      </c>
      <c r="G660" s="227" t="s">
        <v>4294</v>
      </c>
      <c r="H660" s="226" t="s">
        <v>20</v>
      </c>
      <c r="I660" s="227" t="s">
        <v>60</v>
      </c>
      <c r="J660" s="225" t="s">
        <v>2484</v>
      </c>
      <c r="K660" s="225" t="s">
        <v>4427</v>
      </c>
      <c r="L660" s="51" t="s">
        <v>211</v>
      </c>
      <c r="M660" s="226" t="s">
        <v>22</v>
      </c>
      <c r="N660" s="226" t="s">
        <v>22</v>
      </c>
      <c r="O660" s="226" t="s">
        <v>3639</v>
      </c>
      <c r="P660" s="226" t="s">
        <v>3212</v>
      </c>
      <c r="Q660" s="226" t="s">
        <v>3896</v>
      </c>
      <c r="R660" s="227" t="s">
        <v>2808</v>
      </c>
      <c r="S660" s="225" t="s">
        <v>2809</v>
      </c>
      <c r="T660" s="228">
        <v>13810069341</v>
      </c>
      <c r="U660" s="225" t="s">
        <v>3303</v>
      </c>
      <c r="V660" s="225" t="s">
        <v>3304</v>
      </c>
      <c r="W660" s="229">
        <v>13910636724</v>
      </c>
      <c r="X660" s="230">
        <v>43323</v>
      </c>
      <c r="Y660" s="238" t="s">
        <v>27</v>
      </c>
      <c r="Z660" s="238" t="s">
        <v>27</v>
      </c>
      <c r="AA660" s="238" t="s">
        <v>27</v>
      </c>
      <c r="AB660" s="45" t="s">
        <v>2887</v>
      </c>
      <c r="AC660" s="169"/>
    </row>
    <row r="661" spans="1:29" s="68" customFormat="1" ht="15" hidden="1" customHeight="1">
      <c r="A661" s="226" t="s">
        <v>203</v>
      </c>
      <c r="B661" s="226" t="s">
        <v>284</v>
      </c>
      <c r="C661" s="226" t="s">
        <v>27</v>
      </c>
      <c r="D661" s="226" t="s">
        <v>2893</v>
      </c>
      <c r="E661" s="226" t="s">
        <v>2008</v>
      </c>
      <c r="F661" s="226">
        <v>3220107</v>
      </c>
      <c r="G661" s="227" t="s">
        <v>4295</v>
      </c>
      <c r="H661" s="226" t="s">
        <v>20</v>
      </c>
      <c r="I661" s="227" t="s">
        <v>60</v>
      </c>
      <c r="J661" s="225" t="s">
        <v>2486</v>
      </c>
      <c r="K661" s="225" t="s">
        <v>2358</v>
      </c>
      <c r="L661" s="51" t="s">
        <v>211</v>
      </c>
      <c r="M661" s="226" t="s">
        <v>22</v>
      </c>
      <c r="N661" s="226" t="s">
        <v>22</v>
      </c>
      <c r="O661" s="226" t="s">
        <v>3639</v>
      </c>
      <c r="P661" s="226" t="s">
        <v>3211</v>
      </c>
      <c r="Q661" s="226" t="s">
        <v>3897</v>
      </c>
      <c r="R661" s="227" t="s">
        <v>3305</v>
      </c>
      <c r="S661" s="225" t="s">
        <v>3306</v>
      </c>
      <c r="T661" s="228">
        <v>13810420435</v>
      </c>
      <c r="U661" s="225" t="s">
        <v>1666</v>
      </c>
      <c r="V661" s="225" t="s">
        <v>2089</v>
      </c>
      <c r="W661" s="229">
        <v>13120044507</v>
      </c>
      <c r="X661" s="230">
        <v>43301</v>
      </c>
      <c r="Y661" s="238" t="s">
        <v>27</v>
      </c>
      <c r="Z661" s="238" t="s">
        <v>27</v>
      </c>
      <c r="AA661" s="238" t="s">
        <v>27</v>
      </c>
      <c r="AB661" s="45" t="s">
        <v>2887</v>
      </c>
      <c r="AC661" s="169"/>
    </row>
    <row r="662" spans="1:29" s="68" customFormat="1" ht="15" hidden="1" customHeight="1">
      <c r="A662" s="226" t="s">
        <v>203</v>
      </c>
      <c r="B662" s="226" t="s">
        <v>285</v>
      </c>
      <c r="C662" s="226" t="s">
        <v>27</v>
      </c>
      <c r="D662" s="226" t="s">
        <v>2658</v>
      </c>
      <c r="E662" s="226" t="s">
        <v>2008</v>
      </c>
      <c r="F662" s="226">
        <v>3220086</v>
      </c>
      <c r="G662" s="227" t="s">
        <v>4295</v>
      </c>
      <c r="H662" s="226" t="s">
        <v>20</v>
      </c>
      <c r="I662" s="227" t="s">
        <v>21</v>
      </c>
      <c r="J662" s="225" t="s">
        <v>1587</v>
      </c>
      <c r="K662" s="225" t="s">
        <v>206</v>
      </c>
      <c r="L662" s="51" t="s">
        <v>211</v>
      </c>
      <c r="M662" s="226" t="s">
        <v>22</v>
      </c>
      <c r="N662" s="226" t="s">
        <v>22</v>
      </c>
      <c r="O662" s="226" t="s">
        <v>27</v>
      </c>
      <c r="P662" s="226" t="s">
        <v>3870</v>
      </c>
      <c r="Q662" s="226" t="s">
        <v>3898</v>
      </c>
      <c r="R662" s="227" t="s">
        <v>2511</v>
      </c>
      <c r="S662" s="225" t="s">
        <v>1594</v>
      </c>
      <c r="T662" s="228">
        <v>18900670341</v>
      </c>
      <c r="U662" s="225" t="s">
        <v>1612</v>
      </c>
      <c r="V662" s="225" t="s">
        <v>2060</v>
      </c>
      <c r="W662" s="229"/>
      <c r="X662" s="230"/>
      <c r="Y662" s="238" t="s">
        <v>27</v>
      </c>
      <c r="Z662" s="238" t="s">
        <v>27</v>
      </c>
      <c r="AA662" s="238" t="s">
        <v>27</v>
      </c>
      <c r="AB662" s="45" t="s">
        <v>2887</v>
      </c>
      <c r="AC662" s="169"/>
    </row>
    <row r="663" spans="1:29" s="68" customFormat="1" ht="15" hidden="1" customHeight="1">
      <c r="A663" s="226" t="s">
        <v>203</v>
      </c>
      <c r="B663" s="226" t="s">
        <v>286</v>
      </c>
      <c r="C663" s="226" t="s">
        <v>27</v>
      </c>
      <c r="D663" s="226" t="s">
        <v>2893</v>
      </c>
      <c r="E663" s="226" t="s">
        <v>2008</v>
      </c>
      <c r="F663" s="226">
        <v>3220194</v>
      </c>
      <c r="G663" s="227" t="s">
        <v>4296</v>
      </c>
      <c r="H663" s="226" t="s">
        <v>20</v>
      </c>
      <c r="I663" s="227" t="s">
        <v>21</v>
      </c>
      <c r="J663" s="225" t="s">
        <v>209</v>
      </c>
      <c r="K663" s="225" t="s">
        <v>26</v>
      </c>
      <c r="L663" s="51" t="s">
        <v>211</v>
      </c>
      <c r="M663" s="226" t="s">
        <v>22</v>
      </c>
      <c r="N663" s="226" t="s">
        <v>22</v>
      </c>
      <c r="O663" s="226" t="s">
        <v>3639</v>
      </c>
      <c r="P663" s="226" t="s">
        <v>3205</v>
      </c>
      <c r="Q663" s="226" t="s">
        <v>3899</v>
      </c>
      <c r="R663" s="227" t="s">
        <v>2810</v>
      </c>
      <c r="S663" s="225" t="s">
        <v>2811</v>
      </c>
      <c r="T663" s="228">
        <v>13810616327</v>
      </c>
      <c r="U663" s="225" t="s">
        <v>1613</v>
      </c>
      <c r="V663" s="225" t="s">
        <v>2061</v>
      </c>
      <c r="W663" s="229"/>
      <c r="X663" s="230">
        <v>43301</v>
      </c>
      <c r="Y663" s="238" t="s">
        <v>27</v>
      </c>
      <c r="Z663" s="238" t="s">
        <v>27</v>
      </c>
      <c r="AA663" s="238" t="s">
        <v>27</v>
      </c>
      <c r="AB663" s="45" t="s">
        <v>2887</v>
      </c>
      <c r="AC663" s="169"/>
    </row>
    <row r="664" spans="1:29" s="68" customFormat="1" ht="15" hidden="1" customHeight="1">
      <c r="A664" s="226" t="s">
        <v>203</v>
      </c>
      <c r="B664" s="226" t="s">
        <v>4423</v>
      </c>
      <c r="C664" s="226" t="s">
        <v>27</v>
      </c>
      <c r="D664" s="226" t="s">
        <v>4444</v>
      </c>
      <c r="E664" s="226" t="s">
        <v>2008</v>
      </c>
      <c r="F664" s="226">
        <v>3220215</v>
      </c>
      <c r="G664" s="227" t="s">
        <v>4297</v>
      </c>
      <c r="H664" s="226" t="s">
        <v>20</v>
      </c>
      <c r="I664" s="227" t="s">
        <v>21</v>
      </c>
      <c r="J664" s="225" t="s">
        <v>209</v>
      </c>
      <c r="K664" s="225" t="s">
        <v>236</v>
      </c>
      <c r="L664" s="51" t="s">
        <v>211</v>
      </c>
      <c r="M664" s="226" t="s">
        <v>22</v>
      </c>
      <c r="N664" s="226" t="s">
        <v>22</v>
      </c>
      <c r="O664" s="226" t="s">
        <v>3639</v>
      </c>
      <c r="P664" s="226" t="s">
        <v>3260</v>
      </c>
      <c r="Q664" s="226" t="s">
        <v>4424</v>
      </c>
      <c r="R664" s="227" t="s">
        <v>3012</v>
      </c>
      <c r="S664" s="225" t="s">
        <v>3013</v>
      </c>
      <c r="T664" s="228">
        <v>13811090671</v>
      </c>
      <c r="U664" s="225" t="s">
        <v>1614</v>
      </c>
      <c r="V664" s="225" t="s">
        <v>2062</v>
      </c>
      <c r="W664" s="229"/>
      <c r="X664" s="230">
        <v>43216</v>
      </c>
      <c r="Y664" s="238" t="s">
        <v>27</v>
      </c>
      <c r="Z664" s="238" t="s">
        <v>27</v>
      </c>
      <c r="AA664" s="238" t="s">
        <v>27</v>
      </c>
      <c r="AB664" s="45" t="s">
        <v>2887</v>
      </c>
      <c r="AC664" s="169"/>
    </row>
    <row r="665" spans="1:29" s="68" customFormat="1" ht="15" hidden="1" customHeight="1">
      <c r="A665" s="226" t="s">
        <v>203</v>
      </c>
      <c r="B665" s="226" t="s">
        <v>288</v>
      </c>
      <c r="C665" s="226" t="s">
        <v>27</v>
      </c>
      <c r="D665" s="226" t="s">
        <v>2658</v>
      </c>
      <c r="E665" s="226" t="s">
        <v>2008</v>
      </c>
      <c r="F665" s="226">
        <v>3220213</v>
      </c>
      <c r="G665" s="227" t="s">
        <v>4298</v>
      </c>
      <c r="H665" s="226" t="s">
        <v>20</v>
      </c>
      <c r="I665" s="227" t="s">
        <v>21</v>
      </c>
      <c r="J665" s="225" t="s">
        <v>204</v>
      </c>
      <c r="K665" s="225" t="s">
        <v>1586</v>
      </c>
      <c r="L665" s="51" t="s">
        <v>211</v>
      </c>
      <c r="M665" s="226" t="s">
        <v>22</v>
      </c>
      <c r="N665" s="226" t="s">
        <v>27</v>
      </c>
      <c r="O665" s="226" t="s">
        <v>3639</v>
      </c>
      <c r="P665" s="226" t="s">
        <v>3260</v>
      </c>
      <c r="Q665" s="226" t="s">
        <v>3900</v>
      </c>
      <c r="R665" s="227" t="s">
        <v>2812</v>
      </c>
      <c r="S665" s="225" t="s">
        <v>2813</v>
      </c>
      <c r="T665" s="228">
        <v>17316073679</v>
      </c>
      <c r="U665" s="225" t="s">
        <v>3307</v>
      </c>
      <c r="V665" s="225" t="s">
        <v>3308</v>
      </c>
      <c r="W665" s="229"/>
      <c r="X665" s="230"/>
      <c r="Y665" s="238" t="s">
        <v>27</v>
      </c>
      <c r="Z665" s="238" t="s">
        <v>27</v>
      </c>
      <c r="AA665" s="238" t="s">
        <v>27</v>
      </c>
      <c r="AB665" s="45" t="s">
        <v>2887</v>
      </c>
      <c r="AC665" s="169"/>
    </row>
    <row r="666" spans="1:29" s="68" customFormat="1" ht="15" hidden="1" customHeight="1">
      <c r="A666" s="226" t="s">
        <v>203</v>
      </c>
      <c r="B666" s="226" t="s">
        <v>290</v>
      </c>
      <c r="C666" s="226" t="s">
        <v>27</v>
      </c>
      <c r="D666" s="226" t="s">
        <v>4443</v>
      </c>
      <c r="E666" s="226" t="s">
        <v>2008</v>
      </c>
      <c r="F666" s="226">
        <v>3220108</v>
      </c>
      <c r="G666" s="227" t="s">
        <v>4289</v>
      </c>
      <c r="H666" s="226" t="s">
        <v>20</v>
      </c>
      <c r="I666" s="227" t="s">
        <v>21</v>
      </c>
      <c r="J666" s="225" t="s">
        <v>209</v>
      </c>
      <c r="K666" s="225" t="s">
        <v>61</v>
      </c>
      <c r="L666" s="51" t="s">
        <v>211</v>
      </c>
      <c r="M666" s="226" t="s">
        <v>22</v>
      </c>
      <c r="N666" s="226" t="s">
        <v>22</v>
      </c>
      <c r="O666" s="226" t="s">
        <v>3639</v>
      </c>
      <c r="P666" s="226" t="s">
        <v>3215</v>
      </c>
      <c r="Q666" s="226" t="s">
        <v>3901</v>
      </c>
      <c r="R666" s="227" t="s">
        <v>3099</v>
      </c>
      <c r="S666" s="225" t="s">
        <v>3100</v>
      </c>
      <c r="T666" s="228">
        <v>13810465496</v>
      </c>
      <c r="U666" s="225" t="s">
        <v>3309</v>
      </c>
      <c r="V666" s="225" t="s">
        <v>3310</v>
      </c>
      <c r="W666" s="229"/>
      <c r="X666" s="230">
        <v>43217</v>
      </c>
      <c r="Y666" s="238" t="s">
        <v>27</v>
      </c>
      <c r="Z666" s="238" t="s">
        <v>27</v>
      </c>
      <c r="AA666" s="238" t="s">
        <v>27</v>
      </c>
      <c r="AB666" s="45" t="s">
        <v>2887</v>
      </c>
      <c r="AC666" s="169"/>
    </row>
    <row r="667" spans="1:29" s="68" customFormat="1" ht="15" hidden="1" customHeight="1">
      <c r="A667" s="226" t="s">
        <v>203</v>
      </c>
      <c r="B667" s="226" t="s">
        <v>291</v>
      </c>
      <c r="C667" s="226" t="s">
        <v>27</v>
      </c>
      <c r="D667" s="226" t="s">
        <v>2893</v>
      </c>
      <c r="E667" s="226" t="s">
        <v>2008</v>
      </c>
      <c r="F667" s="226">
        <v>3220084</v>
      </c>
      <c r="G667" s="227" t="s">
        <v>4299</v>
      </c>
      <c r="H667" s="226" t="s">
        <v>20</v>
      </c>
      <c r="I667" s="227" t="s">
        <v>60</v>
      </c>
      <c r="J667" s="225" t="s">
        <v>2486</v>
      </c>
      <c r="K667" s="225" t="s">
        <v>2358</v>
      </c>
      <c r="L667" s="51" t="s">
        <v>211</v>
      </c>
      <c r="M667" s="226" t="s">
        <v>22</v>
      </c>
      <c r="N667" s="226" t="s">
        <v>22</v>
      </c>
      <c r="O667" s="226" t="s">
        <v>3639</v>
      </c>
      <c r="P667" s="226" t="s">
        <v>3212</v>
      </c>
      <c r="Q667" s="226" t="s">
        <v>3902</v>
      </c>
      <c r="R667" s="227" t="s">
        <v>3311</v>
      </c>
      <c r="S667" s="225" t="s">
        <v>3312</v>
      </c>
      <c r="T667" s="228">
        <v>13811264942</v>
      </c>
      <c r="U667" s="225" t="s">
        <v>3313</v>
      </c>
      <c r="V667" s="225" t="s">
        <v>3314</v>
      </c>
      <c r="W667" s="229">
        <v>18518928551</v>
      </c>
      <c r="X667" s="230">
        <v>43301</v>
      </c>
      <c r="Y667" s="238" t="s">
        <v>27</v>
      </c>
      <c r="Z667" s="238" t="s">
        <v>27</v>
      </c>
      <c r="AA667" s="238" t="s">
        <v>27</v>
      </c>
      <c r="AB667" s="45" t="s">
        <v>2887</v>
      </c>
      <c r="AC667" s="169"/>
    </row>
    <row r="668" spans="1:29" s="68" customFormat="1" ht="15" hidden="1" customHeight="1">
      <c r="A668" s="226" t="s">
        <v>203</v>
      </c>
      <c r="B668" s="226" t="s">
        <v>293</v>
      </c>
      <c r="C668" s="226" t="s">
        <v>27</v>
      </c>
      <c r="D668" s="226" t="s">
        <v>4443</v>
      </c>
      <c r="E668" s="226" t="s">
        <v>2008</v>
      </c>
      <c r="F668" s="226">
        <v>3220101</v>
      </c>
      <c r="G668" s="227" t="s">
        <v>4300</v>
      </c>
      <c r="H668" s="226" t="s">
        <v>20</v>
      </c>
      <c r="I668" s="227" t="s">
        <v>60</v>
      </c>
      <c r="J668" s="225" t="s">
        <v>2486</v>
      </c>
      <c r="K668" s="225" t="s">
        <v>2358</v>
      </c>
      <c r="L668" s="51" t="s">
        <v>211</v>
      </c>
      <c r="M668" s="226" t="s">
        <v>22</v>
      </c>
      <c r="N668" s="226" t="s">
        <v>22</v>
      </c>
      <c r="O668" s="226" t="s">
        <v>3639</v>
      </c>
      <c r="P668" s="226" t="s">
        <v>3218</v>
      </c>
      <c r="Q668" s="226" t="s">
        <v>3903</v>
      </c>
      <c r="R668" s="227" t="s">
        <v>2913</v>
      </c>
      <c r="S668" s="225" t="s">
        <v>2914</v>
      </c>
      <c r="T668" s="228">
        <v>13810018984</v>
      </c>
      <c r="U668" s="225" t="s">
        <v>3315</v>
      </c>
      <c r="V668" s="225" t="s">
        <v>3316</v>
      </c>
      <c r="W668" s="229">
        <v>13011842454</v>
      </c>
      <c r="X668" s="230">
        <v>43215</v>
      </c>
      <c r="Y668" s="238" t="s">
        <v>27</v>
      </c>
      <c r="Z668" s="238" t="s">
        <v>27</v>
      </c>
      <c r="AA668" s="238" t="s">
        <v>27</v>
      </c>
      <c r="AB668" s="45" t="s">
        <v>2887</v>
      </c>
      <c r="AC668" s="169"/>
    </row>
    <row r="669" spans="1:29" s="68" customFormat="1" ht="15" hidden="1" customHeight="1">
      <c r="A669" s="226" t="s">
        <v>203</v>
      </c>
      <c r="B669" s="226" t="s">
        <v>294</v>
      </c>
      <c r="C669" s="226" t="s">
        <v>22</v>
      </c>
      <c r="D669" s="226" t="s">
        <v>4443</v>
      </c>
      <c r="E669" s="226" t="s">
        <v>2008</v>
      </c>
      <c r="F669" s="226">
        <v>3220242</v>
      </c>
      <c r="G669" s="227" t="s">
        <v>4274</v>
      </c>
      <c r="H669" s="226" t="s">
        <v>20</v>
      </c>
      <c r="I669" s="227" t="s">
        <v>60</v>
      </c>
      <c r="J669" s="225" t="s">
        <v>2487</v>
      </c>
      <c r="K669" s="225" t="s">
        <v>2650</v>
      </c>
      <c r="L669" s="51" t="s">
        <v>211</v>
      </c>
      <c r="M669" s="226" t="s">
        <v>22</v>
      </c>
      <c r="N669" s="226" t="s">
        <v>27</v>
      </c>
      <c r="O669" s="226" t="s">
        <v>38</v>
      </c>
      <c r="P669" s="226" t="s">
        <v>3317</v>
      </c>
      <c r="Q669" s="226" t="s">
        <v>3904</v>
      </c>
      <c r="R669" s="227" t="s">
        <v>2814</v>
      </c>
      <c r="S669" s="225" t="s">
        <v>2815</v>
      </c>
      <c r="T669" s="228">
        <v>13810659173</v>
      </c>
      <c r="U669" s="225" t="s">
        <v>3318</v>
      </c>
      <c r="V669" s="225" t="s">
        <v>3319</v>
      </c>
      <c r="W669" s="229">
        <v>18911034373</v>
      </c>
      <c r="X669" s="230">
        <v>43334</v>
      </c>
      <c r="Y669" s="238" t="s">
        <v>27</v>
      </c>
      <c r="Z669" s="238" t="s">
        <v>27</v>
      </c>
      <c r="AA669" s="238" t="s">
        <v>27</v>
      </c>
      <c r="AB669" s="45" t="s">
        <v>2887</v>
      </c>
      <c r="AC669" s="169"/>
    </row>
    <row r="670" spans="1:29" s="68" customFormat="1" ht="15" hidden="1" customHeight="1">
      <c r="A670" s="226" t="s">
        <v>203</v>
      </c>
      <c r="B670" s="226" t="s">
        <v>295</v>
      </c>
      <c r="C670" s="226" t="s">
        <v>27</v>
      </c>
      <c r="D670" s="226" t="s">
        <v>2893</v>
      </c>
      <c r="E670" s="226" t="s">
        <v>2008</v>
      </c>
      <c r="F670" s="226">
        <v>3220103</v>
      </c>
      <c r="G670" s="227" t="s">
        <v>4298</v>
      </c>
      <c r="H670" s="226" t="s">
        <v>20</v>
      </c>
      <c r="I670" s="227" t="s">
        <v>60</v>
      </c>
      <c r="J670" s="225" t="s">
        <v>2501</v>
      </c>
      <c r="K670" s="225" t="s">
        <v>2649</v>
      </c>
      <c r="L670" s="51" t="s">
        <v>211</v>
      </c>
      <c r="M670" s="226" t="s">
        <v>22</v>
      </c>
      <c r="N670" s="226" t="s">
        <v>27</v>
      </c>
      <c r="O670" s="226" t="s">
        <v>3639</v>
      </c>
      <c r="P670" s="226" t="s">
        <v>3212</v>
      </c>
      <c r="Q670" s="226" t="s">
        <v>3905</v>
      </c>
      <c r="R670" s="227" t="s">
        <v>3014</v>
      </c>
      <c r="S670" s="225" t="s">
        <v>3015</v>
      </c>
      <c r="T670" s="228">
        <v>18911034675</v>
      </c>
      <c r="U670" s="225" t="s">
        <v>3320</v>
      </c>
      <c r="V670" s="225" t="s">
        <v>3321</v>
      </c>
      <c r="W670" s="229">
        <v>13810990395</v>
      </c>
      <c r="X670" s="230">
        <v>43216</v>
      </c>
      <c r="Y670" s="238" t="s">
        <v>27</v>
      </c>
      <c r="Z670" s="238" t="s">
        <v>27</v>
      </c>
      <c r="AA670" s="238" t="s">
        <v>27</v>
      </c>
      <c r="AB670" s="45" t="s">
        <v>2887</v>
      </c>
      <c r="AC670" s="169"/>
    </row>
    <row r="671" spans="1:29" s="68" customFormat="1" ht="15" hidden="1" customHeight="1">
      <c r="A671" s="226" t="s">
        <v>203</v>
      </c>
      <c r="B671" s="226" t="s">
        <v>296</v>
      </c>
      <c r="C671" s="226" t="s">
        <v>27</v>
      </c>
      <c r="D671" s="226" t="s">
        <v>4443</v>
      </c>
      <c r="E671" s="226" t="s">
        <v>2008</v>
      </c>
      <c r="F671" s="226">
        <v>3120168</v>
      </c>
      <c r="G671" s="227" t="s">
        <v>4301</v>
      </c>
      <c r="H671" s="226" t="s">
        <v>20</v>
      </c>
      <c r="I671" s="227" t="s">
        <v>21</v>
      </c>
      <c r="J671" s="225" t="s">
        <v>223</v>
      </c>
      <c r="K671" s="225" t="s">
        <v>4302</v>
      </c>
      <c r="L671" s="51" t="s">
        <v>211</v>
      </c>
      <c r="M671" s="226" t="s">
        <v>22</v>
      </c>
      <c r="N671" s="226" t="s">
        <v>22</v>
      </c>
      <c r="O671" s="226" t="s">
        <v>3639</v>
      </c>
      <c r="P671" s="226" t="s">
        <v>3241</v>
      </c>
      <c r="Q671" s="226" t="s">
        <v>3906</v>
      </c>
      <c r="R671" s="227" t="s">
        <v>2929</v>
      </c>
      <c r="S671" s="225" t="s">
        <v>2930</v>
      </c>
      <c r="T671" s="228">
        <v>13051118707</v>
      </c>
      <c r="U671" s="225" t="s">
        <v>3322</v>
      </c>
      <c r="V671" s="225" t="s">
        <v>3323</v>
      </c>
      <c r="W671" s="229"/>
      <c r="X671" s="230">
        <v>43217</v>
      </c>
      <c r="Y671" s="238" t="s">
        <v>27</v>
      </c>
      <c r="Z671" s="238" t="s">
        <v>27</v>
      </c>
      <c r="AA671" s="238" t="s">
        <v>27</v>
      </c>
      <c r="AB671" s="45" t="s">
        <v>2887</v>
      </c>
      <c r="AC671" s="169"/>
    </row>
    <row r="672" spans="1:29" s="68" customFormat="1" ht="15" hidden="1" customHeight="1">
      <c r="A672" s="226" t="s">
        <v>203</v>
      </c>
      <c r="B672" s="226" t="s">
        <v>297</v>
      </c>
      <c r="C672" s="226" t="s">
        <v>27</v>
      </c>
      <c r="D672" s="226" t="s">
        <v>2658</v>
      </c>
      <c r="E672" s="226" t="s">
        <v>2008</v>
      </c>
      <c r="F672" s="226">
        <v>3219625</v>
      </c>
      <c r="G672" s="227" t="s">
        <v>4303</v>
      </c>
      <c r="H672" s="226" t="s">
        <v>20</v>
      </c>
      <c r="I672" s="227" t="s">
        <v>21</v>
      </c>
      <c r="J672" s="225" t="s">
        <v>204</v>
      </c>
      <c r="K672" s="225" t="s">
        <v>206</v>
      </c>
      <c r="L672" s="51" t="s">
        <v>211</v>
      </c>
      <c r="M672" s="226" t="s">
        <v>22</v>
      </c>
      <c r="N672" s="226" t="s">
        <v>27</v>
      </c>
      <c r="O672" s="226" t="s">
        <v>3639</v>
      </c>
      <c r="P672" s="226" t="s">
        <v>3324</v>
      </c>
      <c r="Q672" s="226" t="s">
        <v>3907</v>
      </c>
      <c r="R672" s="227" t="s">
        <v>2915</v>
      </c>
      <c r="S672" s="225" t="s">
        <v>2916</v>
      </c>
      <c r="T672" s="228">
        <v>18911474307</v>
      </c>
      <c r="U672" s="225" t="s">
        <v>3325</v>
      </c>
      <c r="V672" s="225" t="s">
        <v>3326</v>
      </c>
      <c r="W672" s="229"/>
      <c r="X672" s="230">
        <v>43215</v>
      </c>
      <c r="Y672" s="238" t="s">
        <v>27</v>
      </c>
      <c r="Z672" s="238" t="s">
        <v>27</v>
      </c>
      <c r="AA672" s="238" t="s">
        <v>27</v>
      </c>
      <c r="AB672" s="45" t="s">
        <v>2887</v>
      </c>
      <c r="AC672" s="169"/>
    </row>
    <row r="673" spans="1:29" s="68" customFormat="1" ht="15" hidden="1" customHeight="1">
      <c r="A673" s="226" t="s">
        <v>203</v>
      </c>
      <c r="B673" s="226" t="s">
        <v>299</v>
      </c>
      <c r="C673" s="226" t="s">
        <v>27</v>
      </c>
      <c r="D673" s="226" t="s">
        <v>4443</v>
      </c>
      <c r="E673" s="226" t="s">
        <v>2008</v>
      </c>
      <c r="F673" s="226">
        <v>3219547</v>
      </c>
      <c r="G673" s="227" t="s">
        <v>4304</v>
      </c>
      <c r="H673" s="226" t="s">
        <v>20</v>
      </c>
      <c r="I673" s="227" t="s">
        <v>60</v>
      </c>
      <c r="J673" s="225" t="s">
        <v>2486</v>
      </c>
      <c r="K673" s="225" t="s">
        <v>2651</v>
      </c>
      <c r="L673" s="51" t="s">
        <v>211</v>
      </c>
      <c r="M673" s="226" t="s">
        <v>22</v>
      </c>
      <c r="N673" s="226" t="s">
        <v>22</v>
      </c>
      <c r="O673" s="226" t="s">
        <v>3639</v>
      </c>
      <c r="P673" s="226" t="s">
        <v>3218</v>
      </c>
      <c r="Q673" s="226" t="s">
        <v>3908</v>
      </c>
      <c r="R673" s="227" t="s">
        <v>2512</v>
      </c>
      <c r="S673" s="225" t="s">
        <v>1595</v>
      </c>
      <c r="T673" s="228">
        <v>13810767912</v>
      </c>
      <c r="U673" s="225" t="s">
        <v>1081</v>
      </c>
      <c r="V673" s="225" t="s">
        <v>2065</v>
      </c>
      <c r="W673" s="229">
        <v>18518914875</v>
      </c>
      <c r="X673" s="230">
        <v>43323</v>
      </c>
      <c r="Y673" s="238" t="s">
        <v>27</v>
      </c>
      <c r="Z673" s="238" t="s">
        <v>27</v>
      </c>
      <c r="AA673" s="238" t="s">
        <v>27</v>
      </c>
      <c r="AB673" s="45" t="s">
        <v>2887</v>
      </c>
      <c r="AC673" s="169"/>
    </row>
    <row r="674" spans="1:29" s="68" customFormat="1" ht="15" hidden="1" customHeight="1">
      <c r="A674" s="226" t="s">
        <v>203</v>
      </c>
      <c r="B674" s="226" t="s">
        <v>300</v>
      </c>
      <c r="C674" s="226" t="s">
        <v>27</v>
      </c>
      <c r="D674" s="226" t="s">
        <v>4443</v>
      </c>
      <c r="E674" s="226" t="s">
        <v>2008</v>
      </c>
      <c r="F674" s="226">
        <v>3220302</v>
      </c>
      <c r="G674" s="227" t="s">
        <v>4269</v>
      </c>
      <c r="H674" s="226" t="s">
        <v>20</v>
      </c>
      <c r="I674" s="227" t="s">
        <v>21</v>
      </c>
      <c r="J674" s="225" t="s">
        <v>204</v>
      </c>
      <c r="K674" s="225" t="s">
        <v>1586</v>
      </c>
      <c r="L674" s="51" t="s">
        <v>211</v>
      </c>
      <c r="M674" s="226" t="s">
        <v>22</v>
      </c>
      <c r="N674" s="226" t="s">
        <v>27</v>
      </c>
      <c r="O674" s="226" t="s">
        <v>3639</v>
      </c>
      <c r="P674" s="226" t="s">
        <v>3205</v>
      </c>
      <c r="Q674" s="226" t="s">
        <v>3909</v>
      </c>
      <c r="R674" s="227" t="s">
        <v>2816</v>
      </c>
      <c r="S674" s="225" t="s">
        <v>2817</v>
      </c>
      <c r="T674" s="228">
        <v>18910224650</v>
      </c>
      <c r="U674" s="225" t="s">
        <v>3327</v>
      </c>
      <c r="V674" s="225" t="s">
        <v>3328</v>
      </c>
      <c r="W674" s="229"/>
      <c r="X674" s="230">
        <v>43252</v>
      </c>
      <c r="Y674" s="238" t="s">
        <v>27</v>
      </c>
      <c r="Z674" s="238" t="s">
        <v>27</v>
      </c>
      <c r="AA674" s="238" t="s">
        <v>27</v>
      </c>
      <c r="AB674" s="45" t="s">
        <v>2887</v>
      </c>
      <c r="AC674" s="169"/>
    </row>
    <row r="675" spans="1:29" s="68" customFormat="1" ht="15" hidden="1" customHeight="1">
      <c r="A675" s="226" t="s">
        <v>203</v>
      </c>
      <c r="B675" s="226" t="s">
        <v>301</v>
      </c>
      <c r="C675" s="226" t="s">
        <v>27</v>
      </c>
      <c r="D675" s="226" t="s">
        <v>2658</v>
      </c>
      <c r="E675" s="226" t="s">
        <v>2008</v>
      </c>
      <c r="F675" s="226">
        <v>3220324</v>
      </c>
      <c r="G675" s="227" t="s">
        <v>4304</v>
      </c>
      <c r="H675" s="226" t="s">
        <v>20</v>
      </c>
      <c r="I675" s="227" t="s">
        <v>21</v>
      </c>
      <c r="J675" s="225" t="s">
        <v>204</v>
      </c>
      <c r="K675" s="225" t="s">
        <v>1586</v>
      </c>
      <c r="L675" s="51" t="s">
        <v>211</v>
      </c>
      <c r="M675" s="226" t="s">
        <v>22</v>
      </c>
      <c r="N675" s="226" t="s">
        <v>27</v>
      </c>
      <c r="O675" s="226" t="s">
        <v>3639</v>
      </c>
      <c r="P675" s="226" t="s">
        <v>3324</v>
      </c>
      <c r="Q675" s="226" t="s">
        <v>3910</v>
      </c>
      <c r="R675" s="227" t="s">
        <v>3101</v>
      </c>
      <c r="S675" s="225" t="s">
        <v>3102</v>
      </c>
      <c r="T675" s="228">
        <v>17310344509</v>
      </c>
      <c r="U675" s="225" t="s">
        <v>3329</v>
      </c>
      <c r="V675" s="225" t="s">
        <v>3330</v>
      </c>
      <c r="W675" s="229"/>
      <c r="X675" s="230">
        <v>43217</v>
      </c>
      <c r="Y675" s="238" t="s">
        <v>27</v>
      </c>
      <c r="Z675" s="238" t="s">
        <v>27</v>
      </c>
      <c r="AA675" s="238" t="s">
        <v>27</v>
      </c>
      <c r="AB675" s="45" t="s">
        <v>2887</v>
      </c>
      <c r="AC675" s="169"/>
    </row>
    <row r="676" spans="1:29" s="68" customFormat="1" ht="15" hidden="1" customHeight="1">
      <c r="A676" s="226" t="s">
        <v>203</v>
      </c>
      <c r="B676" s="226" t="s">
        <v>302</v>
      </c>
      <c r="C676" s="226" t="s">
        <v>27</v>
      </c>
      <c r="D676" s="226" t="s">
        <v>2658</v>
      </c>
      <c r="E676" s="226" t="s">
        <v>2008</v>
      </c>
      <c r="F676" s="226">
        <v>3220259</v>
      </c>
      <c r="G676" s="227" t="s">
        <v>4305</v>
      </c>
      <c r="H676" s="226" t="s">
        <v>20</v>
      </c>
      <c r="I676" s="227" t="s">
        <v>60</v>
      </c>
      <c r="J676" s="225" t="s">
        <v>2501</v>
      </c>
      <c r="K676" s="225" t="s">
        <v>2649</v>
      </c>
      <c r="L676" s="51" t="s">
        <v>211</v>
      </c>
      <c r="M676" s="226" t="s">
        <v>27</v>
      </c>
      <c r="N676" s="226" t="s">
        <v>27</v>
      </c>
      <c r="O676" s="226" t="s">
        <v>22</v>
      </c>
      <c r="P676" s="226" t="e">
        <v>#N/A</v>
      </c>
      <c r="Q676" s="226"/>
      <c r="R676" s="227" t="s">
        <v>3076</v>
      </c>
      <c r="S676" s="225" t="s">
        <v>3077</v>
      </c>
      <c r="T676" s="228">
        <v>13381264736</v>
      </c>
      <c r="U676" s="225" t="s">
        <v>1617</v>
      </c>
      <c r="V676" s="225" t="s">
        <v>2066</v>
      </c>
      <c r="W676" s="229">
        <v>13810224127</v>
      </c>
      <c r="X676" s="230">
        <v>43215</v>
      </c>
      <c r="Y676" s="238" t="s">
        <v>27</v>
      </c>
      <c r="Z676" s="238" t="s">
        <v>27</v>
      </c>
      <c r="AA676" s="238" t="s">
        <v>27</v>
      </c>
      <c r="AB676" s="45" t="s">
        <v>2887</v>
      </c>
      <c r="AC676" s="169"/>
    </row>
    <row r="677" spans="1:29" s="68" customFormat="1" ht="15" hidden="1" customHeight="1">
      <c r="A677" s="226" t="s">
        <v>203</v>
      </c>
      <c r="B677" s="226" t="s">
        <v>305</v>
      </c>
      <c r="C677" s="226" t="s">
        <v>27</v>
      </c>
      <c r="D677" s="226" t="s">
        <v>2658</v>
      </c>
      <c r="E677" s="226" t="s">
        <v>2008</v>
      </c>
      <c r="F677" s="226">
        <v>3219917</v>
      </c>
      <c r="G677" s="227" t="s">
        <v>4306</v>
      </c>
      <c r="H677" s="226" t="s">
        <v>20</v>
      </c>
      <c r="I677" s="227" t="s">
        <v>21</v>
      </c>
      <c r="J677" s="225" t="s">
        <v>204</v>
      </c>
      <c r="K677" s="225" t="s">
        <v>206</v>
      </c>
      <c r="L677" s="51" t="s">
        <v>211</v>
      </c>
      <c r="M677" s="226" t="s">
        <v>27</v>
      </c>
      <c r="N677" s="226" t="s">
        <v>27</v>
      </c>
      <c r="O677" s="226" t="s">
        <v>22</v>
      </c>
      <c r="P677" s="226" t="e">
        <v>#N/A</v>
      </c>
      <c r="Q677" s="226"/>
      <c r="R677" s="227" t="s">
        <v>3166</v>
      </c>
      <c r="S677" s="225" t="s">
        <v>3167</v>
      </c>
      <c r="T677" s="228">
        <v>17310461939</v>
      </c>
      <c r="U677" s="225" t="s">
        <v>3331</v>
      </c>
      <c r="V677" s="225" t="s">
        <v>3332</v>
      </c>
      <c r="W677" s="229"/>
      <c r="X677" s="230">
        <v>43237</v>
      </c>
      <c r="Y677" s="238" t="s">
        <v>27</v>
      </c>
      <c r="Z677" s="238" t="s">
        <v>27</v>
      </c>
      <c r="AA677" s="238" t="s">
        <v>27</v>
      </c>
      <c r="AB677" s="45" t="s">
        <v>2887</v>
      </c>
      <c r="AC677" s="169"/>
    </row>
    <row r="678" spans="1:29" s="68" customFormat="1" ht="15" hidden="1" customHeight="1">
      <c r="A678" s="226" t="s">
        <v>203</v>
      </c>
      <c r="B678" s="226" t="s">
        <v>307</v>
      </c>
      <c r="C678" s="226" t="s">
        <v>27</v>
      </c>
      <c r="D678" s="226" t="s">
        <v>2658</v>
      </c>
      <c r="E678" s="226" t="s">
        <v>2008</v>
      </c>
      <c r="F678" s="226">
        <v>3219953</v>
      </c>
      <c r="G678" s="227" t="s">
        <v>4307</v>
      </c>
      <c r="H678" s="226" t="s">
        <v>20</v>
      </c>
      <c r="I678" s="227" t="s">
        <v>60</v>
      </c>
      <c r="J678" s="225" t="s">
        <v>2501</v>
      </c>
      <c r="K678" s="225" t="s">
        <v>2649</v>
      </c>
      <c r="L678" s="51" t="s">
        <v>2351</v>
      </c>
      <c r="M678" s="226" t="s">
        <v>27</v>
      </c>
      <c r="N678" s="226" t="s">
        <v>27</v>
      </c>
      <c r="O678" s="226" t="s">
        <v>22</v>
      </c>
      <c r="P678" s="226" t="e">
        <v>#N/A</v>
      </c>
      <c r="Q678" s="226"/>
      <c r="R678" s="227" t="s">
        <v>3081</v>
      </c>
      <c r="S678" s="225" t="s">
        <v>3082</v>
      </c>
      <c r="T678" s="228">
        <v>18911034676</v>
      </c>
      <c r="U678" s="225" t="s">
        <v>3333</v>
      </c>
      <c r="V678" s="225" t="s">
        <v>3334</v>
      </c>
      <c r="W678" s="229">
        <v>13910433130</v>
      </c>
      <c r="X678" s="230">
        <v>43214</v>
      </c>
      <c r="Y678" s="238" t="s">
        <v>27</v>
      </c>
      <c r="Z678" s="238" t="s">
        <v>27</v>
      </c>
      <c r="AA678" s="238" t="s">
        <v>27</v>
      </c>
      <c r="AB678" s="45" t="s">
        <v>2887</v>
      </c>
      <c r="AC678" s="169"/>
    </row>
    <row r="679" spans="1:29" s="68" customFormat="1" ht="15" hidden="1" customHeight="1">
      <c r="A679" s="226" t="s">
        <v>203</v>
      </c>
      <c r="B679" s="226" t="s">
        <v>309</v>
      </c>
      <c r="C679" s="226" t="s">
        <v>27</v>
      </c>
      <c r="D679" s="226" t="s">
        <v>4444</v>
      </c>
      <c r="E679" s="226" t="s">
        <v>2008</v>
      </c>
      <c r="F679" s="226">
        <v>3219865</v>
      </c>
      <c r="G679" s="227" t="s">
        <v>4308</v>
      </c>
      <c r="H679" s="226" t="s">
        <v>20</v>
      </c>
      <c r="I679" s="227" t="s">
        <v>21</v>
      </c>
      <c r="J679" s="225" t="s">
        <v>209</v>
      </c>
      <c r="K679" s="225" t="s">
        <v>26</v>
      </c>
      <c r="L679" s="51" t="s">
        <v>211</v>
      </c>
      <c r="M679" s="226" t="s">
        <v>22</v>
      </c>
      <c r="N679" s="226" t="s">
        <v>22</v>
      </c>
      <c r="O679" s="226" t="s">
        <v>3639</v>
      </c>
      <c r="P679" s="226" t="s">
        <v>3260</v>
      </c>
      <c r="Q679" s="226" t="s">
        <v>3911</v>
      </c>
      <c r="R679" s="227" t="s">
        <v>3016</v>
      </c>
      <c r="S679" s="225" t="s">
        <v>3017</v>
      </c>
      <c r="T679" s="228">
        <v>13810573975</v>
      </c>
      <c r="U679" s="225" t="s">
        <v>1101</v>
      </c>
      <c r="V679" s="225" t="s">
        <v>2067</v>
      </c>
      <c r="W679" s="229"/>
      <c r="X679" s="230">
        <v>43216</v>
      </c>
      <c r="Y679" s="238" t="s">
        <v>27</v>
      </c>
      <c r="Z679" s="238" t="s">
        <v>27</v>
      </c>
      <c r="AA679" s="238" t="s">
        <v>27</v>
      </c>
      <c r="AB679" s="45" t="s">
        <v>2887</v>
      </c>
      <c r="AC679" s="169"/>
    </row>
    <row r="680" spans="1:29" s="68" customFormat="1" ht="15" hidden="1" customHeight="1">
      <c r="A680" s="226" t="s">
        <v>203</v>
      </c>
      <c r="B680" s="226" t="s">
        <v>311</v>
      </c>
      <c r="C680" s="226" t="s">
        <v>22</v>
      </c>
      <c r="D680" s="226" t="s">
        <v>4443</v>
      </c>
      <c r="E680" s="226" t="s">
        <v>2008</v>
      </c>
      <c r="F680" s="226">
        <v>3219897</v>
      </c>
      <c r="G680" s="227" t="s">
        <v>4309</v>
      </c>
      <c r="H680" s="226" t="s">
        <v>20</v>
      </c>
      <c r="I680" s="227" t="s">
        <v>60</v>
      </c>
      <c r="J680" s="225" t="s">
        <v>2487</v>
      </c>
      <c r="K680" s="225" t="s">
        <v>2650</v>
      </c>
      <c r="L680" s="51" t="s">
        <v>211</v>
      </c>
      <c r="M680" s="226" t="s">
        <v>22</v>
      </c>
      <c r="N680" s="226" t="s">
        <v>27</v>
      </c>
      <c r="O680" s="226" t="s">
        <v>38</v>
      </c>
      <c r="P680" s="226" t="s">
        <v>3224</v>
      </c>
      <c r="Q680" s="226" t="s">
        <v>3912</v>
      </c>
      <c r="R680" s="227" t="s">
        <v>2513</v>
      </c>
      <c r="S680" s="225" t="s">
        <v>2514</v>
      </c>
      <c r="T680" s="228">
        <v>13810010194</v>
      </c>
      <c r="U680" s="225" t="s">
        <v>3335</v>
      </c>
      <c r="V680" s="225" t="s">
        <v>3336</v>
      </c>
      <c r="W680" s="229">
        <v>18911175464</v>
      </c>
      <c r="X680" s="230">
        <v>43334</v>
      </c>
      <c r="Y680" s="238" t="s">
        <v>27</v>
      </c>
      <c r="Z680" s="238" t="s">
        <v>27</v>
      </c>
      <c r="AA680" s="238" t="s">
        <v>27</v>
      </c>
      <c r="AB680" s="45" t="s">
        <v>2887</v>
      </c>
      <c r="AC680" s="169"/>
    </row>
    <row r="681" spans="1:29" s="68" customFormat="1" ht="15" hidden="1" customHeight="1">
      <c r="A681" s="226" t="s">
        <v>203</v>
      </c>
      <c r="B681" s="226" t="s">
        <v>313</v>
      </c>
      <c r="C681" s="226" t="s">
        <v>27</v>
      </c>
      <c r="D681" s="226" t="s">
        <v>2893</v>
      </c>
      <c r="E681" s="226" t="s">
        <v>2008</v>
      </c>
      <c r="F681" s="226">
        <v>3219866</v>
      </c>
      <c r="G681" s="227" t="s">
        <v>4310</v>
      </c>
      <c r="H681" s="226" t="s">
        <v>20</v>
      </c>
      <c r="I681" s="227" t="s">
        <v>21</v>
      </c>
      <c r="J681" s="225" t="s">
        <v>204</v>
      </c>
      <c r="K681" s="225" t="s">
        <v>1586</v>
      </c>
      <c r="L681" s="51" t="s">
        <v>211</v>
      </c>
      <c r="M681" s="226" t="s">
        <v>22</v>
      </c>
      <c r="N681" s="226" t="s">
        <v>27</v>
      </c>
      <c r="O681" s="226" t="s">
        <v>3639</v>
      </c>
      <c r="P681" s="226" t="s">
        <v>3238</v>
      </c>
      <c r="Q681" s="226" t="s">
        <v>3913</v>
      </c>
      <c r="R681" s="227" t="s">
        <v>3018</v>
      </c>
      <c r="S681" s="225" t="s">
        <v>3019</v>
      </c>
      <c r="T681" s="228">
        <v>18911473782</v>
      </c>
      <c r="U681" s="225" t="s">
        <v>2656</v>
      </c>
      <c r="V681" s="225" t="s">
        <v>2655</v>
      </c>
      <c r="W681" s="229"/>
      <c r="X681" s="230">
        <v>43216</v>
      </c>
      <c r="Y681" s="238" t="s">
        <v>27</v>
      </c>
      <c r="Z681" s="238" t="s">
        <v>27</v>
      </c>
      <c r="AA681" s="238" t="s">
        <v>27</v>
      </c>
      <c r="AB681" s="45" t="s">
        <v>2887</v>
      </c>
      <c r="AC681" s="169"/>
    </row>
    <row r="682" spans="1:29" s="68" customFormat="1" ht="15" hidden="1" customHeight="1">
      <c r="A682" s="226" t="s">
        <v>203</v>
      </c>
      <c r="B682" s="226" t="s">
        <v>315</v>
      </c>
      <c r="C682" s="226" t="s">
        <v>27</v>
      </c>
      <c r="D682" s="226" t="s">
        <v>2658</v>
      </c>
      <c r="E682" s="226" t="s">
        <v>2008</v>
      </c>
      <c r="F682" s="226">
        <v>3219820</v>
      </c>
      <c r="G682" s="227" t="s">
        <v>4311</v>
      </c>
      <c r="H682" s="226" t="s">
        <v>20</v>
      </c>
      <c r="I682" s="227" t="s">
        <v>60</v>
      </c>
      <c r="J682" s="225" t="s">
        <v>2486</v>
      </c>
      <c r="K682" s="225" t="s">
        <v>2358</v>
      </c>
      <c r="L682" s="51" t="s">
        <v>211</v>
      </c>
      <c r="M682" s="226" t="s">
        <v>22</v>
      </c>
      <c r="N682" s="226" t="s">
        <v>22</v>
      </c>
      <c r="O682" s="226" t="s">
        <v>3639</v>
      </c>
      <c r="P682" s="226" t="s">
        <v>3224</v>
      </c>
      <c r="Q682" s="226" t="s">
        <v>3914</v>
      </c>
      <c r="R682" s="227" t="s">
        <v>3653</v>
      </c>
      <c r="S682" s="225" t="s">
        <v>3654</v>
      </c>
      <c r="T682" s="228">
        <v>13810430494</v>
      </c>
      <c r="U682" s="225" t="s">
        <v>2119</v>
      </c>
      <c r="V682" s="225" t="s">
        <v>2068</v>
      </c>
      <c r="W682" s="229">
        <v>13260055830</v>
      </c>
      <c r="X682" s="230">
        <v>43334</v>
      </c>
      <c r="Y682" s="238" t="s">
        <v>27</v>
      </c>
      <c r="Z682" s="238" t="s">
        <v>27</v>
      </c>
      <c r="AA682" s="238" t="s">
        <v>27</v>
      </c>
      <c r="AB682" s="45" t="s">
        <v>2887</v>
      </c>
      <c r="AC682" s="169"/>
    </row>
    <row r="683" spans="1:29" s="68" customFormat="1" ht="15" hidden="1" customHeight="1">
      <c r="A683" s="226" t="s">
        <v>203</v>
      </c>
      <c r="B683" s="226" t="s">
        <v>1470</v>
      </c>
      <c r="C683" s="226" t="s">
        <v>27</v>
      </c>
      <c r="D683" s="226" t="s">
        <v>2658</v>
      </c>
      <c r="E683" s="226" t="s">
        <v>2008</v>
      </c>
      <c r="F683" s="226">
        <v>3219555</v>
      </c>
      <c r="G683" s="227" t="s">
        <v>4312</v>
      </c>
      <c r="H683" s="226" t="s">
        <v>20</v>
      </c>
      <c r="I683" s="227" t="s">
        <v>60</v>
      </c>
      <c r="J683" s="225" t="s">
        <v>1588</v>
      </c>
      <c r="K683" s="225" t="s">
        <v>2364</v>
      </c>
      <c r="L683" s="51" t="s">
        <v>211</v>
      </c>
      <c r="M683" s="226" t="s">
        <v>22</v>
      </c>
      <c r="N683" s="226" t="s">
        <v>27</v>
      </c>
      <c r="O683" s="226" t="s">
        <v>3639</v>
      </c>
      <c r="P683" s="226" t="s">
        <v>3208</v>
      </c>
      <c r="Q683" s="226" t="s">
        <v>3915</v>
      </c>
      <c r="R683" s="227" t="s">
        <v>2818</v>
      </c>
      <c r="S683" s="225" t="s">
        <v>2819</v>
      </c>
      <c r="T683" s="228">
        <v>18911124191</v>
      </c>
      <c r="U683" s="225" t="s">
        <v>3337</v>
      </c>
      <c r="V683" s="225" t="s">
        <v>3338</v>
      </c>
      <c r="W683" s="229">
        <v>13167579171</v>
      </c>
      <c r="X683" s="230">
        <v>43214</v>
      </c>
      <c r="Y683" s="238" t="s">
        <v>27</v>
      </c>
      <c r="Z683" s="238" t="s">
        <v>27</v>
      </c>
      <c r="AA683" s="238" t="s">
        <v>27</v>
      </c>
      <c r="AB683" s="45" t="s">
        <v>2887</v>
      </c>
      <c r="AC683" s="169"/>
    </row>
    <row r="684" spans="1:29" s="68" customFormat="1" ht="15" hidden="1" customHeight="1">
      <c r="A684" s="226" t="s">
        <v>203</v>
      </c>
      <c r="B684" s="226" t="s">
        <v>317</v>
      </c>
      <c r="C684" s="226" t="s">
        <v>27</v>
      </c>
      <c r="D684" s="226" t="s">
        <v>2658</v>
      </c>
      <c r="E684" s="226" t="s">
        <v>2008</v>
      </c>
      <c r="F684" s="226">
        <v>3219816</v>
      </c>
      <c r="G684" s="227" t="s">
        <v>4310</v>
      </c>
      <c r="H684" s="226" t="s">
        <v>20</v>
      </c>
      <c r="I684" s="227" t="s">
        <v>21</v>
      </c>
      <c r="J684" s="225" t="s">
        <v>204</v>
      </c>
      <c r="K684" s="225" t="s">
        <v>206</v>
      </c>
      <c r="L684" s="51" t="s">
        <v>211</v>
      </c>
      <c r="M684" s="226" t="s">
        <v>22</v>
      </c>
      <c r="N684" s="226" t="s">
        <v>27</v>
      </c>
      <c r="O684" s="226" t="s">
        <v>3639</v>
      </c>
      <c r="P684" s="226" t="s">
        <v>3215</v>
      </c>
      <c r="Q684" s="226" t="s">
        <v>3916</v>
      </c>
      <c r="R684" s="227" t="s">
        <v>3103</v>
      </c>
      <c r="S684" s="225" t="s">
        <v>3104</v>
      </c>
      <c r="T684" s="228">
        <v>18911477914</v>
      </c>
      <c r="U684" s="225" t="s">
        <v>3339</v>
      </c>
      <c r="V684" s="225" t="s">
        <v>3340</v>
      </c>
      <c r="W684" s="229"/>
      <c r="X684" s="230">
        <v>43217</v>
      </c>
      <c r="Y684" s="238" t="s">
        <v>27</v>
      </c>
      <c r="Z684" s="238" t="s">
        <v>27</v>
      </c>
      <c r="AA684" s="238" t="s">
        <v>27</v>
      </c>
      <c r="AB684" s="45" t="s">
        <v>2889</v>
      </c>
      <c r="AC684" s="169"/>
    </row>
    <row r="685" spans="1:29" s="68" customFormat="1" ht="15" hidden="1" customHeight="1">
      <c r="A685" s="226" t="s">
        <v>203</v>
      </c>
      <c r="B685" s="226" t="s">
        <v>318</v>
      </c>
      <c r="C685" s="226" t="s">
        <v>27</v>
      </c>
      <c r="D685" s="226" t="s">
        <v>2658</v>
      </c>
      <c r="E685" s="226" t="s">
        <v>2008</v>
      </c>
      <c r="F685" s="226">
        <v>3219925</v>
      </c>
      <c r="G685" s="227" t="s">
        <v>4313</v>
      </c>
      <c r="H685" s="226" t="s">
        <v>20</v>
      </c>
      <c r="I685" s="227" t="s">
        <v>21</v>
      </c>
      <c r="J685" s="225" t="s">
        <v>209</v>
      </c>
      <c r="K685" s="225" t="s">
        <v>61</v>
      </c>
      <c r="L685" s="51" t="s">
        <v>211</v>
      </c>
      <c r="M685" s="226" t="s">
        <v>22</v>
      </c>
      <c r="N685" s="226" t="s">
        <v>22</v>
      </c>
      <c r="O685" s="226" t="s">
        <v>3639</v>
      </c>
      <c r="P685" s="226" t="s">
        <v>3324</v>
      </c>
      <c r="Q685" s="226" t="s">
        <v>3917</v>
      </c>
      <c r="R685" s="227" t="s">
        <v>2515</v>
      </c>
      <c r="S685" s="225" t="s">
        <v>2034</v>
      </c>
      <c r="T685" s="228">
        <v>13810872517</v>
      </c>
      <c r="U685" s="225" t="s">
        <v>3341</v>
      </c>
      <c r="V685" s="225" t="s">
        <v>3342</v>
      </c>
      <c r="W685" s="229"/>
      <c r="X685" s="230">
        <v>43187</v>
      </c>
      <c r="Y685" s="238" t="s">
        <v>27</v>
      </c>
      <c r="Z685" s="238" t="s">
        <v>27</v>
      </c>
      <c r="AA685" s="238" t="s">
        <v>27</v>
      </c>
      <c r="AB685" s="45" t="s">
        <v>2887</v>
      </c>
      <c r="AC685" s="169"/>
    </row>
    <row r="686" spans="1:29" s="68" customFormat="1" ht="15" hidden="1" customHeight="1">
      <c r="A686" s="226" t="s">
        <v>203</v>
      </c>
      <c r="B686" s="226" t="s">
        <v>320</v>
      </c>
      <c r="C686" s="226" t="s">
        <v>27</v>
      </c>
      <c r="D686" s="226" t="s">
        <v>2658</v>
      </c>
      <c r="E686" s="226" t="s">
        <v>2008</v>
      </c>
      <c r="F686" s="226">
        <v>3219814</v>
      </c>
      <c r="G686" s="227" t="s">
        <v>4314</v>
      </c>
      <c r="H686" s="226" t="s">
        <v>20</v>
      </c>
      <c r="I686" s="227" t="s">
        <v>60</v>
      </c>
      <c r="J686" s="225" t="s">
        <v>3834</v>
      </c>
      <c r="K686" s="225" t="s">
        <v>2390</v>
      </c>
      <c r="L686" s="51" t="s">
        <v>211</v>
      </c>
      <c r="M686" s="226" t="s">
        <v>22</v>
      </c>
      <c r="N686" s="226" t="s">
        <v>22</v>
      </c>
      <c r="O686" s="226" t="s">
        <v>27</v>
      </c>
      <c r="P686" s="226" t="s">
        <v>3212</v>
      </c>
      <c r="Q686" s="226" t="s">
        <v>3918</v>
      </c>
      <c r="R686" s="227" t="s">
        <v>3020</v>
      </c>
      <c r="S686" s="225" t="s">
        <v>3021</v>
      </c>
      <c r="T686" s="228">
        <v>13800001335</v>
      </c>
      <c r="U686" s="225" t="s">
        <v>3343</v>
      </c>
      <c r="V686" s="225" t="s">
        <v>3344</v>
      </c>
      <c r="W686" s="229">
        <v>13800001331</v>
      </c>
      <c r="X686" s="230">
        <v>43287</v>
      </c>
      <c r="Y686" s="238" t="s">
        <v>27</v>
      </c>
      <c r="Z686" s="238" t="s">
        <v>27</v>
      </c>
      <c r="AA686" s="238" t="s">
        <v>27</v>
      </c>
      <c r="AB686" s="45" t="s">
        <v>2887</v>
      </c>
      <c r="AC686" s="169"/>
    </row>
    <row r="687" spans="1:29" s="68" customFormat="1" ht="15" hidden="1" customHeight="1">
      <c r="A687" s="226" t="s">
        <v>203</v>
      </c>
      <c r="B687" s="226" t="s">
        <v>321</v>
      </c>
      <c r="C687" s="226" t="s">
        <v>27</v>
      </c>
      <c r="D687" s="226" t="s">
        <v>2893</v>
      </c>
      <c r="E687" s="226" t="s">
        <v>2008</v>
      </c>
      <c r="F687" s="226">
        <v>3219857</v>
      </c>
      <c r="G687" s="227" t="s">
        <v>4315</v>
      </c>
      <c r="H687" s="226" t="s">
        <v>20</v>
      </c>
      <c r="I687" s="227" t="s">
        <v>21</v>
      </c>
      <c r="J687" s="225" t="s">
        <v>209</v>
      </c>
      <c r="K687" s="225" t="s">
        <v>26</v>
      </c>
      <c r="L687" s="51" t="s">
        <v>211</v>
      </c>
      <c r="M687" s="226" t="s">
        <v>22</v>
      </c>
      <c r="N687" s="226" t="s">
        <v>22</v>
      </c>
      <c r="O687" s="226" t="s">
        <v>3639</v>
      </c>
      <c r="P687" s="226" t="s">
        <v>3221</v>
      </c>
      <c r="Q687" s="226" t="s">
        <v>3919</v>
      </c>
      <c r="R687" s="227" t="s">
        <v>2925</v>
      </c>
      <c r="S687" s="225" t="s">
        <v>2926</v>
      </c>
      <c r="T687" s="228">
        <v>13800001326</v>
      </c>
      <c r="U687" s="225" t="s">
        <v>3345</v>
      </c>
      <c r="V687" s="225" t="s">
        <v>3346</v>
      </c>
      <c r="W687" s="229"/>
      <c r="X687" s="230">
        <v>43215</v>
      </c>
      <c r="Y687" s="238" t="s">
        <v>27</v>
      </c>
      <c r="Z687" s="238" t="s">
        <v>27</v>
      </c>
      <c r="AA687" s="238" t="s">
        <v>27</v>
      </c>
      <c r="AB687" s="45" t="s">
        <v>2887</v>
      </c>
      <c r="AC687" s="169"/>
    </row>
    <row r="688" spans="1:29" s="68" customFormat="1" ht="15" hidden="1" customHeight="1">
      <c r="A688" s="226" t="s">
        <v>203</v>
      </c>
      <c r="B688" s="226" t="s">
        <v>322</v>
      </c>
      <c r="C688" s="226" t="s">
        <v>27</v>
      </c>
      <c r="D688" s="226" t="s">
        <v>4443</v>
      </c>
      <c r="E688" s="226" t="s">
        <v>2008</v>
      </c>
      <c r="F688" s="226">
        <v>3219808</v>
      </c>
      <c r="G688" s="227" t="s">
        <v>4316</v>
      </c>
      <c r="H688" s="226" t="s">
        <v>20</v>
      </c>
      <c r="I688" s="227" t="s">
        <v>21</v>
      </c>
      <c r="J688" s="225" t="s">
        <v>209</v>
      </c>
      <c r="K688" s="225" t="s">
        <v>26</v>
      </c>
      <c r="L688" s="51" t="s">
        <v>211</v>
      </c>
      <c r="M688" s="226" t="s">
        <v>22</v>
      </c>
      <c r="N688" s="226" t="s">
        <v>22</v>
      </c>
      <c r="O688" s="226" t="s">
        <v>3639</v>
      </c>
      <c r="P688" s="226" t="s">
        <v>3324</v>
      </c>
      <c r="Q688" s="226" t="s">
        <v>3920</v>
      </c>
      <c r="R688" s="227" t="s">
        <v>2516</v>
      </c>
      <c r="S688" s="225" t="s">
        <v>2035</v>
      </c>
      <c r="T688" s="228">
        <v>13810286441</v>
      </c>
      <c r="U688" s="225" t="s">
        <v>3347</v>
      </c>
      <c r="V688" s="225" t="s">
        <v>3348</v>
      </c>
      <c r="W688" s="229"/>
      <c r="X688" s="230">
        <v>43187</v>
      </c>
      <c r="Y688" s="238" t="s">
        <v>27</v>
      </c>
      <c r="Z688" s="238" t="s">
        <v>27</v>
      </c>
      <c r="AA688" s="238" t="s">
        <v>27</v>
      </c>
      <c r="AB688" s="45" t="s">
        <v>2887</v>
      </c>
      <c r="AC688" s="169"/>
    </row>
    <row r="689" spans="1:29" s="68" customFormat="1" ht="15" hidden="1" customHeight="1">
      <c r="A689" s="226" t="s">
        <v>203</v>
      </c>
      <c r="B689" s="226" t="s">
        <v>323</v>
      </c>
      <c r="C689" s="226" t="s">
        <v>27</v>
      </c>
      <c r="D689" s="226" t="s">
        <v>4443</v>
      </c>
      <c r="E689" s="226" t="s">
        <v>2008</v>
      </c>
      <c r="F689" s="226">
        <v>2794224</v>
      </c>
      <c r="G689" s="227" t="s">
        <v>4317</v>
      </c>
      <c r="H689" s="226" t="s">
        <v>20</v>
      </c>
      <c r="I689" s="227" t="s">
        <v>60</v>
      </c>
      <c r="J689" s="225" t="s">
        <v>2501</v>
      </c>
      <c r="K689" s="225" t="s">
        <v>2649</v>
      </c>
      <c r="L689" s="51" t="s">
        <v>211</v>
      </c>
      <c r="M689" s="226" t="s">
        <v>22</v>
      </c>
      <c r="N689" s="226" t="s">
        <v>27</v>
      </c>
      <c r="O689" s="226" t="s">
        <v>3639</v>
      </c>
      <c r="P689" s="226" t="s">
        <v>3276</v>
      </c>
      <c r="Q689" s="226" t="s">
        <v>3921</v>
      </c>
      <c r="R689" s="227" t="s">
        <v>2517</v>
      </c>
      <c r="S689" s="225" t="s">
        <v>1596</v>
      </c>
      <c r="T689" s="228">
        <v>18010341443</v>
      </c>
      <c r="U689" s="225" t="s">
        <v>1620</v>
      </c>
      <c r="V689" s="225" t="s">
        <v>2071</v>
      </c>
      <c r="W689" s="229">
        <v>13910409544</v>
      </c>
      <c r="X689" s="230"/>
      <c r="Y689" s="238" t="s">
        <v>27</v>
      </c>
      <c r="Z689" s="238" t="s">
        <v>27</v>
      </c>
      <c r="AA689" s="238" t="s">
        <v>27</v>
      </c>
      <c r="AB689" s="45" t="s">
        <v>2887</v>
      </c>
      <c r="AC689" s="169"/>
    </row>
    <row r="690" spans="1:29" s="68" customFormat="1" ht="15" hidden="1" customHeight="1">
      <c r="A690" s="226" t="s">
        <v>203</v>
      </c>
      <c r="B690" s="226" t="s">
        <v>325</v>
      </c>
      <c r="C690" s="226" t="s">
        <v>27</v>
      </c>
      <c r="D690" s="226" t="s">
        <v>2658</v>
      </c>
      <c r="E690" s="226" t="s">
        <v>2008</v>
      </c>
      <c r="F690" s="226">
        <v>3219852</v>
      </c>
      <c r="G690" s="227" t="s">
        <v>4307</v>
      </c>
      <c r="H690" s="226" t="s">
        <v>20</v>
      </c>
      <c r="I690" s="227" t="s">
        <v>21</v>
      </c>
      <c r="J690" s="225" t="s">
        <v>204</v>
      </c>
      <c r="K690" s="225" t="s">
        <v>206</v>
      </c>
      <c r="L690" s="51" t="s">
        <v>211</v>
      </c>
      <c r="M690" s="226" t="s">
        <v>27</v>
      </c>
      <c r="N690" s="226" t="s">
        <v>27</v>
      </c>
      <c r="O690" s="226" t="s">
        <v>22</v>
      </c>
      <c r="P690" s="226" t="e">
        <v>#N/A</v>
      </c>
      <c r="Q690" s="226"/>
      <c r="R690" s="227" t="s">
        <v>3184</v>
      </c>
      <c r="S690" s="225" t="s">
        <v>3185</v>
      </c>
      <c r="T690" s="228">
        <v>17310493075</v>
      </c>
      <c r="U690" s="225" t="s">
        <v>3349</v>
      </c>
      <c r="V690" s="225" t="s">
        <v>3350</v>
      </c>
      <c r="W690" s="229"/>
      <c r="X690" s="230">
        <v>43237</v>
      </c>
      <c r="Y690" s="238" t="s">
        <v>27</v>
      </c>
      <c r="Z690" s="238" t="s">
        <v>27</v>
      </c>
      <c r="AA690" s="238" t="s">
        <v>27</v>
      </c>
      <c r="AB690" s="45" t="s">
        <v>2887</v>
      </c>
      <c r="AC690" s="169"/>
    </row>
    <row r="691" spans="1:29" s="68" customFormat="1" ht="15" hidden="1" customHeight="1">
      <c r="A691" s="226" t="s">
        <v>203</v>
      </c>
      <c r="B691" s="226" t="s">
        <v>326</v>
      </c>
      <c r="C691" s="226" t="s">
        <v>27</v>
      </c>
      <c r="D691" s="226" t="s">
        <v>4443</v>
      </c>
      <c r="E691" s="226" t="s">
        <v>2008</v>
      </c>
      <c r="F691" s="226">
        <v>3219847</v>
      </c>
      <c r="G691" s="227" t="s">
        <v>4318</v>
      </c>
      <c r="H691" s="226" t="s">
        <v>20</v>
      </c>
      <c r="I691" s="227" t="s">
        <v>21</v>
      </c>
      <c r="J691" s="225" t="s">
        <v>1587</v>
      </c>
      <c r="K691" s="225" t="s">
        <v>206</v>
      </c>
      <c r="L691" s="51" t="s">
        <v>211</v>
      </c>
      <c r="M691" s="226" t="s">
        <v>22</v>
      </c>
      <c r="N691" s="226" t="s">
        <v>22</v>
      </c>
      <c r="O691" s="226" t="s">
        <v>27</v>
      </c>
      <c r="P691" s="226" t="s">
        <v>3870</v>
      </c>
      <c r="Q691" s="226" t="s">
        <v>3922</v>
      </c>
      <c r="R691" s="227" t="s">
        <v>2518</v>
      </c>
      <c r="S691" s="225" t="s">
        <v>1597</v>
      </c>
      <c r="T691" s="228">
        <v>18900670336</v>
      </c>
      <c r="U691" s="225" t="s">
        <v>3351</v>
      </c>
      <c r="V691" s="225" t="s">
        <v>3352</v>
      </c>
      <c r="W691" s="229"/>
      <c r="X691" s="230"/>
      <c r="Y691" s="238" t="s">
        <v>27</v>
      </c>
      <c r="Z691" s="238" t="s">
        <v>27</v>
      </c>
      <c r="AA691" s="238" t="s">
        <v>27</v>
      </c>
      <c r="AB691" s="45" t="s">
        <v>2887</v>
      </c>
      <c r="AC691" s="169"/>
    </row>
    <row r="692" spans="1:29" s="68" customFormat="1" ht="15" hidden="1" customHeight="1">
      <c r="A692" s="226" t="s">
        <v>203</v>
      </c>
      <c r="B692" s="226" t="s">
        <v>328</v>
      </c>
      <c r="C692" s="226" t="s">
        <v>27</v>
      </c>
      <c r="D692" s="226" t="s">
        <v>4443</v>
      </c>
      <c r="E692" s="226" t="s">
        <v>2008</v>
      </c>
      <c r="F692" s="226">
        <v>3220060</v>
      </c>
      <c r="G692" s="227" t="s">
        <v>4319</v>
      </c>
      <c r="H692" s="226" t="s">
        <v>20</v>
      </c>
      <c r="I692" s="227" t="s">
        <v>60</v>
      </c>
      <c r="J692" s="225" t="s">
        <v>3923</v>
      </c>
      <c r="K692" s="225" t="s">
        <v>2649</v>
      </c>
      <c r="L692" s="51" t="s">
        <v>211</v>
      </c>
      <c r="M692" s="226" t="s">
        <v>22</v>
      </c>
      <c r="N692" s="226" t="s">
        <v>22</v>
      </c>
      <c r="O692" s="226" t="s">
        <v>27</v>
      </c>
      <c r="P692" s="226" t="s">
        <v>3870</v>
      </c>
      <c r="Q692" s="226" t="s">
        <v>3924</v>
      </c>
      <c r="R692" s="227" t="s">
        <v>3105</v>
      </c>
      <c r="S692" s="225" t="s">
        <v>3106</v>
      </c>
      <c r="T692" s="228">
        <v>18900670307</v>
      </c>
      <c r="U692" s="225" t="s">
        <v>3353</v>
      </c>
      <c r="V692" s="225" t="s">
        <v>3354</v>
      </c>
      <c r="W692" s="229">
        <v>13800001326</v>
      </c>
      <c r="X692" s="230">
        <v>43287</v>
      </c>
      <c r="Y692" s="238" t="s">
        <v>27</v>
      </c>
      <c r="Z692" s="238" t="s">
        <v>27</v>
      </c>
      <c r="AA692" s="238" t="s">
        <v>27</v>
      </c>
      <c r="AB692" s="45" t="s">
        <v>2887</v>
      </c>
      <c r="AC692" s="169"/>
    </row>
    <row r="693" spans="1:29" s="68" customFormat="1" ht="15" hidden="1" customHeight="1">
      <c r="A693" s="226" t="s">
        <v>203</v>
      </c>
      <c r="B693" s="226" t="s">
        <v>329</v>
      </c>
      <c r="C693" s="226" t="s">
        <v>27</v>
      </c>
      <c r="D693" s="226" t="s">
        <v>4320</v>
      </c>
      <c r="E693" s="226" t="s">
        <v>2008</v>
      </c>
      <c r="F693" s="226">
        <v>3220048</v>
      </c>
      <c r="G693" s="227" t="s">
        <v>4321</v>
      </c>
      <c r="H693" s="226" t="s">
        <v>20</v>
      </c>
      <c r="I693" s="227" t="s">
        <v>21</v>
      </c>
      <c r="J693" s="225" t="s">
        <v>209</v>
      </c>
      <c r="K693" s="225" t="s">
        <v>26</v>
      </c>
      <c r="L693" s="51" t="s">
        <v>211</v>
      </c>
      <c r="M693" s="226" t="s">
        <v>22</v>
      </c>
      <c r="N693" s="226" t="s">
        <v>22</v>
      </c>
      <c r="O693" s="226" t="s">
        <v>3639</v>
      </c>
      <c r="P693" s="226" t="s">
        <v>3205</v>
      </c>
      <c r="Q693" s="226" t="s">
        <v>3925</v>
      </c>
      <c r="R693" s="227" t="s">
        <v>3022</v>
      </c>
      <c r="S693" s="225" t="s">
        <v>3023</v>
      </c>
      <c r="T693" s="228">
        <v>13911711495</v>
      </c>
      <c r="U693" s="225" t="s">
        <v>1621</v>
      </c>
      <c r="V693" s="225" t="s">
        <v>2072</v>
      </c>
      <c r="W693" s="229"/>
      <c r="X693" s="230">
        <v>43216</v>
      </c>
      <c r="Y693" s="238" t="s">
        <v>27</v>
      </c>
      <c r="Z693" s="238" t="s">
        <v>27</v>
      </c>
      <c r="AA693" s="238" t="s">
        <v>27</v>
      </c>
      <c r="AB693" s="45" t="s">
        <v>2887</v>
      </c>
      <c r="AC693" s="169"/>
    </row>
    <row r="694" spans="1:29" s="68" customFormat="1" ht="15" hidden="1" customHeight="1">
      <c r="A694" s="226" t="s">
        <v>203</v>
      </c>
      <c r="B694" s="226" t="s">
        <v>331</v>
      </c>
      <c r="C694" s="226" t="s">
        <v>27</v>
      </c>
      <c r="D694" s="226" t="s">
        <v>2893</v>
      </c>
      <c r="E694" s="226" t="s">
        <v>2008</v>
      </c>
      <c r="F694" s="226">
        <v>2794226</v>
      </c>
      <c r="G694" s="227" t="s">
        <v>4322</v>
      </c>
      <c r="H694" s="226" t="s">
        <v>20</v>
      </c>
      <c r="I694" s="227" t="s">
        <v>21</v>
      </c>
      <c r="J694" s="225" t="s">
        <v>209</v>
      </c>
      <c r="K694" s="225" t="s">
        <v>26</v>
      </c>
      <c r="L694" s="51" t="s">
        <v>211</v>
      </c>
      <c r="M694" s="226" t="s">
        <v>22</v>
      </c>
      <c r="N694" s="226" t="s">
        <v>22</v>
      </c>
      <c r="O694" s="226" t="s">
        <v>3639</v>
      </c>
      <c r="P694" s="226" t="s">
        <v>3205</v>
      </c>
      <c r="Q694" s="226" t="s">
        <v>3926</v>
      </c>
      <c r="R694" s="227" t="s">
        <v>2820</v>
      </c>
      <c r="S694" s="225" t="s">
        <v>2821</v>
      </c>
      <c r="T694" s="228">
        <v>13810561823</v>
      </c>
      <c r="U694" s="225" t="s">
        <v>1622</v>
      </c>
      <c r="V694" s="225" t="s">
        <v>2073</v>
      </c>
      <c r="W694" s="229"/>
      <c r="X694" s="230">
        <v>43214</v>
      </c>
      <c r="Y694" s="238" t="s">
        <v>27</v>
      </c>
      <c r="Z694" s="238" t="s">
        <v>27</v>
      </c>
      <c r="AA694" s="238" t="s">
        <v>27</v>
      </c>
      <c r="AB694" s="45" t="s">
        <v>2887</v>
      </c>
      <c r="AC694" s="169"/>
    </row>
    <row r="695" spans="1:29" s="68" customFormat="1" ht="15" hidden="1" customHeight="1">
      <c r="A695" s="226" t="s">
        <v>203</v>
      </c>
      <c r="B695" s="226" t="s">
        <v>332</v>
      </c>
      <c r="C695" s="226" t="s">
        <v>27</v>
      </c>
      <c r="D695" s="226" t="s">
        <v>2658</v>
      </c>
      <c r="E695" s="226" t="s">
        <v>2008</v>
      </c>
      <c r="F695" s="226">
        <v>2794386</v>
      </c>
      <c r="G695" s="227" t="s">
        <v>4306</v>
      </c>
      <c r="H695" s="226" t="s">
        <v>20</v>
      </c>
      <c r="I695" s="227" t="s">
        <v>21</v>
      </c>
      <c r="J695" s="225" t="s">
        <v>209</v>
      </c>
      <c r="K695" s="225" t="s">
        <v>26</v>
      </c>
      <c r="L695" s="51" t="s">
        <v>211</v>
      </c>
      <c r="M695" s="226" t="s">
        <v>27</v>
      </c>
      <c r="N695" s="226" t="s">
        <v>22</v>
      </c>
      <c r="O695" s="226" t="s">
        <v>3639</v>
      </c>
      <c r="P695" s="226" t="e">
        <v>#N/A</v>
      </c>
      <c r="Q695" s="226"/>
      <c r="R695" s="227" t="s">
        <v>3741</v>
      </c>
      <c r="S695" s="225" t="s">
        <v>3742</v>
      </c>
      <c r="T695" s="228">
        <v>13810788923</v>
      </c>
      <c r="U695" s="225"/>
      <c r="V695" s="225"/>
      <c r="W695" s="229"/>
      <c r="X695" s="230">
        <v>43237</v>
      </c>
      <c r="Y695" s="238" t="s">
        <v>27</v>
      </c>
      <c r="Z695" s="238" t="s">
        <v>27</v>
      </c>
      <c r="AA695" s="238" t="s">
        <v>27</v>
      </c>
      <c r="AB695" s="45" t="s">
        <v>2888</v>
      </c>
      <c r="AC695" s="169"/>
    </row>
    <row r="696" spans="1:29" s="68" customFormat="1" ht="15" hidden="1" customHeight="1">
      <c r="A696" s="226" t="s">
        <v>203</v>
      </c>
      <c r="B696" s="226" t="s">
        <v>333</v>
      </c>
      <c r="C696" s="226" t="s">
        <v>27</v>
      </c>
      <c r="D696" s="226" t="s">
        <v>2893</v>
      </c>
      <c r="E696" s="226" t="s">
        <v>2008</v>
      </c>
      <c r="F696" s="226">
        <v>3219754</v>
      </c>
      <c r="G696" s="227" t="s">
        <v>4322</v>
      </c>
      <c r="H696" s="226" t="s">
        <v>20</v>
      </c>
      <c r="I696" s="227" t="s">
        <v>60</v>
      </c>
      <c r="J696" s="225" t="s">
        <v>2486</v>
      </c>
      <c r="K696" s="225" t="s">
        <v>2651</v>
      </c>
      <c r="L696" s="51" t="s">
        <v>211</v>
      </c>
      <c r="M696" s="226" t="s">
        <v>22</v>
      </c>
      <c r="N696" s="226" t="s">
        <v>22</v>
      </c>
      <c r="O696" s="226" t="s">
        <v>3639</v>
      </c>
      <c r="P696" s="226" t="s">
        <v>3211</v>
      </c>
      <c r="Q696" s="226" t="s">
        <v>3927</v>
      </c>
      <c r="R696" s="227" t="s">
        <v>3355</v>
      </c>
      <c r="S696" s="225" t="s">
        <v>3356</v>
      </c>
      <c r="T696" s="228">
        <v>13811080285</v>
      </c>
      <c r="U696" s="225" t="s">
        <v>3357</v>
      </c>
      <c r="V696" s="225" t="s">
        <v>3358</v>
      </c>
      <c r="W696" s="229">
        <v>13260033301</v>
      </c>
      <c r="X696" s="230">
        <v>43323</v>
      </c>
      <c r="Y696" s="238" t="s">
        <v>27</v>
      </c>
      <c r="Z696" s="238" t="s">
        <v>27</v>
      </c>
      <c r="AA696" s="238" t="s">
        <v>27</v>
      </c>
      <c r="AB696" s="45" t="s">
        <v>2887</v>
      </c>
      <c r="AC696" s="169"/>
    </row>
    <row r="697" spans="1:29" s="68" customFormat="1" ht="15" hidden="1" customHeight="1">
      <c r="A697" s="226" t="s">
        <v>203</v>
      </c>
      <c r="B697" s="226" t="s">
        <v>334</v>
      </c>
      <c r="C697" s="226" t="s">
        <v>27</v>
      </c>
      <c r="D697" s="226" t="s">
        <v>4443</v>
      </c>
      <c r="E697" s="226" t="s">
        <v>2008</v>
      </c>
      <c r="F697" s="226">
        <v>3219697</v>
      </c>
      <c r="G697" s="227" t="s">
        <v>4308</v>
      </c>
      <c r="H697" s="226" t="s">
        <v>20</v>
      </c>
      <c r="I697" s="227" t="s">
        <v>60</v>
      </c>
      <c r="J697" s="225" t="s">
        <v>2501</v>
      </c>
      <c r="K697" s="225" t="s">
        <v>2649</v>
      </c>
      <c r="L697" s="51" t="s">
        <v>211</v>
      </c>
      <c r="M697" s="226" t="s">
        <v>22</v>
      </c>
      <c r="N697" s="226" t="s">
        <v>27</v>
      </c>
      <c r="O697" s="226" t="s">
        <v>3639</v>
      </c>
      <c r="P697" s="226" t="s">
        <v>3276</v>
      </c>
      <c r="Q697" s="226" t="s">
        <v>3928</v>
      </c>
      <c r="R697" s="227" t="s">
        <v>2519</v>
      </c>
      <c r="S697" s="225" t="s">
        <v>1598</v>
      </c>
      <c r="T697" s="228">
        <v>18010341445</v>
      </c>
      <c r="U697" s="225" t="s">
        <v>3359</v>
      </c>
      <c r="V697" s="225" t="s">
        <v>3360</v>
      </c>
      <c r="W697" s="229">
        <v>13810595890</v>
      </c>
      <c r="X697" s="230">
        <v>43197</v>
      </c>
      <c r="Y697" s="238" t="s">
        <v>27</v>
      </c>
      <c r="Z697" s="238" t="s">
        <v>27</v>
      </c>
      <c r="AA697" s="238" t="s">
        <v>27</v>
      </c>
      <c r="AB697" s="45" t="s">
        <v>2887</v>
      </c>
      <c r="AC697" s="169"/>
    </row>
    <row r="698" spans="1:29" s="68" customFormat="1" ht="15" hidden="1" customHeight="1">
      <c r="A698" s="226" t="s">
        <v>203</v>
      </c>
      <c r="B698" s="226" t="s">
        <v>335</v>
      </c>
      <c r="C698" s="226" t="s">
        <v>27</v>
      </c>
      <c r="D698" s="226" t="s">
        <v>2658</v>
      </c>
      <c r="E698" s="226" t="s">
        <v>2008</v>
      </c>
      <c r="F698" s="226">
        <v>3219869</v>
      </c>
      <c r="G698" s="227" t="s">
        <v>4287</v>
      </c>
      <c r="H698" s="226" t="s">
        <v>20</v>
      </c>
      <c r="I698" s="227" t="s">
        <v>21</v>
      </c>
      <c r="J698" s="225" t="s">
        <v>209</v>
      </c>
      <c r="K698" s="225" t="s">
        <v>26</v>
      </c>
      <c r="L698" s="51" t="s">
        <v>2351</v>
      </c>
      <c r="M698" s="226" t="s">
        <v>27</v>
      </c>
      <c r="N698" s="226" t="s">
        <v>22</v>
      </c>
      <c r="O698" s="226" t="s">
        <v>3639</v>
      </c>
      <c r="P698" s="226" t="e">
        <v>#N/A</v>
      </c>
      <c r="Q698" s="226"/>
      <c r="R698" s="227" t="s">
        <v>3186</v>
      </c>
      <c r="S698" s="225" t="s">
        <v>3187</v>
      </c>
      <c r="T698" s="228">
        <v>13811021835</v>
      </c>
      <c r="U698" s="225" t="s">
        <v>3361</v>
      </c>
      <c r="V698" s="225" t="s">
        <v>3362</v>
      </c>
      <c r="W698" s="229"/>
      <c r="X698" s="230">
        <v>43237</v>
      </c>
      <c r="Y698" s="238" t="s">
        <v>27</v>
      </c>
      <c r="Z698" s="238" t="s">
        <v>27</v>
      </c>
      <c r="AA698" s="238" t="s">
        <v>27</v>
      </c>
      <c r="AB698" s="45" t="s">
        <v>2887</v>
      </c>
      <c r="AC698" s="169"/>
    </row>
    <row r="699" spans="1:29" s="68" customFormat="1" ht="15" hidden="1" customHeight="1">
      <c r="A699" s="226" t="s">
        <v>203</v>
      </c>
      <c r="B699" s="226" t="s">
        <v>4323</v>
      </c>
      <c r="C699" s="226" t="s">
        <v>27</v>
      </c>
      <c r="D699" s="226" t="s">
        <v>4444</v>
      </c>
      <c r="E699" s="226" t="s">
        <v>2008</v>
      </c>
      <c r="F699" s="226">
        <v>3220317</v>
      </c>
      <c r="G699" s="227" t="s">
        <v>4324</v>
      </c>
      <c r="H699" s="226" t="s">
        <v>20</v>
      </c>
      <c r="I699" s="227" t="s">
        <v>21</v>
      </c>
      <c r="J699" s="225" t="s">
        <v>223</v>
      </c>
      <c r="K699" s="225" t="s">
        <v>337</v>
      </c>
      <c r="L699" s="51" t="s">
        <v>211</v>
      </c>
      <c r="M699" s="226" t="s">
        <v>22</v>
      </c>
      <c r="N699" s="226" t="s">
        <v>22</v>
      </c>
      <c r="O699" s="226" t="s">
        <v>3639</v>
      </c>
      <c r="P699" s="226" t="s">
        <v>3260</v>
      </c>
      <c r="Q699" s="226" t="s">
        <v>4325</v>
      </c>
      <c r="R699" s="227" t="s">
        <v>3024</v>
      </c>
      <c r="S699" s="225" t="s">
        <v>3025</v>
      </c>
      <c r="T699" s="228">
        <v>18612498409</v>
      </c>
      <c r="U699" s="225" t="s">
        <v>3363</v>
      </c>
      <c r="V699" s="225" t="s">
        <v>3364</v>
      </c>
      <c r="W699" s="229"/>
      <c r="X699" s="230">
        <v>43216</v>
      </c>
      <c r="Y699" s="238" t="s">
        <v>27</v>
      </c>
      <c r="Z699" s="238" t="s">
        <v>27</v>
      </c>
      <c r="AA699" s="238" t="s">
        <v>27</v>
      </c>
      <c r="AB699" s="45" t="s">
        <v>2889</v>
      </c>
      <c r="AC699" s="169"/>
    </row>
    <row r="700" spans="1:29" s="68" customFormat="1" ht="15" hidden="1" customHeight="1">
      <c r="A700" s="226" t="s">
        <v>203</v>
      </c>
      <c r="B700" s="226" t="s">
        <v>1471</v>
      </c>
      <c r="C700" s="226" t="s">
        <v>27</v>
      </c>
      <c r="D700" s="226" t="s">
        <v>2893</v>
      </c>
      <c r="E700" s="226" t="s">
        <v>2008</v>
      </c>
      <c r="F700" s="226">
        <v>3220309</v>
      </c>
      <c r="G700" s="227" t="s">
        <v>4326</v>
      </c>
      <c r="H700" s="226" t="s">
        <v>20</v>
      </c>
      <c r="I700" s="227" t="s">
        <v>21</v>
      </c>
      <c r="J700" s="225" t="s">
        <v>209</v>
      </c>
      <c r="K700" s="225" t="s">
        <v>26</v>
      </c>
      <c r="L700" s="51" t="s">
        <v>211</v>
      </c>
      <c r="M700" s="226" t="s">
        <v>22</v>
      </c>
      <c r="N700" s="226" t="s">
        <v>22</v>
      </c>
      <c r="O700" s="226" t="s">
        <v>3639</v>
      </c>
      <c r="P700" s="226" t="s">
        <v>3221</v>
      </c>
      <c r="Q700" s="226" t="s">
        <v>3929</v>
      </c>
      <c r="R700" s="227" t="s">
        <v>2822</v>
      </c>
      <c r="S700" s="225" t="s">
        <v>2823</v>
      </c>
      <c r="T700" s="228">
        <v>13810396281</v>
      </c>
      <c r="U700" s="225" t="s">
        <v>3365</v>
      </c>
      <c r="V700" s="225" t="s">
        <v>3366</v>
      </c>
      <c r="W700" s="229"/>
      <c r="X700" s="230">
        <v>43213</v>
      </c>
      <c r="Y700" s="238" t="s">
        <v>27</v>
      </c>
      <c r="Z700" s="238" t="s">
        <v>27</v>
      </c>
      <c r="AA700" s="238" t="s">
        <v>27</v>
      </c>
      <c r="AB700" s="45" t="s">
        <v>2887</v>
      </c>
      <c r="AC700" s="169"/>
    </row>
    <row r="701" spans="1:29" s="68" customFormat="1" ht="15" hidden="1" customHeight="1">
      <c r="A701" s="226" t="s">
        <v>203</v>
      </c>
      <c r="B701" s="226" t="s">
        <v>1472</v>
      </c>
      <c r="C701" s="226" t="s">
        <v>27</v>
      </c>
      <c r="D701" s="226" t="s">
        <v>2893</v>
      </c>
      <c r="E701" s="226" t="s">
        <v>2008</v>
      </c>
      <c r="F701" s="226">
        <v>3220229</v>
      </c>
      <c r="G701" s="227" t="s">
        <v>4327</v>
      </c>
      <c r="H701" s="226" t="s">
        <v>20</v>
      </c>
      <c r="I701" s="227" t="s">
        <v>60</v>
      </c>
      <c r="J701" s="225" t="s">
        <v>2486</v>
      </c>
      <c r="K701" s="225" t="s">
        <v>2651</v>
      </c>
      <c r="L701" s="51" t="s">
        <v>211</v>
      </c>
      <c r="M701" s="226" t="s">
        <v>22</v>
      </c>
      <c r="N701" s="226" t="s">
        <v>22</v>
      </c>
      <c r="O701" s="226" t="s">
        <v>3639</v>
      </c>
      <c r="P701" s="226" t="s">
        <v>3224</v>
      </c>
      <c r="Q701" s="226" t="s">
        <v>3930</v>
      </c>
      <c r="R701" s="227" t="s">
        <v>2520</v>
      </c>
      <c r="S701" s="225" t="s">
        <v>2162</v>
      </c>
      <c r="T701" s="228">
        <v>13810825702</v>
      </c>
      <c r="U701" s="225" t="s">
        <v>3367</v>
      </c>
      <c r="V701" s="225" t="s">
        <v>3368</v>
      </c>
      <c r="W701" s="229">
        <v>13121576971</v>
      </c>
      <c r="X701" s="230">
        <v>43334</v>
      </c>
      <c r="Y701" s="238" t="s">
        <v>27</v>
      </c>
      <c r="Z701" s="238" t="s">
        <v>27</v>
      </c>
      <c r="AA701" s="238" t="s">
        <v>27</v>
      </c>
      <c r="AB701" s="45" t="s">
        <v>2887</v>
      </c>
      <c r="AC701" s="169"/>
    </row>
    <row r="702" spans="1:29" s="68" customFormat="1" ht="15" hidden="1" customHeight="1">
      <c r="A702" s="226" t="s">
        <v>203</v>
      </c>
      <c r="B702" s="226" t="s">
        <v>1473</v>
      </c>
      <c r="C702" s="226" t="s">
        <v>22</v>
      </c>
      <c r="D702" s="226" t="s">
        <v>4443</v>
      </c>
      <c r="E702" s="226" t="s">
        <v>2008</v>
      </c>
      <c r="F702" s="226">
        <v>3220166</v>
      </c>
      <c r="G702" s="227" t="s">
        <v>4328</v>
      </c>
      <c r="H702" s="226" t="s">
        <v>20</v>
      </c>
      <c r="I702" s="227" t="s">
        <v>60</v>
      </c>
      <c r="J702" s="225" t="s">
        <v>2501</v>
      </c>
      <c r="K702" s="225" t="s">
        <v>2649</v>
      </c>
      <c r="L702" s="51" t="s">
        <v>211</v>
      </c>
      <c r="M702" s="226" t="s">
        <v>22</v>
      </c>
      <c r="N702" s="226" t="s">
        <v>27</v>
      </c>
      <c r="O702" s="226" t="s">
        <v>38</v>
      </c>
      <c r="P702" s="226" t="s">
        <v>3276</v>
      </c>
      <c r="Q702" s="226" t="s">
        <v>3931</v>
      </c>
      <c r="R702" s="227" t="s">
        <v>2521</v>
      </c>
      <c r="S702" s="225" t="s">
        <v>1599</v>
      </c>
      <c r="T702" s="228">
        <v>18010341446</v>
      </c>
      <c r="U702" s="225" t="s">
        <v>3369</v>
      </c>
      <c r="V702" s="225" t="s">
        <v>3370</v>
      </c>
      <c r="W702" s="229">
        <v>13810670535</v>
      </c>
      <c r="X702" s="230">
        <v>43334</v>
      </c>
      <c r="Y702" s="238" t="s">
        <v>27</v>
      </c>
      <c r="Z702" s="238" t="s">
        <v>27</v>
      </c>
      <c r="AA702" s="238" t="s">
        <v>27</v>
      </c>
      <c r="AB702" s="45" t="s">
        <v>2887</v>
      </c>
      <c r="AC702" s="169"/>
    </row>
    <row r="703" spans="1:29" s="68" customFormat="1" ht="15" hidden="1" customHeight="1">
      <c r="A703" s="226" t="s">
        <v>203</v>
      </c>
      <c r="B703" s="226" t="s">
        <v>474</v>
      </c>
      <c r="C703" s="226" t="s">
        <v>27</v>
      </c>
      <c r="D703" s="226" t="s">
        <v>4443</v>
      </c>
      <c r="E703" s="226" t="s">
        <v>2008</v>
      </c>
      <c r="F703" s="226">
        <v>3220151</v>
      </c>
      <c r="G703" s="227" t="s">
        <v>4329</v>
      </c>
      <c r="H703" s="226" t="s">
        <v>20</v>
      </c>
      <c r="I703" s="227" t="s">
        <v>21</v>
      </c>
      <c r="J703" s="225" t="s">
        <v>1587</v>
      </c>
      <c r="K703" s="225" t="s">
        <v>1586</v>
      </c>
      <c r="L703" s="51" t="s">
        <v>211</v>
      </c>
      <c r="M703" s="226" t="s">
        <v>22</v>
      </c>
      <c r="N703" s="226" t="s">
        <v>22</v>
      </c>
      <c r="O703" s="226" t="s">
        <v>27</v>
      </c>
      <c r="P703" s="226" t="s">
        <v>3870</v>
      </c>
      <c r="Q703" s="226" t="s">
        <v>3932</v>
      </c>
      <c r="R703" s="227" t="s">
        <v>2824</v>
      </c>
      <c r="S703" s="225" t="s">
        <v>2825</v>
      </c>
      <c r="T703" s="228">
        <v>18900670344</v>
      </c>
      <c r="U703" s="225" t="s">
        <v>3371</v>
      </c>
      <c r="V703" s="225" t="s">
        <v>3372</v>
      </c>
      <c r="W703" s="229"/>
      <c r="X703" s="230">
        <v>43214</v>
      </c>
      <c r="Y703" s="238" t="s">
        <v>27</v>
      </c>
      <c r="Z703" s="238" t="s">
        <v>27</v>
      </c>
      <c r="AA703" s="238" t="s">
        <v>27</v>
      </c>
      <c r="AB703" s="45" t="s">
        <v>2887</v>
      </c>
      <c r="AC703" s="169"/>
    </row>
    <row r="704" spans="1:29" s="68" customFormat="1" ht="15" hidden="1" customHeight="1">
      <c r="A704" s="226" t="s">
        <v>203</v>
      </c>
      <c r="B704" s="226" t="s">
        <v>1474</v>
      </c>
      <c r="C704" s="226" t="s">
        <v>27</v>
      </c>
      <c r="D704" s="226" t="s">
        <v>4443</v>
      </c>
      <c r="E704" s="226" t="s">
        <v>2008</v>
      </c>
      <c r="F704" s="226">
        <v>3220239</v>
      </c>
      <c r="G704" s="227" t="s">
        <v>4324</v>
      </c>
      <c r="H704" s="226" t="s">
        <v>20</v>
      </c>
      <c r="I704" s="227" t="s">
        <v>21</v>
      </c>
      <c r="J704" s="225" t="s">
        <v>204</v>
      </c>
      <c r="K704" s="225" t="s">
        <v>206</v>
      </c>
      <c r="L704" s="51" t="s">
        <v>211</v>
      </c>
      <c r="M704" s="226" t="s">
        <v>22</v>
      </c>
      <c r="N704" s="226" t="s">
        <v>27</v>
      </c>
      <c r="O704" s="226" t="s">
        <v>3639</v>
      </c>
      <c r="P704" s="226" t="s">
        <v>3205</v>
      </c>
      <c r="Q704" s="226" t="s">
        <v>3933</v>
      </c>
      <c r="R704" s="227" t="s">
        <v>2826</v>
      </c>
      <c r="S704" s="225" t="s">
        <v>2827</v>
      </c>
      <c r="T704" s="228">
        <v>13381264537</v>
      </c>
      <c r="U704" s="225" t="s">
        <v>3373</v>
      </c>
      <c r="V704" s="225" t="s">
        <v>3374</v>
      </c>
      <c r="W704" s="229"/>
      <c r="X704" s="230">
        <v>43252</v>
      </c>
      <c r="Y704" s="238" t="s">
        <v>27</v>
      </c>
      <c r="Z704" s="238" t="s">
        <v>27</v>
      </c>
      <c r="AA704" s="238" t="s">
        <v>27</v>
      </c>
      <c r="AB704" s="45" t="s">
        <v>2887</v>
      </c>
      <c r="AC704" s="169"/>
    </row>
    <row r="705" spans="1:29" s="68" customFormat="1" ht="15" hidden="1" customHeight="1">
      <c r="A705" s="226" t="s">
        <v>203</v>
      </c>
      <c r="B705" s="226" t="s">
        <v>475</v>
      </c>
      <c r="C705" s="226" t="s">
        <v>27</v>
      </c>
      <c r="D705" s="226" t="s">
        <v>4443</v>
      </c>
      <c r="E705" s="226" t="s">
        <v>2008</v>
      </c>
      <c r="F705" s="226">
        <v>3220235</v>
      </c>
      <c r="G705" s="227" t="s">
        <v>4330</v>
      </c>
      <c r="H705" s="226" t="s">
        <v>20</v>
      </c>
      <c r="I705" s="227" t="s">
        <v>60</v>
      </c>
      <c r="J705" s="225" t="s">
        <v>2501</v>
      </c>
      <c r="K705" s="225" t="s">
        <v>4331</v>
      </c>
      <c r="L705" s="51" t="s">
        <v>211</v>
      </c>
      <c r="M705" s="226" t="s">
        <v>22</v>
      </c>
      <c r="N705" s="226" t="s">
        <v>27</v>
      </c>
      <c r="O705" s="226" t="s">
        <v>3639</v>
      </c>
      <c r="P705" s="226" t="s">
        <v>3276</v>
      </c>
      <c r="Q705" s="226" t="s">
        <v>3934</v>
      </c>
      <c r="R705" s="227" t="s">
        <v>2522</v>
      </c>
      <c r="S705" s="225" t="s">
        <v>1623</v>
      </c>
      <c r="T705" s="228">
        <v>18010341440</v>
      </c>
      <c r="U705" s="225" t="s">
        <v>3375</v>
      </c>
      <c r="V705" s="225" t="s">
        <v>3376</v>
      </c>
      <c r="W705" s="229">
        <v>13810723193</v>
      </c>
      <c r="X705" s="230"/>
      <c r="Y705" s="238" t="s">
        <v>27</v>
      </c>
      <c r="Z705" s="238" t="s">
        <v>27</v>
      </c>
      <c r="AA705" s="238" t="s">
        <v>27</v>
      </c>
      <c r="AB705" s="45" t="s">
        <v>2887</v>
      </c>
      <c r="AC705" s="169"/>
    </row>
    <row r="706" spans="1:29" s="68" customFormat="1" ht="15" hidden="1" customHeight="1">
      <c r="A706" s="226" t="s">
        <v>203</v>
      </c>
      <c r="B706" s="226" t="s">
        <v>476</v>
      </c>
      <c r="C706" s="226" t="s">
        <v>27</v>
      </c>
      <c r="D706" s="226" t="s">
        <v>2893</v>
      </c>
      <c r="E706" s="226" t="s">
        <v>2008</v>
      </c>
      <c r="F706" s="226">
        <v>3219794</v>
      </c>
      <c r="G706" s="227" t="s">
        <v>4330</v>
      </c>
      <c r="H706" s="226" t="s">
        <v>20</v>
      </c>
      <c r="I706" s="227" t="s">
        <v>21</v>
      </c>
      <c r="J706" s="225" t="s">
        <v>209</v>
      </c>
      <c r="K706" s="225" t="s">
        <v>26</v>
      </c>
      <c r="L706" s="51" t="s">
        <v>211</v>
      </c>
      <c r="M706" s="226" t="s">
        <v>22</v>
      </c>
      <c r="N706" s="226" t="s">
        <v>22</v>
      </c>
      <c r="O706" s="226" t="s">
        <v>3639</v>
      </c>
      <c r="P706" s="226" t="s">
        <v>3935</v>
      </c>
      <c r="Q706" s="226" t="s">
        <v>3936</v>
      </c>
      <c r="R706" s="227" t="s">
        <v>2931</v>
      </c>
      <c r="S706" s="225" t="s">
        <v>2932</v>
      </c>
      <c r="T706" s="228">
        <v>13810420937</v>
      </c>
      <c r="U706" s="225" t="s">
        <v>2407</v>
      </c>
      <c r="V706" s="225" t="s">
        <v>2408</v>
      </c>
      <c r="W706" s="229"/>
      <c r="X706" s="230">
        <v>43252</v>
      </c>
      <c r="Y706" s="238" t="s">
        <v>27</v>
      </c>
      <c r="Z706" s="238" t="s">
        <v>27</v>
      </c>
      <c r="AA706" s="238" t="s">
        <v>27</v>
      </c>
      <c r="AB706" s="45" t="s">
        <v>2887</v>
      </c>
      <c r="AC706" s="169"/>
    </row>
    <row r="707" spans="1:29" s="68" customFormat="1" ht="15" hidden="1" customHeight="1">
      <c r="A707" s="226" t="s">
        <v>203</v>
      </c>
      <c r="B707" s="226" t="s">
        <v>477</v>
      </c>
      <c r="C707" s="226" t="s">
        <v>27</v>
      </c>
      <c r="D707" s="226" t="s">
        <v>2658</v>
      </c>
      <c r="E707" s="226" t="s">
        <v>2008</v>
      </c>
      <c r="F707" s="226">
        <v>3219971</v>
      </c>
      <c r="G707" s="227" t="s">
        <v>4332</v>
      </c>
      <c r="H707" s="226" t="s">
        <v>20</v>
      </c>
      <c r="I707" s="227" t="s">
        <v>21</v>
      </c>
      <c r="J707" s="225" t="s">
        <v>209</v>
      </c>
      <c r="K707" s="225" t="s">
        <v>26</v>
      </c>
      <c r="L707" s="51" t="s">
        <v>211</v>
      </c>
      <c r="M707" s="226" t="s">
        <v>22</v>
      </c>
      <c r="N707" s="226" t="s">
        <v>22</v>
      </c>
      <c r="O707" s="226" t="s">
        <v>3639</v>
      </c>
      <c r="P707" s="226" t="s">
        <v>3215</v>
      </c>
      <c r="Q707" s="226" t="s">
        <v>3937</v>
      </c>
      <c r="R707" s="227" t="s">
        <v>2933</v>
      </c>
      <c r="S707" s="225" t="s">
        <v>2934</v>
      </c>
      <c r="T707" s="228">
        <v>13911453146</v>
      </c>
      <c r="U707" s="225" t="s">
        <v>3169</v>
      </c>
      <c r="V707" s="225" t="s">
        <v>3170</v>
      </c>
      <c r="W707" s="229"/>
      <c r="X707" s="230">
        <v>43215</v>
      </c>
      <c r="Y707" s="238" t="s">
        <v>27</v>
      </c>
      <c r="Z707" s="238" t="s">
        <v>27</v>
      </c>
      <c r="AA707" s="238" t="s">
        <v>27</v>
      </c>
      <c r="AB707" s="45" t="s">
        <v>2887</v>
      </c>
      <c r="AC707" s="169"/>
    </row>
    <row r="708" spans="1:29" s="68" customFormat="1" ht="15" hidden="1" customHeight="1">
      <c r="A708" s="226" t="s">
        <v>203</v>
      </c>
      <c r="B708" s="226" t="s">
        <v>478</v>
      </c>
      <c r="C708" s="226" t="s">
        <v>27</v>
      </c>
      <c r="D708" s="226" t="s">
        <v>4443</v>
      </c>
      <c r="E708" s="226" t="s">
        <v>2008</v>
      </c>
      <c r="F708" s="226">
        <v>3220116</v>
      </c>
      <c r="G708" s="227" t="s">
        <v>4333</v>
      </c>
      <c r="H708" s="226" t="s">
        <v>20</v>
      </c>
      <c r="I708" s="227" t="s">
        <v>21</v>
      </c>
      <c r="J708" s="225" t="s">
        <v>209</v>
      </c>
      <c r="K708" s="225" t="s">
        <v>26</v>
      </c>
      <c r="L708" s="51" t="s">
        <v>211</v>
      </c>
      <c r="M708" s="226" t="s">
        <v>22</v>
      </c>
      <c r="N708" s="226" t="s">
        <v>22</v>
      </c>
      <c r="O708" s="226" t="s">
        <v>3639</v>
      </c>
      <c r="P708" s="226" t="s">
        <v>3215</v>
      </c>
      <c r="Q708" s="226" t="s">
        <v>3938</v>
      </c>
      <c r="R708" s="227" t="s">
        <v>3107</v>
      </c>
      <c r="S708" s="225" t="s">
        <v>3108</v>
      </c>
      <c r="T708" s="228">
        <v>13810503573</v>
      </c>
      <c r="U708" s="225" t="s">
        <v>3377</v>
      </c>
      <c r="V708" s="225" t="s">
        <v>3378</v>
      </c>
      <c r="W708" s="229"/>
      <c r="X708" s="230">
        <v>43217</v>
      </c>
      <c r="Y708" s="238" t="s">
        <v>27</v>
      </c>
      <c r="Z708" s="238" t="s">
        <v>27</v>
      </c>
      <c r="AA708" s="238" t="s">
        <v>27</v>
      </c>
      <c r="AB708" s="45" t="s">
        <v>2887</v>
      </c>
      <c r="AC708" s="169"/>
    </row>
    <row r="709" spans="1:29" s="68" customFormat="1" ht="15" hidden="1" customHeight="1">
      <c r="A709" s="226" t="s">
        <v>203</v>
      </c>
      <c r="B709" s="226" t="s">
        <v>1475</v>
      </c>
      <c r="C709" s="226" t="s">
        <v>27</v>
      </c>
      <c r="D709" s="226" t="s">
        <v>2658</v>
      </c>
      <c r="E709" s="226" t="s">
        <v>2008</v>
      </c>
      <c r="F709" s="226">
        <v>3220274</v>
      </c>
      <c r="G709" s="227" t="s">
        <v>4334</v>
      </c>
      <c r="H709" s="226" t="s">
        <v>20</v>
      </c>
      <c r="I709" s="227" t="s">
        <v>60</v>
      </c>
      <c r="J709" s="225" t="s">
        <v>2486</v>
      </c>
      <c r="K709" s="225" t="s">
        <v>2651</v>
      </c>
      <c r="L709" s="51" t="s">
        <v>211</v>
      </c>
      <c r="M709" s="226" t="s">
        <v>22</v>
      </c>
      <c r="N709" s="226" t="s">
        <v>22</v>
      </c>
      <c r="O709" s="226" t="s">
        <v>3639</v>
      </c>
      <c r="P709" s="226" t="s">
        <v>3227</v>
      </c>
      <c r="Q709" s="226" t="s">
        <v>3939</v>
      </c>
      <c r="R709" s="227" t="s">
        <v>2935</v>
      </c>
      <c r="S709" s="225" t="s">
        <v>2936</v>
      </c>
      <c r="T709" s="228">
        <v>13810010441</v>
      </c>
      <c r="U709" s="225" t="s">
        <v>3379</v>
      </c>
      <c r="V709" s="225" t="s">
        <v>3380</v>
      </c>
      <c r="W709" s="229">
        <v>13269667764</v>
      </c>
      <c r="X709" s="230">
        <v>43215</v>
      </c>
      <c r="Y709" s="238" t="s">
        <v>27</v>
      </c>
      <c r="Z709" s="238" t="s">
        <v>27</v>
      </c>
      <c r="AA709" s="238" t="s">
        <v>27</v>
      </c>
      <c r="AB709" s="45" t="s">
        <v>2887</v>
      </c>
      <c r="AC709" s="169"/>
    </row>
    <row r="710" spans="1:29" s="68" customFormat="1" ht="15" hidden="1" customHeight="1">
      <c r="A710" s="226" t="s">
        <v>203</v>
      </c>
      <c r="B710" s="226" t="s">
        <v>1476</v>
      </c>
      <c r="C710" s="226" t="s">
        <v>27</v>
      </c>
      <c r="D710" s="226" t="s">
        <v>4443</v>
      </c>
      <c r="E710" s="226" t="s">
        <v>2008</v>
      </c>
      <c r="F710" s="226">
        <v>3219846</v>
      </c>
      <c r="G710" s="227" t="s">
        <v>4335</v>
      </c>
      <c r="H710" s="226" t="s">
        <v>20</v>
      </c>
      <c r="I710" s="227" t="s">
        <v>60</v>
      </c>
      <c r="J710" s="225" t="s">
        <v>2485</v>
      </c>
      <c r="K710" s="225" t="s">
        <v>2429</v>
      </c>
      <c r="L710" s="51" t="s">
        <v>211</v>
      </c>
      <c r="M710" s="226" t="s">
        <v>22</v>
      </c>
      <c r="N710" s="226" t="s">
        <v>22</v>
      </c>
      <c r="O710" s="226" t="s">
        <v>3639</v>
      </c>
      <c r="P710" s="226" t="s">
        <v>3208</v>
      </c>
      <c r="Q710" s="226" t="s">
        <v>3940</v>
      </c>
      <c r="R710" s="227" t="s">
        <v>2828</v>
      </c>
      <c r="S710" s="225" t="s">
        <v>2829</v>
      </c>
      <c r="T710" s="228">
        <v>18515563967</v>
      </c>
      <c r="U710" s="225" t="s">
        <v>3381</v>
      </c>
      <c r="V710" s="225" t="s">
        <v>3382</v>
      </c>
      <c r="W710" s="229">
        <v>13810830353</v>
      </c>
      <c r="X710" s="230">
        <v>43213</v>
      </c>
      <c r="Y710" s="238" t="s">
        <v>27</v>
      </c>
      <c r="Z710" s="238" t="s">
        <v>27</v>
      </c>
      <c r="AA710" s="238" t="s">
        <v>27</v>
      </c>
      <c r="AB710" s="45" t="s">
        <v>2887</v>
      </c>
      <c r="AC710" s="169"/>
    </row>
    <row r="711" spans="1:29" s="68" customFormat="1" ht="15" hidden="1" customHeight="1">
      <c r="A711" s="226" t="s">
        <v>203</v>
      </c>
      <c r="B711" s="226" t="s">
        <v>479</v>
      </c>
      <c r="C711" s="226" t="s">
        <v>27</v>
      </c>
      <c r="D711" s="226" t="s">
        <v>4443</v>
      </c>
      <c r="E711" s="226" t="s">
        <v>2008</v>
      </c>
      <c r="F711" s="226">
        <v>3219861</v>
      </c>
      <c r="G711" s="227" t="s">
        <v>4336</v>
      </c>
      <c r="H711" s="226" t="s">
        <v>20</v>
      </c>
      <c r="I711" s="227" t="s">
        <v>21</v>
      </c>
      <c r="J711" s="225" t="s">
        <v>1587</v>
      </c>
      <c r="K711" s="225" t="s">
        <v>1586</v>
      </c>
      <c r="L711" s="51" t="s">
        <v>211</v>
      </c>
      <c r="M711" s="226" t="s">
        <v>22</v>
      </c>
      <c r="N711" s="226" t="s">
        <v>22</v>
      </c>
      <c r="O711" s="226" t="s">
        <v>27</v>
      </c>
      <c r="P711" s="226" t="s">
        <v>3870</v>
      </c>
      <c r="Q711" s="226" t="s">
        <v>3941</v>
      </c>
      <c r="R711" s="227" t="s">
        <v>2523</v>
      </c>
      <c r="S711" s="225" t="s">
        <v>1624</v>
      </c>
      <c r="T711" s="228">
        <v>18900670337</v>
      </c>
      <c r="U711" s="225" t="s">
        <v>3383</v>
      </c>
      <c r="V711" s="225" t="s">
        <v>3384</v>
      </c>
      <c r="W711" s="229"/>
      <c r="X711" s="230"/>
      <c r="Y711" s="238" t="s">
        <v>27</v>
      </c>
      <c r="Z711" s="238" t="s">
        <v>27</v>
      </c>
      <c r="AA711" s="238" t="s">
        <v>27</v>
      </c>
      <c r="AB711" s="45" t="s">
        <v>2887</v>
      </c>
      <c r="AC711" s="169"/>
    </row>
    <row r="712" spans="1:29" s="68" customFormat="1" ht="15" hidden="1" customHeight="1">
      <c r="A712" s="226" t="s">
        <v>203</v>
      </c>
      <c r="B712" s="226" t="s">
        <v>480</v>
      </c>
      <c r="C712" s="226" t="s">
        <v>27</v>
      </c>
      <c r="D712" s="226" t="s">
        <v>2893</v>
      </c>
      <c r="E712" s="226" t="s">
        <v>2008</v>
      </c>
      <c r="F712" s="226">
        <v>3219739</v>
      </c>
      <c r="G712" s="227" t="s">
        <v>4277</v>
      </c>
      <c r="H712" s="226" t="s">
        <v>20</v>
      </c>
      <c r="I712" s="227" t="s">
        <v>21</v>
      </c>
      <c r="J712" s="225" t="s">
        <v>209</v>
      </c>
      <c r="K712" s="225" t="s">
        <v>26</v>
      </c>
      <c r="L712" s="51" t="s">
        <v>211</v>
      </c>
      <c r="M712" s="226" t="s">
        <v>22</v>
      </c>
      <c r="N712" s="226" t="s">
        <v>22</v>
      </c>
      <c r="O712" s="226" t="s">
        <v>3639</v>
      </c>
      <c r="P712" s="226" t="s">
        <v>3204</v>
      </c>
      <c r="Q712" s="226" t="s">
        <v>3942</v>
      </c>
      <c r="R712" s="227" t="s">
        <v>2830</v>
      </c>
      <c r="S712" s="225" t="s">
        <v>2831</v>
      </c>
      <c r="T712" s="228">
        <v>13811294872</v>
      </c>
      <c r="U712" s="225" t="s">
        <v>3385</v>
      </c>
      <c r="V712" s="225" t="s">
        <v>3386</v>
      </c>
      <c r="W712" s="229"/>
      <c r="X712" s="230">
        <v>43213</v>
      </c>
      <c r="Y712" s="238" t="s">
        <v>27</v>
      </c>
      <c r="Z712" s="238" t="s">
        <v>27</v>
      </c>
      <c r="AA712" s="238" t="s">
        <v>27</v>
      </c>
      <c r="AB712" s="45" t="s">
        <v>2887</v>
      </c>
      <c r="AC712" s="169"/>
    </row>
    <row r="713" spans="1:29" s="68" customFormat="1" ht="15" hidden="1" customHeight="1">
      <c r="A713" s="226" t="s">
        <v>203</v>
      </c>
      <c r="B713" s="226" t="s">
        <v>482</v>
      </c>
      <c r="C713" s="226" t="s">
        <v>27</v>
      </c>
      <c r="D713" s="226" t="s">
        <v>4443</v>
      </c>
      <c r="E713" s="226" t="s">
        <v>2008</v>
      </c>
      <c r="F713" s="226">
        <v>3219747</v>
      </c>
      <c r="G713" s="227" t="s">
        <v>4303</v>
      </c>
      <c r="H713" s="226" t="s">
        <v>20</v>
      </c>
      <c r="I713" s="227" t="s">
        <v>21</v>
      </c>
      <c r="J713" s="227" t="s">
        <v>204</v>
      </c>
      <c r="K713" s="225" t="s">
        <v>1586</v>
      </c>
      <c r="L713" s="51" t="s">
        <v>211</v>
      </c>
      <c r="M713" s="226" t="s">
        <v>22</v>
      </c>
      <c r="N713" s="226" t="s">
        <v>27</v>
      </c>
      <c r="O713" s="226" t="s">
        <v>3639</v>
      </c>
      <c r="P713" s="226" t="s">
        <v>3215</v>
      </c>
      <c r="Q713" s="226" t="s">
        <v>3943</v>
      </c>
      <c r="R713" s="227" t="s">
        <v>3109</v>
      </c>
      <c r="S713" s="225" t="s">
        <v>3110</v>
      </c>
      <c r="T713" s="231">
        <v>18911474634</v>
      </c>
      <c r="U713" s="225" t="s">
        <v>1611</v>
      </c>
      <c r="V713" s="225" t="s">
        <v>2059</v>
      </c>
      <c r="W713" s="229"/>
      <c r="X713" s="230">
        <v>43217</v>
      </c>
      <c r="Y713" s="238" t="s">
        <v>27</v>
      </c>
      <c r="Z713" s="238" t="s">
        <v>27</v>
      </c>
      <c r="AA713" s="238" t="s">
        <v>27</v>
      </c>
      <c r="AB713" s="45" t="s">
        <v>2887</v>
      </c>
      <c r="AC713" s="169"/>
    </row>
    <row r="714" spans="1:29" s="68" customFormat="1" ht="15" hidden="1" customHeight="1">
      <c r="A714" s="226" t="s">
        <v>203</v>
      </c>
      <c r="B714" s="226" t="s">
        <v>483</v>
      </c>
      <c r="C714" s="226" t="s">
        <v>27</v>
      </c>
      <c r="D714" s="226" t="s">
        <v>2893</v>
      </c>
      <c r="E714" s="226" t="s">
        <v>2008</v>
      </c>
      <c r="F714" s="226">
        <v>3219966</v>
      </c>
      <c r="G714" s="227" t="s">
        <v>4337</v>
      </c>
      <c r="H714" s="226" t="s">
        <v>20</v>
      </c>
      <c r="I714" s="227" t="s">
        <v>21</v>
      </c>
      <c r="J714" s="227" t="s">
        <v>209</v>
      </c>
      <c r="K714" s="225" t="s">
        <v>26</v>
      </c>
      <c r="L714" s="51" t="s">
        <v>211</v>
      </c>
      <c r="M714" s="226" t="s">
        <v>22</v>
      </c>
      <c r="N714" s="226" t="s">
        <v>22</v>
      </c>
      <c r="O714" s="226" t="s">
        <v>3639</v>
      </c>
      <c r="P714" s="226" t="s">
        <v>3205</v>
      </c>
      <c r="Q714" s="226" t="s">
        <v>3944</v>
      </c>
      <c r="R714" s="227" t="s">
        <v>2937</v>
      </c>
      <c r="S714" s="225" t="s">
        <v>2938</v>
      </c>
      <c r="T714" s="231">
        <v>13810339102</v>
      </c>
      <c r="U714" s="225" t="s">
        <v>3387</v>
      </c>
      <c r="V714" s="225" t="s">
        <v>3388</v>
      </c>
      <c r="W714" s="229"/>
      <c r="X714" s="230">
        <v>43215</v>
      </c>
      <c r="Y714" s="238" t="s">
        <v>27</v>
      </c>
      <c r="Z714" s="238" t="s">
        <v>27</v>
      </c>
      <c r="AA714" s="238" t="s">
        <v>27</v>
      </c>
      <c r="AB714" s="45" t="s">
        <v>2887</v>
      </c>
      <c r="AC714" s="169"/>
    </row>
    <row r="715" spans="1:29" s="68" customFormat="1" ht="15" hidden="1" customHeight="1">
      <c r="A715" s="226" t="s">
        <v>203</v>
      </c>
      <c r="B715" s="226" t="s">
        <v>484</v>
      </c>
      <c r="C715" s="226" t="s">
        <v>27</v>
      </c>
      <c r="D715" s="226" t="s">
        <v>2893</v>
      </c>
      <c r="E715" s="226" t="s">
        <v>2008</v>
      </c>
      <c r="F715" s="226">
        <v>3220091</v>
      </c>
      <c r="G715" s="227" t="s">
        <v>4338</v>
      </c>
      <c r="H715" s="226" t="s">
        <v>20</v>
      </c>
      <c r="I715" s="227" t="s">
        <v>60</v>
      </c>
      <c r="J715" s="227" t="s">
        <v>2484</v>
      </c>
      <c r="K715" s="225" t="s">
        <v>4427</v>
      </c>
      <c r="L715" s="51" t="s">
        <v>211</v>
      </c>
      <c r="M715" s="226" t="s">
        <v>22</v>
      </c>
      <c r="N715" s="226" t="s">
        <v>22</v>
      </c>
      <c r="O715" s="226" t="s">
        <v>3639</v>
      </c>
      <c r="P715" s="226" t="s">
        <v>3392</v>
      </c>
      <c r="Q715" s="226" t="s">
        <v>3945</v>
      </c>
      <c r="R715" s="227" t="s">
        <v>2524</v>
      </c>
      <c r="S715" s="225" t="s">
        <v>1625</v>
      </c>
      <c r="T715" s="231">
        <v>13811593751</v>
      </c>
      <c r="U715" s="225" t="s">
        <v>1630</v>
      </c>
      <c r="V715" s="225" t="s">
        <v>2078</v>
      </c>
      <c r="W715" s="229">
        <v>13810012904</v>
      </c>
      <c r="X715" s="230">
        <v>43334</v>
      </c>
      <c r="Y715" s="238" t="s">
        <v>27</v>
      </c>
      <c r="Z715" s="238" t="s">
        <v>27</v>
      </c>
      <c r="AA715" s="238" t="s">
        <v>27</v>
      </c>
      <c r="AB715" s="45" t="s">
        <v>2887</v>
      </c>
      <c r="AC715" s="169"/>
    </row>
    <row r="716" spans="1:29" s="68" customFormat="1" ht="15" hidden="1" customHeight="1">
      <c r="A716" s="226" t="s">
        <v>203</v>
      </c>
      <c r="B716" s="226" t="s">
        <v>485</v>
      </c>
      <c r="C716" s="226" t="s">
        <v>27</v>
      </c>
      <c r="D716" s="226" t="s">
        <v>4444</v>
      </c>
      <c r="E716" s="226" t="s">
        <v>2008</v>
      </c>
      <c r="F716" s="226">
        <v>3220198</v>
      </c>
      <c r="G716" s="227" t="s">
        <v>4339</v>
      </c>
      <c r="H716" s="226" t="s">
        <v>20</v>
      </c>
      <c r="I716" s="227" t="s">
        <v>21</v>
      </c>
      <c r="J716" s="227" t="s">
        <v>223</v>
      </c>
      <c r="K716" s="225" t="s">
        <v>33</v>
      </c>
      <c r="L716" s="51" t="s">
        <v>211</v>
      </c>
      <c r="M716" s="226" t="s">
        <v>22</v>
      </c>
      <c r="N716" s="226" t="s">
        <v>22</v>
      </c>
      <c r="O716" s="226" t="s">
        <v>3639</v>
      </c>
      <c r="P716" s="226" t="s">
        <v>3241</v>
      </c>
      <c r="Q716" s="226" t="s">
        <v>3946</v>
      </c>
      <c r="R716" s="227" t="s">
        <v>3026</v>
      </c>
      <c r="S716" s="225" t="s">
        <v>3027</v>
      </c>
      <c r="T716" s="231">
        <v>13121810391</v>
      </c>
      <c r="U716" s="225" t="s">
        <v>3393</v>
      </c>
      <c r="V716" s="225" t="s">
        <v>3394</v>
      </c>
      <c r="W716" s="229"/>
      <c r="X716" s="230">
        <v>43216</v>
      </c>
      <c r="Y716" s="238" t="s">
        <v>27</v>
      </c>
      <c r="Z716" s="238" t="s">
        <v>27</v>
      </c>
      <c r="AA716" s="238" t="s">
        <v>27</v>
      </c>
      <c r="AB716" s="45" t="s">
        <v>2887</v>
      </c>
      <c r="AC716" s="169"/>
    </row>
    <row r="717" spans="1:29" s="68" customFormat="1" ht="15" hidden="1" customHeight="1">
      <c r="A717" s="226" t="s">
        <v>203</v>
      </c>
      <c r="B717" s="226" t="s">
        <v>486</v>
      </c>
      <c r="C717" s="226" t="s">
        <v>27</v>
      </c>
      <c r="D717" s="226" t="s">
        <v>2893</v>
      </c>
      <c r="E717" s="226" t="s">
        <v>2008</v>
      </c>
      <c r="F717" s="226">
        <v>3219890</v>
      </c>
      <c r="G717" s="227" t="s">
        <v>4340</v>
      </c>
      <c r="H717" s="226" t="s">
        <v>20</v>
      </c>
      <c r="I717" s="227" t="s">
        <v>21</v>
      </c>
      <c r="J717" s="227" t="s">
        <v>209</v>
      </c>
      <c r="K717" s="225" t="s">
        <v>26</v>
      </c>
      <c r="L717" s="51" t="s">
        <v>211</v>
      </c>
      <c r="M717" s="226" t="s">
        <v>22</v>
      </c>
      <c r="N717" s="226" t="s">
        <v>22</v>
      </c>
      <c r="O717" s="226" t="s">
        <v>3639</v>
      </c>
      <c r="P717" s="226" t="s">
        <v>3205</v>
      </c>
      <c r="Q717" s="226" t="s">
        <v>3947</v>
      </c>
      <c r="R717" s="227" t="s">
        <v>2834</v>
      </c>
      <c r="S717" s="225" t="s">
        <v>2835</v>
      </c>
      <c r="T717" s="231">
        <v>13810419470</v>
      </c>
      <c r="U717" s="225" t="s">
        <v>3395</v>
      </c>
      <c r="V717" s="225" t="s">
        <v>3396</v>
      </c>
      <c r="W717" s="229"/>
      <c r="X717" s="230">
        <v>43213</v>
      </c>
      <c r="Y717" s="238" t="s">
        <v>27</v>
      </c>
      <c r="Z717" s="238" t="s">
        <v>27</v>
      </c>
      <c r="AA717" s="238" t="s">
        <v>27</v>
      </c>
      <c r="AB717" s="204" t="s">
        <v>2887</v>
      </c>
      <c r="AC717" s="196"/>
    </row>
    <row r="718" spans="1:29" s="68" customFormat="1" ht="15" hidden="1" customHeight="1">
      <c r="A718" s="226" t="s">
        <v>203</v>
      </c>
      <c r="B718" s="226" t="s">
        <v>1477</v>
      </c>
      <c r="C718" s="226" t="s">
        <v>27</v>
      </c>
      <c r="D718" s="226" t="s">
        <v>4443</v>
      </c>
      <c r="E718" s="226" t="s">
        <v>2008</v>
      </c>
      <c r="F718" s="226">
        <v>3219928</v>
      </c>
      <c r="G718" s="227" t="s">
        <v>4341</v>
      </c>
      <c r="H718" s="226" t="s">
        <v>20</v>
      </c>
      <c r="I718" s="227" t="s">
        <v>60</v>
      </c>
      <c r="J718" s="227" t="s">
        <v>2501</v>
      </c>
      <c r="K718" s="225" t="s">
        <v>4331</v>
      </c>
      <c r="L718" s="51" t="s">
        <v>211</v>
      </c>
      <c r="M718" s="226" t="s">
        <v>22</v>
      </c>
      <c r="N718" s="226" t="s">
        <v>27</v>
      </c>
      <c r="O718" s="226" t="s">
        <v>3639</v>
      </c>
      <c r="P718" s="226" t="s">
        <v>3276</v>
      </c>
      <c r="Q718" s="226" t="s">
        <v>3948</v>
      </c>
      <c r="R718" s="227" t="s">
        <v>2836</v>
      </c>
      <c r="S718" s="225" t="s">
        <v>2837</v>
      </c>
      <c r="T718" s="231">
        <v>18910224601</v>
      </c>
      <c r="U718" s="225" t="s">
        <v>3397</v>
      </c>
      <c r="V718" s="225" t="s">
        <v>3398</v>
      </c>
      <c r="W718" s="229">
        <v>13811011967</v>
      </c>
      <c r="X718" s="230">
        <v>43214</v>
      </c>
      <c r="Y718" s="238" t="s">
        <v>27</v>
      </c>
      <c r="Z718" s="238" t="s">
        <v>27</v>
      </c>
      <c r="AA718" s="238" t="s">
        <v>27</v>
      </c>
      <c r="AB718" s="204" t="s">
        <v>2887</v>
      </c>
      <c r="AC718" s="169"/>
    </row>
    <row r="719" spans="1:29" s="68" customFormat="1" ht="15" hidden="1" customHeight="1">
      <c r="A719" s="226" t="s">
        <v>203</v>
      </c>
      <c r="B719" s="226" t="s">
        <v>487</v>
      </c>
      <c r="C719" s="226" t="s">
        <v>22</v>
      </c>
      <c r="D719" s="226" t="s">
        <v>4443</v>
      </c>
      <c r="E719" s="226" t="s">
        <v>2008</v>
      </c>
      <c r="F719" s="226">
        <v>3220330</v>
      </c>
      <c r="G719" s="227" t="s">
        <v>4292</v>
      </c>
      <c r="H719" s="226" t="s">
        <v>20</v>
      </c>
      <c r="I719" s="227" t="s">
        <v>60</v>
      </c>
      <c r="J719" s="227" t="s">
        <v>2487</v>
      </c>
      <c r="K719" s="225" t="s">
        <v>2650</v>
      </c>
      <c r="L719" s="51" t="s">
        <v>211</v>
      </c>
      <c r="M719" s="226" t="s">
        <v>22</v>
      </c>
      <c r="N719" s="226" t="s">
        <v>27</v>
      </c>
      <c r="O719" s="226" t="s">
        <v>38</v>
      </c>
      <c r="P719" s="226" t="s">
        <v>3235</v>
      </c>
      <c r="Q719" s="226" t="s">
        <v>3949</v>
      </c>
      <c r="R719" s="227" t="s">
        <v>2525</v>
      </c>
      <c r="S719" s="225" t="s">
        <v>2163</v>
      </c>
      <c r="T719" s="231">
        <v>13810076614</v>
      </c>
      <c r="U719" s="225" t="s">
        <v>3399</v>
      </c>
      <c r="V719" s="225" t="s">
        <v>3400</v>
      </c>
      <c r="W719" s="229">
        <v>18911175647</v>
      </c>
      <c r="X719" s="230">
        <v>43334</v>
      </c>
      <c r="Y719" s="238" t="s">
        <v>27</v>
      </c>
      <c r="Z719" s="238" t="s">
        <v>27</v>
      </c>
      <c r="AA719" s="238" t="s">
        <v>27</v>
      </c>
      <c r="AB719" s="45" t="s">
        <v>2887</v>
      </c>
      <c r="AC719" s="169"/>
    </row>
    <row r="720" spans="1:29" s="68" customFormat="1" ht="15" hidden="1" customHeight="1">
      <c r="A720" s="226" t="s">
        <v>203</v>
      </c>
      <c r="B720" s="226" t="s">
        <v>1478</v>
      </c>
      <c r="C720" s="226" t="s">
        <v>27</v>
      </c>
      <c r="D720" s="226" t="s">
        <v>2658</v>
      </c>
      <c r="E720" s="226" t="s">
        <v>2008</v>
      </c>
      <c r="F720" s="226">
        <v>3219995</v>
      </c>
      <c r="G720" s="227" t="s">
        <v>4342</v>
      </c>
      <c r="H720" s="226" t="s">
        <v>20</v>
      </c>
      <c r="I720" s="227" t="s">
        <v>21</v>
      </c>
      <c r="J720" s="227" t="s">
        <v>209</v>
      </c>
      <c r="K720" s="225" t="s">
        <v>26</v>
      </c>
      <c r="L720" s="51" t="s">
        <v>211</v>
      </c>
      <c r="M720" s="226" t="s">
        <v>22</v>
      </c>
      <c r="N720" s="226" t="s">
        <v>22</v>
      </c>
      <c r="O720" s="226" t="s">
        <v>3639</v>
      </c>
      <c r="P720" s="226" t="s">
        <v>3241</v>
      </c>
      <c r="Q720" s="226" t="s">
        <v>3950</v>
      </c>
      <c r="R720" s="227" t="s">
        <v>2939</v>
      </c>
      <c r="S720" s="225" t="s">
        <v>2940</v>
      </c>
      <c r="T720" s="231">
        <v>13910626914</v>
      </c>
      <c r="U720" s="225" t="s">
        <v>3401</v>
      </c>
      <c r="V720" s="225" t="s">
        <v>3402</v>
      </c>
      <c r="W720" s="229"/>
      <c r="X720" s="230">
        <v>43215</v>
      </c>
      <c r="Y720" s="238" t="s">
        <v>27</v>
      </c>
      <c r="Z720" s="238" t="s">
        <v>27</v>
      </c>
      <c r="AA720" s="238" t="s">
        <v>27</v>
      </c>
      <c r="AB720" s="45" t="s">
        <v>2887</v>
      </c>
      <c r="AC720" s="169"/>
    </row>
    <row r="721" spans="1:29" s="68" customFormat="1" ht="15" hidden="1" customHeight="1">
      <c r="A721" s="226" t="s">
        <v>203</v>
      </c>
      <c r="B721" s="226" t="s">
        <v>1479</v>
      </c>
      <c r="C721" s="226" t="s">
        <v>27</v>
      </c>
      <c r="D721" s="226" t="s">
        <v>2893</v>
      </c>
      <c r="E721" s="226" t="s">
        <v>2008</v>
      </c>
      <c r="F721" s="226">
        <v>3219826</v>
      </c>
      <c r="G721" s="227" t="s">
        <v>4263</v>
      </c>
      <c r="H721" s="226" t="s">
        <v>20</v>
      </c>
      <c r="I721" s="227" t="s">
        <v>60</v>
      </c>
      <c r="J721" s="227" t="s">
        <v>2486</v>
      </c>
      <c r="K721" s="225" t="s">
        <v>2651</v>
      </c>
      <c r="L721" s="51" t="s">
        <v>211</v>
      </c>
      <c r="M721" s="226" t="s">
        <v>22</v>
      </c>
      <c r="N721" s="226" t="s">
        <v>22</v>
      </c>
      <c r="O721" s="226" t="s">
        <v>3639</v>
      </c>
      <c r="P721" s="226" t="s">
        <v>3227</v>
      </c>
      <c r="Q721" s="226" t="s">
        <v>3951</v>
      </c>
      <c r="R721" s="227" t="s">
        <v>2941</v>
      </c>
      <c r="S721" s="225" t="s">
        <v>2942</v>
      </c>
      <c r="T721" s="231">
        <v>13810500253</v>
      </c>
      <c r="U721" s="225" t="s">
        <v>3403</v>
      </c>
      <c r="V721" s="225" t="s">
        <v>3404</v>
      </c>
      <c r="W721" s="229">
        <v>18514731180</v>
      </c>
      <c r="X721" s="230">
        <v>43334</v>
      </c>
      <c r="Y721" s="238" t="s">
        <v>27</v>
      </c>
      <c r="Z721" s="238" t="s">
        <v>27</v>
      </c>
      <c r="AA721" s="238" t="s">
        <v>27</v>
      </c>
      <c r="AB721" s="45" t="s">
        <v>2887</v>
      </c>
      <c r="AC721" s="169"/>
    </row>
    <row r="722" spans="1:29" s="68" customFormat="1" ht="15" hidden="1" customHeight="1">
      <c r="A722" s="226" t="s">
        <v>203</v>
      </c>
      <c r="B722" s="226" t="s">
        <v>1480</v>
      </c>
      <c r="C722" s="226" t="s">
        <v>27</v>
      </c>
      <c r="D722" s="226" t="s">
        <v>4443</v>
      </c>
      <c r="E722" s="226" t="s">
        <v>2008</v>
      </c>
      <c r="F722" s="226">
        <v>3219854</v>
      </c>
      <c r="G722" s="227" t="s">
        <v>4301</v>
      </c>
      <c r="H722" s="226" t="s">
        <v>20</v>
      </c>
      <c r="I722" s="227" t="s">
        <v>60</v>
      </c>
      <c r="J722" s="227" t="s">
        <v>3696</v>
      </c>
      <c r="K722" s="225" t="s">
        <v>3663</v>
      </c>
      <c r="L722" s="51" t="s">
        <v>211</v>
      </c>
      <c r="M722" s="226" t="s">
        <v>22</v>
      </c>
      <c r="N722" s="226" t="s">
        <v>22</v>
      </c>
      <c r="O722" s="226" t="s">
        <v>3639</v>
      </c>
      <c r="P722" s="226" t="s">
        <v>3208</v>
      </c>
      <c r="Q722" s="226" t="s">
        <v>3952</v>
      </c>
      <c r="R722" s="227" t="s">
        <v>2526</v>
      </c>
      <c r="S722" s="225" t="s">
        <v>2527</v>
      </c>
      <c r="T722" s="231">
        <v>18612650843</v>
      </c>
      <c r="U722" s="225" t="s">
        <v>3405</v>
      </c>
      <c r="V722" s="225" t="s">
        <v>3406</v>
      </c>
      <c r="W722" s="229">
        <v>18611412875</v>
      </c>
      <c r="X722" s="230">
        <v>43334</v>
      </c>
      <c r="Y722" s="238" t="s">
        <v>27</v>
      </c>
      <c r="Z722" s="238" t="s">
        <v>27</v>
      </c>
      <c r="AA722" s="238" t="s">
        <v>27</v>
      </c>
      <c r="AB722" s="45" t="s">
        <v>2887</v>
      </c>
      <c r="AC722" s="169"/>
    </row>
    <row r="723" spans="1:29" s="68" customFormat="1" ht="15" hidden="1" customHeight="1">
      <c r="A723" s="226" t="s">
        <v>203</v>
      </c>
      <c r="B723" s="226" t="s">
        <v>1481</v>
      </c>
      <c r="C723" s="226" t="s">
        <v>27</v>
      </c>
      <c r="D723" s="226" t="s">
        <v>2893</v>
      </c>
      <c r="E723" s="226" t="s">
        <v>2008</v>
      </c>
      <c r="F723" s="226">
        <v>3120169</v>
      </c>
      <c r="G723" s="227" t="s">
        <v>4343</v>
      </c>
      <c r="H723" s="226" t="s">
        <v>20</v>
      </c>
      <c r="I723" s="227" t="s">
        <v>21</v>
      </c>
      <c r="J723" s="227" t="s">
        <v>209</v>
      </c>
      <c r="K723" s="225" t="s">
        <v>26</v>
      </c>
      <c r="L723" s="51" t="s">
        <v>211</v>
      </c>
      <c r="M723" s="226" t="s">
        <v>22</v>
      </c>
      <c r="N723" s="226" t="s">
        <v>22</v>
      </c>
      <c r="O723" s="226" t="s">
        <v>3639</v>
      </c>
      <c r="P723" s="226" t="s">
        <v>3238</v>
      </c>
      <c r="Q723" s="226" t="s">
        <v>3953</v>
      </c>
      <c r="R723" s="227" t="s">
        <v>2528</v>
      </c>
      <c r="S723" s="225" t="s">
        <v>2164</v>
      </c>
      <c r="T723" s="231">
        <v>13811021597</v>
      </c>
      <c r="U723" s="225" t="s">
        <v>3407</v>
      </c>
      <c r="V723" s="225" t="s">
        <v>3408</v>
      </c>
      <c r="W723" s="229"/>
      <c r="X723" s="230"/>
      <c r="Y723" s="238" t="s">
        <v>27</v>
      </c>
      <c r="Z723" s="238" t="s">
        <v>27</v>
      </c>
      <c r="AA723" s="238" t="s">
        <v>27</v>
      </c>
      <c r="AB723" s="45" t="s">
        <v>2887</v>
      </c>
      <c r="AC723" s="169"/>
    </row>
    <row r="724" spans="1:29" s="68" customFormat="1" ht="15" hidden="1" customHeight="1">
      <c r="A724" s="226" t="s">
        <v>203</v>
      </c>
      <c r="B724" s="226" t="s">
        <v>1482</v>
      </c>
      <c r="C724" s="226" t="s">
        <v>27</v>
      </c>
      <c r="D724" s="226" t="s">
        <v>2658</v>
      </c>
      <c r="E724" s="226" t="s">
        <v>2008</v>
      </c>
      <c r="F724" s="226">
        <v>3219797</v>
      </c>
      <c r="G724" s="227" t="s">
        <v>4241</v>
      </c>
      <c r="H724" s="226" t="s">
        <v>20</v>
      </c>
      <c r="I724" s="227" t="s">
        <v>60</v>
      </c>
      <c r="J724" s="227" t="s">
        <v>1588</v>
      </c>
      <c r="K724" s="225" t="s">
        <v>2364</v>
      </c>
      <c r="L724" s="51" t="s">
        <v>211</v>
      </c>
      <c r="M724" s="226" t="s">
        <v>22</v>
      </c>
      <c r="N724" s="226" t="s">
        <v>27</v>
      </c>
      <c r="O724" s="226" t="s">
        <v>3639</v>
      </c>
      <c r="P724" s="226" t="s">
        <v>3224</v>
      </c>
      <c r="Q724" s="226" t="s">
        <v>3954</v>
      </c>
      <c r="R724" s="227" t="s">
        <v>2529</v>
      </c>
      <c r="S724" s="225" t="s">
        <v>2530</v>
      </c>
      <c r="T724" s="231">
        <v>18911124257</v>
      </c>
      <c r="U724" s="225" t="s">
        <v>3409</v>
      </c>
      <c r="V724" s="225" t="s">
        <v>3410</v>
      </c>
      <c r="W724" s="229">
        <v>17601642057</v>
      </c>
      <c r="X724" s="230"/>
      <c r="Y724" s="238" t="s">
        <v>27</v>
      </c>
      <c r="Z724" s="238" t="s">
        <v>27</v>
      </c>
      <c r="AA724" s="238" t="s">
        <v>27</v>
      </c>
      <c r="AB724" s="45" t="s">
        <v>2887</v>
      </c>
      <c r="AC724" s="169"/>
    </row>
    <row r="725" spans="1:29" s="68" customFormat="1" ht="15" hidden="1" customHeight="1">
      <c r="A725" s="226" t="s">
        <v>203</v>
      </c>
      <c r="B725" s="226" t="s">
        <v>488</v>
      </c>
      <c r="C725" s="226" t="s">
        <v>27</v>
      </c>
      <c r="D725" s="226" t="s">
        <v>2893</v>
      </c>
      <c r="E725" s="226" t="s">
        <v>2008</v>
      </c>
      <c r="F725" s="226">
        <v>3219848</v>
      </c>
      <c r="G725" s="227" t="s">
        <v>4333</v>
      </c>
      <c r="H725" s="226" t="s">
        <v>20</v>
      </c>
      <c r="I725" s="227" t="s">
        <v>21</v>
      </c>
      <c r="J725" s="227" t="s">
        <v>209</v>
      </c>
      <c r="K725" s="225" t="s">
        <v>26</v>
      </c>
      <c r="L725" s="51" t="s">
        <v>211</v>
      </c>
      <c r="M725" s="226" t="s">
        <v>22</v>
      </c>
      <c r="N725" s="226" t="s">
        <v>22</v>
      </c>
      <c r="O725" s="226" t="s">
        <v>3639</v>
      </c>
      <c r="P725" s="226" t="s">
        <v>3205</v>
      </c>
      <c r="Q725" s="226" t="s">
        <v>3955</v>
      </c>
      <c r="R725" s="227" t="s">
        <v>2838</v>
      </c>
      <c r="S725" s="225" t="s">
        <v>2839</v>
      </c>
      <c r="T725" s="231">
        <v>13810419375</v>
      </c>
      <c r="U725" s="225" t="s">
        <v>2121</v>
      </c>
      <c r="V725" s="225" t="s">
        <v>2044</v>
      </c>
      <c r="W725" s="229"/>
      <c r="X725" s="230">
        <v>43214</v>
      </c>
      <c r="Y725" s="238" t="s">
        <v>27</v>
      </c>
      <c r="Z725" s="238" t="s">
        <v>27</v>
      </c>
      <c r="AA725" s="238" t="s">
        <v>27</v>
      </c>
      <c r="AB725" s="45" t="s">
        <v>2887</v>
      </c>
      <c r="AC725" s="169"/>
    </row>
    <row r="726" spans="1:29" s="68" customFormat="1" ht="15" hidden="1" customHeight="1">
      <c r="A726" s="226" t="s">
        <v>203</v>
      </c>
      <c r="B726" s="226" t="s">
        <v>489</v>
      </c>
      <c r="C726" s="226" t="s">
        <v>27</v>
      </c>
      <c r="D726" s="226" t="s">
        <v>2893</v>
      </c>
      <c r="E726" s="226" t="s">
        <v>2008</v>
      </c>
      <c r="F726" s="226">
        <v>3219959</v>
      </c>
      <c r="G726" s="227" t="s">
        <v>4343</v>
      </c>
      <c r="H726" s="226" t="s">
        <v>20</v>
      </c>
      <c r="I726" s="227" t="s">
        <v>21</v>
      </c>
      <c r="J726" s="227" t="s">
        <v>209</v>
      </c>
      <c r="K726" s="225" t="s">
        <v>26</v>
      </c>
      <c r="L726" s="51" t="s">
        <v>211</v>
      </c>
      <c r="M726" s="226" t="s">
        <v>22</v>
      </c>
      <c r="N726" s="226" t="s">
        <v>22</v>
      </c>
      <c r="O726" s="226" t="s">
        <v>3639</v>
      </c>
      <c r="P726" s="226" t="s">
        <v>3205</v>
      </c>
      <c r="Q726" s="226" t="s">
        <v>3956</v>
      </c>
      <c r="R726" s="227" t="s">
        <v>2840</v>
      </c>
      <c r="S726" s="225" t="s">
        <v>2841</v>
      </c>
      <c r="T726" s="232">
        <v>13810419731</v>
      </c>
      <c r="U726" s="225" t="s">
        <v>3411</v>
      </c>
      <c r="V726" s="225" t="s">
        <v>3412</v>
      </c>
      <c r="W726" s="229"/>
      <c r="X726" s="230">
        <v>43252</v>
      </c>
      <c r="Y726" s="238" t="s">
        <v>27</v>
      </c>
      <c r="Z726" s="238" t="s">
        <v>27</v>
      </c>
      <c r="AA726" s="238" t="s">
        <v>27</v>
      </c>
      <c r="AB726" s="45" t="s">
        <v>2887</v>
      </c>
      <c r="AC726" s="169"/>
    </row>
    <row r="727" spans="1:29" s="68" customFormat="1" ht="15" hidden="1" customHeight="1">
      <c r="A727" s="226" t="s">
        <v>203</v>
      </c>
      <c r="B727" s="226" t="s">
        <v>1483</v>
      </c>
      <c r="C727" s="226" t="s">
        <v>27</v>
      </c>
      <c r="D727" s="226" t="s">
        <v>4444</v>
      </c>
      <c r="E727" s="226" t="s">
        <v>2008</v>
      </c>
      <c r="F727" s="226">
        <v>3219882</v>
      </c>
      <c r="G727" s="227" t="s">
        <v>4344</v>
      </c>
      <c r="H727" s="226" t="s">
        <v>20</v>
      </c>
      <c r="I727" s="227" t="s">
        <v>21</v>
      </c>
      <c r="J727" s="227" t="s">
        <v>209</v>
      </c>
      <c r="K727" s="225" t="s">
        <v>61</v>
      </c>
      <c r="L727" s="51" t="s">
        <v>211</v>
      </c>
      <c r="M727" s="226" t="s">
        <v>22</v>
      </c>
      <c r="N727" s="226" t="s">
        <v>22</v>
      </c>
      <c r="O727" s="226" t="s">
        <v>3639</v>
      </c>
      <c r="P727" s="226" t="s">
        <v>3260</v>
      </c>
      <c r="Q727" s="226" t="s">
        <v>3957</v>
      </c>
      <c r="R727" s="227" t="s">
        <v>3028</v>
      </c>
      <c r="S727" s="225" t="s">
        <v>3029</v>
      </c>
      <c r="T727" s="232">
        <v>13810863571</v>
      </c>
      <c r="U727" s="225" t="s">
        <v>2122</v>
      </c>
      <c r="V727" s="225" t="s">
        <v>2080</v>
      </c>
      <c r="W727" s="229"/>
      <c r="X727" s="230">
        <v>43216</v>
      </c>
      <c r="Y727" s="238" t="s">
        <v>27</v>
      </c>
      <c r="Z727" s="238" t="s">
        <v>27</v>
      </c>
      <c r="AA727" s="238" t="s">
        <v>27</v>
      </c>
      <c r="AB727" s="45" t="s">
        <v>2887</v>
      </c>
      <c r="AC727" s="169"/>
    </row>
    <row r="728" spans="1:29" s="68" customFormat="1" ht="15" hidden="1" customHeight="1">
      <c r="A728" s="226" t="s">
        <v>203</v>
      </c>
      <c r="B728" s="226" t="s">
        <v>1484</v>
      </c>
      <c r="C728" s="226" t="s">
        <v>27</v>
      </c>
      <c r="D728" s="226" t="s">
        <v>2658</v>
      </c>
      <c r="E728" s="226" t="s">
        <v>2008</v>
      </c>
      <c r="F728" s="226">
        <v>3299697</v>
      </c>
      <c r="G728" s="227" t="s">
        <v>4345</v>
      </c>
      <c r="H728" s="226" t="s">
        <v>20</v>
      </c>
      <c r="I728" s="227" t="s">
        <v>60</v>
      </c>
      <c r="J728" s="227" t="s">
        <v>2485</v>
      </c>
      <c r="K728" s="225" t="s">
        <v>2429</v>
      </c>
      <c r="L728" s="51" t="s">
        <v>211</v>
      </c>
      <c r="M728" s="226" t="s">
        <v>22</v>
      </c>
      <c r="N728" s="226" t="s">
        <v>22</v>
      </c>
      <c r="O728" s="226" t="s">
        <v>3639</v>
      </c>
      <c r="P728" s="226" t="s">
        <v>3227</v>
      </c>
      <c r="Q728" s="226" t="s">
        <v>3958</v>
      </c>
      <c r="R728" s="227" t="s">
        <v>2842</v>
      </c>
      <c r="S728" s="225" t="s">
        <v>2843</v>
      </c>
      <c r="T728" s="232">
        <v>18519336220</v>
      </c>
      <c r="U728" s="225" t="s">
        <v>3413</v>
      </c>
      <c r="V728" s="225" t="s">
        <v>3414</v>
      </c>
      <c r="W728" s="229">
        <v>13811927923</v>
      </c>
      <c r="X728" s="230">
        <v>43334</v>
      </c>
      <c r="Y728" s="238" t="s">
        <v>27</v>
      </c>
      <c r="Z728" s="238" t="s">
        <v>27</v>
      </c>
      <c r="AA728" s="238" t="s">
        <v>27</v>
      </c>
      <c r="AB728" s="45" t="s">
        <v>2887</v>
      </c>
      <c r="AC728" s="169"/>
    </row>
    <row r="729" spans="1:29" s="68" customFormat="1" ht="15" hidden="1" customHeight="1">
      <c r="A729" s="226" t="s">
        <v>203</v>
      </c>
      <c r="B729" s="226" t="s">
        <v>490</v>
      </c>
      <c r="C729" s="226" t="s">
        <v>27</v>
      </c>
      <c r="D729" s="226" t="s">
        <v>4444</v>
      </c>
      <c r="E729" s="226" t="s">
        <v>2008</v>
      </c>
      <c r="F729" s="226">
        <v>3219895</v>
      </c>
      <c r="G729" s="227" t="s">
        <v>4346</v>
      </c>
      <c r="H729" s="226" t="s">
        <v>20</v>
      </c>
      <c r="I729" s="227" t="s">
        <v>21</v>
      </c>
      <c r="J729" s="227" t="s">
        <v>209</v>
      </c>
      <c r="K729" s="225" t="s">
        <v>26</v>
      </c>
      <c r="L729" s="51" t="s">
        <v>211</v>
      </c>
      <c r="M729" s="226" t="s">
        <v>22</v>
      </c>
      <c r="N729" s="226" t="s">
        <v>22</v>
      </c>
      <c r="O729" s="226" t="s">
        <v>3639</v>
      </c>
      <c r="P729" s="226" t="s">
        <v>3260</v>
      </c>
      <c r="Q729" s="226" t="s">
        <v>3959</v>
      </c>
      <c r="R729" s="227" t="s">
        <v>3030</v>
      </c>
      <c r="S729" s="225" t="s">
        <v>3031</v>
      </c>
      <c r="T729" s="232">
        <v>13810273942</v>
      </c>
      <c r="U729" s="225" t="s">
        <v>3415</v>
      </c>
      <c r="V729" s="225" t="s">
        <v>3416</v>
      </c>
      <c r="W729" s="229"/>
      <c r="X729" s="230">
        <v>43216</v>
      </c>
      <c r="Y729" s="238" t="s">
        <v>27</v>
      </c>
      <c r="Z729" s="238" t="s">
        <v>27</v>
      </c>
      <c r="AA729" s="238" t="s">
        <v>27</v>
      </c>
      <c r="AB729" s="45" t="s">
        <v>2887</v>
      </c>
      <c r="AC729" s="169"/>
    </row>
    <row r="730" spans="1:29" s="68" customFormat="1" ht="15" hidden="1" customHeight="1">
      <c r="A730" s="226" t="s">
        <v>203</v>
      </c>
      <c r="B730" s="226" t="s">
        <v>1485</v>
      </c>
      <c r="C730" s="226" t="s">
        <v>27</v>
      </c>
      <c r="D730" s="226" t="s">
        <v>2893</v>
      </c>
      <c r="E730" s="226" t="s">
        <v>2008</v>
      </c>
      <c r="F730" s="226">
        <v>3120183</v>
      </c>
      <c r="G730" s="227" t="s">
        <v>4345</v>
      </c>
      <c r="H730" s="226" t="s">
        <v>20</v>
      </c>
      <c r="I730" s="227" t="s">
        <v>60</v>
      </c>
      <c r="J730" s="227" t="s">
        <v>2501</v>
      </c>
      <c r="K730" s="225" t="s">
        <v>2649</v>
      </c>
      <c r="L730" s="51" t="s">
        <v>211</v>
      </c>
      <c r="M730" s="226" t="s">
        <v>22</v>
      </c>
      <c r="N730" s="226" t="s">
        <v>27</v>
      </c>
      <c r="O730" s="226" t="s">
        <v>3639</v>
      </c>
      <c r="P730" s="226" t="s">
        <v>3212</v>
      </c>
      <c r="Q730" s="226" t="s">
        <v>3960</v>
      </c>
      <c r="R730" s="227" t="s">
        <v>2943</v>
      </c>
      <c r="S730" s="225" t="s">
        <v>2944</v>
      </c>
      <c r="T730" s="232">
        <v>13381264081</v>
      </c>
      <c r="U730" s="225" t="s">
        <v>3417</v>
      </c>
      <c r="V730" s="225" t="s">
        <v>3418</v>
      </c>
      <c r="W730" s="229">
        <v>13810174249</v>
      </c>
      <c r="X730" s="230">
        <v>43215</v>
      </c>
      <c r="Y730" s="238" t="s">
        <v>27</v>
      </c>
      <c r="Z730" s="238" t="s">
        <v>27</v>
      </c>
      <c r="AA730" s="238" t="s">
        <v>27</v>
      </c>
      <c r="AB730" s="45" t="s">
        <v>2887</v>
      </c>
      <c r="AC730" s="169"/>
    </row>
    <row r="731" spans="1:29" s="68" customFormat="1" ht="15" hidden="1" customHeight="1">
      <c r="A731" s="226" t="s">
        <v>203</v>
      </c>
      <c r="B731" s="226" t="s">
        <v>491</v>
      </c>
      <c r="C731" s="226" t="s">
        <v>27</v>
      </c>
      <c r="D731" s="226" t="s">
        <v>2893</v>
      </c>
      <c r="E731" s="226" t="s">
        <v>2008</v>
      </c>
      <c r="F731" s="226">
        <v>3299571</v>
      </c>
      <c r="G731" s="227" t="s">
        <v>4332</v>
      </c>
      <c r="H731" s="226" t="s">
        <v>20</v>
      </c>
      <c r="I731" s="227" t="s">
        <v>60</v>
      </c>
      <c r="J731" s="227" t="s">
        <v>2486</v>
      </c>
      <c r="K731" s="225" t="s">
        <v>2358</v>
      </c>
      <c r="L731" s="51" t="s">
        <v>211</v>
      </c>
      <c r="M731" s="226" t="s">
        <v>22</v>
      </c>
      <c r="N731" s="226" t="s">
        <v>22</v>
      </c>
      <c r="O731" s="226" t="s">
        <v>3639</v>
      </c>
      <c r="P731" s="226" t="s">
        <v>3211</v>
      </c>
      <c r="Q731" s="226" t="s">
        <v>3961</v>
      </c>
      <c r="R731" s="227" t="s">
        <v>3032</v>
      </c>
      <c r="S731" s="225" t="s">
        <v>3033</v>
      </c>
      <c r="T731" s="232">
        <v>13810284045</v>
      </c>
      <c r="U731" s="225" t="s">
        <v>3419</v>
      </c>
      <c r="V731" s="225" t="s">
        <v>3420</v>
      </c>
      <c r="W731" s="229">
        <v>13240180795</v>
      </c>
      <c r="X731" s="230">
        <v>43216</v>
      </c>
      <c r="Y731" s="238" t="s">
        <v>27</v>
      </c>
      <c r="Z731" s="238" t="s">
        <v>27</v>
      </c>
      <c r="AA731" s="238" t="s">
        <v>27</v>
      </c>
      <c r="AB731" s="45" t="s">
        <v>2887</v>
      </c>
      <c r="AC731" s="169"/>
    </row>
    <row r="732" spans="1:29" s="68" customFormat="1" ht="15" hidden="1" customHeight="1">
      <c r="A732" s="226" t="s">
        <v>203</v>
      </c>
      <c r="B732" s="226" t="s">
        <v>1486</v>
      </c>
      <c r="C732" s="226" t="s">
        <v>27</v>
      </c>
      <c r="D732" s="226" t="s">
        <v>4443</v>
      </c>
      <c r="E732" s="226" t="s">
        <v>2008</v>
      </c>
      <c r="F732" s="226">
        <v>3219955</v>
      </c>
      <c r="G732" s="227" t="s">
        <v>4458</v>
      </c>
      <c r="H732" s="226" t="s">
        <v>20</v>
      </c>
      <c r="I732" s="227" t="s">
        <v>21</v>
      </c>
      <c r="J732" s="227" t="s">
        <v>209</v>
      </c>
      <c r="K732" s="225" t="s">
        <v>236</v>
      </c>
      <c r="L732" s="51" t="s">
        <v>211</v>
      </c>
      <c r="M732" s="226" t="s">
        <v>22</v>
      </c>
      <c r="N732" s="226" t="s">
        <v>22</v>
      </c>
      <c r="O732" s="226" t="s">
        <v>3639</v>
      </c>
      <c r="P732" s="226" t="s">
        <v>3215</v>
      </c>
      <c r="Q732" s="226" t="s">
        <v>3962</v>
      </c>
      <c r="R732" s="227" t="s">
        <v>2909</v>
      </c>
      <c r="S732" s="225" t="s">
        <v>2910</v>
      </c>
      <c r="T732" s="232">
        <v>13810432240</v>
      </c>
      <c r="U732" s="225" t="s">
        <v>3421</v>
      </c>
      <c r="V732" s="225" t="s">
        <v>3422</v>
      </c>
      <c r="W732" s="229"/>
      <c r="X732" s="230">
        <v>43217</v>
      </c>
      <c r="Y732" s="238" t="s">
        <v>27</v>
      </c>
      <c r="Z732" s="238" t="s">
        <v>27</v>
      </c>
      <c r="AA732" s="238" t="s">
        <v>27</v>
      </c>
      <c r="AB732" s="45" t="s">
        <v>2887</v>
      </c>
      <c r="AC732" s="169"/>
    </row>
    <row r="733" spans="1:29" s="68" customFormat="1" ht="15" hidden="1" customHeight="1">
      <c r="A733" s="226" t="s">
        <v>203</v>
      </c>
      <c r="B733" s="226" t="s">
        <v>1487</v>
      </c>
      <c r="C733" s="226" t="s">
        <v>27</v>
      </c>
      <c r="D733" s="226" t="s">
        <v>2893</v>
      </c>
      <c r="E733" s="226" t="s">
        <v>2008</v>
      </c>
      <c r="F733" s="226">
        <v>3299368</v>
      </c>
      <c r="G733" s="227" t="s">
        <v>4260</v>
      </c>
      <c r="H733" s="226" t="s">
        <v>20</v>
      </c>
      <c r="I733" s="227" t="s">
        <v>21</v>
      </c>
      <c r="J733" s="227" t="s">
        <v>209</v>
      </c>
      <c r="K733" s="225" t="s">
        <v>26</v>
      </c>
      <c r="L733" s="51" t="s">
        <v>211</v>
      </c>
      <c r="M733" s="226" t="s">
        <v>22</v>
      </c>
      <c r="N733" s="226" t="s">
        <v>22</v>
      </c>
      <c r="O733" s="226" t="s">
        <v>3639</v>
      </c>
      <c r="P733" s="226" t="s">
        <v>3205</v>
      </c>
      <c r="Q733" s="226" t="s">
        <v>3963</v>
      </c>
      <c r="R733" s="227" t="s">
        <v>2844</v>
      </c>
      <c r="S733" s="225" t="s">
        <v>2845</v>
      </c>
      <c r="T733" s="232">
        <v>13810837135</v>
      </c>
      <c r="U733" s="225" t="s">
        <v>3423</v>
      </c>
      <c r="V733" s="225" t="s">
        <v>3424</v>
      </c>
      <c r="W733" s="229"/>
      <c r="X733" s="230"/>
      <c r="Y733" s="238" t="s">
        <v>27</v>
      </c>
      <c r="Z733" s="238" t="s">
        <v>27</v>
      </c>
      <c r="AA733" s="238" t="s">
        <v>27</v>
      </c>
      <c r="AB733" s="45" t="s">
        <v>2887</v>
      </c>
      <c r="AC733" s="169"/>
    </row>
    <row r="734" spans="1:29" s="68" customFormat="1" ht="15" hidden="1" customHeight="1">
      <c r="A734" s="226" t="s">
        <v>203</v>
      </c>
      <c r="B734" s="226" t="s">
        <v>492</v>
      </c>
      <c r="C734" s="226" t="s">
        <v>27</v>
      </c>
      <c r="D734" s="226" t="s">
        <v>2893</v>
      </c>
      <c r="E734" s="226" t="s">
        <v>2008</v>
      </c>
      <c r="F734" s="226">
        <v>3299380</v>
      </c>
      <c r="G734" s="227" t="s">
        <v>4346</v>
      </c>
      <c r="H734" s="226" t="s">
        <v>20</v>
      </c>
      <c r="I734" s="227" t="s">
        <v>60</v>
      </c>
      <c r="J734" s="227" t="s">
        <v>2486</v>
      </c>
      <c r="K734" s="225" t="s">
        <v>2651</v>
      </c>
      <c r="L734" s="51" t="s">
        <v>211</v>
      </c>
      <c r="M734" s="226" t="s">
        <v>22</v>
      </c>
      <c r="N734" s="226" t="s">
        <v>22</v>
      </c>
      <c r="O734" s="226" t="s">
        <v>3639</v>
      </c>
      <c r="P734" s="226" t="s">
        <v>3218</v>
      </c>
      <c r="Q734" s="226" t="s">
        <v>3964</v>
      </c>
      <c r="R734" s="227" t="s">
        <v>2531</v>
      </c>
      <c r="S734" s="225" t="s">
        <v>2532</v>
      </c>
      <c r="T734" s="232">
        <v>13810019974</v>
      </c>
      <c r="U734" s="225" t="s">
        <v>3425</v>
      </c>
      <c r="V734" s="225" t="s">
        <v>3426</v>
      </c>
      <c r="W734" s="229">
        <v>18514507141</v>
      </c>
      <c r="X734" s="230">
        <v>43334</v>
      </c>
      <c r="Y734" s="238" t="s">
        <v>27</v>
      </c>
      <c r="Z734" s="238" t="s">
        <v>27</v>
      </c>
      <c r="AA734" s="238" t="s">
        <v>27</v>
      </c>
      <c r="AB734" s="45" t="s">
        <v>2887</v>
      </c>
      <c r="AC734" s="169"/>
    </row>
    <row r="735" spans="1:29" s="68" customFormat="1" ht="15" hidden="1" customHeight="1">
      <c r="A735" s="226" t="s">
        <v>203</v>
      </c>
      <c r="B735" s="226" t="s">
        <v>1488</v>
      </c>
      <c r="C735" s="226" t="s">
        <v>27</v>
      </c>
      <c r="D735" s="226" t="s">
        <v>2893</v>
      </c>
      <c r="E735" s="226" t="s">
        <v>2008</v>
      </c>
      <c r="F735" s="226">
        <v>3219841</v>
      </c>
      <c r="G735" s="227" t="s">
        <v>4294</v>
      </c>
      <c r="H735" s="226" t="s">
        <v>20</v>
      </c>
      <c r="I735" s="227" t="s">
        <v>21</v>
      </c>
      <c r="J735" s="227" t="s">
        <v>209</v>
      </c>
      <c r="K735" s="225" t="s">
        <v>26</v>
      </c>
      <c r="L735" s="51" t="s">
        <v>211</v>
      </c>
      <c r="M735" s="226" t="s">
        <v>22</v>
      </c>
      <c r="N735" s="226" t="s">
        <v>22</v>
      </c>
      <c r="O735" s="226" t="s">
        <v>3639</v>
      </c>
      <c r="P735" s="226" t="s">
        <v>3221</v>
      </c>
      <c r="Q735" s="226" t="s">
        <v>3965</v>
      </c>
      <c r="R735" s="227" t="s">
        <v>3034</v>
      </c>
      <c r="S735" s="225" t="s">
        <v>3035</v>
      </c>
      <c r="T735" s="232">
        <v>13910697346</v>
      </c>
      <c r="U735" s="225" t="s">
        <v>3427</v>
      </c>
      <c r="V735" s="225" t="s">
        <v>3428</v>
      </c>
      <c r="W735" s="229"/>
      <c r="X735" s="230">
        <v>43252</v>
      </c>
      <c r="Y735" s="238" t="s">
        <v>27</v>
      </c>
      <c r="Z735" s="238" t="s">
        <v>27</v>
      </c>
      <c r="AA735" s="238" t="s">
        <v>27</v>
      </c>
      <c r="AB735" s="45" t="s">
        <v>2887</v>
      </c>
      <c r="AC735" s="169"/>
    </row>
    <row r="736" spans="1:29" s="68" customFormat="1" ht="15" hidden="1" customHeight="1">
      <c r="A736" s="226" t="s">
        <v>203</v>
      </c>
      <c r="B736" s="226" t="s">
        <v>1489</v>
      </c>
      <c r="C736" s="226" t="s">
        <v>27</v>
      </c>
      <c r="D736" s="226" t="s">
        <v>2658</v>
      </c>
      <c r="E736" s="226" t="s">
        <v>2008</v>
      </c>
      <c r="F736" s="226">
        <v>3219976</v>
      </c>
      <c r="G736" s="227" t="s">
        <v>4334</v>
      </c>
      <c r="H736" s="226" t="s">
        <v>20</v>
      </c>
      <c r="I736" s="227" t="s">
        <v>60</v>
      </c>
      <c r="J736" s="227" t="s">
        <v>2486</v>
      </c>
      <c r="K736" s="225" t="s">
        <v>2651</v>
      </c>
      <c r="L736" s="51" t="s">
        <v>211</v>
      </c>
      <c r="M736" s="226" t="s">
        <v>22</v>
      </c>
      <c r="N736" s="226" t="s">
        <v>22</v>
      </c>
      <c r="O736" s="226" t="s">
        <v>3639</v>
      </c>
      <c r="P736" s="226" t="s">
        <v>3211</v>
      </c>
      <c r="Q736" s="226" t="s">
        <v>3966</v>
      </c>
      <c r="R736" s="227" t="s">
        <v>2917</v>
      </c>
      <c r="S736" s="225" t="s">
        <v>2918</v>
      </c>
      <c r="T736" s="232">
        <v>13810465739</v>
      </c>
      <c r="U736" s="225" t="s">
        <v>3429</v>
      </c>
      <c r="V736" s="225" t="s">
        <v>3430</v>
      </c>
      <c r="W736" s="229">
        <v>13121662781</v>
      </c>
      <c r="X736" s="230">
        <v>43323</v>
      </c>
      <c r="Y736" s="238" t="s">
        <v>27</v>
      </c>
      <c r="Z736" s="238" t="s">
        <v>27</v>
      </c>
      <c r="AA736" s="238" t="s">
        <v>27</v>
      </c>
      <c r="AB736" s="45" t="s">
        <v>2887</v>
      </c>
      <c r="AC736" s="169"/>
    </row>
    <row r="737" spans="1:29" s="68" customFormat="1" ht="15" hidden="1" customHeight="1">
      <c r="A737" s="226" t="s">
        <v>203</v>
      </c>
      <c r="B737" s="226" t="s">
        <v>1490</v>
      </c>
      <c r="C737" s="226" t="s">
        <v>27</v>
      </c>
      <c r="D737" s="226" t="s">
        <v>4444</v>
      </c>
      <c r="E737" s="226" t="s">
        <v>2008</v>
      </c>
      <c r="F737" s="226">
        <v>3219979</v>
      </c>
      <c r="G737" s="227" t="s">
        <v>4297</v>
      </c>
      <c r="H737" s="226" t="s">
        <v>20</v>
      </c>
      <c r="I737" s="227" t="s">
        <v>21</v>
      </c>
      <c r="J737" s="227" t="s">
        <v>204</v>
      </c>
      <c r="K737" s="225" t="s">
        <v>206</v>
      </c>
      <c r="L737" s="51" t="s">
        <v>211</v>
      </c>
      <c r="M737" s="226" t="s">
        <v>22</v>
      </c>
      <c r="N737" s="226" t="s">
        <v>27</v>
      </c>
      <c r="O737" s="226" t="s">
        <v>3639</v>
      </c>
      <c r="P737" s="226" t="s">
        <v>3260</v>
      </c>
      <c r="Q737" s="226" t="s">
        <v>3967</v>
      </c>
      <c r="R737" s="227" t="s">
        <v>2533</v>
      </c>
      <c r="S737" s="225" t="s">
        <v>2534</v>
      </c>
      <c r="T737" s="232">
        <v>18910548934</v>
      </c>
      <c r="U737" s="225" t="s">
        <v>3171</v>
      </c>
      <c r="V737" s="225" t="s">
        <v>3172</v>
      </c>
      <c r="W737" s="229"/>
      <c r="X737" s="230">
        <v>43199</v>
      </c>
      <c r="Y737" s="238" t="s">
        <v>27</v>
      </c>
      <c r="Z737" s="238" t="s">
        <v>27</v>
      </c>
      <c r="AA737" s="238" t="s">
        <v>27</v>
      </c>
      <c r="AB737" s="45" t="s">
        <v>2887</v>
      </c>
      <c r="AC737" s="169"/>
    </row>
    <row r="738" spans="1:29" s="68" customFormat="1" ht="15" hidden="1" customHeight="1">
      <c r="A738" s="226" t="s">
        <v>203</v>
      </c>
      <c r="B738" s="226" t="s">
        <v>1491</v>
      </c>
      <c r="C738" s="226" t="s">
        <v>27</v>
      </c>
      <c r="D738" s="226" t="s">
        <v>2893</v>
      </c>
      <c r="E738" s="226" t="s">
        <v>2008</v>
      </c>
      <c r="F738" s="226">
        <v>3219868</v>
      </c>
      <c r="G738" s="227" t="s">
        <v>4348</v>
      </c>
      <c r="H738" s="226" t="s">
        <v>20</v>
      </c>
      <c r="I738" s="227" t="s">
        <v>21</v>
      </c>
      <c r="J738" s="227" t="s">
        <v>204</v>
      </c>
      <c r="K738" s="225" t="s">
        <v>1586</v>
      </c>
      <c r="L738" s="51" t="s">
        <v>211</v>
      </c>
      <c r="M738" s="226" t="s">
        <v>22</v>
      </c>
      <c r="N738" s="226" t="s">
        <v>27</v>
      </c>
      <c r="O738" s="226" t="s">
        <v>3639</v>
      </c>
      <c r="P738" s="226" t="s">
        <v>3238</v>
      </c>
      <c r="Q738" s="226" t="s">
        <v>3968</v>
      </c>
      <c r="R738" s="227" t="s">
        <v>2846</v>
      </c>
      <c r="S738" s="225" t="s">
        <v>2847</v>
      </c>
      <c r="T738" s="232">
        <v>18910224170</v>
      </c>
      <c r="U738" s="225" t="s">
        <v>3431</v>
      </c>
      <c r="V738" s="225" t="s">
        <v>3432</v>
      </c>
      <c r="W738" s="229"/>
      <c r="X738" s="230">
        <v>43252</v>
      </c>
      <c r="Y738" s="238" t="s">
        <v>27</v>
      </c>
      <c r="Z738" s="238" t="s">
        <v>27</v>
      </c>
      <c r="AA738" s="238" t="s">
        <v>27</v>
      </c>
      <c r="AB738" s="45" t="s">
        <v>2887</v>
      </c>
      <c r="AC738" s="169"/>
    </row>
    <row r="739" spans="1:29" s="68" customFormat="1" ht="15" hidden="1" customHeight="1">
      <c r="A739" s="226" t="s">
        <v>203</v>
      </c>
      <c r="B739" s="226" t="s">
        <v>1492</v>
      </c>
      <c r="C739" s="226" t="s">
        <v>27</v>
      </c>
      <c r="D739" s="226" t="s">
        <v>2893</v>
      </c>
      <c r="E739" s="226" t="s">
        <v>2008</v>
      </c>
      <c r="F739" s="226">
        <v>3120210</v>
      </c>
      <c r="G739" s="227" t="s">
        <v>4251</v>
      </c>
      <c r="H739" s="226" t="s">
        <v>20</v>
      </c>
      <c r="I739" s="227" t="s">
        <v>21</v>
      </c>
      <c r="J739" s="227" t="s">
        <v>204</v>
      </c>
      <c r="K739" s="225" t="s">
        <v>1586</v>
      </c>
      <c r="L739" s="51" t="s">
        <v>211</v>
      </c>
      <c r="M739" s="226" t="s">
        <v>22</v>
      </c>
      <c r="N739" s="226" t="s">
        <v>27</v>
      </c>
      <c r="O739" s="226" t="s">
        <v>3639</v>
      </c>
      <c r="P739" s="226" t="s">
        <v>3238</v>
      </c>
      <c r="Q739" s="226" t="s">
        <v>3969</v>
      </c>
      <c r="R739" s="227" t="s">
        <v>2848</v>
      </c>
      <c r="S739" s="225" t="s">
        <v>2849</v>
      </c>
      <c r="T739" s="232">
        <v>13381264913</v>
      </c>
      <c r="U739" s="225" t="s">
        <v>3433</v>
      </c>
      <c r="V739" s="225" t="s">
        <v>3434</v>
      </c>
      <c r="W739" s="229"/>
      <c r="X739" s="230">
        <v>43252</v>
      </c>
      <c r="Y739" s="238" t="s">
        <v>27</v>
      </c>
      <c r="Z739" s="238" t="s">
        <v>27</v>
      </c>
      <c r="AA739" s="238" t="s">
        <v>27</v>
      </c>
      <c r="AB739" s="45" t="s">
        <v>2887</v>
      </c>
      <c r="AC739" s="169"/>
    </row>
    <row r="740" spans="1:29" s="68" customFormat="1" ht="15" hidden="1" customHeight="1">
      <c r="A740" s="226" t="s">
        <v>203</v>
      </c>
      <c r="B740" s="226" t="s">
        <v>4349</v>
      </c>
      <c r="C740" s="226" t="s">
        <v>27</v>
      </c>
      <c r="D740" s="226" t="s">
        <v>2893</v>
      </c>
      <c r="E740" s="226" t="s">
        <v>2008</v>
      </c>
      <c r="F740" s="226">
        <v>3219964</v>
      </c>
      <c r="G740" s="227" t="s">
        <v>4350</v>
      </c>
      <c r="H740" s="226" t="s">
        <v>20</v>
      </c>
      <c r="I740" s="227" t="s">
        <v>60</v>
      </c>
      <c r="J740" s="227" t="s">
        <v>2485</v>
      </c>
      <c r="K740" s="225" t="s">
        <v>2429</v>
      </c>
      <c r="L740" s="51" t="s">
        <v>211</v>
      </c>
      <c r="M740" s="226" t="s">
        <v>22</v>
      </c>
      <c r="N740" s="226" t="s">
        <v>22</v>
      </c>
      <c r="O740" s="226" t="s">
        <v>3639</v>
      </c>
      <c r="P740" s="226" t="s">
        <v>3212</v>
      </c>
      <c r="Q740" s="226" t="s">
        <v>4351</v>
      </c>
      <c r="R740" s="227" t="s">
        <v>2945</v>
      </c>
      <c r="S740" s="225" t="s">
        <v>2946</v>
      </c>
      <c r="T740" s="232">
        <v>13051118761</v>
      </c>
      <c r="U740" s="225" t="s">
        <v>3435</v>
      </c>
      <c r="V740" s="225" t="s">
        <v>3436</v>
      </c>
      <c r="W740" s="229">
        <v>13810857535</v>
      </c>
      <c r="X740" s="230">
        <v>43215</v>
      </c>
      <c r="Y740" s="238" t="s">
        <v>27</v>
      </c>
      <c r="Z740" s="238" t="s">
        <v>27</v>
      </c>
      <c r="AA740" s="238" t="s">
        <v>27</v>
      </c>
      <c r="AB740" s="45" t="s">
        <v>2887</v>
      </c>
      <c r="AC740" s="169"/>
    </row>
    <row r="741" spans="1:29" s="68" customFormat="1" ht="15" hidden="1" customHeight="1">
      <c r="A741" s="226" t="s">
        <v>203</v>
      </c>
      <c r="B741" s="226" t="s">
        <v>1493</v>
      </c>
      <c r="C741" s="226" t="s">
        <v>27</v>
      </c>
      <c r="D741" s="226" t="s">
        <v>2658</v>
      </c>
      <c r="E741" s="226" t="s">
        <v>2008</v>
      </c>
      <c r="F741" s="226">
        <v>3219994</v>
      </c>
      <c r="G741" s="227" t="s">
        <v>4352</v>
      </c>
      <c r="H741" s="226" t="s">
        <v>20</v>
      </c>
      <c r="I741" s="227" t="s">
        <v>21</v>
      </c>
      <c r="J741" s="227" t="s">
        <v>204</v>
      </c>
      <c r="K741" s="225" t="s">
        <v>206</v>
      </c>
      <c r="L741" s="51" t="s">
        <v>211</v>
      </c>
      <c r="M741" s="226" t="s">
        <v>22</v>
      </c>
      <c r="N741" s="226" t="s">
        <v>27</v>
      </c>
      <c r="O741" s="226" t="s">
        <v>3639</v>
      </c>
      <c r="P741" s="226" t="s">
        <v>3324</v>
      </c>
      <c r="Q741" s="226" t="s">
        <v>3970</v>
      </c>
      <c r="R741" s="227" t="s">
        <v>3743</v>
      </c>
      <c r="S741" s="225" t="s">
        <v>3744</v>
      </c>
      <c r="T741" s="231">
        <v>18911473640</v>
      </c>
      <c r="U741" s="225" t="s">
        <v>3437</v>
      </c>
      <c r="V741" s="225" t="s">
        <v>3438</v>
      </c>
      <c r="W741" s="229"/>
      <c r="X741" s="230">
        <v>43218</v>
      </c>
      <c r="Y741" s="238" t="s">
        <v>27</v>
      </c>
      <c r="Z741" s="238" t="s">
        <v>27</v>
      </c>
      <c r="AA741" s="238" t="s">
        <v>27</v>
      </c>
      <c r="AB741" s="45" t="s">
        <v>2887</v>
      </c>
      <c r="AC741" s="169"/>
    </row>
    <row r="742" spans="1:29" s="68" customFormat="1" ht="15" hidden="1" customHeight="1">
      <c r="A742" s="226" t="s">
        <v>203</v>
      </c>
      <c r="B742" s="226" t="s">
        <v>1494</v>
      </c>
      <c r="C742" s="226" t="s">
        <v>27</v>
      </c>
      <c r="D742" s="226" t="s">
        <v>2893</v>
      </c>
      <c r="E742" s="226" t="s">
        <v>2008</v>
      </c>
      <c r="F742" s="226">
        <v>3219851</v>
      </c>
      <c r="G742" s="227" t="s">
        <v>4352</v>
      </c>
      <c r="H742" s="226" t="s">
        <v>20</v>
      </c>
      <c r="I742" s="227" t="s">
        <v>21</v>
      </c>
      <c r="J742" s="227" t="s">
        <v>204</v>
      </c>
      <c r="K742" s="225" t="s">
        <v>206</v>
      </c>
      <c r="L742" s="51" t="s">
        <v>211</v>
      </c>
      <c r="M742" s="226" t="s">
        <v>22</v>
      </c>
      <c r="N742" s="226" t="s">
        <v>27</v>
      </c>
      <c r="O742" s="226" t="s">
        <v>3639</v>
      </c>
      <c r="P742" s="226" t="s">
        <v>3221</v>
      </c>
      <c r="Q742" s="226" t="s">
        <v>3971</v>
      </c>
      <c r="R742" s="227" t="s">
        <v>2850</v>
      </c>
      <c r="S742" s="225" t="s">
        <v>2851</v>
      </c>
      <c r="T742" s="231">
        <v>13381264389</v>
      </c>
      <c r="U742" s="225" t="s">
        <v>3441</v>
      </c>
      <c r="V742" s="225" t="s">
        <v>3442</v>
      </c>
      <c r="W742" s="229"/>
      <c r="X742" s="230">
        <v>43214</v>
      </c>
      <c r="Y742" s="238" t="s">
        <v>27</v>
      </c>
      <c r="Z742" s="238" t="s">
        <v>27</v>
      </c>
      <c r="AA742" s="238" t="s">
        <v>27</v>
      </c>
      <c r="AB742" s="45" t="s">
        <v>2887</v>
      </c>
      <c r="AC742" s="169"/>
    </row>
    <row r="743" spans="1:29" s="68" customFormat="1" ht="15" hidden="1" customHeight="1">
      <c r="A743" s="226" t="s">
        <v>203</v>
      </c>
      <c r="B743" s="226" t="s">
        <v>1495</v>
      </c>
      <c r="C743" s="226" t="s">
        <v>22</v>
      </c>
      <c r="D743" s="226"/>
      <c r="E743" s="226" t="s">
        <v>2008</v>
      </c>
      <c r="F743" s="226">
        <v>3219691</v>
      </c>
      <c r="G743" s="227" t="s">
        <v>4353</v>
      </c>
      <c r="H743" s="226" t="s">
        <v>20</v>
      </c>
      <c r="I743" s="227" t="s">
        <v>21</v>
      </c>
      <c r="J743" s="227" t="s">
        <v>204</v>
      </c>
      <c r="K743" s="225" t="s">
        <v>206</v>
      </c>
      <c r="L743" s="51" t="s">
        <v>31</v>
      </c>
      <c r="M743" s="226" t="s">
        <v>22</v>
      </c>
      <c r="N743" s="226" t="s">
        <v>27</v>
      </c>
      <c r="O743" s="226" t="s">
        <v>3639</v>
      </c>
      <c r="P743" s="226" t="s">
        <v>3260</v>
      </c>
      <c r="Q743" s="226" t="s">
        <v>3972</v>
      </c>
      <c r="R743" s="227" t="s">
        <v>2535</v>
      </c>
      <c r="S743" s="225" t="s">
        <v>1632</v>
      </c>
      <c r="T743" s="231"/>
      <c r="U743" s="225" t="s">
        <v>3443</v>
      </c>
      <c r="V743" s="225" t="s">
        <v>3444</v>
      </c>
      <c r="W743" s="229"/>
      <c r="X743" s="230"/>
      <c r="Y743" s="238" t="s">
        <v>27</v>
      </c>
      <c r="Z743" s="238" t="s">
        <v>27</v>
      </c>
      <c r="AA743" s="238" t="s">
        <v>27</v>
      </c>
      <c r="AB743" s="45" t="s">
        <v>2888</v>
      </c>
      <c r="AC743" s="169"/>
    </row>
    <row r="744" spans="1:29" s="68" customFormat="1" ht="15" hidden="1" customHeight="1">
      <c r="A744" s="226" t="s">
        <v>203</v>
      </c>
      <c r="B744" s="226" t="s">
        <v>1496</v>
      </c>
      <c r="C744" s="226" t="s">
        <v>27</v>
      </c>
      <c r="D744" s="226" t="s">
        <v>2658</v>
      </c>
      <c r="E744" s="226" t="s">
        <v>2008</v>
      </c>
      <c r="F744" s="226">
        <v>3219963</v>
      </c>
      <c r="G744" s="227" t="s">
        <v>4337</v>
      </c>
      <c r="H744" s="226" t="s">
        <v>20</v>
      </c>
      <c r="I744" s="227" t="s">
        <v>21</v>
      </c>
      <c r="J744" s="227" t="s">
        <v>204</v>
      </c>
      <c r="K744" s="225" t="s">
        <v>1586</v>
      </c>
      <c r="L744" s="51" t="s">
        <v>211</v>
      </c>
      <c r="M744" s="226" t="s">
        <v>22</v>
      </c>
      <c r="N744" s="226" t="s">
        <v>27</v>
      </c>
      <c r="O744" s="226" t="s">
        <v>3639</v>
      </c>
      <c r="P744" s="226" t="s">
        <v>3324</v>
      </c>
      <c r="Q744" s="226" t="s">
        <v>3973</v>
      </c>
      <c r="R744" s="227" t="s">
        <v>2535</v>
      </c>
      <c r="S744" s="225" t="s">
        <v>3157</v>
      </c>
      <c r="T744" s="231">
        <v>13381264552</v>
      </c>
      <c r="U744" s="225" t="s">
        <v>3445</v>
      </c>
      <c r="V744" s="225" t="s">
        <v>3446</v>
      </c>
      <c r="W744" s="229"/>
      <c r="X744" s="230">
        <v>43218</v>
      </c>
      <c r="Y744" s="238" t="s">
        <v>27</v>
      </c>
      <c r="Z744" s="238" t="s">
        <v>27</v>
      </c>
      <c r="AA744" s="238" t="s">
        <v>27</v>
      </c>
      <c r="AB744" s="45" t="s">
        <v>2887</v>
      </c>
      <c r="AC744" s="169"/>
    </row>
    <row r="745" spans="1:29" s="68" customFormat="1" ht="15" hidden="1" customHeight="1">
      <c r="A745" s="226" t="s">
        <v>203</v>
      </c>
      <c r="B745" s="226" t="s">
        <v>1497</v>
      </c>
      <c r="C745" s="226" t="s">
        <v>27</v>
      </c>
      <c r="D745" s="226" t="s">
        <v>2658</v>
      </c>
      <c r="E745" s="226" t="s">
        <v>2008</v>
      </c>
      <c r="F745" s="226">
        <v>3219845</v>
      </c>
      <c r="G745" s="227" t="s">
        <v>4354</v>
      </c>
      <c r="H745" s="226" t="s">
        <v>20</v>
      </c>
      <c r="I745" s="227" t="s">
        <v>21</v>
      </c>
      <c r="J745" s="227" t="s">
        <v>1587</v>
      </c>
      <c r="K745" s="225" t="s">
        <v>1586</v>
      </c>
      <c r="L745" s="51" t="s">
        <v>211</v>
      </c>
      <c r="M745" s="226" t="s">
        <v>22</v>
      </c>
      <c r="N745" s="226" t="s">
        <v>22</v>
      </c>
      <c r="O745" s="226" t="s">
        <v>27</v>
      </c>
      <c r="P745" s="226" t="s">
        <v>3870</v>
      </c>
      <c r="Q745" s="226" t="s">
        <v>3974</v>
      </c>
      <c r="R745" s="227" t="s">
        <v>3111</v>
      </c>
      <c r="S745" s="225" t="s">
        <v>3112</v>
      </c>
      <c r="T745" s="231">
        <v>18900670343</v>
      </c>
      <c r="U745" s="225" t="s">
        <v>3447</v>
      </c>
      <c r="V745" s="225" t="s">
        <v>3448</v>
      </c>
      <c r="W745" s="229"/>
      <c r="X745" s="230"/>
      <c r="Y745" s="238" t="s">
        <v>27</v>
      </c>
      <c r="Z745" s="238" t="s">
        <v>27</v>
      </c>
      <c r="AA745" s="238" t="s">
        <v>27</v>
      </c>
      <c r="AB745" s="45" t="s">
        <v>2475</v>
      </c>
      <c r="AC745" s="169"/>
    </row>
    <row r="746" spans="1:29" s="68" customFormat="1" ht="15" hidden="1" customHeight="1">
      <c r="A746" s="226" t="s">
        <v>203</v>
      </c>
      <c r="B746" s="226" t="s">
        <v>1498</v>
      </c>
      <c r="C746" s="226" t="s">
        <v>27</v>
      </c>
      <c r="D746" s="226" t="s">
        <v>4444</v>
      </c>
      <c r="E746" s="226" t="s">
        <v>2008</v>
      </c>
      <c r="F746" s="226">
        <v>3299364</v>
      </c>
      <c r="G746" s="225" t="s">
        <v>4355</v>
      </c>
      <c r="H746" s="226" t="s">
        <v>20</v>
      </c>
      <c r="I746" s="225" t="s">
        <v>21</v>
      </c>
      <c r="J746" s="225" t="s">
        <v>1587</v>
      </c>
      <c r="K746" s="225" t="s">
        <v>1586</v>
      </c>
      <c r="L746" s="51" t="s">
        <v>211</v>
      </c>
      <c r="M746" s="226" t="s">
        <v>22</v>
      </c>
      <c r="N746" s="226" t="s">
        <v>22</v>
      </c>
      <c r="O746" s="226" t="s">
        <v>27</v>
      </c>
      <c r="P746" s="226" t="s">
        <v>3870</v>
      </c>
      <c r="Q746" s="226" t="s">
        <v>3975</v>
      </c>
      <c r="R746" s="227" t="s">
        <v>3113</v>
      </c>
      <c r="S746" s="225" t="s">
        <v>3114</v>
      </c>
      <c r="T746" s="228">
        <v>18900670342</v>
      </c>
      <c r="U746" s="225" t="s">
        <v>3449</v>
      </c>
      <c r="V746" s="225" t="s">
        <v>3450</v>
      </c>
      <c r="W746" s="229"/>
      <c r="X746" s="230"/>
      <c r="Y746" s="238" t="s">
        <v>27</v>
      </c>
      <c r="Z746" s="238" t="s">
        <v>27</v>
      </c>
      <c r="AA746" s="238" t="s">
        <v>27</v>
      </c>
      <c r="AB746" s="45" t="s">
        <v>2888</v>
      </c>
      <c r="AC746" s="169"/>
    </row>
    <row r="747" spans="1:29" s="68" customFormat="1" ht="15" hidden="1" customHeight="1">
      <c r="A747" s="226" t="s">
        <v>203</v>
      </c>
      <c r="B747" s="226" t="s">
        <v>1499</v>
      </c>
      <c r="C747" s="226" t="s">
        <v>27</v>
      </c>
      <c r="D747" s="226" t="s">
        <v>2893</v>
      </c>
      <c r="E747" s="226" t="s">
        <v>2008</v>
      </c>
      <c r="F747" s="226">
        <v>3299485</v>
      </c>
      <c r="G747" s="225" t="s">
        <v>4338</v>
      </c>
      <c r="H747" s="226" t="s">
        <v>20</v>
      </c>
      <c r="I747" s="225" t="s">
        <v>60</v>
      </c>
      <c r="J747" s="225" t="s">
        <v>2485</v>
      </c>
      <c r="K747" s="225" t="s">
        <v>4426</v>
      </c>
      <c r="L747" s="51" t="s">
        <v>211</v>
      </c>
      <c r="M747" s="226" t="s">
        <v>22</v>
      </c>
      <c r="N747" s="226" t="s">
        <v>22</v>
      </c>
      <c r="O747" s="226" t="s">
        <v>3639</v>
      </c>
      <c r="P747" s="226" t="s">
        <v>3935</v>
      </c>
      <c r="Q747" s="226" t="s">
        <v>3976</v>
      </c>
      <c r="R747" s="227" t="s">
        <v>2536</v>
      </c>
      <c r="S747" s="225" t="s">
        <v>1633</v>
      </c>
      <c r="T747" s="228">
        <v>13001925784</v>
      </c>
      <c r="U747" s="225" t="s">
        <v>3451</v>
      </c>
      <c r="V747" s="225" t="s">
        <v>3452</v>
      </c>
      <c r="W747" s="229">
        <v>13810012946</v>
      </c>
      <c r="X747" s="230">
        <v>43323</v>
      </c>
      <c r="Y747" s="238" t="s">
        <v>27</v>
      </c>
      <c r="Z747" s="238" t="s">
        <v>27</v>
      </c>
      <c r="AA747" s="238" t="s">
        <v>27</v>
      </c>
      <c r="AB747" s="45" t="s">
        <v>2887</v>
      </c>
      <c r="AC747" s="169"/>
    </row>
    <row r="748" spans="1:29" s="68" customFormat="1" ht="15" hidden="1" customHeight="1">
      <c r="A748" s="226" t="s">
        <v>203</v>
      </c>
      <c r="B748" s="226" t="s">
        <v>1500</v>
      </c>
      <c r="C748" s="226" t="s">
        <v>27</v>
      </c>
      <c r="D748" s="226" t="s">
        <v>4443</v>
      </c>
      <c r="E748" s="226" t="s">
        <v>2008</v>
      </c>
      <c r="F748" s="226">
        <v>3299639</v>
      </c>
      <c r="G748" s="225" t="s">
        <v>4356</v>
      </c>
      <c r="H748" s="226" t="s">
        <v>20</v>
      </c>
      <c r="I748" s="227" t="s">
        <v>21</v>
      </c>
      <c r="J748" s="225" t="s">
        <v>204</v>
      </c>
      <c r="K748" s="225" t="s">
        <v>206</v>
      </c>
      <c r="L748" s="51" t="s">
        <v>211</v>
      </c>
      <c r="M748" s="226" t="s">
        <v>22</v>
      </c>
      <c r="N748" s="226" t="s">
        <v>27</v>
      </c>
      <c r="O748" s="226" t="s">
        <v>3639</v>
      </c>
      <c r="P748" s="226" t="s">
        <v>3324</v>
      </c>
      <c r="Q748" s="226" t="s">
        <v>3977</v>
      </c>
      <c r="R748" s="227" t="s">
        <v>2537</v>
      </c>
      <c r="S748" s="225" t="s">
        <v>2165</v>
      </c>
      <c r="T748" s="228">
        <v>13381264271</v>
      </c>
      <c r="U748" s="225" t="s">
        <v>3453</v>
      </c>
      <c r="V748" s="225" t="s">
        <v>3454</v>
      </c>
      <c r="W748" s="229"/>
      <c r="X748" s="230">
        <v>43203</v>
      </c>
      <c r="Y748" s="238" t="s">
        <v>27</v>
      </c>
      <c r="Z748" s="238" t="s">
        <v>27</v>
      </c>
      <c r="AA748" s="238" t="s">
        <v>27</v>
      </c>
      <c r="AB748" s="45" t="s">
        <v>2887</v>
      </c>
      <c r="AC748" s="169"/>
    </row>
    <row r="749" spans="1:29" s="68" customFormat="1" ht="15" hidden="1" customHeight="1">
      <c r="A749" s="226" t="s">
        <v>203</v>
      </c>
      <c r="B749" s="226" t="s">
        <v>1501</v>
      </c>
      <c r="C749" s="226" t="s">
        <v>27</v>
      </c>
      <c r="D749" s="226" t="s">
        <v>2893</v>
      </c>
      <c r="E749" s="226" t="s">
        <v>2008</v>
      </c>
      <c r="F749" s="226">
        <v>3299564</v>
      </c>
      <c r="G749" s="225" t="s">
        <v>4356</v>
      </c>
      <c r="H749" s="226" t="s">
        <v>20</v>
      </c>
      <c r="I749" s="227" t="s">
        <v>21</v>
      </c>
      <c r="J749" s="225" t="s">
        <v>204</v>
      </c>
      <c r="K749" s="225" t="s">
        <v>206</v>
      </c>
      <c r="L749" s="51" t="s">
        <v>211</v>
      </c>
      <c r="M749" s="226" t="s">
        <v>22</v>
      </c>
      <c r="N749" s="226" t="s">
        <v>27</v>
      </c>
      <c r="O749" s="226" t="s">
        <v>3639</v>
      </c>
      <c r="P749" s="226" t="s">
        <v>3204</v>
      </c>
      <c r="Q749" s="226" t="s">
        <v>3978</v>
      </c>
      <c r="R749" s="227" t="s">
        <v>2852</v>
      </c>
      <c r="S749" s="225" t="s">
        <v>2853</v>
      </c>
      <c r="T749" s="228">
        <v>13381264632</v>
      </c>
      <c r="U749" s="225" t="s">
        <v>3455</v>
      </c>
      <c r="V749" s="225" t="s">
        <v>3456</v>
      </c>
      <c r="W749" s="229"/>
      <c r="X749" s="230">
        <v>43213</v>
      </c>
      <c r="Y749" s="238" t="s">
        <v>27</v>
      </c>
      <c r="Z749" s="238" t="s">
        <v>27</v>
      </c>
      <c r="AA749" s="238" t="s">
        <v>27</v>
      </c>
      <c r="AB749" s="45" t="s">
        <v>2887</v>
      </c>
      <c r="AC749" s="169"/>
    </row>
    <row r="750" spans="1:29" s="68" customFormat="1" ht="15" hidden="1" customHeight="1">
      <c r="A750" s="226" t="s">
        <v>203</v>
      </c>
      <c r="B750" s="226" t="s">
        <v>1502</v>
      </c>
      <c r="C750" s="226" t="s">
        <v>27</v>
      </c>
      <c r="D750" s="226" t="s">
        <v>2893</v>
      </c>
      <c r="E750" s="226" t="s">
        <v>2008</v>
      </c>
      <c r="F750" s="226">
        <v>3299766</v>
      </c>
      <c r="G750" s="225" t="s">
        <v>4328</v>
      </c>
      <c r="H750" s="226" t="s">
        <v>20</v>
      </c>
      <c r="I750" s="227" t="s">
        <v>60</v>
      </c>
      <c r="J750" s="225" t="s">
        <v>2486</v>
      </c>
      <c r="K750" s="225" t="s">
        <v>2651</v>
      </c>
      <c r="L750" s="51" t="s">
        <v>211</v>
      </c>
      <c r="M750" s="226" t="s">
        <v>22</v>
      </c>
      <c r="N750" s="226" t="s">
        <v>22</v>
      </c>
      <c r="O750" s="226" t="s">
        <v>3639</v>
      </c>
      <c r="P750" s="226" t="s">
        <v>3204</v>
      </c>
      <c r="Q750" s="226" t="s">
        <v>3979</v>
      </c>
      <c r="R750" s="227" t="s">
        <v>2854</v>
      </c>
      <c r="S750" s="225" t="s">
        <v>2855</v>
      </c>
      <c r="T750" s="228">
        <v>13810019404</v>
      </c>
      <c r="U750" s="225" t="s">
        <v>3457</v>
      </c>
      <c r="V750" s="225" t="s">
        <v>3458</v>
      </c>
      <c r="W750" s="229">
        <v>18519397649</v>
      </c>
      <c r="X750" s="230">
        <v>43334</v>
      </c>
      <c r="Y750" s="238" t="s">
        <v>27</v>
      </c>
      <c r="Z750" s="238" t="s">
        <v>27</v>
      </c>
      <c r="AA750" s="238" t="s">
        <v>27</v>
      </c>
      <c r="AB750" s="45" t="s">
        <v>2887</v>
      </c>
      <c r="AC750" s="169"/>
    </row>
    <row r="751" spans="1:29" s="68" customFormat="1" ht="15" hidden="1" customHeight="1">
      <c r="A751" s="226" t="s">
        <v>203</v>
      </c>
      <c r="B751" s="226" t="s">
        <v>1503</v>
      </c>
      <c r="C751" s="226" t="s">
        <v>27</v>
      </c>
      <c r="D751" s="226" t="s">
        <v>4443</v>
      </c>
      <c r="E751" s="226" t="s">
        <v>2008</v>
      </c>
      <c r="F751" s="226">
        <v>3299586</v>
      </c>
      <c r="G751" s="225" t="s">
        <v>4285</v>
      </c>
      <c r="H751" s="226" t="s">
        <v>20</v>
      </c>
      <c r="I751" s="227" t="s">
        <v>60</v>
      </c>
      <c r="J751" s="225" t="s">
        <v>2501</v>
      </c>
      <c r="K751" s="225" t="s">
        <v>4331</v>
      </c>
      <c r="L751" s="51" t="s">
        <v>211</v>
      </c>
      <c r="M751" s="226" t="s">
        <v>22</v>
      </c>
      <c r="N751" s="226" t="s">
        <v>27</v>
      </c>
      <c r="O751" s="226" t="s">
        <v>3639</v>
      </c>
      <c r="P751" s="226" t="s">
        <v>3276</v>
      </c>
      <c r="Q751" s="226" t="s">
        <v>3980</v>
      </c>
      <c r="R751" s="227" t="s">
        <v>2949</v>
      </c>
      <c r="S751" s="225" t="s">
        <v>2950</v>
      </c>
      <c r="T751" s="228">
        <v>13381264962</v>
      </c>
      <c r="U751" s="225" t="s">
        <v>1662</v>
      </c>
      <c r="V751" s="225" t="s">
        <v>2046</v>
      </c>
      <c r="W751" s="229">
        <v>13911453623</v>
      </c>
      <c r="X751" s="230">
        <v>43215</v>
      </c>
      <c r="Y751" s="238" t="s">
        <v>27</v>
      </c>
      <c r="Z751" s="238" t="s">
        <v>27</v>
      </c>
      <c r="AA751" s="238" t="s">
        <v>27</v>
      </c>
      <c r="AB751" s="45" t="s">
        <v>2887</v>
      </c>
      <c r="AC751" s="169"/>
    </row>
    <row r="752" spans="1:29" s="68" customFormat="1" ht="15" hidden="1" customHeight="1">
      <c r="A752" s="226" t="s">
        <v>203</v>
      </c>
      <c r="B752" s="226" t="s">
        <v>1504</v>
      </c>
      <c r="C752" s="226" t="s">
        <v>27</v>
      </c>
      <c r="D752" s="226" t="s">
        <v>2893</v>
      </c>
      <c r="E752" s="226" t="s">
        <v>2008</v>
      </c>
      <c r="F752" s="226">
        <v>3299479</v>
      </c>
      <c r="G752" s="225" t="s">
        <v>4357</v>
      </c>
      <c r="H752" s="226" t="s">
        <v>20</v>
      </c>
      <c r="I752" s="227" t="s">
        <v>60</v>
      </c>
      <c r="J752" s="225" t="s">
        <v>2484</v>
      </c>
      <c r="K752" s="225" t="s">
        <v>4427</v>
      </c>
      <c r="L752" s="51" t="s">
        <v>211</v>
      </c>
      <c r="M752" s="226" t="s">
        <v>22</v>
      </c>
      <c r="N752" s="226" t="s">
        <v>22</v>
      </c>
      <c r="O752" s="226" t="s">
        <v>3639</v>
      </c>
      <c r="P752" s="226" t="s">
        <v>3230</v>
      </c>
      <c r="Q752" s="226" t="s">
        <v>3981</v>
      </c>
      <c r="R752" s="227" t="s">
        <v>2951</v>
      </c>
      <c r="S752" s="225" t="s">
        <v>2952</v>
      </c>
      <c r="T752" s="228">
        <v>13811738780</v>
      </c>
      <c r="U752" s="225" t="s">
        <v>3459</v>
      </c>
      <c r="V752" s="225" t="s">
        <v>3460</v>
      </c>
      <c r="W752" s="229">
        <v>13810147274</v>
      </c>
      <c r="X752" s="230">
        <v>43334</v>
      </c>
      <c r="Y752" s="238" t="s">
        <v>27</v>
      </c>
      <c r="Z752" s="238" t="s">
        <v>27</v>
      </c>
      <c r="AA752" s="238" t="s">
        <v>27</v>
      </c>
      <c r="AB752" s="204" t="s">
        <v>2887</v>
      </c>
      <c r="AC752" s="169"/>
    </row>
    <row r="753" spans="1:29" s="68" customFormat="1" ht="15" hidden="1" customHeight="1">
      <c r="A753" s="226" t="s">
        <v>203</v>
      </c>
      <c r="B753" s="226" t="s">
        <v>1505</v>
      </c>
      <c r="C753" s="226" t="s">
        <v>27</v>
      </c>
      <c r="D753" s="226" t="s">
        <v>4444</v>
      </c>
      <c r="E753" s="226" t="s">
        <v>2008</v>
      </c>
      <c r="F753" s="226">
        <v>3299803</v>
      </c>
      <c r="G753" s="225" t="s">
        <v>4358</v>
      </c>
      <c r="H753" s="226" t="s">
        <v>20</v>
      </c>
      <c r="I753" s="227" t="s">
        <v>21</v>
      </c>
      <c r="J753" s="225" t="s">
        <v>204</v>
      </c>
      <c r="K753" s="225" t="s">
        <v>1586</v>
      </c>
      <c r="L753" s="51" t="s">
        <v>211</v>
      </c>
      <c r="M753" s="226" t="s">
        <v>22</v>
      </c>
      <c r="N753" s="226" t="s">
        <v>27</v>
      </c>
      <c r="O753" s="226" t="s">
        <v>3639</v>
      </c>
      <c r="P753" s="226" t="s">
        <v>3260</v>
      </c>
      <c r="Q753" s="226" t="s">
        <v>3982</v>
      </c>
      <c r="R753" s="227" t="s">
        <v>3036</v>
      </c>
      <c r="S753" s="225" t="s">
        <v>3037</v>
      </c>
      <c r="T753" s="228">
        <v>13381264890</v>
      </c>
      <c r="U753" s="225" t="s">
        <v>3461</v>
      </c>
      <c r="V753" s="225" t="s">
        <v>3462</v>
      </c>
      <c r="W753" s="229"/>
      <c r="X753" s="230">
        <v>43216</v>
      </c>
      <c r="Y753" s="238" t="s">
        <v>27</v>
      </c>
      <c r="Z753" s="238" t="s">
        <v>27</v>
      </c>
      <c r="AA753" s="238" t="s">
        <v>27</v>
      </c>
      <c r="AB753" s="45" t="s">
        <v>2887</v>
      </c>
      <c r="AC753" s="169"/>
    </row>
    <row r="754" spans="1:29" s="68" customFormat="1" ht="15" hidden="1" customHeight="1">
      <c r="A754" s="226" t="s">
        <v>203</v>
      </c>
      <c r="B754" s="226" t="s">
        <v>1506</v>
      </c>
      <c r="C754" s="226" t="s">
        <v>27</v>
      </c>
      <c r="D754" s="226" t="s">
        <v>2893</v>
      </c>
      <c r="E754" s="226" t="s">
        <v>2008</v>
      </c>
      <c r="F754" s="226">
        <v>3299530</v>
      </c>
      <c r="G754" s="225" t="s">
        <v>4358</v>
      </c>
      <c r="H754" s="226" t="s">
        <v>20</v>
      </c>
      <c r="I754" s="225" t="s">
        <v>21</v>
      </c>
      <c r="J754" s="225" t="s">
        <v>204</v>
      </c>
      <c r="K754" s="225" t="s">
        <v>1586</v>
      </c>
      <c r="L754" s="51" t="s">
        <v>211</v>
      </c>
      <c r="M754" s="226" t="s">
        <v>22</v>
      </c>
      <c r="N754" s="226" t="s">
        <v>27</v>
      </c>
      <c r="O754" s="226" t="s">
        <v>3639</v>
      </c>
      <c r="P754" s="226" t="s">
        <v>3221</v>
      </c>
      <c r="Q754" s="226" t="s">
        <v>3983</v>
      </c>
      <c r="R754" s="227" t="s">
        <v>2856</v>
      </c>
      <c r="S754" s="225" t="s">
        <v>2857</v>
      </c>
      <c r="T754" s="228">
        <v>13381264315</v>
      </c>
      <c r="U754" s="225" t="s">
        <v>3463</v>
      </c>
      <c r="V754" s="225" t="s">
        <v>3464</v>
      </c>
      <c r="W754" s="229"/>
      <c r="X754" s="230">
        <v>43252</v>
      </c>
      <c r="Y754" s="238" t="s">
        <v>27</v>
      </c>
      <c r="Z754" s="238" t="s">
        <v>27</v>
      </c>
      <c r="AA754" s="238" t="s">
        <v>27</v>
      </c>
      <c r="AB754" s="45" t="s">
        <v>2887</v>
      </c>
      <c r="AC754" s="169"/>
    </row>
    <row r="755" spans="1:29" s="68" customFormat="1" ht="15" hidden="1" customHeight="1">
      <c r="A755" s="226" t="s">
        <v>203</v>
      </c>
      <c r="B755" s="226" t="s">
        <v>1507</v>
      </c>
      <c r="C755" s="226" t="s">
        <v>27</v>
      </c>
      <c r="D755" s="226" t="s">
        <v>2658</v>
      </c>
      <c r="E755" s="226" t="s">
        <v>2008</v>
      </c>
      <c r="F755" s="226">
        <v>3299539</v>
      </c>
      <c r="G755" s="225" t="s">
        <v>4359</v>
      </c>
      <c r="H755" s="226" t="s">
        <v>20</v>
      </c>
      <c r="I755" s="225" t="s">
        <v>21</v>
      </c>
      <c r="J755" s="225" t="s">
        <v>204</v>
      </c>
      <c r="K755" s="225" t="s">
        <v>1586</v>
      </c>
      <c r="L755" s="51" t="s">
        <v>211</v>
      </c>
      <c r="M755" s="226" t="s">
        <v>22</v>
      </c>
      <c r="N755" s="226" t="s">
        <v>27</v>
      </c>
      <c r="O755" s="226" t="s">
        <v>3639</v>
      </c>
      <c r="P755" s="226" t="s">
        <v>3324</v>
      </c>
      <c r="Q755" s="226" t="s">
        <v>3984</v>
      </c>
      <c r="R755" s="227" t="s">
        <v>2953</v>
      </c>
      <c r="S755" s="225" t="s">
        <v>2954</v>
      </c>
      <c r="T755" s="228">
        <v>13381264916</v>
      </c>
      <c r="U755" s="225" t="s">
        <v>3465</v>
      </c>
      <c r="V755" s="225" t="s">
        <v>3466</v>
      </c>
      <c r="W755" s="229"/>
      <c r="X755" s="230">
        <v>43215</v>
      </c>
      <c r="Y755" s="238" t="s">
        <v>27</v>
      </c>
      <c r="Z755" s="238" t="s">
        <v>27</v>
      </c>
      <c r="AA755" s="238" t="s">
        <v>27</v>
      </c>
      <c r="AB755" s="45" t="s">
        <v>2887</v>
      </c>
      <c r="AC755" s="169"/>
    </row>
    <row r="756" spans="1:29" s="68" customFormat="1" ht="15" hidden="1" customHeight="1">
      <c r="A756" s="226" t="s">
        <v>203</v>
      </c>
      <c r="B756" s="226" t="s">
        <v>1508</v>
      </c>
      <c r="C756" s="226" t="s">
        <v>22</v>
      </c>
      <c r="D756" s="226"/>
      <c r="E756" s="226" t="s">
        <v>2008</v>
      </c>
      <c r="F756" s="226">
        <v>3299341</v>
      </c>
      <c r="G756" s="225" t="s">
        <v>4359</v>
      </c>
      <c r="H756" s="226" t="s">
        <v>20</v>
      </c>
      <c r="I756" s="225" t="s">
        <v>60</v>
      </c>
      <c r="J756" s="225" t="s">
        <v>2486</v>
      </c>
      <c r="K756" s="225" t="s">
        <v>2651</v>
      </c>
      <c r="L756" s="51" t="s">
        <v>211</v>
      </c>
      <c r="M756" s="226" t="s">
        <v>22</v>
      </c>
      <c r="N756" s="226" t="s">
        <v>22</v>
      </c>
      <c r="O756" s="226" t="s">
        <v>3639</v>
      </c>
      <c r="P756" s="226" t="e">
        <v>#N/A</v>
      </c>
      <c r="Q756" s="226" t="s">
        <v>3985</v>
      </c>
      <c r="R756" s="227" t="s">
        <v>2538</v>
      </c>
      <c r="S756" s="225" t="s">
        <v>2166</v>
      </c>
      <c r="T756" s="228">
        <v>13810976225</v>
      </c>
      <c r="U756" s="225" t="s">
        <v>3467</v>
      </c>
      <c r="V756" s="225" t="s">
        <v>3468</v>
      </c>
      <c r="W756" s="229">
        <v>18611978470</v>
      </c>
      <c r="X756" s="230"/>
      <c r="Y756" s="238" t="s">
        <v>27</v>
      </c>
      <c r="Z756" s="238" t="s">
        <v>27</v>
      </c>
      <c r="AA756" s="238" t="s">
        <v>27</v>
      </c>
      <c r="AB756" s="45" t="s">
        <v>2887</v>
      </c>
      <c r="AC756" s="169"/>
    </row>
    <row r="757" spans="1:29" s="68" customFormat="1" ht="15" hidden="1" customHeight="1">
      <c r="A757" s="226" t="s">
        <v>203</v>
      </c>
      <c r="B757" s="226" t="s">
        <v>1509</v>
      </c>
      <c r="C757" s="226" t="s">
        <v>27</v>
      </c>
      <c r="D757" s="226" t="s">
        <v>2893</v>
      </c>
      <c r="E757" s="226" t="s">
        <v>2008</v>
      </c>
      <c r="F757" s="226">
        <v>3299491</v>
      </c>
      <c r="G757" s="225" t="s">
        <v>4360</v>
      </c>
      <c r="H757" s="226" t="s">
        <v>20</v>
      </c>
      <c r="I757" s="225" t="s">
        <v>21</v>
      </c>
      <c r="J757" s="225" t="s">
        <v>209</v>
      </c>
      <c r="K757" s="225" t="s">
        <v>26</v>
      </c>
      <c r="L757" s="51" t="s">
        <v>211</v>
      </c>
      <c r="M757" s="226" t="s">
        <v>22</v>
      </c>
      <c r="N757" s="226" t="s">
        <v>22</v>
      </c>
      <c r="O757" s="226" t="s">
        <v>3639</v>
      </c>
      <c r="P757" s="226" t="s">
        <v>3935</v>
      </c>
      <c r="Q757" s="226" t="s">
        <v>3986</v>
      </c>
      <c r="R757" s="227" t="s">
        <v>2858</v>
      </c>
      <c r="S757" s="225" t="s">
        <v>2859</v>
      </c>
      <c r="T757" s="228">
        <v>13810018247</v>
      </c>
      <c r="U757" s="225" t="s">
        <v>3469</v>
      </c>
      <c r="V757" s="225" t="s">
        <v>3470</v>
      </c>
      <c r="W757" s="229"/>
      <c r="X757" s="230"/>
      <c r="Y757" s="238" t="s">
        <v>27</v>
      </c>
      <c r="Z757" s="238" t="s">
        <v>27</v>
      </c>
      <c r="AA757" s="238" t="s">
        <v>27</v>
      </c>
      <c r="AB757" s="45" t="s">
        <v>2887</v>
      </c>
      <c r="AC757" s="169"/>
    </row>
    <row r="758" spans="1:29" s="68" customFormat="1" ht="15" hidden="1" customHeight="1">
      <c r="A758" s="226" t="s">
        <v>203</v>
      </c>
      <c r="B758" s="226" t="s">
        <v>1510</v>
      </c>
      <c r="C758" s="226" t="s">
        <v>22</v>
      </c>
      <c r="D758" s="226" t="s">
        <v>4443</v>
      </c>
      <c r="E758" s="226" t="s">
        <v>2008</v>
      </c>
      <c r="F758" s="226">
        <v>3299808</v>
      </c>
      <c r="G758" s="225" t="s">
        <v>4360</v>
      </c>
      <c r="H758" s="226" t="s">
        <v>20</v>
      </c>
      <c r="I758" s="225" t="s">
        <v>60</v>
      </c>
      <c r="J758" s="225" t="s">
        <v>2501</v>
      </c>
      <c r="K758" s="225" t="s">
        <v>2649</v>
      </c>
      <c r="L758" s="51" t="s">
        <v>211</v>
      </c>
      <c r="M758" s="226" t="s">
        <v>22</v>
      </c>
      <c r="N758" s="226" t="s">
        <v>27</v>
      </c>
      <c r="O758" s="226" t="s">
        <v>38</v>
      </c>
      <c r="P758" s="226" t="s">
        <v>3276</v>
      </c>
      <c r="Q758" s="226" t="s">
        <v>3987</v>
      </c>
      <c r="R758" s="227" t="s">
        <v>3697</v>
      </c>
      <c r="S758" s="225" t="s">
        <v>3698</v>
      </c>
      <c r="T758" s="228">
        <v>18010341442</v>
      </c>
      <c r="U758" s="225" t="s">
        <v>1616</v>
      </c>
      <c r="V758" s="225" t="s">
        <v>2064</v>
      </c>
      <c r="W758" s="229">
        <v>13810697732</v>
      </c>
      <c r="X758" s="230">
        <v>43334</v>
      </c>
      <c r="Y758" s="238" t="s">
        <v>27</v>
      </c>
      <c r="Z758" s="238" t="s">
        <v>27</v>
      </c>
      <c r="AA758" s="238" t="s">
        <v>27</v>
      </c>
      <c r="AB758" s="45" t="s">
        <v>2475</v>
      </c>
      <c r="AC758" s="169"/>
    </row>
    <row r="759" spans="1:29" s="68" customFormat="1" ht="15" hidden="1" customHeight="1">
      <c r="A759" s="226" t="s">
        <v>203</v>
      </c>
      <c r="B759" s="226" t="s">
        <v>1511</v>
      </c>
      <c r="C759" s="226" t="s">
        <v>27</v>
      </c>
      <c r="D759" s="226" t="s">
        <v>2658</v>
      </c>
      <c r="E759" s="226" t="s">
        <v>2008</v>
      </c>
      <c r="F759" s="226">
        <v>3299494</v>
      </c>
      <c r="G759" s="225" t="s">
        <v>4361</v>
      </c>
      <c r="H759" s="226" t="s">
        <v>20</v>
      </c>
      <c r="I759" s="225" t="s">
        <v>21</v>
      </c>
      <c r="J759" s="225" t="s">
        <v>209</v>
      </c>
      <c r="K759" s="225" t="s">
        <v>61</v>
      </c>
      <c r="L759" s="51" t="s">
        <v>211</v>
      </c>
      <c r="M759" s="226" t="s">
        <v>22</v>
      </c>
      <c r="N759" s="226" t="s">
        <v>22</v>
      </c>
      <c r="O759" s="226" t="s">
        <v>3639</v>
      </c>
      <c r="P759" s="226" t="s">
        <v>3260</v>
      </c>
      <c r="Q759" s="226" t="s">
        <v>3988</v>
      </c>
      <c r="R759" s="227" t="s">
        <v>3115</v>
      </c>
      <c r="S759" s="225" t="s">
        <v>3116</v>
      </c>
      <c r="T759" s="228">
        <v>13810224073</v>
      </c>
      <c r="U759" s="225" t="s">
        <v>3471</v>
      </c>
      <c r="V759" s="225" t="s">
        <v>3472</v>
      </c>
      <c r="W759" s="229"/>
      <c r="X759" s="230">
        <v>43217</v>
      </c>
      <c r="Y759" s="238" t="s">
        <v>27</v>
      </c>
      <c r="Z759" s="238" t="s">
        <v>27</v>
      </c>
      <c r="AA759" s="238" t="s">
        <v>27</v>
      </c>
      <c r="AB759" s="45" t="s">
        <v>2887</v>
      </c>
      <c r="AC759" s="169"/>
    </row>
    <row r="760" spans="1:29" s="68" customFormat="1" ht="15" hidden="1" customHeight="1">
      <c r="A760" s="226" t="s">
        <v>203</v>
      </c>
      <c r="B760" s="226" t="s">
        <v>1512</v>
      </c>
      <c r="C760" s="226" t="s">
        <v>27</v>
      </c>
      <c r="D760" s="226" t="s">
        <v>4443</v>
      </c>
      <c r="E760" s="226" t="s">
        <v>2008</v>
      </c>
      <c r="F760" s="226">
        <v>3299355</v>
      </c>
      <c r="G760" s="225" t="s">
        <v>4335</v>
      </c>
      <c r="H760" s="226" t="s">
        <v>20</v>
      </c>
      <c r="I760" s="227" t="s">
        <v>21</v>
      </c>
      <c r="J760" s="225" t="s">
        <v>204</v>
      </c>
      <c r="K760" s="225" t="s">
        <v>1586</v>
      </c>
      <c r="L760" s="51" t="s">
        <v>211</v>
      </c>
      <c r="M760" s="226" t="s">
        <v>22</v>
      </c>
      <c r="N760" s="226" t="s">
        <v>27</v>
      </c>
      <c r="O760" s="226" t="s">
        <v>3639</v>
      </c>
      <c r="P760" s="226" t="s">
        <v>3324</v>
      </c>
      <c r="Q760" s="226" t="s">
        <v>3989</v>
      </c>
      <c r="R760" s="227" t="s">
        <v>3117</v>
      </c>
      <c r="S760" s="225" t="s">
        <v>3118</v>
      </c>
      <c r="T760" s="228">
        <v>18910548747</v>
      </c>
      <c r="U760" s="225" t="s">
        <v>3473</v>
      </c>
      <c r="V760" s="225" t="s">
        <v>3474</v>
      </c>
      <c r="W760" s="229"/>
      <c r="X760" s="230">
        <v>43217</v>
      </c>
      <c r="Y760" s="238" t="s">
        <v>27</v>
      </c>
      <c r="Z760" s="238" t="s">
        <v>27</v>
      </c>
      <c r="AA760" s="238" t="s">
        <v>27</v>
      </c>
      <c r="AB760" s="45" t="s">
        <v>2889</v>
      </c>
      <c r="AC760" s="169"/>
    </row>
    <row r="761" spans="1:29" s="68" customFormat="1" ht="15" hidden="1" customHeight="1">
      <c r="A761" s="226" t="s">
        <v>203</v>
      </c>
      <c r="B761" s="226" t="s">
        <v>1513</v>
      </c>
      <c r="C761" s="226" t="s">
        <v>27</v>
      </c>
      <c r="D761" s="226" t="s">
        <v>4443</v>
      </c>
      <c r="E761" s="226" t="s">
        <v>2008</v>
      </c>
      <c r="F761" s="226">
        <v>3299652</v>
      </c>
      <c r="G761" s="225" t="s">
        <v>4340</v>
      </c>
      <c r="H761" s="226" t="s">
        <v>20</v>
      </c>
      <c r="I761" s="225" t="s">
        <v>21</v>
      </c>
      <c r="J761" s="225" t="s">
        <v>209</v>
      </c>
      <c r="K761" s="225" t="s">
        <v>236</v>
      </c>
      <c r="L761" s="51" t="s">
        <v>211</v>
      </c>
      <c r="M761" s="226" t="s">
        <v>22</v>
      </c>
      <c r="N761" s="226" t="s">
        <v>22</v>
      </c>
      <c r="O761" s="226" t="s">
        <v>3639</v>
      </c>
      <c r="P761" s="226" t="s">
        <v>3215</v>
      </c>
      <c r="Q761" s="226" t="s">
        <v>3990</v>
      </c>
      <c r="R761" s="227" t="s">
        <v>3119</v>
      </c>
      <c r="S761" s="225" t="s">
        <v>3120</v>
      </c>
      <c r="T761" s="228">
        <v>13810589105</v>
      </c>
      <c r="U761" s="225" t="s">
        <v>3475</v>
      </c>
      <c r="V761" s="225" t="s">
        <v>3476</v>
      </c>
      <c r="W761" s="229"/>
      <c r="X761" s="230">
        <v>43217</v>
      </c>
      <c r="Y761" s="238" t="s">
        <v>27</v>
      </c>
      <c r="Z761" s="238" t="s">
        <v>27</v>
      </c>
      <c r="AA761" s="238" t="s">
        <v>27</v>
      </c>
      <c r="AB761" s="45" t="s">
        <v>2887</v>
      </c>
      <c r="AC761" s="169"/>
    </row>
    <row r="762" spans="1:29" s="68" customFormat="1" ht="15" hidden="1" customHeight="1">
      <c r="A762" s="226" t="s">
        <v>203</v>
      </c>
      <c r="B762" s="226" t="s">
        <v>1514</v>
      </c>
      <c r="C762" s="226" t="s">
        <v>27</v>
      </c>
      <c r="D762" s="226" t="s">
        <v>4443</v>
      </c>
      <c r="E762" s="226" t="s">
        <v>2008</v>
      </c>
      <c r="F762" s="226">
        <v>3299810</v>
      </c>
      <c r="G762" s="225" t="s">
        <v>4362</v>
      </c>
      <c r="H762" s="226" t="s">
        <v>20</v>
      </c>
      <c r="I762" s="225" t="s">
        <v>60</v>
      </c>
      <c r="J762" s="225" t="s">
        <v>2487</v>
      </c>
      <c r="K762" s="225" t="s">
        <v>2650</v>
      </c>
      <c r="L762" s="51" t="s">
        <v>211</v>
      </c>
      <c r="M762" s="226" t="s">
        <v>22</v>
      </c>
      <c r="N762" s="226" t="s">
        <v>27</v>
      </c>
      <c r="O762" s="226" t="s">
        <v>3639</v>
      </c>
      <c r="P762" s="226" t="s">
        <v>3224</v>
      </c>
      <c r="Q762" s="226" t="s">
        <v>3991</v>
      </c>
      <c r="R762" s="227" t="s">
        <v>2860</v>
      </c>
      <c r="S762" s="225" t="s">
        <v>2861</v>
      </c>
      <c r="T762" s="228">
        <v>13810719187</v>
      </c>
      <c r="U762" s="225" t="s">
        <v>3477</v>
      </c>
      <c r="V762" s="225" t="s">
        <v>3478</v>
      </c>
      <c r="W762" s="229">
        <v>18911034609</v>
      </c>
      <c r="X762" s="230">
        <v>43214</v>
      </c>
      <c r="Y762" s="238" t="s">
        <v>27</v>
      </c>
      <c r="Z762" s="238" t="s">
        <v>27</v>
      </c>
      <c r="AA762" s="238" t="s">
        <v>27</v>
      </c>
      <c r="AB762" s="45" t="s">
        <v>2887</v>
      </c>
      <c r="AC762" s="169"/>
    </row>
    <row r="763" spans="1:29" s="68" customFormat="1" ht="15" hidden="1" customHeight="1">
      <c r="A763" s="226" t="s">
        <v>203</v>
      </c>
      <c r="B763" s="226" t="s">
        <v>1515</v>
      </c>
      <c r="C763" s="226" t="s">
        <v>27</v>
      </c>
      <c r="D763" s="226" t="s">
        <v>4443</v>
      </c>
      <c r="E763" s="226" t="s">
        <v>2008</v>
      </c>
      <c r="F763" s="226">
        <v>3299523</v>
      </c>
      <c r="G763" s="225" t="s">
        <v>4362</v>
      </c>
      <c r="H763" s="226" t="s">
        <v>20</v>
      </c>
      <c r="I763" s="225" t="s">
        <v>60</v>
      </c>
      <c r="J763" s="225" t="s">
        <v>2485</v>
      </c>
      <c r="K763" s="225" t="s">
        <v>2429</v>
      </c>
      <c r="L763" s="51" t="s">
        <v>211</v>
      </c>
      <c r="M763" s="226" t="s">
        <v>22</v>
      </c>
      <c r="N763" s="226" t="s">
        <v>22</v>
      </c>
      <c r="O763" s="226" t="s">
        <v>3639</v>
      </c>
      <c r="P763" s="226" t="s">
        <v>3227</v>
      </c>
      <c r="Q763" s="226" t="s">
        <v>3992</v>
      </c>
      <c r="R763" s="227" t="s">
        <v>2539</v>
      </c>
      <c r="S763" s="225" t="s">
        <v>2036</v>
      </c>
      <c r="T763" s="228">
        <v>18614045493</v>
      </c>
      <c r="U763" s="225" t="s">
        <v>3479</v>
      </c>
      <c r="V763" s="225" t="s">
        <v>3480</v>
      </c>
      <c r="W763" s="229">
        <v>13911725424</v>
      </c>
      <c r="X763" s="230">
        <v>43197</v>
      </c>
      <c r="Y763" s="238" t="s">
        <v>27</v>
      </c>
      <c r="Z763" s="238" t="s">
        <v>27</v>
      </c>
      <c r="AA763" s="238" t="s">
        <v>27</v>
      </c>
      <c r="AB763" s="45" t="s">
        <v>2887</v>
      </c>
      <c r="AC763" s="169"/>
    </row>
    <row r="764" spans="1:29" s="68" customFormat="1" ht="15" hidden="1" customHeight="1">
      <c r="A764" s="226" t="s">
        <v>203</v>
      </c>
      <c r="B764" s="226" t="s">
        <v>1516</v>
      </c>
      <c r="C764" s="226" t="s">
        <v>27</v>
      </c>
      <c r="D764" s="226" t="s">
        <v>2893</v>
      </c>
      <c r="E764" s="226" t="s">
        <v>2008</v>
      </c>
      <c r="F764" s="226">
        <v>3299600</v>
      </c>
      <c r="G764" s="225" t="s">
        <v>4268</v>
      </c>
      <c r="H764" s="226" t="s">
        <v>20</v>
      </c>
      <c r="I764" s="225" t="s">
        <v>60</v>
      </c>
      <c r="J764" s="225" t="s">
        <v>2487</v>
      </c>
      <c r="K764" s="225" t="s">
        <v>2650</v>
      </c>
      <c r="L764" s="51" t="s">
        <v>211</v>
      </c>
      <c r="M764" s="226" t="s">
        <v>22</v>
      </c>
      <c r="N764" s="226" t="s">
        <v>27</v>
      </c>
      <c r="O764" s="226" t="s">
        <v>3639</v>
      </c>
      <c r="P764" s="226" t="s">
        <v>3204</v>
      </c>
      <c r="Q764" s="226" t="s">
        <v>3993</v>
      </c>
      <c r="R764" s="227" t="s">
        <v>2955</v>
      </c>
      <c r="S764" s="225" t="s">
        <v>2956</v>
      </c>
      <c r="T764" s="228">
        <v>15901036991</v>
      </c>
      <c r="U764" s="225" t="s">
        <v>3481</v>
      </c>
      <c r="V764" s="225" t="s">
        <v>3482</v>
      </c>
      <c r="W764" s="229">
        <v>18910548547</v>
      </c>
      <c r="X764" s="230">
        <v>43215</v>
      </c>
      <c r="Y764" s="238" t="s">
        <v>27</v>
      </c>
      <c r="Z764" s="238" t="s">
        <v>27</v>
      </c>
      <c r="AA764" s="238" t="s">
        <v>27</v>
      </c>
      <c r="AB764" s="45" t="s">
        <v>2887</v>
      </c>
      <c r="AC764" s="169"/>
    </row>
    <row r="765" spans="1:29" s="68" customFormat="1" ht="15" hidden="1" customHeight="1">
      <c r="A765" s="226" t="s">
        <v>203</v>
      </c>
      <c r="B765" s="226" t="s">
        <v>1517</v>
      </c>
      <c r="C765" s="226" t="s">
        <v>27</v>
      </c>
      <c r="D765" s="226" t="s">
        <v>2893</v>
      </c>
      <c r="E765" s="226" t="s">
        <v>2008</v>
      </c>
      <c r="F765" s="226">
        <v>3299741</v>
      </c>
      <c r="G765" s="225" t="s">
        <v>4258</v>
      </c>
      <c r="H765" s="226" t="s">
        <v>20</v>
      </c>
      <c r="I765" s="227" t="s">
        <v>60</v>
      </c>
      <c r="J765" s="225" t="s">
        <v>2501</v>
      </c>
      <c r="K765" s="225" t="s">
        <v>2649</v>
      </c>
      <c r="L765" s="51" t="s">
        <v>211</v>
      </c>
      <c r="M765" s="226" t="s">
        <v>22</v>
      </c>
      <c r="N765" s="226" t="s">
        <v>27</v>
      </c>
      <c r="O765" s="226" t="s">
        <v>3639</v>
      </c>
      <c r="P765" s="226" t="e">
        <v>#N/A</v>
      </c>
      <c r="Q765" s="226" t="s">
        <v>3994</v>
      </c>
      <c r="R765" s="227" t="s">
        <v>2947</v>
      </c>
      <c r="S765" s="225" t="s">
        <v>2948</v>
      </c>
      <c r="T765" s="228">
        <v>13381264920</v>
      </c>
      <c r="U765" s="225" t="s">
        <v>3439</v>
      </c>
      <c r="V765" s="225" t="s">
        <v>3440</v>
      </c>
      <c r="W765" s="229">
        <v>13810075346</v>
      </c>
      <c r="X765" s="230">
        <v>43215</v>
      </c>
      <c r="Y765" s="238" t="s">
        <v>27</v>
      </c>
      <c r="Z765" s="238" t="s">
        <v>27</v>
      </c>
      <c r="AA765" s="238" t="s">
        <v>27</v>
      </c>
      <c r="AB765" s="45" t="s">
        <v>2887</v>
      </c>
      <c r="AC765" s="169"/>
    </row>
    <row r="766" spans="1:29" s="68" customFormat="1" ht="15" hidden="1" customHeight="1">
      <c r="A766" s="226" t="s">
        <v>203</v>
      </c>
      <c r="B766" s="226" t="s">
        <v>1518</v>
      </c>
      <c r="C766" s="226" t="s">
        <v>27</v>
      </c>
      <c r="D766" s="226" t="s">
        <v>2893</v>
      </c>
      <c r="E766" s="226" t="s">
        <v>2008</v>
      </c>
      <c r="F766" s="226">
        <v>3299477</v>
      </c>
      <c r="G766" s="225" t="s">
        <v>4341</v>
      </c>
      <c r="H766" s="226" t="s">
        <v>20</v>
      </c>
      <c r="I766" s="227" t="s">
        <v>60</v>
      </c>
      <c r="J766" s="225" t="s">
        <v>2485</v>
      </c>
      <c r="K766" s="225" t="s">
        <v>4426</v>
      </c>
      <c r="L766" s="51" t="s">
        <v>211</v>
      </c>
      <c r="M766" s="226" t="s">
        <v>22</v>
      </c>
      <c r="N766" s="226" t="s">
        <v>22</v>
      </c>
      <c r="O766" s="226" t="s">
        <v>3639</v>
      </c>
      <c r="P766" s="226" t="s">
        <v>3935</v>
      </c>
      <c r="Q766" s="226" t="s">
        <v>3995</v>
      </c>
      <c r="R766" s="227" t="s">
        <v>2862</v>
      </c>
      <c r="S766" s="225" t="s">
        <v>2863</v>
      </c>
      <c r="T766" s="228">
        <v>13124779284</v>
      </c>
      <c r="U766" s="225" t="s">
        <v>3485</v>
      </c>
      <c r="V766" s="225" t="s">
        <v>3486</v>
      </c>
      <c r="W766" s="229">
        <v>13810717857</v>
      </c>
      <c r="X766" s="230">
        <v>43334</v>
      </c>
      <c r="Y766" s="238" t="s">
        <v>27</v>
      </c>
      <c r="Z766" s="238" t="s">
        <v>27</v>
      </c>
      <c r="AA766" s="238" t="s">
        <v>27</v>
      </c>
      <c r="AB766" s="45" t="s">
        <v>2887</v>
      </c>
      <c r="AC766" s="169"/>
    </row>
    <row r="767" spans="1:29" s="68" customFormat="1" ht="15" hidden="1" customHeight="1">
      <c r="A767" s="226" t="s">
        <v>203</v>
      </c>
      <c r="B767" s="226" t="s">
        <v>1519</v>
      </c>
      <c r="C767" s="226" t="s">
        <v>27</v>
      </c>
      <c r="D767" s="226" t="s">
        <v>2893</v>
      </c>
      <c r="E767" s="226" t="s">
        <v>2008</v>
      </c>
      <c r="F767" s="226">
        <v>3299756</v>
      </c>
      <c r="G767" s="225" t="s">
        <v>4262</v>
      </c>
      <c r="H767" s="226" t="s">
        <v>20</v>
      </c>
      <c r="I767" s="227" t="s">
        <v>21</v>
      </c>
      <c r="J767" s="225" t="s">
        <v>204</v>
      </c>
      <c r="K767" s="225" t="s">
        <v>206</v>
      </c>
      <c r="L767" s="51" t="s">
        <v>211</v>
      </c>
      <c r="M767" s="226" t="s">
        <v>22</v>
      </c>
      <c r="N767" s="226" t="s">
        <v>27</v>
      </c>
      <c r="O767" s="226" t="s">
        <v>3639</v>
      </c>
      <c r="P767" s="226" t="s">
        <v>3238</v>
      </c>
      <c r="Q767" s="226" t="s">
        <v>3996</v>
      </c>
      <c r="R767" s="227" t="s">
        <v>2842</v>
      </c>
      <c r="S767" s="225" t="s">
        <v>2843</v>
      </c>
      <c r="T767" s="228">
        <v>18910224372</v>
      </c>
      <c r="U767" s="225" t="s">
        <v>3487</v>
      </c>
      <c r="V767" s="225" t="s">
        <v>3488</v>
      </c>
      <c r="W767" s="229"/>
      <c r="X767" s="230"/>
      <c r="Y767" s="238" t="s">
        <v>27</v>
      </c>
      <c r="Z767" s="238" t="s">
        <v>27</v>
      </c>
      <c r="AA767" s="238" t="s">
        <v>27</v>
      </c>
      <c r="AB767" s="45" t="s">
        <v>2887</v>
      </c>
      <c r="AC767" s="169"/>
    </row>
    <row r="768" spans="1:29" s="68" customFormat="1" ht="15" hidden="1" customHeight="1">
      <c r="A768" s="226" t="s">
        <v>203</v>
      </c>
      <c r="B768" s="226" t="s">
        <v>2009</v>
      </c>
      <c r="C768" s="226" t="s">
        <v>27</v>
      </c>
      <c r="D768" s="226" t="s">
        <v>2658</v>
      </c>
      <c r="E768" s="226" t="s">
        <v>2008</v>
      </c>
      <c r="F768" s="226">
        <v>3299795</v>
      </c>
      <c r="G768" s="225" t="s">
        <v>2540</v>
      </c>
      <c r="H768" s="226" t="s">
        <v>20</v>
      </c>
      <c r="I768" s="225" t="s">
        <v>21</v>
      </c>
      <c r="J768" s="225" t="s">
        <v>209</v>
      </c>
      <c r="K768" s="225" t="s">
        <v>26</v>
      </c>
      <c r="L768" s="51" t="s">
        <v>211</v>
      </c>
      <c r="M768" s="226" t="s">
        <v>22</v>
      </c>
      <c r="N768" s="226" t="s">
        <v>22</v>
      </c>
      <c r="O768" s="226" t="s">
        <v>3639</v>
      </c>
      <c r="P768" s="226" t="s">
        <v>3324</v>
      </c>
      <c r="Q768" s="226" t="s">
        <v>3997</v>
      </c>
      <c r="R768" s="227" t="s">
        <v>2541</v>
      </c>
      <c r="S768" s="225" t="s">
        <v>2037</v>
      </c>
      <c r="T768" s="228">
        <v>13810928672</v>
      </c>
      <c r="U768" s="225" t="s">
        <v>1665</v>
      </c>
      <c r="V768" s="225" t="s">
        <v>2088</v>
      </c>
      <c r="W768" s="229"/>
      <c r="X768" s="230">
        <v>43200</v>
      </c>
      <c r="Y768" s="238" t="s">
        <v>27</v>
      </c>
      <c r="Z768" s="238" t="s">
        <v>27</v>
      </c>
      <c r="AA768" s="238" t="s">
        <v>27</v>
      </c>
      <c r="AB768" s="45" t="s">
        <v>2887</v>
      </c>
      <c r="AC768" s="169"/>
    </row>
    <row r="769" spans="1:29" s="68" customFormat="1" ht="15" hidden="1" customHeight="1">
      <c r="A769" s="226" t="s">
        <v>203</v>
      </c>
      <c r="B769" s="226" t="s">
        <v>1520</v>
      </c>
      <c r="C769" s="226" t="s">
        <v>27</v>
      </c>
      <c r="D769" s="226" t="s">
        <v>4444</v>
      </c>
      <c r="E769" s="226" t="s">
        <v>2008</v>
      </c>
      <c r="F769" s="226">
        <v>3299472</v>
      </c>
      <c r="G769" s="225" t="s">
        <v>4363</v>
      </c>
      <c r="H769" s="226" t="s">
        <v>20</v>
      </c>
      <c r="I769" s="225" t="s">
        <v>21</v>
      </c>
      <c r="J769" s="225" t="s">
        <v>204</v>
      </c>
      <c r="K769" s="225" t="s">
        <v>206</v>
      </c>
      <c r="L769" s="51" t="s">
        <v>211</v>
      </c>
      <c r="M769" s="226" t="s">
        <v>22</v>
      </c>
      <c r="N769" s="226" t="s">
        <v>27</v>
      </c>
      <c r="O769" s="226" t="s">
        <v>3639</v>
      </c>
      <c r="P769" s="226" t="s">
        <v>3260</v>
      </c>
      <c r="Q769" s="226" t="s">
        <v>3998</v>
      </c>
      <c r="R769" s="227" t="s">
        <v>3038</v>
      </c>
      <c r="S769" s="225" t="s">
        <v>3039</v>
      </c>
      <c r="T769" s="228">
        <v>18911175646</v>
      </c>
      <c r="U769" s="225" t="s">
        <v>2123</v>
      </c>
      <c r="V769" s="225" t="s">
        <v>2085</v>
      </c>
      <c r="W769" s="229"/>
      <c r="X769" s="230">
        <v>43216</v>
      </c>
      <c r="Y769" s="238" t="s">
        <v>27</v>
      </c>
      <c r="Z769" s="238" t="s">
        <v>27</v>
      </c>
      <c r="AA769" s="238" t="s">
        <v>27</v>
      </c>
      <c r="AB769" s="45" t="s">
        <v>2887</v>
      </c>
      <c r="AC769" s="169"/>
    </row>
    <row r="770" spans="1:29" s="68" customFormat="1" ht="15" hidden="1" customHeight="1">
      <c r="A770" s="226" t="s">
        <v>203</v>
      </c>
      <c r="B770" s="226" t="s">
        <v>1521</v>
      </c>
      <c r="C770" s="226" t="s">
        <v>27</v>
      </c>
      <c r="D770" s="226" t="s">
        <v>2893</v>
      </c>
      <c r="E770" s="226" t="s">
        <v>2008</v>
      </c>
      <c r="F770" s="226">
        <v>3299767</v>
      </c>
      <c r="G770" s="225" t="s">
        <v>4364</v>
      </c>
      <c r="H770" s="226" t="s">
        <v>20</v>
      </c>
      <c r="I770" s="225" t="s">
        <v>60</v>
      </c>
      <c r="J770" s="225" t="s">
        <v>2485</v>
      </c>
      <c r="K770" s="225" t="s">
        <v>4426</v>
      </c>
      <c r="L770" s="51" t="s">
        <v>211</v>
      </c>
      <c r="M770" s="226" t="s">
        <v>22</v>
      </c>
      <c r="N770" s="226" t="s">
        <v>22</v>
      </c>
      <c r="O770" s="226" t="s">
        <v>3639</v>
      </c>
      <c r="P770" s="226" t="s">
        <v>3238</v>
      </c>
      <c r="Q770" s="226" t="s">
        <v>3999</v>
      </c>
      <c r="R770" s="227" t="s">
        <v>2542</v>
      </c>
      <c r="S770" s="225" t="s">
        <v>2167</v>
      </c>
      <c r="T770" s="228">
        <v>13269005510</v>
      </c>
      <c r="U770" s="225" t="s">
        <v>3489</v>
      </c>
      <c r="V770" s="225" t="s">
        <v>3490</v>
      </c>
      <c r="W770" s="229">
        <v>13810560252</v>
      </c>
      <c r="X770" s="230">
        <v>43334</v>
      </c>
      <c r="Y770" s="238" t="s">
        <v>27</v>
      </c>
      <c r="Z770" s="238" t="s">
        <v>27</v>
      </c>
      <c r="AA770" s="238" t="s">
        <v>27</v>
      </c>
      <c r="AB770" s="45" t="s">
        <v>2887</v>
      </c>
      <c r="AC770" s="169"/>
    </row>
    <row r="771" spans="1:29" s="68" customFormat="1" ht="15" hidden="1" customHeight="1">
      <c r="A771" s="226" t="s">
        <v>203</v>
      </c>
      <c r="B771" s="226" t="s">
        <v>1522</v>
      </c>
      <c r="C771" s="226" t="s">
        <v>27</v>
      </c>
      <c r="D771" s="226" t="s">
        <v>2893</v>
      </c>
      <c r="E771" s="226" t="s">
        <v>2008</v>
      </c>
      <c r="F771" s="226">
        <v>3299809</v>
      </c>
      <c r="G771" s="225" t="s">
        <v>4365</v>
      </c>
      <c r="H771" s="226" t="s">
        <v>20</v>
      </c>
      <c r="I771" s="225" t="s">
        <v>60</v>
      </c>
      <c r="J771" s="225" t="s">
        <v>2487</v>
      </c>
      <c r="K771" s="225" t="s">
        <v>2650</v>
      </c>
      <c r="L771" s="51" t="s">
        <v>211</v>
      </c>
      <c r="M771" s="226" t="s">
        <v>22</v>
      </c>
      <c r="N771" s="226" t="s">
        <v>27</v>
      </c>
      <c r="O771" s="226" t="s">
        <v>3639</v>
      </c>
      <c r="P771" s="226" t="s">
        <v>3204</v>
      </c>
      <c r="Q771" s="226" t="s">
        <v>4000</v>
      </c>
      <c r="R771" s="227" t="s">
        <v>2543</v>
      </c>
      <c r="S771" s="225" t="s">
        <v>2544</v>
      </c>
      <c r="T771" s="228">
        <v>13810573825</v>
      </c>
      <c r="U771" s="225" t="s">
        <v>3491</v>
      </c>
      <c r="V771" s="225" t="s">
        <v>3492</v>
      </c>
      <c r="W771" s="229">
        <v>13331048796</v>
      </c>
      <c r="X771" s="230">
        <v>43201</v>
      </c>
      <c r="Y771" s="238" t="s">
        <v>27</v>
      </c>
      <c r="Z771" s="238" t="s">
        <v>27</v>
      </c>
      <c r="AA771" s="238" t="s">
        <v>27</v>
      </c>
      <c r="AB771" s="45" t="s">
        <v>2887</v>
      </c>
      <c r="AC771" s="169"/>
    </row>
    <row r="772" spans="1:29" s="68" customFormat="1" ht="15" hidden="1" customHeight="1">
      <c r="A772" s="226" t="s">
        <v>203</v>
      </c>
      <c r="B772" s="226" t="s">
        <v>1523</v>
      </c>
      <c r="C772" s="226" t="s">
        <v>27</v>
      </c>
      <c r="D772" s="226" t="s">
        <v>2893</v>
      </c>
      <c r="E772" s="226" t="s">
        <v>2008</v>
      </c>
      <c r="F772" s="226">
        <v>3299824</v>
      </c>
      <c r="G772" s="225" t="s">
        <v>4321</v>
      </c>
      <c r="H772" s="226" t="s">
        <v>20</v>
      </c>
      <c r="I772" s="225" t="s">
        <v>60</v>
      </c>
      <c r="J772" s="225" t="s">
        <v>2486</v>
      </c>
      <c r="K772" s="225" t="s">
        <v>2358</v>
      </c>
      <c r="L772" s="51" t="s">
        <v>211</v>
      </c>
      <c r="M772" s="226" t="s">
        <v>22</v>
      </c>
      <c r="N772" s="226" t="s">
        <v>22</v>
      </c>
      <c r="O772" s="226" t="s">
        <v>3639</v>
      </c>
      <c r="P772" s="226" t="s">
        <v>3212</v>
      </c>
      <c r="Q772" s="226" t="s">
        <v>4001</v>
      </c>
      <c r="R772" s="227" t="s">
        <v>3121</v>
      </c>
      <c r="S772" s="225" t="s">
        <v>3122</v>
      </c>
      <c r="T772" s="228">
        <v>13810224637</v>
      </c>
      <c r="U772" s="225" t="s">
        <v>3493</v>
      </c>
      <c r="V772" s="225" t="s">
        <v>3494</v>
      </c>
      <c r="W772" s="229">
        <v>13146613092</v>
      </c>
      <c r="X772" s="230"/>
      <c r="Y772" s="238" t="s">
        <v>27</v>
      </c>
      <c r="Z772" s="238" t="s">
        <v>27</v>
      </c>
      <c r="AA772" s="238" t="s">
        <v>27</v>
      </c>
      <c r="AB772" s="45" t="s">
        <v>2887</v>
      </c>
      <c r="AC772" s="169"/>
    </row>
    <row r="773" spans="1:29" s="68" customFormat="1" ht="15" hidden="1" customHeight="1">
      <c r="A773" s="226" t="s">
        <v>203</v>
      </c>
      <c r="B773" s="226" t="s">
        <v>1524</v>
      </c>
      <c r="C773" s="226" t="s">
        <v>27</v>
      </c>
      <c r="D773" s="226" t="s">
        <v>2893</v>
      </c>
      <c r="E773" s="226" t="s">
        <v>2008</v>
      </c>
      <c r="F773" s="226">
        <v>2510468</v>
      </c>
      <c r="G773" s="225" t="s">
        <v>4265</v>
      </c>
      <c r="H773" s="226" t="s">
        <v>20</v>
      </c>
      <c r="I773" s="225" t="s">
        <v>60</v>
      </c>
      <c r="J773" s="225" t="s">
        <v>2487</v>
      </c>
      <c r="K773" s="225" t="s">
        <v>2650</v>
      </c>
      <c r="L773" s="51" t="s">
        <v>211</v>
      </c>
      <c r="M773" s="226" t="s">
        <v>22</v>
      </c>
      <c r="N773" s="226" t="s">
        <v>27</v>
      </c>
      <c r="O773" s="226" t="s">
        <v>3639</v>
      </c>
      <c r="P773" s="226" t="s">
        <v>3204</v>
      </c>
      <c r="Q773" s="226" t="s">
        <v>4002</v>
      </c>
      <c r="R773" s="227" t="s">
        <v>2864</v>
      </c>
      <c r="S773" s="225" t="s">
        <v>2865</v>
      </c>
      <c r="T773" s="228">
        <v>13910782847</v>
      </c>
      <c r="U773" s="225" t="s">
        <v>3495</v>
      </c>
      <c r="V773" s="225" t="s">
        <v>3496</v>
      </c>
      <c r="W773" s="229">
        <v>18910548846</v>
      </c>
      <c r="X773" s="230">
        <v>43201</v>
      </c>
      <c r="Y773" s="238" t="s">
        <v>27</v>
      </c>
      <c r="Z773" s="238" t="s">
        <v>27</v>
      </c>
      <c r="AA773" s="238" t="s">
        <v>27</v>
      </c>
      <c r="AB773" s="45" t="s">
        <v>2887</v>
      </c>
      <c r="AC773" s="169"/>
    </row>
    <row r="774" spans="1:29" s="68" customFormat="1" ht="15" hidden="1" customHeight="1">
      <c r="A774" s="226" t="s">
        <v>203</v>
      </c>
      <c r="B774" s="226" t="s">
        <v>1525</v>
      </c>
      <c r="C774" s="226" t="s">
        <v>27</v>
      </c>
      <c r="D774" s="226" t="s">
        <v>2893</v>
      </c>
      <c r="E774" s="226" t="s">
        <v>2008</v>
      </c>
      <c r="F774" s="226">
        <v>2510484</v>
      </c>
      <c r="G774" s="225" t="s">
        <v>4267</v>
      </c>
      <c r="H774" s="226" t="s">
        <v>20</v>
      </c>
      <c r="I774" s="225" t="s">
        <v>21</v>
      </c>
      <c r="J774" s="225" t="s">
        <v>204</v>
      </c>
      <c r="K774" s="225" t="s">
        <v>1586</v>
      </c>
      <c r="L774" s="51" t="s">
        <v>211</v>
      </c>
      <c r="M774" s="226" t="s">
        <v>22</v>
      </c>
      <c r="N774" s="226" t="s">
        <v>27</v>
      </c>
      <c r="O774" s="226" t="s">
        <v>3639</v>
      </c>
      <c r="P774" s="226" t="s">
        <v>3238</v>
      </c>
      <c r="Q774" s="226" t="s">
        <v>4003</v>
      </c>
      <c r="R774" s="227" t="s">
        <v>2866</v>
      </c>
      <c r="S774" s="225" t="s">
        <v>2867</v>
      </c>
      <c r="T774" s="228">
        <v>18910224636</v>
      </c>
      <c r="U774" s="225" t="s">
        <v>3497</v>
      </c>
      <c r="V774" s="225" t="s">
        <v>3498</v>
      </c>
      <c r="W774" s="229"/>
      <c r="X774" s="230">
        <v>43252</v>
      </c>
      <c r="Y774" s="238" t="s">
        <v>27</v>
      </c>
      <c r="Z774" s="238" t="s">
        <v>27</v>
      </c>
      <c r="AA774" s="238" t="s">
        <v>27</v>
      </c>
      <c r="AB774" s="45" t="s">
        <v>2887</v>
      </c>
      <c r="AC774" s="169"/>
    </row>
    <row r="775" spans="1:29" s="68" customFormat="1" ht="15" hidden="1" customHeight="1">
      <c r="A775" s="226" t="s">
        <v>203</v>
      </c>
      <c r="B775" s="226" t="s">
        <v>1526</v>
      </c>
      <c r="C775" s="226" t="s">
        <v>27</v>
      </c>
      <c r="D775" s="226" t="s">
        <v>2658</v>
      </c>
      <c r="E775" s="226" t="s">
        <v>2008</v>
      </c>
      <c r="F775" s="226">
        <v>2510952</v>
      </c>
      <c r="G775" s="225" t="s">
        <v>4366</v>
      </c>
      <c r="H775" s="226" t="s">
        <v>20</v>
      </c>
      <c r="I775" s="225" t="s">
        <v>60</v>
      </c>
      <c r="J775" s="225" t="s">
        <v>2487</v>
      </c>
      <c r="K775" s="225" t="s">
        <v>2650</v>
      </c>
      <c r="L775" s="51" t="s">
        <v>211</v>
      </c>
      <c r="M775" s="226" t="s">
        <v>22</v>
      </c>
      <c r="N775" s="226" t="s">
        <v>27</v>
      </c>
      <c r="O775" s="226" t="s">
        <v>3639</v>
      </c>
      <c r="P775" s="226" t="s">
        <v>3317</v>
      </c>
      <c r="Q775" s="226" t="s">
        <v>4004</v>
      </c>
      <c r="R775" s="227" t="s">
        <v>3699</v>
      </c>
      <c r="S775" s="225" t="s">
        <v>3700</v>
      </c>
      <c r="T775" s="228">
        <v>13910781547</v>
      </c>
      <c r="U775" s="225" t="s">
        <v>3499</v>
      </c>
      <c r="V775" s="225" t="s">
        <v>3500</v>
      </c>
      <c r="W775" s="229">
        <v>18910224657</v>
      </c>
      <c r="X775" s="230">
        <v>43200</v>
      </c>
      <c r="Y775" s="238" t="s">
        <v>27</v>
      </c>
      <c r="Z775" s="238" t="s">
        <v>27</v>
      </c>
      <c r="AA775" s="238" t="s">
        <v>27</v>
      </c>
      <c r="AB775" s="45" t="s">
        <v>2887</v>
      </c>
      <c r="AC775" s="169"/>
    </row>
    <row r="776" spans="1:29" s="68" customFormat="1" ht="15" hidden="1" customHeight="1">
      <c r="A776" s="226" t="s">
        <v>203</v>
      </c>
      <c r="B776" s="226" t="s">
        <v>1527</v>
      </c>
      <c r="C776" s="226" t="s">
        <v>27</v>
      </c>
      <c r="D776" s="226" t="s">
        <v>2658</v>
      </c>
      <c r="E776" s="226" t="s">
        <v>2008</v>
      </c>
      <c r="F776" s="226">
        <v>2510790</v>
      </c>
      <c r="G776" s="225" t="s">
        <v>4348</v>
      </c>
      <c r="H776" s="226" t="s">
        <v>20</v>
      </c>
      <c r="I776" s="225" t="s">
        <v>60</v>
      </c>
      <c r="J776" s="225" t="s">
        <v>2487</v>
      </c>
      <c r="K776" s="225" t="s">
        <v>2650</v>
      </c>
      <c r="L776" s="51" t="s">
        <v>211</v>
      </c>
      <c r="M776" s="226" t="s">
        <v>22</v>
      </c>
      <c r="N776" s="226" t="s">
        <v>27</v>
      </c>
      <c r="O776" s="226" t="s">
        <v>3639</v>
      </c>
      <c r="P776" s="226" t="s">
        <v>3208</v>
      </c>
      <c r="Q776" s="226" t="s">
        <v>4005</v>
      </c>
      <c r="R776" s="227" t="s">
        <v>2868</v>
      </c>
      <c r="S776" s="225" t="s">
        <v>2869</v>
      </c>
      <c r="T776" s="228">
        <v>13810607162</v>
      </c>
      <c r="U776" s="225" t="s">
        <v>3501</v>
      </c>
      <c r="V776" s="225" t="s">
        <v>3502</v>
      </c>
      <c r="W776" s="229">
        <v>18910224263</v>
      </c>
      <c r="X776" s="230">
        <v>43214</v>
      </c>
      <c r="Y776" s="238" t="s">
        <v>27</v>
      </c>
      <c r="Z776" s="238" t="s">
        <v>27</v>
      </c>
      <c r="AA776" s="238" t="s">
        <v>27</v>
      </c>
      <c r="AB776" s="45" t="s">
        <v>2887</v>
      </c>
      <c r="AC776" s="169"/>
    </row>
    <row r="777" spans="1:29" s="68" customFormat="1" ht="15" hidden="1" customHeight="1">
      <c r="A777" s="226" t="s">
        <v>203</v>
      </c>
      <c r="B777" s="226" t="s">
        <v>1528</v>
      </c>
      <c r="C777" s="226" t="s">
        <v>27</v>
      </c>
      <c r="D777" s="226" t="s">
        <v>2658</v>
      </c>
      <c r="E777" s="226" t="s">
        <v>2008</v>
      </c>
      <c r="F777" s="226">
        <v>2510784</v>
      </c>
      <c r="G777" s="225" t="s">
        <v>4367</v>
      </c>
      <c r="H777" s="226" t="s">
        <v>20</v>
      </c>
      <c r="I777" s="225" t="s">
        <v>60</v>
      </c>
      <c r="J777" s="225" t="s">
        <v>2487</v>
      </c>
      <c r="K777" s="225" t="s">
        <v>2650</v>
      </c>
      <c r="L777" s="51" t="s">
        <v>211</v>
      </c>
      <c r="M777" s="226" t="s">
        <v>22</v>
      </c>
      <c r="N777" s="226" t="s">
        <v>27</v>
      </c>
      <c r="O777" s="226" t="s">
        <v>3639</v>
      </c>
      <c r="P777" s="226" t="s">
        <v>3317</v>
      </c>
      <c r="Q777" s="226" t="s">
        <v>4006</v>
      </c>
      <c r="R777" s="227" t="s">
        <v>3503</v>
      </c>
      <c r="S777" s="225" t="s">
        <v>3504</v>
      </c>
      <c r="T777" s="228">
        <v>13810274143</v>
      </c>
      <c r="U777" s="225" t="s">
        <v>3505</v>
      </c>
      <c r="V777" s="225" t="s">
        <v>3506</v>
      </c>
      <c r="W777" s="229">
        <v>18910224076</v>
      </c>
      <c r="X777" s="230">
        <v>43252</v>
      </c>
      <c r="Y777" s="238" t="s">
        <v>27</v>
      </c>
      <c r="Z777" s="238" t="s">
        <v>27</v>
      </c>
      <c r="AA777" s="238" t="s">
        <v>27</v>
      </c>
      <c r="AB777" s="45" t="s">
        <v>2887</v>
      </c>
      <c r="AC777" s="169"/>
    </row>
    <row r="778" spans="1:29" s="68" customFormat="1" ht="15" hidden="1" customHeight="1">
      <c r="A778" s="226" t="s">
        <v>203</v>
      </c>
      <c r="B778" s="226" t="s">
        <v>1529</v>
      </c>
      <c r="C778" s="226" t="s">
        <v>27</v>
      </c>
      <c r="D778" s="226" t="s">
        <v>2893</v>
      </c>
      <c r="E778" s="226" t="s">
        <v>2008</v>
      </c>
      <c r="F778" s="226">
        <v>2510868</v>
      </c>
      <c r="G778" s="225" t="s">
        <v>4368</v>
      </c>
      <c r="H778" s="226" t="s">
        <v>20</v>
      </c>
      <c r="I778" s="225" t="s">
        <v>60</v>
      </c>
      <c r="J778" s="225" t="s">
        <v>2485</v>
      </c>
      <c r="K778" s="225" t="s">
        <v>4426</v>
      </c>
      <c r="L778" s="51" t="s">
        <v>211</v>
      </c>
      <c r="M778" s="226" t="s">
        <v>22</v>
      </c>
      <c r="N778" s="226" t="s">
        <v>22</v>
      </c>
      <c r="O778" s="226" t="s">
        <v>3639</v>
      </c>
      <c r="P778" s="226" t="s">
        <v>3227</v>
      </c>
      <c r="Q778" s="226" t="s">
        <v>4007</v>
      </c>
      <c r="R778" s="227" t="s">
        <v>2957</v>
      </c>
      <c r="S778" s="225" t="s">
        <v>2958</v>
      </c>
      <c r="T778" s="228">
        <v>18519337841</v>
      </c>
      <c r="U778" s="225" t="s">
        <v>3507</v>
      </c>
      <c r="V778" s="225" t="s">
        <v>3508</v>
      </c>
      <c r="W778" s="229">
        <v>13810017934</v>
      </c>
      <c r="X778" s="230">
        <v>43334</v>
      </c>
      <c r="Y778" s="238" t="s">
        <v>27</v>
      </c>
      <c r="Z778" s="238" t="s">
        <v>27</v>
      </c>
      <c r="AA778" s="238" t="s">
        <v>27</v>
      </c>
      <c r="AB778" s="45" t="s">
        <v>2887</v>
      </c>
      <c r="AC778" s="169"/>
    </row>
    <row r="779" spans="1:29" s="68" customFormat="1" ht="15" hidden="1" customHeight="1">
      <c r="A779" s="226" t="s">
        <v>203</v>
      </c>
      <c r="B779" s="226" t="s">
        <v>1530</v>
      </c>
      <c r="C779" s="226" t="s">
        <v>27</v>
      </c>
      <c r="D779" s="226" t="s">
        <v>2893</v>
      </c>
      <c r="E779" s="226" t="s">
        <v>2008</v>
      </c>
      <c r="F779" s="226">
        <v>2510597</v>
      </c>
      <c r="G779" s="225" t="s">
        <v>4369</v>
      </c>
      <c r="H779" s="226" t="s">
        <v>20</v>
      </c>
      <c r="I779" s="225" t="s">
        <v>60</v>
      </c>
      <c r="J779" s="225" t="s">
        <v>2484</v>
      </c>
      <c r="K779" s="225" t="s">
        <v>4427</v>
      </c>
      <c r="L779" s="51" t="s">
        <v>211</v>
      </c>
      <c r="M779" s="226" t="s">
        <v>22</v>
      </c>
      <c r="N779" s="226" t="s">
        <v>22</v>
      </c>
      <c r="O779" s="226" t="s">
        <v>3639</v>
      </c>
      <c r="P779" s="226" t="s">
        <v>3230</v>
      </c>
      <c r="Q779" s="226" t="s">
        <v>4008</v>
      </c>
      <c r="R779" s="227" t="s">
        <v>2545</v>
      </c>
      <c r="S779" s="225" t="s">
        <v>3123</v>
      </c>
      <c r="T779" s="228">
        <v>13810019947</v>
      </c>
      <c r="U779" s="225" t="s">
        <v>3509</v>
      </c>
      <c r="V779" s="225" t="s">
        <v>3510</v>
      </c>
      <c r="W779" s="229">
        <v>13810021154</v>
      </c>
      <c r="X779" s="230">
        <v>43334</v>
      </c>
      <c r="Y779" s="238" t="s">
        <v>27</v>
      </c>
      <c r="Z779" s="238" t="s">
        <v>27</v>
      </c>
      <c r="AA779" s="238" t="s">
        <v>27</v>
      </c>
      <c r="AB779" s="45" t="s">
        <v>2887</v>
      </c>
      <c r="AC779" s="169"/>
    </row>
    <row r="780" spans="1:29" s="68" customFormat="1" ht="15" hidden="1" customHeight="1">
      <c r="A780" s="226" t="s">
        <v>203</v>
      </c>
      <c r="B780" s="226" t="s">
        <v>1531</v>
      </c>
      <c r="C780" s="226" t="s">
        <v>27</v>
      </c>
      <c r="D780" s="226" t="s">
        <v>2658</v>
      </c>
      <c r="E780" s="226" t="s">
        <v>2008</v>
      </c>
      <c r="F780" s="226">
        <v>2510613</v>
      </c>
      <c r="G780" s="225" t="s">
        <v>4281</v>
      </c>
      <c r="H780" s="226" t="s">
        <v>20</v>
      </c>
      <c r="I780" s="225" t="s">
        <v>60</v>
      </c>
      <c r="J780" s="225" t="s">
        <v>1588</v>
      </c>
      <c r="K780" s="225" t="s">
        <v>2364</v>
      </c>
      <c r="L780" s="51" t="s">
        <v>211</v>
      </c>
      <c r="M780" s="226" t="s">
        <v>22</v>
      </c>
      <c r="N780" s="226" t="s">
        <v>27</v>
      </c>
      <c r="O780" s="226" t="s">
        <v>3639</v>
      </c>
      <c r="P780" s="226" t="s">
        <v>3224</v>
      </c>
      <c r="Q780" s="226" t="s">
        <v>4009</v>
      </c>
      <c r="R780" s="227" t="s">
        <v>2546</v>
      </c>
      <c r="S780" s="225" t="s">
        <v>2547</v>
      </c>
      <c r="T780" s="228">
        <v>17310742415</v>
      </c>
      <c r="U780" s="225" t="s">
        <v>3511</v>
      </c>
      <c r="V780" s="225" t="s">
        <v>3512</v>
      </c>
      <c r="W780" s="229">
        <v>13263474146</v>
      </c>
      <c r="X780" s="230">
        <v>43252</v>
      </c>
      <c r="Y780" s="238" t="s">
        <v>27</v>
      </c>
      <c r="Z780" s="238" t="s">
        <v>27</v>
      </c>
      <c r="AA780" s="238" t="s">
        <v>27</v>
      </c>
      <c r="AB780" s="45" t="s">
        <v>2887</v>
      </c>
      <c r="AC780" s="169"/>
    </row>
    <row r="781" spans="1:29" s="68" customFormat="1" ht="15" hidden="1" customHeight="1">
      <c r="A781" s="226" t="s">
        <v>203</v>
      </c>
      <c r="B781" s="226" t="s">
        <v>1532</v>
      </c>
      <c r="C781" s="226" t="s">
        <v>27</v>
      </c>
      <c r="D781" s="226" t="s">
        <v>2893</v>
      </c>
      <c r="E781" s="226" t="s">
        <v>2008</v>
      </c>
      <c r="F781" s="226">
        <v>2510655</v>
      </c>
      <c r="G781" s="225" t="s">
        <v>4370</v>
      </c>
      <c r="H781" s="226" t="s">
        <v>20</v>
      </c>
      <c r="I781" s="227" t="s">
        <v>60</v>
      </c>
      <c r="J781" s="225" t="s">
        <v>2486</v>
      </c>
      <c r="K781" s="225" t="s">
        <v>2651</v>
      </c>
      <c r="L781" s="51" t="s">
        <v>211</v>
      </c>
      <c r="M781" s="226" t="s">
        <v>22</v>
      </c>
      <c r="N781" s="226" t="s">
        <v>22</v>
      </c>
      <c r="O781" s="226" t="s">
        <v>3639</v>
      </c>
      <c r="P781" s="226" t="s">
        <v>3208</v>
      </c>
      <c r="Q781" s="226" t="s">
        <v>4010</v>
      </c>
      <c r="R781" s="227" t="s">
        <v>2548</v>
      </c>
      <c r="S781" s="225" t="s">
        <v>3124</v>
      </c>
      <c r="T781" s="228">
        <v>13810830751</v>
      </c>
      <c r="U781" s="225" t="s">
        <v>3513</v>
      </c>
      <c r="V781" s="225" t="s">
        <v>3514</v>
      </c>
      <c r="W781" s="229">
        <v>13264213427</v>
      </c>
      <c r="X781" s="230">
        <v>43334</v>
      </c>
      <c r="Y781" s="238" t="s">
        <v>27</v>
      </c>
      <c r="Z781" s="238" t="s">
        <v>27</v>
      </c>
      <c r="AA781" s="238" t="s">
        <v>27</v>
      </c>
      <c r="AB781" s="45" t="s">
        <v>2889</v>
      </c>
      <c r="AC781" s="169"/>
    </row>
    <row r="782" spans="1:29" s="68" customFormat="1" ht="15" hidden="1" customHeight="1">
      <c r="A782" s="226" t="s">
        <v>203</v>
      </c>
      <c r="B782" s="226" t="s">
        <v>1533</v>
      </c>
      <c r="C782" s="226" t="s">
        <v>22</v>
      </c>
      <c r="D782" s="226" t="s">
        <v>4443</v>
      </c>
      <c r="E782" s="226" t="s">
        <v>2008</v>
      </c>
      <c r="F782" s="226">
        <v>2511033</v>
      </c>
      <c r="G782" s="225" t="s">
        <v>4366</v>
      </c>
      <c r="H782" s="226" t="s">
        <v>20</v>
      </c>
      <c r="I782" s="225" t="s">
        <v>60</v>
      </c>
      <c r="J782" s="225" t="s">
        <v>2501</v>
      </c>
      <c r="K782" s="225" t="s">
        <v>2649</v>
      </c>
      <c r="L782" s="51" t="s">
        <v>211</v>
      </c>
      <c r="M782" s="226" t="s">
        <v>22</v>
      </c>
      <c r="N782" s="226" t="s">
        <v>27</v>
      </c>
      <c r="O782" s="226" t="s">
        <v>38</v>
      </c>
      <c r="P782" s="226" t="s">
        <v>3208</v>
      </c>
      <c r="Q782" s="226" t="s">
        <v>4011</v>
      </c>
      <c r="R782" s="227" t="s">
        <v>2549</v>
      </c>
      <c r="S782" s="225" t="s">
        <v>1634</v>
      </c>
      <c r="T782" s="228">
        <v>18911124192</v>
      </c>
      <c r="U782" s="225" t="s">
        <v>3515</v>
      </c>
      <c r="V782" s="225" t="s">
        <v>3516</v>
      </c>
      <c r="W782" s="229">
        <v>13810018814</v>
      </c>
      <c r="X782" s="230">
        <v>43334</v>
      </c>
      <c r="Y782" s="238" t="s">
        <v>27</v>
      </c>
      <c r="Z782" s="238" t="s">
        <v>27</v>
      </c>
      <c r="AA782" s="238" t="s">
        <v>27</v>
      </c>
      <c r="AB782" s="45" t="s">
        <v>2887</v>
      </c>
      <c r="AC782" s="169"/>
    </row>
    <row r="783" spans="1:29" s="68" customFormat="1" ht="15" hidden="1" customHeight="1">
      <c r="A783" s="226" t="s">
        <v>203</v>
      </c>
      <c r="B783" s="226" t="s">
        <v>1534</v>
      </c>
      <c r="C783" s="226" t="s">
        <v>27</v>
      </c>
      <c r="D783" s="226" t="s">
        <v>2658</v>
      </c>
      <c r="E783" s="226" t="s">
        <v>2008</v>
      </c>
      <c r="F783" s="226">
        <v>2510962</v>
      </c>
      <c r="G783" s="225" t="s">
        <v>4293</v>
      </c>
      <c r="H783" s="226" t="s">
        <v>20</v>
      </c>
      <c r="I783" s="225" t="s">
        <v>60</v>
      </c>
      <c r="J783" s="225" t="s">
        <v>2487</v>
      </c>
      <c r="K783" s="225" t="s">
        <v>2650</v>
      </c>
      <c r="L783" s="51" t="s">
        <v>211</v>
      </c>
      <c r="M783" s="226" t="s">
        <v>22</v>
      </c>
      <c r="N783" s="226" t="s">
        <v>27</v>
      </c>
      <c r="O783" s="226" t="s">
        <v>3639</v>
      </c>
      <c r="P783" s="226" t="s">
        <v>3317</v>
      </c>
      <c r="Q783" s="226" t="s">
        <v>4012</v>
      </c>
      <c r="R783" s="227" t="s">
        <v>3517</v>
      </c>
      <c r="S783" s="225" t="s">
        <v>3518</v>
      </c>
      <c r="T783" s="228">
        <v>13810016794</v>
      </c>
      <c r="U783" s="225" t="s">
        <v>3519</v>
      </c>
      <c r="V783" s="225" t="s">
        <v>3520</v>
      </c>
      <c r="W783" s="229">
        <v>18911124276</v>
      </c>
      <c r="X783" s="230">
        <v>43190</v>
      </c>
      <c r="Y783" s="238" t="s">
        <v>27</v>
      </c>
      <c r="Z783" s="238" t="s">
        <v>27</v>
      </c>
      <c r="AA783" s="238" t="s">
        <v>27</v>
      </c>
      <c r="AB783" s="45" t="s">
        <v>2889</v>
      </c>
      <c r="AC783" s="169"/>
    </row>
    <row r="784" spans="1:29" s="68" customFormat="1" ht="15" hidden="1" customHeight="1">
      <c r="A784" s="226" t="s">
        <v>203</v>
      </c>
      <c r="B784" s="226" t="s">
        <v>1535</v>
      </c>
      <c r="C784" s="226" t="s">
        <v>22</v>
      </c>
      <c r="D784" s="226" t="s">
        <v>4443</v>
      </c>
      <c r="E784" s="226" t="s">
        <v>2008</v>
      </c>
      <c r="F784" s="226">
        <v>2510812</v>
      </c>
      <c r="G784" s="225" t="s">
        <v>4371</v>
      </c>
      <c r="H784" s="226" t="s">
        <v>20</v>
      </c>
      <c r="I784" s="225" t="s">
        <v>60</v>
      </c>
      <c r="J784" s="225" t="s">
        <v>2501</v>
      </c>
      <c r="K784" s="225" t="s">
        <v>2649</v>
      </c>
      <c r="L784" s="51" t="s">
        <v>211</v>
      </c>
      <c r="M784" s="226" t="s">
        <v>22</v>
      </c>
      <c r="N784" s="226" t="s">
        <v>27</v>
      </c>
      <c r="O784" s="226" t="s">
        <v>38</v>
      </c>
      <c r="P784" s="226" t="s">
        <v>3276</v>
      </c>
      <c r="Q784" s="226" t="s">
        <v>4013</v>
      </c>
      <c r="R784" s="227" t="s">
        <v>2870</v>
      </c>
      <c r="S784" s="225" t="s">
        <v>2871</v>
      </c>
      <c r="T784" s="228">
        <v>18911124283</v>
      </c>
      <c r="U784" s="225" t="s">
        <v>1668</v>
      </c>
      <c r="V784" s="225" t="s">
        <v>2091</v>
      </c>
      <c r="W784" s="229">
        <v>13810020154</v>
      </c>
      <c r="X784" s="230">
        <v>43334</v>
      </c>
      <c r="Y784" s="238" t="s">
        <v>27</v>
      </c>
      <c r="Z784" s="238" t="s">
        <v>27</v>
      </c>
      <c r="AA784" s="238" t="s">
        <v>27</v>
      </c>
      <c r="AB784" s="45" t="s">
        <v>2887</v>
      </c>
      <c r="AC784" s="169"/>
    </row>
    <row r="785" spans="1:32" s="68" customFormat="1" ht="15" hidden="1" customHeight="1">
      <c r="A785" s="226" t="s">
        <v>203</v>
      </c>
      <c r="B785" s="226" t="s">
        <v>1536</v>
      </c>
      <c r="C785" s="226" t="s">
        <v>27</v>
      </c>
      <c r="D785" s="226" t="s">
        <v>2893</v>
      </c>
      <c r="E785" s="226" t="s">
        <v>2008</v>
      </c>
      <c r="F785" s="226">
        <v>2510838</v>
      </c>
      <c r="G785" s="225" t="s">
        <v>4367</v>
      </c>
      <c r="H785" s="226" t="s">
        <v>20</v>
      </c>
      <c r="I785" s="227" t="s">
        <v>60</v>
      </c>
      <c r="J785" s="225" t="s">
        <v>2485</v>
      </c>
      <c r="K785" s="225" t="s">
        <v>4426</v>
      </c>
      <c r="L785" s="51" t="s">
        <v>211</v>
      </c>
      <c r="M785" s="226" t="s">
        <v>22</v>
      </c>
      <c r="N785" s="226" t="s">
        <v>22</v>
      </c>
      <c r="O785" s="226" t="s">
        <v>3639</v>
      </c>
      <c r="P785" s="226" t="s">
        <v>3227</v>
      </c>
      <c r="Q785" s="226" t="s">
        <v>4014</v>
      </c>
      <c r="R785" s="227" t="s">
        <v>2959</v>
      </c>
      <c r="S785" s="225" t="s">
        <v>2960</v>
      </c>
      <c r="T785" s="228">
        <v>18519337027</v>
      </c>
      <c r="U785" s="225" t="s">
        <v>1605</v>
      </c>
      <c r="V785" s="225" t="s">
        <v>2050</v>
      </c>
      <c r="W785" s="229">
        <v>13810717051</v>
      </c>
      <c r="X785" s="230">
        <v>43334</v>
      </c>
      <c r="Y785" s="238" t="s">
        <v>27</v>
      </c>
      <c r="Z785" s="238" t="s">
        <v>27</v>
      </c>
      <c r="AA785" s="238" t="s">
        <v>27</v>
      </c>
      <c r="AB785" s="45" t="s">
        <v>2887</v>
      </c>
      <c r="AC785" s="169"/>
    </row>
    <row r="786" spans="1:32" s="68" customFormat="1" ht="15" hidden="1" customHeight="1">
      <c r="A786" s="226" t="s">
        <v>203</v>
      </c>
      <c r="B786" s="226" t="s">
        <v>1537</v>
      </c>
      <c r="C786" s="226" t="s">
        <v>27</v>
      </c>
      <c r="D786" s="226" t="s">
        <v>2658</v>
      </c>
      <c r="E786" s="226" t="s">
        <v>2008</v>
      </c>
      <c r="F786" s="226">
        <v>2510670</v>
      </c>
      <c r="G786" s="225" t="s">
        <v>4372</v>
      </c>
      <c r="H786" s="226" t="s">
        <v>20</v>
      </c>
      <c r="I786" s="227" t="s">
        <v>60</v>
      </c>
      <c r="J786" s="225" t="s">
        <v>2485</v>
      </c>
      <c r="K786" s="225" t="s">
        <v>4426</v>
      </c>
      <c r="L786" s="51" t="s">
        <v>211</v>
      </c>
      <c r="M786" s="226" t="s">
        <v>22</v>
      </c>
      <c r="N786" s="226" t="s">
        <v>22</v>
      </c>
      <c r="O786" s="226" t="s">
        <v>3639</v>
      </c>
      <c r="P786" s="226" t="s">
        <v>3227</v>
      </c>
      <c r="Q786" s="226" t="s">
        <v>4015</v>
      </c>
      <c r="R786" s="227" t="s">
        <v>2961</v>
      </c>
      <c r="S786" s="225" t="s">
        <v>2962</v>
      </c>
      <c r="T786" s="228">
        <v>13263275812</v>
      </c>
      <c r="U786" s="225" t="s">
        <v>3521</v>
      </c>
      <c r="V786" s="225" t="s">
        <v>3522</v>
      </c>
      <c r="W786" s="229">
        <v>13811081035</v>
      </c>
      <c r="X786" s="230">
        <v>43334</v>
      </c>
      <c r="Y786" s="238" t="s">
        <v>27</v>
      </c>
      <c r="Z786" s="238" t="s">
        <v>27</v>
      </c>
      <c r="AA786" s="238" t="s">
        <v>27</v>
      </c>
      <c r="AB786" s="45" t="s">
        <v>2887</v>
      </c>
      <c r="AC786" s="169"/>
    </row>
    <row r="787" spans="1:32" s="68" customFormat="1" ht="15" hidden="1" customHeight="1">
      <c r="A787" s="226" t="s">
        <v>203</v>
      </c>
      <c r="B787" s="226" t="s">
        <v>1538</v>
      </c>
      <c r="C787" s="226" t="s">
        <v>22</v>
      </c>
      <c r="D787" s="226" t="s">
        <v>4443</v>
      </c>
      <c r="E787" s="226" t="s">
        <v>2008</v>
      </c>
      <c r="F787" s="226">
        <v>2510716</v>
      </c>
      <c r="G787" s="225" t="s">
        <v>4372</v>
      </c>
      <c r="H787" s="226" t="s">
        <v>20</v>
      </c>
      <c r="I787" s="227" t="s">
        <v>60</v>
      </c>
      <c r="J787" s="225" t="s">
        <v>2501</v>
      </c>
      <c r="K787" s="225" t="s">
        <v>2649</v>
      </c>
      <c r="L787" s="51" t="s">
        <v>211</v>
      </c>
      <c r="M787" s="226" t="s">
        <v>22</v>
      </c>
      <c r="N787" s="226" t="s">
        <v>27</v>
      </c>
      <c r="O787" s="226" t="s">
        <v>38</v>
      </c>
      <c r="P787" s="226" t="s">
        <v>3227</v>
      </c>
      <c r="Q787" s="226" t="s">
        <v>4016</v>
      </c>
      <c r="R787" s="227" t="s">
        <v>2927</v>
      </c>
      <c r="S787" s="225" t="s">
        <v>2928</v>
      </c>
      <c r="T787" s="228">
        <v>18911124287</v>
      </c>
      <c r="U787" s="225" t="s">
        <v>3523</v>
      </c>
      <c r="V787" s="225" t="s">
        <v>3524</v>
      </c>
      <c r="W787" s="229">
        <v>13810019704</v>
      </c>
      <c r="X787" s="230">
        <v>43334</v>
      </c>
      <c r="Y787" s="238" t="s">
        <v>27</v>
      </c>
      <c r="Z787" s="238" t="s">
        <v>27</v>
      </c>
      <c r="AA787" s="238" t="s">
        <v>27</v>
      </c>
      <c r="AB787" s="45" t="s">
        <v>2887</v>
      </c>
      <c r="AC787" s="169"/>
    </row>
    <row r="788" spans="1:32" s="68" customFormat="1" ht="15" hidden="1" customHeight="1">
      <c r="A788" s="226" t="s">
        <v>203</v>
      </c>
      <c r="B788" s="226" t="s">
        <v>1539</v>
      </c>
      <c r="C788" s="226" t="s">
        <v>27</v>
      </c>
      <c r="D788" s="226" t="s">
        <v>2893</v>
      </c>
      <c r="E788" s="226" t="s">
        <v>2008</v>
      </c>
      <c r="F788" s="226">
        <v>2510863</v>
      </c>
      <c r="G788" s="225" t="s">
        <v>4275</v>
      </c>
      <c r="H788" s="226" t="s">
        <v>20</v>
      </c>
      <c r="I788" s="225" t="s">
        <v>60</v>
      </c>
      <c r="J788" s="225" t="s">
        <v>2484</v>
      </c>
      <c r="K788" s="225" t="s">
        <v>4427</v>
      </c>
      <c r="L788" s="51" t="s">
        <v>211</v>
      </c>
      <c r="M788" s="226" t="s">
        <v>22</v>
      </c>
      <c r="N788" s="226" t="s">
        <v>22</v>
      </c>
      <c r="O788" s="226" t="s">
        <v>3639</v>
      </c>
      <c r="P788" s="226" t="s">
        <v>3212</v>
      </c>
      <c r="Q788" s="226" t="s">
        <v>4017</v>
      </c>
      <c r="R788" s="227" t="s">
        <v>2872</v>
      </c>
      <c r="S788" s="225" t="s">
        <v>2873</v>
      </c>
      <c r="T788" s="228">
        <v>13810618197</v>
      </c>
      <c r="U788" s="225" t="s">
        <v>3525</v>
      </c>
      <c r="V788" s="225" t="s">
        <v>3526</v>
      </c>
      <c r="W788" s="229">
        <v>13810702951</v>
      </c>
      <c r="X788" s="230">
        <v>43328</v>
      </c>
      <c r="Y788" s="238" t="s">
        <v>27</v>
      </c>
      <c r="Z788" s="238" t="s">
        <v>27</v>
      </c>
      <c r="AA788" s="238" t="s">
        <v>27</v>
      </c>
      <c r="AB788" s="45" t="s">
        <v>2887</v>
      </c>
      <c r="AC788" s="169"/>
    </row>
    <row r="789" spans="1:32" s="68" customFormat="1" ht="15" hidden="1" customHeight="1">
      <c r="A789" s="226" t="s">
        <v>203</v>
      </c>
      <c r="B789" s="226" t="s">
        <v>1540</v>
      </c>
      <c r="C789" s="226" t="s">
        <v>27</v>
      </c>
      <c r="D789" s="226" t="s">
        <v>2658</v>
      </c>
      <c r="E789" s="226" t="s">
        <v>2008</v>
      </c>
      <c r="F789" s="226">
        <v>2510864</v>
      </c>
      <c r="G789" s="225" t="s">
        <v>4369</v>
      </c>
      <c r="H789" s="226" t="s">
        <v>20</v>
      </c>
      <c r="I789" s="225" t="s">
        <v>60</v>
      </c>
      <c r="J789" s="225" t="s">
        <v>2485</v>
      </c>
      <c r="K789" s="225" t="s">
        <v>2429</v>
      </c>
      <c r="L789" s="51" t="s">
        <v>211</v>
      </c>
      <c r="M789" s="226" t="s">
        <v>22</v>
      </c>
      <c r="N789" s="226" t="s">
        <v>22</v>
      </c>
      <c r="O789" s="226" t="s">
        <v>3639</v>
      </c>
      <c r="P789" s="226" t="s">
        <v>3230</v>
      </c>
      <c r="Q789" s="226" t="s">
        <v>4018</v>
      </c>
      <c r="R789" s="227" t="s">
        <v>2874</v>
      </c>
      <c r="S789" s="225" t="s">
        <v>3527</v>
      </c>
      <c r="T789" s="228">
        <v>18516913746</v>
      </c>
      <c r="U789" s="225" t="s">
        <v>3528</v>
      </c>
      <c r="V789" s="225" t="s">
        <v>3529</v>
      </c>
      <c r="W789" s="229">
        <v>13810021354</v>
      </c>
      <c r="X789" s="230">
        <v>43214</v>
      </c>
      <c r="Y789" s="238" t="s">
        <v>27</v>
      </c>
      <c r="Z789" s="238" t="s">
        <v>27</v>
      </c>
      <c r="AA789" s="238" t="s">
        <v>27</v>
      </c>
      <c r="AB789" s="45" t="s">
        <v>2887</v>
      </c>
      <c r="AC789" s="169"/>
    </row>
    <row r="790" spans="1:32" s="68" customFormat="1" ht="15" hidden="1" customHeight="1">
      <c r="A790" s="226" t="s">
        <v>203</v>
      </c>
      <c r="B790" s="226" t="s">
        <v>1541</v>
      </c>
      <c r="C790" s="226" t="s">
        <v>27</v>
      </c>
      <c r="D790" s="226" t="s">
        <v>2658</v>
      </c>
      <c r="E790" s="226" t="s">
        <v>2008</v>
      </c>
      <c r="F790" s="226">
        <v>2510540</v>
      </c>
      <c r="G790" s="225" t="s">
        <v>4312</v>
      </c>
      <c r="H790" s="226" t="s">
        <v>20</v>
      </c>
      <c r="I790" s="225" t="s">
        <v>60</v>
      </c>
      <c r="J790" s="225" t="s">
        <v>2485</v>
      </c>
      <c r="K790" s="225" t="s">
        <v>2429</v>
      </c>
      <c r="L790" s="51" t="s">
        <v>211</v>
      </c>
      <c r="M790" s="226" t="s">
        <v>22</v>
      </c>
      <c r="N790" s="226" t="s">
        <v>22</v>
      </c>
      <c r="O790" s="226" t="s">
        <v>3639</v>
      </c>
      <c r="P790" s="226" t="s">
        <v>3230</v>
      </c>
      <c r="Q790" s="226" t="s">
        <v>4019</v>
      </c>
      <c r="R790" s="227" t="s">
        <v>2550</v>
      </c>
      <c r="S790" s="225" t="s">
        <v>3125</v>
      </c>
      <c r="T790" s="228">
        <v>13124703554</v>
      </c>
      <c r="U790" s="225" t="s">
        <v>1671</v>
      </c>
      <c r="V790" s="225" t="s">
        <v>2094</v>
      </c>
      <c r="W790" s="229">
        <v>13810024174</v>
      </c>
      <c r="X790" s="230">
        <v>43334</v>
      </c>
      <c r="Y790" s="238" t="s">
        <v>27</v>
      </c>
      <c r="Z790" s="238" t="s">
        <v>27</v>
      </c>
      <c r="AA790" s="238" t="s">
        <v>27</v>
      </c>
      <c r="AB790" s="45" t="s">
        <v>2887</v>
      </c>
      <c r="AC790" s="169"/>
    </row>
    <row r="791" spans="1:32" s="68" customFormat="1" ht="15" hidden="1" customHeight="1">
      <c r="A791" s="226" t="s">
        <v>203</v>
      </c>
      <c r="B791" s="226" t="s">
        <v>1542</v>
      </c>
      <c r="C791" s="226" t="s">
        <v>22</v>
      </c>
      <c r="D791" s="226" t="s">
        <v>4443</v>
      </c>
      <c r="E791" s="226" t="s">
        <v>2008</v>
      </c>
      <c r="F791" s="226">
        <v>2510837</v>
      </c>
      <c r="G791" s="225" t="s">
        <v>4350</v>
      </c>
      <c r="H791" s="226" t="s">
        <v>20</v>
      </c>
      <c r="I791" s="225" t="s">
        <v>60</v>
      </c>
      <c r="J791" s="225" t="s">
        <v>2487</v>
      </c>
      <c r="K791" s="225" t="s">
        <v>2650</v>
      </c>
      <c r="L791" s="51" t="s">
        <v>211</v>
      </c>
      <c r="M791" s="226" t="s">
        <v>22</v>
      </c>
      <c r="N791" s="226" t="s">
        <v>27</v>
      </c>
      <c r="O791" s="226" t="s">
        <v>38</v>
      </c>
      <c r="P791" s="226" t="s">
        <v>3227</v>
      </c>
      <c r="Q791" s="226" t="s">
        <v>4020</v>
      </c>
      <c r="R791" s="227" t="s">
        <v>2551</v>
      </c>
      <c r="S791" s="225" t="s">
        <v>2168</v>
      </c>
      <c r="T791" s="228">
        <v>13810715530</v>
      </c>
      <c r="U791" s="225" t="s">
        <v>3530</v>
      </c>
      <c r="V791" s="225" t="s">
        <v>3531</v>
      </c>
      <c r="W791" s="229">
        <v>18010341436</v>
      </c>
      <c r="X791" s="230">
        <v>43334</v>
      </c>
      <c r="Y791" s="238" t="s">
        <v>27</v>
      </c>
      <c r="Z791" s="238" t="s">
        <v>27</v>
      </c>
      <c r="AA791" s="238" t="s">
        <v>27</v>
      </c>
      <c r="AB791" s="45" t="s">
        <v>2887</v>
      </c>
      <c r="AC791" s="169"/>
    </row>
    <row r="792" spans="1:32" s="68" customFormat="1" ht="15" hidden="1" customHeight="1">
      <c r="A792" s="226" t="s">
        <v>203</v>
      </c>
      <c r="B792" s="226" t="s">
        <v>1543</v>
      </c>
      <c r="C792" s="226" t="s">
        <v>27</v>
      </c>
      <c r="D792" s="226" t="s">
        <v>2658</v>
      </c>
      <c r="E792" s="226" t="s">
        <v>2008</v>
      </c>
      <c r="F792" s="226">
        <v>2250558</v>
      </c>
      <c r="G792" s="225" t="s">
        <v>4373</v>
      </c>
      <c r="H792" s="226" t="s">
        <v>20</v>
      </c>
      <c r="I792" s="225" t="s">
        <v>60</v>
      </c>
      <c r="J792" s="225" t="s">
        <v>2501</v>
      </c>
      <c r="K792" s="225" t="s">
        <v>2649</v>
      </c>
      <c r="L792" s="51" t="s">
        <v>211</v>
      </c>
      <c r="M792" s="226" t="s">
        <v>22</v>
      </c>
      <c r="N792" s="226" t="s">
        <v>27</v>
      </c>
      <c r="O792" s="226" t="s">
        <v>3639</v>
      </c>
      <c r="P792" s="226" t="s">
        <v>3276</v>
      </c>
      <c r="Q792" s="226" t="s">
        <v>4021</v>
      </c>
      <c r="R792" s="227" t="s">
        <v>2552</v>
      </c>
      <c r="S792" s="225" t="s">
        <v>2169</v>
      </c>
      <c r="T792" s="228">
        <v>18911124202</v>
      </c>
      <c r="U792" s="225" t="s">
        <v>3532</v>
      </c>
      <c r="V792" s="225" t="s">
        <v>3533</v>
      </c>
      <c r="W792" s="229">
        <v>13810023894</v>
      </c>
      <c r="X792" s="230"/>
      <c r="Y792" s="238" t="s">
        <v>27</v>
      </c>
      <c r="Z792" s="238" t="s">
        <v>27</v>
      </c>
      <c r="AA792" s="238" t="s">
        <v>27</v>
      </c>
      <c r="AB792" s="45" t="s">
        <v>2889</v>
      </c>
      <c r="AC792" s="169"/>
    </row>
    <row r="793" spans="1:32" s="68" customFormat="1" ht="15" hidden="1" customHeight="1">
      <c r="A793" s="226" t="s">
        <v>203</v>
      </c>
      <c r="B793" s="226" t="s">
        <v>1544</v>
      </c>
      <c r="C793" s="226" t="s">
        <v>22</v>
      </c>
      <c r="D793" s="226" t="s">
        <v>4443</v>
      </c>
      <c r="E793" s="226" t="s">
        <v>2008</v>
      </c>
      <c r="F793" s="226">
        <v>2510546</v>
      </c>
      <c r="G793" s="225" t="s">
        <v>4374</v>
      </c>
      <c r="H793" s="226" t="s">
        <v>20</v>
      </c>
      <c r="I793" s="225" t="s">
        <v>60</v>
      </c>
      <c r="J793" s="225" t="s">
        <v>2501</v>
      </c>
      <c r="K793" s="225" t="s">
        <v>2649</v>
      </c>
      <c r="L793" s="51" t="s">
        <v>211</v>
      </c>
      <c r="M793" s="226" t="s">
        <v>22</v>
      </c>
      <c r="N793" s="226" t="s">
        <v>27</v>
      </c>
      <c r="O793" s="226" t="s">
        <v>38</v>
      </c>
      <c r="P793" s="226" t="s">
        <v>3218</v>
      </c>
      <c r="Q793" s="226" t="s">
        <v>4022</v>
      </c>
      <c r="R793" s="227" t="s">
        <v>3655</v>
      </c>
      <c r="S793" s="225" t="s">
        <v>3656</v>
      </c>
      <c r="T793" s="228">
        <v>18911124185</v>
      </c>
      <c r="U793" s="225" t="s">
        <v>3534</v>
      </c>
      <c r="V793" s="225" t="s">
        <v>3535</v>
      </c>
      <c r="W793" s="229">
        <v>13810833935</v>
      </c>
      <c r="X793" s="230">
        <v>43334</v>
      </c>
      <c r="Y793" s="238" t="s">
        <v>27</v>
      </c>
      <c r="Z793" s="238" t="s">
        <v>27</v>
      </c>
      <c r="AA793" s="238" t="s">
        <v>27</v>
      </c>
      <c r="AB793" s="45" t="s">
        <v>2887</v>
      </c>
      <c r="AC793" s="169"/>
    </row>
    <row r="794" spans="1:32" s="68" customFormat="1" ht="15" hidden="1" customHeight="1">
      <c r="A794" s="226" t="s">
        <v>203</v>
      </c>
      <c r="B794" s="226" t="s">
        <v>1545</v>
      </c>
      <c r="C794" s="226" t="s">
        <v>27</v>
      </c>
      <c r="D794" s="226" t="s">
        <v>2658</v>
      </c>
      <c r="E794" s="226" t="s">
        <v>2008</v>
      </c>
      <c r="F794" s="226">
        <v>2510747</v>
      </c>
      <c r="G794" s="225" t="s">
        <v>4374</v>
      </c>
      <c r="H794" s="226" t="s">
        <v>20</v>
      </c>
      <c r="I794" s="225" t="s">
        <v>60</v>
      </c>
      <c r="J794" s="225" t="s">
        <v>2486</v>
      </c>
      <c r="K794" s="225" t="s">
        <v>2358</v>
      </c>
      <c r="L794" s="51" t="s">
        <v>211</v>
      </c>
      <c r="M794" s="226" t="s">
        <v>22</v>
      </c>
      <c r="N794" s="226" t="s">
        <v>22</v>
      </c>
      <c r="O794" s="226" t="s">
        <v>3639</v>
      </c>
      <c r="P794" s="226" t="s">
        <v>3224</v>
      </c>
      <c r="Q794" s="226" t="s">
        <v>4023</v>
      </c>
      <c r="R794" s="227" t="s">
        <v>2553</v>
      </c>
      <c r="S794" s="225" t="s">
        <v>1635</v>
      </c>
      <c r="T794" s="228">
        <v>13810471639</v>
      </c>
      <c r="U794" s="225" t="s">
        <v>3536</v>
      </c>
      <c r="V794" s="225" t="s">
        <v>3537</v>
      </c>
      <c r="W794" s="229">
        <v>18601041402</v>
      </c>
      <c r="X794" s="230"/>
      <c r="Y794" s="238" t="s">
        <v>27</v>
      </c>
      <c r="Z794" s="238" t="s">
        <v>27</v>
      </c>
      <c r="AA794" s="238" t="s">
        <v>27</v>
      </c>
      <c r="AB794" s="45" t="s">
        <v>2887</v>
      </c>
      <c r="AC794" s="169"/>
    </row>
    <row r="795" spans="1:32" s="68" customFormat="1" ht="15" hidden="1" customHeight="1">
      <c r="A795" s="226" t="s">
        <v>203</v>
      </c>
      <c r="B795" s="226" t="s">
        <v>1546</v>
      </c>
      <c r="C795" s="226" t="s">
        <v>27</v>
      </c>
      <c r="D795" s="226" t="s">
        <v>2658</v>
      </c>
      <c r="E795" s="226" t="s">
        <v>2008</v>
      </c>
      <c r="F795" s="226">
        <v>2510677</v>
      </c>
      <c r="G795" s="225" t="s">
        <v>4370</v>
      </c>
      <c r="H795" s="226" t="s">
        <v>20</v>
      </c>
      <c r="I795" s="225" t="s">
        <v>60</v>
      </c>
      <c r="J795" s="225" t="s">
        <v>2501</v>
      </c>
      <c r="K795" s="225" t="s">
        <v>2649</v>
      </c>
      <c r="L795" s="51" t="s">
        <v>211</v>
      </c>
      <c r="M795" s="226" t="s">
        <v>22</v>
      </c>
      <c r="N795" s="226" t="s">
        <v>27</v>
      </c>
      <c r="O795" s="226" t="s">
        <v>3639</v>
      </c>
      <c r="P795" s="226" t="s">
        <v>3208</v>
      </c>
      <c r="Q795" s="226" t="s">
        <v>4024</v>
      </c>
      <c r="R795" s="227" t="s">
        <v>2554</v>
      </c>
      <c r="S795" s="225" t="s">
        <v>3126</v>
      </c>
      <c r="T795" s="228">
        <v>17310351349</v>
      </c>
      <c r="U795" s="225" t="s">
        <v>1674</v>
      </c>
      <c r="V795" s="225" t="s">
        <v>2097</v>
      </c>
      <c r="W795" s="229">
        <v>13810021284</v>
      </c>
      <c r="X795" s="230">
        <v>43197</v>
      </c>
      <c r="Y795" s="238" t="s">
        <v>27</v>
      </c>
      <c r="Z795" s="238" t="s">
        <v>27</v>
      </c>
      <c r="AA795" s="238" t="s">
        <v>27</v>
      </c>
      <c r="AB795" s="45" t="s">
        <v>2887</v>
      </c>
      <c r="AC795" s="169"/>
    </row>
    <row r="796" spans="1:32" s="68" customFormat="1" ht="15" hidden="1" customHeight="1">
      <c r="A796" s="226" t="s">
        <v>203</v>
      </c>
      <c r="B796" s="226" t="s">
        <v>1547</v>
      </c>
      <c r="C796" s="226" t="s">
        <v>27</v>
      </c>
      <c r="D796" s="226" t="s">
        <v>2658</v>
      </c>
      <c r="E796" s="226" t="s">
        <v>2008</v>
      </c>
      <c r="F796" s="226">
        <v>2510599</v>
      </c>
      <c r="G796" s="225" t="s">
        <v>4375</v>
      </c>
      <c r="H796" s="226" t="s">
        <v>20</v>
      </c>
      <c r="I796" s="225" t="s">
        <v>60</v>
      </c>
      <c r="J796" s="225" t="s">
        <v>2486</v>
      </c>
      <c r="K796" s="225" t="s">
        <v>2358</v>
      </c>
      <c r="L796" s="51" t="s">
        <v>211</v>
      </c>
      <c r="M796" s="226" t="s">
        <v>22</v>
      </c>
      <c r="N796" s="226" t="s">
        <v>22</v>
      </c>
      <c r="O796" s="226" t="s">
        <v>3639</v>
      </c>
      <c r="P796" s="226" t="s">
        <v>3218</v>
      </c>
      <c r="Q796" s="226" t="s">
        <v>4025</v>
      </c>
      <c r="R796" s="227" t="s">
        <v>2877</v>
      </c>
      <c r="S796" s="225" t="s">
        <v>2878</v>
      </c>
      <c r="T796" s="228">
        <v>13810639771</v>
      </c>
      <c r="U796" s="225" t="s">
        <v>3538</v>
      </c>
      <c r="V796" s="225" t="s">
        <v>3539</v>
      </c>
      <c r="W796" s="229">
        <v>13263323831</v>
      </c>
      <c r="X796" s="230">
        <v>43214</v>
      </c>
      <c r="Y796" s="238" t="s">
        <v>27</v>
      </c>
      <c r="Z796" s="238" t="s">
        <v>27</v>
      </c>
      <c r="AA796" s="238" t="s">
        <v>27</v>
      </c>
      <c r="AB796" s="45" t="s">
        <v>2887</v>
      </c>
      <c r="AC796" s="169"/>
    </row>
    <row r="797" spans="1:32" s="68" customFormat="1" ht="15" hidden="1" customHeight="1">
      <c r="A797" s="226" t="s">
        <v>203</v>
      </c>
      <c r="B797" s="226" t="s">
        <v>1548</v>
      </c>
      <c r="C797" s="226" t="s">
        <v>27</v>
      </c>
      <c r="D797" s="226" t="s">
        <v>4443</v>
      </c>
      <c r="E797" s="226" t="s">
        <v>2008</v>
      </c>
      <c r="F797" s="226">
        <v>2510844</v>
      </c>
      <c r="G797" s="225" t="s">
        <v>4373</v>
      </c>
      <c r="H797" s="226" t="s">
        <v>20</v>
      </c>
      <c r="I797" s="225" t="s">
        <v>60</v>
      </c>
      <c r="J797" s="225" t="s">
        <v>2501</v>
      </c>
      <c r="K797" s="225" t="s">
        <v>4445</v>
      </c>
      <c r="L797" s="51" t="s">
        <v>211</v>
      </c>
      <c r="M797" s="226" t="s">
        <v>22</v>
      </c>
      <c r="N797" s="226" t="s">
        <v>27</v>
      </c>
      <c r="O797" s="226" t="s">
        <v>3639</v>
      </c>
      <c r="P797" s="226" t="s">
        <v>3276</v>
      </c>
      <c r="Q797" s="226" t="s">
        <v>4026</v>
      </c>
      <c r="R797" s="227" t="s">
        <v>2879</v>
      </c>
      <c r="S797" s="225" t="s">
        <v>2880</v>
      </c>
      <c r="T797" s="228">
        <v>18911473219</v>
      </c>
      <c r="U797" s="225" t="s">
        <v>1663</v>
      </c>
      <c r="V797" s="225" t="s">
        <v>2086</v>
      </c>
      <c r="W797" s="229">
        <v>13810419657</v>
      </c>
      <c r="X797" s="230">
        <v>43214</v>
      </c>
      <c r="Y797" s="238" t="s">
        <v>27</v>
      </c>
      <c r="Z797" s="238" t="s">
        <v>27</v>
      </c>
      <c r="AA797" s="238" t="s">
        <v>27</v>
      </c>
      <c r="AB797" s="45" t="s">
        <v>2887</v>
      </c>
      <c r="AC797" s="169"/>
    </row>
    <row r="798" spans="1:32" s="68" customFormat="1" ht="15" hidden="1" customHeight="1">
      <c r="A798" s="226" t="s">
        <v>203</v>
      </c>
      <c r="B798" s="226" t="s">
        <v>1549</v>
      </c>
      <c r="C798" s="226" t="s">
        <v>27</v>
      </c>
      <c r="D798" s="226" t="s">
        <v>2658</v>
      </c>
      <c r="E798" s="226" t="s">
        <v>2008</v>
      </c>
      <c r="F798" s="226">
        <v>2510694</v>
      </c>
      <c r="G798" s="225" t="s">
        <v>4376</v>
      </c>
      <c r="H798" s="226" t="s">
        <v>20</v>
      </c>
      <c r="I798" s="225" t="s">
        <v>60</v>
      </c>
      <c r="J798" s="225" t="s">
        <v>2487</v>
      </c>
      <c r="K798" s="225" t="s">
        <v>2650</v>
      </c>
      <c r="L798" s="51" t="s">
        <v>211</v>
      </c>
      <c r="M798" s="226" t="s">
        <v>22</v>
      </c>
      <c r="N798" s="226" t="s">
        <v>27</v>
      </c>
      <c r="O798" s="226" t="s">
        <v>3639</v>
      </c>
      <c r="P798" s="226" t="s">
        <v>3317</v>
      </c>
      <c r="Q798" s="226" t="s">
        <v>4027</v>
      </c>
      <c r="R798" s="227" t="s">
        <v>2555</v>
      </c>
      <c r="S798" s="225" t="s">
        <v>2556</v>
      </c>
      <c r="T798" s="228">
        <v>13810021745</v>
      </c>
      <c r="U798" s="225" t="s">
        <v>3540</v>
      </c>
      <c r="V798" s="225" t="s">
        <v>3541</v>
      </c>
      <c r="W798" s="229">
        <v>18911124295</v>
      </c>
      <c r="X798" s="230">
        <v>43252</v>
      </c>
      <c r="Y798" s="238" t="s">
        <v>27</v>
      </c>
      <c r="Z798" s="238" t="s">
        <v>27</v>
      </c>
      <c r="AA798" s="238" t="s">
        <v>27</v>
      </c>
      <c r="AB798" s="45" t="s">
        <v>2887</v>
      </c>
      <c r="AC798" s="169"/>
    </row>
    <row r="799" spans="1:32" s="68" customFormat="1" ht="15" hidden="1" customHeight="1">
      <c r="A799" s="226" t="s">
        <v>203</v>
      </c>
      <c r="B799" s="226" t="s">
        <v>1550</v>
      </c>
      <c r="C799" s="226" t="s">
        <v>27</v>
      </c>
      <c r="D799" s="226" t="s">
        <v>2893</v>
      </c>
      <c r="E799" s="226" t="s">
        <v>2008</v>
      </c>
      <c r="F799" s="226">
        <v>2510748</v>
      </c>
      <c r="G799" s="225" t="s">
        <v>4376</v>
      </c>
      <c r="H799" s="226" t="s">
        <v>20</v>
      </c>
      <c r="I799" s="225" t="s">
        <v>60</v>
      </c>
      <c r="J799" s="225" t="s">
        <v>2487</v>
      </c>
      <c r="K799" s="225" t="s">
        <v>2650</v>
      </c>
      <c r="L799" s="51" t="s">
        <v>211</v>
      </c>
      <c r="M799" s="226" t="s">
        <v>22</v>
      </c>
      <c r="N799" s="226" t="s">
        <v>27</v>
      </c>
      <c r="O799" s="226" t="s">
        <v>3639</v>
      </c>
      <c r="P799" s="226" t="s">
        <v>3935</v>
      </c>
      <c r="Q799" s="226" t="s">
        <v>4028</v>
      </c>
      <c r="R799" s="227" t="s">
        <v>3040</v>
      </c>
      <c r="S799" s="225" t="s">
        <v>3041</v>
      </c>
      <c r="T799" s="228">
        <v>13810599702</v>
      </c>
      <c r="U799" s="225" t="s">
        <v>1661</v>
      </c>
      <c r="V799" s="225" t="s">
        <v>2084</v>
      </c>
      <c r="W799" s="229">
        <v>18911124251</v>
      </c>
      <c r="X799" s="230">
        <v>43216</v>
      </c>
      <c r="Y799" s="238" t="s">
        <v>27</v>
      </c>
      <c r="Z799" s="238" t="s">
        <v>27</v>
      </c>
      <c r="AA799" s="238" t="s">
        <v>27</v>
      </c>
      <c r="AB799" s="45" t="s">
        <v>2887</v>
      </c>
      <c r="AC799" s="169"/>
    </row>
    <row r="800" spans="1:32" s="68" customFormat="1" ht="15" hidden="1" customHeight="1">
      <c r="A800" s="226" t="s">
        <v>203</v>
      </c>
      <c r="B800" s="226" t="s">
        <v>1551</v>
      </c>
      <c r="C800" s="226" t="s">
        <v>27</v>
      </c>
      <c r="D800" s="226" t="s">
        <v>2658</v>
      </c>
      <c r="E800" s="226" t="s">
        <v>2008</v>
      </c>
      <c r="F800" s="226">
        <v>2510713</v>
      </c>
      <c r="G800" s="225" t="s">
        <v>4377</v>
      </c>
      <c r="H800" s="226" t="s">
        <v>20</v>
      </c>
      <c r="I800" s="225" t="s">
        <v>60</v>
      </c>
      <c r="J800" s="225" t="s">
        <v>2487</v>
      </c>
      <c r="K800" s="225" t="s">
        <v>2650</v>
      </c>
      <c r="L800" s="51" t="s">
        <v>2351</v>
      </c>
      <c r="M800" s="226" t="s">
        <v>27</v>
      </c>
      <c r="N800" s="226" t="s">
        <v>27</v>
      </c>
      <c r="O800" s="226" t="s">
        <v>3639</v>
      </c>
      <c r="P800" s="226" t="e">
        <v>#N/A</v>
      </c>
      <c r="Q800" s="226"/>
      <c r="R800" s="227" t="s">
        <v>3127</v>
      </c>
      <c r="S800" s="225" t="s">
        <v>3128</v>
      </c>
      <c r="T800" s="228">
        <v>13810826170</v>
      </c>
      <c r="U800" s="225" t="s">
        <v>1675</v>
      </c>
      <c r="V800" s="225" t="s">
        <v>2098</v>
      </c>
      <c r="W800" s="229">
        <v>13381264225</v>
      </c>
      <c r="X800" s="230">
        <v>43215</v>
      </c>
      <c r="Y800" s="238" t="s">
        <v>27</v>
      </c>
      <c r="Z800" s="238" t="s">
        <v>27</v>
      </c>
      <c r="AA800" s="238" t="s">
        <v>27</v>
      </c>
      <c r="AB800" s="45" t="s">
        <v>2887</v>
      </c>
      <c r="AC800" s="169"/>
      <c r="AF800" s="182" t="s">
        <v>2971</v>
      </c>
    </row>
    <row r="801" spans="1:29" s="68" customFormat="1" ht="15" hidden="1" customHeight="1">
      <c r="A801" s="226" t="s">
        <v>203</v>
      </c>
      <c r="B801" s="226" t="s">
        <v>1552</v>
      </c>
      <c r="C801" s="226" t="s">
        <v>27</v>
      </c>
      <c r="D801" s="226" t="s">
        <v>2658</v>
      </c>
      <c r="E801" s="226" t="s">
        <v>2008</v>
      </c>
      <c r="F801" s="226">
        <v>2510883</v>
      </c>
      <c r="G801" s="225" t="s">
        <v>4375</v>
      </c>
      <c r="H801" s="226" t="s">
        <v>20</v>
      </c>
      <c r="I801" s="227" t="s">
        <v>60</v>
      </c>
      <c r="J801" s="225" t="s">
        <v>2484</v>
      </c>
      <c r="K801" s="225" t="s">
        <v>4427</v>
      </c>
      <c r="L801" s="51" t="s">
        <v>211</v>
      </c>
      <c r="M801" s="226" t="s">
        <v>22</v>
      </c>
      <c r="N801" s="226" t="s">
        <v>22</v>
      </c>
      <c r="O801" s="226" t="s">
        <v>3639</v>
      </c>
      <c r="P801" s="226" t="s">
        <v>3261</v>
      </c>
      <c r="Q801" s="226" t="s">
        <v>4029</v>
      </c>
      <c r="R801" s="227" t="s">
        <v>2557</v>
      </c>
      <c r="S801" s="225" t="s">
        <v>1636</v>
      </c>
      <c r="T801" s="228">
        <v>13810419753</v>
      </c>
      <c r="U801" s="225" t="s">
        <v>1676</v>
      </c>
      <c r="V801" s="225" t="s">
        <v>2099</v>
      </c>
      <c r="W801" s="229">
        <v>13810618773</v>
      </c>
      <c r="X801" s="230">
        <v>43328</v>
      </c>
      <c r="Y801" s="238" t="s">
        <v>27</v>
      </c>
      <c r="Z801" s="238" t="s">
        <v>27</v>
      </c>
      <c r="AA801" s="238" t="s">
        <v>27</v>
      </c>
      <c r="AB801" s="45" t="s">
        <v>2887</v>
      </c>
      <c r="AC801" s="169"/>
    </row>
    <row r="802" spans="1:29" s="68" customFormat="1" ht="15" hidden="1" customHeight="1">
      <c r="A802" s="226" t="s">
        <v>203</v>
      </c>
      <c r="B802" s="226" t="s">
        <v>1553</v>
      </c>
      <c r="C802" s="226" t="s">
        <v>27</v>
      </c>
      <c r="D802" s="226" t="s">
        <v>2893</v>
      </c>
      <c r="E802" s="226" t="s">
        <v>2008</v>
      </c>
      <c r="F802" s="226">
        <v>2510775</v>
      </c>
      <c r="G802" s="225" t="s">
        <v>4378</v>
      </c>
      <c r="H802" s="226" t="s">
        <v>20</v>
      </c>
      <c r="I802" s="225" t="s">
        <v>60</v>
      </c>
      <c r="J802" s="225" t="s">
        <v>2485</v>
      </c>
      <c r="K802" s="225" t="s">
        <v>4426</v>
      </c>
      <c r="L802" s="51" t="s">
        <v>211</v>
      </c>
      <c r="M802" s="226" t="s">
        <v>22</v>
      </c>
      <c r="N802" s="226" t="s">
        <v>22</v>
      </c>
      <c r="O802" s="226" t="s">
        <v>3639</v>
      </c>
      <c r="P802" s="226" t="s">
        <v>3208</v>
      </c>
      <c r="Q802" s="226" t="s">
        <v>4030</v>
      </c>
      <c r="R802" s="227" t="s">
        <v>2965</v>
      </c>
      <c r="S802" s="225" t="s">
        <v>2966</v>
      </c>
      <c r="T802" s="228">
        <v>18614269145</v>
      </c>
      <c r="U802" s="225" t="s">
        <v>3542</v>
      </c>
      <c r="V802" s="225" t="s">
        <v>3543</v>
      </c>
      <c r="W802" s="229">
        <v>13810831760</v>
      </c>
      <c r="X802" s="230">
        <v>43334</v>
      </c>
      <c r="Y802" s="238" t="s">
        <v>27</v>
      </c>
      <c r="Z802" s="238" t="s">
        <v>27</v>
      </c>
      <c r="AA802" s="238" t="s">
        <v>27</v>
      </c>
      <c r="AB802" s="45" t="s">
        <v>2887</v>
      </c>
      <c r="AC802" s="169"/>
    </row>
    <row r="803" spans="1:29" s="68" customFormat="1" ht="15" hidden="1" customHeight="1">
      <c r="A803" s="226" t="s">
        <v>203</v>
      </c>
      <c r="B803" s="226" t="s">
        <v>1554</v>
      </c>
      <c r="C803" s="226" t="s">
        <v>27</v>
      </c>
      <c r="D803" s="226" t="s">
        <v>2658</v>
      </c>
      <c r="E803" s="226" t="s">
        <v>2008</v>
      </c>
      <c r="F803" s="226">
        <v>2510860</v>
      </c>
      <c r="G803" s="225" t="s">
        <v>4253</v>
      </c>
      <c r="H803" s="226" t="s">
        <v>20</v>
      </c>
      <c r="I803" s="225" t="s">
        <v>60</v>
      </c>
      <c r="J803" s="225" t="s">
        <v>2487</v>
      </c>
      <c r="K803" s="225" t="s">
        <v>2650</v>
      </c>
      <c r="L803" s="51" t="s">
        <v>211</v>
      </c>
      <c r="M803" s="226" t="s">
        <v>22</v>
      </c>
      <c r="N803" s="226" t="s">
        <v>27</v>
      </c>
      <c r="O803" s="226" t="s">
        <v>3639</v>
      </c>
      <c r="P803" s="226" t="s">
        <v>3224</v>
      </c>
      <c r="Q803" s="226" t="s">
        <v>4031</v>
      </c>
      <c r="R803" s="227" t="s">
        <v>2559</v>
      </c>
      <c r="S803" s="225" t="s">
        <v>1637</v>
      </c>
      <c r="T803" s="228">
        <v>13810695923</v>
      </c>
      <c r="U803" s="225" t="s">
        <v>1677</v>
      </c>
      <c r="V803" s="225" t="s">
        <v>2100</v>
      </c>
      <c r="W803" s="229">
        <v>18911034305</v>
      </c>
      <c r="X803" s="230"/>
      <c r="Y803" s="238" t="s">
        <v>27</v>
      </c>
      <c r="Z803" s="238" t="s">
        <v>27</v>
      </c>
      <c r="AA803" s="238" t="s">
        <v>27</v>
      </c>
      <c r="AB803" s="45" t="s">
        <v>2887</v>
      </c>
      <c r="AC803" s="169"/>
    </row>
    <row r="804" spans="1:29" s="68" customFormat="1" ht="15" hidden="1" customHeight="1">
      <c r="A804" s="226" t="s">
        <v>203</v>
      </c>
      <c r="B804" s="226" t="s">
        <v>1555</v>
      </c>
      <c r="C804" s="226" t="s">
        <v>27</v>
      </c>
      <c r="D804" s="226" t="s">
        <v>2658</v>
      </c>
      <c r="E804" s="226" t="s">
        <v>2008</v>
      </c>
      <c r="F804" s="226">
        <v>3516426</v>
      </c>
      <c r="G804" s="225" t="s">
        <v>4242</v>
      </c>
      <c r="H804" s="226" t="s">
        <v>20</v>
      </c>
      <c r="I804" s="225" t="s">
        <v>60</v>
      </c>
      <c r="J804" s="225" t="s">
        <v>3834</v>
      </c>
      <c r="K804" s="225" t="s">
        <v>4427</v>
      </c>
      <c r="L804" s="51" t="s">
        <v>211</v>
      </c>
      <c r="M804" s="226" t="s">
        <v>22</v>
      </c>
      <c r="N804" s="226" t="s">
        <v>22</v>
      </c>
      <c r="O804" s="226" t="s">
        <v>27</v>
      </c>
      <c r="P804" s="226" t="s">
        <v>3870</v>
      </c>
      <c r="Q804" s="226" t="s">
        <v>4032</v>
      </c>
      <c r="R804" s="227" t="s">
        <v>4033</v>
      </c>
      <c r="S804" s="225" t="s">
        <v>4034</v>
      </c>
      <c r="T804" s="228">
        <v>13800001334</v>
      </c>
      <c r="U804" s="225" t="s">
        <v>3544</v>
      </c>
      <c r="V804" s="225" t="s">
        <v>3545</v>
      </c>
      <c r="W804" s="229">
        <v>13800001326</v>
      </c>
      <c r="X804" s="230">
        <v>43287</v>
      </c>
      <c r="Y804" s="238" t="s">
        <v>27</v>
      </c>
      <c r="Z804" s="238" t="s">
        <v>27</v>
      </c>
      <c r="AA804" s="238" t="s">
        <v>27</v>
      </c>
      <c r="AB804" s="45" t="s">
        <v>2887</v>
      </c>
      <c r="AC804" s="169"/>
    </row>
    <row r="805" spans="1:29" s="68" customFormat="1" ht="15" hidden="1" customHeight="1">
      <c r="A805" s="226" t="s">
        <v>203</v>
      </c>
      <c r="B805" s="226" t="s">
        <v>1556</v>
      </c>
      <c r="C805" s="226" t="s">
        <v>27</v>
      </c>
      <c r="D805" s="226" t="s">
        <v>2658</v>
      </c>
      <c r="E805" s="226" t="s">
        <v>2008</v>
      </c>
      <c r="F805" s="226">
        <v>3316676</v>
      </c>
      <c r="G805" s="225" t="s">
        <v>4379</v>
      </c>
      <c r="H805" s="226" t="s">
        <v>20</v>
      </c>
      <c r="I805" s="225" t="s">
        <v>60</v>
      </c>
      <c r="J805" s="225" t="s">
        <v>2487</v>
      </c>
      <c r="K805" s="225" t="s">
        <v>2650</v>
      </c>
      <c r="L805" s="51" t="s">
        <v>211</v>
      </c>
      <c r="M805" s="226" t="s">
        <v>22</v>
      </c>
      <c r="N805" s="226" t="s">
        <v>27</v>
      </c>
      <c r="O805" s="226" t="s">
        <v>3639</v>
      </c>
      <c r="P805" s="226" t="s">
        <v>3317</v>
      </c>
      <c r="Q805" s="226" t="s">
        <v>4035</v>
      </c>
      <c r="R805" s="227" t="s">
        <v>2561</v>
      </c>
      <c r="S805" s="225" t="s">
        <v>1639</v>
      </c>
      <c r="T805" s="228">
        <v>13810420587</v>
      </c>
      <c r="U805" s="225" t="s">
        <v>1679</v>
      </c>
      <c r="V805" s="225" t="s">
        <v>2102</v>
      </c>
      <c r="W805" s="229">
        <v>18911034357</v>
      </c>
      <c r="X805" s="230"/>
      <c r="Y805" s="238" t="s">
        <v>27</v>
      </c>
      <c r="Z805" s="238" t="s">
        <v>27</v>
      </c>
      <c r="AA805" s="238" t="s">
        <v>27</v>
      </c>
      <c r="AB805" s="45" t="s">
        <v>2889</v>
      </c>
      <c r="AC805" s="169"/>
    </row>
    <row r="806" spans="1:29" s="68" customFormat="1" ht="15" hidden="1" customHeight="1">
      <c r="A806" s="226" t="s">
        <v>203</v>
      </c>
      <c r="B806" s="226" t="s">
        <v>1557</v>
      </c>
      <c r="C806" s="226" t="s">
        <v>27</v>
      </c>
      <c r="D806" s="226" t="s">
        <v>2658</v>
      </c>
      <c r="E806" s="226" t="s">
        <v>2008</v>
      </c>
      <c r="F806" s="226">
        <v>3316702</v>
      </c>
      <c r="G806" s="225" t="s">
        <v>4425</v>
      </c>
      <c r="H806" s="226" t="s">
        <v>20</v>
      </c>
      <c r="I806" s="227" t="s">
        <v>60</v>
      </c>
      <c r="J806" s="225" t="s">
        <v>2486</v>
      </c>
      <c r="K806" s="225" t="s">
        <v>2358</v>
      </c>
      <c r="L806" s="51" t="s">
        <v>211</v>
      </c>
      <c r="M806" s="226" t="s">
        <v>22</v>
      </c>
      <c r="N806" s="226" t="s">
        <v>22</v>
      </c>
      <c r="O806" s="226" t="s">
        <v>3639</v>
      </c>
      <c r="P806" s="226" t="s">
        <v>3224</v>
      </c>
      <c r="Q806" s="226" t="s">
        <v>4036</v>
      </c>
      <c r="R806" s="227" t="s">
        <v>2562</v>
      </c>
      <c r="S806" s="225" t="s">
        <v>1640</v>
      </c>
      <c r="T806" s="228">
        <v>13810991205</v>
      </c>
      <c r="U806" s="225" t="s">
        <v>3173</v>
      </c>
      <c r="V806" s="225" t="s">
        <v>3174</v>
      </c>
      <c r="W806" s="229">
        <v>18501960583</v>
      </c>
      <c r="X806" s="230">
        <v>43252</v>
      </c>
      <c r="Y806" s="238" t="s">
        <v>27</v>
      </c>
      <c r="Z806" s="238" t="s">
        <v>27</v>
      </c>
      <c r="AA806" s="238" t="s">
        <v>27</v>
      </c>
      <c r="AB806" s="45" t="s">
        <v>2887</v>
      </c>
      <c r="AC806" s="169"/>
    </row>
    <row r="807" spans="1:29" s="68" customFormat="1" ht="15" hidden="1" customHeight="1">
      <c r="A807" s="226" t="s">
        <v>203</v>
      </c>
      <c r="B807" s="226" t="s">
        <v>1558</v>
      </c>
      <c r="C807" s="226" t="s">
        <v>27</v>
      </c>
      <c r="D807" s="226" t="s">
        <v>4443</v>
      </c>
      <c r="E807" s="226" t="s">
        <v>2008</v>
      </c>
      <c r="F807" s="226">
        <v>3316767</v>
      </c>
      <c r="G807" s="225" t="s">
        <v>4271</v>
      </c>
      <c r="H807" s="226" t="s">
        <v>20</v>
      </c>
      <c r="I807" s="225" t="s">
        <v>21</v>
      </c>
      <c r="J807" s="225" t="s">
        <v>209</v>
      </c>
      <c r="K807" s="225" t="s">
        <v>61</v>
      </c>
      <c r="L807" s="51" t="s">
        <v>211</v>
      </c>
      <c r="M807" s="226" t="s">
        <v>22</v>
      </c>
      <c r="N807" s="226" t="s">
        <v>22</v>
      </c>
      <c r="O807" s="226" t="s">
        <v>3639</v>
      </c>
      <c r="P807" s="226" t="s">
        <v>3324</v>
      </c>
      <c r="Q807" s="226" t="s">
        <v>4037</v>
      </c>
      <c r="R807" s="227" t="s">
        <v>3129</v>
      </c>
      <c r="S807" s="225" t="s">
        <v>3130</v>
      </c>
      <c r="T807" s="228">
        <v>13810500381</v>
      </c>
      <c r="U807" s="225" t="s">
        <v>1680</v>
      </c>
      <c r="V807" s="225" t="s">
        <v>2103</v>
      </c>
      <c r="W807" s="229"/>
      <c r="X807" s="230">
        <v>43217</v>
      </c>
      <c r="Y807" s="238" t="s">
        <v>27</v>
      </c>
      <c r="Z807" s="238" t="s">
        <v>27</v>
      </c>
      <c r="AA807" s="238" t="s">
        <v>27</v>
      </c>
      <c r="AB807" s="45" t="s">
        <v>2887</v>
      </c>
      <c r="AC807" s="169"/>
    </row>
    <row r="808" spans="1:29" s="68" customFormat="1" ht="15" hidden="1" customHeight="1">
      <c r="A808" s="226" t="s">
        <v>203</v>
      </c>
      <c r="B808" s="226" t="s">
        <v>3701</v>
      </c>
      <c r="C808" s="226" t="s">
        <v>27</v>
      </c>
      <c r="D808" s="226" t="s">
        <v>4443</v>
      </c>
      <c r="E808" s="226" t="s">
        <v>2008</v>
      </c>
      <c r="F808" s="226">
        <v>3316669</v>
      </c>
      <c r="G808" s="225" t="s">
        <v>4380</v>
      </c>
      <c r="H808" s="226" t="s">
        <v>20</v>
      </c>
      <c r="I808" s="227" t="s">
        <v>21</v>
      </c>
      <c r="J808" s="225" t="s">
        <v>209</v>
      </c>
      <c r="K808" s="225" t="s">
        <v>236</v>
      </c>
      <c r="L808" s="51" t="s">
        <v>211</v>
      </c>
      <c r="M808" s="226" t="s">
        <v>955</v>
      </c>
      <c r="N808" s="226" t="s">
        <v>22</v>
      </c>
      <c r="O808" s="226" t="s">
        <v>3639</v>
      </c>
      <c r="P808" s="226" t="s">
        <v>3392</v>
      </c>
      <c r="Q808" s="226" t="s">
        <v>4038</v>
      </c>
      <c r="R808" s="227" t="s">
        <v>3702</v>
      </c>
      <c r="S808" s="225" t="s">
        <v>3703</v>
      </c>
      <c r="T808" s="228">
        <v>13810013042</v>
      </c>
      <c r="U808" s="225" t="s">
        <v>3704</v>
      </c>
      <c r="V808" s="225" t="s">
        <v>3705</v>
      </c>
      <c r="W808" s="229"/>
      <c r="X808" s="230">
        <v>43255</v>
      </c>
      <c r="Y808" s="238" t="s">
        <v>27</v>
      </c>
      <c r="Z808" s="238" t="s">
        <v>27</v>
      </c>
      <c r="AA808" s="238" t="s">
        <v>27</v>
      </c>
      <c r="AB808" s="45" t="s">
        <v>2887</v>
      </c>
      <c r="AC808" s="169"/>
    </row>
    <row r="809" spans="1:29" s="68" customFormat="1" ht="15" hidden="1" customHeight="1">
      <c r="A809" s="226" t="s">
        <v>203</v>
      </c>
      <c r="B809" s="226" t="s">
        <v>1559</v>
      </c>
      <c r="C809" s="226" t="s">
        <v>27</v>
      </c>
      <c r="D809" s="226" t="s">
        <v>2658</v>
      </c>
      <c r="E809" s="226" t="s">
        <v>2008</v>
      </c>
      <c r="F809" s="226">
        <v>3299834</v>
      </c>
      <c r="G809" s="225" t="s">
        <v>4381</v>
      </c>
      <c r="H809" s="226" t="s">
        <v>20</v>
      </c>
      <c r="I809" s="227" t="s">
        <v>60</v>
      </c>
      <c r="J809" s="225" t="s">
        <v>2484</v>
      </c>
      <c r="K809" s="225" t="s">
        <v>4427</v>
      </c>
      <c r="L809" s="51" t="s">
        <v>211</v>
      </c>
      <c r="M809" s="226" t="s">
        <v>22</v>
      </c>
      <c r="N809" s="226" t="s">
        <v>22</v>
      </c>
      <c r="O809" s="226" t="s">
        <v>3639</v>
      </c>
      <c r="P809" s="226" t="s">
        <v>3261</v>
      </c>
      <c r="Q809" s="226" t="s">
        <v>4039</v>
      </c>
      <c r="R809" s="227" t="s">
        <v>2563</v>
      </c>
      <c r="S809" s="225" t="s">
        <v>1641</v>
      </c>
      <c r="T809" s="228">
        <v>13810545738</v>
      </c>
      <c r="U809" s="225" t="s">
        <v>3546</v>
      </c>
      <c r="V809" s="225" t="s">
        <v>3547</v>
      </c>
      <c r="W809" s="229">
        <v>13810019564</v>
      </c>
      <c r="X809" s="230">
        <v>43323</v>
      </c>
      <c r="Y809" s="238" t="s">
        <v>27</v>
      </c>
      <c r="Z809" s="238" t="s">
        <v>27</v>
      </c>
      <c r="AA809" s="238" t="s">
        <v>27</v>
      </c>
      <c r="AB809" s="45" t="s">
        <v>2887</v>
      </c>
      <c r="AC809" s="169"/>
    </row>
    <row r="810" spans="1:29" s="68" customFormat="1" ht="15" hidden="1" customHeight="1">
      <c r="A810" s="226" t="s">
        <v>203</v>
      </c>
      <c r="B810" s="226" t="s">
        <v>1560</v>
      </c>
      <c r="C810" s="226" t="s">
        <v>27</v>
      </c>
      <c r="D810" s="226" t="s">
        <v>2658</v>
      </c>
      <c r="E810" s="226" t="s">
        <v>2008</v>
      </c>
      <c r="F810" s="226">
        <v>3516348</v>
      </c>
      <c r="G810" s="225" t="s">
        <v>4382</v>
      </c>
      <c r="H810" s="226" t="s">
        <v>20</v>
      </c>
      <c r="I810" s="225" t="s">
        <v>60</v>
      </c>
      <c r="J810" s="225" t="s">
        <v>2485</v>
      </c>
      <c r="K810" s="225" t="s">
        <v>4426</v>
      </c>
      <c r="L810" s="51" t="s">
        <v>211</v>
      </c>
      <c r="M810" s="226" t="s">
        <v>22</v>
      </c>
      <c r="N810" s="226" t="s">
        <v>22</v>
      </c>
      <c r="O810" s="226" t="s">
        <v>3639</v>
      </c>
      <c r="P810" s="226" t="s">
        <v>3230</v>
      </c>
      <c r="Q810" s="226" t="s">
        <v>4040</v>
      </c>
      <c r="R810" s="227" t="s">
        <v>2564</v>
      </c>
      <c r="S810" s="225" t="s">
        <v>1642</v>
      </c>
      <c r="T810" s="228">
        <v>13167378873</v>
      </c>
      <c r="U810" s="225" t="s">
        <v>3548</v>
      </c>
      <c r="V810" s="225" t="s">
        <v>3549</v>
      </c>
      <c r="W810" s="229">
        <v>13810672895</v>
      </c>
      <c r="X810" s="230"/>
      <c r="Y810" s="238" t="s">
        <v>27</v>
      </c>
      <c r="Z810" s="238" t="s">
        <v>27</v>
      </c>
      <c r="AA810" s="238" t="s">
        <v>27</v>
      </c>
      <c r="AB810" s="45" t="s">
        <v>2887</v>
      </c>
      <c r="AC810" s="169"/>
    </row>
    <row r="811" spans="1:29" s="68" customFormat="1" ht="15" hidden="1" customHeight="1">
      <c r="A811" s="226" t="s">
        <v>203</v>
      </c>
      <c r="B811" s="226" t="s">
        <v>1099</v>
      </c>
      <c r="C811" s="226" t="s">
        <v>27</v>
      </c>
      <c r="D811" s="226" t="s">
        <v>2893</v>
      </c>
      <c r="E811" s="226" t="s">
        <v>2008</v>
      </c>
      <c r="F811" s="226">
        <v>3316648</v>
      </c>
      <c r="G811" s="225" t="s">
        <v>4383</v>
      </c>
      <c r="H811" s="226" t="s">
        <v>20</v>
      </c>
      <c r="I811" s="227" t="s">
        <v>60</v>
      </c>
      <c r="J811" s="225" t="s">
        <v>2484</v>
      </c>
      <c r="K811" s="225" t="s">
        <v>4427</v>
      </c>
      <c r="L811" s="51" t="s">
        <v>211</v>
      </c>
      <c r="M811" s="226" t="s">
        <v>22</v>
      </c>
      <c r="N811" s="226" t="s">
        <v>22</v>
      </c>
      <c r="O811" s="226" t="s">
        <v>3639</v>
      </c>
      <c r="P811" s="226" t="s">
        <v>3230</v>
      </c>
      <c r="Q811" s="226" t="s">
        <v>4041</v>
      </c>
      <c r="R811" s="227" t="s">
        <v>2565</v>
      </c>
      <c r="S811" s="225" t="s">
        <v>1100</v>
      </c>
      <c r="T811" s="228">
        <v>13810771157</v>
      </c>
      <c r="U811" s="225" t="s">
        <v>3550</v>
      </c>
      <c r="V811" s="225" t="s">
        <v>3551</v>
      </c>
      <c r="W811" s="229">
        <v>13810773160</v>
      </c>
      <c r="X811" s="230">
        <v>43334</v>
      </c>
      <c r="Y811" s="238" t="s">
        <v>27</v>
      </c>
      <c r="Z811" s="238" t="s">
        <v>27</v>
      </c>
      <c r="AA811" s="238" t="s">
        <v>27</v>
      </c>
      <c r="AB811" s="45" t="s">
        <v>2889</v>
      </c>
      <c r="AC811" s="169"/>
    </row>
    <row r="812" spans="1:29" s="68" customFormat="1" ht="15" hidden="1" customHeight="1">
      <c r="A812" s="226" t="s">
        <v>203</v>
      </c>
      <c r="B812" s="226" t="s">
        <v>1561</v>
      </c>
      <c r="C812" s="226" t="s">
        <v>22</v>
      </c>
      <c r="D812" s="226" t="s">
        <v>4443</v>
      </c>
      <c r="E812" s="226" t="s">
        <v>2008</v>
      </c>
      <c r="F812" s="226">
        <v>3316799</v>
      </c>
      <c r="G812" s="225" t="s">
        <v>4347</v>
      </c>
      <c r="H812" s="226" t="s">
        <v>20</v>
      </c>
      <c r="I812" s="225" t="s">
        <v>60</v>
      </c>
      <c r="J812" s="225" t="s">
        <v>2487</v>
      </c>
      <c r="K812" s="225" t="s">
        <v>2650</v>
      </c>
      <c r="L812" s="51" t="s">
        <v>211</v>
      </c>
      <c r="M812" s="226" t="s">
        <v>22</v>
      </c>
      <c r="N812" s="226" t="s">
        <v>27</v>
      </c>
      <c r="O812" s="226" t="s">
        <v>38</v>
      </c>
      <c r="P812" s="226" t="s">
        <v>3227</v>
      </c>
      <c r="Q812" s="226" t="s">
        <v>4042</v>
      </c>
      <c r="R812" s="227" t="s">
        <v>2566</v>
      </c>
      <c r="S812" s="225" t="s">
        <v>1643</v>
      </c>
      <c r="T812" s="228">
        <v>13910449749</v>
      </c>
      <c r="U812" s="225" t="s">
        <v>1109</v>
      </c>
      <c r="V812" s="225" t="s">
        <v>2105</v>
      </c>
      <c r="W812" s="229">
        <v>18911175846</v>
      </c>
      <c r="X812" s="230">
        <v>43334</v>
      </c>
      <c r="Y812" s="238" t="s">
        <v>27</v>
      </c>
      <c r="Z812" s="238" t="s">
        <v>27</v>
      </c>
      <c r="AA812" s="238" t="s">
        <v>27</v>
      </c>
      <c r="AB812" s="45" t="s">
        <v>2889</v>
      </c>
      <c r="AC812" s="169"/>
    </row>
    <row r="813" spans="1:29" s="68" customFormat="1" ht="15" hidden="1" customHeight="1">
      <c r="A813" s="226" t="s">
        <v>203</v>
      </c>
      <c r="B813" s="226" t="s">
        <v>1562</v>
      </c>
      <c r="C813" s="226" t="s">
        <v>27</v>
      </c>
      <c r="D813" s="226" t="s">
        <v>2893</v>
      </c>
      <c r="E813" s="226" t="s">
        <v>2008</v>
      </c>
      <c r="F813" s="226">
        <v>3316814</v>
      </c>
      <c r="G813" s="225" t="s">
        <v>4278</v>
      </c>
      <c r="H813" s="226" t="s">
        <v>20</v>
      </c>
      <c r="I813" s="225" t="s">
        <v>60</v>
      </c>
      <c r="J813" s="225" t="s">
        <v>2486</v>
      </c>
      <c r="K813" s="225" t="s">
        <v>2358</v>
      </c>
      <c r="L813" s="51" t="s">
        <v>211</v>
      </c>
      <c r="M813" s="226" t="s">
        <v>22</v>
      </c>
      <c r="N813" s="226" t="s">
        <v>22</v>
      </c>
      <c r="O813" s="226" t="s">
        <v>3639</v>
      </c>
      <c r="P813" s="226" t="s">
        <v>3211</v>
      </c>
      <c r="Q813" s="226" t="s">
        <v>4043</v>
      </c>
      <c r="R813" s="227" t="s">
        <v>2567</v>
      </c>
      <c r="S813" s="225" t="s">
        <v>1644</v>
      </c>
      <c r="T813" s="228">
        <v>13810154346</v>
      </c>
      <c r="U813" s="225" t="s">
        <v>3552</v>
      </c>
      <c r="V813" s="225" t="s">
        <v>3553</v>
      </c>
      <c r="W813" s="229">
        <v>15501061879</v>
      </c>
      <c r="X813" s="230"/>
      <c r="Y813" s="238" t="s">
        <v>27</v>
      </c>
      <c r="Z813" s="238" t="s">
        <v>27</v>
      </c>
      <c r="AA813" s="238" t="s">
        <v>27</v>
      </c>
      <c r="AB813" s="45" t="s">
        <v>2887</v>
      </c>
      <c r="AC813" s="169"/>
    </row>
    <row r="814" spans="1:29" s="68" customFormat="1" ht="15" hidden="1" customHeight="1">
      <c r="A814" s="226" t="s">
        <v>203</v>
      </c>
      <c r="B814" s="226" t="s">
        <v>1563</v>
      </c>
      <c r="C814" s="226" t="s">
        <v>27</v>
      </c>
      <c r="D814" s="226" t="s">
        <v>2658</v>
      </c>
      <c r="E814" s="226" t="s">
        <v>2008</v>
      </c>
      <c r="F814" s="226">
        <v>2250567</v>
      </c>
      <c r="G814" s="225" t="s">
        <v>4261</v>
      </c>
      <c r="H814" s="226" t="s">
        <v>20</v>
      </c>
      <c r="I814" s="227" t="s">
        <v>60</v>
      </c>
      <c r="J814" s="225" t="s">
        <v>2485</v>
      </c>
      <c r="K814" s="225" t="s">
        <v>4426</v>
      </c>
      <c r="L814" s="51" t="s">
        <v>211</v>
      </c>
      <c r="M814" s="226" t="s">
        <v>22</v>
      </c>
      <c r="N814" s="226" t="s">
        <v>22</v>
      </c>
      <c r="O814" s="226" t="s">
        <v>3639</v>
      </c>
      <c r="P814" s="226" t="s">
        <v>3211</v>
      </c>
      <c r="Q814" s="226" t="s">
        <v>4044</v>
      </c>
      <c r="R814" s="227" t="s">
        <v>2568</v>
      </c>
      <c r="S814" s="225" t="s">
        <v>1645</v>
      </c>
      <c r="T814" s="228">
        <v>18519332575</v>
      </c>
      <c r="U814" s="225" t="s">
        <v>3554</v>
      </c>
      <c r="V814" s="225" t="s">
        <v>3555</v>
      </c>
      <c r="W814" s="229">
        <v>13810331604</v>
      </c>
      <c r="X814" s="230">
        <v>43323</v>
      </c>
      <c r="Y814" s="238" t="s">
        <v>27</v>
      </c>
      <c r="Z814" s="238" t="s">
        <v>27</v>
      </c>
      <c r="AA814" s="238" t="s">
        <v>27</v>
      </c>
      <c r="AB814" s="45" t="s">
        <v>2887</v>
      </c>
      <c r="AC814" s="169"/>
    </row>
    <row r="815" spans="1:29" s="68" customFormat="1" ht="15" hidden="1" customHeight="1">
      <c r="A815" s="226" t="s">
        <v>203</v>
      </c>
      <c r="B815" s="226" t="s">
        <v>1564</v>
      </c>
      <c r="C815" s="226" t="s">
        <v>27</v>
      </c>
      <c r="D815" s="226" t="s">
        <v>2658</v>
      </c>
      <c r="E815" s="226" t="s">
        <v>2008</v>
      </c>
      <c r="F815" s="226">
        <v>3516354</v>
      </c>
      <c r="G815" s="225" t="s">
        <v>4381</v>
      </c>
      <c r="H815" s="226" t="s">
        <v>20</v>
      </c>
      <c r="I815" s="225" t="s">
        <v>60</v>
      </c>
      <c r="J815" s="225" t="s">
        <v>2501</v>
      </c>
      <c r="K815" s="225" t="s">
        <v>4445</v>
      </c>
      <c r="L815" s="51" t="s">
        <v>211</v>
      </c>
      <c r="M815" s="226" t="s">
        <v>22</v>
      </c>
      <c r="N815" s="226" t="s">
        <v>27</v>
      </c>
      <c r="O815" s="226" t="s">
        <v>3639</v>
      </c>
      <c r="P815" s="226" t="s">
        <v>3276</v>
      </c>
      <c r="Q815" s="226" t="s">
        <v>4045</v>
      </c>
      <c r="R815" s="227" t="s">
        <v>2569</v>
      </c>
      <c r="S815" s="225" t="s">
        <v>1646</v>
      </c>
      <c r="T815" s="228">
        <v>18010341447</v>
      </c>
      <c r="U815" s="225" t="s">
        <v>3556</v>
      </c>
      <c r="V815" s="225" t="s">
        <v>3557</v>
      </c>
      <c r="W815" s="229">
        <v>13810609301</v>
      </c>
      <c r="X815" s="230"/>
      <c r="Y815" s="238" t="s">
        <v>27</v>
      </c>
      <c r="Z815" s="238" t="s">
        <v>27</v>
      </c>
      <c r="AA815" s="238" t="s">
        <v>27</v>
      </c>
      <c r="AB815" s="45" t="s">
        <v>2887</v>
      </c>
      <c r="AC815" s="169"/>
    </row>
    <row r="816" spans="1:29" s="68" customFormat="1" ht="15" hidden="1" customHeight="1">
      <c r="A816" s="226" t="s">
        <v>203</v>
      </c>
      <c r="B816" s="226" t="s">
        <v>1565</v>
      </c>
      <c r="C816" s="226" t="s">
        <v>27</v>
      </c>
      <c r="D816" s="226" t="s">
        <v>2658</v>
      </c>
      <c r="E816" s="226" t="s">
        <v>2008</v>
      </c>
      <c r="F816" s="226">
        <v>3516386</v>
      </c>
      <c r="G816" s="225" t="s">
        <v>4250</v>
      </c>
      <c r="H816" s="226" t="s">
        <v>20</v>
      </c>
      <c r="I816" s="225" t="s">
        <v>60</v>
      </c>
      <c r="J816" s="225" t="s">
        <v>2486</v>
      </c>
      <c r="K816" s="225" t="s">
        <v>2358</v>
      </c>
      <c r="L816" s="51" t="s">
        <v>211</v>
      </c>
      <c r="M816" s="226" t="s">
        <v>22</v>
      </c>
      <c r="N816" s="226" t="s">
        <v>22</v>
      </c>
      <c r="O816" s="226" t="s">
        <v>3639</v>
      </c>
      <c r="P816" s="226" t="s">
        <v>3224</v>
      </c>
      <c r="Q816" s="226" t="s">
        <v>4046</v>
      </c>
      <c r="R816" s="227" t="s">
        <v>2570</v>
      </c>
      <c r="S816" s="225" t="s">
        <v>1647</v>
      </c>
      <c r="T816" s="228">
        <v>13810012748</v>
      </c>
      <c r="U816" s="225" t="s">
        <v>3558</v>
      </c>
      <c r="V816" s="225" t="s">
        <v>3559</v>
      </c>
      <c r="W816" s="229">
        <v>15652478763</v>
      </c>
      <c r="X816" s="230">
        <v>43197</v>
      </c>
      <c r="Y816" s="238" t="s">
        <v>27</v>
      </c>
      <c r="Z816" s="238" t="s">
        <v>27</v>
      </c>
      <c r="AA816" s="238" t="s">
        <v>27</v>
      </c>
      <c r="AB816" s="45" t="s">
        <v>2887</v>
      </c>
      <c r="AC816" s="169"/>
    </row>
    <row r="817" spans="1:29" s="68" customFormat="1" ht="15" hidden="1" customHeight="1">
      <c r="A817" s="226" t="s">
        <v>203</v>
      </c>
      <c r="B817" s="226" t="s">
        <v>1566</v>
      </c>
      <c r="C817" s="226" t="s">
        <v>27</v>
      </c>
      <c r="D817" s="226" t="s">
        <v>2658</v>
      </c>
      <c r="E817" s="226" t="s">
        <v>2008</v>
      </c>
      <c r="F817" s="226">
        <v>3516401</v>
      </c>
      <c r="G817" s="225" t="s">
        <v>4342</v>
      </c>
      <c r="H817" s="226" t="s">
        <v>20</v>
      </c>
      <c r="I817" s="225" t="s">
        <v>60</v>
      </c>
      <c r="J817" s="225" t="s">
        <v>2487</v>
      </c>
      <c r="K817" s="225" t="s">
        <v>2650</v>
      </c>
      <c r="L817" s="51" t="s">
        <v>211</v>
      </c>
      <c r="M817" s="226" t="s">
        <v>22</v>
      </c>
      <c r="N817" s="226" t="s">
        <v>27</v>
      </c>
      <c r="O817" s="226" t="s">
        <v>3639</v>
      </c>
      <c r="P817" s="226" t="s">
        <v>3208</v>
      </c>
      <c r="Q817" s="226" t="s">
        <v>4047</v>
      </c>
      <c r="R817" s="227" t="s">
        <v>2571</v>
      </c>
      <c r="S817" s="225" t="s">
        <v>1648</v>
      </c>
      <c r="T817" s="228">
        <v>13810269346</v>
      </c>
      <c r="U817" s="225" t="s">
        <v>1079</v>
      </c>
      <c r="V817" s="225" t="s">
        <v>2054</v>
      </c>
      <c r="W817" s="229">
        <v>18911124216</v>
      </c>
      <c r="X817" s="230">
        <v>43252</v>
      </c>
      <c r="Y817" s="238" t="s">
        <v>27</v>
      </c>
      <c r="Z817" s="238" t="s">
        <v>27</v>
      </c>
      <c r="AA817" s="238" t="s">
        <v>27</v>
      </c>
      <c r="AB817" s="45" t="s">
        <v>2889</v>
      </c>
      <c r="AC817" s="169"/>
    </row>
    <row r="818" spans="1:29" s="68" customFormat="1" ht="15" hidden="1" customHeight="1">
      <c r="A818" s="226" t="s">
        <v>203</v>
      </c>
      <c r="B818" s="226" t="s">
        <v>1567</v>
      </c>
      <c r="C818" s="226" t="s">
        <v>27</v>
      </c>
      <c r="D818" s="226" t="s">
        <v>2658</v>
      </c>
      <c r="E818" s="226" t="s">
        <v>2008</v>
      </c>
      <c r="F818" s="226">
        <v>3299557</v>
      </c>
      <c r="G818" s="225" t="s">
        <v>4384</v>
      </c>
      <c r="H818" s="226" t="s">
        <v>20</v>
      </c>
      <c r="I818" s="225" t="s">
        <v>60</v>
      </c>
      <c r="J818" s="225" t="s">
        <v>2501</v>
      </c>
      <c r="K818" s="225" t="s">
        <v>2649</v>
      </c>
      <c r="L818" s="51" t="s">
        <v>211</v>
      </c>
      <c r="M818" s="226" t="s">
        <v>22</v>
      </c>
      <c r="N818" s="226" t="s">
        <v>27</v>
      </c>
      <c r="O818" s="226" t="s">
        <v>3639</v>
      </c>
      <c r="P818" s="226" t="s">
        <v>3392</v>
      </c>
      <c r="Q818" s="226" t="s">
        <v>4048</v>
      </c>
      <c r="R818" s="227" t="s">
        <v>2572</v>
      </c>
      <c r="S818" s="225" t="s">
        <v>2573</v>
      </c>
      <c r="T818" s="228">
        <v>18911034315</v>
      </c>
      <c r="U818" s="225" t="s">
        <v>3560</v>
      </c>
      <c r="V818" s="225" t="s">
        <v>3561</v>
      </c>
      <c r="W818" s="229">
        <v>13810753202</v>
      </c>
      <c r="X818" s="230">
        <v>43200</v>
      </c>
      <c r="Y818" s="238" t="s">
        <v>27</v>
      </c>
      <c r="Z818" s="238" t="s">
        <v>27</v>
      </c>
      <c r="AA818" s="238" t="s">
        <v>27</v>
      </c>
      <c r="AB818" s="45" t="s">
        <v>2889</v>
      </c>
      <c r="AC818" s="169"/>
    </row>
    <row r="819" spans="1:29" s="68" customFormat="1" ht="15" hidden="1" customHeight="1">
      <c r="A819" s="226" t="s">
        <v>203</v>
      </c>
      <c r="B819" s="226" t="s">
        <v>1568</v>
      </c>
      <c r="C819" s="226" t="s">
        <v>27</v>
      </c>
      <c r="D819" s="226" t="s">
        <v>2658</v>
      </c>
      <c r="E819" s="226" t="s">
        <v>2008</v>
      </c>
      <c r="F819" s="226">
        <v>3516435</v>
      </c>
      <c r="G819" s="225" t="s">
        <v>4384</v>
      </c>
      <c r="H819" s="226" t="s">
        <v>20</v>
      </c>
      <c r="I819" s="225" t="s">
        <v>60</v>
      </c>
      <c r="J819" s="225" t="s">
        <v>2501</v>
      </c>
      <c r="K819" s="225" t="s">
        <v>2649</v>
      </c>
      <c r="L819" s="51" t="s">
        <v>211</v>
      </c>
      <c r="M819" s="226" t="s">
        <v>22</v>
      </c>
      <c r="N819" s="226" t="s">
        <v>27</v>
      </c>
      <c r="O819" s="226" t="s">
        <v>3639</v>
      </c>
      <c r="P819" s="226" t="s">
        <v>3208</v>
      </c>
      <c r="Q819" s="226" t="s">
        <v>4049</v>
      </c>
      <c r="R819" s="227" t="s">
        <v>2574</v>
      </c>
      <c r="S819" s="225" t="s">
        <v>2575</v>
      </c>
      <c r="T819" s="228">
        <v>18010341437</v>
      </c>
      <c r="U819" s="225" t="s">
        <v>1084</v>
      </c>
      <c r="V819" s="225" t="s">
        <v>2041</v>
      </c>
      <c r="W819" s="229">
        <v>13810163971</v>
      </c>
      <c r="X819" s="230">
        <v>43200</v>
      </c>
      <c r="Y819" s="238" t="s">
        <v>27</v>
      </c>
      <c r="Z819" s="238" t="s">
        <v>27</v>
      </c>
      <c r="AA819" s="238" t="s">
        <v>27</v>
      </c>
      <c r="AB819" s="45" t="s">
        <v>2887</v>
      </c>
      <c r="AC819" s="169"/>
    </row>
    <row r="820" spans="1:29" s="68" customFormat="1" ht="15" hidden="1" customHeight="1">
      <c r="A820" s="226" t="s">
        <v>203</v>
      </c>
      <c r="B820" s="226" t="s">
        <v>1569</v>
      </c>
      <c r="C820" s="226" t="s">
        <v>27</v>
      </c>
      <c r="D820" s="226" t="s">
        <v>4444</v>
      </c>
      <c r="E820" s="226" t="s">
        <v>2008</v>
      </c>
      <c r="F820" s="226">
        <v>3516394</v>
      </c>
      <c r="G820" s="225" t="s">
        <v>4385</v>
      </c>
      <c r="H820" s="226" t="s">
        <v>20</v>
      </c>
      <c r="I820" s="225" t="s">
        <v>21</v>
      </c>
      <c r="J820" s="225" t="s">
        <v>1587</v>
      </c>
      <c r="K820" s="225" t="s">
        <v>206</v>
      </c>
      <c r="L820" s="51" t="s">
        <v>211</v>
      </c>
      <c r="M820" s="226" t="s">
        <v>22</v>
      </c>
      <c r="N820" s="226" t="s">
        <v>22</v>
      </c>
      <c r="O820" s="226" t="s">
        <v>27</v>
      </c>
      <c r="P820" s="226" t="s">
        <v>3870</v>
      </c>
      <c r="Q820" s="226" t="s">
        <v>4050</v>
      </c>
      <c r="R820" s="227" t="s">
        <v>3562</v>
      </c>
      <c r="S820" s="225" t="s">
        <v>3563</v>
      </c>
      <c r="T820" s="228">
        <v>18900670333</v>
      </c>
      <c r="U820" s="225" t="s">
        <v>3564</v>
      </c>
      <c r="V820" s="225" t="s">
        <v>3565</v>
      </c>
      <c r="W820" s="229"/>
      <c r="X820" s="230"/>
      <c r="Y820" s="238" t="s">
        <v>27</v>
      </c>
      <c r="Z820" s="238" t="s">
        <v>27</v>
      </c>
      <c r="AA820" s="238" t="s">
        <v>27</v>
      </c>
      <c r="AB820" s="45" t="s">
        <v>2888</v>
      </c>
      <c r="AC820" s="169"/>
    </row>
    <row r="821" spans="1:29" s="68" customFormat="1" ht="15" hidden="1" customHeight="1">
      <c r="A821" s="226" t="s">
        <v>203</v>
      </c>
      <c r="B821" s="226" t="s">
        <v>1570</v>
      </c>
      <c r="C821" s="226" t="s">
        <v>22</v>
      </c>
      <c r="D821" s="226" t="s">
        <v>2893</v>
      </c>
      <c r="E821" s="226" t="s">
        <v>2008</v>
      </c>
      <c r="F821" s="226">
        <v>3316661</v>
      </c>
      <c r="G821" s="225" t="s">
        <v>4386</v>
      </c>
      <c r="H821" s="226" t="s">
        <v>20</v>
      </c>
      <c r="I821" s="225" t="s">
        <v>60</v>
      </c>
      <c r="J821" s="225" t="s">
        <v>2487</v>
      </c>
      <c r="K821" s="225" t="s">
        <v>2650</v>
      </c>
      <c r="L821" s="51" t="s">
        <v>211</v>
      </c>
      <c r="M821" s="226" t="s">
        <v>22</v>
      </c>
      <c r="N821" s="226" t="s">
        <v>27</v>
      </c>
      <c r="O821" s="226" t="s">
        <v>38</v>
      </c>
      <c r="P821" s="226" t="s">
        <v>3204</v>
      </c>
      <c r="Q821" s="226" t="s">
        <v>4051</v>
      </c>
      <c r="R821" s="227" t="s">
        <v>2967</v>
      </c>
      <c r="S821" s="225" t="s">
        <v>2968</v>
      </c>
      <c r="T821" s="228">
        <v>13810274074</v>
      </c>
      <c r="U821" s="225" t="s">
        <v>3566</v>
      </c>
      <c r="V821" s="225" t="s">
        <v>3567</v>
      </c>
      <c r="W821" s="229">
        <v>18911034365</v>
      </c>
      <c r="X821" s="230">
        <v>43334</v>
      </c>
      <c r="Y821" s="238" t="s">
        <v>27</v>
      </c>
      <c r="Z821" s="238" t="s">
        <v>27</v>
      </c>
      <c r="AA821" s="238" t="s">
        <v>27</v>
      </c>
      <c r="AB821" s="45" t="s">
        <v>2887</v>
      </c>
      <c r="AC821" s="169"/>
    </row>
    <row r="822" spans="1:29" s="68" customFormat="1" ht="15" hidden="1" customHeight="1">
      <c r="A822" s="226" t="s">
        <v>203</v>
      </c>
      <c r="B822" s="226" t="s">
        <v>3706</v>
      </c>
      <c r="C822" s="226" t="s">
        <v>27</v>
      </c>
      <c r="D822" s="226" t="s">
        <v>4443</v>
      </c>
      <c r="E822" s="226" t="s">
        <v>2008</v>
      </c>
      <c r="F822" s="226">
        <v>3299695</v>
      </c>
      <c r="G822" s="225" t="s">
        <v>4380</v>
      </c>
      <c r="H822" s="226" t="s">
        <v>20</v>
      </c>
      <c r="I822" s="225" t="s">
        <v>21</v>
      </c>
      <c r="J822" s="225" t="s">
        <v>209</v>
      </c>
      <c r="K822" s="225" t="s">
        <v>236</v>
      </c>
      <c r="L822" s="51" t="s">
        <v>211</v>
      </c>
      <c r="M822" s="226" t="s">
        <v>22</v>
      </c>
      <c r="N822" s="226" t="s">
        <v>22</v>
      </c>
      <c r="O822" s="226" t="s">
        <v>3639</v>
      </c>
      <c r="P822" s="226" t="s">
        <v>3392</v>
      </c>
      <c r="Q822" s="226" t="s">
        <v>4052</v>
      </c>
      <c r="R822" s="227" t="s">
        <v>3707</v>
      </c>
      <c r="S822" s="225" t="s">
        <v>3708</v>
      </c>
      <c r="T822" s="228">
        <v>13810013224</v>
      </c>
      <c r="U822" s="225" t="s">
        <v>3709</v>
      </c>
      <c r="V822" s="225" t="s">
        <v>3710</v>
      </c>
      <c r="W822" s="229"/>
      <c r="X822" s="230">
        <v>43255</v>
      </c>
      <c r="Y822" s="238" t="s">
        <v>27</v>
      </c>
      <c r="Z822" s="238" t="s">
        <v>27</v>
      </c>
      <c r="AA822" s="238" t="s">
        <v>27</v>
      </c>
      <c r="AB822" s="45" t="s">
        <v>2887</v>
      </c>
      <c r="AC822" s="169"/>
    </row>
    <row r="823" spans="1:29" s="68" customFormat="1" ht="15" hidden="1" customHeight="1">
      <c r="A823" s="226" t="s">
        <v>203</v>
      </c>
      <c r="B823" s="226" t="s">
        <v>4222</v>
      </c>
      <c r="C823" s="226" t="s">
        <v>27</v>
      </c>
      <c r="D823" s="226" t="s">
        <v>2658</v>
      </c>
      <c r="E823" s="226" t="s">
        <v>2008</v>
      </c>
      <c r="F823" s="226">
        <v>2510671</v>
      </c>
      <c r="G823" s="225" t="s">
        <v>4387</v>
      </c>
      <c r="H823" s="226" t="s">
        <v>20</v>
      </c>
      <c r="I823" s="227" t="s">
        <v>21</v>
      </c>
      <c r="J823" s="225" t="s">
        <v>204</v>
      </c>
      <c r="K823" s="225" t="s">
        <v>206</v>
      </c>
      <c r="L823" s="51" t="s">
        <v>2351</v>
      </c>
      <c r="M823" s="226" t="s">
        <v>27</v>
      </c>
      <c r="N823" s="226" t="s">
        <v>27</v>
      </c>
      <c r="O823" s="226" t="s">
        <v>3639</v>
      </c>
      <c r="P823" s="226" t="e">
        <v>#N/A</v>
      </c>
      <c r="Q823" s="226"/>
      <c r="R823" s="227" t="s">
        <v>3568</v>
      </c>
      <c r="S823" s="225" t="s">
        <v>3569</v>
      </c>
      <c r="T823" s="228">
        <v>18101234774</v>
      </c>
      <c r="U823" s="225" t="s">
        <v>1093</v>
      </c>
      <c r="V823" s="225" t="s">
        <v>2109</v>
      </c>
      <c r="W823" s="229"/>
      <c r="X823" s="230">
        <v>43224</v>
      </c>
      <c r="Y823" s="238" t="s">
        <v>27</v>
      </c>
      <c r="Z823" s="238" t="s">
        <v>27</v>
      </c>
      <c r="AA823" s="238" t="s">
        <v>27</v>
      </c>
      <c r="AB823" s="45" t="s">
        <v>2887</v>
      </c>
      <c r="AC823" s="169"/>
    </row>
    <row r="824" spans="1:29" s="68" customFormat="1" ht="15" hidden="1" customHeight="1">
      <c r="A824" s="226" t="s">
        <v>203</v>
      </c>
      <c r="B824" s="226" t="s">
        <v>1571</v>
      </c>
      <c r="C824" s="226" t="s">
        <v>27</v>
      </c>
      <c r="D824" s="226" t="s">
        <v>2658</v>
      </c>
      <c r="E824" s="226" t="s">
        <v>2008</v>
      </c>
      <c r="F824" s="226">
        <v>3299704</v>
      </c>
      <c r="G824" s="225" t="s">
        <v>4382</v>
      </c>
      <c r="H824" s="226" t="s">
        <v>20</v>
      </c>
      <c r="I824" s="227" t="s">
        <v>60</v>
      </c>
      <c r="J824" s="225" t="s">
        <v>2484</v>
      </c>
      <c r="K824" s="225" t="s">
        <v>4427</v>
      </c>
      <c r="L824" s="51" t="s">
        <v>211</v>
      </c>
      <c r="M824" s="226" t="s">
        <v>22</v>
      </c>
      <c r="N824" s="226" t="s">
        <v>22</v>
      </c>
      <c r="O824" s="226" t="s">
        <v>3639</v>
      </c>
      <c r="P824" s="226" t="s">
        <v>3261</v>
      </c>
      <c r="Q824" s="226" t="s">
        <v>4053</v>
      </c>
      <c r="R824" s="227" t="s">
        <v>2576</v>
      </c>
      <c r="S824" s="225" t="s">
        <v>1649</v>
      </c>
      <c r="T824" s="228">
        <v>13910438667</v>
      </c>
      <c r="U824" s="225" t="s">
        <v>3570</v>
      </c>
      <c r="V824" s="225" t="s">
        <v>3571</v>
      </c>
      <c r="W824" s="229">
        <v>13810024314</v>
      </c>
      <c r="X824" s="230">
        <v>43328</v>
      </c>
      <c r="Y824" s="238" t="s">
        <v>27</v>
      </c>
      <c r="Z824" s="238" t="s">
        <v>27</v>
      </c>
      <c r="AA824" s="238" t="s">
        <v>27</v>
      </c>
      <c r="AB824" s="45" t="s">
        <v>2887</v>
      </c>
      <c r="AC824" s="169"/>
    </row>
    <row r="825" spans="1:29" s="68" customFormat="1" ht="15" hidden="1" customHeight="1">
      <c r="A825" s="226" t="s">
        <v>203</v>
      </c>
      <c r="B825" s="226" t="s">
        <v>3711</v>
      </c>
      <c r="C825" s="226" t="s">
        <v>27</v>
      </c>
      <c r="D825" s="226" t="s">
        <v>2893</v>
      </c>
      <c r="E825" s="226" t="s">
        <v>2008</v>
      </c>
      <c r="F825" s="226">
        <v>2510699</v>
      </c>
      <c r="G825" s="225" t="s">
        <v>4379</v>
      </c>
      <c r="H825" s="226" t="s">
        <v>20</v>
      </c>
      <c r="I825" s="225" t="s">
        <v>60</v>
      </c>
      <c r="J825" s="225" t="s">
        <v>2501</v>
      </c>
      <c r="K825" s="225" t="s">
        <v>2649</v>
      </c>
      <c r="L825" s="51" t="s">
        <v>211</v>
      </c>
      <c r="M825" s="226" t="s">
        <v>22</v>
      </c>
      <c r="N825" s="226" t="s">
        <v>27</v>
      </c>
      <c r="O825" s="226" t="s">
        <v>3639</v>
      </c>
      <c r="P825" s="226" t="s">
        <v>3261</v>
      </c>
      <c r="Q825" s="226" t="s">
        <v>4054</v>
      </c>
      <c r="R825" s="227" t="s">
        <v>2560</v>
      </c>
      <c r="S825" s="225" t="s">
        <v>1638</v>
      </c>
      <c r="T825" s="228">
        <v>18911034363</v>
      </c>
      <c r="U825" s="225" t="s">
        <v>1678</v>
      </c>
      <c r="V825" s="225" t="s">
        <v>2101</v>
      </c>
      <c r="W825" s="229">
        <v>13811077820</v>
      </c>
      <c r="X825" s="230">
        <v>43263</v>
      </c>
      <c r="Y825" s="238" t="s">
        <v>27</v>
      </c>
      <c r="Z825" s="238" t="s">
        <v>27</v>
      </c>
      <c r="AA825" s="238" t="s">
        <v>27</v>
      </c>
      <c r="AB825" s="45" t="s">
        <v>2887</v>
      </c>
      <c r="AC825" s="169"/>
    </row>
    <row r="826" spans="1:29" s="68" customFormat="1" ht="15" hidden="1" customHeight="1">
      <c r="A826" s="226" t="s">
        <v>203</v>
      </c>
      <c r="B826" s="226" t="s">
        <v>1572</v>
      </c>
      <c r="C826" s="226" t="s">
        <v>27</v>
      </c>
      <c r="D826" s="226" t="s">
        <v>2893</v>
      </c>
      <c r="E826" s="226" t="s">
        <v>2008</v>
      </c>
      <c r="F826" s="226">
        <v>2510679</v>
      </c>
      <c r="G826" s="225" t="s">
        <v>4339</v>
      </c>
      <c r="H826" s="226" t="s">
        <v>20</v>
      </c>
      <c r="I826" s="227" t="s">
        <v>60</v>
      </c>
      <c r="J826" s="225" t="s">
        <v>2486</v>
      </c>
      <c r="K826" s="225" t="s">
        <v>2651</v>
      </c>
      <c r="L826" s="51" t="s">
        <v>211</v>
      </c>
      <c r="M826" s="226" t="s">
        <v>22</v>
      </c>
      <c r="N826" s="226" t="s">
        <v>22</v>
      </c>
      <c r="O826" s="226" t="s">
        <v>3639</v>
      </c>
      <c r="P826" s="226" t="s">
        <v>3211</v>
      </c>
      <c r="Q826" s="226" t="s">
        <v>4055</v>
      </c>
      <c r="R826" s="227" t="s">
        <v>2577</v>
      </c>
      <c r="S826" s="225" t="s">
        <v>1650</v>
      </c>
      <c r="T826" s="228">
        <v>13810503592</v>
      </c>
      <c r="U826" s="225" t="s">
        <v>1115</v>
      </c>
      <c r="V826" s="225" t="s">
        <v>2110</v>
      </c>
      <c r="W826" s="229">
        <v>13220103536</v>
      </c>
      <c r="X826" s="230">
        <v>43334</v>
      </c>
      <c r="Y826" s="238" t="s">
        <v>27</v>
      </c>
      <c r="Z826" s="238" t="s">
        <v>27</v>
      </c>
      <c r="AA826" s="238" t="s">
        <v>27</v>
      </c>
      <c r="AB826" s="45" t="s">
        <v>2887</v>
      </c>
      <c r="AC826" s="169"/>
    </row>
    <row r="827" spans="1:29" s="68" customFormat="1" ht="15" hidden="1" customHeight="1">
      <c r="A827" s="226" t="s">
        <v>203</v>
      </c>
      <c r="B827" s="226" t="s">
        <v>1102</v>
      </c>
      <c r="C827" s="226" t="s">
        <v>27</v>
      </c>
      <c r="D827" s="226" t="s">
        <v>2658</v>
      </c>
      <c r="E827" s="226" t="s">
        <v>2008</v>
      </c>
      <c r="F827" s="226">
        <v>2510809</v>
      </c>
      <c r="G827" s="225" t="s">
        <v>4313</v>
      </c>
      <c r="H827" s="226" t="s">
        <v>20</v>
      </c>
      <c r="I827" s="225" t="s">
        <v>60</v>
      </c>
      <c r="J827" s="225" t="s">
        <v>2485</v>
      </c>
      <c r="K827" s="225" t="s">
        <v>2429</v>
      </c>
      <c r="L827" s="51" t="s">
        <v>211</v>
      </c>
      <c r="M827" s="226" t="s">
        <v>22</v>
      </c>
      <c r="N827" s="226" t="s">
        <v>22</v>
      </c>
      <c r="O827" s="226" t="s">
        <v>3639</v>
      </c>
      <c r="P827" s="226" t="s">
        <v>3230</v>
      </c>
      <c r="Q827" s="226" t="s">
        <v>4056</v>
      </c>
      <c r="R827" s="227" t="s">
        <v>2578</v>
      </c>
      <c r="S827" s="225" t="s">
        <v>1103</v>
      </c>
      <c r="T827" s="228">
        <v>15652449018</v>
      </c>
      <c r="U827" s="225" t="s">
        <v>1119</v>
      </c>
      <c r="V827" s="225" t="s">
        <v>2114</v>
      </c>
      <c r="W827" s="229">
        <v>13810147974</v>
      </c>
      <c r="X827" s="230">
        <v>43197</v>
      </c>
      <c r="Y827" s="238" t="s">
        <v>27</v>
      </c>
      <c r="Z827" s="238" t="s">
        <v>27</v>
      </c>
      <c r="AA827" s="238" t="s">
        <v>27</v>
      </c>
      <c r="AB827" s="45" t="s">
        <v>2887</v>
      </c>
      <c r="AC827" s="169"/>
    </row>
    <row r="828" spans="1:29" s="68" customFormat="1" ht="15" hidden="1" customHeight="1">
      <c r="A828" s="226" t="s">
        <v>203</v>
      </c>
      <c r="B828" s="226" t="s">
        <v>1573</v>
      </c>
      <c r="C828" s="226" t="s">
        <v>27</v>
      </c>
      <c r="D828" s="226" t="s">
        <v>2658</v>
      </c>
      <c r="E828" s="226" t="s">
        <v>2008</v>
      </c>
      <c r="F828" s="226">
        <v>2510861</v>
      </c>
      <c r="G828" s="225" t="s">
        <v>4388</v>
      </c>
      <c r="H828" s="226" t="s">
        <v>20</v>
      </c>
      <c r="I828" s="225" t="s">
        <v>60</v>
      </c>
      <c r="J828" s="225" t="s">
        <v>2486</v>
      </c>
      <c r="K828" s="225" t="s">
        <v>2358</v>
      </c>
      <c r="L828" s="51" t="s">
        <v>211</v>
      </c>
      <c r="M828" s="226" t="s">
        <v>22</v>
      </c>
      <c r="N828" s="226" t="s">
        <v>22</v>
      </c>
      <c r="O828" s="226" t="s">
        <v>3639</v>
      </c>
      <c r="P828" s="226" t="s">
        <v>3218</v>
      </c>
      <c r="Q828" s="226" t="s">
        <v>4057</v>
      </c>
      <c r="R828" s="227" t="s">
        <v>2579</v>
      </c>
      <c r="S828" s="225" t="s">
        <v>1651</v>
      </c>
      <c r="T828" s="228">
        <v>13810857613</v>
      </c>
      <c r="U828" s="225" t="s">
        <v>1112</v>
      </c>
      <c r="V828" s="225" t="s">
        <v>2106</v>
      </c>
      <c r="W828" s="229">
        <v>18519789075</v>
      </c>
      <c r="X828" s="230">
        <v>43252</v>
      </c>
      <c r="Y828" s="238" t="s">
        <v>27</v>
      </c>
      <c r="Z828" s="238" t="s">
        <v>27</v>
      </c>
      <c r="AA828" s="238" t="s">
        <v>27</v>
      </c>
      <c r="AB828" s="204" t="s">
        <v>2889</v>
      </c>
      <c r="AC828" s="169"/>
    </row>
    <row r="829" spans="1:29" s="68" customFormat="1" ht="15" hidden="1" customHeight="1">
      <c r="A829" s="226" t="s">
        <v>203</v>
      </c>
      <c r="B829" s="226" t="s">
        <v>1107</v>
      </c>
      <c r="C829" s="226" t="s">
        <v>27</v>
      </c>
      <c r="D829" s="226" t="s">
        <v>2893</v>
      </c>
      <c r="E829" s="226" t="s">
        <v>2008</v>
      </c>
      <c r="F829" s="226">
        <v>2510905</v>
      </c>
      <c r="G829" s="225" t="s">
        <v>4363</v>
      </c>
      <c r="H829" s="226" t="s">
        <v>20</v>
      </c>
      <c r="I829" s="225" t="s">
        <v>60</v>
      </c>
      <c r="J829" s="225" t="s">
        <v>2487</v>
      </c>
      <c r="K829" s="225" t="s">
        <v>2650</v>
      </c>
      <c r="L829" s="51" t="s">
        <v>211</v>
      </c>
      <c r="M829" s="226" t="s">
        <v>22</v>
      </c>
      <c r="N829" s="226" t="s">
        <v>27</v>
      </c>
      <c r="O829" s="226" t="s">
        <v>3639</v>
      </c>
      <c r="P829" s="226" t="s">
        <v>3261</v>
      </c>
      <c r="Q829" s="226" t="s">
        <v>4058</v>
      </c>
      <c r="R829" s="227" t="s">
        <v>2580</v>
      </c>
      <c r="S829" s="225" t="s">
        <v>1108</v>
      </c>
      <c r="T829" s="228">
        <v>13810259675</v>
      </c>
      <c r="U829" s="225" t="s">
        <v>3572</v>
      </c>
      <c r="V829" s="225" t="s">
        <v>3573</v>
      </c>
      <c r="W829" s="229">
        <v>13331048797</v>
      </c>
      <c r="X829" s="230">
        <v>43200</v>
      </c>
      <c r="Y829" s="238" t="s">
        <v>27</v>
      </c>
      <c r="Z829" s="238" t="s">
        <v>27</v>
      </c>
      <c r="AA829" s="238" t="s">
        <v>27</v>
      </c>
      <c r="AB829" s="45" t="s">
        <v>2887</v>
      </c>
      <c r="AC829" s="169"/>
    </row>
    <row r="830" spans="1:29" s="68" customFormat="1" ht="15" hidden="1" customHeight="1">
      <c r="A830" s="226" t="s">
        <v>203</v>
      </c>
      <c r="B830" s="226" t="s">
        <v>1110</v>
      </c>
      <c r="C830" s="226" t="s">
        <v>27</v>
      </c>
      <c r="D830" s="226" t="s">
        <v>2658</v>
      </c>
      <c r="E830" s="226" t="s">
        <v>2008</v>
      </c>
      <c r="F830" s="226">
        <v>2510845</v>
      </c>
      <c r="G830" s="225" t="s">
        <v>4336</v>
      </c>
      <c r="H830" s="226" t="s">
        <v>20</v>
      </c>
      <c r="I830" s="225" t="s">
        <v>60</v>
      </c>
      <c r="J830" s="225" t="s">
        <v>2485</v>
      </c>
      <c r="K830" s="225" t="s">
        <v>4426</v>
      </c>
      <c r="L830" s="51" t="s">
        <v>211</v>
      </c>
      <c r="M830" s="226" t="s">
        <v>22</v>
      </c>
      <c r="N830" s="226" t="s">
        <v>22</v>
      </c>
      <c r="O830" s="226" t="s">
        <v>3639</v>
      </c>
      <c r="P830" s="226" t="s">
        <v>3211</v>
      </c>
      <c r="Q830" s="226" t="s">
        <v>4059</v>
      </c>
      <c r="R830" s="227" t="s">
        <v>2581</v>
      </c>
      <c r="S830" s="225" t="s">
        <v>1111</v>
      </c>
      <c r="T830" s="228">
        <v>18518946562</v>
      </c>
      <c r="U830" s="225" t="s">
        <v>1106</v>
      </c>
      <c r="V830" s="225" t="s">
        <v>2112</v>
      </c>
      <c r="W830" s="229">
        <v>13810282494</v>
      </c>
      <c r="X830" s="230">
        <v>43323</v>
      </c>
      <c r="Y830" s="238" t="s">
        <v>27</v>
      </c>
      <c r="Z830" s="238" t="s">
        <v>27</v>
      </c>
      <c r="AA830" s="238" t="s">
        <v>27</v>
      </c>
      <c r="AB830" s="45" t="s">
        <v>2887</v>
      </c>
      <c r="AC830" s="169"/>
    </row>
    <row r="831" spans="1:29" s="68" customFormat="1" ht="15" hidden="1" customHeight="1">
      <c r="A831" s="226" t="s">
        <v>203</v>
      </c>
      <c r="B831" s="226" t="s">
        <v>1574</v>
      </c>
      <c r="C831" s="226" t="s">
        <v>22</v>
      </c>
      <c r="D831" s="226" t="s">
        <v>2658</v>
      </c>
      <c r="E831" s="226" t="s">
        <v>2008</v>
      </c>
      <c r="F831" s="226">
        <v>2510807</v>
      </c>
      <c r="G831" s="225" t="s">
        <v>2186</v>
      </c>
      <c r="H831" s="226" t="s">
        <v>20</v>
      </c>
      <c r="I831" s="225" t="s">
        <v>60</v>
      </c>
      <c r="J831" s="225" t="s">
        <v>2486</v>
      </c>
      <c r="K831" s="225" t="s">
        <v>2358</v>
      </c>
      <c r="L831" s="51" t="s">
        <v>211</v>
      </c>
      <c r="M831" s="226" t="s">
        <v>22</v>
      </c>
      <c r="N831" s="226" t="s">
        <v>22</v>
      </c>
      <c r="O831" s="226" t="s">
        <v>3639</v>
      </c>
      <c r="P831" s="226" t="s">
        <v>3218</v>
      </c>
      <c r="Q831" s="226" t="s">
        <v>4060</v>
      </c>
      <c r="R831" s="227" t="s">
        <v>2582</v>
      </c>
      <c r="S831" s="225" t="s">
        <v>1652</v>
      </c>
      <c r="T831" s="228">
        <v>13810069194</v>
      </c>
      <c r="U831" s="225" t="s">
        <v>3574</v>
      </c>
      <c r="V831" s="225" t="s">
        <v>3575</v>
      </c>
      <c r="W831" s="229">
        <v>13164299413</v>
      </c>
      <c r="X831" s="230"/>
      <c r="Y831" s="238" t="s">
        <v>27</v>
      </c>
      <c r="Z831" s="238" t="s">
        <v>27</v>
      </c>
      <c r="AA831" s="238" t="s">
        <v>27</v>
      </c>
      <c r="AB831" s="45" t="s">
        <v>2887</v>
      </c>
      <c r="AC831" s="169"/>
    </row>
    <row r="832" spans="1:29" s="68" customFormat="1" ht="15" hidden="1" customHeight="1">
      <c r="A832" s="226" t="s">
        <v>203</v>
      </c>
      <c r="B832" s="226" t="s">
        <v>1575</v>
      </c>
      <c r="C832" s="226" t="s">
        <v>27</v>
      </c>
      <c r="D832" s="226" t="s">
        <v>2658</v>
      </c>
      <c r="E832" s="226" t="s">
        <v>2008</v>
      </c>
      <c r="F832" s="226">
        <v>2510719</v>
      </c>
      <c r="G832" s="225" t="s">
        <v>2178</v>
      </c>
      <c r="H832" s="226" t="s">
        <v>20</v>
      </c>
      <c r="I832" s="225" t="s">
        <v>60</v>
      </c>
      <c r="J832" s="225" t="s">
        <v>2501</v>
      </c>
      <c r="K832" s="225" t="s">
        <v>2649</v>
      </c>
      <c r="L832" s="51" t="s">
        <v>211</v>
      </c>
      <c r="M832" s="226" t="s">
        <v>22</v>
      </c>
      <c r="N832" s="226" t="s">
        <v>27</v>
      </c>
      <c r="O832" s="226" t="s">
        <v>3639</v>
      </c>
      <c r="P832" s="226" t="s">
        <v>3218</v>
      </c>
      <c r="Q832" s="226" t="s">
        <v>4061</v>
      </c>
      <c r="R832" s="227" t="s">
        <v>2583</v>
      </c>
      <c r="S832" s="225" t="s">
        <v>1653</v>
      </c>
      <c r="T832" s="228">
        <v>18911175941</v>
      </c>
      <c r="U832" s="225" t="s">
        <v>1121</v>
      </c>
      <c r="V832" s="225" t="s">
        <v>2113</v>
      </c>
      <c r="W832" s="229">
        <v>13810144648</v>
      </c>
      <c r="X832" s="230"/>
      <c r="Y832" s="238" t="s">
        <v>27</v>
      </c>
      <c r="Z832" s="238" t="s">
        <v>27</v>
      </c>
      <c r="AA832" s="238" t="s">
        <v>27</v>
      </c>
      <c r="AB832" s="45" t="s">
        <v>2887</v>
      </c>
      <c r="AC832" s="169"/>
    </row>
    <row r="833" spans="1:29" s="68" customFormat="1" ht="15" hidden="1" customHeight="1">
      <c r="A833" s="226" t="s">
        <v>203</v>
      </c>
      <c r="B833" s="226" t="s">
        <v>1075</v>
      </c>
      <c r="C833" s="226" t="s">
        <v>27</v>
      </c>
      <c r="D833" s="226" t="s">
        <v>2658</v>
      </c>
      <c r="E833" s="226" t="s">
        <v>2008</v>
      </c>
      <c r="F833" s="226">
        <v>2250547</v>
      </c>
      <c r="G833" s="225" t="s">
        <v>4389</v>
      </c>
      <c r="H833" s="226" t="s">
        <v>20</v>
      </c>
      <c r="I833" s="225" t="s">
        <v>60</v>
      </c>
      <c r="J833" s="225" t="s">
        <v>2501</v>
      </c>
      <c r="K833" s="225" t="s">
        <v>2649</v>
      </c>
      <c r="L833" s="51" t="s">
        <v>211</v>
      </c>
      <c r="M833" s="226" t="s">
        <v>22</v>
      </c>
      <c r="N833" s="226" t="s">
        <v>27</v>
      </c>
      <c r="O833" s="226" t="s">
        <v>3639</v>
      </c>
      <c r="P833" s="226" t="s">
        <v>3218</v>
      </c>
      <c r="Q833" s="226" t="s">
        <v>4062</v>
      </c>
      <c r="R833" s="227" t="s">
        <v>2584</v>
      </c>
      <c r="S833" s="225" t="s">
        <v>1076</v>
      </c>
      <c r="T833" s="228">
        <v>18911175844</v>
      </c>
      <c r="U833" s="225" t="s">
        <v>3576</v>
      </c>
      <c r="V833" s="225" t="s">
        <v>3577</v>
      </c>
      <c r="W833" s="229">
        <v>13810419451</v>
      </c>
      <c r="X833" s="230">
        <v>43167</v>
      </c>
      <c r="Y833" s="238" t="s">
        <v>27</v>
      </c>
      <c r="Z833" s="238" t="s">
        <v>27</v>
      </c>
      <c r="AA833" s="238" t="s">
        <v>27</v>
      </c>
      <c r="AB833" s="45" t="s">
        <v>2887</v>
      </c>
      <c r="AC833" s="169"/>
    </row>
    <row r="834" spans="1:29" s="68" customFormat="1" ht="15" hidden="1" customHeight="1">
      <c r="A834" s="226" t="s">
        <v>203</v>
      </c>
      <c r="B834" s="226" t="s">
        <v>1078</v>
      </c>
      <c r="C834" s="226" t="s">
        <v>27</v>
      </c>
      <c r="D834" s="226" t="s">
        <v>2658</v>
      </c>
      <c r="E834" s="226" t="s">
        <v>2008</v>
      </c>
      <c r="F834" s="226">
        <v>3516393</v>
      </c>
      <c r="G834" s="225" t="s">
        <v>4390</v>
      </c>
      <c r="H834" s="226" t="s">
        <v>20</v>
      </c>
      <c r="I834" s="225" t="s">
        <v>60</v>
      </c>
      <c r="J834" s="225" t="s">
        <v>2485</v>
      </c>
      <c r="K834" s="225" t="s">
        <v>2429</v>
      </c>
      <c r="L834" s="51" t="s">
        <v>211</v>
      </c>
      <c r="M834" s="226" t="s">
        <v>22</v>
      </c>
      <c r="N834" s="226" t="s">
        <v>22</v>
      </c>
      <c r="O834" s="226" t="s">
        <v>3639</v>
      </c>
      <c r="P834" s="226" t="s">
        <v>3230</v>
      </c>
      <c r="Q834" s="226" t="s">
        <v>4063</v>
      </c>
      <c r="R834" s="227" t="s">
        <v>2585</v>
      </c>
      <c r="S834" s="225" t="s">
        <v>2586</v>
      </c>
      <c r="T834" s="228">
        <v>13011829457</v>
      </c>
      <c r="U834" s="225" t="s">
        <v>1615</v>
      </c>
      <c r="V834" s="225" t="s">
        <v>2063</v>
      </c>
      <c r="W834" s="229">
        <v>13910436925</v>
      </c>
      <c r="X834" s="230">
        <v>43197</v>
      </c>
      <c r="Y834" s="238" t="s">
        <v>27</v>
      </c>
      <c r="Z834" s="238" t="s">
        <v>27</v>
      </c>
      <c r="AA834" s="238" t="s">
        <v>27</v>
      </c>
      <c r="AB834" s="45" t="s">
        <v>2888</v>
      </c>
      <c r="AC834" s="169"/>
    </row>
    <row r="835" spans="1:29" s="68" customFormat="1" ht="15" hidden="1" customHeight="1">
      <c r="A835" s="226" t="s">
        <v>203</v>
      </c>
      <c r="B835" s="226" t="s">
        <v>1080</v>
      </c>
      <c r="C835" s="226" t="s">
        <v>27</v>
      </c>
      <c r="D835" s="226" t="s">
        <v>4443</v>
      </c>
      <c r="E835" s="226" t="s">
        <v>2008</v>
      </c>
      <c r="F835" s="226">
        <v>3516376</v>
      </c>
      <c r="G835" s="225" t="s">
        <v>4239</v>
      </c>
      <c r="H835" s="226" t="s">
        <v>20</v>
      </c>
      <c r="I835" s="225" t="s">
        <v>60</v>
      </c>
      <c r="J835" s="225" t="s">
        <v>2484</v>
      </c>
      <c r="K835" s="225" t="s">
        <v>4427</v>
      </c>
      <c r="L835" s="51" t="s">
        <v>211</v>
      </c>
      <c r="M835" s="226" t="s">
        <v>22</v>
      </c>
      <c r="N835" s="226" t="s">
        <v>22</v>
      </c>
      <c r="O835" s="226" t="s">
        <v>3639</v>
      </c>
      <c r="P835" s="226" t="s">
        <v>3261</v>
      </c>
      <c r="Q835" s="226" t="s">
        <v>4064</v>
      </c>
      <c r="R835" s="227" t="s">
        <v>2587</v>
      </c>
      <c r="S835" s="225" t="s">
        <v>2170</v>
      </c>
      <c r="T835" s="228">
        <v>13810573781</v>
      </c>
      <c r="U835" s="225" t="s">
        <v>2385</v>
      </c>
      <c r="V835" s="225" t="s">
        <v>2386</v>
      </c>
      <c r="W835" s="229">
        <v>13810020441</v>
      </c>
      <c r="X835" s="230">
        <v>43328</v>
      </c>
      <c r="Y835" s="238" t="s">
        <v>27</v>
      </c>
      <c r="Z835" s="238" t="s">
        <v>27</v>
      </c>
      <c r="AA835" s="238" t="s">
        <v>27</v>
      </c>
      <c r="AB835" s="45" t="s">
        <v>2887</v>
      </c>
      <c r="AC835" s="169"/>
    </row>
    <row r="836" spans="1:29" s="68" customFormat="1" ht="15" hidden="1" customHeight="1">
      <c r="A836" s="226" t="s">
        <v>203</v>
      </c>
      <c r="B836" s="226" t="s">
        <v>1082</v>
      </c>
      <c r="C836" s="226" t="s">
        <v>27</v>
      </c>
      <c r="D836" s="226" t="s">
        <v>2658</v>
      </c>
      <c r="E836" s="226" t="s">
        <v>2008</v>
      </c>
      <c r="F836" s="226">
        <v>3516380</v>
      </c>
      <c r="G836" s="225" t="s">
        <v>4389</v>
      </c>
      <c r="H836" s="226" t="s">
        <v>20</v>
      </c>
      <c r="I836" s="225" t="s">
        <v>60</v>
      </c>
      <c r="J836" s="225" t="s">
        <v>2501</v>
      </c>
      <c r="K836" s="225" t="s">
        <v>2649</v>
      </c>
      <c r="L836" s="51" t="s">
        <v>211</v>
      </c>
      <c r="M836" s="226" t="s">
        <v>22</v>
      </c>
      <c r="N836" s="226" t="s">
        <v>27</v>
      </c>
      <c r="O836" s="226" t="s">
        <v>3639</v>
      </c>
      <c r="P836" s="226" t="s">
        <v>3276</v>
      </c>
      <c r="Q836" s="226" t="s">
        <v>4065</v>
      </c>
      <c r="R836" s="227" t="s">
        <v>2588</v>
      </c>
      <c r="S836" s="225" t="s">
        <v>1083</v>
      </c>
      <c r="T836" s="228">
        <v>18911175542</v>
      </c>
      <c r="U836" s="225" t="s">
        <v>3578</v>
      </c>
      <c r="V836" s="225" t="s">
        <v>3579</v>
      </c>
      <c r="W836" s="229">
        <v>13810286245</v>
      </c>
      <c r="X836" s="230">
        <v>43252</v>
      </c>
      <c r="Y836" s="238" t="s">
        <v>27</v>
      </c>
      <c r="Z836" s="238" t="s">
        <v>27</v>
      </c>
      <c r="AA836" s="238" t="s">
        <v>27</v>
      </c>
      <c r="AB836" s="45" t="s">
        <v>2887</v>
      </c>
      <c r="AC836" s="169"/>
    </row>
    <row r="837" spans="1:29" s="68" customFormat="1" ht="15" hidden="1" customHeight="1">
      <c r="A837" s="226" t="s">
        <v>203</v>
      </c>
      <c r="B837" s="226" t="s">
        <v>1085</v>
      </c>
      <c r="C837" s="226" t="s">
        <v>22</v>
      </c>
      <c r="D837" s="226" t="s">
        <v>4443</v>
      </c>
      <c r="E837" s="226" t="s">
        <v>2008</v>
      </c>
      <c r="F837" s="226">
        <v>3316803</v>
      </c>
      <c r="G837" s="225" t="s">
        <v>4390</v>
      </c>
      <c r="H837" s="226" t="s">
        <v>20</v>
      </c>
      <c r="I837" s="225" t="s">
        <v>60</v>
      </c>
      <c r="J837" s="225" t="s">
        <v>2487</v>
      </c>
      <c r="K837" s="225" t="s">
        <v>2650</v>
      </c>
      <c r="L837" s="51" t="s">
        <v>211</v>
      </c>
      <c r="M837" s="226" t="s">
        <v>22</v>
      </c>
      <c r="N837" s="226" t="s">
        <v>27</v>
      </c>
      <c r="O837" s="226" t="s">
        <v>38</v>
      </c>
      <c r="P837" s="226" t="s">
        <v>3317</v>
      </c>
      <c r="Q837" s="226" t="s">
        <v>4066</v>
      </c>
      <c r="R837" s="227" t="s">
        <v>2963</v>
      </c>
      <c r="S837" s="225" t="s">
        <v>2964</v>
      </c>
      <c r="T837" s="228">
        <v>13810137974</v>
      </c>
      <c r="U837" s="225" t="s">
        <v>3580</v>
      </c>
      <c r="V837" s="225" t="s">
        <v>3581</v>
      </c>
      <c r="W837" s="229">
        <v>18101234764</v>
      </c>
      <c r="X837" s="230">
        <v>43334</v>
      </c>
      <c r="Y837" s="238" t="s">
        <v>27</v>
      </c>
      <c r="Z837" s="238" t="s">
        <v>27</v>
      </c>
      <c r="AA837" s="238" t="s">
        <v>27</v>
      </c>
      <c r="AB837" s="45" t="s">
        <v>2887</v>
      </c>
      <c r="AC837" s="169"/>
    </row>
    <row r="838" spans="1:29" s="68" customFormat="1" ht="15" hidden="1" customHeight="1">
      <c r="A838" s="226" t="s">
        <v>203</v>
      </c>
      <c r="B838" s="226" t="s">
        <v>1088</v>
      </c>
      <c r="C838" s="226" t="s">
        <v>27</v>
      </c>
      <c r="D838" s="226" t="s">
        <v>2658</v>
      </c>
      <c r="E838" s="226" t="s">
        <v>2008</v>
      </c>
      <c r="F838" s="226">
        <v>3516361</v>
      </c>
      <c r="G838" s="225" t="s">
        <v>4272</v>
      </c>
      <c r="H838" s="226" t="s">
        <v>20</v>
      </c>
      <c r="I838" s="225" t="s">
        <v>60</v>
      </c>
      <c r="J838" s="225" t="s">
        <v>2484</v>
      </c>
      <c r="K838" s="225" t="s">
        <v>4427</v>
      </c>
      <c r="L838" s="51" t="s">
        <v>211</v>
      </c>
      <c r="M838" s="226" t="s">
        <v>22</v>
      </c>
      <c r="N838" s="226" t="s">
        <v>22</v>
      </c>
      <c r="O838" s="226" t="s">
        <v>3639</v>
      </c>
      <c r="P838" s="226" t="s">
        <v>3261</v>
      </c>
      <c r="Q838" s="226" t="s">
        <v>4067</v>
      </c>
      <c r="R838" s="227" t="s">
        <v>2590</v>
      </c>
      <c r="S838" s="225" t="s">
        <v>1089</v>
      </c>
      <c r="T838" s="228">
        <v>13810420673</v>
      </c>
      <c r="U838" s="225" t="s">
        <v>3582</v>
      </c>
      <c r="V838" s="225" t="s">
        <v>3583</v>
      </c>
      <c r="W838" s="229">
        <v>13810171523</v>
      </c>
      <c r="X838" s="230">
        <v>43323</v>
      </c>
      <c r="Y838" s="238" t="s">
        <v>27</v>
      </c>
      <c r="Z838" s="238" t="s">
        <v>27</v>
      </c>
      <c r="AA838" s="238" t="s">
        <v>27</v>
      </c>
      <c r="AB838" s="45" t="s">
        <v>2887</v>
      </c>
      <c r="AC838" s="169"/>
    </row>
    <row r="839" spans="1:29" s="68" customFormat="1" ht="15" hidden="1" customHeight="1">
      <c r="A839" s="226" t="s">
        <v>203</v>
      </c>
      <c r="B839" s="226" t="s">
        <v>1091</v>
      </c>
      <c r="C839" s="226" t="s">
        <v>27</v>
      </c>
      <c r="D839" s="226" t="s">
        <v>2658</v>
      </c>
      <c r="E839" s="226" t="s">
        <v>2008</v>
      </c>
      <c r="F839" s="226">
        <v>3516445</v>
      </c>
      <c r="G839" s="225" t="s">
        <v>4248</v>
      </c>
      <c r="H839" s="226" t="s">
        <v>20</v>
      </c>
      <c r="I839" s="225" t="s">
        <v>60</v>
      </c>
      <c r="J839" s="225" t="s">
        <v>2484</v>
      </c>
      <c r="K839" s="225" t="s">
        <v>4427</v>
      </c>
      <c r="L839" s="51" t="s">
        <v>211</v>
      </c>
      <c r="M839" s="226" t="s">
        <v>22</v>
      </c>
      <c r="N839" s="226" t="s">
        <v>22</v>
      </c>
      <c r="O839" s="226" t="s">
        <v>3639</v>
      </c>
      <c r="P839" s="226" t="s">
        <v>3261</v>
      </c>
      <c r="Q839" s="226" t="s">
        <v>4068</v>
      </c>
      <c r="R839" s="227" t="s">
        <v>2591</v>
      </c>
      <c r="S839" s="225" t="s">
        <v>1092</v>
      </c>
      <c r="T839" s="228">
        <v>13811815477</v>
      </c>
      <c r="U839" s="225" t="s">
        <v>1670</v>
      </c>
      <c r="V839" s="225" t="s">
        <v>2093</v>
      </c>
      <c r="W839" s="229">
        <v>13910673247</v>
      </c>
      <c r="X839" s="230">
        <v>43323</v>
      </c>
      <c r="Y839" s="238" t="s">
        <v>27</v>
      </c>
      <c r="Z839" s="238" t="s">
        <v>27</v>
      </c>
      <c r="AA839" s="238" t="s">
        <v>27</v>
      </c>
      <c r="AB839" s="45" t="s">
        <v>2887</v>
      </c>
      <c r="AC839" s="169"/>
    </row>
    <row r="840" spans="1:29" s="68" customFormat="1" ht="15" hidden="1" customHeight="1">
      <c r="A840" s="226" t="s">
        <v>203</v>
      </c>
      <c r="B840" s="226" t="s">
        <v>1094</v>
      </c>
      <c r="C840" s="226" t="s">
        <v>22</v>
      </c>
      <c r="D840" s="226" t="s">
        <v>2893</v>
      </c>
      <c r="E840" s="226" t="s">
        <v>2008</v>
      </c>
      <c r="F840" s="226">
        <v>2510456</v>
      </c>
      <c r="G840" s="225" t="s">
        <v>4353</v>
      </c>
      <c r="H840" s="226" t="s">
        <v>20</v>
      </c>
      <c r="I840" s="225" t="s">
        <v>60</v>
      </c>
      <c r="J840" s="225" t="s">
        <v>2487</v>
      </c>
      <c r="K840" s="225" t="s">
        <v>2650</v>
      </c>
      <c r="L840" s="51" t="s">
        <v>211</v>
      </c>
      <c r="M840" s="226" t="s">
        <v>22</v>
      </c>
      <c r="N840" s="226" t="s">
        <v>27</v>
      </c>
      <c r="O840" s="226" t="s">
        <v>38</v>
      </c>
      <c r="P840" s="226" t="s">
        <v>3261</v>
      </c>
      <c r="Q840" s="226" t="s">
        <v>4069</v>
      </c>
      <c r="R840" s="227" t="s">
        <v>2592</v>
      </c>
      <c r="S840" s="225" t="s">
        <v>1095</v>
      </c>
      <c r="T840" s="228">
        <v>13811080351</v>
      </c>
      <c r="U840" s="225" t="s">
        <v>2204</v>
      </c>
      <c r="V840" s="225" t="s">
        <v>2205</v>
      </c>
      <c r="W840" s="229">
        <v>18911175584</v>
      </c>
      <c r="X840" s="230">
        <v>43334</v>
      </c>
      <c r="Y840" s="238" t="s">
        <v>27</v>
      </c>
      <c r="Z840" s="238" t="s">
        <v>27</v>
      </c>
      <c r="AA840" s="238" t="s">
        <v>27</v>
      </c>
      <c r="AB840" s="45" t="s">
        <v>2887</v>
      </c>
      <c r="AC840" s="169"/>
    </row>
    <row r="841" spans="1:29" s="68" customFormat="1" ht="15" hidden="1" customHeight="1">
      <c r="A841" s="226" t="s">
        <v>203</v>
      </c>
      <c r="B841" s="226" t="s">
        <v>1113</v>
      </c>
      <c r="C841" s="226" t="s">
        <v>27</v>
      </c>
      <c r="D841" s="226" t="s">
        <v>2658</v>
      </c>
      <c r="E841" s="226" t="s">
        <v>2008</v>
      </c>
      <c r="F841" s="226">
        <v>2510422</v>
      </c>
      <c r="G841" s="225" t="s">
        <v>4383</v>
      </c>
      <c r="H841" s="226" t="s">
        <v>20</v>
      </c>
      <c r="I841" s="225" t="s">
        <v>60</v>
      </c>
      <c r="J841" s="225" t="s">
        <v>2484</v>
      </c>
      <c r="K841" s="225" t="s">
        <v>4427</v>
      </c>
      <c r="L841" s="51" t="s">
        <v>211</v>
      </c>
      <c r="M841" s="226" t="s">
        <v>22</v>
      </c>
      <c r="N841" s="226" t="s">
        <v>22</v>
      </c>
      <c r="O841" s="226" t="s">
        <v>3639</v>
      </c>
      <c r="P841" s="226" t="s">
        <v>3261</v>
      </c>
      <c r="Q841" s="226" t="s">
        <v>4070</v>
      </c>
      <c r="R841" s="227" t="s">
        <v>2593</v>
      </c>
      <c r="S841" s="225" t="s">
        <v>1114</v>
      </c>
      <c r="T841" s="228">
        <v>13810559861</v>
      </c>
      <c r="U841" s="225" t="s">
        <v>3584</v>
      </c>
      <c r="V841" s="225" t="s">
        <v>3585</v>
      </c>
      <c r="W841" s="229">
        <v>13810593751</v>
      </c>
      <c r="X841" s="230">
        <v>43323</v>
      </c>
      <c r="Y841" s="238" t="s">
        <v>27</v>
      </c>
      <c r="Z841" s="238" t="s">
        <v>27</v>
      </c>
      <c r="AA841" s="238" t="s">
        <v>27</v>
      </c>
      <c r="AB841" s="45" t="s">
        <v>2887</v>
      </c>
      <c r="AC841" s="169"/>
    </row>
    <row r="842" spans="1:29" s="68" customFormat="1" ht="15" hidden="1" customHeight="1">
      <c r="A842" s="226" t="s">
        <v>203</v>
      </c>
      <c r="B842" s="226" t="s">
        <v>3712</v>
      </c>
      <c r="C842" s="226" t="s">
        <v>27</v>
      </c>
      <c r="D842" s="226" t="s">
        <v>2893</v>
      </c>
      <c r="E842" s="226" t="s">
        <v>2008</v>
      </c>
      <c r="F842" s="226">
        <v>2250546</v>
      </c>
      <c r="G842" s="225" t="s">
        <v>4391</v>
      </c>
      <c r="H842" s="226" t="s">
        <v>20</v>
      </c>
      <c r="I842" s="225" t="s">
        <v>21</v>
      </c>
      <c r="J842" s="225" t="s">
        <v>209</v>
      </c>
      <c r="K842" s="225" t="s">
        <v>236</v>
      </c>
      <c r="L842" s="51" t="s">
        <v>211</v>
      </c>
      <c r="M842" s="226" t="s">
        <v>22</v>
      </c>
      <c r="N842" s="226" t="s">
        <v>22</v>
      </c>
      <c r="O842" s="226" t="s">
        <v>3639</v>
      </c>
      <c r="P842" s="226" t="s">
        <v>3392</v>
      </c>
      <c r="Q842" s="226" t="s">
        <v>4071</v>
      </c>
      <c r="R842" s="227" t="s">
        <v>3713</v>
      </c>
      <c r="S842" s="225" t="s">
        <v>3714</v>
      </c>
      <c r="T842" s="228">
        <v>13810013243</v>
      </c>
      <c r="U842" s="225" t="s">
        <v>3715</v>
      </c>
      <c r="V842" s="225" t="s">
        <v>3716</v>
      </c>
      <c r="W842" s="229"/>
      <c r="X842" s="230">
        <v>43265</v>
      </c>
      <c r="Y842" s="238" t="s">
        <v>27</v>
      </c>
      <c r="Z842" s="238" t="s">
        <v>27</v>
      </c>
      <c r="AA842" s="238" t="s">
        <v>27</v>
      </c>
      <c r="AB842" s="45" t="s">
        <v>2887</v>
      </c>
      <c r="AC842" s="169"/>
    </row>
    <row r="843" spans="1:29" s="68" customFormat="1" ht="15" hidden="1" customHeight="1">
      <c r="A843" s="226" t="s">
        <v>203</v>
      </c>
      <c r="B843" s="226" t="s">
        <v>1116</v>
      </c>
      <c r="C843" s="226" t="s">
        <v>27</v>
      </c>
      <c r="D843" s="226" t="s">
        <v>2893</v>
      </c>
      <c r="E843" s="226" t="s">
        <v>2008</v>
      </c>
      <c r="F843" s="226">
        <v>2510548</v>
      </c>
      <c r="G843" s="225" t="s">
        <v>4246</v>
      </c>
      <c r="H843" s="226" t="s">
        <v>20</v>
      </c>
      <c r="I843" s="225" t="s">
        <v>60</v>
      </c>
      <c r="J843" s="225" t="s">
        <v>2487</v>
      </c>
      <c r="K843" s="225" t="s">
        <v>2650</v>
      </c>
      <c r="L843" s="51" t="s">
        <v>211</v>
      </c>
      <c r="M843" s="226" t="s">
        <v>22</v>
      </c>
      <c r="N843" s="226" t="s">
        <v>27</v>
      </c>
      <c r="O843" s="226" t="s">
        <v>3639</v>
      </c>
      <c r="P843" s="226" t="s">
        <v>3261</v>
      </c>
      <c r="Q843" s="226" t="s">
        <v>4072</v>
      </c>
      <c r="R843" s="227" t="s">
        <v>2594</v>
      </c>
      <c r="S843" s="225" t="s">
        <v>1117</v>
      </c>
      <c r="T843" s="228">
        <v>13910643947</v>
      </c>
      <c r="U843" s="225" t="s">
        <v>3586</v>
      </c>
      <c r="V843" s="225" t="s">
        <v>3587</v>
      </c>
      <c r="W843" s="229">
        <v>13331048802</v>
      </c>
      <c r="X843" s="230">
        <v>43201</v>
      </c>
      <c r="Y843" s="238" t="s">
        <v>27</v>
      </c>
      <c r="Z843" s="238" t="s">
        <v>27</v>
      </c>
      <c r="AA843" s="238" t="s">
        <v>27</v>
      </c>
      <c r="AB843" s="45" t="s">
        <v>2887</v>
      </c>
      <c r="AC843" s="169"/>
    </row>
    <row r="844" spans="1:29" s="68" customFormat="1" ht="15" hidden="1" customHeight="1">
      <c r="A844" s="226" t="s">
        <v>203</v>
      </c>
      <c r="B844" s="226" t="s">
        <v>3717</v>
      </c>
      <c r="C844" s="226" t="s">
        <v>27</v>
      </c>
      <c r="D844" s="226" t="s">
        <v>2658</v>
      </c>
      <c r="E844" s="226" t="s">
        <v>2008</v>
      </c>
      <c r="F844" s="226">
        <v>2250559</v>
      </c>
      <c r="G844" s="225" t="s">
        <v>4327</v>
      </c>
      <c r="H844" s="226" t="s">
        <v>20</v>
      </c>
      <c r="I844" s="225" t="s">
        <v>60</v>
      </c>
      <c r="J844" s="225" t="s">
        <v>1588</v>
      </c>
      <c r="K844" s="225" t="s">
        <v>2364</v>
      </c>
      <c r="L844" s="51" t="s">
        <v>211</v>
      </c>
      <c r="M844" s="226" t="s">
        <v>22</v>
      </c>
      <c r="N844" s="226" t="s">
        <v>27</v>
      </c>
      <c r="O844" s="226" t="s">
        <v>3639</v>
      </c>
      <c r="P844" s="226" t="s">
        <v>3235</v>
      </c>
      <c r="Q844" s="226" t="s">
        <v>4073</v>
      </c>
      <c r="R844" s="227" t="s">
        <v>2875</v>
      </c>
      <c r="S844" s="225" t="s">
        <v>2876</v>
      </c>
      <c r="T844" s="228">
        <v>18911034562</v>
      </c>
      <c r="U844" s="225" t="s">
        <v>1673</v>
      </c>
      <c r="V844" s="225" t="s">
        <v>2096</v>
      </c>
      <c r="W844" s="229">
        <v>15510093952</v>
      </c>
      <c r="X844" s="230">
        <v>43265</v>
      </c>
      <c r="Y844" s="238" t="s">
        <v>27</v>
      </c>
      <c r="Z844" s="238" t="s">
        <v>27</v>
      </c>
      <c r="AA844" s="238" t="s">
        <v>27</v>
      </c>
      <c r="AB844" s="45" t="s">
        <v>2887</v>
      </c>
      <c r="AC844" s="169"/>
    </row>
    <row r="845" spans="1:29" s="68" customFormat="1" ht="15" hidden="1" customHeight="1">
      <c r="A845" s="226" t="s">
        <v>203</v>
      </c>
      <c r="B845" s="226" t="s">
        <v>1576</v>
      </c>
      <c r="C845" s="226" t="s">
        <v>27</v>
      </c>
      <c r="D845" s="226" t="s">
        <v>2658</v>
      </c>
      <c r="E845" s="226" t="s">
        <v>2008</v>
      </c>
      <c r="F845" s="226">
        <v>2510615</v>
      </c>
      <c r="G845" s="225" t="s">
        <v>4392</v>
      </c>
      <c r="H845" s="226" t="s">
        <v>20</v>
      </c>
      <c r="I845" s="225" t="s">
        <v>60</v>
      </c>
      <c r="J845" s="225" t="s">
        <v>2485</v>
      </c>
      <c r="K845" s="225" t="s">
        <v>2429</v>
      </c>
      <c r="L845" s="51" t="s">
        <v>211</v>
      </c>
      <c r="M845" s="226" t="s">
        <v>22</v>
      </c>
      <c r="N845" s="226" t="s">
        <v>22</v>
      </c>
      <c r="O845" s="226" t="s">
        <v>3639</v>
      </c>
      <c r="P845" s="226" t="s">
        <v>3230</v>
      </c>
      <c r="Q845" s="226" t="s">
        <v>4074</v>
      </c>
      <c r="R845" s="227" t="s">
        <v>4459</v>
      </c>
      <c r="S845" s="225" t="s">
        <v>4460</v>
      </c>
      <c r="T845" s="228">
        <v>18519359248</v>
      </c>
      <c r="U845" s="225" t="s">
        <v>3588</v>
      </c>
      <c r="V845" s="225" t="s">
        <v>3589</v>
      </c>
      <c r="W845" s="229">
        <v>13811011003</v>
      </c>
      <c r="X845" s="230">
        <v>43197</v>
      </c>
      <c r="Y845" s="238" t="s">
        <v>27</v>
      </c>
      <c r="Z845" s="238" t="s">
        <v>27</v>
      </c>
      <c r="AA845" s="238" t="s">
        <v>27</v>
      </c>
      <c r="AB845" s="45" t="s">
        <v>2887</v>
      </c>
      <c r="AC845" s="169"/>
    </row>
    <row r="846" spans="1:29" s="68" customFormat="1" ht="15" hidden="1" customHeight="1">
      <c r="A846" s="226" t="s">
        <v>203</v>
      </c>
      <c r="B846" s="226" t="s">
        <v>1577</v>
      </c>
      <c r="C846" s="226" t="s">
        <v>22</v>
      </c>
      <c r="D846" s="226" t="s">
        <v>4443</v>
      </c>
      <c r="E846" s="226" t="s">
        <v>2008</v>
      </c>
      <c r="F846" s="226">
        <v>2510686</v>
      </c>
      <c r="G846" s="225" t="s">
        <v>4282</v>
      </c>
      <c r="H846" s="226" t="s">
        <v>20</v>
      </c>
      <c r="I846" s="225" t="s">
        <v>60</v>
      </c>
      <c r="J846" s="225"/>
      <c r="K846" s="225"/>
      <c r="L846" s="51" t="s">
        <v>211</v>
      </c>
      <c r="M846" s="226" t="s">
        <v>22</v>
      </c>
      <c r="N846" s="226" t="s">
        <v>22</v>
      </c>
      <c r="O846" s="226" t="s">
        <v>38</v>
      </c>
      <c r="P846" s="226" t="s">
        <v>3230</v>
      </c>
      <c r="Q846" s="226" t="s">
        <v>4075</v>
      </c>
      <c r="R846" s="227" t="s">
        <v>3657</v>
      </c>
      <c r="S846" s="225" t="s">
        <v>3658</v>
      </c>
      <c r="T846" s="228"/>
      <c r="U846" s="225" t="s">
        <v>2367</v>
      </c>
      <c r="V846" s="225" t="s">
        <v>2368</v>
      </c>
      <c r="W846" s="229"/>
      <c r="X846" s="230">
        <v>43334</v>
      </c>
      <c r="Y846" s="238" t="s">
        <v>27</v>
      </c>
      <c r="Z846" s="238" t="s">
        <v>27</v>
      </c>
      <c r="AA846" s="238" t="s">
        <v>27</v>
      </c>
      <c r="AB846" s="45" t="s">
        <v>2887</v>
      </c>
      <c r="AC846" s="169"/>
    </row>
    <row r="847" spans="1:29" s="68" customFormat="1" ht="15" hidden="1" customHeight="1">
      <c r="A847" s="226" t="s">
        <v>203</v>
      </c>
      <c r="B847" s="226" t="s">
        <v>1578</v>
      </c>
      <c r="C847" s="226" t="s">
        <v>27</v>
      </c>
      <c r="D847" s="226" t="s">
        <v>2893</v>
      </c>
      <c r="E847" s="226" t="s">
        <v>2008</v>
      </c>
      <c r="F847" s="226">
        <v>2983375</v>
      </c>
      <c r="G847" s="225" t="s">
        <v>4245</v>
      </c>
      <c r="H847" s="226" t="s">
        <v>20</v>
      </c>
      <c r="I847" s="225" t="s">
        <v>60</v>
      </c>
      <c r="J847" s="225" t="s">
        <v>2487</v>
      </c>
      <c r="K847" s="225" t="s">
        <v>2650</v>
      </c>
      <c r="L847" s="51" t="s">
        <v>211</v>
      </c>
      <c r="M847" s="226" t="s">
        <v>22</v>
      </c>
      <c r="N847" s="226" t="s">
        <v>27</v>
      </c>
      <c r="O847" s="226" t="s">
        <v>3639</v>
      </c>
      <c r="P847" s="226" t="s">
        <v>3261</v>
      </c>
      <c r="Q847" s="226" t="s">
        <v>4076</v>
      </c>
      <c r="R847" s="227" t="s">
        <v>2595</v>
      </c>
      <c r="S847" s="225" t="s">
        <v>1105</v>
      </c>
      <c r="T847" s="228">
        <v>13810145154</v>
      </c>
      <c r="U847" s="225" t="s">
        <v>1667</v>
      </c>
      <c r="V847" s="225" t="s">
        <v>2090</v>
      </c>
      <c r="W847" s="229">
        <v>13331048803</v>
      </c>
      <c r="X847" s="230">
        <v>43200</v>
      </c>
      <c r="Y847" s="238" t="s">
        <v>27</v>
      </c>
      <c r="Z847" s="238" t="s">
        <v>27</v>
      </c>
      <c r="AA847" s="238" t="s">
        <v>27</v>
      </c>
      <c r="AB847" s="45" t="s">
        <v>2887</v>
      </c>
      <c r="AC847" s="169"/>
    </row>
    <row r="848" spans="1:29" s="68" customFormat="1" ht="15" hidden="1" customHeight="1">
      <c r="A848" s="226" t="s">
        <v>203</v>
      </c>
      <c r="B848" s="226" t="s">
        <v>1579</v>
      </c>
      <c r="C848" s="226" t="s">
        <v>27</v>
      </c>
      <c r="D848" s="226" t="s">
        <v>4443</v>
      </c>
      <c r="E848" s="226" t="s">
        <v>2008</v>
      </c>
      <c r="F848" s="226">
        <v>3516370</v>
      </c>
      <c r="G848" s="225" t="s">
        <v>4353</v>
      </c>
      <c r="H848" s="226" t="s">
        <v>20</v>
      </c>
      <c r="I848" s="225" t="s">
        <v>60</v>
      </c>
      <c r="J848" s="225" t="s">
        <v>2501</v>
      </c>
      <c r="K848" s="225" t="s">
        <v>2654</v>
      </c>
      <c r="L848" s="51" t="s">
        <v>211</v>
      </c>
      <c r="M848" s="226" t="s">
        <v>22</v>
      </c>
      <c r="N848" s="226" t="s">
        <v>27</v>
      </c>
      <c r="O848" s="226" t="s">
        <v>3639</v>
      </c>
      <c r="P848" s="226" t="s">
        <v>3235</v>
      </c>
      <c r="Q848" s="226" t="s">
        <v>4077</v>
      </c>
      <c r="R848" s="227" t="s">
        <v>3131</v>
      </c>
      <c r="S848" s="225" t="s">
        <v>3132</v>
      </c>
      <c r="T848" s="228">
        <v>18911175841</v>
      </c>
      <c r="U848" s="225" t="s">
        <v>2394</v>
      </c>
      <c r="V848" s="225" t="s">
        <v>2395</v>
      </c>
      <c r="W848" s="229">
        <v>13810068254</v>
      </c>
      <c r="X848" s="230"/>
      <c r="Y848" s="238" t="s">
        <v>27</v>
      </c>
      <c r="Z848" s="238" t="s">
        <v>27</v>
      </c>
      <c r="AA848" s="238" t="s">
        <v>27</v>
      </c>
      <c r="AB848" s="45" t="s">
        <v>2887</v>
      </c>
      <c r="AC848" s="169"/>
    </row>
    <row r="849" spans="1:29" s="68" customFormat="1" ht="15" hidden="1" customHeight="1">
      <c r="A849" s="226" t="s">
        <v>203</v>
      </c>
      <c r="B849" s="226" t="s">
        <v>4078</v>
      </c>
      <c r="C849" s="226" t="s">
        <v>27</v>
      </c>
      <c r="D849" s="226" t="s">
        <v>2893</v>
      </c>
      <c r="E849" s="226" t="s">
        <v>2008</v>
      </c>
      <c r="F849" s="226">
        <v>3633215</v>
      </c>
      <c r="G849" s="225" t="s">
        <v>4392</v>
      </c>
      <c r="H849" s="226" t="s">
        <v>20</v>
      </c>
      <c r="I849" s="225" t="s">
        <v>60</v>
      </c>
      <c r="J849" s="225" t="s">
        <v>2501</v>
      </c>
      <c r="K849" s="225" t="s">
        <v>2649</v>
      </c>
      <c r="L849" s="51" t="s">
        <v>211</v>
      </c>
      <c r="M849" s="226" t="s">
        <v>22</v>
      </c>
      <c r="N849" s="226" t="s">
        <v>27</v>
      </c>
      <c r="O849" s="226" t="s">
        <v>3639</v>
      </c>
      <c r="P849" s="226" t="s">
        <v>3212</v>
      </c>
      <c r="Q849" s="226" t="s">
        <v>4079</v>
      </c>
      <c r="R849" s="227" t="s">
        <v>4080</v>
      </c>
      <c r="S849" s="225" t="s">
        <v>4081</v>
      </c>
      <c r="T849" s="228">
        <v>18910548489</v>
      </c>
      <c r="U849" s="225" t="s">
        <v>3483</v>
      </c>
      <c r="V849" s="225" t="s">
        <v>3484</v>
      </c>
      <c r="W849" s="229">
        <v>13810252248</v>
      </c>
      <c r="X849" s="230">
        <v>43216</v>
      </c>
      <c r="Y849" s="238" t="s">
        <v>27</v>
      </c>
      <c r="Z849" s="238" t="s">
        <v>27</v>
      </c>
      <c r="AA849" s="238" t="s">
        <v>27</v>
      </c>
      <c r="AB849" s="45" t="s">
        <v>2887</v>
      </c>
      <c r="AC849" s="169"/>
    </row>
    <row r="850" spans="1:29" s="68" customFormat="1" ht="15" hidden="1" customHeight="1">
      <c r="A850" s="226" t="s">
        <v>203</v>
      </c>
      <c r="B850" s="226" t="s">
        <v>1466</v>
      </c>
      <c r="C850" s="226" t="s">
        <v>27</v>
      </c>
      <c r="D850" s="226" t="s">
        <v>2893</v>
      </c>
      <c r="E850" s="226" t="s">
        <v>2008</v>
      </c>
      <c r="F850" s="226">
        <v>3516371</v>
      </c>
      <c r="G850" s="225" t="s">
        <v>4286</v>
      </c>
      <c r="H850" s="226" t="s">
        <v>20</v>
      </c>
      <c r="I850" s="225" t="s">
        <v>60</v>
      </c>
      <c r="J850" s="225" t="s">
        <v>2486</v>
      </c>
      <c r="K850" s="225" t="s">
        <v>2358</v>
      </c>
      <c r="L850" s="51" t="s">
        <v>211</v>
      </c>
      <c r="M850" s="226" t="s">
        <v>22</v>
      </c>
      <c r="N850" s="226" t="s">
        <v>22</v>
      </c>
      <c r="O850" s="226" t="s">
        <v>3639</v>
      </c>
      <c r="P850" s="226" t="s">
        <v>3211</v>
      </c>
      <c r="Q850" s="226" t="s">
        <v>4082</v>
      </c>
      <c r="R850" s="227" t="s">
        <v>2596</v>
      </c>
      <c r="S850" s="225" t="s">
        <v>1120</v>
      </c>
      <c r="T850" s="228">
        <v>13810072841</v>
      </c>
      <c r="U850" s="225" t="s">
        <v>3590</v>
      </c>
      <c r="V850" s="225" t="s">
        <v>3591</v>
      </c>
      <c r="W850" s="229">
        <v>18511891450</v>
      </c>
      <c r="X850" s="230"/>
      <c r="Y850" s="238" t="s">
        <v>27</v>
      </c>
      <c r="Z850" s="238" t="s">
        <v>27</v>
      </c>
      <c r="AA850" s="238" t="s">
        <v>27</v>
      </c>
      <c r="AB850" s="45" t="s">
        <v>2887</v>
      </c>
      <c r="AC850" s="169"/>
    </row>
    <row r="851" spans="1:29" s="68" customFormat="1" ht="15" hidden="1" customHeight="1">
      <c r="A851" s="226" t="s">
        <v>203</v>
      </c>
      <c r="B851" s="226" t="s">
        <v>1580</v>
      </c>
      <c r="C851" s="226" t="s">
        <v>27</v>
      </c>
      <c r="D851" s="226" t="s">
        <v>2658</v>
      </c>
      <c r="E851" s="226" t="s">
        <v>2008</v>
      </c>
      <c r="F851" s="226">
        <v>3516359</v>
      </c>
      <c r="G851" s="225" t="s">
        <v>4393</v>
      </c>
      <c r="H851" s="226" t="s">
        <v>20</v>
      </c>
      <c r="I851" s="225" t="s">
        <v>60</v>
      </c>
      <c r="J851" s="225" t="s">
        <v>2501</v>
      </c>
      <c r="K851" s="225" t="s">
        <v>2649</v>
      </c>
      <c r="L851" s="51" t="s">
        <v>211</v>
      </c>
      <c r="M851" s="226" t="s">
        <v>22</v>
      </c>
      <c r="N851" s="226" t="s">
        <v>27</v>
      </c>
      <c r="O851" s="226" t="s">
        <v>3639</v>
      </c>
      <c r="P851" s="226" t="s">
        <v>3218</v>
      </c>
      <c r="Q851" s="226" t="s">
        <v>4083</v>
      </c>
      <c r="R851" s="227" t="s">
        <v>2597</v>
      </c>
      <c r="S851" s="225" t="s">
        <v>1654</v>
      </c>
      <c r="T851" s="228">
        <v>18911175814</v>
      </c>
      <c r="U851" s="225" t="s">
        <v>2124</v>
      </c>
      <c r="V851" s="225" t="s">
        <v>2115</v>
      </c>
      <c r="W851" s="229">
        <v>13810077934</v>
      </c>
      <c r="X851" s="230">
        <v>43252</v>
      </c>
      <c r="Y851" s="238" t="s">
        <v>27</v>
      </c>
      <c r="Z851" s="238" t="s">
        <v>27</v>
      </c>
      <c r="AA851" s="238" t="s">
        <v>27</v>
      </c>
      <c r="AB851" s="45" t="s">
        <v>2887</v>
      </c>
      <c r="AC851" s="169"/>
    </row>
    <row r="852" spans="1:29" s="68" customFormat="1" ht="15" hidden="1" customHeight="1">
      <c r="A852" s="226" t="s">
        <v>203</v>
      </c>
      <c r="B852" s="226" t="s">
        <v>2171</v>
      </c>
      <c r="C852" s="226" t="s">
        <v>27</v>
      </c>
      <c r="D852" s="226" t="s">
        <v>4320</v>
      </c>
      <c r="E852" s="226" t="s">
        <v>2008</v>
      </c>
      <c r="F852" s="226">
        <v>3220222</v>
      </c>
      <c r="G852" s="225" t="s">
        <v>2172</v>
      </c>
      <c r="H852" s="226" t="s">
        <v>20</v>
      </c>
      <c r="I852" s="225" t="s">
        <v>21</v>
      </c>
      <c r="J852" s="225" t="s">
        <v>209</v>
      </c>
      <c r="K852" s="225" t="s">
        <v>26</v>
      </c>
      <c r="L852" s="51" t="s">
        <v>211</v>
      </c>
      <c r="M852" s="226" t="s">
        <v>22</v>
      </c>
      <c r="N852" s="226" t="s">
        <v>22</v>
      </c>
      <c r="O852" s="226" t="s">
        <v>3639</v>
      </c>
      <c r="P852" s="226" t="s">
        <v>3221</v>
      </c>
      <c r="Q852" s="226" t="s">
        <v>4084</v>
      </c>
      <c r="R852" s="227" t="s">
        <v>3659</v>
      </c>
      <c r="S852" s="225" t="s">
        <v>3660</v>
      </c>
      <c r="T852" s="228">
        <v>13911713141</v>
      </c>
      <c r="U852" s="225" t="s">
        <v>1087</v>
      </c>
      <c r="V852" s="225" t="s">
        <v>2108</v>
      </c>
      <c r="W852" s="229"/>
      <c r="X852" s="230">
        <v>43193</v>
      </c>
      <c r="Y852" s="238" t="s">
        <v>27</v>
      </c>
      <c r="Z852" s="238" t="s">
        <v>27</v>
      </c>
      <c r="AA852" s="238" t="s">
        <v>27</v>
      </c>
      <c r="AB852" s="45" t="s">
        <v>2887</v>
      </c>
      <c r="AC852" s="169"/>
    </row>
    <row r="853" spans="1:29" s="68" customFormat="1" ht="15" hidden="1" customHeight="1">
      <c r="A853" s="226" t="s">
        <v>203</v>
      </c>
      <c r="B853" s="226" t="s">
        <v>2382</v>
      </c>
      <c r="C853" s="226" t="s">
        <v>27</v>
      </c>
      <c r="D853" s="226" t="s">
        <v>2658</v>
      </c>
      <c r="E853" s="226" t="s">
        <v>2008</v>
      </c>
      <c r="F853" s="226">
        <v>3633247</v>
      </c>
      <c r="G853" s="225" t="s">
        <v>2383</v>
      </c>
      <c r="H853" s="226" t="s">
        <v>20</v>
      </c>
      <c r="I853" s="225" t="s">
        <v>60</v>
      </c>
      <c r="J853" s="225" t="s">
        <v>2558</v>
      </c>
      <c r="K853" s="225" t="s">
        <v>2378</v>
      </c>
      <c r="L853" s="51" t="s">
        <v>211</v>
      </c>
      <c r="M853" s="226" t="s">
        <v>22</v>
      </c>
      <c r="N853" s="226" t="s">
        <v>27</v>
      </c>
      <c r="O853" s="226" t="s">
        <v>3639</v>
      </c>
      <c r="P853" s="226" t="s">
        <v>3230</v>
      </c>
      <c r="Q853" s="226" t="s">
        <v>4085</v>
      </c>
      <c r="R853" s="227" t="s">
        <v>2629</v>
      </c>
      <c r="S853" s="225" t="s">
        <v>2384</v>
      </c>
      <c r="T853" s="228">
        <v>18516976471</v>
      </c>
      <c r="U853" s="225" t="s">
        <v>2120</v>
      </c>
      <c r="V853" s="225" t="s">
        <v>2079</v>
      </c>
      <c r="W853" s="229">
        <v>18910826413</v>
      </c>
      <c r="X853" s="230">
        <v>43198</v>
      </c>
      <c r="Y853" s="238" t="s">
        <v>27</v>
      </c>
      <c r="Z853" s="238" t="s">
        <v>27</v>
      </c>
      <c r="AA853" s="238" t="s">
        <v>27</v>
      </c>
      <c r="AB853" s="45" t="s">
        <v>2887</v>
      </c>
      <c r="AC853" s="169"/>
    </row>
    <row r="854" spans="1:29" s="68" customFormat="1" ht="15" hidden="1" customHeight="1">
      <c r="A854" s="226" t="s">
        <v>203</v>
      </c>
      <c r="B854" s="226" t="s">
        <v>1581</v>
      </c>
      <c r="C854" s="226" t="s">
        <v>27</v>
      </c>
      <c r="D854" s="226" t="s">
        <v>4443</v>
      </c>
      <c r="E854" s="226" t="s">
        <v>2008</v>
      </c>
      <c r="F854" s="226">
        <v>3633152</v>
      </c>
      <c r="G854" s="225" t="s">
        <v>4368</v>
      </c>
      <c r="H854" s="226" t="s">
        <v>20</v>
      </c>
      <c r="I854" s="225" t="s">
        <v>60</v>
      </c>
      <c r="J854" s="225" t="s">
        <v>2558</v>
      </c>
      <c r="K854" s="225" t="s">
        <v>2378</v>
      </c>
      <c r="L854" s="51" t="s">
        <v>211</v>
      </c>
      <c r="M854" s="226" t="s">
        <v>22</v>
      </c>
      <c r="N854" s="226" t="s">
        <v>27</v>
      </c>
      <c r="O854" s="226" t="s">
        <v>3639</v>
      </c>
      <c r="P854" s="226" t="s">
        <v>3235</v>
      </c>
      <c r="Q854" s="226" t="s">
        <v>4086</v>
      </c>
      <c r="R854" s="227" t="s">
        <v>2598</v>
      </c>
      <c r="S854" s="225" t="s">
        <v>1655</v>
      </c>
      <c r="T854" s="228">
        <v>13260033179</v>
      </c>
      <c r="U854" s="225" t="s">
        <v>3592</v>
      </c>
      <c r="V854" s="225" t="s">
        <v>3593</v>
      </c>
      <c r="W854" s="229">
        <v>18911175564</v>
      </c>
      <c r="X854" s="230">
        <v>43199</v>
      </c>
      <c r="Y854" s="238" t="s">
        <v>27</v>
      </c>
      <c r="Z854" s="238" t="s">
        <v>27</v>
      </c>
      <c r="AA854" s="238" t="s">
        <v>27</v>
      </c>
      <c r="AB854" s="45" t="s">
        <v>2888</v>
      </c>
      <c r="AC854" s="169"/>
    </row>
    <row r="855" spans="1:29" s="68" customFormat="1" ht="15" hidden="1" customHeight="1">
      <c r="A855" s="226" t="s">
        <v>203</v>
      </c>
      <c r="B855" s="226" t="s">
        <v>1582</v>
      </c>
      <c r="C855" s="226" t="s">
        <v>27</v>
      </c>
      <c r="D855" s="226" t="s">
        <v>2658</v>
      </c>
      <c r="E855" s="226" t="s">
        <v>2008</v>
      </c>
      <c r="F855" s="226">
        <v>3633224</v>
      </c>
      <c r="G855" s="225" t="s">
        <v>4326</v>
      </c>
      <c r="H855" s="226" t="s">
        <v>20</v>
      </c>
      <c r="I855" s="225" t="s">
        <v>60</v>
      </c>
      <c r="J855" s="225" t="s">
        <v>2558</v>
      </c>
      <c r="K855" s="225" t="s">
        <v>2378</v>
      </c>
      <c r="L855" s="51" t="s">
        <v>211</v>
      </c>
      <c r="M855" s="226" t="s">
        <v>22</v>
      </c>
      <c r="N855" s="226" t="s">
        <v>27</v>
      </c>
      <c r="O855" s="226" t="s">
        <v>3639</v>
      </c>
      <c r="P855" s="226" t="s">
        <v>3235</v>
      </c>
      <c r="Q855" s="226" t="s">
        <v>4087</v>
      </c>
      <c r="R855" s="227" t="s">
        <v>2599</v>
      </c>
      <c r="S855" s="225" t="s">
        <v>1656</v>
      </c>
      <c r="T855" s="228">
        <v>18519264772</v>
      </c>
      <c r="U855" s="225" t="s">
        <v>2362</v>
      </c>
      <c r="V855" s="225" t="s">
        <v>2363</v>
      </c>
      <c r="W855" s="229">
        <v>18911175634</v>
      </c>
      <c r="X855" s="230">
        <v>43199</v>
      </c>
      <c r="Y855" s="238" t="s">
        <v>27</v>
      </c>
      <c r="Z855" s="238" t="s">
        <v>27</v>
      </c>
      <c r="AA855" s="238" t="s">
        <v>27</v>
      </c>
      <c r="AB855" s="45" t="s">
        <v>2887</v>
      </c>
      <c r="AC855" s="169"/>
    </row>
    <row r="856" spans="1:29" s="68" customFormat="1" ht="15" hidden="1" customHeight="1">
      <c r="A856" s="226" t="s">
        <v>203</v>
      </c>
      <c r="B856" s="226" t="s">
        <v>1583</v>
      </c>
      <c r="C856" s="226" t="s">
        <v>27</v>
      </c>
      <c r="D856" s="226" t="s">
        <v>2658</v>
      </c>
      <c r="E856" s="226" t="s">
        <v>2008</v>
      </c>
      <c r="F856" s="226">
        <v>3648251</v>
      </c>
      <c r="G856" s="225" t="s">
        <v>4247</v>
      </c>
      <c r="H856" s="226" t="s">
        <v>20</v>
      </c>
      <c r="I856" s="225" t="s">
        <v>60</v>
      </c>
      <c r="J856" s="225" t="s">
        <v>2485</v>
      </c>
      <c r="K856" s="225" t="s">
        <v>2429</v>
      </c>
      <c r="L856" s="51" t="s">
        <v>211</v>
      </c>
      <c r="M856" s="226" t="s">
        <v>22</v>
      </c>
      <c r="N856" s="226" t="s">
        <v>22</v>
      </c>
      <c r="O856" s="226" t="s">
        <v>3639</v>
      </c>
      <c r="P856" s="226" t="s">
        <v>3218</v>
      </c>
      <c r="Q856" s="226" t="s">
        <v>4088</v>
      </c>
      <c r="R856" s="227" t="s">
        <v>3594</v>
      </c>
      <c r="S856" s="225" t="s">
        <v>3595</v>
      </c>
      <c r="T856" s="228">
        <v>13141364077</v>
      </c>
      <c r="U856" s="225" t="s">
        <v>3596</v>
      </c>
      <c r="V856" s="225" t="s">
        <v>3597</v>
      </c>
      <c r="W856" s="229">
        <v>13910617462</v>
      </c>
      <c r="X856" s="230">
        <v>43179</v>
      </c>
      <c r="Y856" s="238" t="s">
        <v>27</v>
      </c>
      <c r="Z856" s="238" t="s">
        <v>27</v>
      </c>
      <c r="AA856" s="238" t="s">
        <v>27</v>
      </c>
      <c r="AB856" s="45" t="s">
        <v>2887</v>
      </c>
      <c r="AC856" s="169"/>
    </row>
    <row r="857" spans="1:29" s="68" customFormat="1" ht="15" hidden="1" customHeight="1">
      <c r="A857" s="226" t="s">
        <v>203</v>
      </c>
      <c r="B857" s="226" t="s">
        <v>2173</v>
      </c>
      <c r="C857" s="226" t="s">
        <v>27</v>
      </c>
      <c r="D857" s="226" t="s">
        <v>2658</v>
      </c>
      <c r="E857" s="226" t="s">
        <v>2008</v>
      </c>
      <c r="F857" s="226">
        <v>3648215</v>
      </c>
      <c r="G857" s="225" t="s">
        <v>2174</v>
      </c>
      <c r="H857" s="226" t="s">
        <v>20</v>
      </c>
      <c r="I857" s="225" t="s">
        <v>60</v>
      </c>
      <c r="J857" s="225" t="s">
        <v>2558</v>
      </c>
      <c r="K857" s="225" t="s">
        <v>2378</v>
      </c>
      <c r="L857" s="51" t="s">
        <v>211</v>
      </c>
      <c r="M857" s="226" t="s">
        <v>22</v>
      </c>
      <c r="N857" s="226" t="s">
        <v>27</v>
      </c>
      <c r="O857" s="226" t="s">
        <v>3639</v>
      </c>
      <c r="P857" s="226" t="s">
        <v>3235</v>
      </c>
      <c r="Q857" s="226" t="s">
        <v>4089</v>
      </c>
      <c r="R857" s="227" t="s">
        <v>2606</v>
      </c>
      <c r="S857" s="225" t="s">
        <v>2211</v>
      </c>
      <c r="T857" s="228">
        <v>13263416594</v>
      </c>
      <c r="U857" s="225" t="s">
        <v>3598</v>
      </c>
      <c r="V857" s="225" t="s">
        <v>3599</v>
      </c>
      <c r="W857" s="229">
        <v>13331048805</v>
      </c>
      <c r="X857" s="230">
        <v>43199</v>
      </c>
      <c r="Y857" s="238" t="s">
        <v>27</v>
      </c>
      <c r="Z857" s="238" t="s">
        <v>27</v>
      </c>
      <c r="AA857" s="238" t="s">
        <v>27</v>
      </c>
      <c r="AB857" s="45" t="s">
        <v>2887</v>
      </c>
      <c r="AC857" s="169"/>
    </row>
    <row r="858" spans="1:29" s="68" customFormat="1" ht="15" hidden="1" customHeight="1">
      <c r="A858" s="226" t="s">
        <v>203</v>
      </c>
      <c r="B858" s="226" t="s">
        <v>2175</v>
      </c>
      <c r="C858" s="226" t="s">
        <v>27</v>
      </c>
      <c r="D858" s="226" t="s">
        <v>2893</v>
      </c>
      <c r="E858" s="226" t="s">
        <v>2008</v>
      </c>
      <c r="F858" s="226">
        <v>3648232</v>
      </c>
      <c r="G858" s="225" t="s">
        <v>2176</v>
      </c>
      <c r="H858" s="226" t="s">
        <v>20</v>
      </c>
      <c r="I858" s="225" t="s">
        <v>21</v>
      </c>
      <c r="J858" s="225" t="s">
        <v>204</v>
      </c>
      <c r="K858" s="225" t="s">
        <v>1586</v>
      </c>
      <c r="L858" s="51" t="s">
        <v>211</v>
      </c>
      <c r="M858" s="226" t="s">
        <v>22</v>
      </c>
      <c r="N858" s="226" t="s">
        <v>27</v>
      </c>
      <c r="O858" s="226" t="s">
        <v>3639</v>
      </c>
      <c r="P858" s="226" t="s">
        <v>3221</v>
      </c>
      <c r="Q858" s="226" t="s">
        <v>4090</v>
      </c>
      <c r="R858" s="227" t="s">
        <v>2607</v>
      </c>
      <c r="S858" s="225" t="s">
        <v>2212</v>
      </c>
      <c r="T858" s="228">
        <v>13331048806</v>
      </c>
      <c r="U858" s="225" t="s">
        <v>1618</v>
      </c>
      <c r="V858" s="225" t="s">
        <v>2069</v>
      </c>
      <c r="W858" s="229"/>
      <c r="X858" s="230">
        <v>43196</v>
      </c>
      <c r="Y858" s="238" t="s">
        <v>27</v>
      </c>
      <c r="Z858" s="238" t="s">
        <v>27</v>
      </c>
      <c r="AA858" s="238" t="s">
        <v>27</v>
      </c>
      <c r="AB858" s="45" t="s">
        <v>2887</v>
      </c>
      <c r="AC858" s="169"/>
    </row>
    <row r="859" spans="1:29" s="68" customFormat="1" ht="15" hidden="1" customHeight="1">
      <c r="A859" s="226" t="s">
        <v>203</v>
      </c>
      <c r="B859" s="226" t="s">
        <v>1584</v>
      </c>
      <c r="C859" s="226" t="s">
        <v>27</v>
      </c>
      <c r="D859" s="226" t="s">
        <v>2658</v>
      </c>
      <c r="E859" s="226" t="s">
        <v>2008</v>
      </c>
      <c r="F859" s="226">
        <v>3648384</v>
      </c>
      <c r="G859" s="225" t="s">
        <v>4394</v>
      </c>
      <c r="H859" s="226" t="s">
        <v>20</v>
      </c>
      <c r="I859" s="225" t="s">
        <v>60</v>
      </c>
      <c r="J859" s="225" t="s">
        <v>2558</v>
      </c>
      <c r="K859" s="225" t="s">
        <v>2378</v>
      </c>
      <c r="L859" s="51" t="s">
        <v>211</v>
      </c>
      <c r="M859" s="226" t="s">
        <v>22</v>
      </c>
      <c r="N859" s="226" t="s">
        <v>27</v>
      </c>
      <c r="O859" s="226" t="s">
        <v>3639</v>
      </c>
      <c r="P859" s="226" t="s">
        <v>3276</v>
      </c>
      <c r="Q859" s="226" t="s">
        <v>4091</v>
      </c>
      <c r="R859" s="227" t="s">
        <v>2600</v>
      </c>
      <c r="S859" s="225" t="s">
        <v>1657</v>
      </c>
      <c r="T859" s="228">
        <v>18519784971</v>
      </c>
      <c r="U859" s="225" t="s">
        <v>3600</v>
      </c>
      <c r="V859" s="225" t="s">
        <v>3601</v>
      </c>
      <c r="W859" s="229">
        <v>18911175554</v>
      </c>
      <c r="X859" s="230">
        <v>43199</v>
      </c>
      <c r="Y859" s="238" t="s">
        <v>27</v>
      </c>
      <c r="Z859" s="238" t="s">
        <v>27</v>
      </c>
      <c r="AA859" s="238" t="s">
        <v>27</v>
      </c>
      <c r="AB859" s="45" t="s">
        <v>2887</v>
      </c>
      <c r="AC859" s="169"/>
    </row>
    <row r="860" spans="1:29" s="68" customFormat="1" ht="15" hidden="1" customHeight="1">
      <c r="A860" s="226" t="s">
        <v>203</v>
      </c>
      <c r="B860" s="226" t="s">
        <v>2177</v>
      </c>
      <c r="C860" s="226" t="s">
        <v>27</v>
      </c>
      <c r="D860" s="226" t="s">
        <v>4320</v>
      </c>
      <c r="E860" s="226" t="s">
        <v>2008</v>
      </c>
      <c r="F860" s="226">
        <v>3648408</v>
      </c>
      <c r="G860" s="225" t="s">
        <v>2360</v>
      </c>
      <c r="H860" s="226" t="s">
        <v>20</v>
      </c>
      <c r="I860" s="227" t="s">
        <v>21</v>
      </c>
      <c r="J860" s="225" t="s">
        <v>209</v>
      </c>
      <c r="K860" s="225" t="s">
        <v>26</v>
      </c>
      <c r="L860" s="51" t="s">
        <v>211</v>
      </c>
      <c r="M860" s="226" t="s">
        <v>22</v>
      </c>
      <c r="N860" s="226" t="s">
        <v>22</v>
      </c>
      <c r="O860" s="226" t="s">
        <v>3639</v>
      </c>
      <c r="P860" s="226" t="s">
        <v>3221</v>
      </c>
      <c r="Q860" s="226" t="s">
        <v>4092</v>
      </c>
      <c r="R860" s="227" t="s">
        <v>2608</v>
      </c>
      <c r="S860" s="225" t="s">
        <v>2213</v>
      </c>
      <c r="T860" s="228">
        <v>13911453476</v>
      </c>
      <c r="U860" s="225" t="s">
        <v>2125</v>
      </c>
      <c r="V860" s="225" t="s">
        <v>2116</v>
      </c>
      <c r="W860" s="229"/>
      <c r="X860" s="230">
        <v>43193</v>
      </c>
      <c r="Y860" s="238" t="s">
        <v>27</v>
      </c>
      <c r="Z860" s="238" t="s">
        <v>27</v>
      </c>
      <c r="AA860" s="238" t="s">
        <v>27</v>
      </c>
      <c r="AB860" s="45" t="s">
        <v>2887</v>
      </c>
      <c r="AC860" s="169"/>
    </row>
    <row r="861" spans="1:29" s="68" customFormat="1" ht="15" hidden="1" customHeight="1">
      <c r="A861" s="226" t="s">
        <v>203</v>
      </c>
      <c r="B861" s="226" t="s">
        <v>2179</v>
      </c>
      <c r="C861" s="226" t="s">
        <v>27</v>
      </c>
      <c r="D861" s="226" t="s">
        <v>2893</v>
      </c>
      <c r="E861" s="226" t="s">
        <v>2008</v>
      </c>
      <c r="F861" s="226">
        <v>3648462</v>
      </c>
      <c r="G861" s="225" t="s">
        <v>2180</v>
      </c>
      <c r="H861" s="226" t="s">
        <v>20</v>
      </c>
      <c r="I861" s="225" t="s">
        <v>21</v>
      </c>
      <c r="J861" s="225" t="s">
        <v>209</v>
      </c>
      <c r="K861" s="225" t="s">
        <v>26</v>
      </c>
      <c r="L861" s="51" t="s">
        <v>211</v>
      </c>
      <c r="M861" s="226" t="s">
        <v>22</v>
      </c>
      <c r="N861" s="226" t="s">
        <v>22</v>
      </c>
      <c r="O861" s="226" t="s">
        <v>3639</v>
      </c>
      <c r="P861" s="226" t="s">
        <v>3221</v>
      </c>
      <c r="Q861" s="226" t="s">
        <v>4093</v>
      </c>
      <c r="R861" s="227" t="s">
        <v>2609</v>
      </c>
      <c r="S861" s="225" t="s">
        <v>2214</v>
      </c>
      <c r="T861" s="228">
        <v>13911725844</v>
      </c>
      <c r="U861" s="225" t="s">
        <v>1619</v>
      </c>
      <c r="V861" s="225" t="s">
        <v>2070</v>
      </c>
      <c r="W861" s="229"/>
      <c r="X861" s="230">
        <v>43193</v>
      </c>
      <c r="Y861" s="238" t="s">
        <v>27</v>
      </c>
      <c r="Z861" s="238" t="s">
        <v>27</v>
      </c>
      <c r="AA861" s="238" t="s">
        <v>27</v>
      </c>
      <c r="AB861" s="45" t="s">
        <v>2887</v>
      </c>
      <c r="AC861" s="169"/>
    </row>
    <row r="862" spans="1:29" s="68" customFormat="1" ht="15" hidden="1" customHeight="1">
      <c r="A862" s="226" t="s">
        <v>203</v>
      </c>
      <c r="B862" s="226" t="s">
        <v>1585</v>
      </c>
      <c r="C862" s="226" t="s">
        <v>27</v>
      </c>
      <c r="D862" s="226" t="s">
        <v>4444</v>
      </c>
      <c r="E862" s="226" t="s">
        <v>2008</v>
      </c>
      <c r="F862" s="226">
        <v>3648240</v>
      </c>
      <c r="G862" s="225" t="s">
        <v>4300</v>
      </c>
      <c r="H862" s="226" t="s">
        <v>20</v>
      </c>
      <c r="I862" s="225" t="s">
        <v>21</v>
      </c>
      <c r="J862" s="225" t="s">
        <v>209</v>
      </c>
      <c r="K862" s="225" t="s">
        <v>236</v>
      </c>
      <c r="L862" s="51" t="s">
        <v>211</v>
      </c>
      <c r="M862" s="226" t="s">
        <v>22</v>
      </c>
      <c r="N862" s="226" t="s">
        <v>22</v>
      </c>
      <c r="O862" s="226" t="s">
        <v>3639</v>
      </c>
      <c r="P862" s="226" t="s">
        <v>3260</v>
      </c>
      <c r="Q862" s="226" t="s">
        <v>4094</v>
      </c>
      <c r="R862" s="227" t="s">
        <v>2601</v>
      </c>
      <c r="S862" s="225" t="s">
        <v>2016</v>
      </c>
      <c r="T862" s="228">
        <v>13810736781</v>
      </c>
      <c r="U862" s="225" t="s">
        <v>3602</v>
      </c>
      <c r="V862" s="225" t="s">
        <v>3603</v>
      </c>
      <c r="W862" s="229"/>
      <c r="X862" s="230">
        <v>43187</v>
      </c>
      <c r="Y862" s="238" t="s">
        <v>27</v>
      </c>
      <c r="Z862" s="238" t="s">
        <v>27</v>
      </c>
      <c r="AA862" s="238" t="s">
        <v>27</v>
      </c>
      <c r="AB862" s="45" t="s">
        <v>2888</v>
      </c>
      <c r="AC862" s="169"/>
    </row>
    <row r="863" spans="1:29" s="68" customFormat="1" ht="15" hidden="1" customHeight="1">
      <c r="A863" s="226" t="s">
        <v>203</v>
      </c>
      <c r="B863" s="226" t="s">
        <v>2365</v>
      </c>
      <c r="C863" s="226" t="s">
        <v>27</v>
      </c>
      <c r="D863" s="226" t="s">
        <v>2893</v>
      </c>
      <c r="E863" s="226" t="s">
        <v>2008</v>
      </c>
      <c r="F863" s="226">
        <v>3648214</v>
      </c>
      <c r="G863" s="227" t="s">
        <v>2172</v>
      </c>
      <c r="H863" s="226" t="s">
        <v>20</v>
      </c>
      <c r="I863" s="227" t="s">
        <v>60</v>
      </c>
      <c r="J863" s="227" t="s">
        <v>2485</v>
      </c>
      <c r="K863" s="225" t="s">
        <v>4426</v>
      </c>
      <c r="L863" s="51" t="s">
        <v>211</v>
      </c>
      <c r="M863" s="226" t="s">
        <v>22</v>
      </c>
      <c r="N863" s="226" t="s">
        <v>22</v>
      </c>
      <c r="O863" s="226" t="s">
        <v>3639</v>
      </c>
      <c r="P863" s="226" t="s">
        <v>3235</v>
      </c>
      <c r="Q863" s="226" t="s">
        <v>4095</v>
      </c>
      <c r="R863" s="227" t="s">
        <v>2624</v>
      </c>
      <c r="S863" s="225" t="s">
        <v>2366</v>
      </c>
      <c r="T863" s="231">
        <v>13269732038</v>
      </c>
      <c r="U863" s="225" t="s">
        <v>3604</v>
      </c>
      <c r="V863" s="225" t="s">
        <v>3605</v>
      </c>
      <c r="W863" s="229">
        <v>13810732503</v>
      </c>
      <c r="X863" s="230">
        <v>43334</v>
      </c>
      <c r="Y863" s="238" t="s">
        <v>27</v>
      </c>
      <c r="Z863" s="238" t="s">
        <v>27</v>
      </c>
      <c r="AA863" s="238" t="s">
        <v>27</v>
      </c>
      <c r="AB863" s="45" t="s">
        <v>2888</v>
      </c>
      <c r="AC863" s="169"/>
    </row>
    <row r="864" spans="1:29" ht="15" hidden="1" customHeight="1">
      <c r="A864" s="226" t="s">
        <v>203</v>
      </c>
      <c r="B864" s="226" t="s">
        <v>2387</v>
      </c>
      <c r="C864" s="226" t="s">
        <v>27</v>
      </c>
      <c r="D864" s="226" t="s">
        <v>2893</v>
      </c>
      <c r="E864" s="233" t="s">
        <v>2008</v>
      </c>
      <c r="F864" s="233">
        <v>3648303</v>
      </c>
      <c r="G864" s="233" t="s">
        <v>2388</v>
      </c>
      <c r="H864" s="233" t="s">
        <v>20</v>
      </c>
      <c r="I864" s="233" t="s">
        <v>60</v>
      </c>
      <c r="J864" s="225" t="s">
        <v>2484</v>
      </c>
      <c r="K864" s="233" t="s">
        <v>4427</v>
      </c>
      <c r="L864" s="51" t="s">
        <v>211</v>
      </c>
      <c r="M864" s="233" t="s">
        <v>22</v>
      </c>
      <c r="N864" s="233" t="s">
        <v>22</v>
      </c>
      <c r="O864" s="233" t="s">
        <v>3639</v>
      </c>
      <c r="P864" s="233" t="s">
        <v>3230</v>
      </c>
      <c r="Q864" s="233" t="s">
        <v>4096</v>
      </c>
      <c r="R864" s="233" t="s">
        <v>2630</v>
      </c>
      <c r="S864" s="225" t="s">
        <v>2389</v>
      </c>
      <c r="T864" s="234">
        <v>13911725495</v>
      </c>
      <c r="U864" s="235" t="s">
        <v>1626</v>
      </c>
      <c r="V864" s="235" t="s">
        <v>2074</v>
      </c>
      <c r="W864" s="234">
        <v>13810419537</v>
      </c>
      <c r="X864" s="236">
        <v>43334</v>
      </c>
      <c r="Y864" s="238" t="s">
        <v>27</v>
      </c>
      <c r="Z864" s="233" t="s">
        <v>27</v>
      </c>
      <c r="AA864" s="233" t="s">
        <v>27</v>
      </c>
      <c r="AB864" s="51" t="s">
        <v>2887</v>
      </c>
      <c r="AC864" s="169"/>
    </row>
    <row r="865" spans="1:29" ht="15" hidden="1" customHeight="1">
      <c r="A865" s="226" t="s">
        <v>203</v>
      </c>
      <c r="B865" s="226" t="s">
        <v>2391</v>
      </c>
      <c r="C865" s="226" t="s">
        <v>27</v>
      </c>
      <c r="D865" s="226" t="s">
        <v>2893</v>
      </c>
      <c r="E865" s="233" t="s">
        <v>2008</v>
      </c>
      <c r="F865" s="233">
        <v>3648404</v>
      </c>
      <c r="G865" s="233" t="s">
        <v>2392</v>
      </c>
      <c r="H865" s="233" t="s">
        <v>20</v>
      </c>
      <c r="I865" s="233" t="s">
        <v>60</v>
      </c>
      <c r="J865" s="233" t="s">
        <v>2484</v>
      </c>
      <c r="K865" s="233" t="s">
        <v>4427</v>
      </c>
      <c r="L865" s="51" t="s">
        <v>211</v>
      </c>
      <c r="M865" s="233" t="s">
        <v>22</v>
      </c>
      <c r="N865" s="233" t="s">
        <v>22</v>
      </c>
      <c r="O865" s="233" t="s">
        <v>3639</v>
      </c>
      <c r="P865" s="233" t="s">
        <v>3230</v>
      </c>
      <c r="Q865" s="233" t="s">
        <v>4097</v>
      </c>
      <c r="R865" s="233" t="s">
        <v>2631</v>
      </c>
      <c r="S865" s="225" t="s">
        <v>2393</v>
      </c>
      <c r="T865" s="234">
        <v>13910632574</v>
      </c>
      <c r="U865" s="235" t="s">
        <v>1628</v>
      </c>
      <c r="V865" s="235" t="s">
        <v>2076</v>
      </c>
      <c r="W865" s="234">
        <v>13810909937</v>
      </c>
      <c r="X865" s="236">
        <v>43334</v>
      </c>
      <c r="Y865" s="238" t="s">
        <v>27</v>
      </c>
      <c r="Z865" s="233" t="s">
        <v>27</v>
      </c>
      <c r="AA865" s="233" t="s">
        <v>27</v>
      </c>
      <c r="AB865" s="51" t="s">
        <v>2887</v>
      </c>
      <c r="AC865" s="169"/>
    </row>
    <row r="866" spans="1:29" ht="15" hidden="1" customHeight="1">
      <c r="A866" s="226" t="s">
        <v>203</v>
      </c>
      <c r="B866" s="226" t="s">
        <v>1631</v>
      </c>
      <c r="C866" s="226" t="s">
        <v>27</v>
      </c>
      <c r="D866" s="226" t="s">
        <v>2658</v>
      </c>
      <c r="E866" s="233" t="s">
        <v>2008</v>
      </c>
      <c r="F866" s="233">
        <v>3648460</v>
      </c>
      <c r="G866" s="233" t="s">
        <v>4395</v>
      </c>
      <c r="H866" s="233" t="s">
        <v>20</v>
      </c>
      <c r="I866" s="233" t="s">
        <v>60</v>
      </c>
      <c r="J866" s="233" t="s">
        <v>2558</v>
      </c>
      <c r="K866" s="233" t="s">
        <v>2378</v>
      </c>
      <c r="L866" s="51" t="s">
        <v>211</v>
      </c>
      <c r="M866" s="233" t="s">
        <v>22</v>
      </c>
      <c r="N866" s="233" t="s">
        <v>27</v>
      </c>
      <c r="O866" s="233" t="s">
        <v>3639</v>
      </c>
      <c r="P866" s="233" t="s">
        <v>3235</v>
      </c>
      <c r="Q866" s="233" t="s">
        <v>4098</v>
      </c>
      <c r="R866" s="233" t="s">
        <v>2602</v>
      </c>
      <c r="S866" s="225" t="s">
        <v>2017</v>
      </c>
      <c r="T866" s="234">
        <v>18518617394</v>
      </c>
      <c r="U866" s="235" t="s">
        <v>2356</v>
      </c>
      <c r="V866" s="235" t="s">
        <v>2357</v>
      </c>
      <c r="W866" s="234">
        <v>18911175574</v>
      </c>
      <c r="X866" s="236">
        <v>43199</v>
      </c>
      <c r="Y866" s="233" t="s">
        <v>27</v>
      </c>
      <c r="Z866" s="233" t="s">
        <v>27</v>
      </c>
      <c r="AA866" s="233" t="s">
        <v>27</v>
      </c>
      <c r="AB866" s="51" t="s">
        <v>2887</v>
      </c>
      <c r="AC866" s="169"/>
    </row>
    <row r="867" spans="1:29" ht="15" hidden="1" customHeight="1">
      <c r="A867" s="226" t="s">
        <v>203</v>
      </c>
      <c r="B867" s="226" t="s">
        <v>2010</v>
      </c>
      <c r="C867" s="226" t="s">
        <v>27</v>
      </c>
      <c r="D867" s="226" t="s">
        <v>2658</v>
      </c>
      <c r="E867" s="233" t="s">
        <v>2008</v>
      </c>
      <c r="F867" s="233">
        <v>3648300</v>
      </c>
      <c r="G867" s="233" t="s">
        <v>4378</v>
      </c>
      <c r="H867" s="233" t="s">
        <v>20</v>
      </c>
      <c r="I867" s="233" t="s">
        <v>21</v>
      </c>
      <c r="J867" s="233" t="s">
        <v>209</v>
      </c>
      <c r="K867" s="233" t="s">
        <v>236</v>
      </c>
      <c r="L867" s="51" t="s">
        <v>211</v>
      </c>
      <c r="M867" s="233" t="s">
        <v>22</v>
      </c>
      <c r="N867" s="233" t="s">
        <v>22</v>
      </c>
      <c r="O867" s="233" t="s">
        <v>3639</v>
      </c>
      <c r="P867" s="233" t="s">
        <v>3260</v>
      </c>
      <c r="Q867" s="233" t="s">
        <v>4099</v>
      </c>
      <c r="R867" s="233" t="s">
        <v>2603</v>
      </c>
      <c r="S867" s="233" t="s">
        <v>2018</v>
      </c>
      <c r="T867" s="234">
        <v>13810601732</v>
      </c>
      <c r="U867" s="235" t="s">
        <v>3606</v>
      </c>
      <c r="V867" s="235" t="s">
        <v>3607</v>
      </c>
      <c r="W867" s="234"/>
      <c r="X867" s="236">
        <v>43187</v>
      </c>
      <c r="Y867" s="233" t="s">
        <v>27</v>
      </c>
      <c r="Z867" s="233" t="s">
        <v>27</v>
      </c>
      <c r="AA867" s="233" t="s">
        <v>27</v>
      </c>
      <c r="AB867" s="51" t="s">
        <v>2887</v>
      </c>
      <c r="AC867" s="169"/>
    </row>
    <row r="868" spans="1:29" ht="15" hidden="1" customHeight="1">
      <c r="A868" s="226" t="s">
        <v>203</v>
      </c>
      <c r="B868" s="226" t="s">
        <v>2181</v>
      </c>
      <c r="C868" s="226" t="s">
        <v>27</v>
      </c>
      <c r="D868" s="226" t="s">
        <v>2658</v>
      </c>
      <c r="E868" s="233" t="s">
        <v>2008</v>
      </c>
      <c r="F868" s="233">
        <v>3648287</v>
      </c>
      <c r="G868" s="233" t="s">
        <v>2182</v>
      </c>
      <c r="H868" s="233" t="s">
        <v>20</v>
      </c>
      <c r="I868" s="233" t="s">
        <v>60</v>
      </c>
      <c r="J868" s="233" t="s">
        <v>2485</v>
      </c>
      <c r="K868" s="233" t="s">
        <v>4426</v>
      </c>
      <c r="L868" s="51" t="s">
        <v>211</v>
      </c>
      <c r="M868" s="233" t="s">
        <v>22</v>
      </c>
      <c r="N868" s="233" t="s">
        <v>22</v>
      </c>
      <c r="O868" s="233" t="s">
        <v>3639</v>
      </c>
      <c r="P868" s="233" t="s">
        <v>3261</v>
      </c>
      <c r="Q868" s="233" t="s">
        <v>4100</v>
      </c>
      <c r="R868" s="233" t="s">
        <v>2610</v>
      </c>
      <c r="S868" s="233" t="s">
        <v>2215</v>
      </c>
      <c r="T868" s="234">
        <v>18511274375</v>
      </c>
      <c r="U868" s="235" t="s">
        <v>3608</v>
      </c>
      <c r="V868" s="235" t="s">
        <v>3609</v>
      </c>
      <c r="W868" s="234">
        <v>13810486051</v>
      </c>
      <c r="X868" s="236">
        <v>43333</v>
      </c>
      <c r="Y868" s="233" t="s">
        <v>27</v>
      </c>
      <c r="Z868" s="233" t="s">
        <v>27</v>
      </c>
      <c r="AA868" s="233" t="s">
        <v>27</v>
      </c>
      <c r="AB868" s="51" t="s">
        <v>2887</v>
      </c>
      <c r="AC868" s="169"/>
    </row>
    <row r="869" spans="1:29" ht="15" hidden="1" customHeight="1">
      <c r="A869" s="226" t="s">
        <v>203</v>
      </c>
      <c r="B869" s="226" t="s">
        <v>2379</v>
      </c>
      <c r="C869" s="226" t="s">
        <v>22</v>
      </c>
      <c r="D869" s="226" t="s">
        <v>4443</v>
      </c>
      <c r="E869" s="233" t="s">
        <v>2008</v>
      </c>
      <c r="F869" s="233">
        <v>3648477</v>
      </c>
      <c r="G869" s="233" t="s">
        <v>2380</v>
      </c>
      <c r="H869" s="233" t="s">
        <v>20</v>
      </c>
      <c r="I869" s="233" t="s">
        <v>60</v>
      </c>
      <c r="J869" s="233"/>
      <c r="K869" s="233"/>
      <c r="L869" s="51" t="s">
        <v>211</v>
      </c>
      <c r="M869" s="233" t="s">
        <v>22</v>
      </c>
      <c r="N869" s="233" t="s">
        <v>22</v>
      </c>
      <c r="O869" s="233" t="s">
        <v>38</v>
      </c>
      <c r="P869" s="233" t="s">
        <v>3230</v>
      </c>
      <c r="Q869" s="233" t="s">
        <v>4101</v>
      </c>
      <c r="R869" s="233" t="s">
        <v>2628</v>
      </c>
      <c r="S869" s="233" t="s">
        <v>2381</v>
      </c>
      <c r="T869" s="234"/>
      <c r="U869" s="235" t="s">
        <v>1659</v>
      </c>
      <c r="V869" s="235" t="s">
        <v>2082</v>
      </c>
      <c r="W869" s="234"/>
      <c r="X869" s="236">
        <v>43334</v>
      </c>
      <c r="Y869" s="238" t="s">
        <v>27</v>
      </c>
      <c r="Z869" s="233" t="s">
        <v>27</v>
      </c>
      <c r="AA869" s="233" t="s">
        <v>27</v>
      </c>
      <c r="AB869" s="51" t="s">
        <v>2887</v>
      </c>
      <c r="AC869" s="169"/>
    </row>
    <row r="870" spans="1:29" ht="15" hidden="1" customHeight="1">
      <c r="A870" s="226" t="s">
        <v>203</v>
      </c>
      <c r="B870" s="226" t="s">
        <v>2372</v>
      </c>
      <c r="C870" s="226" t="s">
        <v>27</v>
      </c>
      <c r="D870" s="226" t="s">
        <v>2658</v>
      </c>
      <c r="E870" s="233" t="s">
        <v>2008</v>
      </c>
      <c r="F870" s="233">
        <v>3648350</v>
      </c>
      <c r="G870" s="233" t="s">
        <v>2373</v>
      </c>
      <c r="H870" s="233" t="s">
        <v>20</v>
      </c>
      <c r="I870" s="233" t="s">
        <v>60</v>
      </c>
      <c r="J870" s="233" t="s">
        <v>1588</v>
      </c>
      <c r="K870" s="233" t="s">
        <v>2364</v>
      </c>
      <c r="L870" s="51" t="s">
        <v>211</v>
      </c>
      <c r="M870" s="233" t="s">
        <v>22</v>
      </c>
      <c r="N870" s="233" t="s">
        <v>27</v>
      </c>
      <c r="O870" s="233" t="s">
        <v>3639</v>
      </c>
      <c r="P870" s="233" t="s">
        <v>3241</v>
      </c>
      <c r="Q870" s="233" t="s">
        <v>4102</v>
      </c>
      <c r="R870" s="233" t="s">
        <v>2626</v>
      </c>
      <c r="S870" s="233" t="s">
        <v>2374</v>
      </c>
      <c r="T870" s="234">
        <v>13331048823</v>
      </c>
      <c r="U870" s="235" t="s">
        <v>2126</v>
      </c>
      <c r="V870" s="235" t="s">
        <v>2117</v>
      </c>
      <c r="W870" s="234">
        <v>18612327143</v>
      </c>
      <c r="X870" s="236">
        <v>43202</v>
      </c>
      <c r="Y870" s="233" t="s">
        <v>27</v>
      </c>
      <c r="Z870" s="233" t="s">
        <v>27</v>
      </c>
      <c r="AA870" s="233" t="s">
        <v>27</v>
      </c>
      <c r="AB870" s="51" t="s">
        <v>2887</v>
      </c>
      <c r="AC870" s="169"/>
    </row>
    <row r="871" spans="1:29" ht="15" hidden="1" customHeight="1">
      <c r="A871" s="226" t="s">
        <v>203</v>
      </c>
      <c r="B871" s="226" t="s">
        <v>2359</v>
      </c>
      <c r="C871" s="226" t="s">
        <v>22</v>
      </c>
      <c r="D871" s="226" t="s">
        <v>4443</v>
      </c>
      <c r="E871" s="233" t="s">
        <v>2008</v>
      </c>
      <c r="F871" s="233">
        <v>3648414</v>
      </c>
      <c r="G871" s="233" t="s">
        <v>2360</v>
      </c>
      <c r="H871" s="233" t="s">
        <v>20</v>
      </c>
      <c r="I871" s="233" t="s">
        <v>60</v>
      </c>
      <c r="J871" s="233" t="s">
        <v>1588</v>
      </c>
      <c r="K871" s="233" t="s">
        <v>2364</v>
      </c>
      <c r="L871" s="51" t="s">
        <v>211</v>
      </c>
      <c r="M871" s="233" t="s">
        <v>22</v>
      </c>
      <c r="N871" s="233" t="s">
        <v>27</v>
      </c>
      <c r="O871" s="233" t="s">
        <v>3639</v>
      </c>
      <c r="P871" s="233" t="s">
        <v>3235</v>
      </c>
      <c r="Q871" s="233" t="s">
        <v>4103</v>
      </c>
      <c r="R871" s="233" t="s">
        <v>2623</v>
      </c>
      <c r="S871" s="233" t="s">
        <v>2361</v>
      </c>
      <c r="T871" s="234">
        <v>18911175594</v>
      </c>
      <c r="U871" s="235" t="s">
        <v>3610</v>
      </c>
      <c r="V871" s="235" t="s">
        <v>3611</v>
      </c>
      <c r="W871" s="234">
        <v>18510546189</v>
      </c>
      <c r="X871" s="236">
        <v>43200</v>
      </c>
      <c r="Y871" s="233" t="s">
        <v>27</v>
      </c>
      <c r="Z871" s="233" t="s">
        <v>27</v>
      </c>
      <c r="AA871" s="233" t="s">
        <v>27</v>
      </c>
      <c r="AB871" s="51" t="s">
        <v>2887</v>
      </c>
      <c r="AC871" s="169"/>
    </row>
    <row r="872" spans="1:29" ht="15" hidden="1" customHeight="1">
      <c r="A872" s="226" t="s">
        <v>203</v>
      </c>
      <c r="B872" s="226" t="s">
        <v>2183</v>
      </c>
      <c r="C872" s="226" t="s">
        <v>22</v>
      </c>
      <c r="D872" s="226"/>
      <c r="E872" s="233" t="s">
        <v>2008</v>
      </c>
      <c r="F872" s="233">
        <v>3648258</v>
      </c>
      <c r="G872" s="233" t="s">
        <v>2184</v>
      </c>
      <c r="H872" s="233" t="s">
        <v>20</v>
      </c>
      <c r="I872" s="233" t="s">
        <v>60</v>
      </c>
      <c r="J872" s="233"/>
      <c r="K872" s="233"/>
      <c r="L872" s="51" t="s">
        <v>211</v>
      </c>
      <c r="M872" s="233" t="s">
        <v>22</v>
      </c>
      <c r="N872" s="233" t="s">
        <v>22</v>
      </c>
      <c r="O872" s="233" t="s">
        <v>38</v>
      </c>
      <c r="P872" s="233" t="s">
        <v>3204</v>
      </c>
      <c r="Q872" s="233" t="s">
        <v>4104</v>
      </c>
      <c r="R872" s="233" t="s">
        <v>2611</v>
      </c>
      <c r="S872" s="233" t="s">
        <v>2216</v>
      </c>
      <c r="T872" s="234"/>
      <c r="U872" s="235" t="s">
        <v>1096</v>
      </c>
      <c r="V872" s="235" t="s">
        <v>2107</v>
      </c>
      <c r="W872" s="234"/>
      <c r="X872" s="236">
        <v>43326</v>
      </c>
      <c r="Y872" s="233" t="s">
        <v>27</v>
      </c>
      <c r="Z872" s="233" t="s">
        <v>27</v>
      </c>
      <c r="AA872" s="233" t="s">
        <v>27</v>
      </c>
      <c r="AB872" s="51" t="s">
        <v>2887</v>
      </c>
      <c r="AC872" s="169"/>
    </row>
    <row r="873" spans="1:29" ht="15" hidden="1" customHeight="1">
      <c r="A873" s="226" t="s">
        <v>203</v>
      </c>
      <c r="B873" s="226" t="s">
        <v>2185</v>
      </c>
      <c r="C873" s="226" t="s">
        <v>27</v>
      </c>
      <c r="D873" s="226" t="s">
        <v>4443</v>
      </c>
      <c r="E873" s="233" t="s">
        <v>2008</v>
      </c>
      <c r="F873" s="233">
        <v>3648246</v>
      </c>
      <c r="G873" s="233" t="s">
        <v>4396</v>
      </c>
      <c r="H873" s="233" t="s">
        <v>20</v>
      </c>
      <c r="I873" s="233" t="s">
        <v>60</v>
      </c>
      <c r="J873" s="233" t="s">
        <v>3923</v>
      </c>
      <c r="K873" s="233" t="s">
        <v>2649</v>
      </c>
      <c r="L873" s="51" t="s">
        <v>211</v>
      </c>
      <c r="M873" s="233" t="s">
        <v>22</v>
      </c>
      <c r="N873" s="233" t="s">
        <v>22</v>
      </c>
      <c r="O873" s="233" t="s">
        <v>27</v>
      </c>
      <c r="P873" s="233" t="s">
        <v>3261</v>
      </c>
      <c r="Q873" s="233" t="s">
        <v>4105</v>
      </c>
      <c r="R873" s="233" t="s">
        <v>4106</v>
      </c>
      <c r="S873" s="233" t="s">
        <v>4107</v>
      </c>
      <c r="T873" s="234">
        <v>18900670308</v>
      </c>
      <c r="U873" s="235" t="s">
        <v>3612</v>
      </c>
      <c r="V873" s="235" t="s">
        <v>3613</v>
      </c>
      <c r="W873" s="234">
        <v>13800001330</v>
      </c>
      <c r="X873" s="236">
        <v>43196</v>
      </c>
      <c r="Y873" s="233" t="s">
        <v>27</v>
      </c>
      <c r="Z873" s="233" t="s">
        <v>27</v>
      </c>
      <c r="AA873" s="233" t="s">
        <v>27</v>
      </c>
      <c r="AB873" s="51" t="s">
        <v>2887</v>
      </c>
      <c r="AC873" s="169"/>
    </row>
    <row r="874" spans="1:29" ht="15" hidden="1" customHeight="1">
      <c r="A874" s="226" t="s">
        <v>203</v>
      </c>
      <c r="B874" s="226" t="s">
        <v>2187</v>
      </c>
      <c r="C874" s="226" t="s">
        <v>27</v>
      </c>
      <c r="D874" s="226" t="s">
        <v>2658</v>
      </c>
      <c r="E874" s="233" t="s">
        <v>2008</v>
      </c>
      <c r="F874" s="233">
        <v>3648326</v>
      </c>
      <c r="G874" s="233" t="s">
        <v>2188</v>
      </c>
      <c r="H874" s="233" t="s">
        <v>20</v>
      </c>
      <c r="I874" s="233" t="s">
        <v>60</v>
      </c>
      <c r="J874" s="233" t="s">
        <v>2486</v>
      </c>
      <c r="K874" s="233" t="s">
        <v>2651</v>
      </c>
      <c r="L874" s="51" t="s">
        <v>211</v>
      </c>
      <c r="M874" s="233" t="s">
        <v>22</v>
      </c>
      <c r="N874" s="233" t="s">
        <v>22</v>
      </c>
      <c r="O874" s="233" t="s">
        <v>3639</v>
      </c>
      <c r="P874" s="233" t="s">
        <v>3317</v>
      </c>
      <c r="Q874" s="233" t="s">
        <v>4108</v>
      </c>
      <c r="R874" s="233" t="s">
        <v>2612</v>
      </c>
      <c r="S874" s="233" t="s">
        <v>2217</v>
      </c>
      <c r="T874" s="234">
        <v>13810016594</v>
      </c>
      <c r="U874" s="235" t="s">
        <v>2461</v>
      </c>
      <c r="V874" s="235" t="s">
        <v>2462</v>
      </c>
      <c r="W874" s="234">
        <v>18610808439</v>
      </c>
      <c r="X874" s="236">
        <v>43323</v>
      </c>
      <c r="Y874" s="233" t="s">
        <v>27</v>
      </c>
      <c r="Z874" s="233" t="s">
        <v>27</v>
      </c>
      <c r="AA874" s="233" t="s">
        <v>27</v>
      </c>
      <c r="AB874" s="51" t="s">
        <v>2887</v>
      </c>
      <c r="AC874" s="169"/>
    </row>
    <row r="875" spans="1:29" ht="15" hidden="1" customHeight="1">
      <c r="A875" s="226" t="s">
        <v>203</v>
      </c>
      <c r="B875" s="226" t="s">
        <v>2369</v>
      </c>
      <c r="C875" s="226" t="s">
        <v>27</v>
      </c>
      <c r="D875" s="226" t="s">
        <v>4443</v>
      </c>
      <c r="E875" s="233" t="s">
        <v>2008</v>
      </c>
      <c r="F875" s="233">
        <v>3648524</v>
      </c>
      <c r="G875" s="233" t="s">
        <v>2370</v>
      </c>
      <c r="H875" s="233" t="s">
        <v>20</v>
      </c>
      <c r="I875" s="233" t="s">
        <v>60</v>
      </c>
      <c r="J875" s="233" t="s">
        <v>1588</v>
      </c>
      <c r="K875" s="233" t="s">
        <v>2364</v>
      </c>
      <c r="L875" s="51" t="s">
        <v>211</v>
      </c>
      <c r="M875" s="233" t="s">
        <v>22</v>
      </c>
      <c r="N875" s="233" t="s">
        <v>27</v>
      </c>
      <c r="O875" s="233" t="s">
        <v>3639</v>
      </c>
      <c r="P875" s="233" t="s">
        <v>3227</v>
      </c>
      <c r="Q875" s="233" t="s">
        <v>4109</v>
      </c>
      <c r="R875" s="233" t="s">
        <v>2625</v>
      </c>
      <c r="S875" s="233" t="s">
        <v>2371</v>
      </c>
      <c r="T875" s="234">
        <v>17310163475</v>
      </c>
      <c r="U875" s="235" t="s">
        <v>2446</v>
      </c>
      <c r="V875" s="235" t="s">
        <v>2447</v>
      </c>
      <c r="W875" s="234">
        <v>18511956143</v>
      </c>
      <c r="X875" s="236">
        <v>43198</v>
      </c>
      <c r="Y875" s="233" t="s">
        <v>27</v>
      </c>
      <c r="Z875" s="233" t="s">
        <v>27</v>
      </c>
      <c r="AA875" s="233" t="s">
        <v>27</v>
      </c>
      <c r="AB875" s="51" t="s">
        <v>2887</v>
      </c>
      <c r="AC875" s="169"/>
    </row>
    <row r="876" spans="1:29" ht="15" hidden="1" customHeight="1">
      <c r="A876" s="226" t="s">
        <v>203</v>
      </c>
      <c r="B876" s="226" t="s">
        <v>2011</v>
      </c>
      <c r="C876" s="226" t="s">
        <v>27</v>
      </c>
      <c r="D876" s="226" t="s">
        <v>2658</v>
      </c>
      <c r="E876" s="233" t="s">
        <v>2008</v>
      </c>
      <c r="F876" s="233">
        <v>3648409</v>
      </c>
      <c r="G876" s="233" t="s">
        <v>4386</v>
      </c>
      <c r="H876" s="233" t="s">
        <v>20</v>
      </c>
      <c r="I876" s="233" t="s">
        <v>21</v>
      </c>
      <c r="J876" s="233" t="s">
        <v>209</v>
      </c>
      <c r="K876" s="233" t="s">
        <v>236</v>
      </c>
      <c r="L876" s="51" t="s">
        <v>211</v>
      </c>
      <c r="M876" s="233" t="s">
        <v>22</v>
      </c>
      <c r="N876" s="233" t="s">
        <v>22</v>
      </c>
      <c r="O876" s="233" t="s">
        <v>3639</v>
      </c>
      <c r="P876" s="233" t="s">
        <v>3260</v>
      </c>
      <c r="Q876" s="233" t="s">
        <v>4110</v>
      </c>
      <c r="R876" s="233" t="s">
        <v>3747</v>
      </c>
      <c r="S876" s="233" t="s">
        <v>3748</v>
      </c>
      <c r="T876" s="234">
        <v>13810721920</v>
      </c>
      <c r="U876" s="235" t="s">
        <v>2427</v>
      </c>
      <c r="V876" s="235" t="s">
        <v>2428</v>
      </c>
      <c r="W876" s="234"/>
      <c r="X876" s="236">
        <v>43187</v>
      </c>
      <c r="Y876" s="233" t="s">
        <v>27</v>
      </c>
      <c r="Z876" s="233" t="s">
        <v>27</v>
      </c>
      <c r="AA876" s="233" t="s">
        <v>27</v>
      </c>
      <c r="AB876" s="51" t="s">
        <v>2887</v>
      </c>
      <c r="AC876" s="169"/>
    </row>
    <row r="877" spans="1:29" ht="15" hidden="1" customHeight="1">
      <c r="A877" s="226" t="s">
        <v>203</v>
      </c>
      <c r="B877" s="226" t="s">
        <v>2189</v>
      </c>
      <c r="C877" s="226" t="s">
        <v>27</v>
      </c>
      <c r="D877" s="226" t="s">
        <v>2658</v>
      </c>
      <c r="E877" s="233" t="s">
        <v>2008</v>
      </c>
      <c r="F877" s="233">
        <v>3648510</v>
      </c>
      <c r="G877" s="233" t="s">
        <v>2186</v>
      </c>
      <c r="H877" s="233" t="s">
        <v>20</v>
      </c>
      <c r="I877" s="233" t="s">
        <v>60</v>
      </c>
      <c r="J877" s="233" t="s">
        <v>2486</v>
      </c>
      <c r="K877" s="233" t="s">
        <v>2651</v>
      </c>
      <c r="L877" s="51" t="s">
        <v>211</v>
      </c>
      <c r="M877" s="233" t="s">
        <v>22</v>
      </c>
      <c r="N877" s="233" t="s">
        <v>22</v>
      </c>
      <c r="O877" s="233" t="s">
        <v>3639</v>
      </c>
      <c r="P877" s="233" t="s">
        <v>3317</v>
      </c>
      <c r="Q877" s="233" t="s">
        <v>4111</v>
      </c>
      <c r="R877" s="233" t="s">
        <v>2613</v>
      </c>
      <c r="S877" s="233" t="s">
        <v>2218</v>
      </c>
      <c r="T877" s="234">
        <v>13810280448</v>
      </c>
      <c r="U877" s="235" t="s">
        <v>2438</v>
      </c>
      <c r="V877" s="235" t="s">
        <v>2439</v>
      </c>
      <c r="W877" s="234">
        <v>13051110361</v>
      </c>
      <c r="X877" s="236">
        <v>43323</v>
      </c>
      <c r="Y877" s="233" t="s">
        <v>27</v>
      </c>
      <c r="Z877" s="233" t="s">
        <v>27</v>
      </c>
      <c r="AA877" s="233" t="s">
        <v>27</v>
      </c>
      <c r="AB877" s="51" t="s">
        <v>2887</v>
      </c>
      <c r="AC877" s="169"/>
    </row>
    <row r="878" spans="1:29" ht="15" hidden="1" customHeight="1">
      <c r="A878" s="226" t="s">
        <v>203</v>
      </c>
      <c r="B878" s="226" t="s">
        <v>2190</v>
      </c>
      <c r="C878" s="226" t="s">
        <v>27</v>
      </c>
      <c r="D878" s="226" t="s">
        <v>2893</v>
      </c>
      <c r="E878" s="233" t="s">
        <v>2008</v>
      </c>
      <c r="F878" s="233">
        <v>3648209</v>
      </c>
      <c r="G878" s="233" t="s">
        <v>2191</v>
      </c>
      <c r="H878" s="233" t="s">
        <v>20</v>
      </c>
      <c r="I878" s="233" t="s">
        <v>21</v>
      </c>
      <c r="J878" s="225" t="s">
        <v>204</v>
      </c>
      <c r="K878" s="233" t="s">
        <v>206</v>
      </c>
      <c r="L878" s="51" t="s">
        <v>211</v>
      </c>
      <c r="M878" s="233" t="s">
        <v>22</v>
      </c>
      <c r="N878" s="233" t="s">
        <v>27</v>
      </c>
      <c r="O878" s="233" t="s">
        <v>3639</v>
      </c>
      <c r="P878" s="233" t="s">
        <v>3221</v>
      </c>
      <c r="Q878" s="233" t="s">
        <v>4112</v>
      </c>
      <c r="R878" s="233" t="s">
        <v>2614</v>
      </c>
      <c r="S878" s="233" t="s">
        <v>2219</v>
      </c>
      <c r="T878" s="234">
        <v>13331048812</v>
      </c>
      <c r="U878" s="235" t="s">
        <v>2422</v>
      </c>
      <c r="V878" s="235" t="s">
        <v>2423</v>
      </c>
      <c r="W878" s="234"/>
      <c r="X878" s="236">
        <v>43252</v>
      </c>
      <c r="Y878" s="233" t="s">
        <v>27</v>
      </c>
      <c r="Z878" s="233" t="s">
        <v>27</v>
      </c>
      <c r="AA878" s="233" t="s">
        <v>27</v>
      </c>
      <c r="AB878" s="51" t="s">
        <v>2887</v>
      </c>
      <c r="AC878" s="169"/>
    </row>
    <row r="879" spans="1:29" ht="15" hidden="1" customHeight="1">
      <c r="A879" s="226" t="s">
        <v>203</v>
      </c>
      <c r="B879" s="226" t="s">
        <v>2192</v>
      </c>
      <c r="C879" s="226" t="s">
        <v>27</v>
      </c>
      <c r="D879" s="226" t="s">
        <v>4443</v>
      </c>
      <c r="E879" s="233" t="s">
        <v>2008</v>
      </c>
      <c r="F879" s="233">
        <v>3648317</v>
      </c>
      <c r="G879" s="233" t="s">
        <v>2193</v>
      </c>
      <c r="H879" s="233" t="s">
        <v>20</v>
      </c>
      <c r="I879" s="233" t="s">
        <v>60</v>
      </c>
      <c r="J879" s="225" t="s">
        <v>2484</v>
      </c>
      <c r="K879" s="233" t="s">
        <v>4427</v>
      </c>
      <c r="L879" s="51" t="s">
        <v>211</v>
      </c>
      <c r="M879" s="233" t="s">
        <v>22</v>
      </c>
      <c r="N879" s="233" t="s">
        <v>22</v>
      </c>
      <c r="O879" s="226" t="s">
        <v>3639</v>
      </c>
      <c r="P879" s="233" t="s">
        <v>3204</v>
      </c>
      <c r="Q879" s="233" t="s">
        <v>4113</v>
      </c>
      <c r="R879" s="233" t="s">
        <v>2615</v>
      </c>
      <c r="S879" s="233" t="s">
        <v>2220</v>
      </c>
      <c r="T879" s="234">
        <v>13810462637</v>
      </c>
      <c r="U879" s="235" t="s">
        <v>2433</v>
      </c>
      <c r="V879" s="235" t="s">
        <v>2434</v>
      </c>
      <c r="W879" s="234">
        <v>13910407834</v>
      </c>
      <c r="X879" s="236">
        <v>43328</v>
      </c>
      <c r="Y879" s="233" t="s">
        <v>27</v>
      </c>
      <c r="Z879" s="233" t="s">
        <v>27</v>
      </c>
      <c r="AA879" s="233" t="s">
        <v>27</v>
      </c>
      <c r="AB879" s="51" t="s">
        <v>2887</v>
      </c>
      <c r="AC879" s="169"/>
    </row>
    <row r="880" spans="1:29" ht="15" hidden="1" customHeight="1">
      <c r="A880" s="226" t="s">
        <v>203</v>
      </c>
      <c r="B880" s="226" t="s">
        <v>2194</v>
      </c>
      <c r="C880" s="226" t="s">
        <v>27</v>
      </c>
      <c r="D880" s="226" t="s">
        <v>2893</v>
      </c>
      <c r="E880" s="233" t="s">
        <v>2008</v>
      </c>
      <c r="F880" s="233">
        <v>3648222</v>
      </c>
      <c r="G880" s="233" t="s">
        <v>2195</v>
      </c>
      <c r="H880" s="233" t="s">
        <v>20</v>
      </c>
      <c r="I880" s="233" t="s">
        <v>60</v>
      </c>
      <c r="J880" s="233" t="s">
        <v>2486</v>
      </c>
      <c r="K880" s="233" t="s">
        <v>2358</v>
      </c>
      <c r="L880" s="51" t="s">
        <v>211</v>
      </c>
      <c r="M880" s="233" t="s">
        <v>22</v>
      </c>
      <c r="N880" s="233" t="s">
        <v>22</v>
      </c>
      <c r="O880" s="233" t="s">
        <v>3639</v>
      </c>
      <c r="P880" s="233" t="s">
        <v>3935</v>
      </c>
      <c r="Q880" s="233" t="s">
        <v>4114</v>
      </c>
      <c r="R880" s="233" t="s">
        <v>2616</v>
      </c>
      <c r="S880" s="233" t="s">
        <v>2221</v>
      </c>
      <c r="T880" s="234">
        <v>13810221452</v>
      </c>
      <c r="U880" s="235" t="s">
        <v>2417</v>
      </c>
      <c r="V880" s="235" t="s">
        <v>2418</v>
      </c>
      <c r="W880" s="234">
        <v>15611594814</v>
      </c>
      <c r="X880" s="236">
        <v>43199</v>
      </c>
      <c r="Y880" s="233" t="s">
        <v>27</v>
      </c>
      <c r="Z880" s="233" t="s">
        <v>27</v>
      </c>
      <c r="AA880" s="233" t="s">
        <v>27</v>
      </c>
      <c r="AB880" s="51" t="s">
        <v>2887</v>
      </c>
      <c r="AC880" s="169"/>
    </row>
    <row r="881" spans="1:29" ht="15" hidden="1" customHeight="1">
      <c r="A881" s="226" t="s">
        <v>203</v>
      </c>
      <c r="B881" s="226" t="s">
        <v>2196</v>
      </c>
      <c r="C881" s="226" t="s">
        <v>27</v>
      </c>
      <c r="D881" s="226" t="s">
        <v>2658</v>
      </c>
      <c r="E881" s="226" t="s">
        <v>2008</v>
      </c>
      <c r="F881" s="226">
        <v>3648394</v>
      </c>
      <c r="G881" s="233" t="s">
        <v>2197</v>
      </c>
      <c r="H881" s="226" t="s">
        <v>20</v>
      </c>
      <c r="I881" s="225" t="s">
        <v>60</v>
      </c>
      <c r="J881" s="225" t="s">
        <v>2486</v>
      </c>
      <c r="K881" s="225" t="s">
        <v>2651</v>
      </c>
      <c r="L881" s="51" t="s">
        <v>211</v>
      </c>
      <c r="M881" s="226" t="s">
        <v>22</v>
      </c>
      <c r="N881" s="226" t="s">
        <v>22</v>
      </c>
      <c r="O881" s="226" t="s">
        <v>3639</v>
      </c>
      <c r="P881" s="226" t="s">
        <v>3211</v>
      </c>
      <c r="Q881" s="226" t="s">
        <v>4115</v>
      </c>
      <c r="R881" s="227" t="s">
        <v>2617</v>
      </c>
      <c r="S881" s="225" t="s">
        <v>2222</v>
      </c>
      <c r="T881" s="228">
        <v>13810364043</v>
      </c>
      <c r="U881" s="235" t="s">
        <v>2456</v>
      </c>
      <c r="V881" s="225" t="s">
        <v>2457</v>
      </c>
      <c r="W881" s="229">
        <v>18515697901</v>
      </c>
      <c r="X881" s="230">
        <v>43323</v>
      </c>
      <c r="Y881" s="238" t="s">
        <v>27</v>
      </c>
      <c r="Z881" s="238" t="s">
        <v>27</v>
      </c>
      <c r="AA881" s="238" t="s">
        <v>27</v>
      </c>
      <c r="AB881" s="45" t="s">
        <v>2887</v>
      </c>
      <c r="AC881" s="169"/>
    </row>
    <row r="882" spans="1:29" ht="15" hidden="1" customHeight="1">
      <c r="A882" s="226" t="s">
        <v>203</v>
      </c>
      <c r="B882" s="226" t="s">
        <v>2354</v>
      </c>
      <c r="C882" s="226" t="s">
        <v>27</v>
      </c>
      <c r="D882" s="226" t="s">
        <v>2658</v>
      </c>
      <c r="E882" s="226" t="s">
        <v>2008</v>
      </c>
      <c r="F882" s="226">
        <v>3648281</v>
      </c>
      <c r="G882" s="233" t="s">
        <v>2188</v>
      </c>
      <c r="H882" s="226" t="s">
        <v>20</v>
      </c>
      <c r="I882" s="225" t="s">
        <v>60</v>
      </c>
      <c r="J882" s="225" t="s">
        <v>2486</v>
      </c>
      <c r="K882" s="225" t="s">
        <v>2651</v>
      </c>
      <c r="L882" s="51" t="s">
        <v>211</v>
      </c>
      <c r="M882" s="226" t="s">
        <v>22</v>
      </c>
      <c r="N882" s="226" t="s">
        <v>22</v>
      </c>
      <c r="O882" s="226" t="s">
        <v>3639</v>
      </c>
      <c r="P882" s="226" t="s">
        <v>3317</v>
      </c>
      <c r="Q882" s="226" t="s">
        <v>4116</v>
      </c>
      <c r="R882" s="227" t="s">
        <v>2622</v>
      </c>
      <c r="S882" s="225" t="s">
        <v>2355</v>
      </c>
      <c r="T882" s="228">
        <v>13810280494</v>
      </c>
      <c r="U882" s="235" t="s">
        <v>2404</v>
      </c>
      <c r="V882" s="225" t="s">
        <v>2405</v>
      </c>
      <c r="W882" s="229">
        <v>18612029422</v>
      </c>
      <c r="X882" s="230">
        <v>43334</v>
      </c>
      <c r="Y882" s="238" t="s">
        <v>27</v>
      </c>
      <c r="Z882" s="238" t="s">
        <v>27</v>
      </c>
      <c r="AA882" s="238" t="s">
        <v>27</v>
      </c>
      <c r="AB882" s="45" t="s">
        <v>2887</v>
      </c>
      <c r="AC882" s="169"/>
    </row>
    <row r="883" spans="1:29" ht="15" hidden="1" customHeight="1">
      <c r="A883" s="226" t="s">
        <v>203</v>
      </c>
      <c r="B883" s="226" t="s">
        <v>2198</v>
      </c>
      <c r="C883" s="226" t="s">
        <v>27</v>
      </c>
      <c r="D883" s="226" t="s">
        <v>2893</v>
      </c>
      <c r="E883" s="226" t="s">
        <v>2008</v>
      </c>
      <c r="F883" s="226">
        <v>3648422</v>
      </c>
      <c r="G883" s="233" t="s">
        <v>2180</v>
      </c>
      <c r="H883" s="226" t="s">
        <v>20</v>
      </c>
      <c r="I883" s="225" t="s">
        <v>21</v>
      </c>
      <c r="J883" s="225" t="s">
        <v>204</v>
      </c>
      <c r="K883" s="225" t="s">
        <v>206</v>
      </c>
      <c r="L883" s="51" t="s">
        <v>211</v>
      </c>
      <c r="M883" s="226" t="s">
        <v>22</v>
      </c>
      <c r="N883" s="226" t="s">
        <v>27</v>
      </c>
      <c r="O883" s="226" t="s">
        <v>3639</v>
      </c>
      <c r="P883" s="226" t="s">
        <v>3238</v>
      </c>
      <c r="Q883" s="226" t="s">
        <v>4117</v>
      </c>
      <c r="R883" s="227" t="s">
        <v>2618</v>
      </c>
      <c r="S883" s="225" t="s">
        <v>2223</v>
      </c>
      <c r="T883" s="228">
        <v>13331048817</v>
      </c>
      <c r="U883" s="235" t="s">
        <v>1669</v>
      </c>
      <c r="V883" s="225" t="s">
        <v>2092</v>
      </c>
      <c r="W883" s="229"/>
      <c r="X883" s="230">
        <v>43196</v>
      </c>
      <c r="Y883" s="238" t="s">
        <v>27</v>
      </c>
      <c r="Z883" s="238" t="s">
        <v>27</v>
      </c>
      <c r="AA883" s="238" t="s">
        <v>27</v>
      </c>
      <c r="AB883" s="45" t="s">
        <v>2887</v>
      </c>
      <c r="AC883" s="169"/>
    </row>
    <row r="884" spans="1:29" ht="15" hidden="1" customHeight="1">
      <c r="A884" s="226" t="s">
        <v>203</v>
      </c>
      <c r="B884" s="226" t="s">
        <v>2199</v>
      </c>
      <c r="C884" s="226" t="s">
        <v>22</v>
      </c>
      <c r="D884" s="226" t="s">
        <v>4443</v>
      </c>
      <c r="E884" s="226" t="s">
        <v>2008</v>
      </c>
      <c r="F884" s="226">
        <v>3648242</v>
      </c>
      <c r="G884" s="233" t="s">
        <v>2200</v>
      </c>
      <c r="H884" s="226" t="s">
        <v>20</v>
      </c>
      <c r="I884" s="225" t="s">
        <v>60</v>
      </c>
      <c r="J884" s="225"/>
      <c r="K884" s="225"/>
      <c r="L884" s="51" t="s">
        <v>211</v>
      </c>
      <c r="M884" s="226" t="s">
        <v>22</v>
      </c>
      <c r="N884" s="226" t="s">
        <v>22</v>
      </c>
      <c r="O884" s="226" t="s">
        <v>38</v>
      </c>
      <c r="P884" s="226" t="s">
        <v>3235</v>
      </c>
      <c r="Q884" s="226" t="s">
        <v>4118</v>
      </c>
      <c r="R884" s="227" t="s">
        <v>2619</v>
      </c>
      <c r="S884" s="225" t="s">
        <v>2224</v>
      </c>
      <c r="T884" s="228"/>
      <c r="U884" s="235" t="s">
        <v>2652</v>
      </c>
      <c r="V884" s="225" t="s">
        <v>2653</v>
      </c>
      <c r="W884" s="229"/>
      <c r="X884" s="230">
        <v>43334</v>
      </c>
      <c r="Y884" s="238" t="s">
        <v>27</v>
      </c>
      <c r="Z884" s="238" t="s">
        <v>27</v>
      </c>
      <c r="AA884" s="238" t="s">
        <v>27</v>
      </c>
      <c r="AB884" s="45" t="s">
        <v>2887</v>
      </c>
      <c r="AC884" s="169"/>
    </row>
    <row r="885" spans="1:29" ht="15" hidden="1" customHeight="1">
      <c r="A885" s="226" t="s">
        <v>203</v>
      </c>
      <c r="B885" s="226" t="s">
        <v>2012</v>
      </c>
      <c r="C885" s="226" t="s">
        <v>27</v>
      </c>
      <c r="D885" s="226" t="s">
        <v>2658</v>
      </c>
      <c r="E885" s="226" t="s">
        <v>2008</v>
      </c>
      <c r="F885" s="226">
        <v>3648249</v>
      </c>
      <c r="G885" s="233" t="s">
        <v>4365</v>
      </c>
      <c r="H885" s="226" t="s">
        <v>20</v>
      </c>
      <c r="I885" s="225" t="s">
        <v>21</v>
      </c>
      <c r="J885" s="225" t="s">
        <v>204</v>
      </c>
      <c r="K885" s="225" t="s">
        <v>206</v>
      </c>
      <c r="L885" s="51" t="s">
        <v>211</v>
      </c>
      <c r="M885" s="226" t="s">
        <v>22</v>
      </c>
      <c r="N885" s="226" t="s">
        <v>27</v>
      </c>
      <c r="O885" s="226" t="s">
        <v>3639</v>
      </c>
      <c r="P885" s="226" t="s">
        <v>3324</v>
      </c>
      <c r="Q885" s="226" t="s">
        <v>4119</v>
      </c>
      <c r="R885" s="227" t="s">
        <v>2604</v>
      </c>
      <c r="S885" s="225" t="s">
        <v>2019</v>
      </c>
      <c r="T885" s="228">
        <v>17310496476</v>
      </c>
      <c r="U885" s="235" t="s">
        <v>2412</v>
      </c>
      <c r="V885" s="225" t="s">
        <v>2413</v>
      </c>
      <c r="W885" s="229"/>
      <c r="X885" s="230"/>
      <c r="Y885" s="238" t="s">
        <v>27</v>
      </c>
      <c r="Z885" s="238" t="s">
        <v>27</v>
      </c>
      <c r="AA885" s="238" t="s">
        <v>27</v>
      </c>
      <c r="AB885" s="45" t="s">
        <v>2887</v>
      </c>
      <c r="AC885" s="169"/>
    </row>
    <row r="886" spans="1:29" ht="15" hidden="1" customHeight="1">
      <c r="A886" s="226" t="s">
        <v>203</v>
      </c>
      <c r="B886" s="226" t="s">
        <v>2013</v>
      </c>
      <c r="C886" s="226" t="s">
        <v>27</v>
      </c>
      <c r="D886" s="226" t="s">
        <v>2658</v>
      </c>
      <c r="E886" s="226" t="s">
        <v>2008</v>
      </c>
      <c r="F886" s="226">
        <v>3648265</v>
      </c>
      <c r="G886" s="233" t="s">
        <v>4309</v>
      </c>
      <c r="H886" s="226" t="s">
        <v>20</v>
      </c>
      <c r="I886" s="225" t="s">
        <v>21</v>
      </c>
      <c r="J886" s="225" t="s">
        <v>209</v>
      </c>
      <c r="K886" s="225" t="s">
        <v>236</v>
      </c>
      <c r="L886" s="51" t="s">
        <v>211</v>
      </c>
      <c r="M886" s="226" t="s">
        <v>22</v>
      </c>
      <c r="N886" s="226" t="s">
        <v>22</v>
      </c>
      <c r="O886" s="226" t="s">
        <v>3639</v>
      </c>
      <c r="P886" s="226" t="s">
        <v>3241</v>
      </c>
      <c r="Q886" s="226" t="s">
        <v>4120</v>
      </c>
      <c r="R886" s="227" t="s">
        <v>2969</v>
      </c>
      <c r="S886" s="225" t="s">
        <v>2970</v>
      </c>
      <c r="T886" s="228">
        <v>13810928530</v>
      </c>
      <c r="U886" s="235" t="s">
        <v>2399</v>
      </c>
      <c r="V886" s="225" t="s">
        <v>2400</v>
      </c>
      <c r="W886" s="229"/>
      <c r="X886" s="230">
        <v>43215</v>
      </c>
      <c r="Y886" s="238" t="s">
        <v>27</v>
      </c>
      <c r="Z886" s="238" t="s">
        <v>27</v>
      </c>
      <c r="AA886" s="238" t="s">
        <v>27</v>
      </c>
      <c r="AB886" s="45" t="s">
        <v>2887</v>
      </c>
      <c r="AC886" s="169"/>
    </row>
    <row r="887" spans="1:29" ht="15" hidden="1" customHeight="1">
      <c r="A887" s="226" t="s">
        <v>203</v>
      </c>
      <c r="B887" s="226" t="s">
        <v>2014</v>
      </c>
      <c r="C887" s="226" t="s">
        <v>27</v>
      </c>
      <c r="D887" s="226" t="s">
        <v>4444</v>
      </c>
      <c r="E887" s="226" t="s">
        <v>2008</v>
      </c>
      <c r="F887" s="226">
        <v>3648211</v>
      </c>
      <c r="G887" s="233" t="s">
        <v>2540</v>
      </c>
      <c r="H887" s="226" t="s">
        <v>20</v>
      </c>
      <c r="I887" s="225" t="s">
        <v>21</v>
      </c>
      <c r="J887" s="225" t="s">
        <v>209</v>
      </c>
      <c r="K887" s="225" t="s">
        <v>236</v>
      </c>
      <c r="L887" s="51" t="s">
        <v>211</v>
      </c>
      <c r="M887" s="226" t="s">
        <v>22</v>
      </c>
      <c r="N887" s="226" t="s">
        <v>22</v>
      </c>
      <c r="O887" s="226" t="s">
        <v>3639</v>
      </c>
      <c r="P887" s="226" t="s">
        <v>3324</v>
      </c>
      <c r="Q887" s="226" t="s">
        <v>4121</v>
      </c>
      <c r="R887" s="227" t="s">
        <v>2605</v>
      </c>
      <c r="S887" s="225" t="s">
        <v>2020</v>
      </c>
      <c r="T887" s="228">
        <v>13810772825</v>
      </c>
      <c r="U887" s="235" t="s">
        <v>3614</v>
      </c>
      <c r="V887" s="225" t="s">
        <v>3615</v>
      </c>
      <c r="W887" s="229"/>
      <c r="X887" s="230">
        <v>43200</v>
      </c>
      <c r="Y887" s="238" t="s">
        <v>27</v>
      </c>
      <c r="Z887" s="238" t="s">
        <v>27</v>
      </c>
      <c r="AA887" s="238" t="s">
        <v>27</v>
      </c>
      <c r="AB887" s="45" t="s">
        <v>2887</v>
      </c>
      <c r="AC887" s="169"/>
    </row>
    <row r="888" spans="1:29" ht="15" hidden="1" customHeight="1">
      <c r="A888" s="226" t="s">
        <v>203</v>
      </c>
      <c r="B888" s="226" t="s">
        <v>2201</v>
      </c>
      <c r="C888" s="226" t="s">
        <v>27</v>
      </c>
      <c r="D888" s="226" t="s">
        <v>4443</v>
      </c>
      <c r="E888" s="226" t="s">
        <v>2008</v>
      </c>
      <c r="F888" s="226">
        <v>3648311</v>
      </c>
      <c r="G888" s="233" t="s">
        <v>2202</v>
      </c>
      <c r="H888" s="226" t="s">
        <v>20</v>
      </c>
      <c r="I888" s="225" t="s">
        <v>60</v>
      </c>
      <c r="J888" s="225" t="s">
        <v>2558</v>
      </c>
      <c r="K888" s="225" t="s">
        <v>2378</v>
      </c>
      <c r="L888" s="51" t="s">
        <v>211</v>
      </c>
      <c r="M888" s="226" t="s">
        <v>22</v>
      </c>
      <c r="N888" s="226" t="s">
        <v>27</v>
      </c>
      <c r="O888" s="226" t="s">
        <v>3639</v>
      </c>
      <c r="P888" s="226" t="s">
        <v>3235</v>
      </c>
      <c r="Q888" s="226" t="s">
        <v>4122</v>
      </c>
      <c r="R888" s="227" t="s">
        <v>2620</v>
      </c>
      <c r="S888" s="225" t="s">
        <v>2225</v>
      </c>
      <c r="T888" s="228" t="s">
        <v>2657</v>
      </c>
      <c r="U888" s="235" t="s">
        <v>3616</v>
      </c>
      <c r="V888" s="225" t="s">
        <v>3617</v>
      </c>
      <c r="W888" s="229">
        <v>13331048820</v>
      </c>
      <c r="X888" s="230">
        <v>43199</v>
      </c>
      <c r="Y888" s="238" t="s">
        <v>27</v>
      </c>
      <c r="Z888" s="238" t="s">
        <v>27</v>
      </c>
      <c r="AA888" s="238" t="s">
        <v>27</v>
      </c>
      <c r="AB888" s="45" t="s">
        <v>2887</v>
      </c>
      <c r="AC888" s="169"/>
    </row>
    <row r="889" spans="1:29" ht="15" hidden="1" customHeight="1">
      <c r="A889" s="226" t="s">
        <v>203</v>
      </c>
      <c r="B889" s="226" t="s">
        <v>2375</v>
      </c>
      <c r="C889" s="226" t="s">
        <v>27</v>
      </c>
      <c r="D889" s="226" t="s">
        <v>2658</v>
      </c>
      <c r="E889" s="226" t="s">
        <v>2008</v>
      </c>
      <c r="F889" s="226">
        <v>3648330</v>
      </c>
      <c r="G889" s="233" t="s">
        <v>2376</v>
      </c>
      <c r="H889" s="226" t="s">
        <v>20</v>
      </c>
      <c r="I889" s="225" t="s">
        <v>60</v>
      </c>
      <c r="J889" s="225" t="s">
        <v>2558</v>
      </c>
      <c r="K889" s="225" t="s">
        <v>2378</v>
      </c>
      <c r="L889" s="51" t="s">
        <v>211</v>
      </c>
      <c r="M889" s="226" t="s">
        <v>22</v>
      </c>
      <c r="N889" s="226" t="s">
        <v>27</v>
      </c>
      <c r="O889" s="226" t="s">
        <v>3639</v>
      </c>
      <c r="P889" s="226" t="s">
        <v>3276</v>
      </c>
      <c r="Q889" s="226" t="s">
        <v>4123</v>
      </c>
      <c r="R889" s="227" t="s">
        <v>2627</v>
      </c>
      <c r="S889" s="225" t="s">
        <v>2377</v>
      </c>
      <c r="T889" s="228">
        <v>18519712497</v>
      </c>
      <c r="U889" s="235" t="s">
        <v>3618</v>
      </c>
      <c r="V889" s="225" t="s">
        <v>3619</v>
      </c>
      <c r="W889" s="229">
        <v>18911124296</v>
      </c>
      <c r="X889" s="230">
        <v>43198</v>
      </c>
      <c r="Y889" s="238" t="s">
        <v>27</v>
      </c>
      <c r="Z889" s="238" t="s">
        <v>27</v>
      </c>
      <c r="AA889" s="238" t="s">
        <v>27</v>
      </c>
      <c r="AB889" s="45" t="s">
        <v>2887</v>
      </c>
      <c r="AC889" s="169"/>
    </row>
    <row r="890" spans="1:29" ht="15" hidden="1" customHeight="1">
      <c r="A890" s="226" t="s">
        <v>203</v>
      </c>
      <c r="B890" s="226" t="s">
        <v>2203</v>
      </c>
      <c r="C890" s="226" t="s">
        <v>27</v>
      </c>
      <c r="D890" s="226" t="s">
        <v>2658</v>
      </c>
      <c r="E890" s="226" t="s">
        <v>2008</v>
      </c>
      <c r="F890" s="226">
        <v>3648548</v>
      </c>
      <c r="G890" s="233" t="s">
        <v>2178</v>
      </c>
      <c r="H890" s="226" t="s">
        <v>20</v>
      </c>
      <c r="I890" s="225" t="s">
        <v>60</v>
      </c>
      <c r="J890" s="225" t="s">
        <v>2485</v>
      </c>
      <c r="K890" s="225" t="s">
        <v>4426</v>
      </c>
      <c r="L890" s="51" t="s">
        <v>211</v>
      </c>
      <c r="M890" s="226" t="s">
        <v>22</v>
      </c>
      <c r="N890" s="226" t="s">
        <v>22</v>
      </c>
      <c r="O890" s="226" t="s">
        <v>3639</v>
      </c>
      <c r="P890" s="226" t="s">
        <v>3211</v>
      </c>
      <c r="Q890" s="226" t="s">
        <v>4124</v>
      </c>
      <c r="R890" s="227" t="s">
        <v>2621</v>
      </c>
      <c r="S890" s="225" t="s">
        <v>2226</v>
      </c>
      <c r="T890" s="228">
        <v>18614084369</v>
      </c>
      <c r="U890" s="235" t="s">
        <v>3620</v>
      </c>
      <c r="V890" s="225" t="s">
        <v>3621</v>
      </c>
      <c r="W890" s="229">
        <v>13810016924</v>
      </c>
      <c r="X890" s="230">
        <v>43323</v>
      </c>
      <c r="Y890" s="238" t="s">
        <v>27</v>
      </c>
      <c r="Z890" s="238" t="s">
        <v>27</v>
      </c>
      <c r="AA890" s="238" t="s">
        <v>27</v>
      </c>
      <c r="AB890" s="45" t="s">
        <v>2887</v>
      </c>
      <c r="AC890" s="169"/>
    </row>
    <row r="891" spans="1:29" ht="15" hidden="1" customHeight="1">
      <c r="A891" s="226" t="s">
        <v>203</v>
      </c>
      <c r="B891" s="226" t="s">
        <v>2458</v>
      </c>
      <c r="C891" s="226" t="s">
        <v>27</v>
      </c>
      <c r="D891" s="226" t="s">
        <v>2893</v>
      </c>
      <c r="E891" s="226" t="s">
        <v>2008</v>
      </c>
      <c r="F891" s="226">
        <v>3648416</v>
      </c>
      <c r="G891" s="233" t="s">
        <v>2459</v>
      </c>
      <c r="H891" s="226" t="s">
        <v>20</v>
      </c>
      <c r="I891" s="225" t="s">
        <v>21</v>
      </c>
      <c r="J891" s="225" t="s">
        <v>204</v>
      </c>
      <c r="K891" s="225" t="s">
        <v>206</v>
      </c>
      <c r="L891" s="51" t="s">
        <v>211</v>
      </c>
      <c r="M891" s="226" t="s">
        <v>22</v>
      </c>
      <c r="N891" s="226" t="s">
        <v>27</v>
      </c>
      <c r="O891" s="226" t="s">
        <v>3639</v>
      </c>
      <c r="P891" s="226" t="s">
        <v>3238</v>
      </c>
      <c r="Q891" s="226" t="s">
        <v>4125</v>
      </c>
      <c r="R891" s="227" t="s">
        <v>2644</v>
      </c>
      <c r="S891" s="225" t="s">
        <v>2460</v>
      </c>
      <c r="T891" s="228">
        <v>18911034603</v>
      </c>
      <c r="U891" s="235" t="s">
        <v>1629</v>
      </c>
      <c r="V891" s="225" t="s">
        <v>2077</v>
      </c>
      <c r="W891" s="229"/>
      <c r="X891" s="230">
        <v>43201</v>
      </c>
      <c r="Y891" s="238" t="s">
        <v>27</v>
      </c>
      <c r="Z891" s="238" t="s">
        <v>27</v>
      </c>
      <c r="AA891" s="238" t="s">
        <v>27</v>
      </c>
      <c r="AB891" s="45" t="s">
        <v>2887</v>
      </c>
      <c r="AC891" s="169"/>
    </row>
    <row r="892" spans="1:29" ht="15" hidden="1" customHeight="1">
      <c r="A892" s="226" t="s">
        <v>203</v>
      </c>
      <c r="B892" s="226" t="s">
        <v>2443</v>
      </c>
      <c r="C892" s="226" t="s">
        <v>27</v>
      </c>
      <c r="D892" s="226" t="s">
        <v>2760</v>
      </c>
      <c r="E892" s="226" t="s">
        <v>2008</v>
      </c>
      <c r="F892" s="226">
        <v>3648247</v>
      </c>
      <c r="G892" s="233" t="s">
        <v>2444</v>
      </c>
      <c r="H892" s="226" t="s">
        <v>20</v>
      </c>
      <c r="I892" s="225" t="s">
        <v>21</v>
      </c>
      <c r="J892" s="225" t="s">
        <v>223</v>
      </c>
      <c r="K892" s="225" t="s">
        <v>33</v>
      </c>
      <c r="L892" s="51" t="s">
        <v>211</v>
      </c>
      <c r="M892" s="226" t="s">
        <v>22</v>
      </c>
      <c r="N892" s="226" t="s">
        <v>22</v>
      </c>
      <c r="O892" s="226" t="s">
        <v>3639</v>
      </c>
      <c r="P892" s="226" t="s">
        <v>3211</v>
      </c>
      <c r="Q892" s="226" t="s">
        <v>4126</v>
      </c>
      <c r="R892" s="227" t="s">
        <v>2641</v>
      </c>
      <c r="S892" s="225" t="s">
        <v>2445</v>
      </c>
      <c r="T892" s="228">
        <v>18519747298</v>
      </c>
      <c r="U892" s="235" t="s">
        <v>3622</v>
      </c>
      <c r="V892" s="225" t="s">
        <v>3623</v>
      </c>
      <c r="W892" s="229"/>
      <c r="X892" s="230">
        <v>43334</v>
      </c>
      <c r="Y892" s="238" t="s">
        <v>27</v>
      </c>
      <c r="Z892" s="238" t="s">
        <v>27</v>
      </c>
      <c r="AA892" s="238" t="s">
        <v>27</v>
      </c>
      <c r="AB892" s="45" t="s">
        <v>2887</v>
      </c>
      <c r="AC892" s="169"/>
    </row>
    <row r="893" spans="1:29" ht="15" hidden="1" customHeight="1">
      <c r="A893" s="226" t="s">
        <v>203</v>
      </c>
      <c r="B893" s="226" t="s">
        <v>2424</v>
      </c>
      <c r="C893" s="226" t="s">
        <v>27</v>
      </c>
      <c r="D893" s="226" t="s">
        <v>2893</v>
      </c>
      <c r="E893" s="226" t="s">
        <v>2008</v>
      </c>
      <c r="F893" s="226">
        <v>3648430</v>
      </c>
      <c r="G893" s="233" t="s">
        <v>2425</v>
      </c>
      <c r="H893" s="226" t="s">
        <v>20</v>
      </c>
      <c r="I893" s="225" t="s">
        <v>60</v>
      </c>
      <c r="J893" s="225" t="s">
        <v>2485</v>
      </c>
      <c r="K893" s="225" t="s">
        <v>2429</v>
      </c>
      <c r="L893" s="51" t="s">
        <v>211</v>
      </c>
      <c r="M893" s="226" t="s">
        <v>22</v>
      </c>
      <c r="N893" s="226" t="s">
        <v>22</v>
      </c>
      <c r="O893" s="226" t="s">
        <v>3639</v>
      </c>
      <c r="P893" s="226" t="s">
        <v>3211</v>
      </c>
      <c r="Q893" s="226" t="s">
        <v>4127</v>
      </c>
      <c r="R893" s="227" t="s">
        <v>2637</v>
      </c>
      <c r="S893" s="225" t="s">
        <v>2426</v>
      </c>
      <c r="T893" s="228">
        <v>18618497590</v>
      </c>
      <c r="U893" s="235" t="s">
        <v>3624</v>
      </c>
      <c r="V893" s="225" t="s">
        <v>3625</v>
      </c>
      <c r="W893" s="229">
        <v>13810798137</v>
      </c>
      <c r="X893" s="230">
        <v>43200</v>
      </c>
      <c r="Y893" s="238" t="s">
        <v>27</v>
      </c>
      <c r="Z893" s="238" t="s">
        <v>27</v>
      </c>
      <c r="AA893" s="238" t="s">
        <v>27</v>
      </c>
      <c r="AB893" s="45" t="s">
        <v>2887</v>
      </c>
      <c r="AC893" s="169"/>
    </row>
    <row r="894" spans="1:29" ht="15" hidden="1" customHeight="1">
      <c r="A894" s="226" t="s">
        <v>203</v>
      </c>
      <c r="B894" s="226" t="s">
        <v>2435</v>
      </c>
      <c r="C894" s="226" t="s">
        <v>27</v>
      </c>
      <c r="D894" s="226" t="s">
        <v>2760</v>
      </c>
      <c r="E894" s="226" t="s">
        <v>2008</v>
      </c>
      <c r="F894" s="226">
        <v>3648526</v>
      </c>
      <c r="G894" s="233" t="s">
        <v>2436</v>
      </c>
      <c r="H894" s="226" t="s">
        <v>20</v>
      </c>
      <c r="I894" s="225" t="s">
        <v>21</v>
      </c>
      <c r="J894" s="225" t="s">
        <v>223</v>
      </c>
      <c r="K894" s="225" t="s">
        <v>33</v>
      </c>
      <c r="L894" s="51" t="s">
        <v>211</v>
      </c>
      <c r="M894" s="226" t="s">
        <v>22</v>
      </c>
      <c r="N894" s="226" t="s">
        <v>22</v>
      </c>
      <c r="O894" s="226" t="s">
        <v>3639</v>
      </c>
      <c r="P894" s="226" t="s">
        <v>3211</v>
      </c>
      <c r="Q894" s="226" t="s">
        <v>4128</v>
      </c>
      <c r="R894" s="227" t="s">
        <v>2639</v>
      </c>
      <c r="S894" s="225" t="s">
        <v>2437</v>
      </c>
      <c r="T894" s="228">
        <v>18519359542</v>
      </c>
      <c r="U894" s="235" t="s">
        <v>1104</v>
      </c>
      <c r="V894" s="225" t="s">
        <v>2104</v>
      </c>
      <c r="W894" s="229"/>
      <c r="X894" s="230">
        <v>43334</v>
      </c>
      <c r="Y894" s="238" t="s">
        <v>27</v>
      </c>
      <c r="Z894" s="238" t="s">
        <v>27</v>
      </c>
      <c r="AA894" s="238" t="s">
        <v>27</v>
      </c>
      <c r="AB894" s="45" t="s">
        <v>2887</v>
      </c>
      <c r="AC894" s="169"/>
    </row>
    <row r="895" spans="1:29" ht="15" hidden="1" customHeight="1">
      <c r="A895" s="226" t="s">
        <v>203</v>
      </c>
      <c r="B895" s="226" t="s">
        <v>2419</v>
      </c>
      <c r="C895" s="226" t="s">
        <v>27</v>
      </c>
      <c r="D895" s="226" t="s">
        <v>2893</v>
      </c>
      <c r="E895" s="226" t="s">
        <v>2008</v>
      </c>
      <c r="F895" s="226">
        <v>3648514</v>
      </c>
      <c r="G895" s="233" t="s">
        <v>2420</v>
      </c>
      <c r="H895" s="226" t="s">
        <v>20</v>
      </c>
      <c r="I895" s="225" t="s">
        <v>60</v>
      </c>
      <c r="J895" s="225" t="s">
        <v>2484</v>
      </c>
      <c r="K895" s="225" t="s">
        <v>4427</v>
      </c>
      <c r="L895" s="51" t="s">
        <v>211</v>
      </c>
      <c r="M895" s="226" t="s">
        <v>22</v>
      </c>
      <c r="N895" s="226" t="s">
        <v>22</v>
      </c>
      <c r="O895" s="226" t="s">
        <v>3639</v>
      </c>
      <c r="P895" s="226" t="s">
        <v>3317</v>
      </c>
      <c r="Q895" s="226" t="s">
        <v>4129</v>
      </c>
      <c r="R895" s="227" t="s">
        <v>2636</v>
      </c>
      <c r="S895" s="225" t="s">
        <v>2421</v>
      </c>
      <c r="T895" s="228">
        <v>13810480261</v>
      </c>
      <c r="U895" s="235" t="s">
        <v>3176</v>
      </c>
      <c r="V895" s="225" t="s">
        <v>3177</v>
      </c>
      <c r="W895" s="229">
        <v>13910473448</v>
      </c>
      <c r="X895" s="230">
        <v>43334</v>
      </c>
      <c r="Y895" s="238" t="s">
        <v>27</v>
      </c>
      <c r="Z895" s="238" t="s">
        <v>27</v>
      </c>
      <c r="AA895" s="238" t="s">
        <v>27</v>
      </c>
      <c r="AB895" s="45" t="s">
        <v>2887</v>
      </c>
      <c r="AC895" s="169"/>
    </row>
    <row r="896" spans="1:29" ht="15" hidden="1" customHeight="1">
      <c r="A896" s="226" t="s">
        <v>203</v>
      </c>
      <c r="B896" s="226" t="s">
        <v>2448</v>
      </c>
      <c r="C896" s="226" t="s">
        <v>27</v>
      </c>
      <c r="D896" s="226" t="s">
        <v>2893</v>
      </c>
      <c r="E896" s="226" t="s">
        <v>2008</v>
      </c>
      <c r="F896" s="226">
        <v>3648484</v>
      </c>
      <c r="G896" s="233" t="s">
        <v>2449</v>
      </c>
      <c r="H896" s="226" t="s">
        <v>20</v>
      </c>
      <c r="I896" s="225" t="s">
        <v>21</v>
      </c>
      <c r="J896" s="225" t="s">
        <v>204</v>
      </c>
      <c r="K896" s="225" t="s">
        <v>206</v>
      </c>
      <c r="L896" s="51" t="s">
        <v>211</v>
      </c>
      <c r="M896" s="226" t="s">
        <v>22</v>
      </c>
      <c r="N896" s="226" t="s">
        <v>27</v>
      </c>
      <c r="O896" s="226" t="s">
        <v>3639</v>
      </c>
      <c r="P896" s="226" t="s">
        <v>3238</v>
      </c>
      <c r="Q896" s="226" t="s">
        <v>4130</v>
      </c>
      <c r="R896" s="227" t="s">
        <v>2642</v>
      </c>
      <c r="S896" s="225" t="s">
        <v>2450</v>
      </c>
      <c r="T896" s="228">
        <v>13331048821</v>
      </c>
      <c r="U896" s="235" t="s">
        <v>3045</v>
      </c>
      <c r="V896" s="225" t="s">
        <v>3046</v>
      </c>
      <c r="W896" s="229"/>
      <c r="X896" s="230">
        <v>43202</v>
      </c>
      <c r="Y896" s="238" t="s">
        <v>27</v>
      </c>
      <c r="Z896" s="238" t="s">
        <v>27</v>
      </c>
      <c r="AA896" s="238" t="s">
        <v>27</v>
      </c>
      <c r="AB896" s="45" t="s">
        <v>2887</v>
      </c>
      <c r="AC896" s="169"/>
    </row>
    <row r="897" spans="1:29" ht="15" hidden="1" customHeight="1">
      <c r="A897" s="226" t="s">
        <v>203</v>
      </c>
      <c r="B897" s="226" t="s">
        <v>2430</v>
      </c>
      <c r="C897" s="226" t="s">
        <v>27</v>
      </c>
      <c r="D897" s="226" t="s">
        <v>2893</v>
      </c>
      <c r="E897" s="226" t="s">
        <v>2008</v>
      </c>
      <c r="F897" s="226">
        <v>3648356</v>
      </c>
      <c r="G897" s="233" t="s">
        <v>2431</v>
      </c>
      <c r="H897" s="226" t="s">
        <v>20</v>
      </c>
      <c r="I897" s="225" t="s">
        <v>60</v>
      </c>
      <c r="J897" s="225" t="s">
        <v>2485</v>
      </c>
      <c r="K897" s="225" t="s">
        <v>2429</v>
      </c>
      <c r="L897" s="51" t="s">
        <v>211</v>
      </c>
      <c r="M897" s="226" t="s">
        <v>22</v>
      </c>
      <c r="N897" s="226" t="s">
        <v>22</v>
      </c>
      <c r="O897" s="226" t="s">
        <v>3639</v>
      </c>
      <c r="P897" s="226" t="s">
        <v>3211</v>
      </c>
      <c r="Q897" s="226" t="s">
        <v>4131</v>
      </c>
      <c r="R897" s="227" t="s">
        <v>2638</v>
      </c>
      <c r="S897" s="225" t="s">
        <v>2432</v>
      </c>
      <c r="T897" s="228">
        <v>18515814057</v>
      </c>
      <c r="U897" s="235" t="s">
        <v>3049</v>
      </c>
      <c r="V897" s="225" t="s">
        <v>3050</v>
      </c>
      <c r="W897" s="229">
        <v>13810018254</v>
      </c>
      <c r="X897" s="230">
        <v>43200</v>
      </c>
      <c r="Y897" s="238" t="s">
        <v>27</v>
      </c>
      <c r="Z897" s="238" t="s">
        <v>27</v>
      </c>
      <c r="AA897" s="238" t="s">
        <v>27</v>
      </c>
      <c r="AB897" s="45" t="s">
        <v>2887</v>
      </c>
      <c r="AC897" s="169"/>
    </row>
    <row r="898" spans="1:29" ht="15" hidden="1" customHeight="1">
      <c r="A898" s="226" t="s">
        <v>203</v>
      </c>
      <c r="B898" s="226" t="s">
        <v>2414</v>
      </c>
      <c r="C898" s="226" t="s">
        <v>27</v>
      </c>
      <c r="D898" s="226" t="s">
        <v>2893</v>
      </c>
      <c r="E898" s="226" t="s">
        <v>2008</v>
      </c>
      <c r="F898" s="226">
        <v>3648314</v>
      </c>
      <c r="G898" s="233" t="s">
        <v>2415</v>
      </c>
      <c r="H898" s="226" t="s">
        <v>20</v>
      </c>
      <c r="I898" s="225" t="s">
        <v>60</v>
      </c>
      <c r="J898" s="225" t="s">
        <v>2484</v>
      </c>
      <c r="K898" s="225" t="s">
        <v>4427</v>
      </c>
      <c r="L898" s="51" t="s">
        <v>211</v>
      </c>
      <c r="M898" s="226" t="s">
        <v>22</v>
      </c>
      <c r="N898" s="226" t="s">
        <v>22</v>
      </c>
      <c r="O898" s="226" t="s">
        <v>3639</v>
      </c>
      <c r="P898" s="226" t="s">
        <v>3317</v>
      </c>
      <c r="Q898" s="226" t="s">
        <v>4132</v>
      </c>
      <c r="R898" s="227" t="s">
        <v>2635</v>
      </c>
      <c r="S898" s="225" t="s">
        <v>2416</v>
      </c>
      <c r="T898" s="228">
        <v>13810305494</v>
      </c>
      <c r="U898" s="235" t="s">
        <v>3054</v>
      </c>
      <c r="V898" s="225" t="s">
        <v>3055</v>
      </c>
      <c r="W898" s="229">
        <v>13810291057</v>
      </c>
      <c r="X898" s="230">
        <v>43334</v>
      </c>
      <c r="Y898" s="238" t="s">
        <v>27</v>
      </c>
      <c r="Z898" s="238" t="s">
        <v>27</v>
      </c>
      <c r="AA898" s="238" t="s">
        <v>27</v>
      </c>
      <c r="AB898" s="45" t="s">
        <v>2887</v>
      </c>
      <c r="AC898" s="169"/>
    </row>
    <row r="899" spans="1:29" ht="15" hidden="1" customHeight="1">
      <c r="A899" s="226" t="s">
        <v>203</v>
      </c>
      <c r="B899" s="226" t="s">
        <v>2453</v>
      </c>
      <c r="C899" s="226" t="s">
        <v>27</v>
      </c>
      <c r="D899" s="226" t="s">
        <v>2893</v>
      </c>
      <c r="E899" s="226" t="s">
        <v>2008</v>
      </c>
      <c r="F899" s="226">
        <v>3648377</v>
      </c>
      <c r="G899" s="233" t="s">
        <v>2454</v>
      </c>
      <c r="H899" s="226" t="s">
        <v>20</v>
      </c>
      <c r="I899" s="225" t="s">
        <v>60</v>
      </c>
      <c r="J899" s="225" t="s">
        <v>2484</v>
      </c>
      <c r="K899" s="225" t="s">
        <v>4427</v>
      </c>
      <c r="L899" s="51" t="s">
        <v>211</v>
      </c>
      <c r="M899" s="226" t="s">
        <v>22</v>
      </c>
      <c r="N899" s="226" t="s">
        <v>22</v>
      </c>
      <c r="O899" s="226" t="s">
        <v>3639</v>
      </c>
      <c r="P899" s="226" t="s">
        <v>3935</v>
      </c>
      <c r="Q899" s="226" t="s">
        <v>4133</v>
      </c>
      <c r="R899" s="227" t="s">
        <v>2643</v>
      </c>
      <c r="S899" s="225" t="s">
        <v>2455</v>
      </c>
      <c r="T899" s="228">
        <v>13810780267</v>
      </c>
      <c r="U899" s="235" t="s">
        <v>3058</v>
      </c>
      <c r="V899" s="225" t="s">
        <v>3059</v>
      </c>
      <c r="W899" s="229">
        <v>13810420761</v>
      </c>
      <c r="X899" s="230">
        <v>43328</v>
      </c>
      <c r="Y899" s="238" t="s">
        <v>27</v>
      </c>
      <c r="Z899" s="238" t="s">
        <v>27</v>
      </c>
      <c r="AA899" s="238" t="s">
        <v>27</v>
      </c>
      <c r="AB899" s="45" t="s">
        <v>2887</v>
      </c>
      <c r="AC899" s="169"/>
    </row>
    <row r="900" spans="1:29" ht="15" hidden="1" customHeight="1">
      <c r="A900" s="226" t="s">
        <v>203</v>
      </c>
      <c r="B900" s="226" t="s">
        <v>2401</v>
      </c>
      <c r="C900" s="226" t="s">
        <v>27</v>
      </c>
      <c r="D900" s="226" t="s">
        <v>2893</v>
      </c>
      <c r="E900" s="226" t="s">
        <v>2008</v>
      </c>
      <c r="F900" s="226">
        <v>3648337</v>
      </c>
      <c r="G900" s="233" t="s">
        <v>2402</v>
      </c>
      <c r="H900" s="226" t="s">
        <v>20</v>
      </c>
      <c r="I900" s="225" t="s">
        <v>60</v>
      </c>
      <c r="J900" s="225" t="s">
        <v>2484</v>
      </c>
      <c r="K900" s="225" t="s">
        <v>4427</v>
      </c>
      <c r="L900" s="51" t="s">
        <v>211</v>
      </c>
      <c r="M900" s="226" t="s">
        <v>22</v>
      </c>
      <c r="N900" s="226" t="s">
        <v>22</v>
      </c>
      <c r="O900" s="226" t="s">
        <v>3639</v>
      </c>
      <c r="P900" s="226" t="s">
        <v>3317</v>
      </c>
      <c r="Q900" s="226" t="s">
        <v>4134</v>
      </c>
      <c r="R900" s="227" t="s">
        <v>2633</v>
      </c>
      <c r="S900" s="225" t="s">
        <v>2403</v>
      </c>
      <c r="T900" s="228">
        <v>13810395872</v>
      </c>
      <c r="U900" s="235" t="s">
        <v>3144</v>
      </c>
      <c r="V900" s="225" t="s">
        <v>3145</v>
      </c>
      <c r="W900" s="229">
        <v>13810271654</v>
      </c>
      <c r="X900" s="230">
        <v>43334</v>
      </c>
      <c r="Y900" s="238" t="s">
        <v>27</v>
      </c>
      <c r="Z900" s="238" t="s">
        <v>27</v>
      </c>
      <c r="AA900" s="238" t="s">
        <v>27</v>
      </c>
      <c r="AB900" s="45" t="s">
        <v>2887</v>
      </c>
      <c r="AC900" s="169"/>
    </row>
    <row r="901" spans="1:29" ht="15" hidden="1" customHeight="1">
      <c r="A901" s="226" t="s">
        <v>203</v>
      </c>
      <c r="B901" s="226" t="s">
        <v>2440</v>
      </c>
      <c r="C901" s="226" t="s">
        <v>27</v>
      </c>
      <c r="D901" s="226" t="s">
        <v>2893</v>
      </c>
      <c r="E901" s="226" t="s">
        <v>2008</v>
      </c>
      <c r="F901" s="226">
        <v>3648235</v>
      </c>
      <c r="G901" s="233" t="s">
        <v>2441</v>
      </c>
      <c r="H901" s="226" t="s">
        <v>20</v>
      </c>
      <c r="I901" s="225" t="s">
        <v>60</v>
      </c>
      <c r="J901" s="225" t="s">
        <v>2485</v>
      </c>
      <c r="K901" s="225" t="s">
        <v>2429</v>
      </c>
      <c r="L901" s="51" t="s">
        <v>211</v>
      </c>
      <c r="M901" s="226" t="s">
        <v>22</v>
      </c>
      <c r="N901" s="226" t="s">
        <v>22</v>
      </c>
      <c r="O901" s="226" t="s">
        <v>3639</v>
      </c>
      <c r="P901" s="226" t="s">
        <v>3935</v>
      </c>
      <c r="Q901" s="226" t="s">
        <v>4135</v>
      </c>
      <c r="R901" s="227" t="s">
        <v>2640</v>
      </c>
      <c r="S901" s="225" t="s">
        <v>2442</v>
      </c>
      <c r="T901" s="228">
        <v>18510014772</v>
      </c>
      <c r="U901" s="235" t="s">
        <v>3149</v>
      </c>
      <c r="V901" s="225" t="s">
        <v>3150</v>
      </c>
      <c r="W901" s="229">
        <v>13910780247</v>
      </c>
      <c r="X901" s="230">
        <v>43200</v>
      </c>
      <c r="Y901" s="238" t="s">
        <v>27</v>
      </c>
      <c r="Z901" s="238" t="s">
        <v>27</v>
      </c>
      <c r="AA901" s="238" t="s">
        <v>27</v>
      </c>
      <c r="AB901" s="45" t="s">
        <v>2887</v>
      </c>
      <c r="AC901" s="169"/>
    </row>
    <row r="902" spans="1:29" ht="15" hidden="1" customHeight="1">
      <c r="A902" s="226" t="s">
        <v>203</v>
      </c>
      <c r="B902" s="226" t="s">
        <v>2406</v>
      </c>
      <c r="C902" s="226" t="s">
        <v>27</v>
      </c>
      <c r="D902" s="226" t="s">
        <v>2658</v>
      </c>
      <c r="E902" s="226" t="s">
        <v>2008</v>
      </c>
      <c r="F902" s="226">
        <v>3648221</v>
      </c>
      <c r="G902" s="233" t="s">
        <v>4397</v>
      </c>
      <c r="H902" s="226" t="s">
        <v>20</v>
      </c>
      <c r="I902" s="225" t="s">
        <v>21</v>
      </c>
      <c r="J902" s="225" t="s">
        <v>209</v>
      </c>
      <c r="K902" s="225" t="s">
        <v>61</v>
      </c>
      <c r="L902" s="51" t="s">
        <v>211</v>
      </c>
      <c r="M902" s="226" t="s">
        <v>22</v>
      </c>
      <c r="N902" s="226" t="s">
        <v>22</v>
      </c>
      <c r="O902" s="226" t="s">
        <v>3639</v>
      </c>
      <c r="P902" s="226" t="s">
        <v>3389</v>
      </c>
      <c r="Q902" s="226" t="s">
        <v>4136</v>
      </c>
      <c r="R902" s="227" t="s">
        <v>2832</v>
      </c>
      <c r="S902" s="225" t="s">
        <v>2833</v>
      </c>
      <c r="T902" s="228">
        <v>13810421702</v>
      </c>
      <c r="U902" s="235" t="s">
        <v>3390</v>
      </c>
      <c r="V902" s="225" t="s">
        <v>3391</v>
      </c>
      <c r="W902" s="229"/>
      <c r="X902" s="230">
        <v>43228</v>
      </c>
      <c r="Y902" s="238" t="s">
        <v>27</v>
      </c>
      <c r="Z902" s="238" t="s">
        <v>27</v>
      </c>
      <c r="AA902" s="238" t="s">
        <v>27</v>
      </c>
      <c r="AB902" s="45" t="s">
        <v>2887</v>
      </c>
      <c r="AC902" s="196"/>
    </row>
    <row r="903" spans="1:29" ht="15" hidden="1" customHeight="1">
      <c r="A903" s="226" t="s">
        <v>203</v>
      </c>
      <c r="B903" s="226" t="s">
        <v>2409</v>
      </c>
      <c r="C903" s="226" t="s">
        <v>27</v>
      </c>
      <c r="D903" s="226" t="s">
        <v>2893</v>
      </c>
      <c r="E903" s="226" t="s">
        <v>2008</v>
      </c>
      <c r="F903" s="226">
        <v>3648348</v>
      </c>
      <c r="G903" s="233" t="s">
        <v>2410</v>
      </c>
      <c r="H903" s="226" t="s">
        <v>20</v>
      </c>
      <c r="I903" s="225" t="s">
        <v>60</v>
      </c>
      <c r="J903" s="225" t="s">
        <v>2484</v>
      </c>
      <c r="K903" s="225" t="s">
        <v>4427</v>
      </c>
      <c r="L903" s="51" t="s">
        <v>211</v>
      </c>
      <c r="M903" s="226" t="s">
        <v>22</v>
      </c>
      <c r="N903" s="226" t="s">
        <v>22</v>
      </c>
      <c r="O903" s="226" t="s">
        <v>3639</v>
      </c>
      <c r="P903" s="226" t="s">
        <v>3317</v>
      </c>
      <c r="Q903" s="226" t="s">
        <v>4137</v>
      </c>
      <c r="R903" s="227" t="s">
        <v>2634</v>
      </c>
      <c r="S903" s="225" t="s">
        <v>2411</v>
      </c>
      <c r="T903" s="228">
        <v>13810021364</v>
      </c>
      <c r="U903" s="235" t="s">
        <v>2209</v>
      </c>
      <c r="V903" s="225" t="s">
        <v>2210</v>
      </c>
      <c r="W903" s="229">
        <v>13810017049</v>
      </c>
      <c r="X903" s="230">
        <v>43334</v>
      </c>
      <c r="Y903" s="238" t="s">
        <v>27</v>
      </c>
      <c r="Z903" s="238" t="s">
        <v>27</v>
      </c>
      <c r="AA903" s="238" t="s">
        <v>27</v>
      </c>
      <c r="AB903" s="45" t="s">
        <v>2887</v>
      </c>
      <c r="AC903" s="169"/>
    </row>
    <row r="904" spans="1:29" ht="15" hidden="1" customHeight="1">
      <c r="A904" s="226" t="s">
        <v>203</v>
      </c>
      <c r="B904" s="226" t="s">
        <v>2396</v>
      </c>
      <c r="C904" s="226" t="s">
        <v>27</v>
      </c>
      <c r="D904" s="226" t="s">
        <v>2658</v>
      </c>
      <c r="E904" s="226" t="s">
        <v>2008</v>
      </c>
      <c r="F904" s="226">
        <v>3648406</v>
      </c>
      <c r="G904" s="233" t="s">
        <v>2397</v>
      </c>
      <c r="H904" s="226" t="s">
        <v>20</v>
      </c>
      <c r="I904" s="225" t="s">
        <v>60</v>
      </c>
      <c r="J904" s="225" t="s">
        <v>2484</v>
      </c>
      <c r="K904" s="225" t="s">
        <v>4427</v>
      </c>
      <c r="L904" s="51" t="s">
        <v>211</v>
      </c>
      <c r="M904" s="226" t="s">
        <v>22</v>
      </c>
      <c r="N904" s="226" t="s">
        <v>22</v>
      </c>
      <c r="O904" s="226" t="s">
        <v>3639</v>
      </c>
      <c r="P904" s="226" t="s">
        <v>3241</v>
      </c>
      <c r="Q904" s="226" t="s">
        <v>4138</v>
      </c>
      <c r="R904" s="227" t="s">
        <v>2632</v>
      </c>
      <c r="S904" s="225" t="s">
        <v>2398</v>
      </c>
      <c r="T904" s="228">
        <v>13811090657</v>
      </c>
      <c r="U904" s="235" t="s">
        <v>1664</v>
      </c>
      <c r="V904" s="225" t="s">
        <v>2087</v>
      </c>
      <c r="W904" s="229">
        <v>13810363424</v>
      </c>
      <c r="X904" s="230">
        <v>43202</v>
      </c>
      <c r="Y904" s="238" t="s">
        <v>27</v>
      </c>
      <c r="Z904" s="238" t="s">
        <v>27</v>
      </c>
      <c r="AA904" s="238" t="s">
        <v>27</v>
      </c>
      <c r="AB904" s="45" t="s">
        <v>2887</v>
      </c>
      <c r="AC904" s="169"/>
    </row>
    <row r="905" spans="1:29" ht="15" hidden="1" customHeight="1">
      <c r="A905" s="226" t="s">
        <v>203</v>
      </c>
      <c r="B905" s="226" t="s">
        <v>2463</v>
      </c>
      <c r="C905" s="226" t="s">
        <v>27</v>
      </c>
      <c r="D905" s="226" t="s">
        <v>2893</v>
      </c>
      <c r="E905" s="226" t="s">
        <v>2008</v>
      </c>
      <c r="F905" s="226">
        <v>3648418</v>
      </c>
      <c r="G905" s="233" t="s">
        <v>2464</v>
      </c>
      <c r="H905" s="226" t="s">
        <v>20</v>
      </c>
      <c r="I905" s="225" t="s">
        <v>21</v>
      </c>
      <c r="J905" s="225" t="s">
        <v>209</v>
      </c>
      <c r="K905" s="225" t="s">
        <v>26</v>
      </c>
      <c r="L905" s="51" t="s">
        <v>211</v>
      </c>
      <c r="M905" s="226" t="s">
        <v>22</v>
      </c>
      <c r="N905" s="226" t="s">
        <v>22</v>
      </c>
      <c r="O905" s="226" t="s">
        <v>3639</v>
      </c>
      <c r="P905" s="226" t="s">
        <v>3238</v>
      </c>
      <c r="Q905" s="226" t="s">
        <v>4139</v>
      </c>
      <c r="R905" s="227" t="s">
        <v>2645</v>
      </c>
      <c r="S905" s="225" t="s">
        <v>2465</v>
      </c>
      <c r="T905" s="228">
        <v>13811090127</v>
      </c>
      <c r="U905" s="235" t="s">
        <v>3179</v>
      </c>
      <c r="V905" s="225" t="s">
        <v>3180</v>
      </c>
      <c r="W905" s="229"/>
      <c r="X905" s="230">
        <v>43202</v>
      </c>
      <c r="Y905" s="238" t="s">
        <v>27</v>
      </c>
      <c r="Z905" s="238" t="s">
        <v>27</v>
      </c>
      <c r="AA905" s="238" t="s">
        <v>27</v>
      </c>
      <c r="AB905" s="45" t="s">
        <v>2887</v>
      </c>
      <c r="AC905" s="169"/>
    </row>
    <row r="906" spans="1:29" ht="15" hidden="1" customHeight="1">
      <c r="A906" s="226" t="s">
        <v>203</v>
      </c>
      <c r="B906" s="226" t="s">
        <v>2466</v>
      </c>
      <c r="C906" s="226" t="s">
        <v>27</v>
      </c>
      <c r="D906" s="226" t="s">
        <v>2893</v>
      </c>
      <c r="E906" s="226" t="s">
        <v>2008</v>
      </c>
      <c r="F906" s="226">
        <v>3633322</v>
      </c>
      <c r="G906" s="233" t="s">
        <v>2454</v>
      </c>
      <c r="H906" s="226" t="s">
        <v>20</v>
      </c>
      <c r="I906" s="225" t="s">
        <v>60</v>
      </c>
      <c r="J906" s="225" t="s">
        <v>2484</v>
      </c>
      <c r="K906" s="225" t="s">
        <v>4427</v>
      </c>
      <c r="L906" s="51" t="s">
        <v>211</v>
      </c>
      <c r="M906" s="226" t="s">
        <v>22</v>
      </c>
      <c r="N906" s="226" t="s">
        <v>22</v>
      </c>
      <c r="O906" s="226" t="s">
        <v>3639</v>
      </c>
      <c r="P906" s="226" t="s">
        <v>3204</v>
      </c>
      <c r="Q906" s="226" t="s">
        <v>4140</v>
      </c>
      <c r="R906" s="227" t="s">
        <v>2646</v>
      </c>
      <c r="S906" s="225" t="s">
        <v>2467</v>
      </c>
      <c r="T906" s="228">
        <v>13810268994</v>
      </c>
      <c r="U906" s="235" t="s">
        <v>3626</v>
      </c>
      <c r="V906" s="225" t="s">
        <v>3627</v>
      </c>
      <c r="W906" s="229">
        <v>13810331242</v>
      </c>
      <c r="X906" s="230">
        <v>43328</v>
      </c>
      <c r="Y906" s="238" t="s">
        <v>27</v>
      </c>
      <c r="Z906" s="238" t="s">
        <v>27</v>
      </c>
      <c r="AA906" s="238" t="s">
        <v>27</v>
      </c>
      <c r="AB906" s="45" t="s">
        <v>2887</v>
      </c>
      <c r="AC906" s="169"/>
    </row>
    <row r="907" spans="1:29" ht="15" hidden="1" customHeight="1">
      <c r="A907" s="226" t="s">
        <v>203</v>
      </c>
      <c r="B907" s="226" t="s">
        <v>2468</v>
      </c>
      <c r="C907" s="226" t="s">
        <v>27</v>
      </c>
      <c r="D907" s="226" t="s">
        <v>4443</v>
      </c>
      <c r="E907" s="226" t="s">
        <v>2008</v>
      </c>
      <c r="F907" s="226">
        <v>3648420</v>
      </c>
      <c r="G907" s="233" t="s">
        <v>2444</v>
      </c>
      <c r="H907" s="226" t="s">
        <v>20</v>
      </c>
      <c r="I907" s="225" t="s">
        <v>60</v>
      </c>
      <c r="J907" s="225" t="s">
        <v>2501</v>
      </c>
      <c r="K907" s="225" t="s">
        <v>4331</v>
      </c>
      <c r="L907" s="51" t="s">
        <v>211</v>
      </c>
      <c r="M907" s="226" t="s">
        <v>22</v>
      </c>
      <c r="N907" s="226" t="s">
        <v>27</v>
      </c>
      <c r="O907" s="226" t="s">
        <v>3639</v>
      </c>
      <c r="P907" s="226" t="s">
        <v>3241</v>
      </c>
      <c r="Q907" s="226" t="s">
        <v>4141</v>
      </c>
      <c r="R907" s="227" t="s">
        <v>2647</v>
      </c>
      <c r="S907" s="225" t="s">
        <v>2469</v>
      </c>
      <c r="T907" s="228">
        <v>15321689937</v>
      </c>
      <c r="U907" s="235" t="s">
        <v>1658</v>
      </c>
      <c r="V907" s="225" t="s">
        <v>2081</v>
      </c>
      <c r="W907" s="229">
        <v>13810284274</v>
      </c>
      <c r="X907" s="230">
        <v>43202</v>
      </c>
      <c r="Y907" s="238" t="s">
        <v>27</v>
      </c>
      <c r="Z907" s="238" t="s">
        <v>27</v>
      </c>
      <c r="AA907" s="238" t="s">
        <v>27</v>
      </c>
      <c r="AB907" s="45" t="s">
        <v>2887</v>
      </c>
      <c r="AC907" s="169"/>
    </row>
    <row r="908" spans="1:29" ht="15" hidden="1" customHeight="1">
      <c r="A908" s="226" t="s">
        <v>203</v>
      </c>
      <c r="B908" s="226" t="s">
        <v>2470</v>
      </c>
      <c r="C908" s="226" t="s">
        <v>27</v>
      </c>
      <c r="D908" s="226" t="s">
        <v>2658</v>
      </c>
      <c r="E908" s="226" t="s">
        <v>2008</v>
      </c>
      <c r="F908" s="226">
        <v>3648262</v>
      </c>
      <c r="G908" s="233" t="s">
        <v>2397</v>
      </c>
      <c r="H908" s="226" t="s">
        <v>20</v>
      </c>
      <c r="I908" s="225" t="s">
        <v>60</v>
      </c>
      <c r="J908" s="225" t="s">
        <v>2486</v>
      </c>
      <c r="K908" s="225" t="s">
        <v>2651</v>
      </c>
      <c r="L908" s="51" t="s">
        <v>211</v>
      </c>
      <c r="M908" s="226" t="s">
        <v>22</v>
      </c>
      <c r="N908" s="226" t="s">
        <v>22</v>
      </c>
      <c r="O908" s="226" t="s">
        <v>3639</v>
      </c>
      <c r="P908" s="226" t="s">
        <v>3317</v>
      </c>
      <c r="Q908" s="226" t="s">
        <v>4142</v>
      </c>
      <c r="R908" s="227" t="s">
        <v>2648</v>
      </c>
      <c r="S908" s="225" t="s">
        <v>2471</v>
      </c>
      <c r="T908" s="228">
        <v>13810154043</v>
      </c>
      <c r="U908" s="235" t="s">
        <v>3078</v>
      </c>
      <c r="V908" s="225" t="s">
        <v>3079</v>
      </c>
      <c r="W908" s="229">
        <v>13264379164</v>
      </c>
      <c r="X908" s="230">
        <v>43323</v>
      </c>
      <c r="Y908" s="238" t="s">
        <v>27</v>
      </c>
      <c r="Z908" s="238" t="s">
        <v>27</v>
      </c>
      <c r="AA908" s="238" t="s">
        <v>27</v>
      </c>
      <c r="AB908" s="45" t="s">
        <v>2887</v>
      </c>
      <c r="AC908" s="169"/>
    </row>
    <row r="909" spans="1:29" ht="15" hidden="1" customHeight="1">
      <c r="A909" s="226" t="s">
        <v>203</v>
      </c>
      <c r="B909" s="226" t="s">
        <v>2766</v>
      </c>
      <c r="C909" s="226" t="s">
        <v>27</v>
      </c>
      <c r="D909" s="226" t="s">
        <v>2893</v>
      </c>
      <c r="E909" s="226" t="s">
        <v>2008</v>
      </c>
      <c r="F909" s="226">
        <v>3648381</v>
      </c>
      <c r="G909" s="233" t="s">
        <v>2770</v>
      </c>
      <c r="H909" s="226" t="s">
        <v>20</v>
      </c>
      <c r="I909" s="225" t="s">
        <v>60</v>
      </c>
      <c r="J909" s="225" t="s">
        <v>2487</v>
      </c>
      <c r="K909" s="225" t="s">
        <v>2650</v>
      </c>
      <c r="L909" s="51" t="s">
        <v>2351</v>
      </c>
      <c r="M909" s="226" t="s">
        <v>22</v>
      </c>
      <c r="N909" s="226" t="s">
        <v>27</v>
      </c>
      <c r="O909" s="226" t="s">
        <v>3639</v>
      </c>
      <c r="P909" s="226" t="s">
        <v>3389</v>
      </c>
      <c r="Q909" s="226" t="s">
        <v>4143</v>
      </c>
      <c r="R909" s="227" t="s">
        <v>2881</v>
      </c>
      <c r="S909" s="225" t="s">
        <v>2882</v>
      </c>
      <c r="T909" s="228">
        <v>13810715135</v>
      </c>
      <c r="U909" s="235" t="s">
        <v>2206</v>
      </c>
      <c r="V909" s="225" t="s">
        <v>2207</v>
      </c>
      <c r="W909" s="229">
        <v>17310253945</v>
      </c>
      <c r="X909" s="230">
        <v>43209</v>
      </c>
      <c r="Y909" s="238" t="s">
        <v>27</v>
      </c>
      <c r="Z909" s="238" t="s">
        <v>27</v>
      </c>
      <c r="AA909" s="238" t="s">
        <v>27</v>
      </c>
      <c r="AB909" s="45" t="s">
        <v>2887</v>
      </c>
      <c r="AC909" s="169"/>
    </row>
    <row r="910" spans="1:29" ht="15" hidden="1" customHeight="1">
      <c r="A910" s="226" t="s">
        <v>203</v>
      </c>
      <c r="B910" s="226" t="s">
        <v>2767</v>
      </c>
      <c r="C910" s="226" t="s">
        <v>27</v>
      </c>
      <c r="D910" s="226" t="s">
        <v>2893</v>
      </c>
      <c r="E910" s="226" t="s">
        <v>2008</v>
      </c>
      <c r="F910" s="226">
        <v>3648531</v>
      </c>
      <c r="G910" s="233" t="s">
        <v>2770</v>
      </c>
      <c r="H910" s="226" t="s">
        <v>20</v>
      </c>
      <c r="I910" s="225" t="s">
        <v>21</v>
      </c>
      <c r="J910" s="225" t="s">
        <v>209</v>
      </c>
      <c r="K910" s="225" t="s">
        <v>26</v>
      </c>
      <c r="L910" s="51" t="s">
        <v>2351</v>
      </c>
      <c r="M910" s="226" t="s">
        <v>22</v>
      </c>
      <c r="N910" s="226" t="s">
        <v>22</v>
      </c>
      <c r="O910" s="226" t="s">
        <v>3639</v>
      </c>
      <c r="P910" s="226" t="s">
        <v>3389</v>
      </c>
      <c r="Q910" s="226" t="s">
        <v>4144</v>
      </c>
      <c r="R910" s="227" t="s">
        <v>2883</v>
      </c>
      <c r="S910" s="225" t="s">
        <v>2884</v>
      </c>
      <c r="T910" s="228">
        <v>13810771775</v>
      </c>
      <c r="U910" s="235" t="s">
        <v>3154</v>
      </c>
      <c r="V910" s="225" t="s">
        <v>3155</v>
      </c>
      <c r="W910" s="229"/>
      <c r="X910" s="230">
        <v>43209</v>
      </c>
      <c r="Y910" s="238" t="s">
        <v>27</v>
      </c>
      <c r="Z910" s="238" t="s">
        <v>27</v>
      </c>
      <c r="AA910" s="238" t="s">
        <v>27</v>
      </c>
      <c r="AB910" s="45" t="s">
        <v>2887</v>
      </c>
      <c r="AC910" s="169"/>
    </row>
    <row r="911" spans="1:29" ht="15" hidden="1" customHeight="1">
      <c r="A911" s="226" t="s">
        <v>203</v>
      </c>
      <c r="B911" s="226" t="s">
        <v>2768</v>
      </c>
      <c r="C911" s="226" t="s">
        <v>22</v>
      </c>
      <c r="D911" s="226"/>
      <c r="E911" s="226" t="s">
        <v>2008</v>
      </c>
      <c r="F911" s="233">
        <v>3633170</v>
      </c>
      <c r="G911" s="233" t="s">
        <v>2771</v>
      </c>
      <c r="H911" s="226" t="s">
        <v>20</v>
      </c>
      <c r="I911" s="225" t="s">
        <v>60</v>
      </c>
      <c r="J911" s="225"/>
      <c r="K911" s="225"/>
      <c r="L911" s="51" t="s">
        <v>2351</v>
      </c>
      <c r="M911" s="226" t="s">
        <v>22</v>
      </c>
      <c r="N911" s="226" t="s">
        <v>22</v>
      </c>
      <c r="O911" s="226" t="s">
        <v>38</v>
      </c>
      <c r="P911" s="226" t="s">
        <v>4428</v>
      </c>
      <c r="Q911" s="226" t="s">
        <v>4145</v>
      </c>
      <c r="R911" s="227" t="s">
        <v>3651</v>
      </c>
      <c r="S911" s="225" t="s">
        <v>3652</v>
      </c>
      <c r="T911" s="228"/>
      <c r="U911" s="235" t="s">
        <v>3182</v>
      </c>
      <c r="V911" s="225" t="s">
        <v>3183</v>
      </c>
      <c r="W911" s="229"/>
      <c r="X911" s="230">
        <v>43326</v>
      </c>
      <c r="Y911" s="238" t="s">
        <v>27</v>
      </c>
      <c r="Z911" s="238" t="s">
        <v>27</v>
      </c>
      <c r="AA911" s="238" t="s">
        <v>27</v>
      </c>
      <c r="AB911" s="45" t="s">
        <v>2887</v>
      </c>
      <c r="AC911" s="169"/>
    </row>
    <row r="912" spans="1:29" ht="15" hidden="1" customHeight="1">
      <c r="A912" s="226" t="s">
        <v>203</v>
      </c>
      <c r="B912" s="226" t="s">
        <v>2769</v>
      </c>
      <c r="C912" s="226" t="s">
        <v>27</v>
      </c>
      <c r="D912" s="226" t="s">
        <v>2893</v>
      </c>
      <c r="E912" s="226" t="s">
        <v>2008</v>
      </c>
      <c r="F912" s="233">
        <v>3633318</v>
      </c>
      <c r="G912" s="233" t="s">
        <v>2771</v>
      </c>
      <c r="H912" s="226" t="s">
        <v>20</v>
      </c>
      <c r="I912" s="225" t="s">
        <v>60</v>
      </c>
      <c r="J912" s="225" t="s">
        <v>2485</v>
      </c>
      <c r="K912" s="225" t="s">
        <v>2429</v>
      </c>
      <c r="L912" s="51" t="s">
        <v>2351</v>
      </c>
      <c r="M912" s="226" t="s">
        <v>22</v>
      </c>
      <c r="N912" s="226" t="s">
        <v>22</v>
      </c>
      <c r="O912" s="226" t="s">
        <v>3639</v>
      </c>
      <c r="P912" s="226" t="s">
        <v>3389</v>
      </c>
      <c r="Q912" s="226" t="s">
        <v>4146</v>
      </c>
      <c r="R912" s="227" t="s">
        <v>2885</v>
      </c>
      <c r="S912" s="225" t="s">
        <v>2886</v>
      </c>
      <c r="T912" s="228">
        <v>13041046044</v>
      </c>
      <c r="U912" s="235" t="s">
        <v>1104</v>
      </c>
      <c r="V912" s="225" t="s">
        <v>2104</v>
      </c>
      <c r="W912" s="229">
        <v>13810776903</v>
      </c>
      <c r="X912" s="230">
        <v>43209</v>
      </c>
      <c r="Y912" s="238" t="s">
        <v>27</v>
      </c>
      <c r="Z912" s="238" t="s">
        <v>27</v>
      </c>
      <c r="AA912" s="238" t="s">
        <v>27</v>
      </c>
      <c r="AB912" s="45" t="s">
        <v>2887</v>
      </c>
      <c r="AC912" s="169"/>
    </row>
    <row r="913" spans="1:29" ht="15" hidden="1" customHeight="1">
      <c r="A913" s="226" t="s">
        <v>203</v>
      </c>
      <c r="B913" s="226" t="s">
        <v>2991</v>
      </c>
      <c r="C913" s="226" t="s">
        <v>27</v>
      </c>
      <c r="D913" s="226" t="s">
        <v>2658</v>
      </c>
      <c r="E913" s="226" t="s">
        <v>2008</v>
      </c>
      <c r="F913" s="233">
        <v>3648541</v>
      </c>
      <c r="G913" s="233" t="s">
        <v>3042</v>
      </c>
      <c r="H913" s="226" t="s">
        <v>20</v>
      </c>
      <c r="I913" s="225" t="s">
        <v>21</v>
      </c>
      <c r="J913" s="225" t="s">
        <v>209</v>
      </c>
      <c r="K913" s="225" t="s">
        <v>236</v>
      </c>
      <c r="L913" s="51" t="s">
        <v>211</v>
      </c>
      <c r="M913" s="226" t="s">
        <v>22</v>
      </c>
      <c r="N913" s="226" t="s">
        <v>22</v>
      </c>
      <c r="O913" s="226" t="s">
        <v>3639</v>
      </c>
      <c r="P913" s="226" t="s">
        <v>3389</v>
      </c>
      <c r="Q913" s="226" t="s">
        <v>4147</v>
      </c>
      <c r="R913" s="227" t="s">
        <v>3043</v>
      </c>
      <c r="S913" s="225" t="s">
        <v>3044</v>
      </c>
      <c r="T913" s="228">
        <v>13911712455</v>
      </c>
      <c r="U913" s="235" t="s">
        <v>3045</v>
      </c>
      <c r="V913" s="225" t="s">
        <v>3046</v>
      </c>
      <c r="W913" s="229"/>
      <c r="X913" s="230">
        <v>43223</v>
      </c>
      <c r="Y913" s="238" t="s">
        <v>27</v>
      </c>
      <c r="Z913" s="238" t="s">
        <v>27</v>
      </c>
      <c r="AA913" s="238" t="s">
        <v>27</v>
      </c>
      <c r="AB913" s="45" t="s">
        <v>2887</v>
      </c>
      <c r="AC913" s="169"/>
    </row>
    <row r="914" spans="1:29" ht="15" hidden="1" customHeight="1">
      <c r="A914" s="226" t="s">
        <v>203</v>
      </c>
      <c r="B914" s="226" t="s">
        <v>2992</v>
      </c>
      <c r="C914" s="226" t="s">
        <v>27</v>
      </c>
      <c r="D914" s="226" t="s">
        <v>2658</v>
      </c>
      <c r="E914" s="226" t="s">
        <v>2008</v>
      </c>
      <c r="F914" s="233">
        <v>3648398</v>
      </c>
      <c r="G914" s="233" t="s">
        <v>3042</v>
      </c>
      <c r="H914" s="226" t="s">
        <v>20</v>
      </c>
      <c r="I914" s="225" t="s">
        <v>21</v>
      </c>
      <c r="J914" s="225" t="s">
        <v>209</v>
      </c>
      <c r="K914" s="225" t="s">
        <v>236</v>
      </c>
      <c r="L914" s="51" t="s">
        <v>211</v>
      </c>
      <c r="M914" s="226" t="s">
        <v>22</v>
      </c>
      <c r="N914" s="226" t="s">
        <v>22</v>
      </c>
      <c r="O914" s="226" t="s">
        <v>3639</v>
      </c>
      <c r="P914" s="226" t="s">
        <v>3389</v>
      </c>
      <c r="Q914" s="226" t="s">
        <v>4148</v>
      </c>
      <c r="R914" s="227" t="s">
        <v>3047</v>
      </c>
      <c r="S914" s="225" t="s">
        <v>3048</v>
      </c>
      <c r="T914" s="228">
        <v>13810114527</v>
      </c>
      <c r="U914" s="235" t="s">
        <v>3049</v>
      </c>
      <c r="V914" s="225" t="s">
        <v>3050</v>
      </c>
      <c r="W914" s="229"/>
      <c r="X914" s="230">
        <v>43223</v>
      </c>
      <c r="Y914" s="238" t="s">
        <v>27</v>
      </c>
      <c r="Z914" s="238" t="s">
        <v>27</v>
      </c>
      <c r="AA914" s="238" t="s">
        <v>27</v>
      </c>
      <c r="AB914" s="45" t="s">
        <v>2887</v>
      </c>
      <c r="AC914" s="169"/>
    </row>
    <row r="915" spans="1:29" ht="15" hidden="1" customHeight="1">
      <c r="A915" s="226" t="s">
        <v>203</v>
      </c>
      <c r="B915" s="226" t="s">
        <v>2993</v>
      </c>
      <c r="C915" s="226" t="s">
        <v>27</v>
      </c>
      <c r="D915" s="226" t="s">
        <v>2658</v>
      </c>
      <c r="E915" s="226" t="s">
        <v>2008</v>
      </c>
      <c r="F915" s="233">
        <v>3633159</v>
      </c>
      <c r="G915" s="233" t="s">
        <v>3051</v>
      </c>
      <c r="H915" s="226" t="s">
        <v>20</v>
      </c>
      <c r="I915" s="225" t="s">
        <v>21</v>
      </c>
      <c r="J915" s="225" t="s">
        <v>209</v>
      </c>
      <c r="K915" s="225" t="s">
        <v>61</v>
      </c>
      <c r="L915" s="51" t="s">
        <v>211</v>
      </c>
      <c r="M915" s="226" t="s">
        <v>22</v>
      </c>
      <c r="N915" s="226" t="s">
        <v>22</v>
      </c>
      <c r="O915" s="226" t="s">
        <v>3639</v>
      </c>
      <c r="P915" s="226" t="s">
        <v>3389</v>
      </c>
      <c r="Q915" s="226" t="s">
        <v>4149</v>
      </c>
      <c r="R915" s="227" t="s">
        <v>3052</v>
      </c>
      <c r="S915" s="225" t="s">
        <v>3053</v>
      </c>
      <c r="T915" s="228">
        <v>13810114265</v>
      </c>
      <c r="U915" s="235" t="s">
        <v>3054</v>
      </c>
      <c r="V915" s="225" t="s">
        <v>3055</v>
      </c>
      <c r="W915" s="229"/>
      <c r="X915" s="230">
        <v>43223</v>
      </c>
      <c r="Y915" s="238" t="s">
        <v>27</v>
      </c>
      <c r="Z915" s="238" t="s">
        <v>27</v>
      </c>
      <c r="AA915" s="238" t="s">
        <v>27</v>
      </c>
      <c r="AB915" s="45" t="s">
        <v>2887</v>
      </c>
      <c r="AC915" s="169"/>
    </row>
    <row r="916" spans="1:29" ht="15" hidden="1" customHeight="1">
      <c r="A916" s="226" t="s">
        <v>203</v>
      </c>
      <c r="B916" s="226" t="s">
        <v>2994</v>
      </c>
      <c r="C916" s="226" t="s">
        <v>27</v>
      </c>
      <c r="D916" s="226" t="s">
        <v>2658</v>
      </c>
      <c r="E916" s="226" t="s">
        <v>2008</v>
      </c>
      <c r="F916" s="233">
        <v>3648453</v>
      </c>
      <c r="G916" s="233" t="s">
        <v>3051</v>
      </c>
      <c r="H916" s="226" t="s">
        <v>20</v>
      </c>
      <c r="I916" s="225" t="s">
        <v>21</v>
      </c>
      <c r="J916" s="225" t="s">
        <v>209</v>
      </c>
      <c r="K916" s="225" t="s">
        <v>61</v>
      </c>
      <c r="L916" s="51" t="s">
        <v>211</v>
      </c>
      <c r="M916" s="226" t="s">
        <v>22</v>
      </c>
      <c r="N916" s="226" t="s">
        <v>22</v>
      </c>
      <c r="O916" s="226" t="s">
        <v>3639</v>
      </c>
      <c r="P916" s="226" t="s">
        <v>3389</v>
      </c>
      <c r="Q916" s="226" t="s">
        <v>4150</v>
      </c>
      <c r="R916" s="227" t="s">
        <v>3056</v>
      </c>
      <c r="S916" s="225" t="s">
        <v>3057</v>
      </c>
      <c r="T916" s="228">
        <v>13811683073</v>
      </c>
      <c r="U916" s="235" t="s">
        <v>3058</v>
      </c>
      <c r="V916" s="225" t="s">
        <v>3059</v>
      </c>
      <c r="W916" s="229"/>
      <c r="X916" s="230">
        <v>43223</v>
      </c>
      <c r="Y916" s="238" t="s">
        <v>27</v>
      </c>
      <c r="Z916" s="238" t="s">
        <v>27</v>
      </c>
      <c r="AA916" s="238" t="s">
        <v>27</v>
      </c>
      <c r="AB916" s="45" t="s">
        <v>2887</v>
      </c>
      <c r="AC916" s="169"/>
    </row>
    <row r="917" spans="1:29" ht="15" hidden="1" customHeight="1">
      <c r="A917" s="226" t="s">
        <v>203</v>
      </c>
      <c r="B917" s="226" t="s">
        <v>3140</v>
      </c>
      <c r="C917" s="226" t="s">
        <v>27</v>
      </c>
      <c r="D917" s="226" t="s">
        <v>4443</v>
      </c>
      <c r="E917" s="226" t="s">
        <v>2008</v>
      </c>
      <c r="F917" s="233">
        <v>3633253</v>
      </c>
      <c r="G917" s="233" t="s">
        <v>3141</v>
      </c>
      <c r="H917" s="226" t="s">
        <v>20</v>
      </c>
      <c r="I917" s="225" t="s">
        <v>60</v>
      </c>
      <c r="J917" s="225" t="s">
        <v>2484</v>
      </c>
      <c r="K917" s="225" t="s">
        <v>2390</v>
      </c>
      <c r="L917" s="51" t="s">
        <v>211</v>
      </c>
      <c r="M917" s="226" t="s">
        <v>22</v>
      </c>
      <c r="N917" s="226" t="s">
        <v>22</v>
      </c>
      <c r="O917" s="226" t="s">
        <v>3639</v>
      </c>
      <c r="P917" s="226" t="s">
        <v>3389</v>
      </c>
      <c r="Q917" s="226" t="s">
        <v>4151</v>
      </c>
      <c r="R917" s="227" t="s">
        <v>3142</v>
      </c>
      <c r="S917" s="225" t="s">
        <v>3143</v>
      </c>
      <c r="T917" s="228">
        <v>13811689013</v>
      </c>
      <c r="U917" s="235" t="s">
        <v>3144</v>
      </c>
      <c r="V917" s="225" t="s">
        <v>3145</v>
      </c>
      <c r="W917" s="229">
        <v>13811603792</v>
      </c>
      <c r="X917" s="230">
        <v>43334</v>
      </c>
      <c r="Y917" s="238" t="s">
        <v>27</v>
      </c>
      <c r="Z917" s="238" t="s">
        <v>27</v>
      </c>
      <c r="AA917" s="238" t="s">
        <v>27</v>
      </c>
      <c r="AB917" s="45" t="s">
        <v>2887</v>
      </c>
      <c r="AC917" s="169"/>
    </row>
    <row r="918" spans="1:29" ht="15" hidden="1" customHeight="1">
      <c r="A918" s="226" t="s">
        <v>203</v>
      </c>
      <c r="B918" s="226" t="s">
        <v>3146</v>
      </c>
      <c r="C918" s="226" t="s">
        <v>27</v>
      </c>
      <c r="D918" s="226" t="s">
        <v>2658</v>
      </c>
      <c r="E918" s="226" t="s">
        <v>2008</v>
      </c>
      <c r="F918" s="233">
        <v>3633197</v>
      </c>
      <c r="G918" s="233" t="s">
        <v>3141</v>
      </c>
      <c r="H918" s="226" t="s">
        <v>20</v>
      </c>
      <c r="I918" s="225" t="s">
        <v>60</v>
      </c>
      <c r="J918" s="225" t="s">
        <v>2485</v>
      </c>
      <c r="K918" s="225" t="s">
        <v>2429</v>
      </c>
      <c r="L918" s="51" t="s">
        <v>211</v>
      </c>
      <c r="M918" s="226" t="s">
        <v>22</v>
      </c>
      <c r="N918" s="226" t="s">
        <v>22</v>
      </c>
      <c r="O918" s="226" t="s">
        <v>3639</v>
      </c>
      <c r="P918" s="226" t="s">
        <v>3389</v>
      </c>
      <c r="Q918" s="226" t="s">
        <v>4152</v>
      </c>
      <c r="R918" s="227" t="s">
        <v>3147</v>
      </c>
      <c r="S918" s="225" t="s">
        <v>3148</v>
      </c>
      <c r="T918" s="228">
        <v>18511273048</v>
      </c>
      <c r="U918" s="235" t="s">
        <v>3149</v>
      </c>
      <c r="V918" s="225" t="s">
        <v>3150</v>
      </c>
      <c r="W918" s="229">
        <v>13811517285</v>
      </c>
      <c r="X918" s="230">
        <v>43334</v>
      </c>
      <c r="Y918" s="238" t="s">
        <v>27</v>
      </c>
      <c r="Z918" s="238" t="s">
        <v>27</v>
      </c>
      <c r="AA918" s="238" t="s">
        <v>27</v>
      </c>
      <c r="AB918" s="45" t="s">
        <v>2887</v>
      </c>
      <c r="AC918" s="169"/>
    </row>
    <row r="919" spans="1:29" ht="15" hidden="1" customHeight="1">
      <c r="A919" s="226" t="s">
        <v>203</v>
      </c>
      <c r="B919" s="226" t="s">
        <v>2995</v>
      </c>
      <c r="C919" s="226" t="s">
        <v>27</v>
      </c>
      <c r="D919" s="226" t="s">
        <v>2893</v>
      </c>
      <c r="E919" s="226" t="s">
        <v>2008</v>
      </c>
      <c r="F919" s="233">
        <v>3633189</v>
      </c>
      <c r="G919" s="233" t="s">
        <v>3060</v>
      </c>
      <c r="H919" s="226" t="s">
        <v>20</v>
      </c>
      <c r="I919" s="225" t="s">
        <v>21</v>
      </c>
      <c r="J919" s="225" t="s">
        <v>209</v>
      </c>
      <c r="K919" s="225" t="s">
        <v>26</v>
      </c>
      <c r="L919" s="51" t="s">
        <v>2351</v>
      </c>
      <c r="M919" s="226" t="s">
        <v>22</v>
      </c>
      <c r="N919" s="226" t="s">
        <v>22</v>
      </c>
      <c r="O919" s="226" t="s">
        <v>3639</v>
      </c>
      <c r="P919" s="226" t="s">
        <v>3389</v>
      </c>
      <c r="Q919" s="226" t="s">
        <v>4153</v>
      </c>
      <c r="R919" s="227" t="s">
        <v>3061</v>
      </c>
      <c r="S919" s="225" t="s">
        <v>3062</v>
      </c>
      <c r="T919" s="228">
        <v>13811686732</v>
      </c>
      <c r="U919" s="235" t="s">
        <v>3063</v>
      </c>
      <c r="V919" s="225" t="s">
        <v>3064</v>
      </c>
      <c r="W919" s="229"/>
      <c r="X919" s="230">
        <v>43223</v>
      </c>
      <c r="Y919" s="238" t="s">
        <v>27</v>
      </c>
      <c r="Z919" s="238" t="s">
        <v>27</v>
      </c>
      <c r="AA919" s="238" t="s">
        <v>27</v>
      </c>
      <c r="AB919" s="45" t="s">
        <v>2887</v>
      </c>
      <c r="AC919" s="169"/>
    </row>
    <row r="920" spans="1:29" ht="15" hidden="1" customHeight="1">
      <c r="A920" s="226" t="s">
        <v>203</v>
      </c>
      <c r="B920" s="226" t="s">
        <v>2996</v>
      </c>
      <c r="C920" s="226" t="s">
        <v>27</v>
      </c>
      <c r="D920" s="226" t="s">
        <v>2893</v>
      </c>
      <c r="E920" s="226" t="s">
        <v>2008</v>
      </c>
      <c r="F920" s="233">
        <v>3299689</v>
      </c>
      <c r="G920" s="233" t="s">
        <v>3060</v>
      </c>
      <c r="H920" s="226" t="s">
        <v>20</v>
      </c>
      <c r="I920" s="225" t="s">
        <v>21</v>
      </c>
      <c r="J920" s="225" t="s">
        <v>209</v>
      </c>
      <c r="K920" s="225" t="s">
        <v>26</v>
      </c>
      <c r="L920" s="51" t="s">
        <v>2351</v>
      </c>
      <c r="M920" s="226" t="s">
        <v>22</v>
      </c>
      <c r="N920" s="226" t="s">
        <v>22</v>
      </c>
      <c r="O920" s="226" t="s">
        <v>3639</v>
      </c>
      <c r="P920" s="226" t="s">
        <v>3389</v>
      </c>
      <c r="Q920" s="226" t="s">
        <v>4154</v>
      </c>
      <c r="R920" s="227" t="s">
        <v>3065</v>
      </c>
      <c r="S920" s="225" t="s">
        <v>3066</v>
      </c>
      <c r="T920" s="228">
        <v>13811685301</v>
      </c>
      <c r="U920" s="235" t="s">
        <v>2209</v>
      </c>
      <c r="V920" s="225" t="s">
        <v>2210</v>
      </c>
      <c r="W920" s="229"/>
      <c r="X920" s="230">
        <v>43237</v>
      </c>
      <c r="Y920" s="238" t="s">
        <v>27</v>
      </c>
      <c r="Z920" s="238" t="s">
        <v>27</v>
      </c>
      <c r="AA920" s="238" t="s">
        <v>27</v>
      </c>
      <c r="AB920" s="45" t="s">
        <v>2887</v>
      </c>
      <c r="AC920" s="196"/>
    </row>
    <row r="921" spans="1:29" ht="15" hidden="1" customHeight="1">
      <c r="A921" s="226" t="s">
        <v>203</v>
      </c>
      <c r="B921" s="226" t="s">
        <v>2997</v>
      </c>
      <c r="C921" s="226" t="s">
        <v>27</v>
      </c>
      <c r="D921" s="226" t="s">
        <v>2893</v>
      </c>
      <c r="E921" s="226" t="s">
        <v>2008</v>
      </c>
      <c r="F921" s="233">
        <v>3316729</v>
      </c>
      <c r="G921" s="233" t="s">
        <v>3067</v>
      </c>
      <c r="H921" s="226" t="s">
        <v>20</v>
      </c>
      <c r="I921" s="225" t="s">
        <v>60</v>
      </c>
      <c r="J921" s="225" t="s">
        <v>2486</v>
      </c>
      <c r="K921" s="225" t="s">
        <v>2358</v>
      </c>
      <c r="L921" s="51" t="s">
        <v>2351</v>
      </c>
      <c r="M921" s="226" t="s">
        <v>22</v>
      </c>
      <c r="N921" s="226" t="s">
        <v>22</v>
      </c>
      <c r="O921" s="226" t="s">
        <v>3639</v>
      </c>
      <c r="P921" s="226" t="s">
        <v>3389</v>
      </c>
      <c r="Q921" s="226" t="s">
        <v>4155</v>
      </c>
      <c r="R921" s="227" t="s">
        <v>3068</v>
      </c>
      <c r="S921" s="225" t="s">
        <v>3069</v>
      </c>
      <c r="T921" s="228">
        <v>13810500951</v>
      </c>
      <c r="U921" s="235" t="s">
        <v>1664</v>
      </c>
      <c r="V921" s="225" t="s">
        <v>2087</v>
      </c>
      <c r="W921" s="229">
        <v>18511270837</v>
      </c>
      <c r="X921" s="230">
        <v>43237</v>
      </c>
      <c r="Y921" s="238" t="s">
        <v>27</v>
      </c>
      <c r="Z921" s="238" t="s">
        <v>27</v>
      </c>
      <c r="AA921" s="238" t="s">
        <v>27</v>
      </c>
      <c r="AB921" s="45" t="s">
        <v>2887</v>
      </c>
      <c r="AC921" s="169"/>
    </row>
    <row r="922" spans="1:29" ht="15" hidden="1" customHeight="1">
      <c r="A922" s="226" t="s">
        <v>203</v>
      </c>
      <c r="B922" s="226" t="s">
        <v>2998</v>
      </c>
      <c r="C922" s="226" t="s">
        <v>27</v>
      </c>
      <c r="D922" s="226" t="s">
        <v>2893</v>
      </c>
      <c r="E922" s="226" t="s">
        <v>2008</v>
      </c>
      <c r="F922" s="233">
        <v>3633182</v>
      </c>
      <c r="G922" s="233" t="s">
        <v>3067</v>
      </c>
      <c r="H922" s="226" t="s">
        <v>20</v>
      </c>
      <c r="I922" s="225" t="s">
        <v>21</v>
      </c>
      <c r="J922" s="225" t="s">
        <v>204</v>
      </c>
      <c r="K922" s="225" t="s">
        <v>206</v>
      </c>
      <c r="L922" s="51" t="s">
        <v>2351</v>
      </c>
      <c r="M922" s="226" t="s">
        <v>22</v>
      </c>
      <c r="N922" s="226" t="s">
        <v>27</v>
      </c>
      <c r="O922" s="226" t="s">
        <v>3639</v>
      </c>
      <c r="P922" s="226" t="s">
        <v>3389</v>
      </c>
      <c r="Q922" s="226" t="s">
        <v>4156</v>
      </c>
      <c r="R922" s="227" t="s">
        <v>3070</v>
      </c>
      <c r="S922" s="225" t="s">
        <v>3071</v>
      </c>
      <c r="T922" s="228">
        <v>15321682041</v>
      </c>
      <c r="U922" s="235" t="s">
        <v>2208</v>
      </c>
      <c r="V922" s="225" t="s">
        <v>3168</v>
      </c>
      <c r="W922" s="229"/>
      <c r="X922" s="230">
        <v>43223</v>
      </c>
      <c r="Y922" s="238" t="s">
        <v>27</v>
      </c>
      <c r="Z922" s="238" t="s">
        <v>27</v>
      </c>
      <c r="AA922" s="238" t="s">
        <v>27</v>
      </c>
      <c r="AB922" s="45" t="s">
        <v>2887</v>
      </c>
      <c r="AC922" s="196"/>
    </row>
    <row r="923" spans="1:29" ht="15" hidden="1" customHeight="1">
      <c r="A923" s="226" t="s">
        <v>203</v>
      </c>
      <c r="B923" s="226" t="s">
        <v>3178</v>
      </c>
      <c r="C923" s="226" t="s">
        <v>27</v>
      </c>
      <c r="D923" s="226" t="s">
        <v>2658</v>
      </c>
      <c r="E923" s="226" t="s">
        <v>2008</v>
      </c>
      <c r="F923" s="233">
        <v>3633270</v>
      </c>
      <c r="G923" s="233" t="s">
        <v>4387</v>
      </c>
      <c r="H923" s="226" t="s">
        <v>20</v>
      </c>
      <c r="I923" s="225" t="s">
        <v>60</v>
      </c>
      <c r="J923" s="225" t="s">
        <v>2487</v>
      </c>
      <c r="K923" s="225" t="s">
        <v>2650</v>
      </c>
      <c r="L923" s="51" t="s">
        <v>211</v>
      </c>
      <c r="M923" s="226" t="s">
        <v>27</v>
      </c>
      <c r="N923" s="226" t="s">
        <v>27</v>
      </c>
      <c r="O923" s="226" t="s">
        <v>3639</v>
      </c>
      <c r="P923" s="226">
        <v>4</v>
      </c>
      <c r="Q923" s="226"/>
      <c r="R923" s="227" t="s">
        <v>3628</v>
      </c>
      <c r="S923" s="225" t="s">
        <v>3629</v>
      </c>
      <c r="T923" s="228">
        <v>13811620335</v>
      </c>
      <c r="U923" s="235" t="s">
        <v>3179</v>
      </c>
      <c r="V923" s="225" t="s">
        <v>3180</v>
      </c>
      <c r="W923" s="229">
        <v>18101234834</v>
      </c>
      <c r="X923" s="230">
        <v>43237</v>
      </c>
      <c r="Y923" s="238" t="s">
        <v>27</v>
      </c>
      <c r="Z923" s="238" t="s">
        <v>27</v>
      </c>
      <c r="AA923" s="238" t="s">
        <v>27</v>
      </c>
      <c r="AB923" s="45" t="s">
        <v>2887</v>
      </c>
      <c r="AC923" s="196"/>
    </row>
    <row r="924" spans="1:29" ht="15" hidden="1" customHeight="1">
      <c r="A924" s="226" t="s">
        <v>203</v>
      </c>
      <c r="B924" s="226" t="s">
        <v>2999</v>
      </c>
      <c r="C924" s="226" t="s">
        <v>27</v>
      </c>
      <c r="D924" s="226" t="s">
        <v>2893</v>
      </c>
      <c r="E924" s="226" t="s">
        <v>2008</v>
      </c>
      <c r="F924" s="233">
        <v>3633218</v>
      </c>
      <c r="G924" s="233" t="s">
        <v>3072</v>
      </c>
      <c r="H924" s="226" t="s">
        <v>20</v>
      </c>
      <c r="I924" s="225" t="s">
        <v>21</v>
      </c>
      <c r="J924" s="225" t="s">
        <v>204</v>
      </c>
      <c r="K924" s="225" t="s">
        <v>1586</v>
      </c>
      <c r="L924" s="51" t="s">
        <v>2351</v>
      </c>
      <c r="M924" s="226" t="s">
        <v>22</v>
      </c>
      <c r="N924" s="226" t="s">
        <v>27</v>
      </c>
      <c r="O924" s="226" t="s">
        <v>3639</v>
      </c>
      <c r="P924" s="226" t="s">
        <v>3392</v>
      </c>
      <c r="Q924" s="226" t="s">
        <v>4157</v>
      </c>
      <c r="R924" s="227" t="s">
        <v>3073</v>
      </c>
      <c r="S924" s="225" t="s">
        <v>3074</v>
      </c>
      <c r="T924" s="228">
        <v>17310524405</v>
      </c>
      <c r="U924" s="235" t="s">
        <v>1662</v>
      </c>
      <c r="V924" s="225"/>
      <c r="W924" s="229"/>
      <c r="X924" s="230">
        <v>43237</v>
      </c>
      <c r="Y924" s="238" t="s">
        <v>27</v>
      </c>
      <c r="Z924" s="238" t="s">
        <v>27</v>
      </c>
      <c r="AA924" s="238" t="s">
        <v>27</v>
      </c>
      <c r="AB924" s="45" t="s">
        <v>2887</v>
      </c>
      <c r="AC924" s="196"/>
    </row>
    <row r="925" spans="1:29" ht="15" hidden="1" customHeight="1">
      <c r="A925" s="226" t="s">
        <v>203</v>
      </c>
      <c r="B925" s="226" t="s">
        <v>3000</v>
      </c>
      <c r="C925" s="226" t="s">
        <v>27</v>
      </c>
      <c r="D925" s="226" t="s">
        <v>4443</v>
      </c>
      <c r="E925" s="226" t="s">
        <v>2008</v>
      </c>
      <c r="F925" s="233">
        <v>3633145</v>
      </c>
      <c r="G925" s="233" t="s">
        <v>3072</v>
      </c>
      <c r="H925" s="226" t="s">
        <v>20</v>
      </c>
      <c r="I925" s="225" t="s">
        <v>60</v>
      </c>
      <c r="J925" s="225" t="s">
        <v>2501</v>
      </c>
      <c r="K925" s="225" t="s">
        <v>2654</v>
      </c>
      <c r="L925" s="51" t="s">
        <v>211</v>
      </c>
      <c r="M925" s="226" t="s">
        <v>22</v>
      </c>
      <c r="N925" s="226" t="s">
        <v>27</v>
      </c>
      <c r="O925" s="226" t="s">
        <v>3639</v>
      </c>
      <c r="P925" s="226" t="s">
        <v>3392</v>
      </c>
      <c r="Q925" s="226" t="s">
        <v>4158</v>
      </c>
      <c r="R925" s="227" t="s">
        <v>3133</v>
      </c>
      <c r="S925" s="225" t="s">
        <v>3134</v>
      </c>
      <c r="T925" s="228">
        <v>17310344976</v>
      </c>
      <c r="U925" s="235" t="s">
        <v>1658</v>
      </c>
      <c r="V925" s="225" t="s">
        <v>2081</v>
      </c>
      <c r="W925" s="229">
        <v>13811653293</v>
      </c>
      <c r="X925" s="230">
        <v>43224</v>
      </c>
      <c r="Y925" s="238" t="s">
        <v>27</v>
      </c>
      <c r="Z925" s="238" t="s">
        <v>27</v>
      </c>
      <c r="AA925" s="238" t="s">
        <v>27</v>
      </c>
      <c r="AB925" s="45" t="s">
        <v>2887</v>
      </c>
      <c r="AC925" s="196"/>
    </row>
    <row r="926" spans="1:29" ht="15" hidden="1" customHeight="1">
      <c r="A926" s="226" t="s">
        <v>203</v>
      </c>
      <c r="B926" s="226" t="s">
        <v>3001</v>
      </c>
      <c r="C926" s="226" t="s">
        <v>22</v>
      </c>
      <c r="D926" s="226" t="s">
        <v>4443</v>
      </c>
      <c r="E926" s="226" t="s">
        <v>2008</v>
      </c>
      <c r="F926" s="233">
        <v>3633137</v>
      </c>
      <c r="G926" s="233" t="s">
        <v>3075</v>
      </c>
      <c r="H926" s="226" t="s">
        <v>20</v>
      </c>
      <c r="I926" s="225" t="s">
        <v>60</v>
      </c>
      <c r="J926" s="225" t="s">
        <v>2501</v>
      </c>
      <c r="K926" s="225" t="s">
        <v>2649</v>
      </c>
      <c r="L926" s="51" t="s">
        <v>211</v>
      </c>
      <c r="M926" s="226" t="s">
        <v>22</v>
      </c>
      <c r="N926" s="226" t="s">
        <v>27</v>
      </c>
      <c r="O926" s="226" t="s">
        <v>38</v>
      </c>
      <c r="P926" s="226" t="s">
        <v>3392</v>
      </c>
      <c r="Q926" s="226" t="s">
        <v>4159</v>
      </c>
      <c r="R926" s="227" t="s">
        <v>3135</v>
      </c>
      <c r="S926" s="225" t="s">
        <v>3630</v>
      </c>
      <c r="T926" s="228">
        <v>17310496184</v>
      </c>
      <c r="U926" s="235" t="s">
        <v>3631</v>
      </c>
      <c r="V926" s="225" t="s">
        <v>3632</v>
      </c>
      <c r="W926" s="229">
        <v>13811201627</v>
      </c>
      <c r="X926" s="230">
        <v>43334</v>
      </c>
      <c r="Y926" s="238" t="s">
        <v>27</v>
      </c>
      <c r="Z926" s="238" t="s">
        <v>27</v>
      </c>
      <c r="AA926" s="238" t="s">
        <v>27</v>
      </c>
      <c r="AB926" s="45" t="s">
        <v>2887</v>
      </c>
      <c r="AC926" s="202"/>
    </row>
    <row r="927" spans="1:29" ht="15" hidden="1" customHeight="1">
      <c r="A927" s="226" t="s">
        <v>203</v>
      </c>
      <c r="B927" s="226" t="s">
        <v>3002</v>
      </c>
      <c r="C927" s="226" t="s">
        <v>27</v>
      </c>
      <c r="D927" s="226" t="s">
        <v>4443</v>
      </c>
      <c r="E927" s="226" t="s">
        <v>2008</v>
      </c>
      <c r="F927" s="233">
        <v>3633155</v>
      </c>
      <c r="G927" s="233" t="s">
        <v>3075</v>
      </c>
      <c r="H927" s="226" t="s">
        <v>20</v>
      </c>
      <c r="I927" s="225" t="s">
        <v>60</v>
      </c>
      <c r="J927" s="225" t="s">
        <v>2486</v>
      </c>
      <c r="K927" s="225" t="s">
        <v>2358</v>
      </c>
      <c r="L927" s="51" t="s">
        <v>211</v>
      </c>
      <c r="M927" s="226" t="s">
        <v>22</v>
      </c>
      <c r="N927" s="226" t="s">
        <v>22</v>
      </c>
      <c r="O927" s="226" t="s">
        <v>3639</v>
      </c>
      <c r="P927" s="226" t="s">
        <v>3392</v>
      </c>
      <c r="Q927" s="226" t="s">
        <v>4160</v>
      </c>
      <c r="R927" s="227" t="s">
        <v>3136</v>
      </c>
      <c r="S927" s="225" t="s">
        <v>3137</v>
      </c>
      <c r="T927" s="228">
        <v>13811515392</v>
      </c>
      <c r="U927" s="235" t="s">
        <v>3078</v>
      </c>
      <c r="V927" s="225" t="s">
        <v>3079</v>
      </c>
      <c r="W927" s="229">
        <v>18511273358</v>
      </c>
      <c r="X927" s="230">
        <v>43224</v>
      </c>
      <c r="Y927" s="238" t="s">
        <v>27</v>
      </c>
      <c r="Z927" s="238" t="s">
        <v>27</v>
      </c>
      <c r="AA927" s="238" t="s">
        <v>27</v>
      </c>
      <c r="AB927" s="45" t="s">
        <v>2887</v>
      </c>
      <c r="AC927" s="196"/>
    </row>
    <row r="928" spans="1:29" ht="15" hidden="1" customHeight="1">
      <c r="A928" s="226" t="s">
        <v>203</v>
      </c>
      <c r="B928" s="226" t="s">
        <v>3003</v>
      </c>
      <c r="C928" s="226" t="s">
        <v>27</v>
      </c>
      <c r="D928" s="226" t="s">
        <v>2893</v>
      </c>
      <c r="E928" s="226" t="s">
        <v>2008</v>
      </c>
      <c r="F928" s="233">
        <v>3633168</v>
      </c>
      <c r="G928" s="233" t="s">
        <v>3080</v>
      </c>
      <c r="H928" s="226" t="s">
        <v>20</v>
      </c>
      <c r="I928" s="225" t="s">
        <v>60</v>
      </c>
      <c r="J928" s="225" t="s">
        <v>2485</v>
      </c>
      <c r="K928" s="225" t="s">
        <v>2429</v>
      </c>
      <c r="L928" s="51" t="s">
        <v>211</v>
      </c>
      <c r="M928" s="226" t="s">
        <v>22</v>
      </c>
      <c r="N928" s="226" t="s">
        <v>22</v>
      </c>
      <c r="O928" s="226" t="s">
        <v>3639</v>
      </c>
      <c r="P928" s="226" t="s">
        <v>3392</v>
      </c>
      <c r="Q928" s="226" t="s">
        <v>4161</v>
      </c>
      <c r="R928" s="227" t="s">
        <v>3138</v>
      </c>
      <c r="S928" s="225" t="s">
        <v>3139</v>
      </c>
      <c r="T928" s="228">
        <v>18511279291</v>
      </c>
      <c r="U928" s="235" t="s">
        <v>2206</v>
      </c>
      <c r="V928" s="225" t="s">
        <v>2207</v>
      </c>
      <c r="W928" s="229">
        <v>13811306507</v>
      </c>
      <c r="X928" s="230">
        <v>43224</v>
      </c>
      <c r="Y928" s="238" t="s">
        <v>27</v>
      </c>
      <c r="Z928" s="238" t="s">
        <v>27</v>
      </c>
      <c r="AA928" s="238" t="s">
        <v>27</v>
      </c>
      <c r="AB928" s="45" t="s">
        <v>2887</v>
      </c>
      <c r="AC928" s="196"/>
    </row>
    <row r="929" spans="1:29" ht="15" hidden="1" customHeight="1">
      <c r="A929" s="226" t="s">
        <v>203</v>
      </c>
      <c r="B929" s="226" t="s">
        <v>3151</v>
      </c>
      <c r="C929" s="226" t="s">
        <v>27</v>
      </c>
      <c r="D929" s="226" t="s">
        <v>2658</v>
      </c>
      <c r="E929" s="226" t="s">
        <v>2008</v>
      </c>
      <c r="F929" s="233">
        <v>3633287</v>
      </c>
      <c r="G929" s="233" t="s">
        <v>3080</v>
      </c>
      <c r="H929" s="226" t="s">
        <v>20</v>
      </c>
      <c r="I929" s="225" t="s">
        <v>60</v>
      </c>
      <c r="J929" s="225" t="s">
        <v>2485</v>
      </c>
      <c r="K929" s="225" t="s">
        <v>4426</v>
      </c>
      <c r="L929" s="51" t="s">
        <v>211</v>
      </c>
      <c r="M929" s="226" t="s">
        <v>22</v>
      </c>
      <c r="N929" s="226" t="s">
        <v>22</v>
      </c>
      <c r="O929" s="226" t="s">
        <v>3639</v>
      </c>
      <c r="P929" s="226" t="s">
        <v>3392</v>
      </c>
      <c r="Q929" s="226" t="s">
        <v>4162</v>
      </c>
      <c r="R929" s="227" t="s">
        <v>3152</v>
      </c>
      <c r="S929" s="225" t="s">
        <v>3153</v>
      </c>
      <c r="T929" s="228">
        <v>18511279122</v>
      </c>
      <c r="U929" s="235" t="s">
        <v>3154</v>
      </c>
      <c r="V929" s="225" t="s">
        <v>3155</v>
      </c>
      <c r="W929" s="229">
        <v>13811683562</v>
      </c>
      <c r="X929" s="230">
        <v>43323</v>
      </c>
      <c r="Y929" s="238" t="s">
        <v>27</v>
      </c>
      <c r="Z929" s="238" t="s">
        <v>27</v>
      </c>
      <c r="AA929" s="238" t="s">
        <v>27</v>
      </c>
      <c r="AB929" s="45" t="s">
        <v>2887</v>
      </c>
      <c r="AC929" s="196"/>
    </row>
    <row r="930" spans="1:29" ht="15" hidden="1" customHeight="1">
      <c r="A930" s="226" t="s">
        <v>203</v>
      </c>
      <c r="B930" s="226" t="s">
        <v>3181</v>
      </c>
      <c r="C930" s="226" t="s">
        <v>27</v>
      </c>
      <c r="D930" s="226" t="s">
        <v>2658</v>
      </c>
      <c r="E930" s="226" t="s">
        <v>2008</v>
      </c>
      <c r="F930" s="233">
        <v>3633296</v>
      </c>
      <c r="G930" s="233" t="s">
        <v>4397</v>
      </c>
      <c r="H930" s="226" t="s">
        <v>20</v>
      </c>
      <c r="I930" s="225" t="s">
        <v>60</v>
      </c>
      <c r="J930" s="225" t="s">
        <v>2487</v>
      </c>
      <c r="K930" s="225" t="s">
        <v>2650</v>
      </c>
      <c r="L930" s="51" t="s">
        <v>211</v>
      </c>
      <c r="M930" s="226" t="s">
        <v>27</v>
      </c>
      <c r="N930" s="226" t="s">
        <v>27</v>
      </c>
      <c r="O930" s="226" t="s">
        <v>3639</v>
      </c>
      <c r="P930" s="226" t="e">
        <v>#N/A</v>
      </c>
      <c r="Q930" s="226"/>
      <c r="R930" s="227" t="s">
        <v>3633</v>
      </c>
      <c r="S930" s="225" t="s">
        <v>3634</v>
      </c>
      <c r="T930" s="228">
        <v>13811682190</v>
      </c>
      <c r="U930" s="235" t="s">
        <v>3182</v>
      </c>
      <c r="V930" s="225" t="s">
        <v>3183</v>
      </c>
      <c r="W930" s="229">
        <v>18101234840</v>
      </c>
      <c r="X930" s="230">
        <v>43224</v>
      </c>
      <c r="Y930" s="238" t="s">
        <v>27</v>
      </c>
      <c r="Z930" s="238" t="s">
        <v>27</v>
      </c>
      <c r="AA930" s="238" t="s">
        <v>27</v>
      </c>
      <c r="AB930" s="45" t="s">
        <v>2887</v>
      </c>
      <c r="AC930" s="196"/>
    </row>
    <row r="931" spans="1:29" ht="15" hidden="1" customHeight="1">
      <c r="A931" s="226" t="s">
        <v>203</v>
      </c>
      <c r="B931" s="226" t="s">
        <v>4163</v>
      </c>
      <c r="C931" s="226" t="s">
        <v>27</v>
      </c>
      <c r="D931" s="226" t="s">
        <v>4443</v>
      </c>
      <c r="E931" s="226" t="s">
        <v>2008</v>
      </c>
      <c r="F931" s="233">
        <v>3299832</v>
      </c>
      <c r="G931" s="233" t="s">
        <v>4242</v>
      </c>
      <c r="H931" s="226" t="s">
        <v>20</v>
      </c>
      <c r="I931" s="225" t="s">
        <v>60</v>
      </c>
      <c r="J931" s="225" t="s">
        <v>3834</v>
      </c>
      <c r="K931" s="225" t="s">
        <v>2390</v>
      </c>
      <c r="L931" s="51" t="s">
        <v>211</v>
      </c>
      <c r="M931" s="226" t="s">
        <v>22</v>
      </c>
      <c r="N931" s="226" t="s">
        <v>22</v>
      </c>
      <c r="O931" s="226" t="s">
        <v>27</v>
      </c>
      <c r="P931" s="226" t="s">
        <v>3870</v>
      </c>
      <c r="Q931" s="226" t="s">
        <v>4164</v>
      </c>
      <c r="R931" s="227" t="s">
        <v>3745</v>
      </c>
      <c r="S931" s="225" t="s">
        <v>3746</v>
      </c>
      <c r="T931" s="228">
        <v>13800001344</v>
      </c>
      <c r="U931" s="235" t="s">
        <v>3063</v>
      </c>
      <c r="V931" s="225" t="s">
        <v>3064</v>
      </c>
      <c r="W931" s="229">
        <v>13800001329</v>
      </c>
      <c r="X931" s="230">
        <v>43287</v>
      </c>
      <c r="Y931" s="238" t="s">
        <v>27</v>
      </c>
      <c r="Z931" s="238" t="s">
        <v>27</v>
      </c>
      <c r="AA931" s="238" t="s">
        <v>27</v>
      </c>
      <c r="AB931" s="204" t="s">
        <v>2887</v>
      </c>
      <c r="AC931" s="196"/>
    </row>
    <row r="932" spans="1:29" ht="15" hidden="1" customHeight="1">
      <c r="A932" s="226" t="s">
        <v>203</v>
      </c>
      <c r="B932" s="226" t="s">
        <v>4165</v>
      </c>
      <c r="C932" s="226" t="s">
        <v>27</v>
      </c>
      <c r="D932" s="226" t="s">
        <v>2658</v>
      </c>
      <c r="E932" s="226" t="s">
        <v>2008</v>
      </c>
      <c r="F932" s="233">
        <v>2510953</v>
      </c>
      <c r="G932" s="233" t="s">
        <v>4242</v>
      </c>
      <c r="H932" s="226" t="s">
        <v>20</v>
      </c>
      <c r="I932" s="225" t="s">
        <v>60</v>
      </c>
      <c r="J932" s="225" t="s">
        <v>3834</v>
      </c>
      <c r="K932" s="225" t="s">
        <v>4427</v>
      </c>
      <c r="L932" s="51" t="s">
        <v>211</v>
      </c>
      <c r="M932" s="226" t="s">
        <v>22</v>
      </c>
      <c r="N932" s="226" t="s">
        <v>22</v>
      </c>
      <c r="O932" s="226" t="s">
        <v>27</v>
      </c>
      <c r="P932" s="226" t="s">
        <v>3870</v>
      </c>
      <c r="Q932" s="226" t="s">
        <v>4166</v>
      </c>
      <c r="R932" s="227" t="s">
        <v>4167</v>
      </c>
      <c r="S932" s="225" t="s">
        <v>4168</v>
      </c>
      <c r="T932" s="228">
        <v>13800001336</v>
      </c>
      <c r="U932" s="235" t="s">
        <v>4169</v>
      </c>
      <c r="V932" s="225" t="s">
        <v>4170</v>
      </c>
      <c r="W932" s="229">
        <v>13800001337</v>
      </c>
      <c r="X932" s="230">
        <v>43291</v>
      </c>
      <c r="Y932" s="238" t="s">
        <v>27</v>
      </c>
      <c r="Z932" s="238" t="s">
        <v>27</v>
      </c>
      <c r="AA932" s="238" t="s">
        <v>27</v>
      </c>
      <c r="AB932" s="204" t="s">
        <v>2887</v>
      </c>
      <c r="AC932" s="196"/>
    </row>
    <row r="933" spans="1:29" ht="15" hidden="1" customHeight="1">
      <c r="A933" s="226" t="s">
        <v>203</v>
      </c>
      <c r="B933" s="226" t="s">
        <v>4223</v>
      </c>
      <c r="C933" s="226" t="s">
        <v>27</v>
      </c>
      <c r="D933" s="226" t="s">
        <v>2658</v>
      </c>
      <c r="E933" s="226" t="s">
        <v>2008</v>
      </c>
      <c r="F933" s="233">
        <v>2510630</v>
      </c>
      <c r="G933" s="233" t="s">
        <v>4242</v>
      </c>
      <c r="H933" s="226" t="s">
        <v>20</v>
      </c>
      <c r="I933" s="225" t="s">
        <v>60</v>
      </c>
      <c r="J933" s="225" t="s">
        <v>3923</v>
      </c>
      <c r="K933" s="225" t="s">
        <v>2649</v>
      </c>
      <c r="L933" s="51" t="s">
        <v>211</v>
      </c>
      <c r="M933" s="226" t="s">
        <v>22</v>
      </c>
      <c r="N933" s="226" t="s">
        <v>22</v>
      </c>
      <c r="O933" s="226" t="s">
        <v>27</v>
      </c>
      <c r="P933" s="226" t="s">
        <v>3870</v>
      </c>
      <c r="Q933" s="226" t="s">
        <v>4224</v>
      </c>
      <c r="R933" s="227" t="s">
        <v>4225</v>
      </c>
      <c r="S933" s="225" t="s">
        <v>4226</v>
      </c>
      <c r="T933" s="228">
        <v>18900670309</v>
      </c>
      <c r="U933" s="235" t="s">
        <v>4227</v>
      </c>
      <c r="V933" s="225" t="s">
        <v>4228</v>
      </c>
      <c r="W933" s="229">
        <v>13800001341</v>
      </c>
      <c r="X933" s="230">
        <v>43294</v>
      </c>
      <c r="Y933" s="238" t="s">
        <v>27</v>
      </c>
      <c r="Z933" s="238" t="s">
        <v>27</v>
      </c>
      <c r="AA933" s="238" t="s">
        <v>27</v>
      </c>
      <c r="AB933" s="204" t="s">
        <v>2887</v>
      </c>
      <c r="AC933" s="196"/>
    </row>
    <row r="934" spans="1:29" ht="15" hidden="1" customHeight="1">
      <c r="A934" s="226" t="s">
        <v>203</v>
      </c>
      <c r="B934" s="226" t="s">
        <v>4229</v>
      </c>
      <c r="C934" s="226" t="s">
        <v>27</v>
      </c>
      <c r="D934" s="226" t="s">
        <v>2658</v>
      </c>
      <c r="E934" s="226" t="s">
        <v>2008</v>
      </c>
      <c r="F934" s="233">
        <v>2510858</v>
      </c>
      <c r="G934" s="233" t="s">
        <v>4242</v>
      </c>
      <c r="H934" s="226" t="s">
        <v>20</v>
      </c>
      <c r="I934" s="225" t="s">
        <v>60</v>
      </c>
      <c r="J934" s="225" t="s">
        <v>3923</v>
      </c>
      <c r="K934" s="225" t="s">
        <v>2649</v>
      </c>
      <c r="L934" s="51" t="s">
        <v>211</v>
      </c>
      <c r="M934" s="226" t="s">
        <v>22</v>
      </c>
      <c r="N934" s="226" t="s">
        <v>22</v>
      </c>
      <c r="O934" s="226" t="s">
        <v>27</v>
      </c>
      <c r="P934" s="226" t="s">
        <v>3870</v>
      </c>
      <c r="Q934" s="226" t="s">
        <v>4230</v>
      </c>
      <c r="R934" s="227" t="s">
        <v>4231</v>
      </c>
      <c r="S934" s="225" t="s">
        <v>4232</v>
      </c>
      <c r="T934" s="228">
        <v>18900670311</v>
      </c>
      <c r="U934" s="235" t="s">
        <v>4233</v>
      </c>
      <c r="V934" s="225" t="s">
        <v>4234</v>
      </c>
      <c r="W934" s="229">
        <v>13800001339</v>
      </c>
      <c r="X934" s="230">
        <v>43294</v>
      </c>
      <c r="Y934" s="238" t="s">
        <v>27</v>
      </c>
      <c r="Z934" s="238" t="s">
        <v>27</v>
      </c>
      <c r="AA934" s="238" t="s">
        <v>27</v>
      </c>
      <c r="AB934" s="204" t="s">
        <v>2887</v>
      </c>
      <c r="AC934" s="196"/>
    </row>
    <row r="935" spans="1:29" ht="15" hidden="1" customHeight="1">
      <c r="A935" s="226" t="s">
        <v>203</v>
      </c>
      <c r="B935" s="226" t="s">
        <v>1144</v>
      </c>
      <c r="C935" s="226"/>
      <c r="D935" s="226"/>
      <c r="E935" s="226" t="s">
        <v>17</v>
      </c>
      <c r="F935" s="233">
        <v>3316739</v>
      </c>
      <c r="G935" s="233" t="s">
        <v>55</v>
      </c>
      <c r="H935" s="226" t="s">
        <v>96</v>
      </c>
      <c r="I935" s="225" t="s">
        <v>21</v>
      </c>
      <c r="J935" s="225" t="s">
        <v>223</v>
      </c>
      <c r="K935" s="225"/>
      <c r="L935" s="51" t="s">
        <v>97</v>
      </c>
      <c r="M935" s="226" t="s">
        <v>22</v>
      </c>
      <c r="N935" s="226" t="s">
        <v>22</v>
      </c>
      <c r="O935" s="226"/>
      <c r="P935" s="226"/>
      <c r="Q935" s="226"/>
      <c r="R935" s="227"/>
      <c r="S935" s="225" t="s">
        <v>1145</v>
      </c>
      <c r="T935" s="228">
        <v>18548907901</v>
      </c>
      <c r="U935" s="235" t="s">
        <v>1146</v>
      </c>
      <c r="V935" s="225"/>
      <c r="W935" s="229"/>
      <c r="X935" s="230">
        <v>43172</v>
      </c>
      <c r="Y935" s="238" t="s">
        <v>27</v>
      </c>
      <c r="Z935" s="238" t="s">
        <v>27</v>
      </c>
      <c r="AA935" s="238" t="s">
        <v>27</v>
      </c>
      <c r="AB935" s="204"/>
      <c r="AC935" s="196"/>
    </row>
    <row r="936" spans="1:29" ht="15" hidden="1" customHeight="1">
      <c r="A936" s="226" t="s">
        <v>203</v>
      </c>
      <c r="B936" s="226" t="s">
        <v>1147</v>
      </c>
      <c r="C936" s="226"/>
      <c r="D936" s="226"/>
      <c r="E936" s="226" t="s">
        <v>17</v>
      </c>
      <c r="F936" s="233">
        <v>3316786</v>
      </c>
      <c r="G936" s="233" t="s">
        <v>1148</v>
      </c>
      <c r="H936" s="226" t="s">
        <v>96</v>
      </c>
      <c r="I936" s="225" t="s">
        <v>21</v>
      </c>
      <c r="J936" s="225" t="s">
        <v>223</v>
      </c>
      <c r="K936" s="225"/>
      <c r="L936" s="51" t="s">
        <v>97</v>
      </c>
      <c r="M936" s="226" t="s">
        <v>22</v>
      </c>
      <c r="N936" s="226" t="s">
        <v>22</v>
      </c>
      <c r="O936" s="226"/>
      <c r="P936" s="226"/>
      <c r="Q936" s="226"/>
      <c r="R936" s="227"/>
      <c r="S936" s="225" t="s">
        <v>1149</v>
      </c>
      <c r="T936" s="228">
        <v>13021983072</v>
      </c>
      <c r="U936" s="235" t="s">
        <v>1150</v>
      </c>
      <c r="V936" s="225"/>
      <c r="W936" s="229"/>
      <c r="X936" s="230">
        <v>43172</v>
      </c>
      <c r="Y936" s="238" t="s">
        <v>27</v>
      </c>
      <c r="Z936" s="238" t="s">
        <v>27</v>
      </c>
      <c r="AA936" s="238" t="s">
        <v>27</v>
      </c>
      <c r="AB936" s="204"/>
      <c r="AC936" s="196"/>
    </row>
    <row r="937" spans="1:29" ht="15" hidden="1" customHeight="1">
      <c r="A937" s="226" t="s">
        <v>203</v>
      </c>
      <c r="B937" s="226" t="s">
        <v>1151</v>
      </c>
      <c r="C937" s="226"/>
      <c r="D937" s="226"/>
      <c r="E937" s="226" t="s">
        <v>17</v>
      </c>
      <c r="F937" s="233">
        <v>3316760</v>
      </c>
      <c r="G937" s="233" t="s">
        <v>1152</v>
      </c>
      <c r="H937" s="226" t="s">
        <v>96</v>
      </c>
      <c r="I937" s="225" t="s">
        <v>21</v>
      </c>
      <c r="J937" s="225" t="s">
        <v>209</v>
      </c>
      <c r="K937" s="225"/>
      <c r="L937" s="51" t="s">
        <v>97</v>
      </c>
      <c r="M937" s="226" t="s">
        <v>22</v>
      </c>
      <c r="N937" s="226" t="s">
        <v>22</v>
      </c>
      <c r="O937" s="226"/>
      <c r="P937" s="226"/>
      <c r="Q937" s="226"/>
      <c r="R937" s="227"/>
      <c r="S937" s="225" t="s">
        <v>1153</v>
      </c>
      <c r="T937" s="228">
        <v>13811090671</v>
      </c>
      <c r="U937" s="235" t="s">
        <v>1154</v>
      </c>
      <c r="V937" s="225"/>
      <c r="W937" s="229"/>
      <c r="X937" s="230">
        <v>43172</v>
      </c>
      <c r="Y937" s="238" t="s">
        <v>27</v>
      </c>
      <c r="Z937" s="238" t="s">
        <v>27</v>
      </c>
      <c r="AA937" s="238" t="s">
        <v>27</v>
      </c>
      <c r="AB937" s="204"/>
      <c r="AC937" s="196"/>
    </row>
    <row r="938" spans="1:29" ht="15" hidden="1" customHeight="1">
      <c r="A938" s="226" t="s">
        <v>203</v>
      </c>
      <c r="B938" s="226" t="s">
        <v>1155</v>
      </c>
      <c r="C938" s="226"/>
      <c r="D938" s="226"/>
      <c r="E938" s="226" t="s">
        <v>17</v>
      </c>
      <c r="F938" s="233">
        <v>3220270</v>
      </c>
      <c r="G938" s="233" t="s">
        <v>1156</v>
      </c>
      <c r="H938" s="226" t="s">
        <v>96</v>
      </c>
      <c r="I938" s="225" t="s">
        <v>21</v>
      </c>
      <c r="J938" s="225" t="s">
        <v>223</v>
      </c>
      <c r="K938" s="225"/>
      <c r="L938" s="51" t="s">
        <v>97</v>
      </c>
      <c r="M938" s="226" t="s">
        <v>22</v>
      </c>
      <c r="N938" s="226" t="s">
        <v>22</v>
      </c>
      <c r="O938" s="226"/>
      <c r="P938" s="226"/>
      <c r="Q938" s="226"/>
      <c r="R938" s="227"/>
      <c r="S938" s="225" t="s">
        <v>1157</v>
      </c>
      <c r="T938" s="228">
        <v>13121817216</v>
      </c>
      <c r="U938" s="235" t="s">
        <v>1158</v>
      </c>
      <c r="V938" s="225"/>
      <c r="W938" s="229"/>
      <c r="X938" s="230">
        <v>43172</v>
      </c>
      <c r="Y938" s="238" t="s">
        <v>27</v>
      </c>
      <c r="Z938" s="238" t="s">
        <v>27</v>
      </c>
      <c r="AA938" s="238" t="s">
        <v>27</v>
      </c>
      <c r="AB938" s="204"/>
      <c r="AC938" s="196"/>
    </row>
    <row r="939" spans="1:29" ht="15" hidden="1" customHeight="1">
      <c r="A939" s="226" t="s">
        <v>203</v>
      </c>
      <c r="B939" s="226" t="s">
        <v>1159</v>
      </c>
      <c r="C939" s="226"/>
      <c r="D939" s="226"/>
      <c r="E939" s="226" t="s">
        <v>17</v>
      </c>
      <c r="F939" s="233">
        <v>3219566</v>
      </c>
      <c r="G939" s="233" t="s">
        <v>1160</v>
      </c>
      <c r="H939" s="226" t="s">
        <v>96</v>
      </c>
      <c r="I939" s="225" t="s">
        <v>21</v>
      </c>
      <c r="J939" s="225" t="s">
        <v>223</v>
      </c>
      <c r="K939" s="225"/>
      <c r="L939" s="51" t="s">
        <v>97</v>
      </c>
      <c r="M939" s="226" t="s">
        <v>22</v>
      </c>
      <c r="N939" s="226" t="s">
        <v>22</v>
      </c>
      <c r="O939" s="226"/>
      <c r="P939" s="226"/>
      <c r="Q939" s="226"/>
      <c r="R939" s="227"/>
      <c r="S939" s="225" t="s">
        <v>1161</v>
      </c>
      <c r="T939" s="228">
        <v>13051117912</v>
      </c>
      <c r="U939" s="235" t="s">
        <v>1162</v>
      </c>
      <c r="V939" s="225"/>
      <c r="W939" s="229"/>
      <c r="X939" s="230">
        <v>43172</v>
      </c>
      <c r="Y939" s="238" t="s">
        <v>27</v>
      </c>
      <c r="Z939" s="238" t="s">
        <v>27</v>
      </c>
      <c r="AA939" s="238" t="s">
        <v>27</v>
      </c>
      <c r="AB939" s="204"/>
      <c r="AC939" s="196"/>
    </row>
    <row r="940" spans="1:29" ht="15" hidden="1" customHeight="1">
      <c r="A940" s="226" t="s">
        <v>203</v>
      </c>
      <c r="B940" s="226" t="s">
        <v>1163</v>
      </c>
      <c r="C940" s="226"/>
      <c r="D940" s="226"/>
      <c r="E940" s="226" t="s">
        <v>17</v>
      </c>
      <c r="F940" s="233">
        <v>3220175</v>
      </c>
      <c r="G940" s="233" t="s">
        <v>573</v>
      </c>
      <c r="H940" s="226" t="s">
        <v>96</v>
      </c>
      <c r="I940" s="225" t="s">
        <v>21</v>
      </c>
      <c r="J940" s="225" t="s">
        <v>223</v>
      </c>
      <c r="K940" s="225"/>
      <c r="L940" s="51" t="s">
        <v>97</v>
      </c>
      <c r="M940" s="226" t="s">
        <v>22</v>
      </c>
      <c r="N940" s="226" t="s">
        <v>22</v>
      </c>
      <c r="O940" s="226"/>
      <c r="P940" s="226"/>
      <c r="Q940" s="226"/>
      <c r="R940" s="227"/>
      <c r="S940" s="225" t="s">
        <v>1164</v>
      </c>
      <c r="T940" s="228">
        <v>15601278446</v>
      </c>
      <c r="U940" s="235" t="s">
        <v>1165</v>
      </c>
      <c r="V940" s="225"/>
      <c r="W940" s="229"/>
      <c r="X940" s="230">
        <v>43172</v>
      </c>
      <c r="Y940" s="238" t="s">
        <v>27</v>
      </c>
      <c r="Z940" s="238" t="s">
        <v>27</v>
      </c>
      <c r="AA940" s="238" t="s">
        <v>27</v>
      </c>
      <c r="AB940" s="204"/>
      <c r="AC940" s="196"/>
    </row>
    <row r="941" spans="1:29" ht="15" hidden="1" customHeight="1">
      <c r="A941" s="226" t="s">
        <v>203</v>
      </c>
      <c r="B941" s="226" t="s">
        <v>1166</v>
      </c>
      <c r="C941" s="226"/>
      <c r="D941" s="226"/>
      <c r="E941" s="226" t="s">
        <v>17</v>
      </c>
      <c r="F941" s="233">
        <v>3220230</v>
      </c>
      <c r="G941" s="233" t="s">
        <v>1167</v>
      </c>
      <c r="H941" s="226" t="s">
        <v>96</v>
      </c>
      <c r="I941" s="225" t="s">
        <v>21</v>
      </c>
      <c r="J941" s="225" t="s">
        <v>223</v>
      </c>
      <c r="K941" s="225"/>
      <c r="L941" s="51" t="s">
        <v>97</v>
      </c>
      <c r="M941" s="226" t="s">
        <v>22</v>
      </c>
      <c r="N941" s="226" t="s">
        <v>22</v>
      </c>
      <c r="O941" s="226"/>
      <c r="P941" s="226"/>
      <c r="Q941" s="226"/>
      <c r="R941" s="227"/>
      <c r="S941" s="225" t="s">
        <v>1168</v>
      </c>
      <c r="T941" s="228">
        <v>18600423378</v>
      </c>
      <c r="U941" s="235" t="s">
        <v>1169</v>
      </c>
      <c r="V941" s="225"/>
      <c r="W941" s="229"/>
      <c r="X941" s="230">
        <v>43172</v>
      </c>
      <c r="Y941" s="238" t="s">
        <v>27</v>
      </c>
      <c r="Z941" s="238" t="s">
        <v>27</v>
      </c>
      <c r="AA941" s="238" t="s">
        <v>27</v>
      </c>
      <c r="AB941" s="204"/>
      <c r="AC941" s="196"/>
    </row>
    <row r="942" spans="1:29" ht="15" hidden="1" customHeight="1">
      <c r="A942" s="226" t="s">
        <v>203</v>
      </c>
      <c r="B942" s="226" t="s">
        <v>1170</v>
      </c>
      <c r="C942" s="226"/>
      <c r="D942" s="226"/>
      <c r="E942" s="226" t="s">
        <v>17</v>
      </c>
      <c r="F942" s="233">
        <v>3220154</v>
      </c>
      <c r="G942" s="233" t="s">
        <v>533</v>
      </c>
      <c r="H942" s="226" t="s">
        <v>96</v>
      </c>
      <c r="I942" s="225" t="s">
        <v>21</v>
      </c>
      <c r="J942" s="225" t="s">
        <v>209</v>
      </c>
      <c r="K942" s="225"/>
      <c r="L942" s="51" t="s">
        <v>97</v>
      </c>
      <c r="M942" s="226" t="s">
        <v>22</v>
      </c>
      <c r="N942" s="226" t="s">
        <v>22</v>
      </c>
      <c r="O942" s="226"/>
      <c r="P942" s="226"/>
      <c r="Q942" s="226"/>
      <c r="R942" s="227"/>
      <c r="S942" s="225"/>
      <c r="T942" s="228">
        <v>13910406817</v>
      </c>
      <c r="U942" s="235" t="s">
        <v>1171</v>
      </c>
      <c r="V942" s="225"/>
      <c r="W942" s="229"/>
      <c r="X942" s="230">
        <v>43177</v>
      </c>
      <c r="Y942" s="238" t="s">
        <v>27</v>
      </c>
      <c r="Z942" s="238" t="s">
        <v>27</v>
      </c>
      <c r="AA942" s="238" t="s">
        <v>27</v>
      </c>
      <c r="AB942" s="204"/>
      <c r="AC942" s="196"/>
    </row>
    <row r="943" spans="1:29" s="68" customFormat="1" ht="15" hidden="1" customHeight="1">
      <c r="A943" s="62" t="s">
        <v>203</v>
      </c>
      <c r="B943" s="63" t="s">
        <v>1172</v>
      </c>
      <c r="C943" s="63"/>
      <c r="D943" s="67"/>
      <c r="E943" s="62" t="s">
        <v>17</v>
      </c>
      <c r="F943" s="102">
        <v>3220164</v>
      </c>
      <c r="G943" s="63" t="s">
        <v>1173</v>
      </c>
      <c r="H943" s="62" t="s">
        <v>96</v>
      </c>
      <c r="I943" s="64" t="s">
        <v>21</v>
      </c>
      <c r="J943" s="65" t="s">
        <v>209</v>
      </c>
      <c r="K943" s="65"/>
      <c r="L943" s="51" t="s">
        <v>763</v>
      </c>
      <c r="M943" s="62" t="s">
        <v>22</v>
      </c>
      <c r="N943" s="62" t="s">
        <v>22</v>
      </c>
      <c r="O943" s="62"/>
      <c r="P943" s="62"/>
      <c r="Q943" s="62"/>
      <c r="R943" s="43"/>
      <c r="S943" s="63" t="s">
        <v>1452</v>
      </c>
      <c r="T943" s="66">
        <v>13810283494</v>
      </c>
      <c r="U943" s="63" t="s">
        <v>1174</v>
      </c>
      <c r="V943" s="63"/>
      <c r="W943" s="63"/>
      <c r="X943" s="77">
        <v>43177</v>
      </c>
      <c r="Y943" s="45" t="s">
        <v>27</v>
      </c>
      <c r="Z943" s="45" t="s">
        <v>27</v>
      </c>
      <c r="AA943" s="45" t="s">
        <v>27</v>
      </c>
      <c r="AB943" s="45"/>
      <c r="AC943" s="169"/>
    </row>
    <row r="944" spans="1:29" s="68" customFormat="1" ht="15" hidden="1" customHeight="1">
      <c r="A944" s="62" t="s">
        <v>203</v>
      </c>
      <c r="B944" s="63" t="s">
        <v>1175</v>
      </c>
      <c r="C944" s="63"/>
      <c r="D944" s="67"/>
      <c r="E944" s="62" t="s">
        <v>17</v>
      </c>
      <c r="F944" s="102">
        <v>3220327</v>
      </c>
      <c r="G944" s="63" t="s">
        <v>738</v>
      </c>
      <c r="H944" s="62" t="s">
        <v>96</v>
      </c>
      <c r="I944" s="64" t="s">
        <v>21</v>
      </c>
      <c r="J944" s="65" t="s">
        <v>209</v>
      </c>
      <c r="K944" s="65"/>
      <c r="L944" s="51" t="s">
        <v>763</v>
      </c>
      <c r="M944" s="62" t="s">
        <v>22</v>
      </c>
      <c r="N944" s="62" t="s">
        <v>22</v>
      </c>
      <c r="O944" s="62"/>
      <c r="P944" s="62"/>
      <c r="Q944" s="62"/>
      <c r="R944" s="43"/>
      <c r="S944" s="63" t="s">
        <v>1453</v>
      </c>
      <c r="T944" s="66">
        <v>13810465796</v>
      </c>
      <c r="U944" s="63" t="s">
        <v>1176</v>
      </c>
      <c r="V944" s="63"/>
      <c r="W944" s="63"/>
      <c r="X944" s="77">
        <v>43177</v>
      </c>
      <c r="Y944" s="45" t="s">
        <v>27</v>
      </c>
      <c r="Z944" s="45" t="s">
        <v>27</v>
      </c>
      <c r="AA944" s="45" t="s">
        <v>27</v>
      </c>
      <c r="AB944" s="45"/>
      <c r="AC944" s="169"/>
    </row>
    <row r="945" spans="1:29" s="68" customFormat="1" ht="15" hidden="1" customHeight="1">
      <c r="A945" s="62" t="s">
        <v>203</v>
      </c>
      <c r="B945" s="63" t="s">
        <v>1177</v>
      </c>
      <c r="C945" s="63"/>
      <c r="D945" s="67"/>
      <c r="E945" s="62" t="s">
        <v>17</v>
      </c>
      <c r="F945" s="102">
        <v>3220311</v>
      </c>
      <c r="G945" s="63" t="s">
        <v>735</v>
      </c>
      <c r="H945" s="62" t="s">
        <v>96</v>
      </c>
      <c r="I945" s="64" t="s">
        <v>21</v>
      </c>
      <c r="J945" s="65" t="s">
        <v>209</v>
      </c>
      <c r="K945" s="65"/>
      <c r="L945" s="51" t="s">
        <v>97</v>
      </c>
      <c r="M945" s="62" t="s">
        <v>22</v>
      </c>
      <c r="N945" s="62" t="s">
        <v>22</v>
      </c>
      <c r="O945" s="62"/>
      <c r="P945" s="62"/>
      <c r="Q945" s="62"/>
      <c r="R945" s="43"/>
      <c r="S945" s="63" t="s">
        <v>1178</v>
      </c>
      <c r="T945" s="66">
        <v>13811233652</v>
      </c>
      <c r="U945" s="63" t="s">
        <v>1179</v>
      </c>
      <c r="V945" s="63"/>
      <c r="W945" s="63"/>
      <c r="X945" s="77">
        <v>43172</v>
      </c>
      <c r="Y945" s="45" t="s">
        <v>27</v>
      </c>
      <c r="Z945" s="45" t="s">
        <v>27</v>
      </c>
      <c r="AA945" s="45" t="s">
        <v>27</v>
      </c>
      <c r="AB945" s="45"/>
      <c r="AC945" s="169"/>
    </row>
    <row r="946" spans="1:29" s="68" customFormat="1" ht="15" hidden="1" customHeight="1">
      <c r="A946" s="62" t="s">
        <v>203</v>
      </c>
      <c r="B946" s="63" t="s">
        <v>1180</v>
      </c>
      <c r="C946" s="63"/>
      <c r="D946" s="67"/>
      <c r="E946" s="62" t="s">
        <v>17</v>
      </c>
      <c r="F946" s="102">
        <v>3220245</v>
      </c>
      <c r="G946" s="63" t="s">
        <v>741</v>
      </c>
      <c r="H946" s="62" t="s">
        <v>96</v>
      </c>
      <c r="I946" s="64" t="s">
        <v>21</v>
      </c>
      <c r="J946" s="65" t="s">
        <v>209</v>
      </c>
      <c r="K946" s="65"/>
      <c r="L946" s="51" t="s">
        <v>97</v>
      </c>
      <c r="M946" s="62" t="s">
        <v>22</v>
      </c>
      <c r="N946" s="62" t="s">
        <v>22</v>
      </c>
      <c r="O946" s="62"/>
      <c r="P946" s="62"/>
      <c r="Q946" s="62"/>
      <c r="R946" s="43"/>
      <c r="S946" s="63" t="s">
        <v>1181</v>
      </c>
      <c r="T946" s="66">
        <v>13810364724</v>
      </c>
      <c r="U946" s="63" t="s">
        <v>1182</v>
      </c>
      <c r="V946" s="63"/>
      <c r="W946" s="63"/>
      <c r="X946" s="77">
        <v>43172</v>
      </c>
      <c r="Y946" s="45" t="s">
        <v>27</v>
      </c>
      <c r="Z946" s="45" t="s">
        <v>27</v>
      </c>
      <c r="AA946" s="45" t="s">
        <v>27</v>
      </c>
      <c r="AB946" s="45"/>
      <c r="AC946" s="169"/>
    </row>
    <row r="947" spans="1:29" s="68" customFormat="1" ht="15" hidden="1" customHeight="1">
      <c r="A947" s="62" t="s">
        <v>203</v>
      </c>
      <c r="B947" s="63" t="s">
        <v>1183</v>
      </c>
      <c r="C947" s="63"/>
      <c r="D947" s="70"/>
      <c r="E947" s="62" t="s">
        <v>17</v>
      </c>
      <c r="F947" s="102">
        <v>3219768</v>
      </c>
      <c r="G947" s="63" t="s">
        <v>744</v>
      </c>
      <c r="H947" s="62" t="s">
        <v>96</v>
      </c>
      <c r="I947" s="64" t="s">
        <v>21</v>
      </c>
      <c r="J947" s="65" t="s">
        <v>209</v>
      </c>
      <c r="K947" s="65"/>
      <c r="L947" s="51" t="s">
        <v>763</v>
      </c>
      <c r="M947" s="62" t="s">
        <v>22</v>
      </c>
      <c r="N947" s="62" t="s">
        <v>22</v>
      </c>
      <c r="O947" s="62"/>
      <c r="P947" s="62"/>
      <c r="Q947" s="62"/>
      <c r="R947" s="43"/>
      <c r="S947" s="63" t="s">
        <v>1184</v>
      </c>
      <c r="T947" s="66">
        <v>13910436476</v>
      </c>
      <c r="U947" s="63" t="s">
        <v>1185</v>
      </c>
      <c r="V947" s="63"/>
      <c r="W947" s="63"/>
      <c r="X947" s="77">
        <v>43172</v>
      </c>
      <c r="Y947" s="45" t="s">
        <v>27</v>
      </c>
      <c r="Z947" s="45" t="s">
        <v>27</v>
      </c>
      <c r="AA947" s="45" t="s">
        <v>27</v>
      </c>
      <c r="AB947" s="45"/>
      <c r="AC947" s="169"/>
    </row>
    <row r="948" spans="1:29" s="68" customFormat="1" ht="15" hidden="1" customHeight="1">
      <c r="A948" s="62" t="s">
        <v>203</v>
      </c>
      <c r="B948" s="63" t="s">
        <v>1186</v>
      </c>
      <c r="C948" s="63"/>
      <c r="D948" s="67"/>
      <c r="E948" s="62" t="s">
        <v>17</v>
      </c>
      <c r="F948" s="102">
        <v>3219715</v>
      </c>
      <c r="G948" s="63" t="s">
        <v>744</v>
      </c>
      <c r="H948" s="62" t="s">
        <v>96</v>
      </c>
      <c r="I948" s="64" t="s">
        <v>21</v>
      </c>
      <c r="J948" s="65" t="s">
        <v>209</v>
      </c>
      <c r="K948" s="65"/>
      <c r="L948" s="51" t="s">
        <v>763</v>
      </c>
      <c r="M948" s="62" t="s">
        <v>22</v>
      </c>
      <c r="N948" s="62" t="s">
        <v>22</v>
      </c>
      <c r="O948" s="62"/>
      <c r="P948" s="62"/>
      <c r="Q948" s="62"/>
      <c r="R948" s="43"/>
      <c r="S948" s="63" t="s">
        <v>1187</v>
      </c>
      <c r="T948" s="66">
        <v>13810274784</v>
      </c>
      <c r="U948" s="63" t="s">
        <v>1188</v>
      </c>
      <c r="V948" s="63"/>
      <c r="W948" s="63"/>
      <c r="X948" s="77">
        <v>43172</v>
      </c>
      <c r="Y948" s="45" t="s">
        <v>27</v>
      </c>
      <c r="Z948" s="45" t="s">
        <v>27</v>
      </c>
      <c r="AA948" s="45" t="s">
        <v>27</v>
      </c>
      <c r="AB948" s="45"/>
      <c r="AC948" s="169"/>
    </row>
    <row r="949" spans="1:29" s="68" customFormat="1" ht="15" hidden="1" customHeight="1">
      <c r="A949" s="62" t="s">
        <v>203</v>
      </c>
      <c r="B949" s="63" t="s">
        <v>1189</v>
      </c>
      <c r="C949" s="63"/>
      <c r="D949" s="67"/>
      <c r="E949" s="62" t="s">
        <v>17</v>
      </c>
      <c r="F949" s="102">
        <v>3219812</v>
      </c>
      <c r="G949" s="63" t="s">
        <v>747</v>
      </c>
      <c r="H949" s="62" t="s">
        <v>96</v>
      </c>
      <c r="I949" s="64" t="s">
        <v>21</v>
      </c>
      <c r="J949" s="65" t="s">
        <v>209</v>
      </c>
      <c r="K949" s="65"/>
      <c r="L949" s="51" t="s">
        <v>763</v>
      </c>
      <c r="M949" s="62" t="s">
        <v>22</v>
      </c>
      <c r="N949" s="62" t="s">
        <v>22</v>
      </c>
      <c r="O949" s="62"/>
      <c r="P949" s="62"/>
      <c r="Q949" s="62"/>
      <c r="R949" s="43"/>
      <c r="S949" s="63" t="s">
        <v>1190</v>
      </c>
      <c r="T949" s="66" t="s">
        <v>1191</v>
      </c>
      <c r="U949" s="63" t="s">
        <v>1192</v>
      </c>
      <c r="V949" s="63"/>
      <c r="W949" s="63"/>
      <c r="X949" s="77">
        <v>43172</v>
      </c>
      <c r="Y949" s="45" t="s">
        <v>27</v>
      </c>
      <c r="Z949" s="45" t="s">
        <v>27</v>
      </c>
      <c r="AA949" s="45" t="s">
        <v>27</v>
      </c>
      <c r="AB949" s="45"/>
      <c r="AC949" s="169"/>
    </row>
    <row r="950" spans="1:29" s="68" customFormat="1" ht="15" hidden="1" customHeight="1">
      <c r="A950" s="62" t="s">
        <v>203</v>
      </c>
      <c r="B950" s="63" t="s">
        <v>1193</v>
      </c>
      <c r="C950" s="63"/>
      <c r="D950" s="67"/>
      <c r="E950" s="62" t="s">
        <v>17</v>
      </c>
      <c r="F950" s="102">
        <v>3219783</v>
      </c>
      <c r="G950" s="63" t="s">
        <v>747</v>
      </c>
      <c r="H950" s="62" t="s">
        <v>96</v>
      </c>
      <c r="I950" s="64" t="s">
        <v>21</v>
      </c>
      <c r="J950" s="65" t="s">
        <v>209</v>
      </c>
      <c r="K950" s="65"/>
      <c r="L950" s="51" t="s">
        <v>97</v>
      </c>
      <c r="M950" s="62" t="s">
        <v>22</v>
      </c>
      <c r="N950" s="62" t="s">
        <v>22</v>
      </c>
      <c r="O950" s="62"/>
      <c r="P950" s="62"/>
      <c r="Q950" s="62"/>
      <c r="R950" s="43"/>
      <c r="S950" s="63" t="s">
        <v>1194</v>
      </c>
      <c r="T950" s="66" t="s">
        <v>1195</v>
      </c>
      <c r="U950" s="63" t="s">
        <v>1196</v>
      </c>
      <c r="V950" s="63"/>
      <c r="W950" s="63"/>
      <c r="X950" s="77">
        <v>43172</v>
      </c>
      <c r="Y950" s="45" t="s">
        <v>27</v>
      </c>
      <c r="Z950" s="45" t="s">
        <v>27</v>
      </c>
      <c r="AA950" s="45" t="s">
        <v>27</v>
      </c>
      <c r="AB950" s="45"/>
      <c r="AC950" s="169"/>
    </row>
    <row r="951" spans="1:29" s="68" customFormat="1" ht="15" hidden="1" customHeight="1">
      <c r="A951" s="62" t="s">
        <v>203</v>
      </c>
      <c r="B951" s="63" t="s">
        <v>1197</v>
      </c>
      <c r="C951" s="63"/>
      <c r="D951" s="67"/>
      <c r="E951" s="62" t="s">
        <v>17</v>
      </c>
      <c r="F951" s="102">
        <v>3219894</v>
      </c>
      <c r="G951" s="63" t="s">
        <v>750</v>
      </c>
      <c r="H951" s="62" t="s">
        <v>96</v>
      </c>
      <c r="I951" s="64" t="s">
        <v>21</v>
      </c>
      <c r="J951" s="65" t="s">
        <v>209</v>
      </c>
      <c r="K951" s="65"/>
      <c r="L951" s="51" t="s">
        <v>97</v>
      </c>
      <c r="M951" s="62" t="s">
        <v>22</v>
      </c>
      <c r="N951" s="62" t="s">
        <v>22</v>
      </c>
      <c r="O951" s="62"/>
      <c r="P951" s="62"/>
      <c r="Q951" s="62"/>
      <c r="R951" s="43"/>
      <c r="S951" s="63" t="s">
        <v>1198</v>
      </c>
      <c r="T951" s="66" t="s">
        <v>1199</v>
      </c>
      <c r="U951" s="63" t="s">
        <v>1200</v>
      </c>
      <c r="V951" s="63"/>
      <c r="W951" s="63"/>
      <c r="X951" s="77">
        <v>43172</v>
      </c>
      <c r="Y951" s="45" t="s">
        <v>27</v>
      </c>
      <c r="Z951" s="45" t="s">
        <v>27</v>
      </c>
      <c r="AA951" s="45" t="s">
        <v>27</v>
      </c>
      <c r="AB951" s="45"/>
      <c r="AC951" s="169"/>
    </row>
    <row r="952" spans="1:29" s="68" customFormat="1" ht="15" hidden="1" customHeight="1">
      <c r="A952" s="62" t="s">
        <v>203</v>
      </c>
      <c r="B952" s="63" t="s">
        <v>1201</v>
      </c>
      <c r="C952" s="63"/>
      <c r="D952" s="67"/>
      <c r="E952" s="62" t="s">
        <v>17</v>
      </c>
      <c r="F952" s="102">
        <v>3219933</v>
      </c>
      <c r="G952" s="63" t="s">
        <v>750</v>
      </c>
      <c r="H952" s="62" t="s">
        <v>96</v>
      </c>
      <c r="I952" s="64" t="s">
        <v>21</v>
      </c>
      <c r="J952" s="65" t="s">
        <v>209</v>
      </c>
      <c r="K952" s="65"/>
      <c r="L952" s="51" t="s">
        <v>763</v>
      </c>
      <c r="M952" s="62" t="s">
        <v>22</v>
      </c>
      <c r="N952" s="62" t="s">
        <v>22</v>
      </c>
      <c r="O952" s="62"/>
      <c r="P952" s="62"/>
      <c r="Q952" s="62"/>
      <c r="R952" s="43"/>
      <c r="S952" s="63" t="s">
        <v>1202</v>
      </c>
      <c r="T952" s="66">
        <v>13910631084</v>
      </c>
      <c r="U952" s="63" t="s">
        <v>1203</v>
      </c>
      <c r="V952" s="63"/>
      <c r="W952" s="63"/>
      <c r="X952" s="77">
        <v>43172</v>
      </c>
      <c r="Y952" s="45" t="s">
        <v>27</v>
      </c>
      <c r="Z952" s="45" t="s">
        <v>27</v>
      </c>
      <c r="AA952" s="45" t="s">
        <v>27</v>
      </c>
      <c r="AB952" s="45"/>
      <c r="AC952" s="169"/>
    </row>
    <row r="953" spans="1:29" s="68" customFormat="1" ht="15" hidden="1" customHeight="1">
      <c r="A953" s="62" t="s">
        <v>203</v>
      </c>
      <c r="B953" s="63" t="s">
        <v>1204</v>
      </c>
      <c r="C953" s="63"/>
      <c r="D953" s="67"/>
      <c r="E953" s="62" t="s">
        <v>17</v>
      </c>
      <c r="F953" s="102">
        <v>3299594</v>
      </c>
      <c r="G953" s="63" t="s">
        <v>753</v>
      </c>
      <c r="H953" s="62" t="s">
        <v>96</v>
      </c>
      <c r="I953" s="64" t="s">
        <v>21</v>
      </c>
      <c r="J953" s="65" t="s">
        <v>209</v>
      </c>
      <c r="K953" s="65"/>
      <c r="L953" s="51" t="s">
        <v>763</v>
      </c>
      <c r="M953" s="62" t="s">
        <v>22</v>
      </c>
      <c r="N953" s="62" t="s">
        <v>22</v>
      </c>
      <c r="O953" s="62"/>
      <c r="P953" s="62"/>
      <c r="Q953" s="62"/>
      <c r="R953" s="43"/>
      <c r="S953" s="63" t="s">
        <v>1205</v>
      </c>
      <c r="T953" s="66" t="s">
        <v>1206</v>
      </c>
      <c r="U953" s="63" t="s">
        <v>1207</v>
      </c>
      <c r="V953" s="63"/>
      <c r="W953" s="63"/>
      <c r="X953" s="77">
        <v>43172</v>
      </c>
      <c r="Y953" s="45" t="s">
        <v>27</v>
      </c>
      <c r="Z953" s="45" t="s">
        <v>27</v>
      </c>
      <c r="AA953" s="45" t="s">
        <v>27</v>
      </c>
      <c r="AB953" s="45"/>
      <c r="AC953" s="169"/>
    </row>
    <row r="954" spans="1:29" s="68" customFormat="1" ht="15" hidden="1" customHeight="1">
      <c r="A954" s="62" t="s">
        <v>203</v>
      </c>
      <c r="B954" s="63" t="s">
        <v>1208</v>
      </c>
      <c r="C954" s="63"/>
      <c r="D954" s="67"/>
      <c r="E954" s="62" t="s">
        <v>17</v>
      </c>
      <c r="F954" s="102">
        <v>3299400</v>
      </c>
      <c r="G954" s="63" t="s">
        <v>756</v>
      </c>
      <c r="H954" s="62" t="s">
        <v>96</v>
      </c>
      <c r="I954" s="64" t="s">
        <v>21</v>
      </c>
      <c r="J954" s="65" t="s">
        <v>209</v>
      </c>
      <c r="K954" s="65"/>
      <c r="L954" s="51" t="s">
        <v>97</v>
      </c>
      <c r="M954" s="62" t="s">
        <v>22</v>
      </c>
      <c r="N954" s="62" t="s">
        <v>22</v>
      </c>
      <c r="O954" s="62"/>
      <c r="P954" s="62"/>
      <c r="Q954" s="62"/>
      <c r="R954" s="43"/>
      <c r="S954" s="63" t="s">
        <v>1209</v>
      </c>
      <c r="T954" s="66" t="s">
        <v>1210</v>
      </c>
      <c r="U954" s="63" t="s">
        <v>1211</v>
      </c>
      <c r="V954" s="63"/>
      <c r="W954" s="63"/>
      <c r="X954" s="77">
        <v>43172</v>
      </c>
      <c r="Y954" s="45" t="s">
        <v>27</v>
      </c>
      <c r="Z954" s="45" t="s">
        <v>27</v>
      </c>
      <c r="AA954" s="45" t="s">
        <v>27</v>
      </c>
      <c r="AB954" s="45"/>
      <c r="AC954" s="169"/>
    </row>
    <row r="955" spans="1:29" s="68" customFormat="1" ht="15" hidden="1" customHeight="1">
      <c r="A955" s="62" t="s">
        <v>203</v>
      </c>
      <c r="B955" s="63" t="s">
        <v>1212</v>
      </c>
      <c r="C955" s="63"/>
      <c r="D955" s="67"/>
      <c r="E955" s="62" t="s">
        <v>17</v>
      </c>
      <c r="F955" s="102">
        <v>3299535</v>
      </c>
      <c r="G955" s="63" t="s">
        <v>756</v>
      </c>
      <c r="H955" s="62" t="s">
        <v>96</v>
      </c>
      <c r="I955" s="64" t="s">
        <v>21</v>
      </c>
      <c r="J955" s="65" t="s">
        <v>209</v>
      </c>
      <c r="K955" s="65"/>
      <c r="L955" s="51" t="s">
        <v>97</v>
      </c>
      <c r="M955" s="62" t="s">
        <v>22</v>
      </c>
      <c r="N955" s="62" t="s">
        <v>22</v>
      </c>
      <c r="O955" s="62"/>
      <c r="P955" s="62"/>
      <c r="Q955" s="62"/>
      <c r="R955" s="43"/>
      <c r="S955" s="63" t="s">
        <v>1213</v>
      </c>
      <c r="T955" s="66" t="s">
        <v>1214</v>
      </c>
      <c r="U955" s="63" t="s">
        <v>1215</v>
      </c>
      <c r="V955" s="63"/>
      <c r="W955" s="63"/>
      <c r="X955" s="77">
        <v>43172</v>
      </c>
      <c r="Y955" s="45" t="s">
        <v>27</v>
      </c>
      <c r="Z955" s="45" t="s">
        <v>27</v>
      </c>
      <c r="AA955" s="45" t="s">
        <v>27</v>
      </c>
      <c r="AB955" s="45"/>
      <c r="AC955" s="169"/>
    </row>
    <row r="956" spans="1:29" s="68" customFormat="1" ht="15" hidden="1" customHeight="1">
      <c r="A956" s="62" t="s">
        <v>203</v>
      </c>
      <c r="B956" s="63" t="s">
        <v>1340</v>
      </c>
      <c r="C956" s="63"/>
      <c r="D956" s="67"/>
      <c r="E956" s="62" t="s">
        <v>17</v>
      </c>
      <c r="F956" s="72">
        <v>3299473</v>
      </c>
      <c r="G956" s="63" t="s">
        <v>759</v>
      </c>
      <c r="H956" s="62" t="s">
        <v>96</v>
      </c>
      <c r="I956" s="64" t="s">
        <v>21</v>
      </c>
      <c r="J956" s="65" t="s">
        <v>209</v>
      </c>
      <c r="K956" s="65"/>
      <c r="L956" s="51" t="s">
        <v>97</v>
      </c>
      <c r="M956" s="62" t="s">
        <v>22</v>
      </c>
      <c r="N956" s="62" t="s">
        <v>22</v>
      </c>
      <c r="O956" s="62"/>
      <c r="P956" s="62"/>
      <c r="Q956" s="62"/>
      <c r="R956" s="43"/>
      <c r="S956" s="63" t="s">
        <v>1366</v>
      </c>
      <c r="T956" s="66">
        <v>13810618197</v>
      </c>
      <c r="U956" s="63" t="s">
        <v>1376</v>
      </c>
      <c r="V956" s="63"/>
      <c r="W956" s="63"/>
      <c r="X956" s="77">
        <v>43177</v>
      </c>
      <c r="Y956" s="45" t="s">
        <v>27</v>
      </c>
      <c r="Z956" s="45" t="s">
        <v>27</v>
      </c>
      <c r="AA956" s="45" t="s">
        <v>27</v>
      </c>
      <c r="AB956" s="45"/>
      <c r="AC956" s="169"/>
    </row>
    <row r="957" spans="1:29" s="68" customFormat="1" ht="15" hidden="1" customHeight="1">
      <c r="A957" s="62" t="s">
        <v>203</v>
      </c>
      <c r="B957" s="63" t="s">
        <v>1341</v>
      </c>
      <c r="C957" s="63"/>
      <c r="D957" s="67"/>
      <c r="E957" s="62" t="s">
        <v>17</v>
      </c>
      <c r="F957" s="72">
        <v>3299710</v>
      </c>
      <c r="G957" s="63" t="s">
        <v>759</v>
      </c>
      <c r="H957" s="62" t="s">
        <v>96</v>
      </c>
      <c r="I957" s="64" t="s">
        <v>21</v>
      </c>
      <c r="J957" s="65" t="s">
        <v>209</v>
      </c>
      <c r="K957" s="65"/>
      <c r="L957" s="51" t="s">
        <v>97</v>
      </c>
      <c r="M957" s="62" t="s">
        <v>22</v>
      </c>
      <c r="N957" s="62" t="s">
        <v>22</v>
      </c>
      <c r="O957" s="62"/>
      <c r="P957" s="62"/>
      <c r="Q957" s="62"/>
      <c r="R957" s="43"/>
      <c r="S957" s="63" t="s">
        <v>1367</v>
      </c>
      <c r="T957" s="66">
        <v>13810262125</v>
      </c>
      <c r="U957" s="63" t="s">
        <v>1421</v>
      </c>
      <c r="V957" s="63"/>
      <c r="W957" s="63"/>
      <c r="X957" s="77">
        <v>43177</v>
      </c>
      <c r="Y957" s="45" t="s">
        <v>27</v>
      </c>
      <c r="Z957" s="45" t="s">
        <v>27</v>
      </c>
      <c r="AA957" s="45" t="s">
        <v>27</v>
      </c>
      <c r="AB957" s="45"/>
      <c r="AC957" s="169"/>
    </row>
    <row r="958" spans="1:29" s="68" customFormat="1" ht="15" hidden="1" customHeight="1">
      <c r="A958" s="62" t="s">
        <v>203</v>
      </c>
      <c r="B958" s="63" t="s">
        <v>1342</v>
      </c>
      <c r="C958" s="63"/>
      <c r="D958" s="67"/>
      <c r="E958" s="62" t="s">
        <v>17</v>
      </c>
      <c r="F958" s="72">
        <v>3299434</v>
      </c>
      <c r="G958" s="63" t="s">
        <v>1350</v>
      </c>
      <c r="H958" s="62" t="s">
        <v>96</v>
      </c>
      <c r="I958" s="64" t="s">
        <v>21</v>
      </c>
      <c r="J958" s="65" t="s">
        <v>209</v>
      </c>
      <c r="K958" s="65"/>
      <c r="L958" s="51" t="s">
        <v>763</v>
      </c>
      <c r="M958" s="62" t="s">
        <v>22</v>
      </c>
      <c r="N958" s="62" t="s">
        <v>22</v>
      </c>
      <c r="O958" s="62"/>
      <c r="P958" s="62"/>
      <c r="Q958" s="62"/>
      <c r="R958" s="43"/>
      <c r="S958" s="63" t="s">
        <v>1368</v>
      </c>
      <c r="T958" s="66">
        <v>13810431494</v>
      </c>
      <c r="U958" s="63" t="s">
        <v>1422</v>
      </c>
      <c r="V958" s="63"/>
      <c r="W958" s="63"/>
      <c r="X958" s="77">
        <v>43177</v>
      </c>
      <c r="Y958" s="45" t="s">
        <v>27</v>
      </c>
      <c r="Z958" s="45" t="s">
        <v>27</v>
      </c>
      <c r="AA958" s="45" t="s">
        <v>27</v>
      </c>
      <c r="AB958" s="45"/>
      <c r="AC958" s="169"/>
    </row>
    <row r="959" spans="1:29" s="68" customFormat="1" ht="15" hidden="1" customHeight="1">
      <c r="A959" s="62" t="s">
        <v>203</v>
      </c>
      <c r="B959" s="63" t="s">
        <v>1343</v>
      </c>
      <c r="C959" s="63"/>
      <c r="D959" s="67"/>
      <c r="E959" s="62" t="s">
        <v>17</v>
      </c>
      <c r="F959" s="72">
        <v>3299424</v>
      </c>
      <c r="G959" s="63" t="s">
        <v>1351</v>
      </c>
      <c r="H959" s="62" t="s">
        <v>96</v>
      </c>
      <c r="I959" s="64" t="s">
        <v>21</v>
      </c>
      <c r="J959" s="65" t="s">
        <v>209</v>
      </c>
      <c r="K959" s="65"/>
      <c r="L959" s="51" t="s">
        <v>763</v>
      </c>
      <c r="M959" s="62" t="s">
        <v>22</v>
      </c>
      <c r="N959" s="62" t="s">
        <v>22</v>
      </c>
      <c r="O959" s="62"/>
      <c r="P959" s="62"/>
      <c r="Q959" s="62"/>
      <c r="R959" s="43"/>
      <c r="S959" s="63" t="s">
        <v>1369</v>
      </c>
      <c r="T959" s="66">
        <v>13911711451</v>
      </c>
      <c r="U959" s="63" t="s">
        <v>1423</v>
      </c>
      <c r="V959" s="63"/>
      <c r="W959" s="63"/>
      <c r="X959" s="77">
        <v>43177</v>
      </c>
      <c r="Y959" s="45" t="s">
        <v>27</v>
      </c>
      <c r="Z959" s="45" t="s">
        <v>27</v>
      </c>
      <c r="AA959" s="45" t="s">
        <v>27</v>
      </c>
      <c r="AB959" s="45"/>
      <c r="AC959" s="169"/>
    </row>
    <row r="960" spans="1:29" s="68" customFormat="1" ht="15" hidden="1" customHeight="1">
      <c r="A960" s="62" t="s">
        <v>203</v>
      </c>
      <c r="B960" s="63" t="s">
        <v>1344</v>
      </c>
      <c r="C960" s="63"/>
      <c r="D960" s="67"/>
      <c r="E960" s="62" t="s">
        <v>17</v>
      </c>
      <c r="F960" s="72">
        <v>3299415</v>
      </c>
      <c r="G960" s="63" t="s">
        <v>1351</v>
      </c>
      <c r="H960" s="62" t="s">
        <v>96</v>
      </c>
      <c r="I960" s="64" t="s">
        <v>21</v>
      </c>
      <c r="J960" s="65" t="s">
        <v>209</v>
      </c>
      <c r="K960" s="65"/>
      <c r="L960" s="51" t="s">
        <v>763</v>
      </c>
      <c r="M960" s="62" t="s">
        <v>22</v>
      </c>
      <c r="N960" s="62" t="s">
        <v>22</v>
      </c>
      <c r="O960" s="62"/>
      <c r="P960" s="62"/>
      <c r="Q960" s="62"/>
      <c r="R960" s="43"/>
      <c r="S960" s="63" t="s">
        <v>1370</v>
      </c>
      <c r="T960" s="66">
        <v>13810669120</v>
      </c>
      <c r="U960" s="63" t="s">
        <v>1424</v>
      </c>
      <c r="V960" s="63"/>
      <c r="W960" s="63"/>
      <c r="X960" s="77">
        <v>43177</v>
      </c>
      <c r="Y960" s="45" t="s">
        <v>27</v>
      </c>
      <c r="Z960" s="45" t="s">
        <v>27</v>
      </c>
      <c r="AA960" s="45" t="s">
        <v>27</v>
      </c>
      <c r="AB960" s="45"/>
      <c r="AC960" s="169"/>
    </row>
    <row r="961" spans="1:29" s="68" customFormat="1" ht="15" hidden="1" customHeight="1">
      <c r="A961" s="62" t="s">
        <v>203</v>
      </c>
      <c r="B961" s="63" t="s">
        <v>1345</v>
      </c>
      <c r="C961" s="63"/>
      <c r="D961" s="67"/>
      <c r="E961" s="62" t="s">
        <v>17</v>
      </c>
      <c r="F961" s="72">
        <v>3299554</v>
      </c>
      <c r="G961" s="63" t="s">
        <v>1352</v>
      </c>
      <c r="H961" s="62" t="s">
        <v>96</v>
      </c>
      <c r="I961" s="64" t="s">
        <v>21</v>
      </c>
      <c r="J961" s="65" t="s">
        <v>223</v>
      </c>
      <c r="K961" s="65"/>
      <c r="L961" s="51" t="s">
        <v>763</v>
      </c>
      <c r="M961" s="62" t="s">
        <v>22</v>
      </c>
      <c r="N961" s="62" t="s">
        <v>22</v>
      </c>
      <c r="O961" s="62"/>
      <c r="P961" s="62"/>
      <c r="Q961" s="62"/>
      <c r="R961" s="43"/>
      <c r="S961" s="63" t="s">
        <v>1375</v>
      </c>
      <c r="T961" s="66">
        <v>13051116036</v>
      </c>
      <c r="U961" s="63" t="s">
        <v>1425</v>
      </c>
      <c r="V961" s="63"/>
      <c r="W961" s="63"/>
      <c r="X961" s="77">
        <v>43177</v>
      </c>
      <c r="Y961" s="45" t="s">
        <v>27</v>
      </c>
      <c r="Z961" s="45" t="s">
        <v>27</v>
      </c>
      <c r="AA961" s="45" t="s">
        <v>27</v>
      </c>
      <c r="AB961" s="45"/>
      <c r="AC961" s="169"/>
    </row>
    <row r="962" spans="1:29" s="68" customFormat="1" ht="15" hidden="1" customHeight="1">
      <c r="A962" s="62" t="s">
        <v>203</v>
      </c>
      <c r="B962" s="63" t="s">
        <v>1346</v>
      </c>
      <c r="C962" s="63"/>
      <c r="D962" s="67"/>
      <c r="E962" s="62" t="s">
        <v>17</v>
      </c>
      <c r="F962" s="72">
        <v>3299789</v>
      </c>
      <c r="G962" s="63" t="s">
        <v>1352</v>
      </c>
      <c r="H962" s="62" t="s">
        <v>96</v>
      </c>
      <c r="I962" s="64" t="s">
        <v>21</v>
      </c>
      <c r="J962" s="65" t="s">
        <v>209</v>
      </c>
      <c r="K962" s="65"/>
      <c r="L962" s="51" t="s">
        <v>763</v>
      </c>
      <c r="M962" s="62" t="s">
        <v>22</v>
      </c>
      <c r="N962" s="62" t="s">
        <v>22</v>
      </c>
      <c r="O962" s="62"/>
      <c r="P962" s="62"/>
      <c r="Q962" s="62"/>
      <c r="R962" s="43"/>
      <c r="S962" s="63" t="s">
        <v>1371</v>
      </c>
      <c r="T962" s="66">
        <v>13811090597</v>
      </c>
      <c r="U962" s="63" t="s">
        <v>1426</v>
      </c>
      <c r="V962" s="63"/>
      <c r="W962" s="63"/>
      <c r="X962" s="77">
        <v>43177</v>
      </c>
      <c r="Y962" s="45" t="s">
        <v>27</v>
      </c>
      <c r="Z962" s="45" t="s">
        <v>27</v>
      </c>
      <c r="AA962" s="45" t="s">
        <v>27</v>
      </c>
      <c r="AB962" s="45"/>
      <c r="AC962" s="169"/>
    </row>
    <row r="963" spans="1:29" s="68" customFormat="1" ht="15" hidden="1" customHeight="1">
      <c r="A963" s="62" t="s">
        <v>203</v>
      </c>
      <c r="B963" s="63" t="s">
        <v>1347</v>
      </c>
      <c r="C963" s="63"/>
      <c r="D963" s="67"/>
      <c r="E963" s="62" t="s">
        <v>17</v>
      </c>
      <c r="F963" s="72">
        <v>3299449</v>
      </c>
      <c r="G963" s="63" t="s">
        <v>1353</v>
      </c>
      <c r="H963" s="62" t="s">
        <v>96</v>
      </c>
      <c r="I963" s="64" t="s">
        <v>21</v>
      </c>
      <c r="J963" s="65" t="s">
        <v>223</v>
      </c>
      <c r="K963" s="65"/>
      <c r="L963" s="51" t="s">
        <v>763</v>
      </c>
      <c r="M963" s="62" t="s">
        <v>22</v>
      </c>
      <c r="N963" s="62" t="s">
        <v>22</v>
      </c>
      <c r="O963" s="62"/>
      <c r="P963" s="62"/>
      <c r="Q963" s="62"/>
      <c r="R963" s="43"/>
      <c r="S963" s="63" t="s">
        <v>1372</v>
      </c>
      <c r="T963" s="66">
        <v>13051115719</v>
      </c>
      <c r="U963" s="63" t="s">
        <v>1427</v>
      </c>
      <c r="V963" s="63"/>
      <c r="W963" s="63"/>
      <c r="X963" s="77">
        <v>43177</v>
      </c>
      <c r="Y963" s="45" t="s">
        <v>27</v>
      </c>
      <c r="Z963" s="45" t="s">
        <v>27</v>
      </c>
      <c r="AA963" s="45" t="s">
        <v>27</v>
      </c>
      <c r="AB963" s="45"/>
      <c r="AC963" s="169"/>
    </row>
    <row r="964" spans="1:29" s="68" customFormat="1" ht="15" hidden="1" customHeight="1">
      <c r="A964" s="62" t="s">
        <v>203</v>
      </c>
      <c r="B964" s="63" t="s">
        <v>1348</v>
      </c>
      <c r="C964" s="63"/>
      <c r="D964" s="67"/>
      <c r="E964" s="62" t="s">
        <v>17</v>
      </c>
      <c r="F964" s="72">
        <v>3316726</v>
      </c>
      <c r="G964" s="63" t="s">
        <v>726</v>
      </c>
      <c r="H964" s="62" t="s">
        <v>96</v>
      </c>
      <c r="I964" s="64" t="s">
        <v>21</v>
      </c>
      <c r="J964" s="65" t="s">
        <v>209</v>
      </c>
      <c r="K964" s="65"/>
      <c r="L964" s="51" t="s">
        <v>763</v>
      </c>
      <c r="M964" s="62" t="s">
        <v>22</v>
      </c>
      <c r="N964" s="62" t="s">
        <v>22</v>
      </c>
      <c r="O964" s="62"/>
      <c r="P964" s="62"/>
      <c r="Q964" s="62"/>
      <c r="R964" s="43"/>
      <c r="S964" s="63" t="s">
        <v>1373</v>
      </c>
      <c r="T964" s="66">
        <v>13911721847</v>
      </c>
      <c r="U964" s="63" t="s">
        <v>1428</v>
      </c>
      <c r="V964" s="63"/>
      <c r="W964" s="63"/>
      <c r="X964" s="77">
        <v>43177</v>
      </c>
      <c r="Y964" s="45" t="s">
        <v>27</v>
      </c>
      <c r="Z964" s="45" t="s">
        <v>27</v>
      </c>
      <c r="AA964" s="45" t="s">
        <v>27</v>
      </c>
      <c r="AB964" s="45"/>
      <c r="AC964" s="169"/>
    </row>
    <row r="965" spans="1:29" s="68" customFormat="1" ht="15" hidden="1" customHeight="1">
      <c r="A965" s="62" t="s">
        <v>203</v>
      </c>
      <c r="B965" s="63" t="s">
        <v>1349</v>
      </c>
      <c r="C965" s="63"/>
      <c r="D965" s="67"/>
      <c r="E965" s="62" t="s">
        <v>17</v>
      </c>
      <c r="F965" s="72">
        <v>3299467</v>
      </c>
      <c r="G965" s="63" t="s">
        <v>729</v>
      </c>
      <c r="H965" s="62" t="s">
        <v>96</v>
      </c>
      <c r="I965" s="64" t="s">
        <v>21</v>
      </c>
      <c r="J965" s="65" t="s">
        <v>209</v>
      </c>
      <c r="K965" s="65"/>
      <c r="L965" s="51" t="s">
        <v>763</v>
      </c>
      <c r="M965" s="62" t="s">
        <v>22</v>
      </c>
      <c r="N965" s="62" t="s">
        <v>22</v>
      </c>
      <c r="O965" s="62"/>
      <c r="P965" s="62"/>
      <c r="Q965" s="62"/>
      <c r="R965" s="43"/>
      <c r="S965" s="63" t="s">
        <v>1374</v>
      </c>
      <c r="T965" s="66">
        <v>13810339623</v>
      </c>
      <c r="U965" s="63" t="s">
        <v>1429</v>
      </c>
      <c r="V965" s="63"/>
      <c r="W965" s="63"/>
      <c r="X965" s="77">
        <v>43177</v>
      </c>
      <c r="Y965" s="45" t="s">
        <v>27</v>
      </c>
      <c r="Z965" s="45" t="s">
        <v>27</v>
      </c>
      <c r="AA965" s="45" t="s">
        <v>27</v>
      </c>
      <c r="AB965" s="45"/>
      <c r="AC965" s="169"/>
    </row>
    <row r="966" spans="1:29" s="68" customFormat="1" ht="15" hidden="1" customHeight="1">
      <c r="A966" s="62" t="s">
        <v>203</v>
      </c>
      <c r="B966" s="63" t="s">
        <v>1354</v>
      </c>
      <c r="C966" s="63"/>
      <c r="D966" s="67"/>
      <c r="E966" s="62" t="s">
        <v>17</v>
      </c>
      <c r="F966" s="72">
        <v>3299657</v>
      </c>
      <c r="G966" s="63" t="s">
        <v>1377</v>
      </c>
      <c r="H966" s="62" t="s">
        <v>96</v>
      </c>
      <c r="I966" s="64" t="s">
        <v>21</v>
      </c>
      <c r="J966" s="65" t="s">
        <v>209</v>
      </c>
      <c r="K966" s="65"/>
      <c r="L966" s="51" t="s">
        <v>763</v>
      </c>
      <c r="M966" s="62" t="s">
        <v>22</v>
      </c>
      <c r="N966" s="62" t="s">
        <v>22</v>
      </c>
      <c r="O966" s="62"/>
      <c r="P966" s="62"/>
      <c r="Q966" s="62"/>
      <c r="R966" s="43"/>
      <c r="S966" s="63" t="s">
        <v>1382</v>
      </c>
      <c r="T966" s="66">
        <v>13811056251</v>
      </c>
      <c r="U966" s="63" t="s">
        <v>1430</v>
      </c>
      <c r="V966" s="63"/>
      <c r="W966" s="63"/>
      <c r="X966" s="77">
        <v>43177</v>
      </c>
      <c r="Y966" s="45" t="s">
        <v>27</v>
      </c>
      <c r="Z966" s="45" t="s">
        <v>27</v>
      </c>
      <c r="AA966" s="45" t="s">
        <v>27</v>
      </c>
      <c r="AB966" s="45"/>
      <c r="AC966" s="169"/>
    </row>
    <row r="967" spans="1:29" s="68" customFormat="1" ht="15" hidden="1" customHeight="1">
      <c r="A967" s="62" t="s">
        <v>203</v>
      </c>
      <c r="B967" s="63" t="s">
        <v>1355</v>
      </c>
      <c r="C967" s="63"/>
      <c r="D967" s="67"/>
      <c r="E967" s="62" t="s">
        <v>17</v>
      </c>
      <c r="F967" s="72">
        <v>3299651</v>
      </c>
      <c r="G967" s="63" t="s">
        <v>1378</v>
      </c>
      <c r="H967" s="62" t="s">
        <v>96</v>
      </c>
      <c r="I967" s="64" t="s">
        <v>21</v>
      </c>
      <c r="J967" s="65" t="s">
        <v>209</v>
      </c>
      <c r="K967" s="65"/>
      <c r="L967" s="51" t="s">
        <v>97</v>
      </c>
      <c r="M967" s="62" t="s">
        <v>22</v>
      </c>
      <c r="N967" s="62" t="s">
        <v>22</v>
      </c>
      <c r="O967" s="62"/>
      <c r="P967" s="62"/>
      <c r="Q967" s="62"/>
      <c r="R967" s="43"/>
      <c r="S967" s="63" t="s">
        <v>1383</v>
      </c>
      <c r="T967" s="66">
        <v>13811080913</v>
      </c>
      <c r="U967" s="63" t="s">
        <v>1431</v>
      </c>
      <c r="V967" s="63"/>
      <c r="W967" s="63"/>
      <c r="X967" s="77">
        <v>43177</v>
      </c>
      <c r="Y967" s="45" t="s">
        <v>27</v>
      </c>
      <c r="Z967" s="45" t="s">
        <v>27</v>
      </c>
      <c r="AA967" s="45" t="s">
        <v>27</v>
      </c>
      <c r="AB967" s="45"/>
      <c r="AC967" s="169"/>
    </row>
    <row r="968" spans="1:29" s="68" customFormat="1" ht="15" hidden="1" customHeight="1">
      <c r="A968" s="62" t="s">
        <v>203</v>
      </c>
      <c r="B968" s="63" t="s">
        <v>1356</v>
      </c>
      <c r="C968" s="63"/>
      <c r="D968" s="67"/>
      <c r="E968" s="62" t="s">
        <v>17</v>
      </c>
      <c r="F968" s="72">
        <v>3299728</v>
      </c>
      <c r="G968" s="63" t="s">
        <v>1378</v>
      </c>
      <c r="H968" s="62" t="s">
        <v>96</v>
      </c>
      <c r="I968" s="64" t="s">
        <v>21</v>
      </c>
      <c r="J968" s="65"/>
      <c r="K968" s="65"/>
      <c r="L968" s="51" t="s">
        <v>1795</v>
      </c>
      <c r="M968" s="62" t="s">
        <v>22</v>
      </c>
      <c r="N968" s="62" t="s">
        <v>22</v>
      </c>
      <c r="O968" s="62"/>
      <c r="P968" s="62"/>
      <c r="Q968" s="62"/>
      <c r="R968" s="43"/>
      <c r="S968" s="63" t="s">
        <v>1384</v>
      </c>
      <c r="T968" s="66"/>
      <c r="U968" s="63" t="s">
        <v>1432</v>
      </c>
      <c r="V968" s="63"/>
      <c r="W968" s="63"/>
      <c r="X968" s="77">
        <v>43177</v>
      </c>
      <c r="Y968" s="45" t="s">
        <v>27</v>
      </c>
      <c r="Z968" s="45" t="s">
        <v>27</v>
      </c>
      <c r="AA968" s="45" t="s">
        <v>27</v>
      </c>
      <c r="AB968" s="45"/>
      <c r="AC968" s="169"/>
    </row>
    <row r="969" spans="1:29" s="68" customFormat="1" ht="15" hidden="1" customHeight="1">
      <c r="A969" s="62" t="s">
        <v>203</v>
      </c>
      <c r="B969" s="63" t="s">
        <v>1357</v>
      </c>
      <c r="C969" s="63"/>
      <c r="D969" s="67"/>
      <c r="E969" s="62" t="s">
        <v>17</v>
      </c>
      <c r="F969" s="72">
        <v>3299775</v>
      </c>
      <c r="G969" s="63" t="s">
        <v>1379</v>
      </c>
      <c r="H969" s="62" t="s">
        <v>96</v>
      </c>
      <c r="I969" s="64" t="s">
        <v>21</v>
      </c>
      <c r="J969" s="65"/>
      <c r="K969" s="65"/>
      <c r="L969" s="51" t="s">
        <v>97</v>
      </c>
      <c r="M969" s="62" t="s">
        <v>22</v>
      </c>
      <c r="N969" s="62" t="s">
        <v>22</v>
      </c>
      <c r="O969" s="62"/>
      <c r="P969" s="62"/>
      <c r="Q969" s="62"/>
      <c r="R969" s="43"/>
      <c r="S969" s="63" t="s">
        <v>1385</v>
      </c>
      <c r="T969" s="66"/>
      <c r="U969" s="63" t="s">
        <v>1433</v>
      </c>
      <c r="V969" s="63"/>
      <c r="W969" s="63"/>
      <c r="X969" s="77">
        <v>43177</v>
      </c>
      <c r="Y969" s="45" t="s">
        <v>27</v>
      </c>
      <c r="Z969" s="45" t="s">
        <v>27</v>
      </c>
      <c r="AA969" s="45" t="s">
        <v>27</v>
      </c>
      <c r="AB969" s="45"/>
      <c r="AC969" s="169"/>
    </row>
    <row r="970" spans="1:29" s="68" customFormat="1" ht="15" hidden="1" customHeight="1">
      <c r="A970" s="62" t="s">
        <v>203</v>
      </c>
      <c r="B970" s="63" t="s">
        <v>1358</v>
      </c>
      <c r="C970" s="63"/>
      <c r="D970" s="67"/>
      <c r="E970" s="62" t="s">
        <v>17</v>
      </c>
      <c r="F970" s="72">
        <v>3299566</v>
      </c>
      <c r="G970" s="63" t="s">
        <v>509</v>
      </c>
      <c r="H970" s="62" t="s">
        <v>96</v>
      </c>
      <c r="I970" s="64" t="s">
        <v>21</v>
      </c>
      <c r="J970" s="65" t="s">
        <v>223</v>
      </c>
      <c r="K970" s="65"/>
      <c r="L970" s="51" t="s">
        <v>763</v>
      </c>
      <c r="M970" s="62" t="s">
        <v>22</v>
      </c>
      <c r="N970" s="62" t="s">
        <v>22</v>
      </c>
      <c r="O970" s="62"/>
      <c r="P970" s="62"/>
      <c r="Q970" s="62"/>
      <c r="R970" s="43"/>
      <c r="S970" s="63" t="s">
        <v>1386</v>
      </c>
      <c r="T970" s="66">
        <v>13051113538</v>
      </c>
      <c r="U970" s="63" t="s">
        <v>1434</v>
      </c>
      <c r="V970" s="63"/>
      <c r="W970" s="63"/>
      <c r="X970" s="77">
        <v>43177</v>
      </c>
      <c r="Y970" s="45" t="s">
        <v>27</v>
      </c>
      <c r="Z970" s="45" t="s">
        <v>27</v>
      </c>
      <c r="AA970" s="45" t="s">
        <v>27</v>
      </c>
      <c r="AB970" s="45"/>
      <c r="AC970" s="169"/>
    </row>
    <row r="971" spans="1:29" s="68" customFormat="1" ht="15" hidden="1" customHeight="1">
      <c r="A971" s="62" t="s">
        <v>203</v>
      </c>
      <c r="B971" s="63" t="s">
        <v>1359</v>
      </c>
      <c r="C971" s="63"/>
      <c r="D971" s="67"/>
      <c r="E971" s="62" t="s">
        <v>17</v>
      </c>
      <c r="F971" s="72">
        <v>3299354</v>
      </c>
      <c r="G971" s="63" t="s">
        <v>69</v>
      </c>
      <c r="H971" s="62" t="s">
        <v>96</v>
      </c>
      <c r="I971" s="64" t="s">
        <v>21</v>
      </c>
      <c r="J971" s="65" t="s">
        <v>223</v>
      </c>
      <c r="K971" s="65"/>
      <c r="L971" s="51" t="s">
        <v>763</v>
      </c>
      <c r="M971" s="62" t="s">
        <v>22</v>
      </c>
      <c r="N971" s="62" t="s">
        <v>22</v>
      </c>
      <c r="O971" s="62"/>
      <c r="P971" s="62"/>
      <c r="Q971" s="62"/>
      <c r="R971" s="43"/>
      <c r="S971" s="63" t="s">
        <v>1387</v>
      </c>
      <c r="T971" s="66">
        <v>18612939847</v>
      </c>
      <c r="U971" s="63" t="s">
        <v>1435</v>
      </c>
      <c r="V971" s="63"/>
      <c r="W971" s="63"/>
      <c r="X971" s="77">
        <v>43177</v>
      </c>
      <c r="Y971" s="45" t="s">
        <v>27</v>
      </c>
      <c r="Z971" s="45" t="s">
        <v>27</v>
      </c>
      <c r="AA971" s="45" t="s">
        <v>27</v>
      </c>
      <c r="AB971" s="45"/>
      <c r="AC971" s="169"/>
    </row>
    <row r="972" spans="1:29" s="68" customFormat="1" ht="15" hidden="1" customHeight="1">
      <c r="A972" s="62" t="s">
        <v>203</v>
      </c>
      <c r="B972" s="63" t="s">
        <v>1360</v>
      </c>
      <c r="C972" s="63"/>
      <c r="D972" s="67"/>
      <c r="E972" s="62" t="s">
        <v>17</v>
      </c>
      <c r="F972" s="72">
        <v>3299526</v>
      </c>
      <c r="G972" s="63" t="s">
        <v>528</v>
      </c>
      <c r="H972" s="62" t="s">
        <v>96</v>
      </c>
      <c r="I972" s="64" t="s">
        <v>21</v>
      </c>
      <c r="J972" s="65" t="s">
        <v>223</v>
      </c>
      <c r="K972" s="65"/>
      <c r="L972" s="51" t="s">
        <v>763</v>
      </c>
      <c r="M972" s="62" t="s">
        <v>22</v>
      </c>
      <c r="N972" s="62" t="s">
        <v>22</v>
      </c>
      <c r="O972" s="62"/>
      <c r="P972" s="62"/>
      <c r="Q972" s="62"/>
      <c r="R972" s="43"/>
      <c r="S972" s="63" t="s">
        <v>1388</v>
      </c>
      <c r="T972" s="66">
        <v>18618459257</v>
      </c>
      <c r="U972" s="63" t="s">
        <v>1436</v>
      </c>
      <c r="V972" s="63"/>
      <c r="W972" s="63"/>
      <c r="X972" s="77">
        <v>43177</v>
      </c>
      <c r="Y972" s="45" t="s">
        <v>27</v>
      </c>
      <c r="Z972" s="45" t="s">
        <v>27</v>
      </c>
      <c r="AA972" s="45" t="s">
        <v>27</v>
      </c>
      <c r="AB972" s="45"/>
      <c r="AC972" s="169"/>
    </row>
    <row r="973" spans="1:29" s="68" customFormat="1" ht="15" hidden="1" customHeight="1">
      <c r="A973" s="62" t="s">
        <v>203</v>
      </c>
      <c r="B973" s="63" t="s">
        <v>1361</v>
      </c>
      <c r="C973" s="63"/>
      <c r="D973" s="67"/>
      <c r="E973" s="62" t="s">
        <v>17</v>
      </c>
      <c r="F973" s="72">
        <v>3299567</v>
      </c>
      <c r="G973" s="63" t="s">
        <v>582</v>
      </c>
      <c r="H973" s="62" t="s">
        <v>96</v>
      </c>
      <c r="I973" s="64" t="s">
        <v>21</v>
      </c>
      <c r="J973" s="65" t="s">
        <v>223</v>
      </c>
      <c r="K973" s="65"/>
      <c r="L973" s="51" t="s">
        <v>763</v>
      </c>
      <c r="M973" s="62" t="s">
        <v>22</v>
      </c>
      <c r="N973" s="62" t="s">
        <v>22</v>
      </c>
      <c r="O973" s="62"/>
      <c r="P973" s="62"/>
      <c r="Q973" s="62"/>
      <c r="R973" s="43"/>
      <c r="S973" s="63" t="s">
        <v>1389</v>
      </c>
      <c r="T973" s="66">
        <v>18618143487</v>
      </c>
      <c r="U973" s="63" t="s">
        <v>1437</v>
      </c>
      <c r="V973" s="63"/>
      <c r="W973" s="63"/>
      <c r="X973" s="77">
        <v>43177</v>
      </c>
      <c r="Y973" s="45" t="s">
        <v>27</v>
      </c>
      <c r="Z973" s="45" t="s">
        <v>27</v>
      </c>
      <c r="AA973" s="45" t="s">
        <v>27</v>
      </c>
      <c r="AB973" s="45"/>
      <c r="AC973" s="169"/>
    </row>
    <row r="974" spans="1:29" s="68" customFormat="1" ht="15" hidden="1" customHeight="1">
      <c r="A974" s="62" t="s">
        <v>203</v>
      </c>
      <c r="B974" s="63" t="s">
        <v>1362</v>
      </c>
      <c r="C974" s="63"/>
      <c r="D974" s="67"/>
      <c r="E974" s="62" t="s">
        <v>17</v>
      </c>
      <c r="F974" s="72">
        <v>3299512</v>
      </c>
      <c r="G974" s="63" t="s">
        <v>168</v>
      </c>
      <c r="H974" s="62" t="s">
        <v>96</v>
      </c>
      <c r="I974" s="64" t="s">
        <v>21</v>
      </c>
      <c r="J974" s="65" t="s">
        <v>223</v>
      </c>
      <c r="K974" s="65"/>
      <c r="L974" s="51" t="s">
        <v>763</v>
      </c>
      <c r="M974" s="62" t="s">
        <v>22</v>
      </c>
      <c r="N974" s="62" t="s">
        <v>22</v>
      </c>
      <c r="O974" s="62"/>
      <c r="P974" s="62"/>
      <c r="Q974" s="62"/>
      <c r="R974" s="43"/>
      <c r="S974" s="63" t="s">
        <v>1390</v>
      </c>
      <c r="T974" s="66">
        <v>18613358214</v>
      </c>
      <c r="U974" s="63" t="s">
        <v>1438</v>
      </c>
      <c r="V974" s="63"/>
      <c r="W974" s="63"/>
      <c r="X974" s="77">
        <v>43177</v>
      </c>
      <c r="Y974" s="45" t="s">
        <v>27</v>
      </c>
      <c r="Z974" s="45" t="s">
        <v>27</v>
      </c>
      <c r="AA974" s="45" t="s">
        <v>27</v>
      </c>
      <c r="AB974" s="45"/>
      <c r="AC974" s="169"/>
    </row>
    <row r="975" spans="1:29" s="68" customFormat="1" ht="15" hidden="1" customHeight="1">
      <c r="A975" s="62" t="s">
        <v>203</v>
      </c>
      <c r="B975" s="63" t="s">
        <v>1363</v>
      </c>
      <c r="C975" s="63"/>
      <c r="D975" s="67"/>
      <c r="E975" s="62" t="s">
        <v>17</v>
      </c>
      <c r="F975" s="72">
        <v>3299511</v>
      </c>
      <c r="G975" s="63" t="s">
        <v>1380</v>
      </c>
      <c r="H975" s="62" t="s">
        <v>96</v>
      </c>
      <c r="I975" s="64" t="s">
        <v>21</v>
      </c>
      <c r="J975" s="65" t="s">
        <v>223</v>
      </c>
      <c r="K975" s="65"/>
      <c r="L975" s="51" t="s">
        <v>97</v>
      </c>
      <c r="M975" s="62" t="s">
        <v>22</v>
      </c>
      <c r="N975" s="62" t="s">
        <v>22</v>
      </c>
      <c r="O975" s="62"/>
      <c r="P975" s="62"/>
      <c r="Q975" s="62"/>
      <c r="R975" s="43"/>
      <c r="S975" s="63" t="s">
        <v>1391</v>
      </c>
      <c r="T975" s="66">
        <v>13121815792</v>
      </c>
      <c r="U975" s="63" t="s">
        <v>1439</v>
      </c>
      <c r="V975" s="63"/>
      <c r="W975" s="63"/>
      <c r="X975" s="77">
        <v>43177</v>
      </c>
      <c r="Y975" s="45" t="s">
        <v>27</v>
      </c>
      <c r="Z975" s="45" t="s">
        <v>27</v>
      </c>
      <c r="AA975" s="45" t="s">
        <v>27</v>
      </c>
      <c r="AB975" s="45"/>
      <c r="AC975" s="169"/>
    </row>
    <row r="976" spans="1:29" s="68" customFormat="1" ht="15" hidden="1" customHeight="1">
      <c r="A976" s="62" t="s">
        <v>203</v>
      </c>
      <c r="B976" s="63" t="s">
        <v>1364</v>
      </c>
      <c r="C976" s="63"/>
      <c r="D976" s="67"/>
      <c r="E976" s="62" t="s">
        <v>17</v>
      </c>
      <c r="F976" s="102">
        <v>3299466</v>
      </c>
      <c r="G976" s="63" t="s">
        <v>19</v>
      </c>
      <c r="H976" s="62" t="s">
        <v>96</v>
      </c>
      <c r="I976" s="64" t="s">
        <v>21</v>
      </c>
      <c r="J976" s="65" t="s">
        <v>223</v>
      </c>
      <c r="K976" s="65"/>
      <c r="L976" s="51" t="s">
        <v>763</v>
      </c>
      <c r="M976" s="62" t="s">
        <v>22</v>
      </c>
      <c r="N976" s="62" t="s">
        <v>22</v>
      </c>
      <c r="O976" s="62"/>
      <c r="P976" s="62"/>
      <c r="Q976" s="62"/>
      <c r="R976" s="43"/>
      <c r="S976" s="63" t="s">
        <v>1401</v>
      </c>
      <c r="T976" s="66">
        <v>13121816092</v>
      </c>
      <c r="U976" s="63" t="s">
        <v>1411</v>
      </c>
      <c r="V976" s="63"/>
      <c r="W976" s="63"/>
      <c r="X976" s="77">
        <v>43177</v>
      </c>
      <c r="Y976" s="45" t="s">
        <v>27</v>
      </c>
      <c r="Z976" s="45" t="s">
        <v>27</v>
      </c>
      <c r="AA976" s="45" t="s">
        <v>27</v>
      </c>
      <c r="AB976" s="45"/>
      <c r="AC976" s="169"/>
    </row>
    <row r="977" spans="1:29" s="68" customFormat="1" ht="15" hidden="1" customHeight="1">
      <c r="A977" s="62" t="s">
        <v>203</v>
      </c>
      <c r="B977" s="63" t="s">
        <v>1365</v>
      </c>
      <c r="C977" s="63"/>
      <c r="D977" s="67"/>
      <c r="E977" s="62" t="s">
        <v>17</v>
      </c>
      <c r="F977" s="102">
        <v>3299463</v>
      </c>
      <c r="G977" s="63" t="s">
        <v>1399</v>
      </c>
      <c r="H977" s="62" t="s">
        <v>96</v>
      </c>
      <c r="I977" s="64" t="s">
        <v>21</v>
      </c>
      <c r="J977" s="65" t="s">
        <v>223</v>
      </c>
      <c r="K977" s="65"/>
      <c r="L977" s="51" t="s">
        <v>763</v>
      </c>
      <c r="M977" s="62" t="s">
        <v>22</v>
      </c>
      <c r="N977" s="62" t="s">
        <v>22</v>
      </c>
      <c r="O977" s="62"/>
      <c r="P977" s="62"/>
      <c r="Q977" s="62"/>
      <c r="R977" s="43"/>
      <c r="S977" s="63" t="s">
        <v>1402</v>
      </c>
      <c r="T977" s="66">
        <v>13121819387</v>
      </c>
      <c r="U977" s="63" t="s">
        <v>1412</v>
      </c>
      <c r="V977" s="63"/>
      <c r="W977" s="63"/>
      <c r="X977" s="77">
        <v>43177</v>
      </c>
      <c r="Y977" s="45" t="s">
        <v>27</v>
      </c>
      <c r="Z977" s="45" t="s">
        <v>27</v>
      </c>
      <c r="AA977" s="45" t="s">
        <v>27</v>
      </c>
      <c r="AB977" s="45"/>
      <c r="AC977" s="169"/>
    </row>
    <row r="978" spans="1:29" s="68" customFormat="1" ht="15" hidden="1" customHeight="1">
      <c r="A978" s="62" t="s">
        <v>203</v>
      </c>
      <c r="B978" s="63" t="s">
        <v>1381</v>
      </c>
      <c r="C978" s="63"/>
      <c r="D978" s="67"/>
      <c r="E978" s="62" t="s">
        <v>17</v>
      </c>
      <c r="F978" s="102">
        <v>3299407</v>
      </c>
      <c r="G978" s="63" t="s">
        <v>1400</v>
      </c>
      <c r="H978" s="62" t="s">
        <v>96</v>
      </c>
      <c r="I978" s="64" t="s">
        <v>21</v>
      </c>
      <c r="J978" s="65" t="s">
        <v>209</v>
      </c>
      <c r="K978" s="65"/>
      <c r="L978" s="51" t="s">
        <v>763</v>
      </c>
      <c r="M978" s="62" t="s">
        <v>22</v>
      </c>
      <c r="N978" s="62" t="s">
        <v>22</v>
      </c>
      <c r="O978" s="62"/>
      <c r="P978" s="62"/>
      <c r="Q978" s="62"/>
      <c r="R978" s="43"/>
      <c r="S978" s="63" t="s">
        <v>1403</v>
      </c>
      <c r="T978" s="66">
        <v>13910499847</v>
      </c>
      <c r="U978" s="63" t="s">
        <v>1413</v>
      </c>
      <c r="V978" s="63"/>
      <c r="W978" s="63"/>
      <c r="X978" s="77">
        <v>43177</v>
      </c>
      <c r="Y978" s="45" t="s">
        <v>27</v>
      </c>
      <c r="Z978" s="45" t="s">
        <v>27</v>
      </c>
      <c r="AA978" s="45" t="s">
        <v>27</v>
      </c>
      <c r="AB978" s="45"/>
      <c r="AC978" s="169"/>
    </row>
    <row r="979" spans="1:29" s="68" customFormat="1" ht="15" hidden="1" customHeight="1">
      <c r="A979" s="62" t="s">
        <v>203</v>
      </c>
      <c r="B979" s="63" t="s">
        <v>1392</v>
      </c>
      <c r="C979" s="63"/>
      <c r="D979" s="67"/>
      <c r="E979" s="62" t="s">
        <v>17</v>
      </c>
      <c r="F979" s="102">
        <v>3299711</v>
      </c>
      <c r="G979" s="63" t="s">
        <v>910</v>
      </c>
      <c r="H979" s="62" t="s">
        <v>96</v>
      </c>
      <c r="I979" s="64" t="s">
        <v>21</v>
      </c>
      <c r="J979" s="65" t="s">
        <v>223</v>
      </c>
      <c r="K979" s="65"/>
      <c r="L979" s="51" t="s">
        <v>763</v>
      </c>
      <c r="M979" s="62" t="s">
        <v>22</v>
      </c>
      <c r="N979" s="62" t="s">
        <v>22</v>
      </c>
      <c r="O979" s="62"/>
      <c r="P979" s="62"/>
      <c r="Q979" s="62"/>
      <c r="R979" s="43"/>
      <c r="S979" s="63" t="s">
        <v>1404</v>
      </c>
      <c r="T979" s="66">
        <v>13269433059</v>
      </c>
      <c r="U979" s="63" t="s">
        <v>1414</v>
      </c>
      <c r="V979" s="63"/>
      <c r="W979" s="63"/>
      <c r="X979" s="77">
        <v>43177</v>
      </c>
      <c r="Y979" s="45" t="s">
        <v>27</v>
      </c>
      <c r="Z979" s="45" t="s">
        <v>27</v>
      </c>
      <c r="AA979" s="45" t="s">
        <v>27</v>
      </c>
      <c r="AB979" s="45"/>
      <c r="AC979" s="169"/>
    </row>
    <row r="980" spans="1:29" s="68" customFormat="1" ht="15" hidden="1" customHeight="1">
      <c r="A980" s="62" t="s">
        <v>203</v>
      </c>
      <c r="B980" s="63" t="s">
        <v>1393</v>
      </c>
      <c r="C980" s="63"/>
      <c r="D980" s="67"/>
      <c r="E980" s="62" t="s">
        <v>17</v>
      </c>
      <c r="F980" s="102">
        <v>3299498</v>
      </c>
      <c r="G980" s="63" t="s">
        <v>913</v>
      </c>
      <c r="H980" s="62" t="s">
        <v>96</v>
      </c>
      <c r="I980" s="64" t="s">
        <v>21</v>
      </c>
      <c r="J980" s="65" t="s">
        <v>223</v>
      </c>
      <c r="K980" s="65"/>
      <c r="L980" s="51" t="s">
        <v>763</v>
      </c>
      <c r="M980" s="62" t="s">
        <v>22</v>
      </c>
      <c r="N980" s="62" t="s">
        <v>22</v>
      </c>
      <c r="O980" s="62"/>
      <c r="P980" s="62"/>
      <c r="Q980" s="62"/>
      <c r="R980" s="43"/>
      <c r="S980" s="63" t="s">
        <v>1405</v>
      </c>
      <c r="T980" s="66">
        <v>18511190842</v>
      </c>
      <c r="U980" s="63" t="s">
        <v>1415</v>
      </c>
      <c r="V980" s="63"/>
      <c r="W980" s="63"/>
      <c r="X980" s="77">
        <v>43177</v>
      </c>
      <c r="Y980" s="45" t="s">
        <v>27</v>
      </c>
      <c r="Z980" s="45" t="s">
        <v>27</v>
      </c>
      <c r="AA980" s="45" t="s">
        <v>27</v>
      </c>
      <c r="AB980" s="45"/>
      <c r="AC980" s="169"/>
    </row>
    <row r="981" spans="1:29" s="68" customFormat="1" ht="15" hidden="1" customHeight="1">
      <c r="A981" s="62" t="s">
        <v>203</v>
      </c>
      <c r="B981" s="63" t="s">
        <v>1394</v>
      </c>
      <c r="C981" s="63"/>
      <c r="D981" s="67"/>
      <c r="E981" s="62" t="s">
        <v>17</v>
      </c>
      <c r="F981" s="102">
        <v>3299391</v>
      </c>
      <c r="G981" s="63" t="s">
        <v>916</v>
      </c>
      <c r="H981" s="62" t="s">
        <v>96</v>
      </c>
      <c r="I981" s="64" t="s">
        <v>21</v>
      </c>
      <c r="J981" s="65" t="s">
        <v>223</v>
      </c>
      <c r="K981" s="65"/>
      <c r="L981" s="51" t="s">
        <v>763</v>
      </c>
      <c r="M981" s="62" t="s">
        <v>22</v>
      </c>
      <c r="N981" s="62" t="s">
        <v>22</v>
      </c>
      <c r="O981" s="62"/>
      <c r="P981" s="62"/>
      <c r="Q981" s="62"/>
      <c r="R981" s="43"/>
      <c r="S981" s="63" t="s">
        <v>1406</v>
      </c>
      <c r="T981" s="66">
        <v>18501935094</v>
      </c>
      <c r="U981" s="63" t="s">
        <v>1416</v>
      </c>
      <c r="V981" s="63"/>
      <c r="W981" s="63"/>
      <c r="X981" s="77">
        <v>43177</v>
      </c>
      <c r="Y981" s="45" t="s">
        <v>27</v>
      </c>
      <c r="Z981" s="45" t="s">
        <v>27</v>
      </c>
      <c r="AA981" s="45" t="s">
        <v>27</v>
      </c>
      <c r="AB981" s="45"/>
      <c r="AC981" s="169"/>
    </row>
    <row r="982" spans="1:29" s="68" customFormat="1" ht="15" hidden="1" customHeight="1">
      <c r="A982" s="62" t="s">
        <v>203</v>
      </c>
      <c r="B982" s="63" t="s">
        <v>1395</v>
      </c>
      <c r="C982" s="63"/>
      <c r="D982" s="67"/>
      <c r="E982" s="62" t="s">
        <v>17</v>
      </c>
      <c r="F982" s="102">
        <v>3299418</v>
      </c>
      <c r="G982" s="63" t="s">
        <v>919</v>
      </c>
      <c r="H982" s="62" t="s">
        <v>96</v>
      </c>
      <c r="I982" s="64" t="s">
        <v>21</v>
      </c>
      <c r="J982" s="65" t="s">
        <v>223</v>
      </c>
      <c r="K982" s="65"/>
      <c r="L982" s="51" t="s">
        <v>97</v>
      </c>
      <c r="M982" s="62" t="s">
        <v>22</v>
      </c>
      <c r="N982" s="62" t="s">
        <v>22</v>
      </c>
      <c r="O982" s="62"/>
      <c r="P982" s="62"/>
      <c r="Q982" s="62"/>
      <c r="R982" s="43"/>
      <c r="S982" s="63" t="s">
        <v>1407</v>
      </c>
      <c r="T982" s="66">
        <v>18601984298</v>
      </c>
      <c r="U982" s="63" t="s">
        <v>1417</v>
      </c>
      <c r="V982" s="63"/>
      <c r="W982" s="63"/>
      <c r="X982" s="77">
        <v>43177</v>
      </c>
      <c r="Y982" s="45" t="s">
        <v>27</v>
      </c>
      <c r="Z982" s="45" t="s">
        <v>27</v>
      </c>
      <c r="AA982" s="45" t="s">
        <v>27</v>
      </c>
      <c r="AB982" s="45"/>
      <c r="AC982" s="169"/>
    </row>
    <row r="983" spans="1:29" s="68" customFormat="1" ht="15" hidden="1" customHeight="1">
      <c r="A983" s="62" t="s">
        <v>203</v>
      </c>
      <c r="B983" s="63" t="s">
        <v>1396</v>
      </c>
      <c r="C983" s="63"/>
      <c r="D983" s="67"/>
      <c r="E983" s="62" t="s">
        <v>17</v>
      </c>
      <c r="F983" s="102">
        <v>3299462</v>
      </c>
      <c r="G983" s="63" t="s">
        <v>922</v>
      </c>
      <c r="H983" s="62" t="s">
        <v>96</v>
      </c>
      <c r="I983" s="64" t="s">
        <v>21</v>
      </c>
      <c r="J983" s="65" t="s">
        <v>223</v>
      </c>
      <c r="K983" s="65"/>
      <c r="L983" s="51" t="s">
        <v>97</v>
      </c>
      <c r="M983" s="62" t="s">
        <v>22</v>
      </c>
      <c r="N983" s="62" t="s">
        <v>22</v>
      </c>
      <c r="O983" s="62"/>
      <c r="P983" s="62"/>
      <c r="Q983" s="62"/>
      <c r="R983" s="43"/>
      <c r="S983" s="63" t="s">
        <v>1408</v>
      </c>
      <c r="T983" s="66">
        <v>18614019509</v>
      </c>
      <c r="U983" s="63" t="s">
        <v>1418</v>
      </c>
      <c r="V983" s="63"/>
      <c r="W983" s="63"/>
      <c r="X983" s="77">
        <v>43177</v>
      </c>
      <c r="Y983" s="45" t="s">
        <v>27</v>
      </c>
      <c r="Z983" s="45" t="s">
        <v>27</v>
      </c>
      <c r="AA983" s="45" t="s">
        <v>27</v>
      </c>
      <c r="AB983" s="45"/>
      <c r="AC983" s="169"/>
    </row>
    <row r="984" spans="1:29" s="68" customFormat="1" ht="15" hidden="1" customHeight="1">
      <c r="A984" s="62" t="s">
        <v>203</v>
      </c>
      <c r="B984" s="63" t="s">
        <v>1397</v>
      </c>
      <c r="C984" s="63"/>
      <c r="D984" s="105"/>
      <c r="E984" s="62" t="s">
        <v>17</v>
      </c>
      <c r="F984" s="102">
        <v>3299716</v>
      </c>
      <c r="G984" s="63" t="s">
        <v>925</v>
      </c>
      <c r="H984" s="62" t="s">
        <v>96</v>
      </c>
      <c r="I984" s="64" t="s">
        <v>21</v>
      </c>
      <c r="J984" s="65" t="s">
        <v>223</v>
      </c>
      <c r="K984" s="65"/>
      <c r="L984" s="51" t="s">
        <v>97</v>
      </c>
      <c r="M984" s="62" t="s">
        <v>22</v>
      </c>
      <c r="N984" s="62" t="s">
        <v>22</v>
      </c>
      <c r="O984" s="62"/>
      <c r="P984" s="62"/>
      <c r="Q984" s="62"/>
      <c r="R984" s="43"/>
      <c r="S984" s="63" t="s">
        <v>1409</v>
      </c>
      <c r="T984" s="66">
        <v>13051115367</v>
      </c>
      <c r="U984" s="63" t="s">
        <v>1419</v>
      </c>
      <c r="V984" s="63"/>
      <c r="W984" s="63"/>
      <c r="X984" s="77">
        <v>43177</v>
      </c>
      <c r="Y984" s="45" t="s">
        <v>27</v>
      </c>
      <c r="Z984" s="45" t="s">
        <v>27</v>
      </c>
      <c r="AA984" s="45" t="s">
        <v>27</v>
      </c>
      <c r="AB984" s="45"/>
      <c r="AC984" s="169"/>
    </row>
    <row r="985" spans="1:29" s="68" customFormat="1" ht="15" hidden="1" customHeight="1">
      <c r="A985" s="62" t="s">
        <v>203</v>
      </c>
      <c r="B985" s="63" t="s">
        <v>1398</v>
      </c>
      <c r="C985" s="63"/>
      <c r="D985" s="67"/>
      <c r="E985" s="62" t="s">
        <v>17</v>
      </c>
      <c r="F985" s="102">
        <v>3299633</v>
      </c>
      <c r="G985" s="63" t="s">
        <v>928</v>
      </c>
      <c r="H985" s="62" t="s">
        <v>96</v>
      </c>
      <c r="I985" s="64" t="s">
        <v>21</v>
      </c>
      <c r="J985" s="65" t="s">
        <v>223</v>
      </c>
      <c r="K985" s="65"/>
      <c r="L985" s="51" t="s">
        <v>763</v>
      </c>
      <c r="M985" s="62" t="s">
        <v>22</v>
      </c>
      <c r="N985" s="62" t="s">
        <v>22</v>
      </c>
      <c r="O985" s="62"/>
      <c r="P985" s="62"/>
      <c r="Q985" s="62"/>
      <c r="R985" s="43"/>
      <c r="S985" s="63" t="s">
        <v>1410</v>
      </c>
      <c r="T985" s="66">
        <v>13264286473</v>
      </c>
      <c r="U985" s="63" t="s">
        <v>1420</v>
      </c>
      <c r="V985" s="63"/>
      <c r="W985" s="63"/>
      <c r="X985" s="77">
        <v>43177</v>
      </c>
      <c r="Y985" s="45" t="s">
        <v>27</v>
      </c>
      <c r="Z985" s="45" t="s">
        <v>27</v>
      </c>
      <c r="AA985" s="45" t="s">
        <v>27</v>
      </c>
      <c r="AB985" s="45"/>
      <c r="AC985" s="169"/>
    </row>
    <row r="986" spans="1:29" s="68" customFormat="1" ht="15" hidden="1" customHeight="1">
      <c r="A986" s="62" t="s">
        <v>203</v>
      </c>
      <c r="B986" s="63" t="s">
        <v>1440</v>
      </c>
      <c r="C986" s="63"/>
      <c r="D986" s="67"/>
      <c r="E986" s="62" t="s">
        <v>17</v>
      </c>
      <c r="F986" s="102">
        <v>3249826</v>
      </c>
      <c r="G986" s="63" t="s">
        <v>30</v>
      </c>
      <c r="H986" s="62" t="s">
        <v>96</v>
      </c>
      <c r="I986" s="64" t="s">
        <v>21</v>
      </c>
      <c r="J986" s="65" t="s">
        <v>223</v>
      </c>
      <c r="K986" s="65"/>
      <c r="L986" s="51" t="s">
        <v>763</v>
      </c>
      <c r="M986" s="62" t="s">
        <v>22</v>
      </c>
      <c r="N986" s="62" t="s">
        <v>22</v>
      </c>
      <c r="O986" s="62"/>
      <c r="P986" s="62"/>
      <c r="Q986" s="62"/>
      <c r="R986" s="43"/>
      <c r="S986" s="63" t="s">
        <v>1444</v>
      </c>
      <c r="T986" s="66">
        <v>13263362761</v>
      </c>
      <c r="U986" s="63" t="s">
        <v>1448</v>
      </c>
      <c r="V986" s="63"/>
      <c r="W986" s="63"/>
      <c r="X986" s="77">
        <v>43177</v>
      </c>
      <c r="Y986" s="45" t="s">
        <v>27</v>
      </c>
      <c r="Z986" s="45" t="s">
        <v>27</v>
      </c>
      <c r="AA986" s="45" t="s">
        <v>27</v>
      </c>
      <c r="AB986" s="45"/>
      <c r="AC986" s="169"/>
    </row>
    <row r="987" spans="1:29" s="68" customFormat="1" ht="15" hidden="1" customHeight="1">
      <c r="A987" s="62" t="s">
        <v>203</v>
      </c>
      <c r="B987" s="63" t="s">
        <v>1441</v>
      </c>
      <c r="C987" s="63"/>
      <c r="D987" s="67"/>
      <c r="E987" s="62" t="s">
        <v>17</v>
      </c>
      <c r="F987" s="102">
        <v>3316819</v>
      </c>
      <c r="G987" s="63" t="s">
        <v>36</v>
      </c>
      <c r="H987" s="62" t="s">
        <v>96</v>
      </c>
      <c r="I987" s="64" t="s">
        <v>21</v>
      </c>
      <c r="J987" s="65" t="s">
        <v>223</v>
      </c>
      <c r="K987" s="65"/>
      <c r="L987" s="51" t="s">
        <v>763</v>
      </c>
      <c r="M987" s="62" t="s">
        <v>22</v>
      </c>
      <c r="N987" s="62" t="s">
        <v>22</v>
      </c>
      <c r="O987" s="62"/>
      <c r="P987" s="62"/>
      <c r="Q987" s="62"/>
      <c r="R987" s="43"/>
      <c r="S987" s="63" t="s">
        <v>1445</v>
      </c>
      <c r="T987" s="66">
        <v>13021044747</v>
      </c>
      <c r="U987" s="63" t="s">
        <v>1449</v>
      </c>
      <c r="V987" s="63"/>
      <c r="W987" s="63"/>
      <c r="X987" s="77">
        <v>43177</v>
      </c>
      <c r="Y987" s="45" t="s">
        <v>27</v>
      </c>
      <c r="Z987" s="45" t="s">
        <v>27</v>
      </c>
      <c r="AA987" s="45" t="s">
        <v>27</v>
      </c>
      <c r="AB987" s="45"/>
      <c r="AC987" s="169"/>
    </row>
    <row r="988" spans="1:29" s="68" customFormat="1" ht="15" hidden="1" customHeight="1">
      <c r="A988" s="62" t="s">
        <v>203</v>
      </c>
      <c r="B988" s="63" t="s">
        <v>1442</v>
      </c>
      <c r="C988" s="63"/>
      <c r="D988" s="67"/>
      <c r="E988" s="62" t="s">
        <v>17</v>
      </c>
      <c r="F988" s="102">
        <v>3316644</v>
      </c>
      <c r="G988" s="63" t="s">
        <v>520</v>
      </c>
      <c r="H988" s="62" t="s">
        <v>96</v>
      </c>
      <c r="I988" s="64" t="s">
        <v>21</v>
      </c>
      <c r="J988" s="65" t="s">
        <v>223</v>
      </c>
      <c r="K988" s="65"/>
      <c r="L988" s="51" t="s">
        <v>763</v>
      </c>
      <c r="M988" s="62" t="s">
        <v>22</v>
      </c>
      <c r="N988" s="62" t="s">
        <v>22</v>
      </c>
      <c r="O988" s="62"/>
      <c r="P988" s="62"/>
      <c r="Q988" s="62"/>
      <c r="R988" s="43"/>
      <c r="S988" s="63" t="s">
        <v>1446</v>
      </c>
      <c r="T988" s="66">
        <v>18600587512</v>
      </c>
      <c r="U988" s="63" t="s">
        <v>1450</v>
      </c>
      <c r="V988" s="63"/>
      <c r="W988" s="63"/>
      <c r="X988" s="77">
        <v>43177</v>
      </c>
      <c r="Y988" s="45" t="s">
        <v>27</v>
      </c>
      <c r="Z988" s="45" t="s">
        <v>27</v>
      </c>
      <c r="AA988" s="45" t="s">
        <v>27</v>
      </c>
      <c r="AB988" s="45"/>
      <c r="AC988" s="169"/>
    </row>
    <row r="989" spans="1:29" s="68" customFormat="1" ht="15" hidden="1" customHeight="1">
      <c r="A989" s="62" t="s">
        <v>203</v>
      </c>
      <c r="B989" s="63" t="s">
        <v>1443</v>
      </c>
      <c r="C989" s="63"/>
      <c r="D989" s="67"/>
      <c r="E989" s="62" t="s">
        <v>17</v>
      </c>
      <c r="F989" s="102">
        <v>3316783</v>
      </c>
      <c r="G989" s="63" t="s">
        <v>46</v>
      </c>
      <c r="H989" s="62" t="s">
        <v>96</v>
      </c>
      <c r="I989" s="64" t="s">
        <v>21</v>
      </c>
      <c r="J989" s="65" t="s">
        <v>223</v>
      </c>
      <c r="K989" s="65"/>
      <c r="L989" s="51" t="s">
        <v>763</v>
      </c>
      <c r="M989" s="62" t="s">
        <v>22</v>
      </c>
      <c r="N989" s="62" t="s">
        <v>22</v>
      </c>
      <c r="O989" s="62"/>
      <c r="P989" s="62"/>
      <c r="Q989" s="62"/>
      <c r="R989" s="43"/>
      <c r="S989" s="63" t="s">
        <v>1447</v>
      </c>
      <c r="T989" s="66">
        <v>13269329416</v>
      </c>
      <c r="U989" s="63" t="s">
        <v>1451</v>
      </c>
      <c r="V989" s="63"/>
      <c r="W989" s="63"/>
      <c r="X989" s="77">
        <v>43177</v>
      </c>
      <c r="Y989" s="45" t="s">
        <v>27</v>
      </c>
      <c r="Z989" s="45" t="s">
        <v>27</v>
      </c>
      <c r="AA989" s="45" t="s">
        <v>27</v>
      </c>
      <c r="AB989" s="45"/>
      <c r="AC989" s="169"/>
    </row>
    <row r="990" spans="1:29" s="68" customFormat="1" ht="15" hidden="1" customHeight="1">
      <c r="A990" s="62" t="s">
        <v>203</v>
      </c>
      <c r="B990" s="63" t="s">
        <v>1454</v>
      </c>
      <c r="C990" s="63"/>
      <c r="D990" s="67"/>
      <c r="E990" s="62" t="s">
        <v>17</v>
      </c>
      <c r="F990" s="102">
        <v>3299616</v>
      </c>
      <c r="G990" s="74" t="s">
        <v>1682</v>
      </c>
      <c r="H990" s="62" t="s">
        <v>96</v>
      </c>
      <c r="I990" s="64" t="s">
        <v>21</v>
      </c>
      <c r="J990" s="65"/>
      <c r="K990" s="65"/>
      <c r="L990" s="51"/>
      <c r="M990" s="62" t="s">
        <v>22</v>
      </c>
      <c r="N990" s="62" t="s">
        <v>22</v>
      </c>
      <c r="O990" s="62"/>
      <c r="P990" s="62"/>
      <c r="Q990" s="62"/>
      <c r="R990" s="43"/>
      <c r="S990" s="63"/>
      <c r="T990" s="66"/>
      <c r="U990" s="63"/>
      <c r="V990" s="63"/>
      <c r="W990" s="63"/>
      <c r="X990" s="77">
        <v>43177</v>
      </c>
      <c r="Y990" s="45" t="s">
        <v>27</v>
      </c>
      <c r="Z990" s="45" t="s">
        <v>22</v>
      </c>
      <c r="AA990" s="45" t="s">
        <v>22</v>
      </c>
      <c r="AB990" s="45"/>
      <c r="AC990" s="169" t="s">
        <v>2015</v>
      </c>
    </row>
    <row r="991" spans="1:29" s="68" customFormat="1" ht="15" hidden="1" customHeight="1">
      <c r="A991" s="62" t="s">
        <v>203</v>
      </c>
      <c r="B991" s="63" t="s">
        <v>1455</v>
      </c>
      <c r="C991" s="63"/>
      <c r="D991" s="67"/>
      <c r="E991" s="62" t="s">
        <v>17</v>
      </c>
      <c r="F991" s="102">
        <v>3316781</v>
      </c>
      <c r="G991" s="74" t="s">
        <v>1682</v>
      </c>
      <c r="H991" s="62" t="s">
        <v>96</v>
      </c>
      <c r="I991" s="64" t="s">
        <v>21</v>
      </c>
      <c r="J991" s="65"/>
      <c r="K991" s="65"/>
      <c r="L991" s="51"/>
      <c r="M991" s="62" t="s">
        <v>22</v>
      </c>
      <c r="N991" s="62" t="s">
        <v>22</v>
      </c>
      <c r="O991" s="62"/>
      <c r="P991" s="62"/>
      <c r="Q991" s="62"/>
      <c r="R991" s="43"/>
      <c r="S991" s="63"/>
      <c r="T991" s="66"/>
      <c r="U991" s="63"/>
      <c r="V991" s="63"/>
      <c r="W991" s="63"/>
      <c r="X991" s="77">
        <v>43177</v>
      </c>
      <c r="Y991" s="45" t="s">
        <v>27</v>
      </c>
      <c r="Z991" s="45" t="s">
        <v>22</v>
      </c>
      <c r="AA991" s="45" t="s">
        <v>22</v>
      </c>
      <c r="AB991" s="45"/>
      <c r="AC991" s="169" t="s">
        <v>2015</v>
      </c>
    </row>
    <row r="992" spans="1:29" s="68" customFormat="1" ht="15" hidden="1" customHeight="1">
      <c r="A992" s="62" t="s">
        <v>203</v>
      </c>
      <c r="B992" s="63" t="s">
        <v>1456</v>
      </c>
      <c r="C992" s="63"/>
      <c r="D992" s="67"/>
      <c r="E992" s="62" t="s">
        <v>17</v>
      </c>
      <c r="F992" s="102">
        <v>3299779</v>
      </c>
      <c r="G992" s="74" t="s">
        <v>1682</v>
      </c>
      <c r="H992" s="62" t="s">
        <v>96</v>
      </c>
      <c r="I992" s="64" t="s">
        <v>21</v>
      </c>
      <c r="J992" s="65"/>
      <c r="K992" s="65"/>
      <c r="L992" s="51"/>
      <c r="M992" s="62" t="s">
        <v>22</v>
      </c>
      <c r="N992" s="62" t="s">
        <v>22</v>
      </c>
      <c r="O992" s="62"/>
      <c r="P992" s="62"/>
      <c r="Q992" s="62"/>
      <c r="R992" s="43"/>
      <c r="S992" s="63"/>
      <c r="T992" s="66"/>
      <c r="U992" s="63"/>
      <c r="V992" s="63"/>
      <c r="W992" s="63"/>
      <c r="X992" s="77">
        <v>43177</v>
      </c>
      <c r="Y992" s="45" t="s">
        <v>27</v>
      </c>
      <c r="Z992" s="45" t="s">
        <v>22</v>
      </c>
      <c r="AA992" s="45" t="s">
        <v>22</v>
      </c>
      <c r="AB992" s="45"/>
      <c r="AC992" s="169" t="s">
        <v>2015</v>
      </c>
    </row>
    <row r="993" spans="1:29" s="68" customFormat="1" ht="15" hidden="1" customHeight="1">
      <c r="A993" s="62" t="s">
        <v>203</v>
      </c>
      <c r="B993" s="63" t="s">
        <v>1457</v>
      </c>
      <c r="C993" s="63"/>
      <c r="D993" s="67"/>
      <c r="E993" s="62" t="s">
        <v>17</v>
      </c>
      <c r="F993" s="102">
        <v>3316795</v>
      </c>
      <c r="G993" s="74" t="s">
        <v>1682</v>
      </c>
      <c r="H993" s="62" t="s">
        <v>96</v>
      </c>
      <c r="I993" s="64" t="s">
        <v>21</v>
      </c>
      <c r="J993" s="65"/>
      <c r="K993" s="65"/>
      <c r="L993" s="51"/>
      <c r="M993" s="62" t="s">
        <v>22</v>
      </c>
      <c r="N993" s="62" t="s">
        <v>22</v>
      </c>
      <c r="O993" s="62"/>
      <c r="P993" s="62"/>
      <c r="Q993" s="62"/>
      <c r="R993" s="43"/>
      <c r="S993" s="63"/>
      <c r="T993" s="66"/>
      <c r="U993" s="63"/>
      <c r="V993" s="63"/>
      <c r="W993" s="63"/>
      <c r="X993" s="77">
        <v>43177</v>
      </c>
      <c r="Y993" s="45" t="s">
        <v>27</v>
      </c>
      <c r="Z993" s="45" t="s">
        <v>22</v>
      </c>
      <c r="AA993" s="45" t="s">
        <v>22</v>
      </c>
      <c r="AB993" s="45"/>
      <c r="AC993" s="169" t="s">
        <v>2015</v>
      </c>
    </row>
    <row r="994" spans="1:29" s="68" customFormat="1" ht="15" hidden="1" customHeight="1">
      <c r="A994" s="62" t="s">
        <v>203</v>
      </c>
      <c r="B994" s="63" t="s">
        <v>1458</v>
      </c>
      <c r="C994" s="63"/>
      <c r="D994" s="67"/>
      <c r="E994" s="62" t="s">
        <v>17</v>
      </c>
      <c r="F994" s="102">
        <v>3316785</v>
      </c>
      <c r="G994" s="74" t="s">
        <v>1682</v>
      </c>
      <c r="H994" s="62" t="s">
        <v>96</v>
      </c>
      <c r="I994" s="64" t="s">
        <v>21</v>
      </c>
      <c r="J994" s="65"/>
      <c r="K994" s="65"/>
      <c r="L994" s="51"/>
      <c r="M994" s="62" t="s">
        <v>22</v>
      </c>
      <c r="N994" s="62" t="s">
        <v>22</v>
      </c>
      <c r="O994" s="62"/>
      <c r="P994" s="62"/>
      <c r="Q994" s="62"/>
      <c r="R994" s="43"/>
      <c r="S994" s="63"/>
      <c r="T994" s="66"/>
      <c r="U994" s="63"/>
      <c r="V994" s="63"/>
      <c r="W994" s="63"/>
      <c r="X994" s="77">
        <v>43177</v>
      </c>
      <c r="Y994" s="45" t="s">
        <v>27</v>
      </c>
      <c r="Z994" s="45" t="s">
        <v>22</v>
      </c>
      <c r="AA994" s="45" t="s">
        <v>22</v>
      </c>
      <c r="AB994" s="45"/>
      <c r="AC994" s="169" t="s">
        <v>2015</v>
      </c>
    </row>
    <row r="995" spans="1:29" s="68" customFormat="1" ht="15" hidden="1" customHeight="1">
      <c r="A995" s="62" t="s">
        <v>203</v>
      </c>
      <c r="B995" s="63" t="s">
        <v>1459</v>
      </c>
      <c r="C995" s="63"/>
      <c r="D995" s="67"/>
      <c r="E995" s="62" t="s">
        <v>17</v>
      </c>
      <c r="F995" s="102">
        <v>3299787</v>
      </c>
      <c r="G995" s="74" t="s">
        <v>1682</v>
      </c>
      <c r="H995" s="62" t="s">
        <v>96</v>
      </c>
      <c r="I995" s="64" t="s">
        <v>21</v>
      </c>
      <c r="J995" s="65"/>
      <c r="K995" s="65"/>
      <c r="L995" s="51"/>
      <c r="M995" s="62" t="s">
        <v>22</v>
      </c>
      <c r="N995" s="62" t="s">
        <v>22</v>
      </c>
      <c r="O995" s="62"/>
      <c r="P995" s="62"/>
      <c r="Q995" s="62"/>
      <c r="R995" s="43"/>
      <c r="S995" s="63"/>
      <c r="T995" s="66"/>
      <c r="U995" s="63"/>
      <c r="V995" s="63"/>
      <c r="W995" s="63"/>
      <c r="X995" s="77">
        <v>43177</v>
      </c>
      <c r="Y995" s="45" t="s">
        <v>27</v>
      </c>
      <c r="Z995" s="45" t="s">
        <v>22</v>
      </c>
      <c r="AA995" s="45" t="s">
        <v>22</v>
      </c>
      <c r="AB995" s="45"/>
      <c r="AC995" s="169" t="s">
        <v>2015</v>
      </c>
    </row>
    <row r="996" spans="1:29" s="68" customFormat="1" ht="15" hidden="1" customHeight="1">
      <c r="A996" s="62" t="s">
        <v>203</v>
      </c>
      <c r="B996" s="63" t="s">
        <v>1460</v>
      </c>
      <c r="C996" s="63"/>
      <c r="D996" s="67"/>
      <c r="E996" s="62" t="s">
        <v>17</v>
      </c>
      <c r="F996" s="102">
        <v>3299753</v>
      </c>
      <c r="G996" s="74" t="s">
        <v>1682</v>
      </c>
      <c r="H996" s="62" t="s">
        <v>96</v>
      </c>
      <c r="I996" s="64" t="s">
        <v>21</v>
      </c>
      <c r="J996" s="65"/>
      <c r="K996" s="65"/>
      <c r="L996" s="51"/>
      <c r="M996" s="62" t="s">
        <v>22</v>
      </c>
      <c r="N996" s="62" t="s">
        <v>22</v>
      </c>
      <c r="O996" s="62"/>
      <c r="P996" s="62"/>
      <c r="Q996" s="62"/>
      <c r="R996" s="43"/>
      <c r="S996" s="63"/>
      <c r="T996" s="66"/>
      <c r="U996" s="63"/>
      <c r="V996" s="63"/>
      <c r="W996" s="63"/>
      <c r="X996" s="77">
        <v>43177</v>
      </c>
      <c r="Y996" s="45" t="s">
        <v>27</v>
      </c>
      <c r="Z996" s="45" t="s">
        <v>22</v>
      </c>
      <c r="AA996" s="45" t="s">
        <v>22</v>
      </c>
      <c r="AB996" s="45"/>
      <c r="AC996" s="169" t="s">
        <v>2015</v>
      </c>
    </row>
    <row r="997" spans="1:29" s="68" customFormat="1" ht="15" hidden="1" customHeight="1">
      <c r="A997" s="62" t="s">
        <v>203</v>
      </c>
      <c r="B997" s="63" t="s">
        <v>1461</v>
      </c>
      <c r="C997" s="63"/>
      <c r="D997" s="67"/>
      <c r="E997" s="62" t="s">
        <v>17</v>
      </c>
      <c r="F997" s="102">
        <v>3299720</v>
      </c>
      <c r="G997" s="74" t="s">
        <v>1682</v>
      </c>
      <c r="H997" s="62" t="s">
        <v>96</v>
      </c>
      <c r="I997" s="64" t="s">
        <v>21</v>
      </c>
      <c r="J997" s="65"/>
      <c r="K997" s="65"/>
      <c r="L997" s="51"/>
      <c r="M997" s="62" t="s">
        <v>22</v>
      </c>
      <c r="N997" s="62" t="s">
        <v>22</v>
      </c>
      <c r="O997" s="62"/>
      <c r="P997" s="62"/>
      <c r="Q997" s="62"/>
      <c r="R997" s="43"/>
      <c r="S997" s="63"/>
      <c r="T997" s="66"/>
      <c r="U997" s="63"/>
      <c r="V997" s="63"/>
      <c r="W997" s="63"/>
      <c r="X997" s="77">
        <v>43177</v>
      </c>
      <c r="Y997" s="45" t="s">
        <v>27</v>
      </c>
      <c r="Z997" s="45" t="s">
        <v>22</v>
      </c>
      <c r="AA997" s="45" t="s">
        <v>22</v>
      </c>
      <c r="AB997" s="45"/>
      <c r="AC997" s="169" t="s">
        <v>2015</v>
      </c>
    </row>
    <row r="998" spans="1:29" s="68" customFormat="1" ht="15" hidden="1" customHeight="1">
      <c r="A998" s="62" t="s">
        <v>203</v>
      </c>
      <c r="B998" s="63" t="s">
        <v>1462</v>
      </c>
      <c r="C998" s="63"/>
      <c r="D998" s="67"/>
      <c r="E998" s="62" t="s">
        <v>17</v>
      </c>
      <c r="F998" s="102">
        <v>3249825</v>
      </c>
      <c r="G998" s="74" t="s">
        <v>1682</v>
      </c>
      <c r="H998" s="62" t="s">
        <v>96</v>
      </c>
      <c r="I998" s="64" t="s">
        <v>21</v>
      </c>
      <c r="J998" s="65"/>
      <c r="K998" s="65"/>
      <c r="L998" s="51"/>
      <c r="M998" s="62" t="s">
        <v>22</v>
      </c>
      <c r="N998" s="62" t="s">
        <v>22</v>
      </c>
      <c r="O998" s="62"/>
      <c r="P998" s="62"/>
      <c r="Q998" s="62"/>
      <c r="R998" s="43"/>
      <c r="S998" s="63"/>
      <c r="T998" s="66"/>
      <c r="U998" s="63"/>
      <c r="V998" s="63"/>
      <c r="W998" s="63"/>
      <c r="X998" s="77">
        <v>43177</v>
      </c>
      <c r="Y998" s="45" t="s">
        <v>27</v>
      </c>
      <c r="Z998" s="45" t="s">
        <v>22</v>
      </c>
      <c r="AA998" s="45" t="s">
        <v>22</v>
      </c>
      <c r="AB998" s="45"/>
      <c r="AC998" s="169" t="s">
        <v>2015</v>
      </c>
    </row>
    <row r="999" spans="1:29" s="68" customFormat="1" ht="15" hidden="1" customHeight="1">
      <c r="A999" s="62" t="s">
        <v>203</v>
      </c>
      <c r="B999" s="63" t="s">
        <v>1463</v>
      </c>
      <c r="C999" s="63"/>
      <c r="D999" s="67"/>
      <c r="E999" s="62" t="s">
        <v>17</v>
      </c>
      <c r="F999" s="102">
        <v>3316707</v>
      </c>
      <c r="G999" s="74" t="s">
        <v>1682</v>
      </c>
      <c r="H999" s="62" t="s">
        <v>96</v>
      </c>
      <c r="I999" s="64" t="s">
        <v>21</v>
      </c>
      <c r="J999" s="65"/>
      <c r="K999" s="65"/>
      <c r="L999" s="51"/>
      <c r="M999" s="62" t="s">
        <v>22</v>
      </c>
      <c r="N999" s="62" t="s">
        <v>22</v>
      </c>
      <c r="O999" s="62"/>
      <c r="P999" s="62"/>
      <c r="Q999" s="62"/>
      <c r="R999" s="43"/>
      <c r="S999" s="63"/>
      <c r="T999" s="66"/>
      <c r="U999" s="63"/>
      <c r="V999" s="63"/>
      <c r="W999" s="63"/>
      <c r="X999" s="77">
        <v>43177</v>
      </c>
      <c r="Y999" s="45" t="s">
        <v>27</v>
      </c>
      <c r="Z999" s="45" t="s">
        <v>22</v>
      </c>
      <c r="AA999" s="45" t="s">
        <v>22</v>
      </c>
      <c r="AB999" s="45"/>
      <c r="AC999" s="169" t="s">
        <v>2015</v>
      </c>
    </row>
    <row r="1000" spans="1:29" s="68" customFormat="1" ht="15" hidden="1" customHeight="1">
      <c r="A1000" s="62" t="s">
        <v>203</v>
      </c>
      <c r="B1000" s="63" t="s">
        <v>1464</v>
      </c>
      <c r="C1000" s="63"/>
      <c r="D1000" s="67"/>
      <c r="E1000" s="62" t="s">
        <v>17</v>
      </c>
      <c r="F1000" s="102">
        <v>3249828</v>
      </c>
      <c r="G1000" s="74" t="s">
        <v>1682</v>
      </c>
      <c r="H1000" s="62" t="s">
        <v>96</v>
      </c>
      <c r="I1000" s="64" t="s">
        <v>21</v>
      </c>
      <c r="J1000" s="65"/>
      <c r="K1000" s="65"/>
      <c r="L1000" s="51"/>
      <c r="M1000" s="62" t="s">
        <v>22</v>
      </c>
      <c r="N1000" s="62" t="s">
        <v>22</v>
      </c>
      <c r="O1000" s="62"/>
      <c r="P1000" s="62"/>
      <c r="Q1000" s="62"/>
      <c r="R1000" s="43"/>
      <c r="S1000" s="63"/>
      <c r="T1000" s="66"/>
      <c r="U1000" s="63"/>
      <c r="V1000" s="63"/>
      <c r="W1000" s="63"/>
      <c r="X1000" s="77">
        <v>43177</v>
      </c>
      <c r="Y1000" s="45" t="s">
        <v>27</v>
      </c>
      <c r="Z1000" s="45" t="s">
        <v>22</v>
      </c>
      <c r="AA1000" s="45" t="s">
        <v>22</v>
      </c>
      <c r="AB1000" s="45"/>
      <c r="AC1000" s="169" t="s">
        <v>2015</v>
      </c>
    </row>
    <row r="1001" spans="1:29" s="68" customFormat="1" ht="15" hidden="1" customHeight="1">
      <c r="A1001" s="62" t="s">
        <v>203</v>
      </c>
      <c r="B1001" s="63" t="s">
        <v>2127</v>
      </c>
      <c r="C1001" s="63"/>
      <c r="D1001" s="105"/>
      <c r="E1001" s="62" t="s">
        <v>17</v>
      </c>
      <c r="F1001" s="102">
        <v>3219822</v>
      </c>
      <c r="G1001" s="63" t="s">
        <v>2138</v>
      </c>
      <c r="H1001" s="62" t="s">
        <v>104</v>
      </c>
      <c r="I1001" s="64" t="s">
        <v>21</v>
      </c>
      <c r="J1001" s="65" t="s">
        <v>209</v>
      </c>
      <c r="K1001" s="65" t="s">
        <v>2667</v>
      </c>
      <c r="L1001" s="51" t="s">
        <v>31</v>
      </c>
      <c r="M1001" s="62" t="s">
        <v>22</v>
      </c>
      <c r="N1001" s="62" t="s">
        <v>22</v>
      </c>
      <c r="O1001" s="62" t="s">
        <v>22</v>
      </c>
      <c r="P1001" s="62"/>
      <c r="Q1001" s="62" t="s">
        <v>2664</v>
      </c>
      <c r="R1001" s="158" t="s">
        <v>2673</v>
      </c>
      <c r="S1001" s="63" t="s">
        <v>2678</v>
      </c>
      <c r="T1001" s="66">
        <v>13810633251</v>
      </c>
      <c r="U1001" s="63">
        <v>440152219656</v>
      </c>
      <c r="V1001" s="63"/>
      <c r="W1001" s="63"/>
      <c r="X1001" s="77">
        <v>43202</v>
      </c>
      <c r="Y1001" s="45" t="s">
        <v>27</v>
      </c>
      <c r="Z1001" s="45" t="s">
        <v>27</v>
      </c>
      <c r="AA1001" s="45" t="s">
        <v>27</v>
      </c>
      <c r="AB1001" s="45"/>
      <c r="AC1001" s="169"/>
    </row>
    <row r="1002" spans="1:29" s="68" customFormat="1" ht="15" hidden="1" customHeight="1">
      <c r="A1002" s="62" t="s">
        <v>203</v>
      </c>
      <c r="B1002" s="63" t="s">
        <v>2128</v>
      </c>
      <c r="C1002" s="63"/>
      <c r="D1002" s="105"/>
      <c r="E1002" s="62" t="s">
        <v>17</v>
      </c>
      <c r="F1002" s="102">
        <v>3299624</v>
      </c>
      <c r="G1002" s="63" t="s">
        <v>2139</v>
      </c>
      <c r="H1002" s="62" t="s">
        <v>104</v>
      </c>
      <c r="I1002" s="64" t="s">
        <v>21</v>
      </c>
      <c r="J1002" s="65" t="s">
        <v>209</v>
      </c>
      <c r="K1002" s="65" t="s">
        <v>2667</v>
      </c>
      <c r="L1002" s="51" t="s">
        <v>31</v>
      </c>
      <c r="M1002" s="62" t="s">
        <v>22</v>
      </c>
      <c r="N1002" s="62" t="s">
        <v>22</v>
      </c>
      <c r="O1002" s="62" t="s">
        <v>22</v>
      </c>
      <c r="P1002" s="62"/>
      <c r="Q1002" s="62" t="s">
        <v>2664</v>
      </c>
      <c r="R1002" s="158" t="s">
        <v>2674</v>
      </c>
      <c r="S1002" s="63" t="s">
        <v>2679</v>
      </c>
      <c r="T1002" s="66">
        <v>13810827595</v>
      </c>
      <c r="U1002" s="63">
        <v>440152219656</v>
      </c>
      <c r="V1002" s="63"/>
      <c r="W1002" s="63"/>
      <c r="X1002" s="77">
        <v>43202</v>
      </c>
      <c r="Y1002" s="45" t="s">
        <v>27</v>
      </c>
      <c r="Z1002" s="45" t="s">
        <v>27</v>
      </c>
      <c r="AA1002" s="45" t="s">
        <v>27</v>
      </c>
      <c r="AB1002" s="45"/>
      <c r="AC1002" s="169"/>
    </row>
    <row r="1003" spans="1:29" s="68" customFormat="1" ht="15" hidden="1" customHeight="1">
      <c r="A1003" s="62" t="s">
        <v>203</v>
      </c>
      <c r="B1003" s="63" t="s">
        <v>2129</v>
      </c>
      <c r="C1003" s="63"/>
      <c r="D1003" s="105"/>
      <c r="E1003" s="62" t="s">
        <v>17</v>
      </c>
      <c r="F1003" s="102">
        <v>3316734</v>
      </c>
      <c r="G1003" s="69" t="s">
        <v>2140</v>
      </c>
      <c r="H1003" s="62" t="s">
        <v>104</v>
      </c>
      <c r="I1003" s="64" t="s">
        <v>21</v>
      </c>
      <c r="J1003" s="65" t="s">
        <v>209</v>
      </c>
      <c r="K1003" s="65" t="s">
        <v>2666</v>
      </c>
      <c r="L1003" s="51" t="s">
        <v>31</v>
      </c>
      <c r="M1003" s="62" t="s">
        <v>22</v>
      </c>
      <c r="N1003" s="62" t="s">
        <v>22</v>
      </c>
      <c r="O1003" s="62" t="s">
        <v>22</v>
      </c>
      <c r="P1003" s="62"/>
      <c r="Q1003" s="62" t="s">
        <v>2664</v>
      </c>
      <c r="R1003" s="158" t="s">
        <v>2675</v>
      </c>
      <c r="S1003" s="63" t="s">
        <v>2668</v>
      </c>
      <c r="T1003" s="66">
        <v>13811011910</v>
      </c>
      <c r="U1003" s="63">
        <v>440152219656</v>
      </c>
      <c r="V1003" s="63"/>
      <c r="W1003" s="63"/>
      <c r="X1003" s="77">
        <v>43202</v>
      </c>
      <c r="Y1003" s="45" t="s">
        <v>27</v>
      </c>
      <c r="Z1003" s="45" t="s">
        <v>27</v>
      </c>
      <c r="AA1003" s="45" t="s">
        <v>27</v>
      </c>
      <c r="AB1003" s="45"/>
      <c r="AC1003" s="169"/>
    </row>
    <row r="1004" spans="1:29" s="68" customFormat="1" ht="15" hidden="1" customHeight="1">
      <c r="A1004" s="62" t="s">
        <v>203</v>
      </c>
      <c r="B1004" s="63" t="s">
        <v>2131</v>
      </c>
      <c r="C1004" s="63"/>
      <c r="D1004" s="105"/>
      <c r="E1004" s="62" t="s">
        <v>17</v>
      </c>
      <c r="F1004" s="102">
        <v>3516407</v>
      </c>
      <c r="G1004" s="69" t="s">
        <v>2141</v>
      </c>
      <c r="H1004" s="62" t="s">
        <v>104</v>
      </c>
      <c r="I1004" s="64" t="s">
        <v>21</v>
      </c>
      <c r="J1004" s="65" t="s">
        <v>209</v>
      </c>
      <c r="K1004" s="65" t="s">
        <v>2666</v>
      </c>
      <c r="L1004" s="51" t="s">
        <v>31</v>
      </c>
      <c r="M1004" s="62" t="s">
        <v>22</v>
      </c>
      <c r="N1004" s="62" t="s">
        <v>22</v>
      </c>
      <c r="O1004" s="62" t="s">
        <v>22</v>
      </c>
      <c r="P1004" s="62"/>
      <c r="Q1004" s="62" t="s">
        <v>2664</v>
      </c>
      <c r="R1004" s="158" t="s">
        <v>2676</v>
      </c>
      <c r="S1004" s="63" t="s">
        <v>2135</v>
      </c>
      <c r="T1004" s="66">
        <v>13811011263</v>
      </c>
      <c r="U1004" s="63">
        <v>440152219656</v>
      </c>
      <c r="V1004" s="63"/>
      <c r="W1004" s="63"/>
      <c r="X1004" s="77">
        <v>43202</v>
      </c>
      <c r="Y1004" s="45" t="s">
        <v>27</v>
      </c>
      <c r="Z1004" s="45" t="s">
        <v>27</v>
      </c>
      <c r="AA1004" s="45" t="s">
        <v>27</v>
      </c>
      <c r="AB1004" s="45"/>
      <c r="AC1004" s="169"/>
    </row>
    <row r="1005" spans="1:29" s="68" customFormat="1" ht="15" hidden="1" customHeight="1">
      <c r="A1005" s="62" t="s">
        <v>203</v>
      </c>
      <c r="B1005" s="63" t="s">
        <v>2130</v>
      </c>
      <c r="C1005" s="63"/>
      <c r="D1005" s="105"/>
      <c r="E1005" s="62" t="s">
        <v>17</v>
      </c>
      <c r="F1005" s="102">
        <v>2511035</v>
      </c>
      <c r="G1005" s="69" t="s">
        <v>2142</v>
      </c>
      <c r="H1005" s="62" t="s">
        <v>104</v>
      </c>
      <c r="I1005" s="64" t="s">
        <v>21</v>
      </c>
      <c r="J1005" s="65" t="s">
        <v>209</v>
      </c>
      <c r="K1005" s="65" t="s">
        <v>2667</v>
      </c>
      <c r="L1005" s="51" t="s">
        <v>31</v>
      </c>
      <c r="M1005" s="62" t="s">
        <v>22</v>
      </c>
      <c r="N1005" s="62" t="s">
        <v>22</v>
      </c>
      <c r="O1005" s="62" t="s">
        <v>22</v>
      </c>
      <c r="P1005" s="62"/>
      <c r="Q1005" s="62" t="s">
        <v>2664</v>
      </c>
      <c r="R1005" s="158" t="s">
        <v>2677</v>
      </c>
      <c r="S1005" s="63" t="s">
        <v>2680</v>
      </c>
      <c r="T1005" s="66">
        <v>13910407834</v>
      </c>
      <c r="U1005" s="63">
        <v>440152219656</v>
      </c>
      <c r="V1005" s="63"/>
      <c r="W1005" s="63"/>
      <c r="X1005" s="77">
        <v>43202</v>
      </c>
      <c r="Y1005" s="45" t="s">
        <v>27</v>
      </c>
      <c r="Z1005" s="45" t="s">
        <v>27</v>
      </c>
      <c r="AA1005" s="45" t="s">
        <v>27</v>
      </c>
      <c r="AB1005" s="45"/>
      <c r="AC1005" s="169"/>
    </row>
    <row r="1006" spans="1:29" s="68" customFormat="1" ht="15" hidden="1" customHeight="1">
      <c r="A1006" s="62" t="s">
        <v>203</v>
      </c>
      <c r="B1006" s="63" t="s">
        <v>2132</v>
      </c>
      <c r="C1006" s="63"/>
      <c r="D1006" s="105"/>
      <c r="E1006" s="62" t="s">
        <v>17</v>
      </c>
      <c r="F1006" s="102">
        <v>2510865</v>
      </c>
      <c r="G1006" s="69" t="s">
        <v>2142</v>
      </c>
      <c r="H1006" s="62" t="s">
        <v>104</v>
      </c>
      <c r="I1006" s="64" t="s">
        <v>21</v>
      </c>
      <c r="J1006" s="65" t="s">
        <v>209</v>
      </c>
      <c r="K1006" s="65" t="s">
        <v>2666</v>
      </c>
      <c r="L1006" s="51" t="s">
        <v>31</v>
      </c>
      <c r="M1006" s="62" t="s">
        <v>22</v>
      </c>
      <c r="N1006" s="62" t="s">
        <v>22</v>
      </c>
      <c r="O1006" s="62" t="s">
        <v>22</v>
      </c>
      <c r="P1006" s="62"/>
      <c r="Q1006" s="62" t="s">
        <v>2664</v>
      </c>
      <c r="R1006" s="158" t="s">
        <v>2669</v>
      </c>
      <c r="S1006" s="63" t="s">
        <v>2681</v>
      </c>
      <c r="T1006" s="66">
        <v>13810990625</v>
      </c>
      <c r="U1006" s="63">
        <v>440152219656</v>
      </c>
      <c r="V1006" s="63"/>
      <c r="W1006" s="63"/>
      <c r="X1006" s="77">
        <v>43202</v>
      </c>
      <c r="Y1006" s="45" t="s">
        <v>27</v>
      </c>
      <c r="Z1006" s="45" t="s">
        <v>27</v>
      </c>
      <c r="AA1006" s="45" t="s">
        <v>27</v>
      </c>
      <c r="AB1006" s="45"/>
      <c r="AC1006" s="169"/>
    </row>
    <row r="1007" spans="1:29" s="68" customFormat="1" ht="15" hidden="1" customHeight="1">
      <c r="A1007" s="62" t="s">
        <v>203</v>
      </c>
      <c r="B1007" s="63" t="s">
        <v>2133</v>
      </c>
      <c r="C1007" s="63"/>
      <c r="D1007" s="105"/>
      <c r="E1007" s="62" t="s">
        <v>17</v>
      </c>
      <c r="F1007" s="72">
        <v>3316810</v>
      </c>
      <c r="G1007" s="69" t="s">
        <v>2143</v>
      </c>
      <c r="H1007" s="62" t="s">
        <v>104</v>
      </c>
      <c r="I1007" s="64" t="s">
        <v>21</v>
      </c>
      <c r="J1007" s="65" t="s">
        <v>209</v>
      </c>
      <c r="K1007" s="65" t="s">
        <v>2666</v>
      </c>
      <c r="L1007" s="51" t="s">
        <v>31</v>
      </c>
      <c r="M1007" s="62" t="s">
        <v>22</v>
      </c>
      <c r="N1007" s="62" t="s">
        <v>22</v>
      </c>
      <c r="O1007" s="62" t="s">
        <v>22</v>
      </c>
      <c r="P1007" s="62"/>
      <c r="Q1007" s="62" t="s">
        <v>2664</v>
      </c>
      <c r="R1007" s="158" t="s">
        <v>2670</v>
      </c>
      <c r="S1007" s="63" t="s">
        <v>2136</v>
      </c>
      <c r="T1007" s="66">
        <v>13911453546</v>
      </c>
      <c r="U1007" s="63">
        <v>440152219656</v>
      </c>
      <c r="V1007" s="63"/>
      <c r="W1007" s="63"/>
      <c r="X1007" s="77">
        <v>43202</v>
      </c>
      <c r="Y1007" s="45" t="s">
        <v>27</v>
      </c>
      <c r="Z1007" s="45" t="s">
        <v>27</v>
      </c>
      <c r="AA1007" s="45" t="s">
        <v>27</v>
      </c>
      <c r="AB1007" s="45"/>
      <c r="AC1007" s="169"/>
    </row>
    <row r="1008" spans="1:29" s="68" customFormat="1" ht="15" hidden="1" customHeight="1">
      <c r="A1008" s="62" t="s">
        <v>203</v>
      </c>
      <c r="B1008" s="63" t="s">
        <v>2134</v>
      </c>
      <c r="C1008" s="63"/>
      <c r="D1008" s="105"/>
      <c r="E1008" s="62" t="s">
        <v>17</v>
      </c>
      <c r="F1008" s="72">
        <v>3299842</v>
      </c>
      <c r="G1008" s="69" t="s">
        <v>2144</v>
      </c>
      <c r="H1008" s="62" t="s">
        <v>104</v>
      </c>
      <c r="I1008" s="64" t="s">
        <v>21</v>
      </c>
      <c r="J1008" s="65" t="s">
        <v>209</v>
      </c>
      <c r="K1008" s="65" t="s">
        <v>2667</v>
      </c>
      <c r="L1008" s="51" t="s">
        <v>31</v>
      </c>
      <c r="M1008" s="62" t="s">
        <v>22</v>
      </c>
      <c r="N1008" s="62" t="s">
        <v>22</v>
      </c>
      <c r="O1008" s="62" t="s">
        <v>22</v>
      </c>
      <c r="P1008" s="62"/>
      <c r="Q1008" s="62" t="s">
        <v>2664</v>
      </c>
      <c r="R1008" s="158" t="s">
        <v>2671</v>
      </c>
      <c r="S1008" s="63" t="s">
        <v>2682</v>
      </c>
      <c r="T1008" s="66">
        <v>13810503761</v>
      </c>
      <c r="U1008" s="63">
        <v>440152219656</v>
      </c>
      <c r="V1008" s="63"/>
      <c r="W1008" s="63"/>
      <c r="X1008" s="77">
        <v>43202</v>
      </c>
      <c r="Y1008" s="45" t="s">
        <v>27</v>
      </c>
      <c r="Z1008" s="45" t="s">
        <v>27</v>
      </c>
      <c r="AA1008" s="45" t="s">
        <v>27</v>
      </c>
      <c r="AB1008" s="45"/>
      <c r="AC1008" s="169"/>
    </row>
    <row r="1009" spans="1:30" s="68" customFormat="1" ht="15" hidden="1" customHeight="1">
      <c r="A1009" s="62" t="s">
        <v>203</v>
      </c>
      <c r="B1009" s="63" t="s">
        <v>2137</v>
      </c>
      <c r="C1009" s="63"/>
      <c r="D1009" s="105"/>
      <c r="E1009" s="105" t="s">
        <v>17</v>
      </c>
      <c r="F1009" s="72">
        <v>2511022</v>
      </c>
      <c r="G1009" s="63" t="s">
        <v>2145</v>
      </c>
      <c r="H1009" s="62" t="s">
        <v>104</v>
      </c>
      <c r="I1009" s="64" t="s">
        <v>21</v>
      </c>
      <c r="J1009" s="65" t="s">
        <v>209</v>
      </c>
      <c r="K1009" s="65" t="s">
        <v>2665</v>
      </c>
      <c r="L1009" s="51" t="s">
        <v>31</v>
      </c>
      <c r="M1009" s="62" t="s">
        <v>22</v>
      </c>
      <c r="N1009" s="62" t="s">
        <v>22</v>
      </c>
      <c r="O1009" s="168" t="s">
        <v>2227</v>
      </c>
      <c r="P1009" s="62"/>
      <c r="Q1009" s="62" t="s">
        <v>2664</v>
      </c>
      <c r="R1009" s="158" t="s">
        <v>2672</v>
      </c>
      <c r="S1009" s="63" t="s">
        <v>2683</v>
      </c>
      <c r="T1009" s="66">
        <v>13800001338</v>
      </c>
      <c r="U1009" s="63">
        <v>440152219656</v>
      </c>
      <c r="V1009" s="63"/>
      <c r="W1009" s="63"/>
      <c r="X1009" s="77">
        <v>43202</v>
      </c>
      <c r="Y1009" s="45" t="s">
        <v>27</v>
      </c>
      <c r="Z1009" s="45" t="s">
        <v>27</v>
      </c>
      <c r="AA1009" s="45" t="s">
        <v>27</v>
      </c>
      <c r="AB1009" s="45"/>
      <c r="AC1009" s="169"/>
    </row>
    <row r="1010" spans="1:30" ht="15" hidden="1" customHeight="1">
      <c r="A1010" s="128" t="s">
        <v>336</v>
      </c>
      <c r="B1010" s="160" t="s">
        <v>2686</v>
      </c>
      <c r="C1010" s="46" t="s">
        <v>27</v>
      </c>
      <c r="D1010" s="67" t="s">
        <v>25</v>
      </c>
      <c r="E1010" s="130" t="s">
        <v>17</v>
      </c>
      <c r="F1010" s="159" t="s">
        <v>2692</v>
      </c>
      <c r="G1010" s="131"/>
      <c r="H1010" s="131" t="s">
        <v>20</v>
      </c>
      <c r="I1010" s="132" t="s">
        <v>21</v>
      </c>
      <c r="J1010" s="44" t="s">
        <v>3675</v>
      </c>
      <c r="K1010" s="136" t="s">
        <v>2659</v>
      </c>
      <c r="L1010" s="51" t="s">
        <v>211</v>
      </c>
      <c r="M1010" s="128" t="s">
        <v>22</v>
      </c>
      <c r="N1010" s="130" t="s">
        <v>27</v>
      </c>
      <c r="O1010" s="62" t="s">
        <v>3639</v>
      </c>
      <c r="P1010" s="130" t="s">
        <v>3825</v>
      </c>
      <c r="Q1010" s="130">
        <v>40182</v>
      </c>
      <c r="R1010" s="147"/>
      <c r="S1010" s="94" t="s">
        <v>1860</v>
      </c>
      <c r="T1010" s="134">
        <v>971727403</v>
      </c>
      <c r="U1010" s="135">
        <v>440152249352</v>
      </c>
      <c r="V1010" s="134"/>
      <c r="W1010" s="134"/>
      <c r="X1010" s="137">
        <v>43201</v>
      </c>
      <c r="Y1010" s="131" t="s">
        <v>27</v>
      </c>
      <c r="Z1010" s="131" t="s">
        <v>27</v>
      </c>
      <c r="AA1010" s="131" t="s">
        <v>27</v>
      </c>
      <c r="AB1010" s="51"/>
      <c r="AC1010" s="173"/>
    </row>
    <row r="1011" spans="1:30" ht="15" hidden="1" customHeight="1">
      <c r="A1011" s="128" t="s">
        <v>336</v>
      </c>
      <c r="B1011" s="160" t="s">
        <v>2687</v>
      </c>
      <c r="C1011" s="46" t="s">
        <v>27</v>
      </c>
      <c r="D1011" s="67" t="s">
        <v>25</v>
      </c>
      <c r="E1011" s="130" t="s">
        <v>17</v>
      </c>
      <c r="F1011" s="159" t="s">
        <v>2693</v>
      </c>
      <c r="G1011" s="131"/>
      <c r="H1011" s="131" t="s">
        <v>20</v>
      </c>
      <c r="I1011" s="132" t="s">
        <v>21</v>
      </c>
      <c r="J1011" s="44" t="s">
        <v>3675</v>
      </c>
      <c r="K1011" s="136" t="s">
        <v>2659</v>
      </c>
      <c r="L1011" s="51" t="s">
        <v>211</v>
      </c>
      <c r="M1011" s="128" t="s">
        <v>22</v>
      </c>
      <c r="N1011" s="130" t="s">
        <v>27</v>
      </c>
      <c r="O1011" s="62" t="s">
        <v>3639</v>
      </c>
      <c r="P1011" s="130" t="s">
        <v>3825</v>
      </c>
      <c r="Q1011" s="130">
        <v>40184</v>
      </c>
      <c r="R1011" s="147"/>
      <c r="S1011" s="94" t="s">
        <v>1860</v>
      </c>
      <c r="T1011" s="134">
        <v>971727403</v>
      </c>
      <c r="U1011" s="135">
        <v>440152249352</v>
      </c>
      <c r="V1011" s="134"/>
      <c r="W1011" s="134"/>
      <c r="X1011" s="137">
        <v>43201</v>
      </c>
      <c r="Y1011" s="131" t="s">
        <v>27</v>
      </c>
      <c r="Z1011" s="131" t="s">
        <v>27</v>
      </c>
      <c r="AA1011" s="131" t="s">
        <v>27</v>
      </c>
      <c r="AB1011" s="51"/>
      <c r="AC1011" s="173"/>
    </row>
    <row r="1012" spans="1:30" ht="15" hidden="1" customHeight="1">
      <c r="A1012" s="128" t="s">
        <v>336</v>
      </c>
      <c r="B1012" s="160" t="s">
        <v>2688</v>
      </c>
      <c r="C1012" s="46" t="s">
        <v>27</v>
      </c>
      <c r="D1012" s="67" t="s">
        <v>25</v>
      </c>
      <c r="E1012" s="130" t="s">
        <v>17</v>
      </c>
      <c r="F1012" s="159" t="s">
        <v>2694</v>
      </c>
      <c r="G1012" s="131"/>
      <c r="H1012" s="131" t="s">
        <v>20</v>
      </c>
      <c r="I1012" s="132" t="s">
        <v>21</v>
      </c>
      <c r="J1012" s="44" t="s">
        <v>3674</v>
      </c>
      <c r="K1012" s="136" t="s">
        <v>2659</v>
      </c>
      <c r="L1012" s="51" t="s">
        <v>211</v>
      </c>
      <c r="M1012" s="128" t="s">
        <v>22</v>
      </c>
      <c r="N1012" s="130" t="s">
        <v>27</v>
      </c>
      <c r="O1012" s="62" t="s">
        <v>3639</v>
      </c>
      <c r="P1012" s="130" t="s">
        <v>3825</v>
      </c>
      <c r="Q1012" s="130">
        <v>40185</v>
      </c>
      <c r="R1012" s="147"/>
      <c r="S1012" s="94" t="s">
        <v>1860</v>
      </c>
      <c r="T1012" s="134">
        <v>971727403</v>
      </c>
      <c r="U1012" s="135">
        <v>440152249352</v>
      </c>
      <c r="V1012" s="134"/>
      <c r="W1012" s="134"/>
      <c r="X1012" s="137">
        <v>43201</v>
      </c>
      <c r="Y1012" s="131" t="s">
        <v>27</v>
      </c>
      <c r="Z1012" s="131" t="s">
        <v>27</v>
      </c>
      <c r="AA1012" s="131" t="s">
        <v>27</v>
      </c>
      <c r="AB1012" s="51"/>
      <c r="AC1012" s="176"/>
    </row>
    <row r="1013" spans="1:30" ht="15" hidden="1" customHeight="1">
      <c r="A1013" s="128" t="s">
        <v>336</v>
      </c>
      <c r="B1013" s="160" t="s">
        <v>2689</v>
      </c>
      <c r="C1013" s="46" t="s">
        <v>27</v>
      </c>
      <c r="D1013" s="67" t="s">
        <v>25</v>
      </c>
      <c r="E1013" s="130" t="s">
        <v>17</v>
      </c>
      <c r="F1013" s="159" t="s">
        <v>965</v>
      </c>
      <c r="G1013" s="131"/>
      <c r="H1013" s="131" t="s">
        <v>20</v>
      </c>
      <c r="I1013" s="132" t="s">
        <v>21</v>
      </c>
      <c r="J1013" s="44" t="s">
        <v>3674</v>
      </c>
      <c r="K1013" s="136" t="s">
        <v>2659</v>
      </c>
      <c r="L1013" s="51" t="s">
        <v>211</v>
      </c>
      <c r="M1013" s="128" t="s">
        <v>22</v>
      </c>
      <c r="N1013" s="130" t="s">
        <v>27</v>
      </c>
      <c r="O1013" s="62" t="s">
        <v>3639</v>
      </c>
      <c r="P1013" s="130" t="s">
        <v>3825</v>
      </c>
      <c r="Q1013" s="130">
        <v>40181</v>
      </c>
      <c r="R1013" s="147"/>
      <c r="S1013" s="94" t="s">
        <v>1860</v>
      </c>
      <c r="T1013" s="134">
        <v>971727403</v>
      </c>
      <c r="U1013" s="135">
        <v>440152249352</v>
      </c>
      <c r="V1013" s="134"/>
      <c r="W1013" s="134"/>
      <c r="X1013" s="137">
        <v>43201</v>
      </c>
      <c r="Y1013" s="131" t="s">
        <v>27</v>
      </c>
      <c r="Z1013" s="131" t="s">
        <v>27</v>
      </c>
      <c r="AA1013" s="131" t="s">
        <v>27</v>
      </c>
      <c r="AB1013" s="51"/>
      <c r="AC1013" s="176"/>
    </row>
    <row r="1014" spans="1:30" ht="15" hidden="1" customHeight="1">
      <c r="A1014" s="128" t="s">
        <v>336</v>
      </c>
      <c r="B1014" s="160" t="s">
        <v>2690</v>
      </c>
      <c r="C1014" s="46" t="s">
        <v>27</v>
      </c>
      <c r="D1014" s="67" t="s">
        <v>2761</v>
      </c>
      <c r="E1014" s="130" t="s">
        <v>17</v>
      </c>
      <c r="F1014" s="159" t="s">
        <v>2691</v>
      </c>
      <c r="G1014" s="131"/>
      <c r="H1014" s="131" t="s">
        <v>20</v>
      </c>
      <c r="I1014" s="132" t="s">
        <v>21</v>
      </c>
      <c r="J1014" s="44" t="s">
        <v>3675</v>
      </c>
      <c r="K1014" s="136" t="s">
        <v>2659</v>
      </c>
      <c r="L1014" s="51" t="s">
        <v>211</v>
      </c>
      <c r="M1014" s="128" t="s">
        <v>22</v>
      </c>
      <c r="N1014" s="130" t="s">
        <v>27</v>
      </c>
      <c r="O1014" s="62" t="s">
        <v>3639</v>
      </c>
      <c r="P1014" s="130" t="s">
        <v>3825</v>
      </c>
      <c r="Q1014" s="130">
        <v>40186</v>
      </c>
      <c r="R1014" s="147"/>
      <c r="S1014" s="94" t="s">
        <v>1860</v>
      </c>
      <c r="T1014" s="134">
        <v>971727403</v>
      </c>
      <c r="U1014" s="135">
        <v>440152249352</v>
      </c>
      <c r="V1014" s="134"/>
      <c r="W1014" s="134"/>
      <c r="X1014" s="137">
        <v>43201</v>
      </c>
      <c r="Y1014" s="131" t="s">
        <v>27</v>
      </c>
      <c r="Z1014" s="131" t="s">
        <v>27</v>
      </c>
      <c r="AA1014" s="131" t="s">
        <v>27</v>
      </c>
      <c r="AB1014" s="51"/>
      <c r="AC1014" s="176"/>
    </row>
    <row r="1015" spans="1:30" ht="12.75" customHeight="1">
      <c r="A1015" s="51" t="s">
        <v>0</v>
      </c>
      <c r="B1015" s="51" t="s">
        <v>2697</v>
      </c>
      <c r="C1015" s="51" t="s">
        <v>27</v>
      </c>
      <c r="D1015" s="53" t="s">
        <v>2758</v>
      </c>
      <c r="E1015" s="51" t="s">
        <v>17</v>
      </c>
      <c r="F1015" s="53" t="s">
        <v>2704</v>
      </c>
      <c r="G1015" s="51"/>
      <c r="H1015" s="51" t="s">
        <v>3084</v>
      </c>
      <c r="I1015" s="51" t="s">
        <v>21</v>
      </c>
      <c r="J1015" s="51"/>
      <c r="K1015" s="53"/>
      <c r="L1015" s="51" t="s">
        <v>4464</v>
      </c>
      <c r="M1015" s="51" t="s">
        <v>22</v>
      </c>
      <c r="N1015" s="62"/>
      <c r="O1015" s="51"/>
      <c r="P1015" s="51"/>
      <c r="Q1015" s="51">
        <v>40354</v>
      </c>
      <c r="R1015" s="51"/>
      <c r="S1015" s="51"/>
      <c r="T1015" s="138"/>
      <c r="U1015" s="138"/>
      <c r="V1015" s="138"/>
      <c r="W1015" s="138"/>
      <c r="X1015" s="78">
        <v>43207</v>
      </c>
      <c r="Y1015" s="45" t="s">
        <v>27</v>
      </c>
      <c r="Z1015" s="45" t="s">
        <v>27</v>
      </c>
      <c r="AA1015" s="51" t="s">
        <v>22</v>
      </c>
      <c r="AB1015" s="51" t="s">
        <v>2475</v>
      </c>
      <c r="AC1015" s="488" t="s">
        <v>6495</v>
      </c>
      <c r="AD1015" s="325"/>
    </row>
    <row r="1016" spans="1:30" ht="12" hidden="1" customHeight="1">
      <c r="A1016" s="51" t="s">
        <v>0</v>
      </c>
      <c r="B1016" s="51" t="s">
        <v>2698</v>
      </c>
      <c r="C1016" s="51" t="s">
        <v>22</v>
      </c>
      <c r="D1016" s="53"/>
      <c r="E1016" s="51" t="s">
        <v>17</v>
      </c>
      <c r="F1016" s="53" t="s">
        <v>2705</v>
      </c>
      <c r="G1016" s="51"/>
      <c r="H1016" s="51" t="s">
        <v>20</v>
      </c>
      <c r="I1016" s="51" t="s">
        <v>60</v>
      </c>
      <c r="J1016" s="43" t="s">
        <v>3680</v>
      </c>
      <c r="K1016" s="65" t="s">
        <v>3663</v>
      </c>
      <c r="L1016" s="51" t="s">
        <v>211</v>
      </c>
      <c r="M1016" s="51" t="s">
        <v>22</v>
      </c>
      <c r="N1016" s="62" t="s">
        <v>22</v>
      </c>
      <c r="O1016" s="51"/>
      <c r="P1016" s="51"/>
      <c r="Q1016" s="51">
        <v>40355</v>
      </c>
      <c r="R1016" s="51"/>
      <c r="S1016" s="51"/>
      <c r="T1016" s="138"/>
      <c r="U1016" s="138"/>
      <c r="V1016" s="138"/>
      <c r="W1016" s="138"/>
      <c r="X1016" s="78">
        <v>43207</v>
      </c>
      <c r="Y1016" s="45" t="s">
        <v>27</v>
      </c>
      <c r="Z1016" s="45" t="s">
        <v>27</v>
      </c>
      <c r="AA1016" s="51" t="s">
        <v>22</v>
      </c>
      <c r="AB1016" s="51"/>
      <c r="AC1016" s="169" t="s">
        <v>2756</v>
      </c>
    </row>
    <row r="1017" spans="1:30" ht="16.5" hidden="1" customHeight="1">
      <c r="A1017" s="51" t="s">
        <v>0</v>
      </c>
      <c r="B1017" s="51" t="s">
        <v>2699</v>
      </c>
      <c r="C1017" s="51" t="s">
        <v>22</v>
      </c>
      <c r="D1017" s="53"/>
      <c r="E1017" s="51" t="s">
        <v>17</v>
      </c>
      <c r="F1017" s="53" t="s">
        <v>2706</v>
      </c>
      <c r="G1017" s="51"/>
      <c r="H1017" s="51" t="s">
        <v>20</v>
      </c>
      <c r="I1017" s="51" t="s">
        <v>60</v>
      </c>
      <c r="J1017" s="43" t="s">
        <v>3680</v>
      </c>
      <c r="K1017" s="65" t="s">
        <v>3663</v>
      </c>
      <c r="L1017" s="51" t="s">
        <v>211</v>
      </c>
      <c r="M1017" s="51" t="s">
        <v>22</v>
      </c>
      <c r="N1017" s="62" t="s">
        <v>22</v>
      </c>
      <c r="O1017" s="51"/>
      <c r="P1017" s="51"/>
      <c r="Q1017" s="51">
        <v>40356</v>
      </c>
      <c r="R1017" s="51"/>
      <c r="S1017" s="51"/>
      <c r="T1017" s="138"/>
      <c r="U1017" s="138"/>
      <c r="V1017" s="138"/>
      <c r="W1017" s="138"/>
      <c r="X1017" s="78">
        <v>43207</v>
      </c>
      <c r="Y1017" s="45" t="s">
        <v>27</v>
      </c>
      <c r="Z1017" s="45" t="s">
        <v>27</v>
      </c>
      <c r="AA1017" s="51" t="s">
        <v>22</v>
      </c>
      <c r="AB1017" s="51"/>
      <c r="AC1017" s="169" t="s">
        <v>2756</v>
      </c>
    </row>
    <row r="1018" spans="1:30" ht="13.5" customHeight="1">
      <c r="A1018" s="51" t="s">
        <v>0</v>
      </c>
      <c r="B1018" s="51" t="s">
        <v>2700</v>
      </c>
      <c r="C1018" s="51" t="s">
        <v>27</v>
      </c>
      <c r="D1018" s="53" t="s">
        <v>2761</v>
      </c>
      <c r="E1018" s="51" t="s">
        <v>17</v>
      </c>
      <c r="F1018" s="53" t="s">
        <v>2707</v>
      </c>
      <c r="G1018" s="51"/>
      <c r="H1018" s="51" t="s">
        <v>3084</v>
      </c>
      <c r="I1018" s="51" t="s">
        <v>21</v>
      </c>
      <c r="J1018" s="51" t="s">
        <v>37</v>
      </c>
      <c r="K1018" s="53" t="s">
        <v>337</v>
      </c>
      <c r="L1018" s="51" t="s">
        <v>4464</v>
      </c>
      <c r="M1018" s="51" t="s">
        <v>22</v>
      </c>
      <c r="N1018" s="62"/>
      <c r="O1018" s="51"/>
      <c r="P1018" s="51"/>
      <c r="Q1018" s="51">
        <v>40357</v>
      </c>
      <c r="R1018" s="51"/>
      <c r="S1018" s="51"/>
      <c r="T1018" s="138"/>
      <c r="U1018" s="138"/>
      <c r="V1018" s="138"/>
      <c r="W1018" s="138"/>
      <c r="X1018" s="78">
        <v>43207</v>
      </c>
      <c r="Y1018" s="45" t="s">
        <v>27</v>
      </c>
      <c r="Z1018" s="45" t="s">
        <v>27</v>
      </c>
      <c r="AA1018" s="51" t="s">
        <v>27</v>
      </c>
      <c r="AB1018" s="51"/>
      <c r="AD1018" s="325"/>
    </row>
    <row r="1019" spans="1:30" ht="15" customHeight="1">
      <c r="A1019" s="51" t="s">
        <v>0</v>
      </c>
      <c r="B1019" s="51" t="s">
        <v>2701</v>
      </c>
      <c r="C1019" s="51" t="s">
        <v>27</v>
      </c>
      <c r="D1019" s="53" t="s">
        <v>2758</v>
      </c>
      <c r="E1019" s="51" t="s">
        <v>17</v>
      </c>
      <c r="F1019" s="53" t="s">
        <v>2708</v>
      </c>
      <c r="G1019" s="51"/>
      <c r="H1019" s="51" t="s">
        <v>3084</v>
      </c>
      <c r="I1019" s="51" t="s">
        <v>21</v>
      </c>
      <c r="J1019" s="51" t="s">
        <v>37</v>
      </c>
      <c r="K1019" s="53" t="s">
        <v>337</v>
      </c>
      <c r="L1019" s="51" t="s">
        <v>4464</v>
      </c>
      <c r="M1019" s="51" t="s">
        <v>22</v>
      </c>
      <c r="N1019" s="62"/>
      <c r="O1019" s="51"/>
      <c r="P1019" s="51"/>
      <c r="Q1019" s="51">
        <v>40358</v>
      </c>
      <c r="R1019" s="51"/>
      <c r="S1019" s="51"/>
      <c r="T1019" s="138"/>
      <c r="U1019" s="138"/>
      <c r="V1019" s="138"/>
      <c r="W1019" s="138"/>
      <c r="X1019" s="78">
        <v>43207</v>
      </c>
      <c r="Y1019" s="45" t="s">
        <v>27</v>
      </c>
      <c r="Z1019" s="45" t="s">
        <v>27</v>
      </c>
      <c r="AA1019" s="51" t="s">
        <v>27</v>
      </c>
      <c r="AB1019" s="51"/>
      <c r="AC1019" s="169"/>
      <c r="AD1019" s="325"/>
    </row>
    <row r="1020" spans="1:30" ht="15" hidden="1" customHeight="1">
      <c r="A1020" s="51" t="s">
        <v>0</v>
      </c>
      <c r="B1020" s="51" t="s">
        <v>2702</v>
      </c>
      <c r="C1020" s="51" t="s">
        <v>22</v>
      </c>
      <c r="D1020" s="53"/>
      <c r="E1020" s="51" t="s">
        <v>17</v>
      </c>
      <c r="F1020" s="53" t="s">
        <v>2709</v>
      </c>
      <c r="G1020" s="51"/>
      <c r="H1020" s="51" t="s">
        <v>20</v>
      </c>
      <c r="I1020" s="51" t="s">
        <v>60</v>
      </c>
      <c r="J1020" s="51"/>
      <c r="K1020" s="53"/>
      <c r="L1020" s="51" t="s">
        <v>211</v>
      </c>
      <c r="M1020" s="51" t="s">
        <v>22</v>
      </c>
      <c r="N1020" s="62" t="s">
        <v>22</v>
      </c>
      <c r="O1020" s="51"/>
      <c r="P1020" s="51"/>
      <c r="Q1020" s="51">
        <v>40359</v>
      </c>
      <c r="R1020" s="51"/>
      <c r="S1020" s="51"/>
      <c r="T1020" s="138"/>
      <c r="U1020" s="138"/>
      <c r="V1020" s="138"/>
      <c r="W1020" s="138"/>
      <c r="X1020" s="78">
        <v>43207</v>
      </c>
      <c r="Y1020" s="45" t="s">
        <v>27</v>
      </c>
      <c r="Z1020" s="45" t="s">
        <v>349</v>
      </c>
      <c r="AA1020" s="51"/>
      <c r="AB1020" s="51"/>
      <c r="AC1020" s="169" t="s">
        <v>2756</v>
      </c>
    </row>
    <row r="1021" spans="1:30" ht="15" customHeight="1">
      <c r="A1021" s="51" t="s">
        <v>0</v>
      </c>
      <c r="B1021" s="51" t="s">
        <v>2703</v>
      </c>
      <c r="C1021" s="51" t="s">
        <v>22</v>
      </c>
      <c r="D1021" s="53"/>
      <c r="E1021" s="51" t="s">
        <v>17</v>
      </c>
      <c r="F1021" s="53" t="s">
        <v>2710</v>
      </c>
      <c r="G1021" s="51"/>
      <c r="H1021" s="51" t="s">
        <v>3084</v>
      </c>
      <c r="I1021" s="51" t="s">
        <v>21</v>
      </c>
      <c r="J1021" s="51" t="s">
        <v>37</v>
      </c>
      <c r="K1021" s="53" t="s">
        <v>337</v>
      </c>
      <c r="L1021" s="51" t="s">
        <v>5368</v>
      </c>
      <c r="M1021" s="51" t="s">
        <v>22</v>
      </c>
      <c r="N1021" s="62" t="s">
        <v>22</v>
      </c>
      <c r="O1021" s="51"/>
      <c r="P1021" s="51"/>
      <c r="Q1021" s="51">
        <v>40360</v>
      </c>
      <c r="R1021" s="51"/>
      <c r="S1021" s="51"/>
      <c r="T1021" s="138"/>
      <c r="U1021" s="138"/>
      <c r="V1021" s="138"/>
      <c r="W1021" s="138"/>
      <c r="X1021" s="78">
        <v>43207</v>
      </c>
      <c r="Y1021" s="45" t="s">
        <v>27</v>
      </c>
      <c r="Z1021" s="45" t="s">
        <v>27</v>
      </c>
      <c r="AA1021" s="51" t="s">
        <v>27</v>
      </c>
      <c r="AB1021" s="51"/>
      <c r="AC1021" s="51" t="s">
        <v>6862</v>
      </c>
    </row>
    <row r="1022" spans="1:30" ht="15" hidden="1" customHeight="1">
      <c r="A1022" s="51" t="s">
        <v>0</v>
      </c>
      <c r="B1022" s="51"/>
      <c r="C1022" s="51" t="s">
        <v>22</v>
      </c>
      <c r="D1022" s="53"/>
      <c r="E1022" s="51" t="s">
        <v>17</v>
      </c>
      <c r="F1022" s="53" t="s">
        <v>2711</v>
      </c>
      <c r="G1022" s="51"/>
      <c r="H1022" s="51" t="s">
        <v>20</v>
      </c>
      <c r="I1022" s="51" t="s">
        <v>60</v>
      </c>
      <c r="J1022" s="51"/>
      <c r="K1022" s="53"/>
      <c r="L1022" s="51" t="s">
        <v>211</v>
      </c>
      <c r="M1022" s="51" t="s">
        <v>22</v>
      </c>
      <c r="N1022" s="62" t="s">
        <v>22</v>
      </c>
      <c r="O1022" s="51"/>
      <c r="P1022" s="51"/>
      <c r="Q1022" s="51">
        <v>40361</v>
      </c>
      <c r="R1022" s="51"/>
      <c r="S1022" s="51"/>
      <c r="T1022" s="138"/>
      <c r="U1022" s="138"/>
      <c r="V1022" s="138"/>
      <c r="W1022" s="138"/>
      <c r="X1022" s="78">
        <v>43207</v>
      </c>
      <c r="Y1022" s="45" t="s">
        <v>27</v>
      </c>
      <c r="Z1022" s="45" t="s">
        <v>349</v>
      </c>
      <c r="AA1022" s="51"/>
      <c r="AB1022" s="51"/>
      <c r="AC1022" s="169" t="s">
        <v>2756</v>
      </c>
    </row>
    <row r="1023" spans="1:30" ht="15" hidden="1" customHeight="1">
      <c r="A1023" s="51" t="s">
        <v>364</v>
      </c>
      <c r="B1023" s="51" t="s">
        <v>2973</v>
      </c>
      <c r="C1023" s="51" t="s">
        <v>22</v>
      </c>
      <c r="D1023" s="53" t="s">
        <v>2894</v>
      </c>
      <c r="E1023" s="51" t="s">
        <v>17</v>
      </c>
      <c r="F1023" s="53" t="s">
        <v>2979</v>
      </c>
      <c r="G1023" s="51"/>
      <c r="H1023" s="51" t="s">
        <v>20</v>
      </c>
      <c r="I1023" s="51"/>
      <c r="J1023" s="51"/>
      <c r="K1023" s="53"/>
      <c r="L1023" s="51"/>
      <c r="M1023" s="51"/>
      <c r="N1023" s="51"/>
      <c r="O1023" s="51"/>
      <c r="P1023" s="53"/>
      <c r="Q1023" s="53"/>
      <c r="R1023" s="51"/>
      <c r="S1023" s="51"/>
      <c r="T1023" s="138"/>
      <c r="U1023" s="138"/>
      <c r="V1023" s="138"/>
      <c r="W1023" s="138"/>
      <c r="X1023" s="149"/>
      <c r="Y1023" s="45" t="s">
        <v>27</v>
      </c>
      <c r="Z1023" s="45" t="s">
        <v>27</v>
      </c>
      <c r="AA1023" s="51" t="s">
        <v>22</v>
      </c>
      <c r="AB1023" s="51"/>
      <c r="AC1023" s="183" t="s">
        <v>2985</v>
      </c>
    </row>
    <row r="1024" spans="1:30" ht="15" hidden="1" customHeight="1">
      <c r="A1024" s="51" t="s">
        <v>364</v>
      </c>
      <c r="B1024" s="51" t="s">
        <v>2974</v>
      </c>
      <c r="C1024" s="51" t="s">
        <v>22</v>
      </c>
      <c r="D1024" s="53" t="s">
        <v>2894</v>
      </c>
      <c r="E1024" s="51" t="s">
        <v>17</v>
      </c>
      <c r="F1024" s="53" t="s">
        <v>2981</v>
      </c>
      <c r="G1024" s="51"/>
      <c r="H1024" s="51" t="s">
        <v>20</v>
      </c>
      <c r="I1024" s="51"/>
      <c r="J1024" s="51"/>
      <c r="K1024" s="53"/>
      <c r="L1024" s="51" t="s">
        <v>211</v>
      </c>
      <c r="M1024" s="51"/>
      <c r="N1024" s="51"/>
      <c r="O1024" s="51"/>
      <c r="P1024" s="53"/>
      <c r="Q1024" s="53"/>
      <c r="R1024" s="51"/>
      <c r="S1024" s="51"/>
      <c r="T1024" s="138"/>
      <c r="U1024" s="138"/>
      <c r="V1024" s="138"/>
      <c r="W1024" s="138"/>
      <c r="X1024" s="77">
        <v>43136</v>
      </c>
      <c r="Y1024" s="45" t="s">
        <v>27</v>
      </c>
      <c r="Z1024" s="45" t="s">
        <v>27</v>
      </c>
      <c r="AA1024" s="51" t="s">
        <v>27</v>
      </c>
      <c r="AB1024" s="51" t="s">
        <v>3189</v>
      </c>
      <c r="AC1024" s="183" t="s">
        <v>2985</v>
      </c>
    </row>
    <row r="1025" spans="1:30" ht="15" hidden="1" customHeight="1">
      <c r="A1025" s="51" t="s">
        <v>364</v>
      </c>
      <c r="B1025" s="51" t="s">
        <v>2975</v>
      </c>
      <c r="C1025" s="51" t="s">
        <v>22</v>
      </c>
      <c r="D1025" s="53" t="s">
        <v>2894</v>
      </c>
      <c r="E1025" s="51" t="s">
        <v>17</v>
      </c>
      <c r="F1025" s="53" t="s">
        <v>2982</v>
      </c>
      <c r="G1025" s="51"/>
      <c r="H1025" s="51" t="s">
        <v>20</v>
      </c>
      <c r="I1025" s="51"/>
      <c r="J1025" s="51"/>
      <c r="K1025" s="53"/>
      <c r="L1025" s="51"/>
      <c r="M1025" s="51"/>
      <c r="N1025" s="51"/>
      <c r="O1025" s="51"/>
      <c r="P1025" s="53"/>
      <c r="Q1025" s="53"/>
      <c r="R1025" s="51"/>
      <c r="S1025" s="51"/>
      <c r="T1025" s="138"/>
      <c r="U1025" s="138"/>
      <c r="V1025" s="138"/>
      <c r="W1025" s="138"/>
      <c r="X1025" s="149"/>
      <c r="Y1025" s="45" t="s">
        <v>27</v>
      </c>
      <c r="Z1025" s="45" t="s">
        <v>27</v>
      </c>
      <c r="AA1025" s="51" t="s">
        <v>22</v>
      </c>
      <c r="AB1025" s="51"/>
      <c r="AC1025" s="183" t="s">
        <v>2985</v>
      </c>
    </row>
    <row r="1026" spans="1:30" ht="15" hidden="1" customHeight="1">
      <c r="A1026" s="51" t="s">
        <v>364</v>
      </c>
      <c r="B1026" s="51" t="s">
        <v>2976</v>
      </c>
      <c r="C1026" s="51" t="s">
        <v>22</v>
      </c>
      <c r="D1026" s="53" t="s">
        <v>2894</v>
      </c>
      <c r="E1026" s="51" t="s">
        <v>17</v>
      </c>
      <c r="F1026" s="53" t="s">
        <v>2983</v>
      </c>
      <c r="G1026" s="51"/>
      <c r="H1026" s="51" t="s">
        <v>20</v>
      </c>
      <c r="I1026" s="51"/>
      <c r="J1026" s="51"/>
      <c r="K1026" s="53"/>
      <c r="L1026" s="51" t="s">
        <v>211</v>
      </c>
      <c r="M1026" s="51"/>
      <c r="N1026" s="51"/>
      <c r="O1026" s="51"/>
      <c r="P1026" s="53"/>
      <c r="Q1026" s="53"/>
      <c r="R1026" s="51"/>
      <c r="S1026" s="51"/>
      <c r="T1026" s="138"/>
      <c r="U1026" s="138"/>
      <c r="V1026" s="138"/>
      <c r="W1026" s="138"/>
      <c r="X1026" s="77">
        <v>43136</v>
      </c>
      <c r="Y1026" s="45" t="s">
        <v>27</v>
      </c>
      <c r="Z1026" s="45" t="s">
        <v>27</v>
      </c>
      <c r="AA1026" s="51" t="s">
        <v>27</v>
      </c>
      <c r="AB1026" s="51" t="s">
        <v>3189</v>
      </c>
      <c r="AC1026" s="183" t="s">
        <v>2985</v>
      </c>
    </row>
    <row r="1027" spans="1:30" ht="15" hidden="1" customHeight="1">
      <c r="A1027" s="51" t="s">
        <v>364</v>
      </c>
      <c r="B1027" s="51" t="s">
        <v>2977</v>
      </c>
      <c r="C1027" s="51" t="s">
        <v>22</v>
      </c>
      <c r="D1027" s="53" t="s">
        <v>2894</v>
      </c>
      <c r="E1027" s="51" t="s">
        <v>17</v>
      </c>
      <c r="F1027" s="53" t="s">
        <v>2984</v>
      </c>
      <c r="G1027" s="51"/>
      <c r="H1027" s="51" t="s">
        <v>20</v>
      </c>
      <c r="I1027" s="51"/>
      <c r="J1027" s="51"/>
      <c r="K1027" s="53"/>
      <c r="L1027" s="51"/>
      <c r="M1027" s="51"/>
      <c r="N1027" s="51"/>
      <c r="O1027" s="51"/>
      <c r="P1027" s="53"/>
      <c r="Q1027" s="53"/>
      <c r="R1027" s="51"/>
      <c r="S1027" s="51"/>
      <c r="T1027" s="138"/>
      <c r="U1027" s="138"/>
      <c r="V1027" s="138"/>
      <c r="W1027" s="138"/>
      <c r="X1027" s="149"/>
      <c r="Y1027" s="45" t="s">
        <v>27</v>
      </c>
      <c r="Z1027" s="45" t="s">
        <v>27</v>
      </c>
      <c r="AA1027" s="51" t="s">
        <v>22</v>
      </c>
      <c r="AB1027" s="51"/>
      <c r="AC1027" s="183" t="s">
        <v>2985</v>
      </c>
    </row>
    <row r="1028" spans="1:30" ht="15" hidden="1" customHeight="1">
      <c r="A1028" s="51" t="s">
        <v>364</v>
      </c>
      <c r="B1028" s="51" t="s">
        <v>2978</v>
      </c>
      <c r="C1028" s="51" t="s">
        <v>22</v>
      </c>
      <c r="D1028" s="53" t="s">
        <v>2894</v>
      </c>
      <c r="E1028" s="51" t="s">
        <v>17</v>
      </c>
      <c r="F1028" s="53" t="s">
        <v>2980</v>
      </c>
      <c r="G1028" s="51"/>
      <c r="H1028" s="51" t="s">
        <v>20</v>
      </c>
      <c r="I1028" s="51"/>
      <c r="J1028" s="51"/>
      <c r="K1028" s="53"/>
      <c r="L1028" s="51"/>
      <c r="M1028" s="51"/>
      <c r="N1028" s="51"/>
      <c r="O1028" s="51"/>
      <c r="P1028" s="53"/>
      <c r="Q1028" s="53"/>
      <c r="R1028" s="51"/>
      <c r="S1028" s="51"/>
      <c r="T1028" s="138"/>
      <c r="U1028" s="138"/>
      <c r="V1028" s="138"/>
      <c r="W1028" s="138"/>
      <c r="X1028" s="149"/>
      <c r="Y1028" s="45" t="s">
        <v>27</v>
      </c>
      <c r="Z1028" s="45" t="s">
        <v>27</v>
      </c>
      <c r="AA1028" s="51" t="s">
        <v>22</v>
      </c>
      <c r="AB1028" s="51"/>
      <c r="AC1028" s="183" t="s">
        <v>2985</v>
      </c>
    </row>
    <row r="1029" spans="1:30" ht="15" customHeight="1">
      <c r="A1029" s="51" t="s">
        <v>0</v>
      </c>
      <c r="B1029" s="51" t="s">
        <v>3158</v>
      </c>
      <c r="C1029" s="51" t="s">
        <v>27</v>
      </c>
      <c r="D1029" s="53" t="s">
        <v>2758</v>
      </c>
      <c r="E1029" s="62" t="s">
        <v>17</v>
      </c>
      <c r="F1029" s="53" t="s">
        <v>3161</v>
      </c>
      <c r="G1029" s="51"/>
      <c r="H1029" s="51" t="s">
        <v>3084</v>
      </c>
      <c r="I1029" s="51" t="s">
        <v>21</v>
      </c>
      <c r="J1029" s="51" t="s">
        <v>37</v>
      </c>
      <c r="K1029" s="53" t="s">
        <v>337</v>
      </c>
      <c r="L1029" s="51" t="s">
        <v>5368</v>
      </c>
      <c r="M1029" s="51" t="s">
        <v>22</v>
      </c>
      <c r="N1029" s="51"/>
      <c r="O1029" s="51"/>
      <c r="P1029" s="53" t="s">
        <v>5729</v>
      </c>
      <c r="Q1029" s="53"/>
      <c r="R1029" s="51"/>
      <c r="S1029" s="51"/>
      <c r="T1029" s="138"/>
      <c r="U1029" s="138"/>
      <c r="V1029" s="138"/>
      <c r="W1029" s="138"/>
      <c r="X1029" s="195">
        <v>43222</v>
      </c>
      <c r="Y1029" s="45" t="s">
        <v>27</v>
      </c>
      <c r="Z1029" s="45" t="s">
        <v>27</v>
      </c>
      <c r="AA1029" s="45" t="s">
        <v>27</v>
      </c>
      <c r="AB1029" s="51"/>
      <c r="AC1029" s="534" t="s">
        <v>6741</v>
      </c>
      <c r="AD1029" s="325"/>
    </row>
    <row r="1030" spans="1:30" ht="15" customHeight="1">
      <c r="A1030" s="51" t="s">
        <v>0</v>
      </c>
      <c r="B1030" s="477" t="s">
        <v>632</v>
      </c>
      <c r="C1030" s="51" t="s">
        <v>27</v>
      </c>
      <c r="D1030" s="53" t="s">
        <v>2759</v>
      </c>
      <c r="E1030" s="62" t="s">
        <v>17</v>
      </c>
      <c r="F1030" s="53" t="s">
        <v>633</v>
      </c>
      <c r="G1030" s="51"/>
      <c r="H1030" s="51" t="s">
        <v>3084</v>
      </c>
      <c r="I1030" s="51" t="s">
        <v>60</v>
      </c>
      <c r="J1030" s="51" t="s">
        <v>3686</v>
      </c>
      <c r="K1030" s="53" t="s">
        <v>5971</v>
      </c>
      <c r="L1030" s="51" t="s">
        <v>4464</v>
      </c>
      <c r="M1030" s="51" t="s">
        <v>22</v>
      </c>
      <c r="N1030" s="51"/>
      <c r="O1030" s="51"/>
      <c r="P1030" s="53"/>
      <c r="Q1030" s="53"/>
      <c r="R1030" s="51"/>
      <c r="S1030" s="51"/>
      <c r="T1030" s="138"/>
      <c r="U1030" s="138"/>
      <c r="V1030" s="138"/>
      <c r="W1030" s="138"/>
      <c r="X1030" s="149">
        <v>43222</v>
      </c>
      <c r="Y1030" s="45" t="s">
        <v>27</v>
      </c>
      <c r="Z1030" s="45" t="s">
        <v>27</v>
      </c>
      <c r="AA1030" s="45" t="s">
        <v>27</v>
      </c>
      <c r="AB1030" s="51"/>
      <c r="AC1030" s="479"/>
      <c r="AD1030" s="325"/>
    </row>
    <row r="1031" spans="1:30" ht="15" hidden="1" customHeight="1">
      <c r="A1031" s="51" t="s">
        <v>336</v>
      </c>
      <c r="B1031" s="51" t="s">
        <v>3642</v>
      </c>
      <c r="C1031" s="51" t="s">
        <v>22</v>
      </c>
      <c r="D1031" s="53" t="s">
        <v>25</v>
      </c>
      <c r="E1031" s="39" t="s">
        <v>17</v>
      </c>
      <c r="F1031" s="53" t="s">
        <v>3793</v>
      </c>
      <c r="G1031" s="51"/>
      <c r="H1031" s="51" t="s">
        <v>20</v>
      </c>
      <c r="I1031" s="51" t="s">
        <v>21</v>
      </c>
      <c r="J1031" s="44" t="s">
        <v>3675</v>
      </c>
      <c r="K1031" s="53" t="s">
        <v>2659</v>
      </c>
      <c r="L1031" s="51" t="s">
        <v>3643</v>
      </c>
      <c r="M1031" s="51" t="s">
        <v>22</v>
      </c>
      <c r="N1031" s="51" t="s">
        <v>22</v>
      </c>
      <c r="O1031" s="62" t="s">
        <v>3639</v>
      </c>
      <c r="P1031" s="249" t="s">
        <v>3825</v>
      </c>
      <c r="Q1031" s="53"/>
      <c r="R1031" s="51"/>
      <c r="S1031" s="51"/>
      <c r="T1031" s="138"/>
      <c r="U1031" s="138"/>
      <c r="V1031" s="138"/>
      <c r="W1031" s="138"/>
      <c r="X1031" s="149"/>
      <c r="Y1031" s="45" t="s">
        <v>27</v>
      </c>
      <c r="Z1031" s="45" t="s">
        <v>27</v>
      </c>
      <c r="AA1031" s="51" t="s">
        <v>27</v>
      </c>
      <c r="AB1031" s="51"/>
      <c r="AC1031" s="169"/>
    </row>
    <row r="1032" spans="1:30" ht="15" hidden="1" customHeight="1">
      <c r="A1032" s="51" t="s">
        <v>336</v>
      </c>
      <c r="B1032" s="51" t="s">
        <v>3644</v>
      </c>
      <c r="C1032" s="51" t="s">
        <v>27</v>
      </c>
      <c r="D1032" s="53" t="s">
        <v>2658</v>
      </c>
      <c r="E1032" s="51" t="s">
        <v>2008</v>
      </c>
      <c r="F1032" s="53" t="s">
        <v>3794</v>
      </c>
      <c r="G1032" s="51"/>
      <c r="H1032" s="51" t="s">
        <v>20</v>
      </c>
      <c r="I1032" s="51" t="s">
        <v>21</v>
      </c>
      <c r="J1032" s="51" t="s">
        <v>3645</v>
      </c>
      <c r="K1032" s="53" t="s">
        <v>1586</v>
      </c>
      <c r="L1032" s="51" t="s">
        <v>3646</v>
      </c>
      <c r="M1032" s="51" t="s">
        <v>22</v>
      </c>
      <c r="N1032" s="51" t="s">
        <v>27</v>
      </c>
      <c r="O1032" s="62" t="s">
        <v>3639</v>
      </c>
      <c r="P1032" s="249" t="s">
        <v>3826</v>
      </c>
      <c r="Q1032" s="53">
        <v>40190</v>
      </c>
      <c r="R1032" s="51"/>
      <c r="S1032" s="210" t="s">
        <v>1872</v>
      </c>
      <c r="T1032" s="211">
        <v>9135268599</v>
      </c>
      <c r="U1032" s="189">
        <v>4401522390166</v>
      </c>
      <c r="V1032" s="188"/>
      <c r="W1032" s="188"/>
      <c r="X1032" s="149"/>
      <c r="Y1032" s="45" t="s">
        <v>27</v>
      </c>
      <c r="Z1032" s="45" t="s">
        <v>27</v>
      </c>
      <c r="AA1032" s="51" t="s">
        <v>27</v>
      </c>
      <c r="AB1032" s="51"/>
      <c r="AC1032" s="169" t="s">
        <v>3647</v>
      </c>
    </row>
    <row r="1033" spans="1:30" ht="15" hidden="1" customHeight="1">
      <c r="A1033" s="51" t="s">
        <v>336</v>
      </c>
      <c r="B1033" s="51" t="s">
        <v>3726</v>
      </c>
      <c r="C1033" s="51" t="s">
        <v>27</v>
      </c>
      <c r="D1033" s="53" t="s">
        <v>2658</v>
      </c>
      <c r="E1033" s="51" t="s">
        <v>2008</v>
      </c>
      <c r="F1033" s="53" t="s">
        <v>3795</v>
      </c>
      <c r="G1033" s="51"/>
      <c r="H1033" s="51" t="s">
        <v>20</v>
      </c>
      <c r="I1033" s="51" t="s">
        <v>60</v>
      </c>
      <c r="J1033" s="51" t="s">
        <v>3684</v>
      </c>
      <c r="K1033" s="53" t="s">
        <v>3739</v>
      </c>
      <c r="L1033" s="51" t="s">
        <v>211</v>
      </c>
      <c r="M1033" s="51" t="s">
        <v>22</v>
      </c>
      <c r="N1033" s="51" t="s">
        <v>27</v>
      </c>
      <c r="O1033" s="62" t="s">
        <v>3639</v>
      </c>
      <c r="P1033" s="249" t="s">
        <v>3823</v>
      </c>
      <c r="Q1033" s="53">
        <v>40192</v>
      </c>
      <c r="R1033" s="237"/>
      <c r="S1033" s="51"/>
      <c r="T1033" s="223"/>
      <c r="U1033" s="138"/>
      <c r="V1033" s="138"/>
      <c r="W1033" s="223"/>
      <c r="X1033" s="149"/>
      <c r="Y1033" s="45" t="s">
        <v>27</v>
      </c>
      <c r="Z1033" s="45" t="s">
        <v>27</v>
      </c>
      <c r="AA1033" s="51" t="s">
        <v>27</v>
      </c>
      <c r="AB1033" s="51"/>
      <c r="AC1033" s="169"/>
    </row>
    <row r="1034" spans="1:30" ht="15" hidden="1" customHeight="1">
      <c r="A1034" s="51" t="s">
        <v>336</v>
      </c>
      <c r="B1034" s="51" t="s">
        <v>3727</v>
      </c>
      <c r="C1034" s="51" t="s">
        <v>27</v>
      </c>
      <c r="D1034" s="53" t="s">
        <v>2658</v>
      </c>
      <c r="E1034" s="51" t="s">
        <v>2008</v>
      </c>
      <c r="F1034" s="53" t="s">
        <v>3796</v>
      </c>
      <c r="G1034" s="51"/>
      <c r="H1034" s="51" t="s">
        <v>20</v>
      </c>
      <c r="I1034" s="51" t="s">
        <v>60</v>
      </c>
      <c r="J1034" s="51" t="s">
        <v>3684</v>
      </c>
      <c r="K1034" s="53" t="s">
        <v>3739</v>
      </c>
      <c r="L1034" s="51" t="s">
        <v>211</v>
      </c>
      <c r="M1034" s="51" t="s">
        <v>22</v>
      </c>
      <c r="N1034" s="51" t="s">
        <v>27</v>
      </c>
      <c r="O1034" s="62" t="s">
        <v>3639</v>
      </c>
      <c r="P1034" s="249" t="s">
        <v>3823</v>
      </c>
      <c r="Q1034" s="53">
        <v>40193</v>
      </c>
      <c r="R1034" s="237"/>
      <c r="S1034" s="51"/>
      <c r="T1034" s="223"/>
      <c r="U1034" s="138"/>
      <c r="V1034" s="138"/>
      <c r="W1034" s="223"/>
      <c r="X1034" s="149"/>
      <c r="Y1034" s="45" t="s">
        <v>27</v>
      </c>
      <c r="Z1034" s="45" t="s">
        <v>27</v>
      </c>
      <c r="AA1034" s="51" t="s">
        <v>27</v>
      </c>
      <c r="AB1034" s="51"/>
      <c r="AC1034" s="169"/>
    </row>
    <row r="1035" spans="1:30" ht="15" hidden="1" customHeight="1">
      <c r="A1035" s="51" t="s">
        <v>336</v>
      </c>
      <c r="B1035" s="51" t="s">
        <v>3728</v>
      </c>
      <c r="C1035" s="51" t="s">
        <v>27</v>
      </c>
      <c r="D1035" s="53" t="s">
        <v>2658</v>
      </c>
      <c r="E1035" s="51" t="s">
        <v>2008</v>
      </c>
      <c r="F1035" s="53" t="s">
        <v>3797</v>
      </c>
      <c r="G1035" s="51"/>
      <c r="H1035" s="51" t="s">
        <v>20</v>
      </c>
      <c r="I1035" s="51" t="s">
        <v>60</v>
      </c>
      <c r="J1035" s="51" t="s">
        <v>3684</v>
      </c>
      <c r="K1035" s="53" t="s">
        <v>3739</v>
      </c>
      <c r="L1035" s="51" t="s">
        <v>3643</v>
      </c>
      <c r="M1035" s="51" t="s">
        <v>22</v>
      </c>
      <c r="N1035" s="51" t="s">
        <v>27</v>
      </c>
      <c r="O1035" s="62" t="s">
        <v>3639</v>
      </c>
      <c r="P1035" s="249" t="s">
        <v>3823</v>
      </c>
      <c r="Q1035" s="53">
        <v>40199</v>
      </c>
      <c r="R1035" s="237"/>
      <c r="S1035" s="51"/>
      <c r="T1035" s="223"/>
      <c r="U1035" s="138"/>
      <c r="V1035" s="138"/>
      <c r="W1035" s="223"/>
      <c r="X1035" s="149"/>
      <c r="Y1035" s="45" t="s">
        <v>27</v>
      </c>
      <c r="Z1035" s="45" t="s">
        <v>27</v>
      </c>
      <c r="AA1035" s="51" t="s">
        <v>27</v>
      </c>
      <c r="AB1035" s="51"/>
      <c r="AC1035" s="169"/>
    </row>
    <row r="1036" spans="1:30" ht="15" hidden="1" customHeight="1">
      <c r="A1036" s="51" t="s">
        <v>336</v>
      </c>
      <c r="B1036" s="51" t="s">
        <v>3729</v>
      </c>
      <c r="C1036" s="51" t="s">
        <v>27</v>
      </c>
      <c r="D1036" s="53" t="s">
        <v>2658</v>
      </c>
      <c r="E1036" s="51" t="s">
        <v>2008</v>
      </c>
      <c r="F1036" s="53" t="s">
        <v>3798</v>
      </c>
      <c r="G1036" s="51"/>
      <c r="H1036" s="51" t="s">
        <v>20</v>
      </c>
      <c r="I1036" s="51" t="s">
        <v>60</v>
      </c>
      <c r="J1036" s="51" t="s">
        <v>3684</v>
      </c>
      <c r="K1036" s="53" t="s">
        <v>3739</v>
      </c>
      <c r="L1036" s="51" t="s">
        <v>211</v>
      </c>
      <c r="M1036" s="51" t="s">
        <v>22</v>
      </c>
      <c r="N1036" s="51" t="s">
        <v>27</v>
      </c>
      <c r="O1036" s="62" t="s">
        <v>3639</v>
      </c>
      <c r="P1036" s="249" t="s">
        <v>3826</v>
      </c>
      <c r="Q1036" s="53">
        <v>40200</v>
      </c>
      <c r="R1036" s="237"/>
      <c r="S1036" s="51"/>
      <c r="T1036" s="223"/>
      <c r="U1036" s="138"/>
      <c r="V1036" s="138"/>
      <c r="W1036" s="223"/>
      <c r="X1036" s="149"/>
      <c r="Y1036" s="45" t="s">
        <v>27</v>
      </c>
      <c r="Z1036" s="45" t="s">
        <v>27</v>
      </c>
      <c r="AA1036" s="51" t="s">
        <v>27</v>
      </c>
      <c r="AB1036" s="51"/>
      <c r="AC1036" s="169"/>
    </row>
    <row r="1037" spans="1:30" ht="15" hidden="1" customHeight="1">
      <c r="A1037" s="51" t="s">
        <v>336</v>
      </c>
      <c r="B1037" s="51" t="s">
        <v>3730</v>
      </c>
      <c r="C1037" s="51" t="s">
        <v>27</v>
      </c>
      <c r="D1037" s="53" t="s">
        <v>2658</v>
      </c>
      <c r="E1037" s="51" t="s">
        <v>2008</v>
      </c>
      <c r="F1037" s="53" t="s">
        <v>3799</v>
      </c>
      <c r="G1037" s="51"/>
      <c r="H1037" s="51" t="s">
        <v>20</v>
      </c>
      <c r="I1037" s="51" t="s">
        <v>60</v>
      </c>
      <c r="J1037" s="51" t="s">
        <v>3684</v>
      </c>
      <c r="K1037" s="53" t="s">
        <v>3739</v>
      </c>
      <c r="L1037" s="51" t="s">
        <v>211</v>
      </c>
      <c r="M1037" s="51" t="s">
        <v>22</v>
      </c>
      <c r="N1037" s="51" t="s">
        <v>27</v>
      </c>
      <c r="O1037" s="62" t="s">
        <v>3639</v>
      </c>
      <c r="P1037" t="s">
        <v>3826</v>
      </c>
      <c r="Q1037" s="53">
        <v>40205</v>
      </c>
      <c r="R1037" s="237"/>
      <c r="S1037" s="51"/>
      <c r="T1037" s="223"/>
      <c r="U1037" s="138"/>
      <c r="V1037" s="138"/>
      <c r="W1037" s="223"/>
      <c r="X1037" s="149"/>
      <c r="Y1037" s="45" t="s">
        <v>27</v>
      </c>
      <c r="Z1037" s="45" t="s">
        <v>27</v>
      </c>
      <c r="AA1037" s="51" t="s">
        <v>27</v>
      </c>
      <c r="AB1037" s="51"/>
      <c r="AC1037" s="169"/>
    </row>
    <row r="1038" spans="1:30" ht="15" hidden="1" customHeight="1">
      <c r="A1038" s="51" t="s">
        <v>336</v>
      </c>
      <c r="B1038" s="51" t="s">
        <v>3731</v>
      </c>
      <c r="C1038" s="51" t="s">
        <v>27</v>
      </c>
      <c r="D1038" s="53" t="s">
        <v>2658</v>
      </c>
      <c r="E1038" s="51" t="s">
        <v>2008</v>
      </c>
      <c r="F1038" s="53" t="s">
        <v>3800</v>
      </c>
      <c r="G1038" s="51"/>
      <c r="H1038" s="51" t="s">
        <v>20</v>
      </c>
      <c r="I1038" s="51" t="s">
        <v>60</v>
      </c>
      <c r="J1038" s="51" t="s">
        <v>3684</v>
      </c>
      <c r="K1038" s="53" t="s">
        <v>3739</v>
      </c>
      <c r="L1038" s="51" t="s">
        <v>211</v>
      </c>
      <c r="M1038" s="51" t="s">
        <v>22</v>
      </c>
      <c r="N1038" s="51" t="s">
        <v>27</v>
      </c>
      <c r="O1038" s="62" t="s">
        <v>3639</v>
      </c>
      <c r="P1038" s="249" t="s">
        <v>3826</v>
      </c>
      <c r="Q1038" s="53">
        <v>40206</v>
      </c>
      <c r="R1038" s="237"/>
      <c r="S1038" s="51"/>
      <c r="T1038" s="223"/>
      <c r="U1038" s="138"/>
      <c r="V1038" s="138"/>
      <c r="W1038" s="223"/>
      <c r="X1038" s="149"/>
      <c r="Y1038" s="45" t="s">
        <v>27</v>
      </c>
      <c r="Z1038" s="45" t="s">
        <v>27</v>
      </c>
      <c r="AA1038" s="51" t="s">
        <v>27</v>
      </c>
      <c r="AB1038" s="51"/>
      <c r="AC1038" s="169"/>
    </row>
    <row r="1039" spans="1:30" ht="15" hidden="1" customHeight="1">
      <c r="A1039" s="51" t="s">
        <v>336</v>
      </c>
      <c r="B1039" s="51" t="s">
        <v>3732</v>
      </c>
      <c r="C1039" s="51" t="s">
        <v>27</v>
      </c>
      <c r="D1039" s="53" t="s">
        <v>2658</v>
      </c>
      <c r="E1039" s="51" t="s">
        <v>2008</v>
      </c>
      <c r="F1039" s="53" t="s">
        <v>3801</v>
      </c>
      <c r="G1039" s="51"/>
      <c r="H1039" s="51" t="s">
        <v>20</v>
      </c>
      <c r="I1039" s="51" t="s">
        <v>60</v>
      </c>
      <c r="J1039" s="51" t="s">
        <v>3684</v>
      </c>
      <c r="K1039" s="53" t="s">
        <v>3739</v>
      </c>
      <c r="L1039" s="51" t="s">
        <v>211</v>
      </c>
      <c r="M1039" s="51" t="s">
        <v>22</v>
      </c>
      <c r="N1039" s="51" t="s">
        <v>27</v>
      </c>
      <c r="O1039" s="62" t="s">
        <v>3639</v>
      </c>
      <c r="P1039" s="249" t="s">
        <v>3827</v>
      </c>
      <c r="Q1039" s="53">
        <v>40207</v>
      </c>
      <c r="R1039" s="237"/>
      <c r="S1039" s="51"/>
      <c r="T1039" s="223"/>
      <c r="U1039" s="138"/>
      <c r="V1039" s="138"/>
      <c r="W1039" s="223"/>
      <c r="X1039" s="149"/>
      <c r="Y1039" s="45" t="s">
        <v>27</v>
      </c>
      <c r="Z1039" s="45" t="s">
        <v>27</v>
      </c>
      <c r="AA1039" s="51" t="s">
        <v>27</v>
      </c>
      <c r="AB1039" s="51"/>
      <c r="AC1039" s="169"/>
    </row>
    <row r="1040" spans="1:30" ht="15" hidden="1" customHeight="1">
      <c r="A1040" s="51" t="s">
        <v>336</v>
      </c>
      <c r="B1040" s="51" t="s">
        <v>3733</v>
      </c>
      <c r="C1040" s="51" t="s">
        <v>27</v>
      </c>
      <c r="D1040" s="53" t="s">
        <v>2658</v>
      </c>
      <c r="E1040" s="51" t="s">
        <v>2008</v>
      </c>
      <c r="F1040" s="53" t="s">
        <v>3802</v>
      </c>
      <c r="G1040" s="51"/>
      <c r="H1040" s="51" t="s">
        <v>20</v>
      </c>
      <c r="I1040" s="51" t="s">
        <v>60</v>
      </c>
      <c r="J1040" s="51" t="s">
        <v>3684</v>
      </c>
      <c r="K1040" s="53" t="s">
        <v>3739</v>
      </c>
      <c r="L1040" s="51" t="s">
        <v>211</v>
      </c>
      <c r="M1040" s="51" t="s">
        <v>22</v>
      </c>
      <c r="N1040" s="51" t="s">
        <v>27</v>
      </c>
      <c r="O1040" s="62" t="s">
        <v>3639</v>
      </c>
      <c r="P1040" s="249" t="s">
        <v>3827</v>
      </c>
      <c r="Q1040" s="53">
        <v>20408</v>
      </c>
      <c r="R1040" s="237"/>
      <c r="S1040" s="51"/>
      <c r="T1040" s="223"/>
      <c r="U1040" s="138"/>
      <c r="V1040" s="138"/>
      <c r="W1040" s="223"/>
      <c r="X1040" s="149"/>
      <c r="Y1040" s="45" t="s">
        <v>27</v>
      </c>
      <c r="Z1040" s="45" t="s">
        <v>27</v>
      </c>
      <c r="AA1040" s="51" t="s">
        <v>27</v>
      </c>
      <c r="AB1040" s="51"/>
      <c r="AC1040" s="169"/>
    </row>
    <row r="1041" spans="1:29" ht="15" hidden="1" customHeight="1">
      <c r="A1041" s="51" t="s">
        <v>336</v>
      </c>
      <c r="B1041" s="51" t="s">
        <v>3734</v>
      </c>
      <c r="C1041" s="51" t="s">
        <v>27</v>
      </c>
      <c r="D1041" s="53" t="s">
        <v>2658</v>
      </c>
      <c r="E1041" s="51" t="s">
        <v>2008</v>
      </c>
      <c r="F1041" s="53" t="s">
        <v>3803</v>
      </c>
      <c r="G1041" s="51"/>
      <c r="H1041" s="51" t="s">
        <v>20</v>
      </c>
      <c r="I1041" s="51" t="s">
        <v>60</v>
      </c>
      <c r="J1041" s="51" t="s">
        <v>3684</v>
      </c>
      <c r="K1041" s="53" t="s">
        <v>3739</v>
      </c>
      <c r="L1041" s="51" t="s">
        <v>211</v>
      </c>
      <c r="M1041" s="51" t="s">
        <v>22</v>
      </c>
      <c r="N1041" s="51" t="s">
        <v>27</v>
      </c>
      <c r="O1041" s="62" t="s">
        <v>3639</v>
      </c>
      <c r="P1041" s="249" t="s">
        <v>3823</v>
      </c>
      <c r="Q1041" s="53">
        <v>40209</v>
      </c>
      <c r="R1041" s="237"/>
      <c r="S1041" s="51"/>
      <c r="T1041" s="223"/>
      <c r="U1041" s="138"/>
      <c r="V1041" s="138"/>
      <c r="W1041" s="223"/>
      <c r="X1041" s="149"/>
      <c r="Y1041" s="45" t="s">
        <v>27</v>
      </c>
      <c r="Z1041" s="45" t="s">
        <v>27</v>
      </c>
      <c r="AA1041" s="51" t="s">
        <v>27</v>
      </c>
      <c r="AB1041" s="51"/>
      <c r="AC1041" s="169"/>
    </row>
    <row r="1042" spans="1:29" ht="15" hidden="1" customHeight="1">
      <c r="A1042" s="51" t="s">
        <v>336</v>
      </c>
      <c r="B1042" s="51" t="s">
        <v>3735</v>
      </c>
      <c r="C1042" s="51" t="s">
        <v>27</v>
      </c>
      <c r="D1042" s="53" t="s">
        <v>2658</v>
      </c>
      <c r="E1042" s="51" t="s">
        <v>2008</v>
      </c>
      <c r="F1042" s="53" t="s">
        <v>3804</v>
      </c>
      <c r="G1042" s="51"/>
      <c r="H1042" s="51" t="s">
        <v>20</v>
      </c>
      <c r="I1042" s="51" t="s">
        <v>60</v>
      </c>
      <c r="J1042" s="51" t="s">
        <v>3684</v>
      </c>
      <c r="K1042" s="53" t="s">
        <v>3739</v>
      </c>
      <c r="L1042" s="51" t="s">
        <v>211</v>
      </c>
      <c r="M1042" s="51" t="s">
        <v>22</v>
      </c>
      <c r="N1042" s="51" t="s">
        <v>27</v>
      </c>
      <c r="O1042" s="62" t="s">
        <v>3639</v>
      </c>
      <c r="P1042" s="249" t="s">
        <v>3823</v>
      </c>
      <c r="Q1042" s="53">
        <v>40240</v>
      </c>
      <c r="R1042" s="237"/>
      <c r="S1042" s="51"/>
      <c r="T1042" s="223"/>
      <c r="U1042" s="138"/>
      <c r="V1042" s="138"/>
      <c r="W1042" s="223"/>
      <c r="X1042" s="149"/>
      <c r="Y1042" s="45" t="s">
        <v>27</v>
      </c>
      <c r="Z1042" s="45" t="s">
        <v>27</v>
      </c>
      <c r="AA1042" s="51" t="s">
        <v>27</v>
      </c>
      <c r="AB1042" s="51"/>
      <c r="AC1042" s="169"/>
    </row>
    <row r="1043" spans="1:29" ht="15" hidden="1" customHeight="1">
      <c r="A1043" s="51" t="s">
        <v>336</v>
      </c>
      <c r="B1043" s="51" t="s">
        <v>3736</v>
      </c>
      <c r="C1043" s="51" t="s">
        <v>27</v>
      </c>
      <c r="D1043" s="53" t="s">
        <v>2658</v>
      </c>
      <c r="E1043" s="51" t="s">
        <v>2008</v>
      </c>
      <c r="F1043" s="53" t="s">
        <v>3805</v>
      </c>
      <c r="G1043" s="51"/>
      <c r="H1043" s="51" t="s">
        <v>20</v>
      </c>
      <c r="I1043" s="51" t="s">
        <v>60</v>
      </c>
      <c r="J1043" s="51" t="s">
        <v>3684</v>
      </c>
      <c r="K1043" s="53" t="s">
        <v>3739</v>
      </c>
      <c r="L1043" s="51" t="s">
        <v>211</v>
      </c>
      <c r="M1043" s="51" t="s">
        <v>22</v>
      </c>
      <c r="N1043" s="51" t="s">
        <v>27</v>
      </c>
      <c r="O1043" s="62" t="s">
        <v>3639</v>
      </c>
      <c r="P1043" s="249" t="s">
        <v>3830</v>
      </c>
      <c r="Q1043" s="53">
        <v>40242</v>
      </c>
      <c r="R1043" s="237"/>
      <c r="S1043" s="51"/>
      <c r="T1043" s="223"/>
      <c r="U1043" s="138"/>
      <c r="V1043" s="138"/>
      <c r="W1043" s="223"/>
      <c r="X1043" s="149"/>
      <c r="Y1043" s="45" t="s">
        <v>27</v>
      </c>
      <c r="Z1043" s="45" t="s">
        <v>27</v>
      </c>
      <c r="AA1043" s="51" t="s">
        <v>27</v>
      </c>
      <c r="AB1043" s="51"/>
      <c r="AC1043" s="169"/>
    </row>
    <row r="1044" spans="1:29" ht="15" hidden="1" customHeight="1">
      <c r="A1044" s="51" t="s">
        <v>336</v>
      </c>
      <c r="B1044" s="51" t="s">
        <v>3737</v>
      </c>
      <c r="C1044" s="51" t="s">
        <v>27</v>
      </c>
      <c r="D1044" s="53" t="s">
        <v>2658</v>
      </c>
      <c r="E1044" s="51" t="s">
        <v>2008</v>
      </c>
      <c r="F1044" s="53" t="s">
        <v>3806</v>
      </c>
      <c r="G1044" s="51"/>
      <c r="H1044" s="51" t="s">
        <v>20</v>
      </c>
      <c r="I1044" s="51" t="s">
        <v>60</v>
      </c>
      <c r="J1044" s="51" t="s">
        <v>3684</v>
      </c>
      <c r="K1044" s="53" t="s">
        <v>3739</v>
      </c>
      <c r="L1044" s="51" t="s">
        <v>3646</v>
      </c>
      <c r="M1044" s="51" t="s">
        <v>22</v>
      </c>
      <c r="N1044" s="51" t="s">
        <v>27</v>
      </c>
      <c r="O1044" s="62" t="s">
        <v>3639</v>
      </c>
      <c r="P1044" s="249" t="s">
        <v>3826</v>
      </c>
      <c r="Q1044" s="53">
        <v>40243</v>
      </c>
      <c r="R1044" s="237"/>
      <c r="S1044" s="51"/>
      <c r="T1044" s="223"/>
      <c r="U1044" s="138"/>
      <c r="V1044" s="138"/>
      <c r="W1044" s="223"/>
      <c r="X1044" s="149"/>
      <c r="Y1044" s="45" t="s">
        <v>27</v>
      </c>
      <c r="Z1044" s="45" t="s">
        <v>27</v>
      </c>
      <c r="AA1044" s="51" t="s">
        <v>27</v>
      </c>
      <c r="AB1044" s="51"/>
      <c r="AC1044" s="169"/>
    </row>
    <row r="1045" spans="1:29" ht="15" hidden="1" customHeight="1">
      <c r="A1045" s="51" t="s">
        <v>336</v>
      </c>
      <c r="B1045" s="51" t="s">
        <v>3738</v>
      </c>
      <c r="C1045" s="51" t="s">
        <v>27</v>
      </c>
      <c r="D1045" s="53" t="s">
        <v>2658</v>
      </c>
      <c r="E1045" s="51" t="s">
        <v>2008</v>
      </c>
      <c r="F1045" s="53" t="s">
        <v>3807</v>
      </c>
      <c r="G1045" s="51"/>
      <c r="H1045" s="51" t="s">
        <v>20</v>
      </c>
      <c r="I1045" s="51" t="s">
        <v>60</v>
      </c>
      <c r="J1045" s="51" t="s">
        <v>3684</v>
      </c>
      <c r="K1045" s="53" t="s">
        <v>3739</v>
      </c>
      <c r="L1045" s="51" t="s">
        <v>3646</v>
      </c>
      <c r="M1045" s="51" t="s">
        <v>22</v>
      </c>
      <c r="N1045" s="51" t="s">
        <v>27</v>
      </c>
      <c r="O1045" s="62" t="s">
        <v>3639</v>
      </c>
      <c r="P1045" s="249" t="s">
        <v>3825</v>
      </c>
      <c r="Q1045" s="53"/>
      <c r="R1045" s="237"/>
      <c r="S1045" s="51"/>
      <c r="T1045" s="223"/>
      <c r="U1045" s="138"/>
      <c r="V1045" s="138"/>
      <c r="W1045" s="223"/>
      <c r="X1045" s="149"/>
      <c r="Y1045" s="45" t="s">
        <v>27</v>
      </c>
      <c r="Z1045" s="45" t="s">
        <v>27</v>
      </c>
      <c r="AA1045" s="51" t="s">
        <v>27</v>
      </c>
      <c r="AB1045" s="51"/>
      <c r="AC1045" s="169"/>
    </row>
    <row r="1046" spans="1:29" ht="15" hidden="1" customHeight="1">
      <c r="A1046" s="51" t="s">
        <v>336</v>
      </c>
      <c r="B1046" s="51" t="s">
        <v>3792</v>
      </c>
      <c r="C1046" s="51" t="s">
        <v>27</v>
      </c>
      <c r="D1046" s="53"/>
      <c r="E1046" s="51" t="s">
        <v>2008</v>
      </c>
      <c r="F1046" s="53" t="s">
        <v>3808</v>
      </c>
      <c r="G1046" s="51"/>
      <c r="H1046" s="51" t="s">
        <v>20</v>
      </c>
      <c r="I1046" s="51" t="s">
        <v>60</v>
      </c>
      <c r="J1046" s="51" t="s">
        <v>3684</v>
      </c>
      <c r="K1046" s="53" t="s">
        <v>3739</v>
      </c>
      <c r="L1046" s="51" t="s">
        <v>3646</v>
      </c>
      <c r="M1046" s="51" t="s">
        <v>22</v>
      </c>
      <c r="N1046" s="51" t="s">
        <v>955</v>
      </c>
      <c r="O1046" s="62" t="s">
        <v>3639</v>
      </c>
      <c r="P1046" t="s">
        <v>3826</v>
      </c>
      <c r="Q1046" s="53">
        <v>40196</v>
      </c>
      <c r="R1046" s="237"/>
      <c r="S1046" s="51"/>
      <c r="T1046" s="223"/>
      <c r="U1046" s="138"/>
      <c r="V1046" s="138"/>
      <c r="W1046" s="223"/>
      <c r="X1046" s="149"/>
      <c r="Y1046" s="45" t="s">
        <v>27</v>
      </c>
      <c r="Z1046" s="45" t="s">
        <v>27</v>
      </c>
      <c r="AA1046" s="51" t="s">
        <v>27</v>
      </c>
      <c r="AB1046" s="51"/>
      <c r="AC1046" s="169"/>
    </row>
    <row r="1047" spans="1:29" ht="15" hidden="1" customHeight="1">
      <c r="A1047" s="51" t="s">
        <v>336</v>
      </c>
      <c r="B1047" s="51" t="s">
        <v>3759</v>
      </c>
      <c r="C1047" s="51" t="s">
        <v>27</v>
      </c>
      <c r="D1047" s="53" t="s">
        <v>2658</v>
      </c>
      <c r="E1047" s="51" t="s">
        <v>2008</v>
      </c>
      <c r="F1047" s="53" t="s">
        <v>3809</v>
      </c>
      <c r="G1047" s="51"/>
      <c r="H1047" s="51" t="s">
        <v>20</v>
      </c>
      <c r="I1047" s="51" t="s">
        <v>60</v>
      </c>
      <c r="J1047" s="51" t="s">
        <v>3684</v>
      </c>
      <c r="K1047" s="53" t="s">
        <v>3739</v>
      </c>
      <c r="L1047" s="51" t="s">
        <v>3646</v>
      </c>
      <c r="M1047" s="51" t="s">
        <v>22</v>
      </c>
      <c r="N1047" s="51" t="s">
        <v>22</v>
      </c>
      <c r="O1047" s="62" t="s">
        <v>3639</v>
      </c>
      <c r="P1047" s="212" t="s">
        <v>3828</v>
      </c>
      <c r="Q1047" s="53">
        <v>40244</v>
      </c>
      <c r="R1047" s="237"/>
      <c r="S1047" s="51"/>
      <c r="T1047" s="223"/>
      <c r="U1047" s="138"/>
      <c r="V1047" s="138"/>
      <c r="W1047" s="223"/>
      <c r="X1047" s="149"/>
      <c r="Y1047" s="45" t="s">
        <v>27</v>
      </c>
      <c r="Z1047" s="45" t="s">
        <v>27</v>
      </c>
      <c r="AA1047" s="51" t="s">
        <v>27</v>
      </c>
      <c r="AB1047" s="51"/>
      <c r="AC1047" s="169"/>
    </row>
    <row r="1048" spans="1:29" ht="15" hidden="1" customHeight="1">
      <c r="A1048" s="51" t="s">
        <v>336</v>
      </c>
      <c r="B1048" s="51" t="s">
        <v>3760</v>
      </c>
      <c r="C1048" s="51" t="s">
        <v>27</v>
      </c>
      <c r="D1048" s="53" t="s">
        <v>2658</v>
      </c>
      <c r="E1048" s="51" t="s">
        <v>2008</v>
      </c>
      <c r="F1048" s="53" t="s">
        <v>3810</v>
      </c>
      <c r="G1048" s="51"/>
      <c r="H1048" s="51" t="s">
        <v>20</v>
      </c>
      <c r="I1048" s="51" t="s">
        <v>60</v>
      </c>
      <c r="J1048" s="51" t="s">
        <v>3769</v>
      </c>
      <c r="K1048" s="53" t="s">
        <v>3739</v>
      </c>
      <c r="L1048" s="51" t="s">
        <v>3646</v>
      </c>
      <c r="M1048" s="51" t="s">
        <v>22</v>
      </c>
      <c r="N1048" s="51" t="s">
        <v>22</v>
      </c>
      <c r="O1048" s="62" t="s">
        <v>3639</v>
      </c>
      <c r="P1048" s="212" t="s">
        <v>3828</v>
      </c>
      <c r="Q1048" s="53">
        <v>40245</v>
      </c>
      <c r="R1048" s="237"/>
      <c r="S1048" s="51"/>
      <c r="T1048" s="223"/>
      <c r="U1048" s="138"/>
      <c r="V1048" s="138"/>
      <c r="W1048" s="223"/>
      <c r="X1048" s="149"/>
      <c r="Y1048" s="45" t="s">
        <v>27</v>
      </c>
      <c r="Z1048" s="45" t="s">
        <v>27</v>
      </c>
      <c r="AA1048" s="51" t="s">
        <v>27</v>
      </c>
      <c r="AB1048" s="51"/>
      <c r="AC1048" s="169"/>
    </row>
    <row r="1049" spans="1:29" ht="15" hidden="1" customHeight="1">
      <c r="A1049" s="51" t="s">
        <v>336</v>
      </c>
      <c r="B1049" s="51" t="s">
        <v>3761</v>
      </c>
      <c r="C1049" s="51" t="s">
        <v>27</v>
      </c>
      <c r="D1049" s="53" t="s">
        <v>2658</v>
      </c>
      <c r="E1049" s="51" t="s">
        <v>2008</v>
      </c>
      <c r="F1049" s="53" t="s">
        <v>3811</v>
      </c>
      <c r="G1049" s="51"/>
      <c r="H1049" s="51" t="s">
        <v>20</v>
      </c>
      <c r="I1049" s="51" t="s">
        <v>60</v>
      </c>
      <c r="J1049" s="51" t="s">
        <v>3769</v>
      </c>
      <c r="K1049" s="53" t="s">
        <v>3739</v>
      </c>
      <c r="L1049" s="51" t="s">
        <v>3646</v>
      </c>
      <c r="M1049" s="51" t="s">
        <v>22</v>
      </c>
      <c r="N1049" s="51" t="s">
        <v>22</v>
      </c>
      <c r="O1049" s="62" t="s">
        <v>3639</v>
      </c>
      <c r="P1049" s="212" t="s">
        <v>3828</v>
      </c>
      <c r="Q1049" s="252">
        <v>40247</v>
      </c>
      <c r="R1049" s="237"/>
      <c r="S1049" s="51"/>
      <c r="T1049" s="223"/>
      <c r="U1049" s="138"/>
      <c r="V1049" s="138"/>
      <c r="W1049" s="223"/>
      <c r="X1049" s="149"/>
      <c r="Y1049" s="45" t="s">
        <v>27</v>
      </c>
      <c r="Z1049" s="45" t="s">
        <v>27</v>
      </c>
      <c r="AA1049" s="51" t="s">
        <v>27</v>
      </c>
      <c r="AB1049" s="51"/>
      <c r="AC1049" s="169"/>
    </row>
    <row r="1050" spans="1:29" ht="15" hidden="1" customHeight="1">
      <c r="A1050" s="51" t="s">
        <v>336</v>
      </c>
      <c r="B1050" s="51" t="s">
        <v>3762</v>
      </c>
      <c r="C1050" s="51" t="s">
        <v>27</v>
      </c>
      <c r="D1050" s="53" t="s">
        <v>2658</v>
      </c>
      <c r="E1050" s="51" t="s">
        <v>2008</v>
      </c>
      <c r="F1050" s="53" t="s">
        <v>3812</v>
      </c>
      <c r="G1050" s="51"/>
      <c r="H1050" s="51" t="s">
        <v>20</v>
      </c>
      <c r="I1050" s="51" t="s">
        <v>60</v>
      </c>
      <c r="J1050" s="51" t="s">
        <v>3769</v>
      </c>
      <c r="K1050" s="53" t="s">
        <v>3739</v>
      </c>
      <c r="L1050" s="51" t="s">
        <v>3646</v>
      </c>
      <c r="M1050" s="51" t="s">
        <v>22</v>
      </c>
      <c r="N1050" s="51" t="s">
        <v>22</v>
      </c>
      <c r="O1050" s="62" t="s">
        <v>3639</v>
      </c>
      <c r="P1050" s="212" t="s">
        <v>3828</v>
      </c>
      <c r="Q1050" s="53">
        <v>40248</v>
      </c>
      <c r="R1050" s="237"/>
      <c r="S1050" s="51"/>
      <c r="T1050" s="223"/>
      <c r="U1050" s="138"/>
      <c r="V1050" s="138"/>
      <c r="W1050" s="223"/>
      <c r="X1050" s="149"/>
      <c r="Y1050" s="45" t="s">
        <v>27</v>
      </c>
      <c r="Z1050" s="45" t="s">
        <v>27</v>
      </c>
      <c r="AA1050" s="51" t="s">
        <v>27</v>
      </c>
      <c r="AB1050" s="51"/>
      <c r="AC1050" s="169"/>
    </row>
    <row r="1051" spans="1:29" ht="15" hidden="1" customHeight="1">
      <c r="A1051" s="51" t="s">
        <v>336</v>
      </c>
      <c r="B1051" s="51" t="s">
        <v>3763</v>
      </c>
      <c r="C1051" s="51" t="s">
        <v>27</v>
      </c>
      <c r="D1051" s="53" t="s">
        <v>2658</v>
      </c>
      <c r="E1051" s="51" t="s">
        <v>2008</v>
      </c>
      <c r="F1051" s="53" t="s">
        <v>3813</v>
      </c>
      <c r="G1051" s="51"/>
      <c r="H1051" s="51" t="s">
        <v>20</v>
      </c>
      <c r="I1051" s="51" t="s">
        <v>60</v>
      </c>
      <c r="J1051" s="51" t="s">
        <v>3769</v>
      </c>
      <c r="K1051" s="53" t="s">
        <v>3739</v>
      </c>
      <c r="L1051" s="51" t="s">
        <v>3646</v>
      </c>
      <c r="M1051" s="51" t="s">
        <v>22</v>
      </c>
      <c r="N1051" s="51" t="s">
        <v>22</v>
      </c>
      <c r="O1051" s="62" t="s">
        <v>3639</v>
      </c>
      <c r="P1051" s="212" t="s">
        <v>3829</v>
      </c>
      <c r="Q1051" s="53">
        <v>40249</v>
      </c>
      <c r="R1051" s="237"/>
      <c r="S1051" s="51"/>
      <c r="T1051" s="223"/>
      <c r="U1051" s="138"/>
      <c r="V1051" s="138"/>
      <c r="W1051" s="223"/>
      <c r="X1051" s="149"/>
      <c r="Y1051" s="45" t="s">
        <v>27</v>
      </c>
      <c r="Z1051" s="45" t="s">
        <v>27</v>
      </c>
      <c r="AA1051" s="51" t="s">
        <v>27</v>
      </c>
      <c r="AB1051" s="51"/>
      <c r="AC1051" s="169"/>
    </row>
    <row r="1052" spans="1:29" ht="15" hidden="1" customHeight="1">
      <c r="A1052" s="51" t="s">
        <v>336</v>
      </c>
      <c r="B1052" s="51" t="s">
        <v>3764</v>
      </c>
      <c r="C1052" s="51" t="s">
        <v>27</v>
      </c>
      <c r="D1052" s="53" t="s">
        <v>2658</v>
      </c>
      <c r="E1052" s="51" t="s">
        <v>2008</v>
      </c>
      <c r="F1052" s="53" t="s">
        <v>3814</v>
      </c>
      <c r="G1052" s="51"/>
      <c r="H1052" s="51" t="s">
        <v>20</v>
      </c>
      <c r="I1052" s="51" t="s">
        <v>60</v>
      </c>
      <c r="J1052" s="51" t="s">
        <v>3769</v>
      </c>
      <c r="K1052" s="53" t="s">
        <v>3739</v>
      </c>
      <c r="L1052" s="51" t="s">
        <v>3646</v>
      </c>
      <c r="M1052" s="51" t="s">
        <v>22</v>
      </c>
      <c r="N1052" s="51" t="s">
        <v>22</v>
      </c>
      <c r="O1052" s="62" t="s">
        <v>3639</v>
      </c>
      <c r="P1052" s="212" t="s">
        <v>3829</v>
      </c>
      <c r="Q1052" s="53">
        <v>40250</v>
      </c>
      <c r="R1052" s="237"/>
      <c r="S1052" s="51"/>
      <c r="T1052" s="223"/>
      <c r="U1052" s="138"/>
      <c r="V1052" s="138"/>
      <c r="W1052" s="223"/>
      <c r="X1052" s="149"/>
      <c r="Y1052" s="45" t="s">
        <v>27</v>
      </c>
      <c r="Z1052" s="45" t="s">
        <v>27</v>
      </c>
      <c r="AA1052" s="51" t="s">
        <v>27</v>
      </c>
      <c r="AB1052" s="51"/>
      <c r="AC1052" s="169"/>
    </row>
    <row r="1053" spans="1:29" ht="15" hidden="1" customHeight="1">
      <c r="A1053" s="51" t="s">
        <v>336</v>
      </c>
      <c r="B1053" s="51" t="s">
        <v>3765</v>
      </c>
      <c r="C1053" s="51" t="s">
        <v>27</v>
      </c>
      <c r="D1053" s="53" t="s">
        <v>2658</v>
      </c>
      <c r="E1053" s="51" t="s">
        <v>2008</v>
      </c>
      <c r="F1053" s="53" t="s">
        <v>3815</v>
      </c>
      <c r="G1053" s="51"/>
      <c r="H1053" s="51" t="s">
        <v>20</v>
      </c>
      <c r="I1053" s="51" t="s">
        <v>60</v>
      </c>
      <c r="J1053" s="51" t="s">
        <v>3769</v>
      </c>
      <c r="K1053" s="53" t="s">
        <v>3739</v>
      </c>
      <c r="L1053" s="51" t="s">
        <v>3646</v>
      </c>
      <c r="M1053" s="51" t="s">
        <v>22</v>
      </c>
      <c r="N1053" s="51" t="s">
        <v>22</v>
      </c>
      <c r="O1053" s="62" t="s">
        <v>3639</v>
      </c>
      <c r="P1053" s="212" t="s">
        <v>3829</v>
      </c>
      <c r="Q1053" s="53">
        <v>40251</v>
      </c>
      <c r="R1053" s="237"/>
      <c r="S1053" s="51"/>
      <c r="T1053" s="223"/>
      <c r="U1053" s="138"/>
      <c r="V1053" s="138"/>
      <c r="W1053" s="223"/>
      <c r="X1053" s="149"/>
      <c r="Y1053" s="45" t="s">
        <v>27</v>
      </c>
      <c r="Z1053" s="45" t="s">
        <v>27</v>
      </c>
      <c r="AA1053" s="51" t="s">
        <v>27</v>
      </c>
      <c r="AB1053" s="51"/>
      <c r="AC1053" s="169"/>
    </row>
    <row r="1054" spans="1:29" ht="15" hidden="1" customHeight="1">
      <c r="A1054" s="51" t="s">
        <v>336</v>
      </c>
      <c r="B1054" s="51" t="s">
        <v>3766</v>
      </c>
      <c r="C1054" s="51" t="s">
        <v>22</v>
      </c>
      <c r="D1054" s="53" t="s">
        <v>2658</v>
      </c>
      <c r="E1054" s="51" t="s">
        <v>2008</v>
      </c>
      <c r="F1054" s="53" t="s">
        <v>3816</v>
      </c>
      <c r="G1054" s="51"/>
      <c r="H1054" s="51" t="s">
        <v>20</v>
      </c>
      <c r="I1054" s="51" t="s">
        <v>60</v>
      </c>
      <c r="J1054" s="51" t="s">
        <v>3769</v>
      </c>
      <c r="K1054" s="53" t="s">
        <v>3739</v>
      </c>
      <c r="L1054" s="51" t="s">
        <v>3646</v>
      </c>
      <c r="M1054" s="51" t="s">
        <v>22</v>
      </c>
      <c r="N1054" s="51" t="s">
        <v>22</v>
      </c>
      <c r="O1054" s="62" t="s">
        <v>3639</v>
      </c>
      <c r="P1054" s="212" t="s">
        <v>3829</v>
      </c>
      <c r="Q1054" s="53">
        <v>40252</v>
      </c>
      <c r="R1054" s="237"/>
      <c r="S1054" s="51"/>
      <c r="T1054" s="223"/>
      <c r="U1054" s="138"/>
      <c r="V1054" s="138"/>
      <c r="W1054" s="223"/>
      <c r="X1054" s="149"/>
      <c r="Y1054" s="45" t="s">
        <v>27</v>
      </c>
      <c r="Z1054" s="45" t="s">
        <v>27</v>
      </c>
      <c r="AA1054" s="51" t="s">
        <v>22</v>
      </c>
      <c r="AB1054" s="51" t="s">
        <v>2473</v>
      </c>
      <c r="AC1054" s="169"/>
    </row>
    <row r="1055" spans="1:29" ht="15" hidden="1" customHeight="1">
      <c r="A1055" s="51" t="s">
        <v>336</v>
      </c>
      <c r="B1055" s="51" t="s">
        <v>3767</v>
      </c>
      <c r="C1055" s="51" t="s">
        <v>27</v>
      </c>
      <c r="D1055" s="53" t="s">
        <v>2658</v>
      </c>
      <c r="E1055" s="51" t="s">
        <v>2008</v>
      </c>
      <c r="F1055" s="53" t="s">
        <v>3817</v>
      </c>
      <c r="G1055" s="51"/>
      <c r="H1055" s="51" t="s">
        <v>20</v>
      </c>
      <c r="I1055" s="51" t="s">
        <v>60</v>
      </c>
      <c r="J1055" s="51" t="s">
        <v>3769</v>
      </c>
      <c r="K1055" s="53" t="s">
        <v>3739</v>
      </c>
      <c r="L1055" s="51" t="s">
        <v>3646</v>
      </c>
      <c r="M1055" s="51" t="s">
        <v>22</v>
      </c>
      <c r="N1055" s="51" t="s">
        <v>22</v>
      </c>
      <c r="O1055" s="62" t="s">
        <v>3639</v>
      </c>
      <c r="P1055" s="212" t="s">
        <v>3829</v>
      </c>
      <c r="Q1055" s="53">
        <v>40253</v>
      </c>
      <c r="R1055" s="237"/>
      <c r="S1055" s="51"/>
      <c r="T1055" s="223"/>
      <c r="U1055" s="138"/>
      <c r="V1055" s="138"/>
      <c r="W1055" s="223"/>
      <c r="X1055" s="149"/>
      <c r="Y1055" s="45" t="s">
        <v>27</v>
      </c>
      <c r="Z1055" s="45" t="s">
        <v>27</v>
      </c>
      <c r="AA1055" s="51" t="s">
        <v>27</v>
      </c>
      <c r="AB1055" s="51"/>
      <c r="AC1055" s="169"/>
    </row>
    <row r="1056" spans="1:29" ht="15" hidden="1" customHeight="1">
      <c r="A1056" s="51" t="s">
        <v>336</v>
      </c>
      <c r="B1056" s="51" t="s">
        <v>3768</v>
      </c>
      <c r="C1056" s="51" t="s">
        <v>27</v>
      </c>
      <c r="D1056" s="53" t="s">
        <v>2658</v>
      </c>
      <c r="E1056" s="51" t="s">
        <v>2008</v>
      </c>
      <c r="F1056" s="53" t="s">
        <v>3818</v>
      </c>
      <c r="G1056" s="51"/>
      <c r="H1056" s="51" t="s">
        <v>20</v>
      </c>
      <c r="I1056" s="51" t="s">
        <v>60</v>
      </c>
      <c r="J1056" s="51" t="s">
        <v>3769</v>
      </c>
      <c r="K1056" s="53" t="s">
        <v>3739</v>
      </c>
      <c r="L1056" s="51" t="s">
        <v>3646</v>
      </c>
      <c r="M1056" s="51" t="s">
        <v>22</v>
      </c>
      <c r="N1056" s="51" t="s">
        <v>22</v>
      </c>
      <c r="O1056" s="62" t="s">
        <v>3639</v>
      </c>
      <c r="P1056" s="212" t="s">
        <v>3828</v>
      </c>
      <c r="Q1056" s="53">
        <v>40255</v>
      </c>
      <c r="R1056" s="237"/>
      <c r="S1056" s="51"/>
      <c r="T1056" s="223"/>
      <c r="U1056" s="138"/>
      <c r="V1056" s="138"/>
      <c r="W1056" s="223"/>
      <c r="X1056" s="149"/>
      <c r="Y1056" s="45" t="s">
        <v>27</v>
      </c>
      <c r="Z1056" s="45" t="s">
        <v>27</v>
      </c>
      <c r="AA1056" s="51" t="s">
        <v>27</v>
      </c>
      <c r="AB1056" s="51"/>
      <c r="AC1056" s="169"/>
    </row>
    <row r="1057" spans="1:29" ht="15" hidden="1" customHeight="1">
      <c r="A1057" s="62" t="s">
        <v>1244</v>
      </c>
      <c r="B1057" s="51" t="s">
        <v>3771</v>
      </c>
      <c r="C1057" s="179" t="s">
        <v>27</v>
      </c>
      <c r="D1057" s="53" t="s">
        <v>2658</v>
      </c>
      <c r="E1057" s="62" t="s">
        <v>17</v>
      </c>
      <c r="F1057" s="53">
        <v>2299817</v>
      </c>
      <c r="G1057" s="51"/>
      <c r="H1057" s="51" t="s">
        <v>20</v>
      </c>
      <c r="I1057" s="51" t="s">
        <v>60</v>
      </c>
      <c r="J1057" s="51" t="s">
        <v>3780</v>
      </c>
      <c r="K1057" s="53" t="s">
        <v>3781</v>
      </c>
      <c r="L1057" s="51" t="s">
        <v>211</v>
      </c>
      <c r="M1057" s="62" t="s">
        <v>22</v>
      </c>
      <c r="N1057" s="62" t="s">
        <v>27</v>
      </c>
      <c r="O1057" s="62" t="s">
        <v>22</v>
      </c>
      <c r="P1057" s="53"/>
      <c r="Q1057" s="53"/>
      <c r="R1057" s="237"/>
      <c r="S1057" s="51"/>
      <c r="T1057" s="223"/>
      <c r="U1057" s="138"/>
      <c r="V1057" s="138"/>
      <c r="W1057" s="223"/>
      <c r="X1057" s="149"/>
      <c r="Y1057" s="45" t="s">
        <v>27</v>
      </c>
      <c r="Z1057" s="45" t="s">
        <v>27</v>
      </c>
      <c r="AA1057" s="45" t="s">
        <v>27</v>
      </c>
      <c r="AB1057" s="51"/>
      <c r="AC1057" s="169"/>
    </row>
    <row r="1058" spans="1:29" ht="15" hidden="1" customHeight="1">
      <c r="A1058" s="62" t="s">
        <v>1244</v>
      </c>
      <c r="B1058" s="51" t="s">
        <v>3772</v>
      </c>
      <c r="C1058" s="179" t="s">
        <v>27</v>
      </c>
      <c r="D1058" s="53" t="s">
        <v>2658</v>
      </c>
      <c r="E1058" s="62" t="s">
        <v>17</v>
      </c>
      <c r="F1058" s="53">
        <v>2361016</v>
      </c>
      <c r="G1058" s="51"/>
      <c r="H1058" s="51" t="s">
        <v>20</v>
      </c>
      <c r="I1058" s="51" t="s">
        <v>60</v>
      </c>
      <c r="J1058" s="51" t="s">
        <v>3780</v>
      </c>
      <c r="K1058" s="53" t="s">
        <v>3781</v>
      </c>
      <c r="L1058" s="51" t="s">
        <v>211</v>
      </c>
      <c r="M1058" s="62" t="s">
        <v>22</v>
      </c>
      <c r="N1058" s="62" t="s">
        <v>27</v>
      </c>
      <c r="O1058" s="62" t="s">
        <v>22</v>
      </c>
      <c r="P1058" s="53"/>
      <c r="Q1058" s="53"/>
      <c r="R1058" s="237"/>
      <c r="S1058" s="51"/>
      <c r="T1058" s="223"/>
      <c r="U1058" s="138"/>
      <c r="V1058" s="138"/>
      <c r="W1058" s="223"/>
      <c r="X1058" s="149"/>
      <c r="Y1058" s="45" t="s">
        <v>27</v>
      </c>
      <c r="Z1058" s="45" t="s">
        <v>27</v>
      </c>
      <c r="AA1058" s="45" t="s">
        <v>27</v>
      </c>
      <c r="AB1058" s="51"/>
      <c r="AC1058" s="169"/>
    </row>
    <row r="1059" spans="1:29" ht="15" hidden="1" customHeight="1">
      <c r="A1059" s="62" t="s">
        <v>1244</v>
      </c>
      <c r="B1059" s="51" t="s">
        <v>3773</v>
      </c>
      <c r="C1059" s="179" t="s">
        <v>27</v>
      </c>
      <c r="D1059" s="53" t="s">
        <v>2658</v>
      </c>
      <c r="E1059" s="62" t="s">
        <v>17</v>
      </c>
      <c r="F1059" s="53">
        <v>2361085</v>
      </c>
      <c r="G1059" s="51"/>
      <c r="H1059" s="51" t="s">
        <v>20</v>
      </c>
      <c r="I1059" s="51" t="s">
        <v>60</v>
      </c>
      <c r="J1059" s="51" t="s">
        <v>3780</v>
      </c>
      <c r="K1059" s="53" t="s">
        <v>3781</v>
      </c>
      <c r="L1059" s="51" t="s">
        <v>211</v>
      </c>
      <c r="M1059" s="62" t="s">
        <v>22</v>
      </c>
      <c r="N1059" s="62" t="s">
        <v>27</v>
      </c>
      <c r="O1059" s="62" t="s">
        <v>22</v>
      </c>
      <c r="P1059" s="53"/>
      <c r="Q1059" s="53"/>
      <c r="R1059" s="237"/>
      <c r="S1059" s="51"/>
      <c r="T1059" s="223"/>
      <c r="U1059" s="138"/>
      <c r="V1059" s="138"/>
      <c r="W1059" s="223"/>
      <c r="X1059" s="149"/>
      <c r="Y1059" s="45" t="s">
        <v>27</v>
      </c>
      <c r="Z1059" s="45" t="s">
        <v>27</v>
      </c>
      <c r="AA1059" s="45" t="s">
        <v>27</v>
      </c>
      <c r="AB1059" s="51"/>
      <c r="AC1059" s="169"/>
    </row>
    <row r="1060" spans="1:29" ht="15" hidden="1" customHeight="1">
      <c r="A1060" s="62" t="s">
        <v>1244</v>
      </c>
      <c r="B1060" s="51" t="s">
        <v>3774</v>
      </c>
      <c r="C1060" s="179" t="s">
        <v>27</v>
      </c>
      <c r="D1060" s="53" t="s">
        <v>2658</v>
      </c>
      <c r="E1060" s="62" t="s">
        <v>17</v>
      </c>
      <c r="F1060" s="53">
        <v>3648491</v>
      </c>
      <c r="G1060" s="51"/>
      <c r="H1060" s="51" t="s">
        <v>20</v>
      </c>
      <c r="I1060" s="51" t="s">
        <v>60</v>
      </c>
      <c r="J1060" s="51" t="s">
        <v>3780</v>
      </c>
      <c r="K1060" s="53" t="s">
        <v>3781</v>
      </c>
      <c r="L1060" s="51" t="s">
        <v>211</v>
      </c>
      <c r="M1060" s="62" t="s">
        <v>22</v>
      </c>
      <c r="N1060" s="62" t="s">
        <v>27</v>
      </c>
      <c r="O1060" s="62" t="s">
        <v>22</v>
      </c>
      <c r="P1060" s="53"/>
      <c r="Q1060" s="53"/>
      <c r="R1060" s="237"/>
      <c r="S1060" s="51"/>
      <c r="T1060" s="223"/>
      <c r="U1060" s="138"/>
      <c r="V1060" s="138"/>
      <c r="W1060" s="223"/>
      <c r="X1060" s="149"/>
      <c r="Y1060" s="45" t="s">
        <v>27</v>
      </c>
      <c r="Z1060" s="45" t="s">
        <v>27</v>
      </c>
      <c r="AA1060" s="45" t="s">
        <v>27</v>
      </c>
      <c r="AB1060" s="51"/>
      <c r="AC1060" s="169"/>
    </row>
    <row r="1061" spans="1:29" ht="15" hidden="1" customHeight="1">
      <c r="A1061" s="62" t="s">
        <v>1244</v>
      </c>
      <c r="B1061" s="51" t="s">
        <v>3775</v>
      </c>
      <c r="C1061" s="179" t="s">
        <v>27</v>
      </c>
      <c r="D1061" s="53" t="s">
        <v>2658</v>
      </c>
      <c r="E1061" s="62" t="s">
        <v>17</v>
      </c>
      <c r="F1061" s="53">
        <v>3648471</v>
      </c>
      <c r="G1061" s="51"/>
      <c r="H1061" s="51" t="s">
        <v>20</v>
      </c>
      <c r="I1061" s="51" t="s">
        <v>60</v>
      </c>
      <c r="J1061" s="51" t="s">
        <v>3780</v>
      </c>
      <c r="K1061" s="53" t="s">
        <v>3781</v>
      </c>
      <c r="L1061" s="51" t="s">
        <v>211</v>
      </c>
      <c r="M1061" s="62" t="s">
        <v>22</v>
      </c>
      <c r="N1061" s="62" t="s">
        <v>27</v>
      </c>
      <c r="O1061" s="62" t="s">
        <v>22</v>
      </c>
      <c r="P1061" s="53"/>
      <c r="Q1061" s="53"/>
      <c r="R1061" s="237"/>
      <c r="S1061" s="51"/>
      <c r="T1061" s="223"/>
      <c r="U1061" s="138"/>
      <c r="V1061" s="138"/>
      <c r="W1061" s="223"/>
      <c r="X1061" s="149"/>
      <c r="Y1061" s="45" t="s">
        <v>27</v>
      </c>
      <c r="Z1061" s="45" t="s">
        <v>27</v>
      </c>
      <c r="AA1061" s="45" t="s">
        <v>27</v>
      </c>
      <c r="AB1061" s="51"/>
      <c r="AC1061" s="169"/>
    </row>
    <row r="1062" spans="1:29" ht="15" hidden="1" customHeight="1">
      <c r="A1062" s="62" t="s">
        <v>1244</v>
      </c>
      <c r="B1062" s="51" t="s">
        <v>3776</v>
      </c>
      <c r="C1062" s="179" t="s">
        <v>27</v>
      </c>
      <c r="D1062" s="53" t="s">
        <v>2658</v>
      </c>
      <c r="E1062" s="62" t="s">
        <v>17</v>
      </c>
      <c r="F1062" s="53">
        <v>3648361</v>
      </c>
      <c r="G1062" s="51"/>
      <c r="H1062" s="51" t="s">
        <v>20</v>
      </c>
      <c r="I1062" s="51" t="s">
        <v>60</v>
      </c>
      <c r="J1062" s="51" t="s">
        <v>3780</v>
      </c>
      <c r="K1062" s="53" t="s">
        <v>3781</v>
      </c>
      <c r="L1062" s="51" t="s">
        <v>211</v>
      </c>
      <c r="M1062" s="62" t="s">
        <v>22</v>
      </c>
      <c r="N1062" s="62" t="s">
        <v>27</v>
      </c>
      <c r="O1062" s="62" t="s">
        <v>22</v>
      </c>
      <c r="P1062" s="53"/>
      <c r="Q1062" s="53"/>
      <c r="R1062" s="237"/>
      <c r="S1062" s="51"/>
      <c r="T1062" s="223"/>
      <c r="U1062" s="138"/>
      <c r="V1062" s="138"/>
      <c r="W1062" s="223"/>
      <c r="X1062" s="149"/>
      <c r="Y1062" s="45" t="s">
        <v>27</v>
      </c>
      <c r="Z1062" s="45" t="s">
        <v>27</v>
      </c>
      <c r="AA1062" s="45" t="s">
        <v>27</v>
      </c>
      <c r="AB1062" s="51"/>
      <c r="AC1062" s="169"/>
    </row>
    <row r="1063" spans="1:29" ht="15" hidden="1" customHeight="1">
      <c r="A1063" s="62" t="s">
        <v>1244</v>
      </c>
      <c r="B1063" s="51" t="s">
        <v>3777</v>
      </c>
      <c r="C1063" s="179" t="s">
        <v>27</v>
      </c>
      <c r="D1063" s="53" t="s">
        <v>2658</v>
      </c>
      <c r="E1063" s="62" t="s">
        <v>17</v>
      </c>
      <c r="F1063" s="53">
        <v>2361066</v>
      </c>
      <c r="G1063" s="51"/>
      <c r="H1063" s="51" t="s">
        <v>20</v>
      </c>
      <c r="I1063" s="51" t="s">
        <v>60</v>
      </c>
      <c r="J1063" s="51" t="s">
        <v>3780</v>
      </c>
      <c r="K1063" s="53" t="s">
        <v>3781</v>
      </c>
      <c r="L1063" s="51" t="s">
        <v>211</v>
      </c>
      <c r="M1063" s="62" t="s">
        <v>22</v>
      </c>
      <c r="N1063" s="62" t="s">
        <v>27</v>
      </c>
      <c r="O1063" s="62" t="s">
        <v>22</v>
      </c>
      <c r="P1063" s="53"/>
      <c r="Q1063" s="53"/>
      <c r="R1063" s="237"/>
      <c r="S1063" s="51"/>
      <c r="T1063" s="223"/>
      <c r="U1063" s="138"/>
      <c r="V1063" s="138"/>
      <c r="W1063" s="223"/>
      <c r="X1063" s="149"/>
      <c r="Y1063" s="45" t="s">
        <v>27</v>
      </c>
      <c r="Z1063" s="45" t="s">
        <v>27</v>
      </c>
      <c r="AA1063" s="45" t="s">
        <v>27</v>
      </c>
      <c r="AB1063" s="51"/>
      <c r="AC1063" s="169"/>
    </row>
    <row r="1064" spans="1:29" ht="15" hidden="1" customHeight="1">
      <c r="A1064" s="62" t="s">
        <v>1244</v>
      </c>
      <c r="B1064" s="51" t="s">
        <v>3778</v>
      </c>
      <c r="C1064" s="179" t="s">
        <v>27</v>
      </c>
      <c r="D1064" s="53" t="s">
        <v>2658</v>
      </c>
      <c r="E1064" s="62" t="s">
        <v>17</v>
      </c>
      <c r="F1064" s="53">
        <v>3647717</v>
      </c>
      <c r="G1064" s="51"/>
      <c r="H1064" s="51" t="s">
        <v>20</v>
      </c>
      <c r="I1064" s="51" t="s">
        <v>60</v>
      </c>
      <c r="J1064" s="51" t="s">
        <v>5415</v>
      </c>
      <c r="K1064" s="53" t="s">
        <v>3781</v>
      </c>
      <c r="L1064" s="51" t="s">
        <v>211</v>
      </c>
      <c r="M1064" s="62" t="s">
        <v>22</v>
      </c>
      <c r="N1064" s="62" t="s">
        <v>27</v>
      </c>
      <c r="O1064" s="62" t="s">
        <v>22</v>
      </c>
      <c r="P1064" s="53"/>
      <c r="Q1064" s="53"/>
      <c r="R1064" s="237"/>
      <c r="S1064" s="51"/>
      <c r="T1064" s="223"/>
      <c r="U1064" s="138"/>
      <c r="V1064" s="138"/>
      <c r="W1064" s="223"/>
      <c r="X1064" s="149"/>
      <c r="Y1064" s="45" t="s">
        <v>27</v>
      </c>
      <c r="Z1064" s="45" t="s">
        <v>27</v>
      </c>
      <c r="AA1064" s="45" t="s">
        <v>27</v>
      </c>
      <c r="AB1064" s="51"/>
      <c r="AC1064" s="169"/>
    </row>
    <row r="1065" spans="1:29" ht="15" hidden="1" customHeight="1">
      <c r="A1065" s="62" t="s">
        <v>1244</v>
      </c>
      <c r="B1065" s="51" t="s">
        <v>3779</v>
      </c>
      <c r="C1065" s="179" t="s">
        <v>27</v>
      </c>
      <c r="D1065" s="53" t="s">
        <v>2658</v>
      </c>
      <c r="E1065" s="62" t="s">
        <v>17</v>
      </c>
      <c r="F1065" s="53">
        <v>3374835</v>
      </c>
      <c r="G1065" s="51"/>
      <c r="H1065" s="51" t="s">
        <v>20</v>
      </c>
      <c r="I1065" s="51" t="s">
        <v>60</v>
      </c>
      <c r="J1065" s="51" t="s">
        <v>3780</v>
      </c>
      <c r="K1065" s="53" t="s">
        <v>3781</v>
      </c>
      <c r="L1065" s="51" t="s">
        <v>211</v>
      </c>
      <c r="M1065" s="62" t="s">
        <v>22</v>
      </c>
      <c r="N1065" s="62" t="s">
        <v>27</v>
      </c>
      <c r="O1065" s="62" t="s">
        <v>22</v>
      </c>
      <c r="P1065" s="53"/>
      <c r="Q1065" s="53"/>
      <c r="R1065" s="237"/>
      <c r="S1065" s="51"/>
      <c r="T1065" s="223"/>
      <c r="U1065" s="135"/>
      <c r="V1065" s="138"/>
      <c r="W1065" s="223"/>
      <c r="X1065" s="149"/>
      <c r="Y1065" s="45" t="s">
        <v>27</v>
      </c>
      <c r="Z1065" s="45" t="s">
        <v>27</v>
      </c>
      <c r="AA1065" s="45" t="s">
        <v>27</v>
      </c>
      <c r="AB1065" s="51"/>
      <c r="AC1065" s="169"/>
    </row>
    <row r="1066" spans="1:29" ht="15" customHeight="1">
      <c r="A1066" s="289" t="s">
        <v>203</v>
      </c>
      <c r="B1066" s="289" t="s">
        <v>3789</v>
      </c>
      <c r="C1066" s="289" t="s">
        <v>27</v>
      </c>
      <c r="D1066" s="53" t="s">
        <v>2759</v>
      </c>
      <c r="E1066" s="290" t="s">
        <v>2008</v>
      </c>
      <c r="F1066" s="289">
        <v>3316809</v>
      </c>
      <c r="G1066" s="289" t="s">
        <v>4672</v>
      </c>
      <c r="H1066" s="371" t="s">
        <v>3084</v>
      </c>
      <c r="I1066" s="289" t="s">
        <v>21</v>
      </c>
      <c r="J1066" s="289" t="s">
        <v>223</v>
      </c>
      <c r="K1066" s="289" t="s">
        <v>337</v>
      </c>
      <c r="L1066" s="51" t="s">
        <v>4464</v>
      </c>
      <c r="M1066" s="290" t="s">
        <v>22</v>
      </c>
      <c r="N1066" s="289" t="s">
        <v>22</v>
      </c>
      <c r="O1066" s="290" t="s">
        <v>22</v>
      </c>
      <c r="P1066" s="291" t="s">
        <v>4465</v>
      </c>
      <c r="Q1066" s="292" t="s">
        <v>4919</v>
      </c>
      <c r="R1066" s="289" t="s">
        <v>5464</v>
      </c>
      <c r="S1066" s="289" t="s">
        <v>5164</v>
      </c>
      <c r="T1066" s="293" t="s">
        <v>4920</v>
      </c>
      <c r="U1066" s="294" t="s">
        <v>6176</v>
      </c>
      <c r="V1066" s="295" t="s">
        <v>6177</v>
      </c>
      <c r="W1066" s="293"/>
      <c r="X1066" s="296"/>
      <c r="Y1066" s="114" t="s">
        <v>27</v>
      </c>
      <c r="Z1066" s="114" t="s">
        <v>27</v>
      </c>
      <c r="AA1066" s="114" t="s">
        <v>27</v>
      </c>
      <c r="AB1066" s="370" t="s">
        <v>2887</v>
      </c>
      <c r="AC1066" s="524"/>
    </row>
    <row r="1067" spans="1:29" ht="15" customHeight="1">
      <c r="A1067" s="289" t="s">
        <v>203</v>
      </c>
      <c r="B1067" s="289" t="s">
        <v>3790</v>
      </c>
      <c r="C1067" s="289" t="s">
        <v>27</v>
      </c>
      <c r="D1067" s="289" t="s">
        <v>25</v>
      </c>
      <c r="E1067" s="290" t="s">
        <v>2008</v>
      </c>
      <c r="F1067" s="289">
        <v>3516352</v>
      </c>
      <c r="G1067" s="289" t="s">
        <v>4673</v>
      </c>
      <c r="H1067" s="371" t="s">
        <v>3084</v>
      </c>
      <c r="I1067" s="289" t="s">
        <v>21</v>
      </c>
      <c r="J1067" s="289" t="s">
        <v>204</v>
      </c>
      <c r="K1067" s="289" t="s">
        <v>206</v>
      </c>
      <c r="L1067" s="51" t="s">
        <v>4464</v>
      </c>
      <c r="M1067" s="290" t="s">
        <v>22</v>
      </c>
      <c r="N1067" s="289" t="s">
        <v>27</v>
      </c>
      <c r="O1067" s="290" t="s">
        <v>22</v>
      </c>
      <c r="P1067" s="291" t="s">
        <v>4465</v>
      </c>
      <c r="Q1067" s="292" t="s">
        <v>4922</v>
      </c>
      <c r="R1067" s="289" t="s">
        <v>5417</v>
      </c>
      <c r="S1067" s="289" t="s">
        <v>5418</v>
      </c>
      <c r="T1067" s="293">
        <v>18101234804</v>
      </c>
      <c r="U1067" s="294" t="s">
        <v>5612</v>
      </c>
      <c r="V1067" s="295" t="s">
        <v>5613</v>
      </c>
      <c r="W1067" s="293"/>
      <c r="X1067" s="296">
        <v>43372</v>
      </c>
      <c r="Y1067" s="114" t="s">
        <v>27</v>
      </c>
      <c r="Z1067" s="114" t="s">
        <v>27</v>
      </c>
      <c r="AA1067" s="114" t="s">
        <v>27</v>
      </c>
      <c r="AB1067" s="370" t="s">
        <v>2887</v>
      </c>
      <c r="AC1067" s="524"/>
    </row>
    <row r="1068" spans="1:29" ht="15" customHeight="1">
      <c r="A1068" s="289" t="s">
        <v>203</v>
      </c>
      <c r="B1068" s="289" t="s">
        <v>3791</v>
      </c>
      <c r="C1068" s="289" t="s">
        <v>27</v>
      </c>
      <c r="D1068" s="53" t="s">
        <v>2758</v>
      </c>
      <c r="E1068" s="290" t="s">
        <v>17</v>
      </c>
      <c r="F1068" s="289">
        <v>3299836</v>
      </c>
      <c r="G1068" s="289" t="s">
        <v>4674</v>
      </c>
      <c r="H1068" s="371" t="s">
        <v>3084</v>
      </c>
      <c r="I1068" s="289" t="s">
        <v>21</v>
      </c>
      <c r="J1068" s="289" t="s">
        <v>209</v>
      </c>
      <c r="K1068" s="289" t="s">
        <v>26</v>
      </c>
      <c r="L1068" s="51" t="s">
        <v>4464</v>
      </c>
      <c r="M1068" s="290" t="s">
        <v>22</v>
      </c>
      <c r="N1068" s="289" t="s">
        <v>22</v>
      </c>
      <c r="O1068" s="290" t="s">
        <v>22</v>
      </c>
      <c r="P1068" s="291" t="s">
        <v>4465</v>
      </c>
      <c r="Q1068" s="292" t="s">
        <v>4923</v>
      </c>
      <c r="R1068" s="289" t="s">
        <v>5168</v>
      </c>
      <c r="S1068" s="289" t="s">
        <v>5169</v>
      </c>
      <c r="T1068" s="293" t="s">
        <v>4924</v>
      </c>
      <c r="U1068" s="294" t="s">
        <v>6178</v>
      </c>
      <c r="V1068" s="295" t="s">
        <v>6179</v>
      </c>
      <c r="W1068" s="293"/>
      <c r="X1068" s="296"/>
      <c r="Y1068" s="114" t="s">
        <v>27</v>
      </c>
      <c r="Z1068" s="114" t="s">
        <v>27</v>
      </c>
      <c r="AA1068" s="114" t="s">
        <v>27</v>
      </c>
      <c r="AB1068" s="370" t="s">
        <v>2887</v>
      </c>
      <c r="AC1068" s="524"/>
    </row>
    <row r="1069" spans="1:29" ht="15" customHeight="1">
      <c r="A1069" s="289" t="s">
        <v>203</v>
      </c>
      <c r="B1069" s="289" t="s">
        <v>4925</v>
      </c>
      <c r="C1069" s="289" t="s">
        <v>27</v>
      </c>
      <c r="D1069" s="53" t="s">
        <v>2758</v>
      </c>
      <c r="E1069" s="290" t="s">
        <v>17</v>
      </c>
      <c r="F1069" s="289">
        <v>3633203</v>
      </c>
      <c r="G1069" s="289" t="s">
        <v>4675</v>
      </c>
      <c r="H1069" s="371" t="s">
        <v>3084</v>
      </c>
      <c r="I1069" s="289" t="s">
        <v>21</v>
      </c>
      <c r="J1069" s="289" t="s">
        <v>223</v>
      </c>
      <c r="K1069" s="289" t="s">
        <v>337</v>
      </c>
      <c r="L1069" s="51" t="s">
        <v>4464</v>
      </c>
      <c r="M1069" s="290" t="s">
        <v>22</v>
      </c>
      <c r="N1069" s="289" t="s">
        <v>22</v>
      </c>
      <c r="O1069" s="290" t="s">
        <v>22</v>
      </c>
      <c r="P1069" s="291" t="s">
        <v>4465</v>
      </c>
      <c r="Q1069" s="292" t="s">
        <v>4926</v>
      </c>
      <c r="R1069" s="289" t="s">
        <v>5170</v>
      </c>
      <c r="S1069" s="289" t="s">
        <v>5171</v>
      </c>
      <c r="T1069" s="293">
        <v>18519334565</v>
      </c>
      <c r="U1069" s="294" t="s">
        <v>6180</v>
      </c>
      <c r="V1069" s="295" t="s">
        <v>6181</v>
      </c>
      <c r="W1069" s="293"/>
      <c r="X1069" s="296"/>
      <c r="Y1069" s="114" t="s">
        <v>27</v>
      </c>
      <c r="Z1069" s="114" t="s">
        <v>27</v>
      </c>
      <c r="AA1069" s="114" t="s">
        <v>27</v>
      </c>
      <c r="AB1069" s="370" t="s">
        <v>2887</v>
      </c>
      <c r="AC1069" s="524"/>
    </row>
    <row r="1070" spans="1:29" ht="15" customHeight="1">
      <c r="A1070" s="289" t="s">
        <v>203</v>
      </c>
      <c r="B1070" s="289" t="s">
        <v>4927</v>
      </c>
      <c r="C1070" s="289" t="s">
        <v>27</v>
      </c>
      <c r="D1070" s="53" t="s">
        <v>2758</v>
      </c>
      <c r="E1070" s="290" t="s">
        <v>17</v>
      </c>
      <c r="F1070" s="289">
        <v>2794260</v>
      </c>
      <c r="G1070" s="289" t="s">
        <v>4676</v>
      </c>
      <c r="H1070" s="371" t="s">
        <v>3084</v>
      </c>
      <c r="I1070" s="289" t="s">
        <v>21</v>
      </c>
      <c r="J1070" s="289" t="s">
        <v>204</v>
      </c>
      <c r="K1070" s="289" t="s">
        <v>3650</v>
      </c>
      <c r="L1070" s="51" t="s">
        <v>4464</v>
      </c>
      <c r="M1070" s="290" t="s">
        <v>22</v>
      </c>
      <c r="N1070" s="289" t="s">
        <v>27</v>
      </c>
      <c r="O1070" s="290" t="s">
        <v>22</v>
      </c>
      <c r="P1070" s="291" t="s">
        <v>4465</v>
      </c>
      <c r="Q1070" s="292" t="s">
        <v>4928</v>
      </c>
      <c r="R1070" s="289" t="s">
        <v>5172</v>
      </c>
      <c r="S1070" s="289" t="s">
        <v>5173</v>
      </c>
      <c r="T1070" s="293" t="s">
        <v>4929</v>
      </c>
      <c r="U1070" s="294" t="s">
        <v>6183</v>
      </c>
      <c r="V1070" s="295" t="s">
        <v>6184</v>
      </c>
      <c r="W1070" s="293"/>
      <c r="X1070" s="296"/>
      <c r="Y1070" s="114" t="s">
        <v>27</v>
      </c>
      <c r="Z1070" s="114" t="s">
        <v>27</v>
      </c>
      <c r="AA1070" s="114" t="s">
        <v>27</v>
      </c>
      <c r="AB1070" s="370" t="s">
        <v>2887</v>
      </c>
      <c r="AC1070" s="524"/>
    </row>
    <row r="1071" spans="1:29" ht="15" customHeight="1">
      <c r="A1071" s="289" t="s">
        <v>203</v>
      </c>
      <c r="B1071" s="289" t="s">
        <v>278</v>
      </c>
      <c r="C1071" s="289" t="s">
        <v>22</v>
      </c>
      <c r="D1071" s="53" t="s">
        <v>2758</v>
      </c>
      <c r="E1071" s="290" t="s">
        <v>2008</v>
      </c>
      <c r="F1071" s="289">
        <v>3220102</v>
      </c>
      <c r="G1071" s="289" t="s">
        <v>5051</v>
      </c>
      <c r="H1071" s="371" t="s">
        <v>3084</v>
      </c>
      <c r="I1071" s="289" t="s">
        <v>60</v>
      </c>
      <c r="J1071" s="289" t="s">
        <v>6871</v>
      </c>
      <c r="K1071" s="289" t="s">
        <v>2650</v>
      </c>
      <c r="L1071" s="51" t="s">
        <v>4464</v>
      </c>
      <c r="M1071" s="290" t="s">
        <v>22</v>
      </c>
      <c r="N1071" s="289" t="s">
        <v>22</v>
      </c>
      <c r="O1071" s="290" t="s">
        <v>27</v>
      </c>
      <c r="P1071" s="291" t="s">
        <v>3215</v>
      </c>
      <c r="Q1071" s="292" t="s">
        <v>3891</v>
      </c>
      <c r="R1071" s="289" t="s">
        <v>6872</v>
      </c>
      <c r="S1071" s="289" t="s">
        <v>6873</v>
      </c>
      <c r="T1071" s="293" t="s">
        <v>6874</v>
      </c>
      <c r="U1071" s="294" t="s">
        <v>6875</v>
      </c>
      <c r="V1071" s="295" t="s">
        <v>6876</v>
      </c>
      <c r="W1071" s="293" t="s">
        <v>6877</v>
      </c>
      <c r="X1071" s="296">
        <v>43469</v>
      </c>
      <c r="Y1071" s="114" t="s">
        <v>27</v>
      </c>
      <c r="Z1071" s="114" t="s">
        <v>27</v>
      </c>
      <c r="AA1071" s="114" t="s">
        <v>349</v>
      </c>
      <c r="AB1071" s="370" t="s">
        <v>6523</v>
      </c>
      <c r="AC1071" s="524" t="s">
        <v>7080</v>
      </c>
    </row>
    <row r="1072" spans="1:29" ht="15" customHeight="1">
      <c r="A1072" s="289" t="s">
        <v>203</v>
      </c>
      <c r="B1072" s="289" t="s">
        <v>3175</v>
      </c>
      <c r="C1072" s="289" t="s">
        <v>22</v>
      </c>
      <c r="D1072" s="53" t="s">
        <v>2758</v>
      </c>
      <c r="E1072" s="290" t="s">
        <v>2008</v>
      </c>
      <c r="F1072" s="289">
        <v>3633194</v>
      </c>
      <c r="G1072" s="289" t="s">
        <v>6504</v>
      </c>
      <c r="H1072" s="371" t="s">
        <v>3084</v>
      </c>
      <c r="I1072" s="289" t="s">
        <v>21</v>
      </c>
      <c r="J1072" s="289" t="s">
        <v>209</v>
      </c>
      <c r="K1072" s="289" t="s">
        <v>26</v>
      </c>
      <c r="L1072" s="51" t="s">
        <v>4464</v>
      </c>
      <c r="M1072" s="290" t="s">
        <v>27</v>
      </c>
      <c r="N1072" s="289" t="s">
        <v>22</v>
      </c>
      <c r="O1072" s="290" t="s">
        <v>22</v>
      </c>
      <c r="P1072" s="291" t="s">
        <v>4428</v>
      </c>
      <c r="Q1072" s="292" t="s">
        <v>6505</v>
      </c>
      <c r="R1072" s="289" t="s">
        <v>5247</v>
      </c>
      <c r="S1072" s="289" t="s">
        <v>5248</v>
      </c>
      <c r="T1072" s="293" t="s">
        <v>5467</v>
      </c>
      <c r="U1072" s="294" t="s">
        <v>6267</v>
      </c>
      <c r="V1072" s="295" t="s">
        <v>6268</v>
      </c>
      <c r="W1072" s="293"/>
      <c r="X1072" s="296" t="s">
        <v>6506</v>
      </c>
      <c r="Y1072" s="114" t="s">
        <v>27</v>
      </c>
      <c r="Z1072" s="114" t="s">
        <v>27</v>
      </c>
      <c r="AA1072" s="114" t="s">
        <v>349</v>
      </c>
      <c r="AB1072" s="370" t="s">
        <v>6523</v>
      </c>
      <c r="AC1072" s="524"/>
    </row>
    <row r="1073" spans="1:29" ht="15" customHeight="1">
      <c r="A1073" s="289" t="s">
        <v>203</v>
      </c>
      <c r="B1073" s="289" t="s">
        <v>2992</v>
      </c>
      <c r="C1073" s="289" t="s">
        <v>22</v>
      </c>
      <c r="D1073" s="53" t="s">
        <v>2758</v>
      </c>
      <c r="E1073" s="290" t="s">
        <v>2008</v>
      </c>
      <c r="F1073" s="289">
        <v>3648398</v>
      </c>
      <c r="G1073" s="289" t="s">
        <v>5051</v>
      </c>
      <c r="H1073" s="371" t="s">
        <v>3084</v>
      </c>
      <c r="I1073" s="289" t="s">
        <v>60</v>
      </c>
      <c r="J1073" s="289" t="s">
        <v>6878</v>
      </c>
      <c r="K1073" s="289" t="s">
        <v>2651</v>
      </c>
      <c r="L1073" s="51" t="s">
        <v>4464</v>
      </c>
      <c r="M1073" s="290" t="s">
        <v>22</v>
      </c>
      <c r="N1073" s="289" t="s">
        <v>22</v>
      </c>
      <c r="O1073" s="290" t="s">
        <v>27</v>
      </c>
      <c r="P1073" s="291" t="s">
        <v>3389</v>
      </c>
      <c r="Q1073" s="292" t="s">
        <v>4148</v>
      </c>
      <c r="R1073" s="289" t="s">
        <v>6879</v>
      </c>
      <c r="S1073" s="289" t="s">
        <v>6880</v>
      </c>
      <c r="T1073" s="293" t="s">
        <v>6881</v>
      </c>
      <c r="U1073" s="294" t="s">
        <v>6882</v>
      </c>
      <c r="V1073" s="295" t="s">
        <v>6883</v>
      </c>
      <c r="W1073" s="293" t="s">
        <v>6884</v>
      </c>
      <c r="X1073" s="296" t="s">
        <v>7086</v>
      </c>
      <c r="Y1073" s="114" t="s">
        <v>27</v>
      </c>
      <c r="Z1073" s="114" t="s">
        <v>27</v>
      </c>
      <c r="AA1073" s="114" t="s">
        <v>349</v>
      </c>
      <c r="AB1073" s="370" t="s">
        <v>6523</v>
      </c>
      <c r="AC1073" s="524" t="s">
        <v>7080</v>
      </c>
    </row>
    <row r="1074" spans="1:29" ht="15" customHeight="1">
      <c r="A1074" s="289" t="s">
        <v>203</v>
      </c>
      <c r="B1074" s="289" t="s">
        <v>2993</v>
      </c>
      <c r="C1074" s="289" t="s">
        <v>22</v>
      </c>
      <c r="D1074" s="53" t="s">
        <v>2758</v>
      </c>
      <c r="E1074" s="290" t="s">
        <v>2008</v>
      </c>
      <c r="F1074" s="289">
        <v>3633159</v>
      </c>
      <c r="G1074" s="289" t="s">
        <v>5051</v>
      </c>
      <c r="H1074" s="371" t="s">
        <v>3084</v>
      </c>
      <c r="I1074" s="289" t="s">
        <v>60</v>
      </c>
      <c r="J1074" s="289" t="s">
        <v>6885</v>
      </c>
      <c r="K1074" s="289" t="s">
        <v>6257</v>
      </c>
      <c r="L1074" s="51" t="s">
        <v>4464</v>
      </c>
      <c r="M1074" s="290" t="s">
        <v>22</v>
      </c>
      <c r="N1074" s="289" t="s">
        <v>22</v>
      </c>
      <c r="O1074" s="290" t="s">
        <v>27</v>
      </c>
      <c r="P1074" s="291" t="s">
        <v>3389</v>
      </c>
      <c r="Q1074" s="292" t="s">
        <v>4149</v>
      </c>
      <c r="R1074" s="289" t="s">
        <v>6886</v>
      </c>
      <c r="S1074" s="289" t="s">
        <v>6887</v>
      </c>
      <c r="T1074" s="293" t="s">
        <v>6888</v>
      </c>
      <c r="U1074" s="294" t="s">
        <v>6889</v>
      </c>
      <c r="V1074" s="295" t="s">
        <v>6890</v>
      </c>
      <c r="W1074" s="293" t="s">
        <v>6891</v>
      </c>
      <c r="X1074" s="296" t="s">
        <v>7086</v>
      </c>
      <c r="Y1074" s="114" t="s">
        <v>27</v>
      </c>
      <c r="Z1074" s="114" t="s">
        <v>27</v>
      </c>
      <c r="AA1074" s="114" t="s">
        <v>349</v>
      </c>
      <c r="AB1074" s="370" t="s">
        <v>6523</v>
      </c>
      <c r="AC1074" s="524" t="s">
        <v>7080</v>
      </c>
    </row>
    <row r="1075" spans="1:29" ht="15" customHeight="1">
      <c r="A1075" s="289" t="s">
        <v>203</v>
      </c>
      <c r="B1075" s="289" t="s">
        <v>4930</v>
      </c>
      <c r="C1075" s="289" t="s">
        <v>22</v>
      </c>
      <c r="D1075" s="53" t="s">
        <v>2758</v>
      </c>
      <c r="E1075" s="290" t="s">
        <v>17</v>
      </c>
      <c r="F1075" s="289">
        <v>3648372</v>
      </c>
      <c r="G1075" s="289" t="s">
        <v>4677</v>
      </c>
      <c r="H1075" s="371" t="s">
        <v>3084</v>
      </c>
      <c r="I1075" s="289" t="s">
        <v>21</v>
      </c>
      <c r="J1075" s="289" t="s">
        <v>209</v>
      </c>
      <c r="K1075" s="289" t="s">
        <v>26</v>
      </c>
      <c r="L1075" s="51" t="s">
        <v>4464</v>
      </c>
      <c r="M1075" s="290" t="s">
        <v>22</v>
      </c>
      <c r="N1075" s="289" t="s">
        <v>22</v>
      </c>
      <c r="O1075" s="290" t="s">
        <v>22</v>
      </c>
      <c r="P1075" s="291" t="s">
        <v>4465</v>
      </c>
      <c r="Q1075" s="292" t="s">
        <v>4931</v>
      </c>
      <c r="R1075" s="289" t="s">
        <v>6580</v>
      </c>
      <c r="S1075" s="289" t="s">
        <v>6581</v>
      </c>
      <c r="T1075" s="293" t="s">
        <v>4466</v>
      </c>
      <c r="U1075" s="294" t="s">
        <v>6582</v>
      </c>
      <c r="V1075" s="295" t="s">
        <v>6583</v>
      </c>
      <c r="W1075" s="293"/>
      <c r="X1075" s="296">
        <v>43453</v>
      </c>
      <c r="Y1075" s="114" t="s">
        <v>27</v>
      </c>
      <c r="Z1075" s="114" t="s">
        <v>27</v>
      </c>
      <c r="AA1075" s="114" t="s">
        <v>27</v>
      </c>
      <c r="AB1075" s="370" t="s">
        <v>2888</v>
      </c>
      <c r="AC1075" s="524" t="s">
        <v>5772</v>
      </c>
    </row>
    <row r="1076" spans="1:29" ht="15" customHeight="1">
      <c r="A1076" s="289" t="s">
        <v>203</v>
      </c>
      <c r="B1076" s="289" t="s">
        <v>4467</v>
      </c>
      <c r="C1076" s="289" t="s">
        <v>27</v>
      </c>
      <c r="D1076" s="289" t="s">
        <v>2759</v>
      </c>
      <c r="E1076" s="290" t="s">
        <v>17</v>
      </c>
      <c r="F1076" s="289">
        <v>3648354</v>
      </c>
      <c r="G1076" s="289" t="s">
        <v>4677</v>
      </c>
      <c r="H1076" s="371" t="s">
        <v>3084</v>
      </c>
      <c r="I1076" s="289" t="s">
        <v>21</v>
      </c>
      <c r="J1076" s="289" t="s">
        <v>223</v>
      </c>
      <c r="K1076" s="289" t="s">
        <v>33</v>
      </c>
      <c r="L1076" s="51" t="s">
        <v>4464</v>
      </c>
      <c r="M1076" s="290" t="s">
        <v>22</v>
      </c>
      <c r="N1076" s="289" t="s">
        <v>22</v>
      </c>
      <c r="O1076" s="290" t="s">
        <v>22</v>
      </c>
      <c r="P1076" s="291" t="s">
        <v>4465</v>
      </c>
      <c r="Q1076" s="292" t="s">
        <v>4933</v>
      </c>
      <c r="R1076" s="289" t="s">
        <v>5176</v>
      </c>
      <c r="S1076" s="289" t="s">
        <v>5177</v>
      </c>
      <c r="T1076" s="293" t="s">
        <v>6507</v>
      </c>
      <c r="U1076" s="294" t="s">
        <v>6185</v>
      </c>
      <c r="V1076" s="295" t="s">
        <v>6186</v>
      </c>
      <c r="W1076" s="293"/>
      <c r="X1076" s="296"/>
      <c r="Y1076" s="114" t="s">
        <v>27</v>
      </c>
      <c r="Z1076" s="114" t="s">
        <v>27</v>
      </c>
      <c r="AA1076" s="114" t="s">
        <v>27</v>
      </c>
      <c r="AB1076" s="370" t="s">
        <v>2887</v>
      </c>
      <c r="AC1076" s="524"/>
    </row>
    <row r="1077" spans="1:29" ht="15" customHeight="1">
      <c r="A1077" s="289" t="s">
        <v>203</v>
      </c>
      <c r="B1077" s="289" t="s">
        <v>4468</v>
      </c>
      <c r="C1077" s="289" t="s">
        <v>22</v>
      </c>
      <c r="D1077" s="53" t="s">
        <v>2758</v>
      </c>
      <c r="E1077" s="290" t="s">
        <v>17</v>
      </c>
      <c r="F1077" s="289">
        <v>3648334</v>
      </c>
      <c r="G1077" s="289" t="s">
        <v>4678</v>
      </c>
      <c r="H1077" s="371" t="s">
        <v>3084</v>
      </c>
      <c r="I1077" s="289" t="s">
        <v>21</v>
      </c>
      <c r="J1077" s="289" t="s">
        <v>209</v>
      </c>
      <c r="K1077" s="289" t="s">
        <v>26</v>
      </c>
      <c r="L1077" s="51" t="s">
        <v>4464</v>
      </c>
      <c r="M1077" s="290" t="s">
        <v>22</v>
      </c>
      <c r="N1077" s="289" t="s">
        <v>22</v>
      </c>
      <c r="O1077" s="290" t="s">
        <v>22</v>
      </c>
      <c r="P1077" s="291" t="s">
        <v>4465</v>
      </c>
      <c r="Q1077" s="292" t="s">
        <v>4934</v>
      </c>
      <c r="R1077" s="289" t="e">
        <v>#N/A</v>
      </c>
      <c r="S1077" s="289" t="e">
        <v>#N/A</v>
      </c>
      <c r="T1077" s="293" t="s">
        <v>6584</v>
      </c>
      <c r="U1077" s="294" t="e">
        <v>#N/A</v>
      </c>
      <c r="V1077" s="295" t="e">
        <v>#N/A</v>
      </c>
      <c r="W1077" s="293"/>
      <c r="X1077" s="296">
        <v>43453</v>
      </c>
      <c r="Y1077" s="114" t="s">
        <v>27</v>
      </c>
      <c r="Z1077" s="114" t="s">
        <v>27</v>
      </c>
      <c r="AA1077" s="114" t="s">
        <v>27</v>
      </c>
      <c r="AB1077" s="370" t="s">
        <v>2888</v>
      </c>
      <c r="AC1077" s="524" t="s">
        <v>5772</v>
      </c>
    </row>
    <row r="1078" spans="1:29" ht="15" customHeight="1">
      <c r="A1078" s="289" t="s">
        <v>203</v>
      </c>
      <c r="B1078" s="289" t="s">
        <v>4471</v>
      </c>
      <c r="C1078" s="289" t="s">
        <v>27</v>
      </c>
      <c r="D1078" s="53" t="s">
        <v>2758</v>
      </c>
      <c r="E1078" s="290" t="s">
        <v>17</v>
      </c>
      <c r="F1078" s="289">
        <v>3648353</v>
      </c>
      <c r="G1078" s="289" t="s">
        <v>4678</v>
      </c>
      <c r="H1078" s="371" t="s">
        <v>3084</v>
      </c>
      <c r="I1078" s="289" t="s">
        <v>60</v>
      </c>
      <c r="J1078" s="289" t="s">
        <v>2486</v>
      </c>
      <c r="K1078" s="289" t="s">
        <v>2651</v>
      </c>
      <c r="L1078" s="51" t="s">
        <v>4464</v>
      </c>
      <c r="M1078" s="290" t="s">
        <v>22</v>
      </c>
      <c r="N1078" s="289" t="s">
        <v>22</v>
      </c>
      <c r="O1078" s="290" t="s">
        <v>22</v>
      </c>
      <c r="P1078" s="291" t="s">
        <v>4465</v>
      </c>
      <c r="Q1078" s="292" t="s">
        <v>4936</v>
      </c>
      <c r="R1078" s="289" t="s">
        <v>5179</v>
      </c>
      <c r="S1078" s="289" t="s">
        <v>5180</v>
      </c>
      <c r="T1078" s="293" t="s">
        <v>5416</v>
      </c>
      <c r="U1078" s="294" t="s">
        <v>6187</v>
      </c>
      <c r="V1078" s="295" t="s">
        <v>6188</v>
      </c>
      <c r="W1078" s="293" t="s">
        <v>4472</v>
      </c>
      <c r="X1078" s="296">
        <v>43361</v>
      </c>
      <c r="Y1078" s="114" t="s">
        <v>27</v>
      </c>
      <c r="Z1078" s="114" t="s">
        <v>27</v>
      </c>
      <c r="AA1078" s="114" t="s">
        <v>27</v>
      </c>
      <c r="AB1078" s="370" t="s">
        <v>2887</v>
      </c>
      <c r="AC1078" s="524"/>
    </row>
    <row r="1079" spans="1:29" ht="15" customHeight="1">
      <c r="A1079" s="289" t="s">
        <v>203</v>
      </c>
      <c r="B1079" s="289" t="s">
        <v>4473</v>
      </c>
      <c r="C1079" s="289" t="s">
        <v>22</v>
      </c>
      <c r="D1079" s="53" t="s">
        <v>25</v>
      </c>
      <c r="E1079" s="290" t="s">
        <v>17</v>
      </c>
      <c r="F1079" s="289">
        <v>3648284</v>
      </c>
      <c r="G1079" s="289" t="s">
        <v>4679</v>
      </c>
      <c r="H1079" s="371" t="s">
        <v>3084</v>
      </c>
      <c r="I1079" s="289" t="s">
        <v>21</v>
      </c>
      <c r="J1079" s="289" t="s">
        <v>209</v>
      </c>
      <c r="K1079" s="289" t="s">
        <v>26</v>
      </c>
      <c r="L1079" s="51" t="s">
        <v>4464</v>
      </c>
      <c r="M1079" s="290" t="s">
        <v>22</v>
      </c>
      <c r="N1079" s="289" t="s">
        <v>22</v>
      </c>
      <c r="O1079" s="290" t="s">
        <v>22</v>
      </c>
      <c r="P1079" s="291" t="s">
        <v>4465</v>
      </c>
      <c r="Q1079" s="292" t="s">
        <v>4937</v>
      </c>
      <c r="R1079" s="289" t="s">
        <v>6585</v>
      </c>
      <c r="S1079" s="289" t="s">
        <v>6586</v>
      </c>
      <c r="T1079" s="293" t="s">
        <v>6587</v>
      </c>
      <c r="U1079" s="294" t="s">
        <v>6588</v>
      </c>
      <c r="V1079" s="295" t="s">
        <v>6589</v>
      </c>
      <c r="W1079" s="293"/>
      <c r="X1079" s="296">
        <v>43453</v>
      </c>
      <c r="Y1079" s="114" t="s">
        <v>27</v>
      </c>
      <c r="Z1079" s="114" t="s">
        <v>27</v>
      </c>
      <c r="AA1079" s="114" t="s">
        <v>27</v>
      </c>
      <c r="AB1079" s="370" t="s">
        <v>2888</v>
      </c>
      <c r="AC1079" s="524" t="s">
        <v>5772</v>
      </c>
    </row>
    <row r="1080" spans="1:29">
      <c r="A1080" s="289" t="s">
        <v>203</v>
      </c>
      <c r="B1080" s="289" t="s">
        <v>4475</v>
      </c>
      <c r="C1080" s="289" t="s">
        <v>27</v>
      </c>
      <c r="D1080" s="53" t="s">
        <v>2758</v>
      </c>
      <c r="E1080" s="290" t="s">
        <v>17</v>
      </c>
      <c r="F1080" s="289">
        <v>3648464</v>
      </c>
      <c r="G1080" s="289" t="s">
        <v>4679</v>
      </c>
      <c r="H1080" s="371" t="s">
        <v>3084</v>
      </c>
      <c r="I1080" s="289" t="s">
        <v>21</v>
      </c>
      <c r="J1080" s="289" t="s">
        <v>209</v>
      </c>
      <c r="K1080" s="289" t="s">
        <v>26</v>
      </c>
      <c r="L1080" s="51" t="s">
        <v>4464</v>
      </c>
      <c r="M1080" s="290" t="s">
        <v>22</v>
      </c>
      <c r="N1080" s="289" t="s">
        <v>22</v>
      </c>
      <c r="O1080" s="290" t="s">
        <v>22</v>
      </c>
      <c r="P1080" s="291" t="s">
        <v>4465</v>
      </c>
      <c r="Q1080" s="292" t="s">
        <v>4939</v>
      </c>
      <c r="R1080" s="289" t="s">
        <v>5182</v>
      </c>
      <c r="S1080" s="289" t="s">
        <v>5183</v>
      </c>
      <c r="T1080" s="293" t="s">
        <v>4940</v>
      </c>
      <c r="U1080" s="294" t="s">
        <v>6189</v>
      </c>
      <c r="V1080" s="295" t="s">
        <v>6190</v>
      </c>
      <c r="W1080" s="293"/>
      <c r="X1080" s="296"/>
      <c r="Y1080" s="114" t="s">
        <v>27</v>
      </c>
      <c r="Z1080" s="114" t="s">
        <v>27</v>
      </c>
      <c r="AA1080" s="114" t="s">
        <v>27</v>
      </c>
      <c r="AB1080" s="370" t="s">
        <v>2887</v>
      </c>
      <c r="AC1080" s="524"/>
    </row>
    <row r="1081" spans="1:29">
      <c r="A1081" s="289" t="s">
        <v>203</v>
      </c>
      <c r="B1081" s="289" t="s">
        <v>4476</v>
      </c>
      <c r="C1081" s="289" t="s">
        <v>27</v>
      </c>
      <c r="D1081" s="53" t="s">
        <v>2758</v>
      </c>
      <c r="E1081" s="290" t="s">
        <v>17</v>
      </c>
      <c r="F1081" s="289">
        <v>3648275</v>
      </c>
      <c r="G1081" s="289" t="s">
        <v>4680</v>
      </c>
      <c r="H1081" s="371" t="s">
        <v>3084</v>
      </c>
      <c r="I1081" s="289" t="s">
        <v>21</v>
      </c>
      <c r="J1081" s="289" t="s">
        <v>204</v>
      </c>
      <c r="K1081" s="289" t="s">
        <v>206</v>
      </c>
      <c r="L1081" s="51" t="s">
        <v>4464</v>
      </c>
      <c r="M1081" s="290" t="s">
        <v>22</v>
      </c>
      <c r="N1081" s="289" t="s">
        <v>27</v>
      </c>
      <c r="O1081" s="290" t="s">
        <v>22</v>
      </c>
      <c r="P1081" s="291" t="s">
        <v>4465</v>
      </c>
      <c r="Q1081" s="292" t="s">
        <v>4941</v>
      </c>
      <c r="R1081" s="289" t="s">
        <v>5184</v>
      </c>
      <c r="S1081" s="289" t="s">
        <v>5185</v>
      </c>
      <c r="T1081" s="293">
        <v>18010341436</v>
      </c>
      <c r="U1081" s="294" t="s">
        <v>6191</v>
      </c>
      <c r="V1081" s="295" t="s">
        <v>6192</v>
      </c>
      <c r="W1081" s="293"/>
      <c r="X1081" s="296"/>
      <c r="Y1081" s="114" t="s">
        <v>27</v>
      </c>
      <c r="Z1081" s="114" t="s">
        <v>27</v>
      </c>
      <c r="AA1081" s="114" t="s">
        <v>27</v>
      </c>
      <c r="AB1081" s="370" t="s">
        <v>2887</v>
      </c>
      <c r="AC1081" s="524"/>
    </row>
    <row r="1082" spans="1:29" ht="15" customHeight="1">
      <c r="A1082" s="289" t="s">
        <v>203</v>
      </c>
      <c r="B1082" s="289" t="s">
        <v>4477</v>
      </c>
      <c r="C1082" s="289" t="s">
        <v>27</v>
      </c>
      <c r="D1082" s="289" t="s">
        <v>2758</v>
      </c>
      <c r="E1082" s="290" t="s">
        <v>17</v>
      </c>
      <c r="F1082" s="289">
        <v>3648299</v>
      </c>
      <c r="G1082" s="289" t="s">
        <v>4680</v>
      </c>
      <c r="H1082" s="371" t="s">
        <v>3084</v>
      </c>
      <c r="I1082" s="289" t="s">
        <v>21</v>
      </c>
      <c r="J1082" s="289" t="s">
        <v>204</v>
      </c>
      <c r="K1082" s="289" t="s">
        <v>3650</v>
      </c>
      <c r="L1082" s="51" t="s">
        <v>4464</v>
      </c>
      <c r="M1082" s="290" t="s">
        <v>22</v>
      </c>
      <c r="N1082" s="289" t="s">
        <v>27</v>
      </c>
      <c r="O1082" s="290" t="s">
        <v>22</v>
      </c>
      <c r="P1082" s="291" t="s">
        <v>4465</v>
      </c>
      <c r="Q1082" s="292" t="s">
        <v>4942</v>
      </c>
      <c r="R1082" s="289">
        <v>0</v>
      </c>
      <c r="S1082" s="289" t="s">
        <v>6590</v>
      </c>
      <c r="T1082" s="293">
        <v>17319044051</v>
      </c>
      <c r="U1082" s="294" t="s">
        <v>6591</v>
      </c>
      <c r="V1082" s="295" t="s">
        <v>6592</v>
      </c>
      <c r="W1082" s="293"/>
      <c r="X1082" s="296">
        <v>43439</v>
      </c>
      <c r="Y1082" s="114" t="s">
        <v>27</v>
      </c>
      <c r="Z1082" s="114" t="s">
        <v>27</v>
      </c>
      <c r="AA1082" s="114" t="s">
        <v>27</v>
      </c>
      <c r="AB1082" s="370" t="s">
        <v>2887</v>
      </c>
      <c r="AC1082" s="524" t="s">
        <v>6508</v>
      </c>
    </row>
    <row r="1083" spans="1:29" ht="15" customHeight="1">
      <c r="A1083" s="289" t="s">
        <v>203</v>
      </c>
      <c r="B1083" s="289" t="s">
        <v>4478</v>
      </c>
      <c r="C1083" s="289" t="s">
        <v>27</v>
      </c>
      <c r="D1083" s="289" t="s">
        <v>2758</v>
      </c>
      <c r="E1083" s="290" t="s">
        <v>17</v>
      </c>
      <c r="F1083" s="289">
        <v>3648374</v>
      </c>
      <c r="G1083" s="289" t="s">
        <v>4681</v>
      </c>
      <c r="H1083" s="371" t="s">
        <v>3084</v>
      </c>
      <c r="I1083" s="289" t="s">
        <v>21</v>
      </c>
      <c r="J1083" s="289" t="s">
        <v>223</v>
      </c>
      <c r="K1083" s="289" t="s">
        <v>33</v>
      </c>
      <c r="L1083" s="51" t="s">
        <v>4464</v>
      </c>
      <c r="M1083" s="290" t="s">
        <v>22</v>
      </c>
      <c r="N1083" s="289" t="s">
        <v>22</v>
      </c>
      <c r="O1083" s="290" t="s">
        <v>22</v>
      </c>
      <c r="P1083" s="291" t="s">
        <v>4465</v>
      </c>
      <c r="Q1083" s="292" t="s">
        <v>4945</v>
      </c>
      <c r="R1083" s="289" t="s">
        <v>5187</v>
      </c>
      <c r="S1083" s="289" t="s">
        <v>5188</v>
      </c>
      <c r="T1083" s="293">
        <v>18511270549</v>
      </c>
      <c r="U1083" s="294" t="s">
        <v>6193</v>
      </c>
      <c r="V1083" s="295" t="s">
        <v>6194</v>
      </c>
      <c r="W1083" s="293"/>
      <c r="X1083" s="296"/>
      <c r="Y1083" s="114" t="s">
        <v>27</v>
      </c>
      <c r="Z1083" s="114" t="s">
        <v>27</v>
      </c>
      <c r="AA1083" s="114" t="s">
        <v>27</v>
      </c>
      <c r="AB1083" s="370" t="s">
        <v>2887</v>
      </c>
      <c r="AC1083" s="524" t="s">
        <v>5844</v>
      </c>
    </row>
    <row r="1084" spans="1:29" ht="15" customHeight="1">
      <c r="A1084" s="289" t="s">
        <v>203</v>
      </c>
      <c r="B1084" s="289" t="s">
        <v>4479</v>
      </c>
      <c r="C1084" s="289" t="s">
        <v>22</v>
      </c>
      <c r="D1084" s="53" t="s">
        <v>2758</v>
      </c>
      <c r="E1084" s="290" t="s">
        <v>17</v>
      </c>
      <c r="F1084" s="289">
        <v>3648512</v>
      </c>
      <c r="G1084" s="289" t="s">
        <v>4681</v>
      </c>
      <c r="H1084" s="371" t="s">
        <v>3084</v>
      </c>
      <c r="I1084" s="289" t="s">
        <v>21</v>
      </c>
      <c r="J1084" s="289" t="s">
        <v>209</v>
      </c>
      <c r="K1084" s="289" t="s">
        <v>61</v>
      </c>
      <c r="L1084" s="51" t="s">
        <v>4188</v>
      </c>
      <c r="M1084" s="290" t="s">
        <v>22</v>
      </c>
      <c r="N1084" s="289" t="s">
        <v>22</v>
      </c>
      <c r="O1084" s="290" t="s">
        <v>22</v>
      </c>
      <c r="P1084" s="291" t="s">
        <v>4465</v>
      </c>
      <c r="Q1084" s="292" t="s">
        <v>4946</v>
      </c>
      <c r="R1084" s="289" t="s">
        <v>5189</v>
      </c>
      <c r="S1084" s="289" t="s">
        <v>4947</v>
      </c>
      <c r="T1084" s="293" t="s">
        <v>6675</v>
      </c>
      <c r="U1084" s="294" t="s">
        <v>4949</v>
      </c>
      <c r="V1084" s="295">
        <v>0</v>
      </c>
      <c r="W1084" s="293"/>
      <c r="X1084" s="296">
        <v>43439</v>
      </c>
      <c r="Y1084" s="114" t="s">
        <v>27</v>
      </c>
      <c r="Z1084" s="114" t="s">
        <v>27</v>
      </c>
      <c r="AA1084" s="114" t="s">
        <v>27</v>
      </c>
      <c r="AB1084" s="370" t="s">
        <v>2475</v>
      </c>
      <c r="AC1084" s="524" t="s">
        <v>6658</v>
      </c>
    </row>
    <row r="1085" spans="1:29" ht="15" customHeight="1">
      <c r="A1085" s="289" t="s">
        <v>203</v>
      </c>
      <c r="B1085" s="289" t="s">
        <v>4950</v>
      </c>
      <c r="C1085" s="289" t="s">
        <v>22</v>
      </c>
      <c r="D1085" s="53" t="s">
        <v>4921</v>
      </c>
      <c r="E1085" s="290" t="s">
        <v>17</v>
      </c>
      <c r="F1085" s="289">
        <v>3648225</v>
      </c>
      <c r="G1085" s="289" t="s">
        <v>4682</v>
      </c>
      <c r="H1085" s="371" t="s">
        <v>3084</v>
      </c>
      <c r="I1085" s="289" t="s">
        <v>21</v>
      </c>
      <c r="J1085" s="289" t="s">
        <v>209</v>
      </c>
      <c r="K1085" s="289" t="s">
        <v>26</v>
      </c>
      <c r="L1085" s="51" t="s">
        <v>4464</v>
      </c>
      <c r="M1085" s="290" t="s">
        <v>22</v>
      </c>
      <c r="N1085" s="289" t="s">
        <v>22</v>
      </c>
      <c r="O1085" s="290" t="s">
        <v>22</v>
      </c>
      <c r="P1085" s="291" t="s">
        <v>4465</v>
      </c>
      <c r="Q1085" s="292" t="s">
        <v>4951</v>
      </c>
      <c r="R1085" s="289" t="s">
        <v>6593</v>
      </c>
      <c r="S1085" s="289" t="s">
        <v>6594</v>
      </c>
      <c r="T1085" s="293" t="s">
        <v>6595</v>
      </c>
      <c r="U1085" s="294" t="s">
        <v>6596</v>
      </c>
      <c r="V1085" s="295" t="s">
        <v>6597</v>
      </c>
      <c r="W1085" s="293"/>
      <c r="X1085" s="296">
        <v>43453</v>
      </c>
      <c r="Y1085" s="114" t="s">
        <v>27</v>
      </c>
      <c r="Z1085" s="114" t="s">
        <v>27</v>
      </c>
      <c r="AA1085" s="114" t="s">
        <v>27</v>
      </c>
      <c r="AB1085" s="370" t="s">
        <v>2888</v>
      </c>
      <c r="AC1085" s="524" t="s">
        <v>5772</v>
      </c>
    </row>
    <row r="1086" spans="1:29" ht="15" customHeight="1">
      <c r="A1086" s="289" t="s">
        <v>203</v>
      </c>
      <c r="B1086" s="289" t="s">
        <v>4481</v>
      </c>
      <c r="C1086" s="289" t="s">
        <v>22</v>
      </c>
      <c r="D1086" s="289" t="s">
        <v>4921</v>
      </c>
      <c r="E1086" s="290" t="s">
        <v>17</v>
      </c>
      <c r="F1086" s="289">
        <v>3648546</v>
      </c>
      <c r="G1086" s="289"/>
      <c r="H1086" s="371" t="s">
        <v>3084</v>
      </c>
      <c r="I1086" s="289"/>
      <c r="J1086" s="289"/>
      <c r="K1086" s="289"/>
      <c r="L1086" s="51"/>
      <c r="M1086" s="290" t="s">
        <v>22</v>
      </c>
      <c r="N1086" s="289" t="s">
        <v>22</v>
      </c>
      <c r="O1086" s="290" t="s">
        <v>22</v>
      </c>
      <c r="P1086" s="291" t="s">
        <v>4971</v>
      </c>
      <c r="Q1086" s="292" t="s">
        <v>4953</v>
      </c>
      <c r="R1086" s="289" t="e">
        <v>#N/A</v>
      </c>
      <c r="S1086" s="289" t="e">
        <v>#N/A</v>
      </c>
      <c r="T1086" s="293"/>
      <c r="U1086" s="294" t="e">
        <v>#N/A</v>
      </c>
      <c r="V1086" s="295" t="e">
        <v>#N/A</v>
      </c>
      <c r="W1086" s="293"/>
      <c r="X1086" s="296">
        <v>43430</v>
      </c>
      <c r="Y1086" s="114" t="s">
        <v>2021</v>
      </c>
      <c r="Z1086" s="114" t="s">
        <v>22</v>
      </c>
      <c r="AA1086" s="114" t="s">
        <v>2021</v>
      </c>
      <c r="AB1086" s="370" t="s">
        <v>5705</v>
      </c>
      <c r="AC1086" s="524" t="s">
        <v>6509</v>
      </c>
    </row>
    <row r="1087" spans="1:29" ht="15" customHeight="1">
      <c r="A1087" s="289" t="s">
        <v>203</v>
      </c>
      <c r="B1087" s="289" t="s">
        <v>4954</v>
      </c>
      <c r="C1087" s="289" t="s">
        <v>27</v>
      </c>
      <c r="D1087" s="53" t="s">
        <v>2758</v>
      </c>
      <c r="E1087" s="290" t="s">
        <v>17</v>
      </c>
      <c r="F1087" s="289">
        <v>3648051</v>
      </c>
      <c r="G1087" s="289" t="s">
        <v>4684</v>
      </c>
      <c r="H1087" s="371" t="s">
        <v>3084</v>
      </c>
      <c r="I1087" s="289" t="s">
        <v>21</v>
      </c>
      <c r="J1087" s="289" t="s">
        <v>209</v>
      </c>
      <c r="K1087" s="289" t="s">
        <v>26</v>
      </c>
      <c r="L1087" s="51" t="s">
        <v>31</v>
      </c>
      <c r="M1087" s="290" t="s">
        <v>22</v>
      </c>
      <c r="N1087" s="289" t="s">
        <v>22</v>
      </c>
      <c r="O1087" s="290" t="s">
        <v>22</v>
      </c>
      <c r="P1087" s="291" t="s">
        <v>4465</v>
      </c>
      <c r="Q1087" s="292" t="s">
        <v>4955</v>
      </c>
      <c r="R1087" s="289" t="s">
        <v>6743</v>
      </c>
      <c r="S1087" s="289" t="s">
        <v>6744</v>
      </c>
      <c r="T1087" s="293" t="s">
        <v>6598</v>
      </c>
      <c r="U1087" s="294" t="s">
        <v>6745</v>
      </c>
      <c r="V1087" s="295" t="s">
        <v>6746</v>
      </c>
      <c r="W1087" s="293"/>
      <c r="X1087" s="296">
        <v>43456</v>
      </c>
      <c r="Y1087" s="114" t="s">
        <v>27</v>
      </c>
      <c r="Z1087" s="114" t="s">
        <v>27</v>
      </c>
      <c r="AA1087" s="114" t="s">
        <v>27</v>
      </c>
      <c r="AB1087" s="370" t="s">
        <v>2887</v>
      </c>
      <c r="AC1087" s="524"/>
    </row>
    <row r="1088" spans="1:29">
      <c r="A1088" s="289" t="s">
        <v>203</v>
      </c>
      <c r="B1088" s="289" t="s">
        <v>4956</v>
      </c>
      <c r="C1088" s="289" t="s">
        <v>27</v>
      </c>
      <c r="D1088" s="289" t="s">
        <v>2758</v>
      </c>
      <c r="E1088" s="290" t="s">
        <v>17</v>
      </c>
      <c r="F1088" s="289">
        <v>3647716</v>
      </c>
      <c r="G1088" s="289" t="s">
        <v>4685</v>
      </c>
      <c r="H1088" s="371" t="s">
        <v>3084</v>
      </c>
      <c r="I1088" s="289" t="s">
        <v>21</v>
      </c>
      <c r="J1088" s="289" t="s">
        <v>209</v>
      </c>
      <c r="K1088" s="289" t="s">
        <v>26</v>
      </c>
      <c r="L1088" s="51" t="s">
        <v>4464</v>
      </c>
      <c r="M1088" s="290" t="s">
        <v>22</v>
      </c>
      <c r="N1088" s="289" t="s">
        <v>22</v>
      </c>
      <c r="O1088" s="290" t="s">
        <v>22</v>
      </c>
      <c r="P1088" s="291" t="s">
        <v>4465</v>
      </c>
      <c r="Q1088" s="292" t="s">
        <v>4957</v>
      </c>
      <c r="R1088" s="289" t="s">
        <v>5193</v>
      </c>
      <c r="S1088" s="289" t="s">
        <v>5194</v>
      </c>
      <c r="T1088" s="293" t="s">
        <v>4958</v>
      </c>
      <c r="U1088" s="294" t="s">
        <v>6195</v>
      </c>
      <c r="V1088" s="295" t="s">
        <v>6196</v>
      </c>
      <c r="W1088" s="293"/>
      <c r="X1088" s="296"/>
      <c r="Y1088" s="114" t="s">
        <v>27</v>
      </c>
      <c r="Z1088" s="114" t="s">
        <v>27</v>
      </c>
      <c r="AA1088" s="114" t="s">
        <v>27</v>
      </c>
      <c r="AB1088" s="370" t="s">
        <v>2887</v>
      </c>
      <c r="AC1088" s="524"/>
    </row>
    <row r="1089" spans="1:29">
      <c r="A1089" s="289" t="s">
        <v>203</v>
      </c>
      <c r="B1089" s="289" t="s">
        <v>4959</v>
      </c>
      <c r="C1089" s="289" t="s">
        <v>22</v>
      </c>
      <c r="D1089" s="53" t="s">
        <v>2758</v>
      </c>
      <c r="E1089" s="290" t="s">
        <v>17</v>
      </c>
      <c r="F1089" s="289">
        <v>3648272</v>
      </c>
      <c r="G1089" s="289" t="s">
        <v>4683</v>
      </c>
      <c r="H1089" s="371" t="s">
        <v>3084</v>
      </c>
      <c r="I1089" s="289" t="s">
        <v>60</v>
      </c>
      <c r="J1089" s="289" t="s">
        <v>2485</v>
      </c>
      <c r="K1089" s="289" t="s">
        <v>6197</v>
      </c>
      <c r="L1089" s="51" t="s">
        <v>4188</v>
      </c>
      <c r="M1089" s="290" t="s">
        <v>22</v>
      </c>
      <c r="N1089" s="289" t="s">
        <v>22</v>
      </c>
      <c r="O1089" s="290" t="s">
        <v>22</v>
      </c>
      <c r="P1089" s="291" t="s">
        <v>4465</v>
      </c>
      <c r="Q1089" s="292" t="s">
        <v>4960</v>
      </c>
      <c r="R1089" s="289" t="s">
        <v>4961</v>
      </c>
      <c r="S1089" s="289" t="s">
        <v>4962</v>
      </c>
      <c r="T1089" s="293">
        <v>13121815792</v>
      </c>
      <c r="U1089" s="294" t="s">
        <v>4963</v>
      </c>
      <c r="V1089" s="295" t="s">
        <v>5195</v>
      </c>
      <c r="W1089" s="293"/>
      <c r="X1089" s="296">
        <v>43439</v>
      </c>
      <c r="Y1089" s="114" t="s">
        <v>27</v>
      </c>
      <c r="Z1089" s="114" t="s">
        <v>27</v>
      </c>
      <c r="AA1089" s="114" t="s">
        <v>27</v>
      </c>
      <c r="AB1089" s="370" t="s">
        <v>2475</v>
      </c>
      <c r="AC1089" s="524" t="s">
        <v>6658</v>
      </c>
    </row>
    <row r="1090" spans="1:29" ht="15" customHeight="1">
      <c r="A1090" s="289" t="s">
        <v>203</v>
      </c>
      <c r="B1090" s="289" t="s">
        <v>4964</v>
      </c>
      <c r="C1090" s="289" t="s">
        <v>27</v>
      </c>
      <c r="D1090" s="53" t="s">
        <v>2759</v>
      </c>
      <c r="E1090" s="290" t="s">
        <v>17</v>
      </c>
      <c r="F1090" s="289">
        <v>4079882</v>
      </c>
      <c r="G1090" s="289" t="s">
        <v>4682</v>
      </c>
      <c r="H1090" s="371" t="s">
        <v>3084</v>
      </c>
      <c r="I1090" s="289" t="s">
        <v>21</v>
      </c>
      <c r="J1090" s="289" t="s">
        <v>209</v>
      </c>
      <c r="K1090" s="289" t="s">
        <v>26</v>
      </c>
      <c r="L1090" s="51" t="s">
        <v>4464</v>
      </c>
      <c r="M1090" s="290" t="s">
        <v>22</v>
      </c>
      <c r="N1090" s="289" t="s">
        <v>22</v>
      </c>
      <c r="O1090" s="290" t="s">
        <v>22</v>
      </c>
      <c r="P1090" s="291" t="s">
        <v>4465</v>
      </c>
      <c r="Q1090" s="292" t="s">
        <v>4965</v>
      </c>
      <c r="R1090" s="289" t="s">
        <v>5196</v>
      </c>
      <c r="S1090" s="289" t="s">
        <v>5197</v>
      </c>
      <c r="T1090" s="293" t="s">
        <v>4482</v>
      </c>
      <c r="U1090" s="294" t="s">
        <v>6198</v>
      </c>
      <c r="V1090" s="295" t="s">
        <v>6199</v>
      </c>
      <c r="W1090" s="293"/>
      <c r="X1090" s="296">
        <v>43361</v>
      </c>
      <c r="Y1090" s="114" t="s">
        <v>27</v>
      </c>
      <c r="Z1090" s="114" t="s">
        <v>27</v>
      </c>
      <c r="AA1090" s="114" t="s">
        <v>27</v>
      </c>
      <c r="AB1090" s="370" t="s">
        <v>2887</v>
      </c>
      <c r="AC1090" s="524"/>
    </row>
    <row r="1091" spans="1:29" ht="15" customHeight="1">
      <c r="A1091" s="289" t="s">
        <v>203</v>
      </c>
      <c r="B1091" s="289" t="s">
        <v>4483</v>
      </c>
      <c r="C1091" s="289" t="s">
        <v>27</v>
      </c>
      <c r="D1091" s="53" t="s">
        <v>2758</v>
      </c>
      <c r="E1091" s="290" t="s">
        <v>17</v>
      </c>
      <c r="F1091" s="289">
        <v>4079810</v>
      </c>
      <c r="G1091" s="289" t="s">
        <v>4686</v>
      </c>
      <c r="H1091" s="371" t="s">
        <v>3084</v>
      </c>
      <c r="I1091" s="289" t="s">
        <v>21</v>
      </c>
      <c r="J1091" s="289" t="s">
        <v>223</v>
      </c>
      <c r="K1091" s="289" t="s">
        <v>337</v>
      </c>
      <c r="L1091" s="51" t="s">
        <v>4464</v>
      </c>
      <c r="M1091" s="290" t="s">
        <v>22</v>
      </c>
      <c r="N1091" s="289" t="s">
        <v>22</v>
      </c>
      <c r="O1091" s="290" t="s">
        <v>22</v>
      </c>
      <c r="P1091" s="291" t="s">
        <v>4465</v>
      </c>
      <c r="Q1091" s="292" t="s">
        <v>4966</v>
      </c>
      <c r="R1091" s="289" t="e">
        <v>#N/A</v>
      </c>
      <c r="S1091" s="289" t="e">
        <v>#N/A</v>
      </c>
      <c r="T1091" s="293">
        <v>13260231457</v>
      </c>
      <c r="U1091" s="294" t="e">
        <v>#N/A</v>
      </c>
      <c r="V1091" s="295" t="e">
        <v>#N/A</v>
      </c>
      <c r="W1091" s="293"/>
      <c r="X1091" s="296">
        <v>43439</v>
      </c>
      <c r="Y1091" s="114" t="s">
        <v>27</v>
      </c>
      <c r="Z1091" s="114" t="s">
        <v>27</v>
      </c>
      <c r="AA1091" s="114" t="s">
        <v>27</v>
      </c>
      <c r="AB1091" s="370" t="s">
        <v>2887</v>
      </c>
      <c r="AC1091" s="524"/>
    </row>
    <row r="1092" spans="1:29" ht="15" customHeight="1">
      <c r="A1092" s="289" t="s">
        <v>203</v>
      </c>
      <c r="B1092" s="289" t="s">
        <v>4484</v>
      </c>
      <c r="C1092" s="289" t="s">
        <v>27</v>
      </c>
      <c r="D1092" s="53" t="s">
        <v>2758</v>
      </c>
      <c r="E1092" s="290" t="s">
        <v>17</v>
      </c>
      <c r="F1092" s="289">
        <v>4079917</v>
      </c>
      <c r="G1092" s="289" t="s">
        <v>4686</v>
      </c>
      <c r="H1092" s="371" t="s">
        <v>3084</v>
      </c>
      <c r="I1092" s="289" t="s">
        <v>21</v>
      </c>
      <c r="J1092" s="289" t="s">
        <v>209</v>
      </c>
      <c r="K1092" s="289" t="s">
        <v>236</v>
      </c>
      <c r="L1092" s="51" t="s">
        <v>4464</v>
      </c>
      <c r="M1092" s="290" t="s">
        <v>22</v>
      </c>
      <c r="N1092" s="289" t="s">
        <v>22</v>
      </c>
      <c r="O1092" s="290" t="s">
        <v>22</v>
      </c>
      <c r="P1092" s="291" t="s">
        <v>4465</v>
      </c>
      <c r="Q1092" s="292" t="s">
        <v>4967</v>
      </c>
      <c r="R1092" s="289" t="s">
        <v>5198</v>
      </c>
      <c r="S1092" s="289" t="s">
        <v>4485</v>
      </c>
      <c r="T1092" s="293" t="s">
        <v>4486</v>
      </c>
      <c r="U1092" s="294" t="s">
        <v>6200</v>
      </c>
      <c r="V1092" s="295" t="s">
        <v>6201</v>
      </c>
      <c r="W1092" s="293"/>
      <c r="X1092" s="296">
        <v>43361</v>
      </c>
      <c r="Y1092" s="114" t="s">
        <v>27</v>
      </c>
      <c r="Z1092" s="114" t="s">
        <v>27</v>
      </c>
      <c r="AA1092" s="114" t="s">
        <v>27</v>
      </c>
      <c r="AB1092" s="370" t="s">
        <v>2887</v>
      </c>
      <c r="AC1092" s="524"/>
    </row>
    <row r="1093" spans="1:29" ht="15" customHeight="1">
      <c r="A1093" s="289" t="s">
        <v>203</v>
      </c>
      <c r="B1093" s="289" t="s">
        <v>4487</v>
      </c>
      <c r="C1093" s="289" t="s">
        <v>27</v>
      </c>
      <c r="D1093" s="53" t="s">
        <v>2759</v>
      </c>
      <c r="E1093" s="290" t="s">
        <v>17</v>
      </c>
      <c r="F1093" s="289">
        <v>4079845</v>
      </c>
      <c r="G1093" s="289" t="s">
        <v>4687</v>
      </c>
      <c r="H1093" s="371" t="s">
        <v>3084</v>
      </c>
      <c r="I1093" s="289" t="s">
        <v>21</v>
      </c>
      <c r="J1093" s="289" t="s">
        <v>209</v>
      </c>
      <c r="K1093" s="289" t="s">
        <v>236</v>
      </c>
      <c r="L1093" s="51" t="s">
        <v>4464</v>
      </c>
      <c r="M1093" s="290" t="s">
        <v>22</v>
      </c>
      <c r="N1093" s="289" t="s">
        <v>22</v>
      </c>
      <c r="O1093" s="290" t="s">
        <v>22</v>
      </c>
      <c r="P1093" s="291" t="s">
        <v>4465</v>
      </c>
      <c r="Q1093" s="292" t="s">
        <v>4968</v>
      </c>
      <c r="R1093" s="289" t="s">
        <v>5199</v>
      </c>
      <c r="S1093" s="293" t="s">
        <v>4488</v>
      </c>
      <c r="T1093" s="293" t="s">
        <v>4489</v>
      </c>
      <c r="U1093" s="294" t="s">
        <v>6202</v>
      </c>
      <c r="V1093" s="295" t="s">
        <v>6203</v>
      </c>
      <c r="W1093" s="293"/>
      <c r="X1093" s="296">
        <v>43361</v>
      </c>
      <c r="Y1093" s="114" t="s">
        <v>27</v>
      </c>
      <c r="Z1093" s="114" t="s">
        <v>27</v>
      </c>
      <c r="AA1093" s="114" t="s">
        <v>27</v>
      </c>
      <c r="AB1093" s="370" t="s">
        <v>2887</v>
      </c>
      <c r="AC1093" s="524"/>
    </row>
    <row r="1094" spans="1:29" ht="15" customHeight="1">
      <c r="A1094" s="289" t="s">
        <v>203</v>
      </c>
      <c r="B1094" s="289" t="s">
        <v>4490</v>
      </c>
      <c r="C1094" s="289" t="s">
        <v>27</v>
      </c>
      <c r="D1094" s="53" t="s">
        <v>2758</v>
      </c>
      <c r="E1094" s="290" t="s">
        <v>17</v>
      </c>
      <c r="F1094" s="289">
        <v>4079896</v>
      </c>
      <c r="G1094" s="289" t="s">
        <v>4687</v>
      </c>
      <c r="H1094" s="371" t="s">
        <v>3084</v>
      </c>
      <c r="I1094" s="289" t="s">
        <v>21</v>
      </c>
      <c r="J1094" s="289" t="s">
        <v>209</v>
      </c>
      <c r="K1094" s="289" t="s">
        <v>61</v>
      </c>
      <c r="L1094" s="51" t="s">
        <v>4464</v>
      </c>
      <c r="M1094" s="290" t="s">
        <v>22</v>
      </c>
      <c r="N1094" s="289" t="s">
        <v>22</v>
      </c>
      <c r="O1094" s="290" t="s">
        <v>22</v>
      </c>
      <c r="P1094" s="291" t="s">
        <v>4465</v>
      </c>
      <c r="Q1094" s="292" t="s">
        <v>4969</v>
      </c>
      <c r="R1094" s="289" t="s">
        <v>5200</v>
      </c>
      <c r="S1094" s="293" t="s">
        <v>4970</v>
      </c>
      <c r="T1094" s="293" t="s">
        <v>4491</v>
      </c>
      <c r="U1094" s="294" t="s">
        <v>6204</v>
      </c>
      <c r="V1094" s="295" t="s">
        <v>6205</v>
      </c>
      <c r="W1094" s="293"/>
      <c r="X1094" s="296">
        <v>43361</v>
      </c>
      <c r="Y1094" s="114" t="s">
        <v>27</v>
      </c>
      <c r="Z1094" s="114" t="s">
        <v>27</v>
      </c>
      <c r="AA1094" s="114" t="s">
        <v>27</v>
      </c>
      <c r="AB1094" s="370" t="s">
        <v>2887</v>
      </c>
      <c r="AC1094" s="524"/>
    </row>
    <row r="1095" spans="1:29" ht="15" customHeight="1">
      <c r="A1095" s="289" t="s">
        <v>203</v>
      </c>
      <c r="B1095" s="289" t="s">
        <v>4688</v>
      </c>
      <c r="C1095" s="289" t="s">
        <v>27</v>
      </c>
      <c r="D1095" s="289" t="s">
        <v>2758</v>
      </c>
      <c r="E1095" s="290" t="s">
        <v>17</v>
      </c>
      <c r="F1095" s="289">
        <v>4079874</v>
      </c>
      <c r="G1095" s="289" t="s">
        <v>4798</v>
      </c>
      <c r="H1095" s="371" t="s">
        <v>3084</v>
      </c>
      <c r="I1095" s="289" t="s">
        <v>21</v>
      </c>
      <c r="J1095" s="289" t="s">
        <v>204</v>
      </c>
      <c r="K1095" s="289" t="s">
        <v>3650</v>
      </c>
      <c r="L1095" s="51" t="s">
        <v>4464</v>
      </c>
      <c r="M1095" s="290" t="s">
        <v>22</v>
      </c>
      <c r="N1095" s="289" t="s">
        <v>27</v>
      </c>
      <c r="O1095" s="290" t="s">
        <v>22</v>
      </c>
      <c r="P1095" s="291" t="s">
        <v>4971</v>
      </c>
      <c r="Q1095" s="292" t="s">
        <v>4972</v>
      </c>
      <c r="R1095" s="289" t="s">
        <v>5007</v>
      </c>
      <c r="S1095" s="293" t="s">
        <v>5008</v>
      </c>
      <c r="T1095" s="293" t="s">
        <v>4689</v>
      </c>
      <c r="U1095" s="294" t="s">
        <v>5615</v>
      </c>
      <c r="V1095" s="295" t="s">
        <v>5616</v>
      </c>
      <c r="W1095" s="293"/>
      <c r="X1095" s="296">
        <v>43356</v>
      </c>
      <c r="Y1095" s="114" t="s">
        <v>27</v>
      </c>
      <c r="Z1095" s="114" t="s">
        <v>27</v>
      </c>
      <c r="AA1095" s="114" t="s">
        <v>27</v>
      </c>
      <c r="AB1095" s="370" t="s">
        <v>2887</v>
      </c>
      <c r="AC1095" s="524"/>
    </row>
    <row r="1096" spans="1:29" ht="15" customHeight="1">
      <c r="A1096" s="289" t="s">
        <v>203</v>
      </c>
      <c r="B1096" s="289" t="s">
        <v>4690</v>
      </c>
      <c r="C1096" s="289" t="s">
        <v>27</v>
      </c>
      <c r="D1096" s="53" t="s">
        <v>2758</v>
      </c>
      <c r="E1096" s="290" t="s">
        <v>17</v>
      </c>
      <c r="F1096" s="289">
        <v>4079921</v>
      </c>
      <c r="G1096" s="289" t="s">
        <v>4798</v>
      </c>
      <c r="H1096" s="371" t="s">
        <v>3084</v>
      </c>
      <c r="I1096" s="289" t="s">
        <v>21</v>
      </c>
      <c r="J1096" s="289" t="s">
        <v>204</v>
      </c>
      <c r="K1096" s="289" t="s">
        <v>3650</v>
      </c>
      <c r="L1096" s="51" t="s">
        <v>4464</v>
      </c>
      <c r="M1096" s="290" t="s">
        <v>22</v>
      </c>
      <c r="N1096" s="289" t="s">
        <v>27</v>
      </c>
      <c r="O1096" s="290" t="s">
        <v>22</v>
      </c>
      <c r="P1096" s="291" t="s">
        <v>4971</v>
      </c>
      <c r="Q1096" s="292" t="s">
        <v>4973</v>
      </c>
      <c r="R1096" s="289" t="s">
        <v>4974</v>
      </c>
      <c r="S1096" s="293" t="s">
        <v>4691</v>
      </c>
      <c r="T1096" s="293" t="s">
        <v>4692</v>
      </c>
      <c r="U1096" s="294" t="s">
        <v>5617</v>
      </c>
      <c r="V1096" s="295" t="s">
        <v>5618</v>
      </c>
      <c r="W1096" s="293"/>
      <c r="X1096" s="296">
        <v>43356</v>
      </c>
      <c r="Y1096" s="114" t="s">
        <v>27</v>
      </c>
      <c r="Z1096" s="114" t="s">
        <v>27</v>
      </c>
      <c r="AA1096" s="114" t="s">
        <v>27</v>
      </c>
      <c r="AB1096" s="370" t="s">
        <v>2887</v>
      </c>
      <c r="AC1096" s="524"/>
    </row>
    <row r="1097" spans="1:29">
      <c r="A1097" s="289" t="s">
        <v>203</v>
      </c>
      <c r="B1097" s="289" t="s">
        <v>4693</v>
      </c>
      <c r="C1097" s="289" t="s">
        <v>27</v>
      </c>
      <c r="D1097" s="53" t="s">
        <v>2759</v>
      </c>
      <c r="E1097" s="290" t="s">
        <v>17</v>
      </c>
      <c r="F1097" s="289">
        <v>4079851</v>
      </c>
      <c r="G1097" s="289" t="s">
        <v>4799</v>
      </c>
      <c r="H1097" s="371" t="s">
        <v>3084</v>
      </c>
      <c r="I1097" s="289" t="s">
        <v>60</v>
      </c>
      <c r="J1097" s="289" t="s">
        <v>2501</v>
      </c>
      <c r="K1097" s="289" t="s">
        <v>4445</v>
      </c>
      <c r="L1097" s="51" t="s">
        <v>4464</v>
      </c>
      <c r="M1097" s="290" t="s">
        <v>22</v>
      </c>
      <c r="N1097" s="289" t="s">
        <v>27</v>
      </c>
      <c r="O1097" s="290" t="s">
        <v>22</v>
      </c>
      <c r="P1097" s="291" t="s">
        <v>4971</v>
      </c>
      <c r="Q1097" s="292" t="s">
        <v>4975</v>
      </c>
      <c r="R1097" s="289" t="s">
        <v>4694</v>
      </c>
      <c r="S1097" s="293" t="s">
        <v>4695</v>
      </c>
      <c r="T1097" s="293" t="s">
        <v>5201</v>
      </c>
      <c r="U1097" s="294" t="s">
        <v>5619</v>
      </c>
      <c r="V1097" s="295" t="s">
        <v>5620</v>
      </c>
      <c r="W1097" s="293" t="s">
        <v>5202</v>
      </c>
      <c r="X1097" s="296">
        <v>43381</v>
      </c>
      <c r="Y1097" s="114" t="s">
        <v>27</v>
      </c>
      <c r="Z1097" s="114" t="s">
        <v>27</v>
      </c>
      <c r="AA1097" s="114" t="s">
        <v>27</v>
      </c>
      <c r="AB1097" s="370" t="s">
        <v>2887</v>
      </c>
      <c r="AC1097" s="524"/>
    </row>
    <row r="1098" spans="1:29">
      <c r="A1098" s="289" t="s">
        <v>203</v>
      </c>
      <c r="B1098" s="289" t="s">
        <v>4696</v>
      </c>
      <c r="C1098" s="289" t="s">
        <v>27</v>
      </c>
      <c r="D1098" s="53" t="s">
        <v>2761</v>
      </c>
      <c r="E1098" s="290" t="s">
        <v>17</v>
      </c>
      <c r="F1098" s="289">
        <v>4079870</v>
      </c>
      <c r="G1098" s="289" t="s">
        <v>4799</v>
      </c>
      <c r="H1098" s="371" t="s">
        <v>3084</v>
      </c>
      <c r="I1098" s="289" t="s">
        <v>21</v>
      </c>
      <c r="J1098" s="289" t="s">
        <v>209</v>
      </c>
      <c r="K1098" s="289" t="s">
        <v>26</v>
      </c>
      <c r="L1098" s="51" t="s">
        <v>4464</v>
      </c>
      <c r="M1098" s="290" t="s">
        <v>22</v>
      </c>
      <c r="N1098" s="289" t="s">
        <v>22</v>
      </c>
      <c r="O1098" s="290" t="s">
        <v>22</v>
      </c>
      <c r="P1098" s="291" t="s">
        <v>4971</v>
      </c>
      <c r="Q1098" s="292" t="s">
        <v>4976</v>
      </c>
      <c r="R1098" s="289" t="s">
        <v>5203</v>
      </c>
      <c r="S1098" s="289" t="s">
        <v>5204</v>
      </c>
      <c r="T1098" s="293">
        <v>13810284084</v>
      </c>
      <c r="U1098" s="294" t="s">
        <v>6206</v>
      </c>
      <c r="V1098" s="295" t="s">
        <v>6207</v>
      </c>
      <c r="W1098" s="293"/>
      <c r="X1098" s="296">
        <v>43356</v>
      </c>
      <c r="Y1098" s="114" t="s">
        <v>27</v>
      </c>
      <c r="Z1098" s="114" t="s">
        <v>27</v>
      </c>
      <c r="AA1098" s="114" t="s">
        <v>27</v>
      </c>
      <c r="AB1098" s="370" t="s">
        <v>2887</v>
      </c>
      <c r="AC1098" s="524"/>
    </row>
    <row r="1099" spans="1:29" ht="15" customHeight="1">
      <c r="A1099" s="289" t="s">
        <v>203</v>
      </c>
      <c r="B1099" s="289" t="s">
        <v>4977</v>
      </c>
      <c r="C1099" s="289" t="s">
        <v>27</v>
      </c>
      <c r="D1099" s="289" t="s">
        <v>2758</v>
      </c>
      <c r="E1099" s="290" t="s">
        <v>17</v>
      </c>
      <c r="F1099" s="289">
        <v>4079803</v>
      </c>
      <c r="G1099" s="289" t="s">
        <v>5104</v>
      </c>
      <c r="H1099" s="371" t="s">
        <v>3084</v>
      </c>
      <c r="I1099" s="289" t="s">
        <v>60</v>
      </c>
      <c r="J1099" s="289" t="s">
        <v>1588</v>
      </c>
      <c r="K1099" s="289" t="s">
        <v>6208</v>
      </c>
      <c r="L1099" s="51" t="s">
        <v>4464</v>
      </c>
      <c r="M1099" s="290" t="s">
        <v>22</v>
      </c>
      <c r="N1099" s="289" t="s">
        <v>27</v>
      </c>
      <c r="O1099" s="290" t="s">
        <v>22</v>
      </c>
      <c r="P1099" s="291" t="s">
        <v>4978</v>
      </c>
      <c r="Q1099" s="292" t="s">
        <v>4979</v>
      </c>
      <c r="R1099" s="289" t="s">
        <v>4980</v>
      </c>
      <c r="S1099" s="289" t="s">
        <v>4981</v>
      </c>
      <c r="T1099" s="293" t="s">
        <v>5205</v>
      </c>
      <c r="U1099" s="294" t="s">
        <v>5621</v>
      </c>
      <c r="V1099" s="295" t="s">
        <v>5622</v>
      </c>
      <c r="W1099" s="293" t="s">
        <v>5206</v>
      </c>
      <c r="X1099" s="296">
        <v>43381</v>
      </c>
      <c r="Y1099" s="114" t="s">
        <v>27</v>
      </c>
      <c r="Z1099" s="114" t="s">
        <v>27</v>
      </c>
      <c r="AA1099" s="114" t="s">
        <v>27</v>
      </c>
      <c r="AB1099" s="370" t="s">
        <v>2887</v>
      </c>
      <c r="AC1099" s="524"/>
    </row>
    <row r="1100" spans="1:29" ht="15" customHeight="1">
      <c r="A1100" s="289" t="s">
        <v>203</v>
      </c>
      <c r="B1100" s="289" t="s">
        <v>4805</v>
      </c>
      <c r="C1100" s="289" t="s">
        <v>27</v>
      </c>
      <c r="D1100" s="289" t="s">
        <v>2758</v>
      </c>
      <c r="E1100" s="290" t="s">
        <v>17</v>
      </c>
      <c r="F1100" s="289">
        <v>4079881</v>
      </c>
      <c r="G1100" s="289" t="s">
        <v>4806</v>
      </c>
      <c r="H1100" s="371" t="s">
        <v>3084</v>
      </c>
      <c r="I1100" s="289" t="s">
        <v>21</v>
      </c>
      <c r="J1100" s="289" t="s">
        <v>204</v>
      </c>
      <c r="K1100" s="289" t="s">
        <v>206</v>
      </c>
      <c r="L1100" s="51" t="s">
        <v>4464</v>
      </c>
      <c r="M1100" s="290" t="s">
        <v>22</v>
      </c>
      <c r="N1100" s="289" t="s">
        <v>27</v>
      </c>
      <c r="O1100" s="290" t="s">
        <v>22</v>
      </c>
      <c r="P1100" s="291" t="s">
        <v>4971</v>
      </c>
      <c r="Q1100" s="292" t="s">
        <v>4982</v>
      </c>
      <c r="R1100" s="289" t="s">
        <v>4983</v>
      </c>
      <c r="S1100" s="289" t="s">
        <v>4984</v>
      </c>
      <c r="T1100" s="293">
        <v>17310342482</v>
      </c>
      <c r="U1100" s="294" t="s">
        <v>5623</v>
      </c>
      <c r="V1100" s="295" t="s">
        <v>5624</v>
      </c>
      <c r="W1100" s="293"/>
      <c r="X1100" s="296">
        <v>43361</v>
      </c>
      <c r="Y1100" s="114" t="s">
        <v>27</v>
      </c>
      <c r="Z1100" s="114" t="s">
        <v>27</v>
      </c>
      <c r="AA1100" s="114" t="s">
        <v>27</v>
      </c>
      <c r="AB1100" s="370" t="s">
        <v>2887</v>
      </c>
      <c r="AC1100" s="524"/>
    </row>
    <row r="1101" spans="1:29" ht="15" customHeight="1">
      <c r="A1101" s="289" t="s">
        <v>203</v>
      </c>
      <c r="B1101" s="289" t="s">
        <v>4807</v>
      </c>
      <c r="C1101" s="289" t="s">
        <v>27</v>
      </c>
      <c r="D1101" s="289" t="s">
        <v>2758</v>
      </c>
      <c r="E1101" s="290" t="s">
        <v>17</v>
      </c>
      <c r="F1101" s="289">
        <v>4079830</v>
      </c>
      <c r="G1101" s="289" t="s">
        <v>4806</v>
      </c>
      <c r="H1101" s="371" t="s">
        <v>3084</v>
      </c>
      <c r="I1101" s="289" t="s">
        <v>21</v>
      </c>
      <c r="J1101" s="289" t="s">
        <v>204</v>
      </c>
      <c r="K1101" s="289" t="s">
        <v>206</v>
      </c>
      <c r="L1101" s="51" t="s">
        <v>4464</v>
      </c>
      <c r="M1101" s="290" t="s">
        <v>22</v>
      </c>
      <c r="N1101" s="289" t="s">
        <v>27</v>
      </c>
      <c r="O1101" s="290" t="s">
        <v>22</v>
      </c>
      <c r="P1101" s="291" t="s">
        <v>4971</v>
      </c>
      <c r="Q1101" s="292" t="s">
        <v>4985</v>
      </c>
      <c r="R1101" s="289" t="s">
        <v>4986</v>
      </c>
      <c r="S1101" s="289" t="s">
        <v>4987</v>
      </c>
      <c r="T1101" s="293">
        <v>13331048825</v>
      </c>
      <c r="U1101" s="294" t="s">
        <v>5625</v>
      </c>
      <c r="V1101" s="295" t="s">
        <v>5626</v>
      </c>
      <c r="W1101" s="293"/>
      <c r="X1101" s="296">
        <v>43361</v>
      </c>
      <c r="Y1101" s="114" t="s">
        <v>27</v>
      </c>
      <c r="Z1101" s="114" t="s">
        <v>27</v>
      </c>
      <c r="AA1101" s="114" t="s">
        <v>27</v>
      </c>
      <c r="AB1101" s="370" t="s">
        <v>2887</v>
      </c>
      <c r="AC1101" s="524"/>
    </row>
    <row r="1102" spans="1:29" ht="15" customHeight="1">
      <c r="A1102" s="289" t="s">
        <v>203</v>
      </c>
      <c r="B1102" s="289" t="s">
        <v>4808</v>
      </c>
      <c r="C1102" s="289" t="s">
        <v>27</v>
      </c>
      <c r="D1102" s="53" t="s">
        <v>25</v>
      </c>
      <c r="E1102" s="290" t="s">
        <v>17</v>
      </c>
      <c r="F1102" s="289">
        <v>4079864</v>
      </c>
      <c r="G1102" s="289" t="s">
        <v>4809</v>
      </c>
      <c r="H1102" s="371" t="s">
        <v>3084</v>
      </c>
      <c r="I1102" s="289" t="s">
        <v>21</v>
      </c>
      <c r="J1102" s="289" t="s">
        <v>204</v>
      </c>
      <c r="K1102" s="289" t="s">
        <v>206</v>
      </c>
      <c r="L1102" s="51" t="s">
        <v>4464</v>
      </c>
      <c r="M1102" s="290" t="s">
        <v>22</v>
      </c>
      <c r="N1102" s="289" t="s">
        <v>27</v>
      </c>
      <c r="O1102" s="290" t="s">
        <v>22</v>
      </c>
      <c r="P1102" s="291" t="s">
        <v>4971</v>
      </c>
      <c r="Q1102" s="292" t="s">
        <v>4988</v>
      </c>
      <c r="R1102" s="289" t="s">
        <v>4989</v>
      </c>
      <c r="S1102" s="289" t="s">
        <v>4990</v>
      </c>
      <c r="T1102" s="293">
        <v>18911175647</v>
      </c>
      <c r="U1102" s="294" t="s">
        <v>5627</v>
      </c>
      <c r="V1102" s="295" t="s">
        <v>5628</v>
      </c>
      <c r="W1102" s="293"/>
      <c r="X1102" s="296">
        <v>43361</v>
      </c>
      <c r="Y1102" s="114" t="s">
        <v>27</v>
      </c>
      <c r="Z1102" s="114" t="s">
        <v>27</v>
      </c>
      <c r="AA1102" s="114" t="s">
        <v>27</v>
      </c>
      <c r="AB1102" s="370" t="s">
        <v>2887</v>
      </c>
      <c r="AC1102" s="524"/>
    </row>
    <row r="1103" spans="1:29" ht="15" customHeight="1">
      <c r="A1103" s="289" t="s">
        <v>203</v>
      </c>
      <c r="B1103" s="289" t="s">
        <v>4991</v>
      </c>
      <c r="C1103" s="289" t="s">
        <v>27</v>
      </c>
      <c r="D1103" s="53" t="s">
        <v>2761</v>
      </c>
      <c r="E1103" s="290" t="s">
        <v>17</v>
      </c>
      <c r="F1103" s="289">
        <v>4079962</v>
      </c>
      <c r="G1103" s="289" t="s">
        <v>4800</v>
      </c>
      <c r="H1103" s="371" t="s">
        <v>3084</v>
      </c>
      <c r="I1103" s="289" t="s">
        <v>21</v>
      </c>
      <c r="J1103" s="289" t="s">
        <v>209</v>
      </c>
      <c r="K1103" s="289" t="s">
        <v>236</v>
      </c>
      <c r="L1103" s="51" t="s">
        <v>4464</v>
      </c>
      <c r="M1103" s="290" t="s">
        <v>22</v>
      </c>
      <c r="N1103" s="289" t="s">
        <v>22</v>
      </c>
      <c r="O1103" s="290" t="s">
        <v>22</v>
      </c>
      <c r="P1103" s="291" t="s">
        <v>4971</v>
      </c>
      <c r="Q1103" s="292" t="s">
        <v>4992</v>
      </c>
      <c r="R1103" s="289" t="s">
        <v>4993</v>
      </c>
      <c r="S1103" s="289" t="s">
        <v>4697</v>
      </c>
      <c r="T1103" s="293">
        <v>13810337950</v>
      </c>
      <c r="U1103" s="294" t="s">
        <v>6209</v>
      </c>
      <c r="V1103" s="295" t="s">
        <v>6210</v>
      </c>
      <c r="W1103" s="293"/>
      <c r="X1103" s="296">
        <v>43356</v>
      </c>
      <c r="Y1103" s="114" t="s">
        <v>27</v>
      </c>
      <c r="Z1103" s="114" t="s">
        <v>27</v>
      </c>
      <c r="AA1103" s="114" t="s">
        <v>27</v>
      </c>
      <c r="AB1103" s="370" t="s">
        <v>2887</v>
      </c>
      <c r="AC1103" s="524"/>
    </row>
    <row r="1104" spans="1:29" ht="15" customHeight="1">
      <c r="A1104" s="289" t="s">
        <v>203</v>
      </c>
      <c r="B1104" s="289" t="s">
        <v>4801</v>
      </c>
      <c r="C1104" s="289" t="s">
        <v>27</v>
      </c>
      <c r="D1104" s="289" t="s">
        <v>2761</v>
      </c>
      <c r="E1104" s="290" t="s">
        <v>17</v>
      </c>
      <c r="F1104" s="289">
        <v>4079840</v>
      </c>
      <c r="G1104" s="289" t="s">
        <v>4800</v>
      </c>
      <c r="H1104" s="371" t="s">
        <v>3084</v>
      </c>
      <c r="I1104" s="289" t="s">
        <v>21</v>
      </c>
      <c r="J1104" s="289" t="s">
        <v>204</v>
      </c>
      <c r="K1104" s="289" t="s">
        <v>206</v>
      </c>
      <c r="L1104" s="51" t="s">
        <v>4464</v>
      </c>
      <c r="M1104" s="290" t="s">
        <v>22</v>
      </c>
      <c r="N1104" s="289" t="s">
        <v>27</v>
      </c>
      <c r="O1104" s="290" t="s">
        <v>22</v>
      </c>
      <c r="P1104" s="291" t="s">
        <v>4971</v>
      </c>
      <c r="Q1104" s="292" t="s">
        <v>4994</v>
      </c>
      <c r="R1104" s="289" t="s">
        <v>4995</v>
      </c>
      <c r="S1104" s="289" t="s">
        <v>4996</v>
      </c>
      <c r="T1104" s="293">
        <v>17310978792</v>
      </c>
      <c r="U1104" s="294" t="s">
        <v>5629</v>
      </c>
      <c r="V1104" s="295" t="s">
        <v>5630</v>
      </c>
      <c r="W1104" s="293"/>
      <c r="X1104" s="296">
        <v>43361</v>
      </c>
      <c r="Y1104" s="114" t="s">
        <v>27</v>
      </c>
      <c r="Z1104" s="114" t="s">
        <v>27</v>
      </c>
      <c r="AA1104" s="114" t="s">
        <v>27</v>
      </c>
      <c r="AB1104" s="370" t="s">
        <v>2887</v>
      </c>
      <c r="AC1104" s="524"/>
    </row>
    <row r="1105" spans="1:29" ht="15" customHeight="1">
      <c r="A1105" s="289" t="s">
        <v>203</v>
      </c>
      <c r="B1105" s="289" t="s">
        <v>4802</v>
      </c>
      <c r="C1105" s="289" t="s">
        <v>27</v>
      </c>
      <c r="D1105" s="289" t="s">
        <v>2759</v>
      </c>
      <c r="E1105" s="290" t="s">
        <v>17</v>
      </c>
      <c r="F1105" s="289">
        <v>4079873</v>
      </c>
      <c r="G1105" s="289" t="s">
        <v>4803</v>
      </c>
      <c r="H1105" s="371" t="s">
        <v>3084</v>
      </c>
      <c r="I1105" s="289" t="s">
        <v>21</v>
      </c>
      <c r="J1105" s="289" t="s">
        <v>204</v>
      </c>
      <c r="K1105" s="289" t="s">
        <v>6182</v>
      </c>
      <c r="L1105" s="51" t="s">
        <v>4464</v>
      </c>
      <c r="M1105" s="290" t="s">
        <v>22</v>
      </c>
      <c r="N1105" s="289" t="s">
        <v>27</v>
      </c>
      <c r="O1105" s="290" t="s">
        <v>22</v>
      </c>
      <c r="P1105" s="291" t="s">
        <v>4971</v>
      </c>
      <c r="Q1105" s="292" t="s">
        <v>4997</v>
      </c>
      <c r="R1105" s="289" t="s">
        <v>4998</v>
      </c>
      <c r="S1105" s="289" t="s">
        <v>4999</v>
      </c>
      <c r="T1105" s="293">
        <v>17310212413</v>
      </c>
      <c r="U1105" s="294" t="s">
        <v>5631</v>
      </c>
      <c r="V1105" s="295" t="s">
        <v>5632</v>
      </c>
      <c r="W1105" s="293"/>
      <c r="X1105" s="296">
        <v>43361</v>
      </c>
      <c r="Y1105" s="114" t="s">
        <v>27</v>
      </c>
      <c r="Z1105" s="114" t="s">
        <v>27</v>
      </c>
      <c r="AA1105" s="114" t="s">
        <v>27</v>
      </c>
      <c r="AB1105" s="370" t="s">
        <v>2887</v>
      </c>
      <c r="AC1105" s="524"/>
    </row>
    <row r="1106" spans="1:29" ht="15" customHeight="1">
      <c r="A1106" s="289" t="s">
        <v>203</v>
      </c>
      <c r="B1106" s="289" t="s">
        <v>4804</v>
      </c>
      <c r="C1106" s="289" t="s">
        <v>27</v>
      </c>
      <c r="D1106" s="289" t="s">
        <v>2759</v>
      </c>
      <c r="E1106" s="290" t="s">
        <v>2008</v>
      </c>
      <c r="F1106" s="289">
        <v>4079919</v>
      </c>
      <c r="G1106" s="289" t="s">
        <v>4803</v>
      </c>
      <c r="H1106" s="371" t="s">
        <v>3084</v>
      </c>
      <c r="I1106" s="289" t="s">
        <v>21</v>
      </c>
      <c r="J1106" s="289" t="s">
        <v>209</v>
      </c>
      <c r="K1106" s="289" t="s">
        <v>6892</v>
      </c>
      <c r="L1106" s="51" t="s">
        <v>31</v>
      </c>
      <c r="M1106" s="290" t="s">
        <v>22</v>
      </c>
      <c r="N1106" s="289" t="s">
        <v>22</v>
      </c>
      <c r="O1106" s="290" t="s">
        <v>22</v>
      </c>
      <c r="P1106" s="291" t="s">
        <v>4971</v>
      </c>
      <c r="Q1106" s="292" t="s">
        <v>5000</v>
      </c>
      <c r="R1106" s="289" t="s">
        <v>6747</v>
      </c>
      <c r="S1106" s="289" t="s">
        <v>6748</v>
      </c>
      <c r="T1106" s="293" t="s">
        <v>6715</v>
      </c>
      <c r="U1106" s="294" t="s">
        <v>6749</v>
      </c>
      <c r="V1106" s="295" t="s">
        <v>6750</v>
      </c>
      <c r="W1106" s="293" t="s">
        <v>6716</v>
      </c>
      <c r="X1106" s="296">
        <v>43439</v>
      </c>
      <c r="Y1106" s="114" t="s">
        <v>27</v>
      </c>
      <c r="Z1106" s="114" t="s">
        <v>27</v>
      </c>
      <c r="AA1106" s="114" t="s">
        <v>27</v>
      </c>
      <c r="AB1106" s="370" t="s">
        <v>2887</v>
      </c>
      <c r="AC1106" s="524"/>
    </row>
    <row r="1107" spans="1:29" ht="15" customHeight="1">
      <c r="A1107" s="289" t="s">
        <v>203</v>
      </c>
      <c r="B1107" s="289" t="s">
        <v>4810</v>
      </c>
      <c r="C1107" s="289" t="s">
        <v>27</v>
      </c>
      <c r="D1107" s="289" t="s">
        <v>25</v>
      </c>
      <c r="E1107" s="290" t="s">
        <v>2008</v>
      </c>
      <c r="F1107" s="289">
        <v>4079901</v>
      </c>
      <c r="G1107" s="289" t="s">
        <v>4809</v>
      </c>
      <c r="H1107" s="371" t="s">
        <v>3084</v>
      </c>
      <c r="I1107" s="289" t="s">
        <v>21</v>
      </c>
      <c r="J1107" s="289" t="s">
        <v>204</v>
      </c>
      <c r="K1107" s="289" t="s">
        <v>1586</v>
      </c>
      <c r="L1107" s="51" t="s">
        <v>4464</v>
      </c>
      <c r="M1107" s="290" t="s">
        <v>22</v>
      </c>
      <c r="N1107" s="289" t="s">
        <v>27</v>
      </c>
      <c r="O1107" s="290" t="s">
        <v>22</v>
      </c>
      <c r="P1107" s="291" t="s">
        <v>4971</v>
      </c>
      <c r="Q1107" s="292" t="s">
        <v>5001</v>
      </c>
      <c r="R1107" s="289" t="s">
        <v>5002</v>
      </c>
      <c r="S1107" s="289" t="s">
        <v>5003</v>
      </c>
      <c r="T1107" s="293">
        <v>18911124185</v>
      </c>
      <c r="U1107" s="294" t="s">
        <v>5633</v>
      </c>
      <c r="V1107" s="295" t="s">
        <v>5634</v>
      </c>
      <c r="W1107" s="293"/>
      <c r="X1107" s="296">
        <v>43361</v>
      </c>
      <c r="Y1107" s="114" t="s">
        <v>27</v>
      </c>
      <c r="Z1107" s="114" t="s">
        <v>27</v>
      </c>
      <c r="AA1107" s="114" t="s">
        <v>27</v>
      </c>
      <c r="AB1107" s="370" t="s">
        <v>2887</v>
      </c>
      <c r="AC1107" s="525"/>
    </row>
    <row r="1108" spans="1:29" ht="15" customHeight="1">
      <c r="A1108" s="289" t="s">
        <v>203</v>
      </c>
      <c r="B1108" s="289" t="s">
        <v>4811</v>
      </c>
      <c r="C1108" s="289" t="s">
        <v>27</v>
      </c>
      <c r="D1108" s="289" t="s">
        <v>25</v>
      </c>
      <c r="E1108" s="290" t="s">
        <v>2008</v>
      </c>
      <c r="F1108" s="289">
        <v>4079849</v>
      </c>
      <c r="G1108" s="289" t="s">
        <v>4812</v>
      </c>
      <c r="H1108" s="371" t="s">
        <v>3084</v>
      </c>
      <c r="I1108" s="289" t="s">
        <v>60</v>
      </c>
      <c r="J1108" s="289" t="s">
        <v>2486</v>
      </c>
      <c r="K1108" s="289" t="s">
        <v>2651</v>
      </c>
      <c r="L1108" s="51" t="s">
        <v>31</v>
      </c>
      <c r="M1108" s="290" t="s">
        <v>22</v>
      </c>
      <c r="N1108" s="289" t="s">
        <v>22</v>
      </c>
      <c r="O1108" s="290" t="s">
        <v>22</v>
      </c>
      <c r="P1108" s="291" t="s">
        <v>4971</v>
      </c>
      <c r="Q1108" s="292" t="s">
        <v>5004</v>
      </c>
      <c r="R1108" s="289" t="s">
        <v>6649</v>
      </c>
      <c r="S1108" s="293" t="s">
        <v>6650</v>
      </c>
      <c r="T1108" s="293" t="s">
        <v>6717</v>
      </c>
      <c r="U1108" s="294" t="s">
        <v>6651</v>
      </c>
      <c r="V1108" s="295" t="s">
        <v>6652</v>
      </c>
      <c r="W1108" s="293" t="s">
        <v>6718</v>
      </c>
      <c r="X1108" s="296">
        <v>43361</v>
      </c>
      <c r="Y1108" s="114" t="s">
        <v>27</v>
      </c>
      <c r="Z1108" s="114" t="s">
        <v>27</v>
      </c>
      <c r="AA1108" s="114" t="s">
        <v>27</v>
      </c>
      <c r="AB1108" s="370" t="s">
        <v>2887</v>
      </c>
      <c r="AC1108" s="524"/>
    </row>
    <row r="1109" spans="1:29" ht="15" customHeight="1">
      <c r="A1109" s="289" t="s">
        <v>203</v>
      </c>
      <c r="B1109" s="289" t="s">
        <v>4813</v>
      </c>
      <c r="C1109" s="289" t="s">
        <v>27</v>
      </c>
      <c r="D1109" s="289" t="s">
        <v>25</v>
      </c>
      <c r="E1109" s="290" t="s">
        <v>17</v>
      </c>
      <c r="F1109" s="289">
        <v>4079908</v>
      </c>
      <c r="G1109" s="289" t="s">
        <v>4812</v>
      </c>
      <c r="H1109" s="371" t="s">
        <v>3084</v>
      </c>
      <c r="I1109" s="289" t="s">
        <v>21</v>
      </c>
      <c r="J1109" s="289" t="s">
        <v>204</v>
      </c>
      <c r="K1109" s="289" t="s">
        <v>1586</v>
      </c>
      <c r="L1109" s="51" t="s">
        <v>4464</v>
      </c>
      <c r="M1109" s="290" t="s">
        <v>22</v>
      </c>
      <c r="N1109" s="289" t="s">
        <v>27</v>
      </c>
      <c r="O1109" s="290" t="s">
        <v>22</v>
      </c>
      <c r="P1109" s="291" t="s">
        <v>4971</v>
      </c>
      <c r="Q1109" s="292" t="s">
        <v>5005</v>
      </c>
      <c r="R1109" s="289" t="s">
        <v>5773</v>
      </c>
      <c r="S1109" s="293" t="s">
        <v>5774</v>
      </c>
      <c r="T1109" s="293">
        <v>18911034669</v>
      </c>
      <c r="U1109" s="294" t="s">
        <v>6211</v>
      </c>
      <c r="V1109" s="295" t="s">
        <v>6212</v>
      </c>
      <c r="W1109" s="293"/>
      <c r="X1109" s="296">
        <v>43361</v>
      </c>
      <c r="Y1109" s="114" t="s">
        <v>27</v>
      </c>
      <c r="Z1109" s="114" t="s">
        <v>27</v>
      </c>
      <c r="AA1109" s="114" t="s">
        <v>27</v>
      </c>
      <c r="AB1109" s="370" t="s">
        <v>2887</v>
      </c>
      <c r="AC1109" s="524"/>
    </row>
    <row r="1110" spans="1:29" ht="15" customHeight="1">
      <c r="A1110" s="289" t="s">
        <v>203</v>
      </c>
      <c r="B1110" s="289" t="s">
        <v>4814</v>
      </c>
      <c r="C1110" s="289" t="s">
        <v>22</v>
      </c>
      <c r="D1110" s="53" t="s">
        <v>4921</v>
      </c>
      <c r="E1110" s="290" t="s">
        <v>17</v>
      </c>
      <c r="F1110" s="289">
        <v>4079769</v>
      </c>
      <c r="G1110" s="289"/>
      <c r="H1110" s="371" t="s">
        <v>3084</v>
      </c>
      <c r="I1110" s="289"/>
      <c r="J1110" s="289"/>
      <c r="K1110" s="289"/>
      <c r="L1110" s="51"/>
      <c r="M1110" s="290" t="s">
        <v>22</v>
      </c>
      <c r="N1110" s="289" t="s">
        <v>22</v>
      </c>
      <c r="O1110" s="290" t="s">
        <v>22</v>
      </c>
      <c r="P1110" s="291" t="s">
        <v>4971</v>
      </c>
      <c r="Q1110" s="292" t="s">
        <v>5006</v>
      </c>
      <c r="R1110" s="289" t="e">
        <v>#N/A</v>
      </c>
      <c r="S1110" s="293" t="e">
        <v>#N/A</v>
      </c>
      <c r="T1110" s="293"/>
      <c r="U1110" s="294" t="e">
        <v>#N/A</v>
      </c>
      <c r="V1110" s="295" t="e">
        <v>#N/A</v>
      </c>
      <c r="W1110" s="293"/>
      <c r="X1110" s="296" t="s">
        <v>5857</v>
      </c>
      <c r="Y1110" s="114" t="s">
        <v>2021</v>
      </c>
      <c r="Z1110" s="114" t="s">
        <v>22</v>
      </c>
      <c r="AA1110" s="114" t="s">
        <v>2021</v>
      </c>
      <c r="AB1110" s="370" t="s">
        <v>5705</v>
      </c>
      <c r="AC1110" s="524" t="s">
        <v>6509</v>
      </c>
    </row>
    <row r="1111" spans="1:29" ht="15" customHeight="1">
      <c r="A1111" s="289" t="s">
        <v>203</v>
      </c>
      <c r="B1111" s="289" t="s">
        <v>4815</v>
      </c>
      <c r="C1111" s="289" t="s">
        <v>27</v>
      </c>
      <c r="D1111" s="53" t="s">
        <v>2761</v>
      </c>
      <c r="E1111" s="290" t="s">
        <v>17</v>
      </c>
      <c r="F1111" s="289">
        <v>4079828</v>
      </c>
      <c r="G1111" s="289" t="s">
        <v>5419</v>
      </c>
      <c r="H1111" s="371" t="s">
        <v>3084</v>
      </c>
      <c r="I1111" s="289" t="s">
        <v>21</v>
      </c>
      <c r="J1111" s="289" t="s">
        <v>209</v>
      </c>
      <c r="K1111" s="289" t="s">
        <v>26</v>
      </c>
      <c r="L1111" s="51" t="s">
        <v>4464</v>
      </c>
      <c r="M1111" s="290" t="s">
        <v>22</v>
      </c>
      <c r="N1111" s="289" t="s">
        <v>22</v>
      </c>
      <c r="O1111" s="290" t="s">
        <v>22</v>
      </c>
      <c r="P1111" s="291" t="s">
        <v>4971</v>
      </c>
      <c r="Q1111" s="292" t="s">
        <v>5009</v>
      </c>
      <c r="R1111" s="289" t="s">
        <v>5420</v>
      </c>
      <c r="S1111" s="293" t="s">
        <v>5421</v>
      </c>
      <c r="T1111" s="293">
        <v>13810051346</v>
      </c>
      <c r="U1111" s="294" t="s">
        <v>6213</v>
      </c>
      <c r="V1111" s="295" t="s">
        <v>6214</v>
      </c>
      <c r="W1111" s="293"/>
      <c r="X1111" s="296">
        <v>43361</v>
      </c>
      <c r="Y1111" s="114" t="s">
        <v>27</v>
      </c>
      <c r="Z1111" s="114" t="s">
        <v>27</v>
      </c>
      <c r="AA1111" s="114" t="s">
        <v>27</v>
      </c>
      <c r="AB1111" s="370" t="s">
        <v>2887</v>
      </c>
      <c r="AC1111" s="524"/>
    </row>
    <row r="1112" spans="1:29" ht="15" customHeight="1">
      <c r="A1112" s="289" t="s">
        <v>203</v>
      </c>
      <c r="B1112" s="289" t="s">
        <v>4816</v>
      </c>
      <c r="C1112" s="289" t="s">
        <v>27</v>
      </c>
      <c r="D1112" s="289" t="s">
        <v>25</v>
      </c>
      <c r="E1112" s="290" t="s">
        <v>17</v>
      </c>
      <c r="F1112" s="289">
        <v>4079872</v>
      </c>
      <c r="G1112" s="289" t="s">
        <v>5010</v>
      </c>
      <c r="H1112" s="371" t="s">
        <v>3084</v>
      </c>
      <c r="I1112" s="289" t="s">
        <v>21</v>
      </c>
      <c r="J1112" s="289" t="s">
        <v>209</v>
      </c>
      <c r="K1112" s="289" t="s">
        <v>26</v>
      </c>
      <c r="L1112" s="51" t="s">
        <v>4464</v>
      </c>
      <c r="M1112" s="290" t="s">
        <v>22</v>
      </c>
      <c r="N1112" s="289" t="s">
        <v>22</v>
      </c>
      <c r="O1112" s="290" t="s">
        <v>22</v>
      </c>
      <c r="P1112" s="291" t="s">
        <v>4971</v>
      </c>
      <c r="Q1112" s="292" t="s">
        <v>5011</v>
      </c>
      <c r="R1112" s="289" t="s">
        <v>5012</v>
      </c>
      <c r="S1112" s="293" t="s">
        <v>5013</v>
      </c>
      <c r="T1112" s="293">
        <v>13811057193</v>
      </c>
      <c r="U1112" s="294" t="s">
        <v>6215</v>
      </c>
      <c r="V1112" s="295" t="s">
        <v>6216</v>
      </c>
      <c r="W1112" s="293"/>
      <c r="X1112" s="296">
        <v>43361</v>
      </c>
      <c r="Y1112" s="114" t="s">
        <v>27</v>
      </c>
      <c r="Z1112" s="114" t="s">
        <v>27</v>
      </c>
      <c r="AA1112" s="114" t="s">
        <v>27</v>
      </c>
      <c r="AB1112" s="370" t="s">
        <v>2887</v>
      </c>
      <c r="AC1112" s="524"/>
    </row>
    <row r="1113" spans="1:29" ht="15" customHeight="1">
      <c r="A1113" s="289" t="s">
        <v>203</v>
      </c>
      <c r="B1113" s="289" t="s">
        <v>4817</v>
      </c>
      <c r="C1113" s="289" t="s">
        <v>27</v>
      </c>
      <c r="D1113" s="53" t="s">
        <v>2759</v>
      </c>
      <c r="E1113" s="290" t="s">
        <v>17</v>
      </c>
      <c r="F1113" s="289">
        <v>4079842</v>
      </c>
      <c r="G1113" s="289" t="s">
        <v>5010</v>
      </c>
      <c r="H1113" s="371" t="s">
        <v>3084</v>
      </c>
      <c r="I1113" s="289" t="s">
        <v>60</v>
      </c>
      <c r="J1113" s="289" t="s">
        <v>2484</v>
      </c>
      <c r="K1113" s="289" t="s">
        <v>4427</v>
      </c>
      <c r="L1113" s="51" t="s">
        <v>4464</v>
      </c>
      <c r="M1113" s="290" t="s">
        <v>22</v>
      </c>
      <c r="N1113" s="289" t="s">
        <v>22</v>
      </c>
      <c r="O1113" s="290" t="s">
        <v>22</v>
      </c>
      <c r="P1113" s="291" t="s">
        <v>4971</v>
      </c>
      <c r="Q1113" s="292" t="s">
        <v>5014</v>
      </c>
      <c r="R1113" s="289" t="s">
        <v>5015</v>
      </c>
      <c r="S1113" s="293" t="s">
        <v>5016</v>
      </c>
      <c r="T1113" s="293">
        <v>13810961703</v>
      </c>
      <c r="U1113" s="294" t="s">
        <v>6217</v>
      </c>
      <c r="V1113" s="295" t="s">
        <v>6218</v>
      </c>
      <c r="W1113" s="293">
        <v>13810020154</v>
      </c>
      <c r="X1113" s="296">
        <v>43372</v>
      </c>
      <c r="Y1113" s="114" t="s">
        <v>27</v>
      </c>
      <c r="Z1113" s="114" t="s">
        <v>27</v>
      </c>
      <c r="AA1113" s="114" t="s">
        <v>27</v>
      </c>
      <c r="AB1113" s="370" t="s">
        <v>2887</v>
      </c>
      <c r="AC1113" s="524"/>
    </row>
    <row r="1114" spans="1:29" ht="15" customHeight="1">
      <c r="A1114" s="289" t="s">
        <v>203</v>
      </c>
      <c r="B1114" s="289" t="s">
        <v>5017</v>
      </c>
      <c r="C1114" s="289" t="s">
        <v>27</v>
      </c>
      <c r="D1114" s="289" t="s">
        <v>2758</v>
      </c>
      <c r="E1114" s="290" t="s">
        <v>17</v>
      </c>
      <c r="F1114" s="289">
        <v>4079966</v>
      </c>
      <c r="G1114" s="289" t="s">
        <v>5018</v>
      </c>
      <c r="H1114" s="371" t="s">
        <v>3084</v>
      </c>
      <c r="I1114" s="289" t="s">
        <v>60</v>
      </c>
      <c r="J1114" s="289" t="s">
        <v>2485</v>
      </c>
      <c r="K1114" s="289" t="s">
        <v>6197</v>
      </c>
      <c r="L1114" s="51" t="s">
        <v>4464</v>
      </c>
      <c r="M1114" s="290" t="s">
        <v>22</v>
      </c>
      <c r="N1114" s="289" t="s">
        <v>22</v>
      </c>
      <c r="O1114" s="290" t="s">
        <v>22</v>
      </c>
      <c r="P1114" s="291" t="s">
        <v>4978</v>
      </c>
      <c r="Q1114" s="292" t="s">
        <v>5019</v>
      </c>
      <c r="R1114" s="289" t="s">
        <v>5020</v>
      </c>
      <c r="S1114" s="293" t="s">
        <v>5021</v>
      </c>
      <c r="T1114" s="293" t="s">
        <v>5088</v>
      </c>
      <c r="U1114" s="294" t="s">
        <v>6219</v>
      </c>
      <c r="V1114" s="295" t="s">
        <v>6220</v>
      </c>
      <c r="W1114" s="293" t="s">
        <v>5022</v>
      </c>
      <c r="X1114" s="296">
        <v>43419</v>
      </c>
      <c r="Y1114" s="114" t="s">
        <v>27</v>
      </c>
      <c r="Z1114" s="114" t="s">
        <v>27</v>
      </c>
      <c r="AA1114" s="114" t="s">
        <v>27</v>
      </c>
      <c r="AB1114" s="370" t="s">
        <v>2887</v>
      </c>
      <c r="AC1114" s="524"/>
    </row>
    <row r="1115" spans="1:29" ht="15" customHeight="1">
      <c r="A1115" s="289" t="s">
        <v>203</v>
      </c>
      <c r="B1115" s="289" t="s">
        <v>5023</v>
      </c>
      <c r="C1115" s="289" t="s">
        <v>27</v>
      </c>
      <c r="D1115" s="289" t="s">
        <v>25</v>
      </c>
      <c r="E1115" s="290" t="s">
        <v>17</v>
      </c>
      <c r="F1115" s="289">
        <v>4079927</v>
      </c>
      <c r="G1115" s="289" t="s">
        <v>5024</v>
      </c>
      <c r="H1115" s="371" t="s">
        <v>3084</v>
      </c>
      <c r="I1115" s="289" t="s">
        <v>21</v>
      </c>
      <c r="J1115" s="289" t="s">
        <v>209</v>
      </c>
      <c r="K1115" s="289" t="s">
        <v>26</v>
      </c>
      <c r="L1115" s="51" t="s">
        <v>4464</v>
      </c>
      <c r="M1115" s="290" t="s">
        <v>22</v>
      </c>
      <c r="N1115" s="289" t="s">
        <v>22</v>
      </c>
      <c r="O1115" s="290" t="s">
        <v>22</v>
      </c>
      <c r="P1115" s="291" t="s">
        <v>5025</v>
      </c>
      <c r="Q1115" s="292" t="s">
        <v>5026</v>
      </c>
      <c r="R1115" s="289" t="s">
        <v>5027</v>
      </c>
      <c r="S1115" s="293" t="s">
        <v>5028</v>
      </c>
      <c r="T1115" s="293">
        <v>13810572935</v>
      </c>
      <c r="U1115" s="294" t="s">
        <v>6221</v>
      </c>
      <c r="V1115" s="295" t="s">
        <v>6222</v>
      </c>
      <c r="W1115" s="293"/>
      <c r="X1115" s="296">
        <v>43363</v>
      </c>
      <c r="Y1115" s="114" t="s">
        <v>27</v>
      </c>
      <c r="Z1115" s="114" t="s">
        <v>27</v>
      </c>
      <c r="AA1115" s="114" t="s">
        <v>27</v>
      </c>
      <c r="AB1115" s="370" t="s">
        <v>2887</v>
      </c>
      <c r="AC1115" s="524"/>
    </row>
    <row r="1116" spans="1:29" ht="15" customHeight="1">
      <c r="A1116" s="289" t="s">
        <v>203</v>
      </c>
      <c r="B1116" s="289" t="s">
        <v>5687</v>
      </c>
      <c r="C1116" s="289" t="s">
        <v>27</v>
      </c>
      <c r="D1116" s="289" t="s">
        <v>2758</v>
      </c>
      <c r="E1116" s="290" t="s">
        <v>17</v>
      </c>
      <c r="F1116" s="289">
        <v>4079854</v>
      </c>
      <c r="G1116" s="289" t="s">
        <v>4683</v>
      </c>
      <c r="H1116" s="371" t="s">
        <v>3084</v>
      </c>
      <c r="I1116" s="289" t="s">
        <v>21</v>
      </c>
      <c r="J1116" s="289" t="s">
        <v>204</v>
      </c>
      <c r="K1116" s="289" t="s">
        <v>3650</v>
      </c>
      <c r="L1116" s="51" t="s">
        <v>4464</v>
      </c>
      <c r="M1116" s="290" t="s">
        <v>22</v>
      </c>
      <c r="N1116" s="289" t="s">
        <v>27</v>
      </c>
      <c r="O1116" s="290" t="s">
        <v>22</v>
      </c>
      <c r="P1116" s="291" t="s">
        <v>4465</v>
      </c>
      <c r="Q1116" s="292" t="s">
        <v>5688</v>
      </c>
      <c r="R1116" s="289" t="s">
        <v>5191</v>
      </c>
      <c r="S1116" s="293" t="s">
        <v>5192</v>
      </c>
      <c r="T1116" s="293">
        <v>18911034659</v>
      </c>
      <c r="U1116" s="294" t="s">
        <v>6223</v>
      </c>
      <c r="V1116" s="295" t="s">
        <v>6224</v>
      </c>
      <c r="W1116" s="293"/>
      <c r="X1116" s="296"/>
      <c r="Y1116" s="114" t="s">
        <v>27</v>
      </c>
      <c r="Z1116" s="114" t="s">
        <v>27</v>
      </c>
      <c r="AA1116" s="114" t="s">
        <v>27</v>
      </c>
      <c r="AB1116" s="370" t="s">
        <v>2887</v>
      </c>
      <c r="AC1116" s="524"/>
    </row>
    <row r="1117" spans="1:29" ht="15" customHeight="1">
      <c r="A1117" s="289" t="s">
        <v>203</v>
      </c>
      <c r="B1117" s="289" t="s">
        <v>5029</v>
      </c>
      <c r="C1117" s="289" t="s">
        <v>27</v>
      </c>
      <c r="D1117" s="289" t="s">
        <v>25</v>
      </c>
      <c r="E1117" s="290" t="s">
        <v>17</v>
      </c>
      <c r="F1117" s="289">
        <v>4079938</v>
      </c>
      <c r="G1117" s="289" t="s">
        <v>5030</v>
      </c>
      <c r="H1117" s="371" t="s">
        <v>3084</v>
      </c>
      <c r="I1117" s="289" t="s">
        <v>21</v>
      </c>
      <c r="J1117" s="289" t="s">
        <v>209</v>
      </c>
      <c r="K1117" s="289" t="s">
        <v>26</v>
      </c>
      <c r="L1117" s="51" t="s">
        <v>4464</v>
      </c>
      <c r="M1117" s="290" t="s">
        <v>22</v>
      </c>
      <c r="N1117" s="289" t="s">
        <v>22</v>
      </c>
      <c r="O1117" s="290" t="s">
        <v>22</v>
      </c>
      <c r="P1117" s="291" t="s">
        <v>5025</v>
      </c>
      <c r="Q1117" s="292" t="s">
        <v>5031</v>
      </c>
      <c r="R1117" s="289" t="s">
        <v>5032</v>
      </c>
      <c r="S1117" s="293" t="s">
        <v>5033</v>
      </c>
      <c r="T1117" s="293">
        <v>13810679130</v>
      </c>
      <c r="U1117" s="294" t="s">
        <v>6225</v>
      </c>
      <c r="V1117" s="295" t="s">
        <v>6226</v>
      </c>
      <c r="W1117" s="293"/>
      <c r="X1117" s="296">
        <v>43363</v>
      </c>
      <c r="Y1117" s="114" t="s">
        <v>27</v>
      </c>
      <c r="Z1117" s="114" t="s">
        <v>27</v>
      </c>
      <c r="AA1117" s="114" t="s">
        <v>27</v>
      </c>
      <c r="AB1117" s="370" t="s">
        <v>2887</v>
      </c>
      <c r="AC1117" s="524"/>
    </row>
    <row r="1118" spans="1:29" ht="15" customHeight="1">
      <c r="A1118" s="289" t="s">
        <v>203</v>
      </c>
      <c r="B1118" s="289" t="s">
        <v>5034</v>
      </c>
      <c r="C1118" s="289" t="s">
        <v>27</v>
      </c>
      <c r="D1118" s="289" t="s">
        <v>25</v>
      </c>
      <c r="E1118" s="290" t="s">
        <v>17</v>
      </c>
      <c r="F1118" s="289">
        <v>4079827</v>
      </c>
      <c r="G1118" s="289" t="s">
        <v>5030</v>
      </c>
      <c r="H1118" s="371" t="s">
        <v>3084</v>
      </c>
      <c r="I1118" s="289" t="s">
        <v>21</v>
      </c>
      <c r="J1118" s="289" t="s">
        <v>209</v>
      </c>
      <c r="K1118" s="289" t="s">
        <v>26</v>
      </c>
      <c r="L1118" s="51" t="s">
        <v>4464</v>
      </c>
      <c r="M1118" s="290" t="s">
        <v>22</v>
      </c>
      <c r="N1118" s="289" t="s">
        <v>22</v>
      </c>
      <c r="O1118" s="290" t="s">
        <v>22</v>
      </c>
      <c r="P1118" s="291" t="s">
        <v>5025</v>
      </c>
      <c r="Q1118" s="292" t="s">
        <v>5035</v>
      </c>
      <c r="R1118" s="289" t="s">
        <v>5036</v>
      </c>
      <c r="S1118" s="293" t="s">
        <v>5037</v>
      </c>
      <c r="T1118" s="293">
        <v>13810917935</v>
      </c>
      <c r="U1118" s="294" t="s">
        <v>6227</v>
      </c>
      <c r="V1118" s="295" t="s">
        <v>6228</v>
      </c>
      <c r="W1118" s="293"/>
      <c r="X1118" s="296">
        <v>43363</v>
      </c>
      <c r="Y1118" s="114" t="s">
        <v>27</v>
      </c>
      <c r="Z1118" s="114" t="s">
        <v>27</v>
      </c>
      <c r="AA1118" s="114" t="s">
        <v>27</v>
      </c>
      <c r="AB1118" s="370" t="s">
        <v>2887</v>
      </c>
      <c r="AC1118" s="524"/>
    </row>
    <row r="1119" spans="1:29" ht="15" customHeight="1">
      <c r="A1119" s="289" t="s">
        <v>203</v>
      </c>
      <c r="B1119" s="289" t="s">
        <v>5038</v>
      </c>
      <c r="C1119" s="289" t="s">
        <v>22</v>
      </c>
      <c r="D1119" s="289" t="s">
        <v>25</v>
      </c>
      <c r="E1119" s="290" t="s">
        <v>17</v>
      </c>
      <c r="F1119" s="289">
        <v>4079947</v>
      </c>
      <c r="G1119" s="289" t="s">
        <v>5039</v>
      </c>
      <c r="H1119" s="371" t="s">
        <v>3084</v>
      </c>
      <c r="I1119" s="289" t="s">
        <v>21</v>
      </c>
      <c r="J1119" s="289" t="s">
        <v>209</v>
      </c>
      <c r="K1119" s="289" t="s">
        <v>26</v>
      </c>
      <c r="L1119" s="51" t="s">
        <v>4464</v>
      </c>
      <c r="M1119" s="290" t="s">
        <v>22</v>
      </c>
      <c r="N1119" s="289" t="s">
        <v>22</v>
      </c>
      <c r="O1119" s="290" t="s">
        <v>22</v>
      </c>
      <c r="P1119" s="291" t="s">
        <v>5025</v>
      </c>
      <c r="Q1119" s="292" t="s">
        <v>5040</v>
      </c>
      <c r="R1119" s="289">
        <v>0</v>
      </c>
      <c r="S1119" s="293" t="s">
        <v>6599</v>
      </c>
      <c r="T1119" s="293">
        <v>13810857613</v>
      </c>
      <c r="U1119" s="294" t="s">
        <v>6600</v>
      </c>
      <c r="V1119" s="295" t="s">
        <v>6601</v>
      </c>
      <c r="W1119" s="293"/>
      <c r="X1119" s="296">
        <v>43439</v>
      </c>
      <c r="Y1119" s="114" t="s">
        <v>27</v>
      </c>
      <c r="Z1119" s="114" t="s">
        <v>27</v>
      </c>
      <c r="AA1119" s="114" t="s">
        <v>22</v>
      </c>
      <c r="AB1119" s="370" t="s">
        <v>6523</v>
      </c>
      <c r="AC1119" s="524"/>
    </row>
    <row r="1120" spans="1:29" ht="15" customHeight="1">
      <c r="A1120" s="289" t="s">
        <v>203</v>
      </c>
      <c r="B1120" s="289" t="s">
        <v>5041</v>
      </c>
      <c r="C1120" s="289" t="s">
        <v>27</v>
      </c>
      <c r="D1120" s="53" t="s">
        <v>25</v>
      </c>
      <c r="E1120" s="290" t="s">
        <v>17</v>
      </c>
      <c r="F1120" s="289">
        <v>4079909</v>
      </c>
      <c r="G1120" s="289" t="s">
        <v>5039</v>
      </c>
      <c r="H1120" s="371" t="s">
        <v>3084</v>
      </c>
      <c r="I1120" s="289" t="s">
        <v>21</v>
      </c>
      <c r="J1120" s="289" t="s">
        <v>209</v>
      </c>
      <c r="K1120" s="289" t="s">
        <v>26</v>
      </c>
      <c r="L1120" s="51" t="s">
        <v>4464</v>
      </c>
      <c r="M1120" s="290" t="s">
        <v>22</v>
      </c>
      <c r="N1120" s="289" t="s">
        <v>22</v>
      </c>
      <c r="O1120" s="290" t="s">
        <v>22</v>
      </c>
      <c r="P1120" s="291" t="s">
        <v>5025</v>
      </c>
      <c r="Q1120" s="292" t="s">
        <v>5042</v>
      </c>
      <c r="R1120" s="289" t="s">
        <v>5043</v>
      </c>
      <c r="S1120" s="293" t="s">
        <v>5044</v>
      </c>
      <c r="T1120" s="293">
        <v>13810523627</v>
      </c>
      <c r="U1120" s="294" t="s">
        <v>6229</v>
      </c>
      <c r="V1120" s="295" t="s">
        <v>6230</v>
      </c>
      <c r="W1120" s="293"/>
      <c r="X1120" s="296">
        <v>43363</v>
      </c>
      <c r="Y1120" s="114" t="s">
        <v>27</v>
      </c>
      <c r="Z1120" s="114" t="s">
        <v>27</v>
      </c>
      <c r="AA1120" s="114" t="s">
        <v>27</v>
      </c>
      <c r="AB1120" s="370" t="s">
        <v>2887</v>
      </c>
      <c r="AC1120" s="524"/>
    </row>
    <row r="1121" spans="1:29" ht="15" customHeight="1">
      <c r="A1121" s="289" t="s">
        <v>203</v>
      </c>
      <c r="B1121" s="289" t="s">
        <v>5045</v>
      </c>
      <c r="C1121" s="289" t="s">
        <v>27</v>
      </c>
      <c r="D1121" s="53" t="s">
        <v>2761</v>
      </c>
      <c r="E1121" s="290" t="s">
        <v>17</v>
      </c>
      <c r="F1121" s="289">
        <v>4079824</v>
      </c>
      <c r="G1121" s="289" t="s">
        <v>5046</v>
      </c>
      <c r="H1121" s="371" t="s">
        <v>3084</v>
      </c>
      <c r="I1121" s="289" t="s">
        <v>21</v>
      </c>
      <c r="J1121" s="289" t="s">
        <v>209</v>
      </c>
      <c r="K1121" s="289" t="s">
        <v>26</v>
      </c>
      <c r="L1121" s="51" t="s">
        <v>4464</v>
      </c>
      <c r="M1121" s="290" t="s">
        <v>22</v>
      </c>
      <c r="N1121" s="289" t="s">
        <v>22</v>
      </c>
      <c r="O1121" s="290" t="s">
        <v>22</v>
      </c>
      <c r="P1121" s="291" t="s">
        <v>5025</v>
      </c>
      <c r="Q1121" s="292" t="s">
        <v>5047</v>
      </c>
      <c r="R1121" s="289" t="s">
        <v>5048</v>
      </c>
      <c r="S1121" s="293" t="s">
        <v>5049</v>
      </c>
      <c r="T1121" s="293">
        <v>13810866027</v>
      </c>
      <c r="U1121" s="294" t="s">
        <v>6231</v>
      </c>
      <c r="V1121" s="295" t="s">
        <v>6232</v>
      </c>
      <c r="W1121" s="293"/>
      <c r="X1121" s="296">
        <v>43363</v>
      </c>
      <c r="Y1121" s="114" t="s">
        <v>27</v>
      </c>
      <c r="Z1121" s="114" t="s">
        <v>27</v>
      </c>
      <c r="AA1121" s="114" t="s">
        <v>27</v>
      </c>
      <c r="AB1121" s="370" t="s">
        <v>2887</v>
      </c>
      <c r="AC1121" s="524"/>
    </row>
    <row r="1122" spans="1:29" ht="15" customHeight="1">
      <c r="A1122" s="289" t="s">
        <v>203</v>
      </c>
      <c r="B1122" s="289" t="s">
        <v>5050</v>
      </c>
      <c r="C1122" s="289" t="s">
        <v>27</v>
      </c>
      <c r="D1122" s="53" t="s">
        <v>4921</v>
      </c>
      <c r="E1122" s="290" t="s">
        <v>17</v>
      </c>
      <c r="F1122" s="289">
        <v>4079818</v>
      </c>
      <c r="G1122" s="289" t="s">
        <v>5051</v>
      </c>
      <c r="H1122" s="371" t="s">
        <v>3084</v>
      </c>
      <c r="I1122" s="289" t="s">
        <v>21</v>
      </c>
      <c r="J1122" s="289" t="s">
        <v>209</v>
      </c>
      <c r="K1122" s="289" t="s">
        <v>26</v>
      </c>
      <c r="L1122" s="51" t="s">
        <v>4464</v>
      </c>
      <c r="M1122" s="290" t="s">
        <v>22</v>
      </c>
      <c r="N1122" s="289" t="s">
        <v>22</v>
      </c>
      <c r="O1122" s="290" t="s">
        <v>22</v>
      </c>
      <c r="P1122" s="291" t="s">
        <v>4971</v>
      </c>
      <c r="Q1122" s="292" t="s">
        <v>5052</v>
      </c>
      <c r="R1122" s="289" t="s">
        <v>5053</v>
      </c>
      <c r="S1122" s="293" t="s">
        <v>5054</v>
      </c>
      <c r="T1122" s="293" t="s">
        <v>5055</v>
      </c>
      <c r="U1122" s="294" t="s">
        <v>6233</v>
      </c>
      <c r="V1122" s="295" t="s">
        <v>6234</v>
      </c>
      <c r="W1122" s="293"/>
      <c r="X1122" s="296">
        <v>43453</v>
      </c>
      <c r="Y1122" s="114" t="s">
        <v>27</v>
      </c>
      <c r="Z1122" s="114" t="s">
        <v>27</v>
      </c>
      <c r="AA1122" s="114" t="s">
        <v>27</v>
      </c>
      <c r="AB1122" s="370" t="s">
        <v>2888</v>
      </c>
      <c r="AC1122" s="524" t="s">
        <v>5772</v>
      </c>
    </row>
    <row r="1123" spans="1:29" ht="15" customHeight="1">
      <c r="A1123" s="289" t="s">
        <v>203</v>
      </c>
      <c r="B1123" s="289" t="s">
        <v>5056</v>
      </c>
      <c r="C1123" s="289" t="s">
        <v>27</v>
      </c>
      <c r="D1123" s="53" t="s">
        <v>2758</v>
      </c>
      <c r="E1123" s="290" t="s">
        <v>17</v>
      </c>
      <c r="F1123" s="289">
        <v>4079970</v>
      </c>
      <c r="G1123" s="289" t="s">
        <v>5057</v>
      </c>
      <c r="H1123" s="371" t="s">
        <v>3084</v>
      </c>
      <c r="I1123" s="289" t="s">
        <v>60</v>
      </c>
      <c r="J1123" s="289" t="s">
        <v>2501</v>
      </c>
      <c r="K1123" s="289" t="s">
        <v>4445</v>
      </c>
      <c r="L1123" s="51" t="s">
        <v>4464</v>
      </c>
      <c r="M1123" s="290" t="s">
        <v>22</v>
      </c>
      <c r="N1123" s="289" t="s">
        <v>27</v>
      </c>
      <c r="O1123" s="290" t="s">
        <v>22</v>
      </c>
      <c r="P1123" s="291" t="s">
        <v>5025</v>
      </c>
      <c r="Q1123" s="292" t="s">
        <v>5058</v>
      </c>
      <c r="R1123" s="289" t="s">
        <v>5059</v>
      </c>
      <c r="S1123" s="293" t="s">
        <v>5060</v>
      </c>
      <c r="T1123" s="293">
        <v>18911124287</v>
      </c>
      <c r="U1123" s="294" t="s">
        <v>5635</v>
      </c>
      <c r="V1123" s="295" t="s">
        <v>5636</v>
      </c>
      <c r="W1123" s="293" t="s">
        <v>5207</v>
      </c>
      <c r="X1123" s="296">
        <v>43383</v>
      </c>
      <c r="Y1123" s="114" t="s">
        <v>27</v>
      </c>
      <c r="Z1123" s="114" t="s">
        <v>27</v>
      </c>
      <c r="AA1123" s="114" t="s">
        <v>27</v>
      </c>
      <c r="AB1123" s="370" t="s">
        <v>2887</v>
      </c>
      <c r="AC1123" s="524"/>
    </row>
    <row r="1124" spans="1:29" ht="15" customHeight="1">
      <c r="A1124" s="289" t="s">
        <v>203</v>
      </c>
      <c r="B1124" s="289" t="s">
        <v>5061</v>
      </c>
      <c r="C1124" s="289" t="s">
        <v>27</v>
      </c>
      <c r="D1124" s="53" t="s">
        <v>2758</v>
      </c>
      <c r="E1124" s="290" t="s">
        <v>17</v>
      </c>
      <c r="F1124" s="289">
        <v>4079887</v>
      </c>
      <c r="G1124" s="289" t="s">
        <v>5051</v>
      </c>
      <c r="H1124" s="371" t="s">
        <v>3084</v>
      </c>
      <c r="I1124" s="289" t="s">
        <v>60</v>
      </c>
      <c r="J1124" s="289" t="s">
        <v>5208</v>
      </c>
      <c r="K1124" s="289" t="s">
        <v>4427</v>
      </c>
      <c r="L1124" s="51" t="s">
        <v>4464</v>
      </c>
      <c r="M1124" s="290" t="s">
        <v>22</v>
      </c>
      <c r="N1124" s="289" t="s">
        <v>22</v>
      </c>
      <c r="O1124" s="290" t="s">
        <v>27</v>
      </c>
      <c r="P1124" s="291" t="s">
        <v>5025</v>
      </c>
      <c r="Q1124" s="292" t="s">
        <v>5062</v>
      </c>
      <c r="R1124" s="289" t="s">
        <v>5063</v>
      </c>
      <c r="S1124" s="293" t="s">
        <v>5209</v>
      </c>
      <c r="T1124" s="293" t="s">
        <v>5422</v>
      </c>
      <c r="U1124" s="294" t="s">
        <v>6235</v>
      </c>
      <c r="V1124" s="295" t="s">
        <v>6236</v>
      </c>
      <c r="W1124" s="293" t="s">
        <v>5423</v>
      </c>
      <c r="X1124" s="296">
        <v>43383</v>
      </c>
      <c r="Y1124" s="114" t="s">
        <v>27</v>
      </c>
      <c r="Z1124" s="114" t="s">
        <v>27</v>
      </c>
      <c r="AA1124" s="114" t="s">
        <v>27</v>
      </c>
      <c r="AB1124" s="370" t="s">
        <v>2887</v>
      </c>
      <c r="AC1124" s="524"/>
    </row>
    <row r="1125" spans="1:29" ht="15" customHeight="1">
      <c r="A1125" s="289" t="s">
        <v>203</v>
      </c>
      <c r="B1125" s="289" t="s">
        <v>5064</v>
      </c>
      <c r="C1125" s="289" t="s">
        <v>27</v>
      </c>
      <c r="D1125" s="53" t="s">
        <v>2758</v>
      </c>
      <c r="E1125" s="290" t="s">
        <v>17</v>
      </c>
      <c r="F1125" s="289">
        <v>4079856</v>
      </c>
      <c r="G1125" s="289" t="s">
        <v>5065</v>
      </c>
      <c r="H1125" s="371" t="s">
        <v>3084</v>
      </c>
      <c r="I1125" s="289" t="s">
        <v>60</v>
      </c>
      <c r="J1125" s="289" t="s">
        <v>2484</v>
      </c>
      <c r="K1125" s="289" t="s">
        <v>4427</v>
      </c>
      <c r="L1125" s="51" t="s">
        <v>4464</v>
      </c>
      <c r="M1125" s="290" t="s">
        <v>22</v>
      </c>
      <c r="N1125" s="289" t="s">
        <v>22</v>
      </c>
      <c r="O1125" s="290" t="s">
        <v>22</v>
      </c>
      <c r="P1125" s="291" t="s">
        <v>5025</v>
      </c>
      <c r="Q1125" s="292" t="s">
        <v>5066</v>
      </c>
      <c r="R1125" s="289" t="s">
        <v>5067</v>
      </c>
      <c r="S1125" s="293" t="s">
        <v>5068</v>
      </c>
      <c r="T1125" s="293" t="s">
        <v>5210</v>
      </c>
      <c r="U1125" s="294" t="s">
        <v>6237</v>
      </c>
      <c r="V1125" s="295" t="s">
        <v>6238</v>
      </c>
      <c r="W1125" s="293" t="s">
        <v>5211</v>
      </c>
      <c r="X1125" s="296">
        <v>43383</v>
      </c>
      <c r="Y1125" s="114" t="s">
        <v>27</v>
      </c>
      <c r="Z1125" s="114" t="s">
        <v>27</v>
      </c>
      <c r="AA1125" s="114" t="s">
        <v>27</v>
      </c>
      <c r="AB1125" s="370" t="s">
        <v>2887</v>
      </c>
      <c r="AC1125" s="524" t="s">
        <v>5858</v>
      </c>
    </row>
    <row r="1126" spans="1:29" ht="15" customHeight="1">
      <c r="A1126" s="289" t="s">
        <v>203</v>
      </c>
      <c r="B1126" s="289" t="s">
        <v>5069</v>
      </c>
      <c r="C1126" s="289" t="s">
        <v>27</v>
      </c>
      <c r="D1126" s="53" t="s">
        <v>2758</v>
      </c>
      <c r="E1126" s="290" t="s">
        <v>17</v>
      </c>
      <c r="F1126" s="289">
        <v>4079786</v>
      </c>
      <c r="G1126" s="289" t="s">
        <v>6239</v>
      </c>
      <c r="H1126" s="371" t="s">
        <v>3084</v>
      </c>
      <c r="I1126" s="289" t="s">
        <v>60</v>
      </c>
      <c r="J1126" s="289" t="s">
        <v>1588</v>
      </c>
      <c r="K1126" s="289" t="s">
        <v>6208</v>
      </c>
      <c r="L1126" s="51" t="s">
        <v>4464</v>
      </c>
      <c r="M1126" s="290" t="s">
        <v>22</v>
      </c>
      <c r="N1126" s="289" t="s">
        <v>27</v>
      </c>
      <c r="O1126" s="290" t="s">
        <v>22</v>
      </c>
      <c r="P1126" s="291" t="s">
        <v>4978</v>
      </c>
      <c r="Q1126" s="292" t="s">
        <v>5070</v>
      </c>
      <c r="R1126" s="289" t="s">
        <v>5071</v>
      </c>
      <c r="S1126" s="293" t="s">
        <v>5072</v>
      </c>
      <c r="T1126" s="293">
        <v>17310496184</v>
      </c>
      <c r="U1126" s="294" t="s">
        <v>5637</v>
      </c>
      <c r="V1126" s="295" t="s">
        <v>5638</v>
      </c>
      <c r="W1126" s="293" t="s">
        <v>5639</v>
      </c>
      <c r="X1126" s="296">
        <v>43419</v>
      </c>
      <c r="Y1126" s="114" t="s">
        <v>27</v>
      </c>
      <c r="Z1126" s="114" t="s">
        <v>27</v>
      </c>
      <c r="AA1126" s="114" t="s">
        <v>27</v>
      </c>
      <c r="AB1126" s="370" t="s">
        <v>2887</v>
      </c>
      <c r="AC1126" s="524"/>
    </row>
    <row r="1127" spans="1:29" ht="15" customHeight="1">
      <c r="A1127" s="289" t="s">
        <v>203</v>
      </c>
      <c r="B1127" s="289" t="s">
        <v>5074</v>
      </c>
      <c r="C1127" s="289" t="s">
        <v>27</v>
      </c>
      <c r="D1127" s="53" t="s">
        <v>2758</v>
      </c>
      <c r="E1127" s="290" t="s">
        <v>17</v>
      </c>
      <c r="F1127" s="289">
        <v>4079912</v>
      </c>
      <c r="G1127" s="289" t="s">
        <v>5075</v>
      </c>
      <c r="H1127" s="371" t="s">
        <v>3084</v>
      </c>
      <c r="I1127" s="289" t="s">
        <v>60</v>
      </c>
      <c r="J1127" s="289" t="s">
        <v>1588</v>
      </c>
      <c r="K1127" s="289" t="s">
        <v>6208</v>
      </c>
      <c r="L1127" s="51" t="s">
        <v>4464</v>
      </c>
      <c r="M1127" s="290" t="s">
        <v>22</v>
      </c>
      <c r="N1127" s="289" t="s">
        <v>27</v>
      </c>
      <c r="O1127" s="290" t="s">
        <v>22</v>
      </c>
      <c r="P1127" s="291" t="s">
        <v>5025</v>
      </c>
      <c r="Q1127" s="292" t="s">
        <v>5076</v>
      </c>
      <c r="R1127" s="289" t="s">
        <v>6602</v>
      </c>
      <c r="S1127" s="293" t="s">
        <v>6603</v>
      </c>
      <c r="T1127" s="293" t="s">
        <v>5640</v>
      </c>
      <c r="U1127" s="294" t="s">
        <v>6240</v>
      </c>
      <c r="V1127" s="295" t="s">
        <v>6241</v>
      </c>
      <c r="W1127" s="293" t="s">
        <v>5641</v>
      </c>
      <c r="X1127" s="296">
        <v>43419</v>
      </c>
      <c r="Y1127" s="114" t="s">
        <v>27</v>
      </c>
      <c r="Z1127" s="114" t="s">
        <v>27</v>
      </c>
      <c r="AA1127" s="114" t="s">
        <v>27</v>
      </c>
      <c r="AB1127" s="370" t="s">
        <v>2887</v>
      </c>
      <c r="AC1127" s="524"/>
    </row>
    <row r="1128" spans="1:29" ht="15" customHeight="1">
      <c r="A1128" s="289" t="s">
        <v>203</v>
      </c>
      <c r="B1128" s="289" t="s">
        <v>5077</v>
      </c>
      <c r="C1128" s="289" t="s">
        <v>27</v>
      </c>
      <c r="D1128" s="53" t="s">
        <v>2758</v>
      </c>
      <c r="E1128" s="290" t="s">
        <v>17</v>
      </c>
      <c r="F1128" s="289">
        <v>4079931</v>
      </c>
      <c r="G1128" s="289" t="s">
        <v>5075</v>
      </c>
      <c r="H1128" s="371" t="s">
        <v>3084</v>
      </c>
      <c r="I1128" s="289" t="s">
        <v>60</v>
      </c>
      <c r="J1128" s="289" t="s">
        <v>1588</v>
      </c>
      <c r="K1128" s="289" t="s">
        <v>6208</v>
      </c>
      <c r="L1128" s="51" t="s">
        <v>4464</v>
      </c>
      <c r="M1128" s="290" t="s">
        <v>22</v>
      </c>
      <c r="N1128" s="289" t="s">
        <v>27</v>
      </c>
      <c r="O1128" s="290" t="s">
        <v>22</v>
      </c>
      <c r="P1128" s="291" t="s">
        <v>5025</v>
      </c>
      <c r="Q1128" s="292" t="s">
        <v>5078</v>
      </c>
      <c r="R1128" s="289" t="s">
        <v>5212</v>
      </c>
      <c r="S1128" s="293" t="s">
        <v>5213</v>
      </c>
      <c r="T1128" s="293" t="s">
        <v>5424</v>
      </c>
      <c r="U1128" s="294" t="s">
        <v>5642</v>
      </c>
      <c r="V1128" s="295" t="s">
        <v>5643</v>
      </c>
      <c r="W1128" s="293" t="s">
        <v>5214</v>
      </c>
      <c r="X1128" s="296">
        <v>43419</v>
      </c>
      <c r="Y1128" s="114" t="s">
        <v>27</v>
      </c>
      <c r="Z1128" s="114" t="s">
        <v>27</v>
      </c>
      <c r="AA1128" s="114" t="s">
        <v>27</v>
      </c>
      <c r="AB1128" s="370" t="s">
        <v>2887</v>
      </c>
      <c r="AC1128" s="524"/>
    </row>
    <row r="1129" spans="1:29" ht="15" customHeight="1">
      <c r="A1129" s="289" t="s">
        <v>203</v>
      </c>
      <c r="B1129" s="289" t="s">
        <v>5079</v>
      </c>
      <c r="C1129" s="289" t="s">
        <v>27</v>
      </c>
      <c r="D1129" s="53" t="s">
        <v>2758</v>
      </c>
      <c r="E1129" s="290" t="s">
        <v>17</v>
      </c>
      <c r="F1129" s="289">
        <v>4079973</v>
      </c>
      <c r="G1129" s="289" t="s">
        <v>6242</v>
      </c>
      <c r="H1129" s="371" t="s">
        <v>3084</v>
      </c>
      <c r="I1129" s="289" t="s">
        <v>60</v>
      </c>
      <c r="J1129" s="289" t="s">
        <v>2501</v>
      </c>
      <c r="K1129" s="289" t="s">
        <v>4445</v>
      </c>
      <c r="L1129" s="51" t="s">
        <v>4464</v>
      </c>
      <c r="M1129" s="290" t="s">
        <v>22</v>
      </c>
      <c r="N1129" s="289" t="s">
        <v>27</v>
      </c>
      <c r="O1129" s="290" t="s">
        <v>22</v>
      </c>
      <c r="P1129" s="291" t="s">
        <v>4978</v>
      </c>
      <c r="Q1129" s="292" t="s">
        <v>5080</v>
      </c>
      <c r="R1129" s="289" t="s">
        <v>5081</v>
      </c>
      <c r="S1129" s="293" t="s">
        <v>5082</v>
      </c>
      <c r="T1129" s="293">
        <v>18101234794</v>
      </c>
      <c r="U1129" s="294" t="s">
        <v>5644</v>
      </c>
      <c r="V1129" s="295" t="s">
        <v>5645</v>
      </c>
      <c r="W1129" s="293" t="s">
        <v>5083</v>
      </c>
      <c r="X1129" s="296">
        <v>43372</v>
      </c>
      <c r="Y1129" s="114" t="s">
        <v>27</v>
      </c>
      <c r="Z1129" s="114" t="s">
        <v>27</v>
      </c>
      <c r="AA1129" s="114" t="s">
        <v>27</v>
      </c>
      <c r="AB1129" s="370" t="s">
        <v>2887</v>
      </c>
      <c r="AC1129" s="524"/>
    </row>
    <row r="1130" spans="1:29" ht="15" customHeight="1">
      <c r="A1130" s="289" t="s">
        <v>203</v>
      </c>
      <c r="B1130" s="289" t="s">
        <v>5084</v>
      </c>
      <c r="C1130" s="289" t="s">
        <v>27</v>
      </c>
      <c r="D1130" s="53" t="s">
        <v>2758</v>
      </c>
      <c r="E1130" s="290" t="s">
        <v>17</v>
      </c>
      <c r="F1130" s="289">
        <v>4079806</v>
      </c>
      <c r="G1130" s="289" t="s">
        <v>6242</v>
      </c>
      <c r="H1130" s="371" t="s">
        <v>3084</v>
      </c>
      <c r="I1130" s="289" t="s">
        <v>60</v>
      </c>
      <c r="J1130" s="289" t="s">
        <v>2501</v>
      </c>
      <c r="K1130" s="289" t="s">
        <v>4445</v>
      </c>
      <c r="L1130" s="51" t="s">
        <v>4464</v>
      </c>
      <c r="M1130" s="290" t="s">
        <v>22</v>
      </c>
      <c r="N1130" s="289" t="s">
        <v>27</v>
      </c>
      <c r="O1130" s="290" t="s">
        <v>22</v>
      </c>
      <c r="P1130" s="291" t="s">
        <v>4978</v>
      </c>
      <c r="Q1130" s="292" t="s">
        <v>5085</v>
      </c>
      <c r="R1130" s="289" t="s">
        <v>5086</v>
      </c>
      <c r="S1130" s="293" t="s">
        <v>5087</v>
      </c>
      <c r="T1130" s="293">
        <v>17319106459</v>
      </c>
      <c r="U1130" s="294" t="s">
        <v>5646</v>
      </c>
      <c r="V1130" s="295" t="s">
        <v>5647</v>
      </c>
      <c r="W1130" s="293">
        <v>13810021134</v>
      </c>
      <c r="X1130" s="296">
        <v>43372</v>
      </c>
      <c r="Y1130" s="114" t="s">
        <v>27</v>
      </c>
      <c r="Z1130" s="114" t="s">
        <v>27</v>
      </c>
      <c r="AA1130" s="114" t="s">
        <v>27</v>
      </c>
      <c r="AB1130" s="370" t="s">
        <v>2887</v>
      </c>
      <c r="AC1130" s="524"/>
    </row>
    <row r="1131" spans="1:29" ht="15" customHeight="1">
      <c r="A1131" s="289" t="s">
        <v>203</v>
      </c>
      <c r="B1131" s="289" t="s">
        <v>5089</v>
      </c>
      <c r="C1131" s="289" t="s">
        <v>27</v>
      </c>
      <c r="D1131" s="53" t="s">
        <v>2758</v>
      </c>
      <c r="E1131" s="290" t="s">
        <v>17</v>
      </c>
      <c r="F1131" s="289">
        <v>4079883</v>
      </c>
      <c r="G1131" s="289" t="s">
        <v>5046</v>
      </c>
      <c r="H1131" s="371" t="s">
        <v>3084</v>
      </c>
      <c r="I1131" s="289" t="s">
        <v>60</v>
      </c>
      <c r="J1131" s="289" t="s">
        <v>2485</v>
      </c>
      <c r="K1131" s="289" t="s">
        <v>6197</v>
      </c>
      <c r="L1131" s="51" t="s">
        <v>4464</v>
      </c>
      <c r="M1131" s="290" t="s">
        <v>22</v>
      </c>
      <c r="N1131" s="289" t="s">
        <v>22</v>
      </c>
      <c r="O1131" s="290" t="s">
        <v>22</v>
      </c>
      <c r="P1131" s="291" t="s">
        <v>5025</v>
      </c>
      <c r="Q1131" s="292" t="s">
        <v>5090</v>
      </c>
      <c r="R1131" s="289" t="s">
        <v>5091</v>
      </c>
      <c r="S1131" s="293" t="s">
        <v>5092</v>
      </c>
      <c r="T1131" s="293">
        <v>15501291801</v>
      </c>
      <c r="U1131" s="294" t="s">
        <v>6243</v>
      </c>
      <c r="V1131" s="295" t="s">
        <v>6244</v>
      </c>
      <c r="W1131" s="293">
        <v>13811693572</v>
      </c>
      <c r="X1131" s="296">
        <v>43364</v>
      </c>
      <c r="Y1131" s="114" t="s">
        <v>27</v>
      </c>
      <c r="Z1131" s="114" t="s">
        <v>27</v>
      </c>
      <c r="AA1131" s="114" t="s">
        <v>27</v>
      </c>
      <c r="AB1131" s="44" t="s">
        <v>2887</v>
      </c>
      <c r="AC1131" s="524"/>
    </row>
    <row r="1132" spans="1:29" ht="15" customHeight="1">
      <c r="A1132" s="289" t="s">
        <v>203</v>
      </c>
      <c r="B1132" s="289" t="s">
        <v>5093</v>
      </c>
      <c r="C1132" s="289" t="s">
        <v>27</v>
      </c>
      <c r="D1132" s="53" t="s">
        <v>2758</v>
      </c>
      <c r="E1132" s="290" t="s">
        <v>17</v>
      </c>
      <c r="F1132" s="289">
        <v>4079767</v>
      </c>
      <c r="G1132" s="289" t="s">
        <v>5057</v>
      </c>
      <c r="H1132" s="371" t="s">
        <v>3084</v>
      </c>
      <c r="I1132" s="289" t="s">
        <v>60</v>
      </c>
      <c r="J1132" s="289" t="s">
        <v>2485</v>
      </c>
      <c r="K1132" s="289" t="s">
        <v>6197</v>
      </c>
      <c r="L1132" s="51" t="s">
        <v>4464</v>
      </c>
      <c r="M1132" s="290" t="s">
        <v>22</v>
      </c>
      <c r="N1132" s="289" t="s">
        <v>22</v>
      </c>
      <c r="O1132" s="290" t="s">
        <v>22</v>
      </c>
      <c r="P1132" s="291" t="s">
        <v>4978</v>
      </c>
      <c r="Q1132" s="292" t="s">
        <v>5094</v>
      </c>
      <c r="R1132" s="289" t="s">
        <v>5095</v>
      </c>
      <c r="S1132" s="293" t="s">
        <v>5096</v>
      </c>
      <c r="T1132" s="293" t="s">
        <v>5097</v>
      </c>
      <c r="U1132" s="294" t="s">
        <v>6245</v>
      </c>
      <c r="V1132" s="295" t="s">
        <v>6246</v>
      </c>
      <c r="W1132" s="293">
        <v>13910449749</v>
      </c>
      <c r="X1132" s="296">
        <v>43372</v>
      </c>
      <c r="Y1132" s="114" t="s">
        <v>27</v>
      </c>
      <c r="Z1132" s="114" t="s">
        <v>27</v>
      </c>
      <c r="AA1132" s="114" t="s">
        <v>27</v>
      </c>
      <c r="AB1132" s="370" t="s">
        <v>2887</v>
      </c>
      <c r="AC1132" s="524"/>
    </row>
    <row r="1133" spans="1:29" ht="15" customHeight="1">
      <c r="A1133" s="289" t="s">
        <v>203</v>
      </c>
      <c r="B1133" s="289" t="s">
        <v>5098</v>
      </c>
      <c r="C1133" s="289" t="s">
        <v>27</v>
      </c>
      <c r="D1133" s="53" t="s">
        <v>2758</v>
      </c>
      <c r="E1133" s="290" t="s">
        <v>17</v>
      </c>
      <c r="F1133" s="289">
        <v>4079897</v>
      </c>
      <c r="G1133" s="289" t="s">
        <v>5425</v>
      </c>
      <c r="H1133" s="371" t="s">
        <v>3084</v>
      </c>
      <c r="I1133" s="289" t="s">
        <v>60</v>
      </c>
      <c r="J1133" s="289" t="s">
        <v>2485</v>
      </c>
      <c r="K1133" s="289" t="s">
        <v>6197</v>
      </c>
      <c r="L1133" s="51" t="s">
        <v>4464</v>
      </c>
      <c r="M1133" s="290" t="s">
        <v>22</v>
      </c>
      <c r="N1133" s="289" t="s">
        <v>22</v>
      </c>
      <c r="O1133" s="290" t="s">
        <v>22</v>
      </c>
      <c r="P1133" s="291" t="s">
        <v>4978</v>
      </c>
      <c r="Q1133" s="292" t="s">
        <v>5099</v>
      </c>
      <c r="R1133" s="289" t="s">
        <v>5465</v>
      </c>
      <c r="S1133" s="293" t="s">
        <v>5466</v>
      </c>
      <c r="T1133" s="293" t="s">
        <v>5100</v>
      </c>
      <c r="U1133" s="294" t="s">
        <v>6247</v>
      </c>
      <c r="V1133" s="295" t="s">
        <v>6248</v>
      </c>
      <c r="W1133" s="293">
        <v>13810019704</v>
      </c>
      <c r="X1133" s="296">
        <v>43372</v>
      </c>
      <c r="Y1133" s="114" t="s">
        <v>27</v>
      </c>
      <c r="Z1133" s="114" t="s">
        <v>27</v>
      </c>
      <c r="AA1133" s="114" t="s">
        <v>27</v>
      </c>
      <c r="AB1133" s="370" t="s">
        <v>2887</v>
      </c>
      <c r="AC1133" s="524"/>
    </row>
    <row r="1134" spans="1:29" ht="15" customHeight="1">
      <c r="A1134" s="289" t="s">
        <v>203</v>
      </c>
      <c r="B1134" s="289" t="s">
        <v>5101</v>
      </c>
      <c r="C1134" s="289" t="s">
        <v>27</v>
      </c>
      <c r="D1134" s="53" t="s">
        <v>2758</v>
      </c>
      <c r="E1134" s="290" t="s">
        <v>17</v>
      </c>
      <c r="F1134" s="289">
        <v>4079826</v>
      </c>
      <c r="G1134" s="289" t="s">
        <v>5425</v>
      </c>
      <c r="H1134" s="371" t="s">
        <v>3084</v>
      </c>
      <c r="I1134" s="289" t="s">
        <v>60</v>
      </c>
      <c r="J1134" s="289" t="s">
        <v>2484</v>
      </c>
      <c r="K1134" s="289" t="s">
        <v>4427</v>
      </c>
      <c r="L1134" s="51" t="s">
        <v>31</v>
      </c>
      <c r="M1134" s="290" t="s">
        <v>22</v>
      </c>
      <c r="N1134" s="289" t="s">
        <v>22</v>
      </c>
      <c r="O1134" s="290" t="s">
        <v>22</v>
      </c>
      <c r="P1134" s="291" t="s">
        <v>4978</v>
      </c>
      <c r="Q1134" s="292" t="s">
        <v>5102</v>
      </c>
      <c r="R1134" s="289" t="s">
        <v>6604</v>
      </c>
      <c r="S1134" s="293" t="s">
        <v>6605</v>
      </c>
      <c r="T1134" s="293" t="s">
        <v>6719</v>
      </c>
      <c r="U1134" s="294" t="s">
        <v>6606</v>
      </c>
      <c r="V1134" s="295" t="s">
        <v>6607</v>
      </c>
      <c r="W1134" s="293" t="s">
        <v>6720</v>
      </c>
      <c r="X1134" s="296">
        <v>43419</v>
      </c>
      <c r="Y1134" s="114" t="s">
        <v>27</v>
      </c>
      <c r="Z1134" s="114" t="s">
        <v>27</v>
      </c>
      <c r="AA1134" s="114" t="s">
        <v>27</v>
      </c>
      <c r="AB1134" s="370" t="s">
        <v>2887</v>
      </c>
      <c r="AC1134" s="524"/>
    </row>
    <row r="1135" spans="1:29" ht="15" customHeight="1">
      <c r="A1135" s="289" t="s">
        <v>203</v>
      </c>
      <c r="B1135" s="289" t="s">
        <v>5121</v>
      </c>
      <c r="C1135" s="289" t="s">
        <v>27</v>
      </c>
      <c r="D1135" s="53" t="s">
        <v>2759</v>
      </c>
      <c r="E1135" s="290" t="s">
        <v>17</v>
      </c>
      <c r="F1135" s="289">
        <v>4079809</v>
      </c>
      <c r="G1135" s="289" t="s">
        <v>5114</v>
      </c>
      <c r="H1135" s="371" t="s">
        <v>3084</v>
      </c>
      <c r="I1135" s="289" t="s">
        <v>60</v>
      </c>
      <c r="J1135" s="289" t="s">
        <v>1588</v>
      </c>
      <c r="K1135" s="289" t="s">
        <v>6208</v>
      </c>
      <c r="L1135" s="51" t="s">
        <v>4464</v>
      </c>
      <c r="M1135" s="290" t="s">
        <v>22</v>
      </c>
      <c r="N1135" s="289" t="s">
        <v>27</v>
      </c>
      <c r="O1135" s="290" t="s">
        <v>22</v>
      </c>
      <c r="P1135" s="291" t="s">
        <v>4978</v>
      </c>
      <c r="Q1135" s="292" t="s">
        <v>5122</v>
      </c>
      <c r="R1135" s="289" t="s">
        <v>5215</v>
      </c>
      <c r="S1135" s="293" t="s">
        <v>5216</v>
      </c>
      <c r="T1135" s="293" t="s">
        <v>5217</v>
      </c>
      <c r="U1135" s="294" t="s">
        <v>5648</v>
      </c>
      <c r="V1135" s="295" t="s">
        <v>5649</v>
      </c>
      <c r="W1135" s="293" t="s">
        <v>5218</v>
      </c>
      <c r="X1135" s="296">
        <v>43381</v>
      </c>
      <c r="Y1135" s="114" t="s">
        <v>27</v>
      </c>
      <c r="Z1135" s="114" t="s">
        <v>27</v>
      </c>
      <c r="AA1135" s="114" t="s">
        <v>27</v>
      </c>
      <c r="AB1135" s="370" t="s">
        <v>2887</v>
      </c>
      <c r="AC1135" s="524"/>
    </row>
    <row r="1136" spans="1:29" ht="15" customHeight="1">
      <c r="A1136" s="289" t="s">
        <v>203</v>
      </c>
      <c r="B1136" s="289" t="s">
        <v>5117</v>
      </c>
      <c r="C1136" s="289" t="s">
        <v>27</v>
      </c>
      <c r="D1136" s="53" t="s">
        <v>2758</v>
      </c>
      <c r="E1136" s="290" t="s">
        <v>17</v>
      </c>
      <c r="F1136" s="289">
        <v>4079838</v>
      </c>
      <c r="G1136" s="289" t="s">
        <v>5118</v>
      </c>
      <c r="H1136" s="371" t="s">
        <v>3084</v>
      </c>
      <c r="I1136" s="289" t="s">
        <v>60</v>
      </c>
      <c r="J1136" s="289" t="s">
        <v>2484</v>
      </c>
      <c r="K1136" s="289" t="s">
        <v>4427</v>
      </c>
      <c r="L1136" s="51" t="s">
        <v>4464</v>
      </c>
      <c r="M1136" s="290" t="s">
        <v>22</v>
      </c>
      <c r="N1136" s="289" t="s">
        <v>22</v>
      </c>
      <c r="O1136" s="290" t="s">
        <v>22</v>
      </c>
      <c r="P1136" s="291" t="s">
        <v>4978</v>
      </c>
      <c r="Q1136" s="292" t="s">
        <v>5119</v>
      </c>
      <c r="R1136" s="289" t="s">
        <v>5219</v>
      </c>
      <c r="S1136" s="293" t="s">
        <v>5220</v>
      </c>
      <c r="T1136" s="293" t="s">
        <v>5120</v>
      </c>
      <c r="U1136" s="294" t="s">
        <v>6249</v>
      </c>
      <c r="V1136" s="295" t="s">
        <v>6250</v>
      </c>
      <c r="W1136" s="293" t="s">
        <v>5221</v>
      </c>
      <c r="X1136" s="296">
        <v>43381</v>
      </c>
      <c r="Y1136" s="114" t="s">
        <v>27</v>
      </c>
      <c r="Z1136" s="114" t="s">
        <v>27</v>
      </c>
      <c r="AA1136" s="114" t="s">
        <v>27</v>
      </c>
      <c r="AB1136" s="370" t="s">
        <v>2887</v>
      </c>
      <c r="AC1136" s="524"/>
    </row>
    <row r="1137" spans="1:29" ht="15" customHeight="1">
      <c r="A1137" s="289" t="s">
        <v>203</v>
      </c>
      <c r="B1137" s="289" t="s">
        <v>5123</v>
      </c>
      <c r="C1137" s="289" t="s">
        <v>27</v>
      </c>
      <c r="D1137" s="53" t="s">
        <v>2758</v>
      </c>
      <c r="E1137" s="290" t="s">
        <v>17</v>
      </c>
      <c r="F1137" s="289">
        <v>4079868</v>
      </c>
      <c r="G1137" s="289" t="s">
        <v>5118</v>
      </c>
      <c r="H1137" s="371" t="s">
        <v>3084</v>
      </c>
      <c r="I1137" s="289" t="s">
        <v>60</v>
      </c>
      <c r="J1137" s="289" t="s">
        <v>2484</v>
      </c>
      <c r="K1137" s="289" t="s">
        <v>4427</v>
      </c>
      <c r="L1137" s="51" t="s">
        <v>4464</v>
      </c>
      <c r="M1137" s="290" t="s">
        <v>22</v>
      </c>
      <c r="N1137" s="289" t="s">
        <v>22</v>
      </c>
      <c r="O1137" s="290" t="s">
        <v>22</v>
      </c>
      <c r="P1137" s="291" t="s">
        <v>4978</v>
      </c>
      <c r="Q1137" s="292" t="s">
        <v>5124</v>
      </c>
      <c r="R1137" s="289" t="s">
        <v>5222</v>
      </c>
      <c r="S1137" s="293" t="s">
        <v>5223</v>
      </c>
      <c r="T1137" s="293" t="s">
        <v>5125</v>
      </c>
      <c r="U1137" s="294" t="s">
        <v>6251</v>
      </c>
      <c r="V1137" s="295" t="s">
        <v>6252</v>
      </c>
      <c r="W1137" s="293" t="s">
        <v>5224</v>
      </c>
      <c r="X1137" s="296">
        <v>43383</v>
      </c>
      <c r="Y1137" s="114" t="s">
        <v>27</v>
      </c>
      <c r="Z1137" s="114" t="s">
        <v>27</v>
      </c>
      <c r="AA1137" s="114" t="s">
        <v>27</v>
      </c>
      <c r="AB1137" s="370" t="s">
        <v>2887</v>
      </c>
      <c r="AC1137" s="524"/>
    </row>
    <row r="1138" spans="1:29" ht="15" customHeight="1">
      <c r="A1138" s="289" t="s">
        <v>203</v>
      </c>
      <c r="B1138" s="289" t="s">
        <v>5126</v>
      </c>
      <c r="C1138" s="289" t="s">
        <v>27</v>
      </c>
      <c r="D1138" s="289" t="s">
        <v>2758</v>
      </c>
      <c r="E1138" s="290" t="s">
        <v>17</v>
      </c>
      <c r="F1138" s="289">
        <v>4079967</v>
      </c>
      <c r="G1138" s="289" t="s">
        <v>5127</v>
      </c>
      <c r="H1138" s="371" t="s">
        <v>3084</v>
      </c>
      <c r="I1138" s="289" t="s">
        <v>60</v>
      </c>
      <c r="J1138" s="289" t="s">
        <v>2485</v>
      </c>
      <c r="K1138" s="289" t="s">
        <v>6197</v>
      </c>
      <c r="L1138" s="51" t="s">
        <v>4464</v>
      </c>
      <c r="M1138" s="290" t="s">
        <v>22</v>
      </c>
      <c r="N1138" s="289" t="s">
        <v>22</v>
      </c>
      <c r="O1138" s="290" t="s">
        <v>22</v>
      </c>
      <c r="P1138" s="291" t="s">
        <v>4978</v>
      </c>
      <c r="Q1138" s="292" t="s">
        <v>5128</v>
      </c>
      <c r="R1138" s="289" t="s">
        <v>5225</v>
      </c>
      <c r="S1138" s="293" t="s">
        <v>5226</v>
      </c>
      <c r="T1138" s="293" t="s">
        <v>5227</v>
      </c>
      <c r="U1138" s="294" t="s">
        <v>6253</v>
      </c>
      <c r="V1138" s="295" t="s">
        <v>6254</v>
      </c>
      <c r="W1138" s="293" t="s">
        <v>5129</v>
      </c>
      <c r="X1138" s="296">
        <v>43419</v>
      </c>
      <c r="Y1138" s="114" t="s">
        <v>27</v>
      </c>
      <c r="Z1138" s="114" t="s">
        <v>27</v>
      </c>
      <c r="AA1138" s="114" t="s">
        <v>27</v>
      </c>
      <c r="AB1138" s="370" t="s">
        <v>2887</v>
      </c>
      <c r="AC1138" s="525"/>
    </row>
    <row r="1139" spans="1:29" ht="15" customHeight="1">
      <c r="A1139" s="289" t="s">
        <v>203</v>
      </c>
      <c r="B1139" s="289" t="s">
        <v>5103</v>
      </c>
      <c r="C1139" s="289" t="s">
        <v>27</v>
      </c>
      <c r="D1139" s="53" t="s">
        <v>2758</v>
      </c>
      <c r="E1139" s="290" t="s">
        <v>17</v>
      </c>
      <c r="F1139" s="289">
        <v>4079835</v>
      </c>
      <c r="G1139" s="289" t="s">
        <v>5104</v>
      </c>
      <c r="H1139" s="371" t="s">
        <v>3084</v>
      </c>
      <c r="I1139" s="289" t="s">
        <v>60</v>
      </c>
      <c r="J1139" s="289" t="s">
        <v>2486</v>
      </c>
      <c r="K1139" s="289" t="s">
        <v>2651</v>
      </c>
      <c r="L1139" s="51" t="s">
        <v>4464</v>
      </c>
      <c r="M1139" s="290" t="s">
        <v>22</v>
      </c>
      <c r="N1139" s="289" t="s">
        <v>22</v>
      </c>
      <c r="O1139" s="290" t="s">
        <v>22</v>
      </c>
      <c r="P1139" s="291" t="s">
        <v>4978</v>
      </c>
      <c r="Q1139" s="292" t="s">
        <v>5105</v>
      </c>
      <c r="R1139" s="289" t="s">
        <v>5426</v>
      </c>
      <c r="S1139" s="293" t="s">
        <v>5427</v>
      </c>
      <c r="T1139" s="293" t="s">
        <v>5229</v>
      </c>
      <c r="U1139" s="294" t="s">
        <v>6255</v>
      </c>
      <c r="V1139" s="295" t="s">
        <v>6256</v>
      </c>
      <c r="W1139" s="293" t="s">
        <v>5107</v>
      </c>
      <c r="X1139" s="296">
        <v>43361</v>
      </c>
      <c r="Y1139" s="114" t="s">
        <v>27</v>
      </c>
      <c r="Z1139" s="114" t="s">
        <v>27</v>
      </c>
      <c r="AA1139" s="114" t="s">
        <v>27</v>
      </c>
      <c r="AB1139" s="370" t="s">
        <v>2887</v>
      </c>
      <c r="AC1139" s="524"/>
    </row>
    <row r="1140" spans="1:29" ht="15" customHeight="1">
      <c r="A1140" s="289" t="s">
        <v>203</v>
      </c>
      <c r="B1140" s="289" t="s">
        <v>5113</v>
      </c>
      <c r="C1140" s="289" t="s">
        <v>27</v>
      </c>
      <c r="D1140" s="53" t="s">
        <v>2758</v>
      </c>
      <c r="E1140" s="290" t="s">
        <v>17</v>
      </c>
      <c r="F1140" s="289">
        <v>4079833</v>
      </c>
      <c r="G1140" s="289" t="s">
        <v>5114</v>
      </c>
      <c r="H1140" s="371" t="s">
        <v>3084</v>
      </c>
      <c r="I1140" s="289" t="s">
        <v>60</v>
      </c>
      <c r="J1140" s="289" t="s">
        <v>2501</v>
      </c>
      <c r="K1140" s="289" t="s">
        <v>6257</v>
      </c>
      <c r="L1140" s="51" t="s">
        <v>4464</v>
      </c>
      <c r="M1140" s="290" t="s">
        <v>22</v>
      </c>
      <c r="N1140" s="289" t="s">
        <v>27</v>
      </c>
      <c r="O1140" s="290" t="s">
        <v>22</v>
      </c>
      <c r="P1140" s="291" t="s">
        <v>4978</v>
      </c>
      <c r="Q1140" s="292" t="s">
        <v>5115</v>
      </c>
      <c r="R1140" s="289" t="s">
        <v>5230</v>
      </c>
      <c r="S1140" s="293" t="s">
        <v>5116</v>
      </c>
      <c r="T1140" s="293" t="s">
        <v>5449</v>
      </c>
      <c r="U1140" s="294" t="s">
        <v>6258</v>
      </c>
      <c r="V1140" s="295" t="s">
        <v>6259</v>
      </c>
      <c r="W1140" s="293" t="s">
        <v>5650</v>
      </c>
      <c r="X1140" s="296">
        <v>43419</v>
      </c>
      <c r="Y1140" s="114" t="s">
        <v>27</v>
      </c>
      <c r="Z1140" s="114" t="s">
        <v>27</v>
      </c>
      <c r="AA1140" s="114" t="s">
        <v>27</v>
      </c>
      <c r="AB1140" s="370" t="s">
        <v>2887</v>
      </c>
      <c r="AC1140" s="524"/>
    </row>
    <row r="1141" spans="1:29" ht="15" customHeight="1">
      <c r="A1141" s="289" t="s">
        <v>203</v>
      </c>
      <c r="B1141" s="289" t="s">
        <v>5685</v>
      </c>
      <c r="C1141" s="289" t="s">
        <v>27</v>
      </c>
      <c r="D1141" s="53" t="s">
        <v>2758</v>
      </c>
      <c r="E1141" s="290" t="s">
        <v>17</v>
      </c>
      <c r="F1141" s="289">
        <v>4079782</v>
      </c>
      <c r="G1141" s="289" t="s">
        <v>6751</v>
      </c>
      <c r="H1141" s="371" t="s">
        <v>3084</v>
      </c>
      <c r="I1141" s="289" t="s">
        <v>60</v>
      </c>
      <c r="J1141" s="289" t="s">
        <v>2484</v>
      </c>
      <c r="K1141" s="289" t="s">
        <v>4427</v>
      </c>
      <c r="L1141" s="51" t="s">
        <v>31</v>
      </c>
      <c r="M1141" s="290" t="s">
        <v>22</v>
      </c>
      <c r="N1141" s="289" t="s">
        <v>22</v>
      </c>
      <c r="O1141" s="290" t="s">
        <v>22</v>
      </c>
      <c r="P1141" s="324" t="s">
        <v>4978</v>
      </c>
      <c r="Q1141" s="292" t="s">
        <v>5686</v>
      </c>
      <c r="R1141" s="289" t="s">
        <v>6676</v>
      </c>
      <c r="S1141" s="293" t="s">
        <v>6677</v>
      </c>
      <c r="T1141" s="293" t="s">
        <v>6678</v>
      </c>
      <c r="U1141" s="294" t="s">
        <v>6679</v>
      </c>
      <c r="V1141" s="295" t="s">
        <v>6680</v>
      </c>
      <c r="W1141" s="293" t="s">
        <v>6721</v>
      </c>
      <c r="X1141" s="296" t="s">
        <v>6722</v>
      </c>
      <c r="Y1141" s="114" t="s">
        <v>27</v>
      </c>
      <c r="Z1141" s="114" t="s">
        <v>27</v>
      </c>
      <c r="AA1141" s="114" t="s">
        <v>27</v>
      </c>
      <c r="AB1141" s="370" t="s">
        <v>2887</v>
      </c>
      <c r="AC1141" s="524" t="s">
        <v>6659</v>
      </c>
    </row>
    <row r="1142" spans="1:29" ht="15" customHeight="1">
      <c r="A1142" s="289" t="s">
        <v>203</v>
      </c>
      <c r="B1142" s="289" t="s">
        <v>5109</v>
      </c>
      <c r="C1142" s="289" t="s">
        <v>27</v>
      </c>
      <c r="D1142" s="53" t="s">
        <v>2758</v>
      </c>
      <c r="E1142" s="290" t="s">
        <v>17</v>
      </c>
      <c r="F1142" s="289">
        <v>4079858</v>
      </c>
      <c r="G1142" s="289" t="s">
        <v>5108</v>
      </c>
      <c r="H1142" s="371" t="s">
        <v>3084</v>
      </c>
      <c r="I1142" s="289" t="s">
        <v>60</v>
      </c>
      <c r="J1142" s="289" t="s">
        <v>2501</v>
      </c>
      <c r="K1142" s="289" t="s">
        <v>6257</v>
      </c>
      <c r="L1142" s="51" t="s">
        <v>4464</v>
      </c>
      <c r="M1142" s="290" t="s">
        <v>22</v>
      </c>
      <c r="N1142" s="289" t="s">
        <v>27</v>
      </c>
      <c r="O1142" s="290" t="s">
        <v>22</v>
      </c>
      <c r="P1142" s="324" t="s">
        <v>4978</v>
      </c>
      <c r="Q1142" s="292" t="s">
        <v>5110</v>
      </c>
      <c r="R1142" s="289" t="s">
        <v>5231</v>
      </c>
      <c r="S1142" s="293" t="s">
        <v>5111</v>
      </c>
      <c r="T1142" s="293" t="s">
        <v>5651</v>
      </c>
      <c r="U1142" s="294" t="s">
        <v>6260</v>
      </c>
      <c r="V1142" s="295" t="s">
        <v>6261</v>
      </c>
      <c r="W1142" s="293" t="s">
        <v>5652</v>
      </c>
      <c r="X1142" s="296">
        <v>43419</v>
      </c>
      <c r="Y1142" s="114" t="s">
        <v>27</v>
      </c>
      <c r="Z1142" s="114" t="s">
        <v>27</v>
      </c>
      <c r="AA1142" s="114" t="s">
        <v>27</v>
      </c>
      <c r="AB1142" s="370" t="s">
        <v>2887</v>
      </c>
      <c r="AC1142" s="524"/>
    </row>
    <row r="1143" spans="1:29" ht="15" customHeight="1">
      <c r="A1143" s="289" t="s">
        <v>203</v>
      </c>
      <c r="B1143" s="289" t="s">
        <v>5232</v>
      </c>
      <c r="C1143" s="289" t="s">
        <v>27</v>
      </c>
      <c r="D1143" s="53" t="s">
        <v>2758</v>
      </c>
      <c r="E1143" s="290" t="s">
        <v>17</v>
      </c>
      <c r="F1143" s="289">
        <v>4079422</v>
      </c>
      <c r="G1143" s="289" t="s">
        <v>5051</v>
      </c>
      <c r="H1143" s="371" t="s">
        <v>3084</v>
      </c>
      <c r="I1143" s="289" t="s">
        <v>60</v>
      </c>
      <c r="J1143" s="289" t="s">
        <v>5208</v>
      </c>
      <c r="K1143" s="289" t="s">
        <v>2390</v>
      </c>
      <c r="L1143" s="51" t="s">
        <v>4464</v>
      </c>
      <c r="M1143" s="290" t="s">
        <v>22</v>
      </c>
      <c r="N1143" s="289" t="s">
        <v>22</v>
      </c>
      <c r="O1143" s="290" t="s">
        <v>27</v>
      </c>
      <c r="P1143" s="324" t="s">
        <v>4465</v>
      </c>
      <c r="Q1143" s="292" t="s">
        <v>5233</v>
      </c>
      <c r="R1143" s="289" t="s">
        <v>5190</v>
      </c>
      <c r="S1143" s="293" t="s">
        <v>5234</v>
      </c>
      <c r="T1143" s="293" t="s">
        <v>5428</v>
      </c>
      <c r="U1143" s="294" t="s">
        <v>6262</v>
      </c>
      <c r="V1143" s="295" t="s">
        <v>6263</v>
      </c>
      <c r="W1143" s="293" t="s">
        <v>5429</v>
      </c>
      <c r="X1143" s="296">
        <v>43372</v>
      </c>
      <c r="Y1143" s="114" t="s">
        <v>27</v>
      </c>
      <c r="Z1143" s="114" t="s">
        <v>27</v>
      </c>
      <c r="AA1143" s="114" t="s">
        <v>27</v>
      </c>
      <c r="AB1143" s="370" t="s">
        <v>2887</v>
      </c>
      <c r="AC1143" s="526"/>
    </row>
    <row r="1144" spans="1:29" ht="15" customHeight="1">
      <c r="A1144" s="289" t="s">
        <v>203</v>
      </c>
      <c r="B1144" s="289" t="s">
        <v>5235</v>
      </c>
      <c r="C1144" s="289" t="s">
        <v>27</v>
      </c>
      <c r="D1144" s="53" t="s">
        <v>2758</v>
      </c>
      <c r="E1144" s="290" t="s">
        <v>17</v>
      </c>
      <c r="F1144" s="289">
        <v>4079440</v>
      </c>
      <c r="G1144" s="289" t="s">
        <v>5108</v>
      </c>
      <c r="H1144" s="371" t="s">
        <v>3084</v>
      </c>
      <c r="I1144" s="289" t="s">
        <v>60</v>
      </c>
      <c r="J1144" s="289" t="s">
        <v>2486</v>
      </c>
      <c r="K1144" s="289" t="s">
        <v>2651</v>
      </c>
      <c r="L1144" s="51" t="s">
        <v>4464</v>
      </c>
      <c r="M1144" s="290" t="s">
        <v>22</v>
      </c>
      <c r="N1144" s="289" t="s">
        <v>22</v>
      </c>
      <c r="O1144" s="290" t="s">
        <v>22</v>
      </c>
      <c r="P1144" s="324" t="s">
        <v>4978</v>
      </c>
      <c r="Q1144" s="292" t="s">
        <v>5236</v>
      </c>
      <c r="R1144" s="289" t="s">
        <v>5237</v>
      </c>
      <c r="S1144" s="293" t="s">
        <v>5238</v>
      </c>
      <c r="T1144" s="293">
        <v>13810016794</v>
      </c>
      <c r="U1144" s="294" t="s">
        <v>6264</v>
      </c>
      <c r="V1144" s="295" t="s">
        <v>6265</v>
      </c>
      <c r="W1144" s="293">
        <v>18610941293</v>
      </c>
      <c r="X1144" s="296">
        <v>43392</v>
      </c>
      <c r="Y1144" s="114" t="s">
        <v>27</v>
      </c>
      <c r="Z1144" s="114" t="s">
        <v>27</v>
      </c>
      <c r="AA1144" s="114" t="s">
        <v>27</v>
      </c>
      <c r="AB1144" s="370" t="s">
        <v>2887</v>
      </c>
      <c r="AC1144" s="525"/>
    </row>
    <row r="1145" spans="1:29" ht="15" customHeight="1">
      <c r="A1145" s="289" t="s">
        <v>203</v>
      </c>
      <c r="B1145" s="289" t="s">
        <v>5239</v>
      </c>
      <c r="C1145" s="289" t="s">
        <v>27</v>
      </c>
      <c r="D1145" s="53" t="s">
        <v>2758</v>
      </c>
      <c r="E1145" s="290" t="s">
        <v>17</v>
      </c>
      <c r="F1145" s="289">
        <v>4079418</v>
      </c>
      <c r="G1145" s="289" t="s">
        <v>5024</v>
      </c>
      <c r="H1145" s="371" t="s">
        <v>3084</v>
      </c>
      <c r="I1145" s="289" t="s">
        <v>60</v>
      </c>
      <c r="J1145" s="289" t="s">
        <v>1588</v>
      </c>
      <c r="K1145" s="289" t="s">
        <v>6266</v>
      </c>
      <c r="L1145" s="51" t="s">
        <v>4464</v>
      </c>
      <c r="M1145" s="290" t="s">
        <v>22</v>
      </c>
      <c r="N1145" s="289" t="s">
        <v>27</v>
      </c>
      <c r="O1145" s="290" t="s">
        <v>22</v>
      </c>
      <c r="P1145" s="324" t="s">
        <v>5025</v>
      </c>
      <c r="Q1145" s="292" t="s">
        <v>5240</v>
      </c>
      <c r="R1145" s="289" t="s">
        <v>5166</v>
      </c>
      <c r="S1145" s="293" t="s">
        <v>5167</v>
      </c>
      <c r="T1145" s="293" t="s">
        <v>5244</v>
      </c>
      <c r="U1145" s="294" t="s">
        <v>5653</v>
      </c>
      <c r="V1145" s="295" t="s">
        <v>5654</v>
      </c>
      <c r="W1145" s="293" t="s">
        <v>5243</v>
      </c>
      <c r="X1145" s="296">
        <v>43419</v>
      </c>
      <c r="Y1145" s="114" t="s">
        <v>27</v>
      </c>
      <c r="Z1145" s="114" t="s">
        <v>27</v>
      </c>
      <c r="AA1145" s="114" t="s">
        <v>27</v>
      </c>
      <c r="AB1145" s="370" t="s">
        <v>2887</v>
      </c>
      <c r="AC1145" s="525"/>
    </row>
    <row r="1146" spans="1:29" ht="18">
      <c r="A1146" s="289" t="s">
        <v>203</v>
      </c>
      <c r="B1146" s="289" t="s">
        <v>5245</v>
      </c>
      <c r="C1146" s="289" t="s">
        <v>27</v>
      </c>
      <c r="D1146" s="53" t="s">
        <v>2759</v>
      </c>
      <c r="E1146" s="290" t="s">
        <v>17</v>
      </c>
      <c r="F1146" s="289">
        <v>4079438</v>
      </c>
      <c r="G1146" s="289" t="s">
        <v>5127</v>
      </c>
      <c r="H1146" s="371" t="s">
        <v>3084</v>
      </c>
      <c r="I1146" s="289" t="s">
        <v>60</v>
      </c>
      <c r="J1146" s="289" t="s">
        <v>2486</v>
      </c>
      <c r="K1146" s="289" t="s">
        <v>2651</v>
      </c>
      <c r="L1146" s="51" t="s">
        <v>31</v>
      </c>
      <c r="M1146" s="290" t="s">
        <v>22</v>
      </c>
      <c r="N1146" s="289" t="s">
        <v>22</v>
      </c>
      <c r="O1146" s="290" t="s">
        <v>22</v>
      </c>
      <c r="P1146" s="324" t="s">
        <v>5025</v>
      </c>
      <c r="Q1146" s="292" t="s">
        <v>5246</v>
      </c>
      <c r="R1146" s="289" t="s">
        <v>6723</v>
      </c>
      <c r="S1146" s="293" t="s">
        <v>6724</v>
      </c>
      <c r="T1146" s="293" t="s">
        <v>6725</v>
      </c>
      <c r="U1146" s="294" t="s">
        <v>6726</v>
      </c>
      <c r="V1146" s="295" t="s">
        <v>6727</v>
      </c>
      <c r="W1146" s="293" t="s">
        <v>5112</v>
      </c>
      <c r="X1146" s="296" t="s">
        <v>5468</v>
      </c>
      <c r="Y1146" s="114" t="s">
        <v>27</v>
      </c>
      <c r="Z1146" s="114" t="s">
        <v>27</v>
      </c>
      <c r="AA1146" s="114" t="s">
        <v>27</v>
      </c>
      <c r="AB1146" s="370" t="s">
        <v>2887</v>
      </c>
      <c r="AC1146" s="524" t="s">
        <v>6510</v>
      </c>
    </row>
    <row r="1147" spans="1:29">
      <c r="A1147" s="289" t="s">
        <v>203</v>
      </c>
      <c r="B1147" s="289" t="s">
        <v>5249</v>
      </c>
      <c r="C1147" s="289" t="s">
        <v>27</v>
      </c>
      <c r="D1147" s="53" t="s">
        <v>2758</v>
      </c>
      <c r="E1147" s="290" t="s">
        <v>17</v>
      </c>
      <c r="F1147" s="289">
        <v>4079622</v>
      </c>
      <c r="G1147" s="289" t="s">
        <v>5250</v>
      </c>
      <c r="H1147" s="371" t="s">
        <v>3084</v>
      </c>
      <c r="I1147" s="289" t="s">
        <v>21</v>
      </c>
      <c r="J1147" s="289" t="s">
        <v>209</v>
      </c>
      <c r="K1147" s="289" t="s">
        <v>26</v>
      </c>
      <c r="L1147" s="51" t="s">
        <v>4464</v>
      </c>
      <c r="M1147" s="290" t="s">
        <v>22</v>
      </c>
      <c r="N1147" s="289" t="s">
        <v>22</v>
      </c>
      <c r="O1147" s="290" t="s">
        <v>22</v>
      </c>
      <c r="P1147" s="324" t="s">
        <v>5025</v>
      </c>
      <c r="Q1147" s="292" t="s">
        <v>5251</v>
      </c>
      <c r="R1147" s="289" t="s">
        <v>5252</v>
      </c>
      <c r="S1147" s="293" t="s">
        <v>5253</v>
      </c>
      <c r="T1147" s="293">
        <v>13810278704</v>
      </c>
      <c r="U1147" s="294" t="s">
        <v>6269</v>
      </c>
      <c r="V1147" s="295" t="s">
        <v>6270</v>
      </c>
      <c r="W1147" s="293"/>
      <c r="X1147" s="296" t="s">
        <v>5468</v>
      </c>
      <c r="Y1147" s="114" t="s">
        <v>27</v>
      </c>
      <c r="Z1147" s="114" t="s">
        <v>27</v>
      </c>
      <c r="AA1147" s="114" t="s">
        <v>27</v>
      </c>
      <c r="AB1147" s="370" t="s">
        <v>2887</v>
      </c>
      <c r="AC1147" s="525" t="s">
        <v>5706</v>
      </c>
    </row>
    <row r="1148" spans="1:29" ht="15" customHeight="1">
      <c r="A1148" s="289" t="s">
        <v>203</v>
      </c>
      <c r="B1148" s="289" t="s">
        <v>5254</v>
      </c>
      <c r="C1148" s="289" t="s">
        <v>27</v>
      </c>
      <c r="D1148" s="53" t="s">
        <v>2758</v>
      </c>
      <c r="E1148" s="290" t="s">
        <v>17</v>
      </c>
      <c r="F1148" s="289">
        <v>4079451</v>
      </c>
      <c r="G1148" s="289" t="s">
        <v>5250</v>
      </c>
      <c r="H1148" s="371" t="s">
        <v>3084</v>
      </c>
      <c r="I1148" s="289" t="s">
        <v>21</v>
      </c>
      <c r="J1148" s="289" t="s">
        <v>209</v>
      </c>
      <c r="K1148" s="289" t="s">
        <v>26</v>
      </c>
      <c r="L1148" s="51" t="s">
        <v>4464</v>
      </c>
      <c r="M1148" s="290" t="s">
        <v>22</v>
      </c>
      <c r="N1148" s="289" t="s">
        <v>22</v>
      </c>
      <c r="O1148" s="290" t="s">
        <v>22</v>
      </c>
      <c r="P1148" s="324" t="s">
        <v>5025</v>
      </c>
      <c r="Q1148" s="292" t="s">
        <v>5255</v>
      </c>
      <c r="R1148" s="289" t="s">
        <v>5256</v>
      </c>
      <c r="S1148" s="293" t="s">
        <v>5257</v>
      </c>
      <c r="T1148" s="293">
        <v>13811021052</v>
      </c>
      <c r="U1148" s="294" t="s">
        <v>6271</v>
      </c>
      <c r="V1148" s="295" t="s">
        <v>6272</v>
      </c>
      <c r="W1148" s="293"/>
      <c r="X1148" s="296" t="s">
        <v>5468</v>
      </c>
      <c r="Y1148" s="114" t="s">
        <v>27</v>
      </c>
      <c r="Z1148" s="114" t="s">
        <v>27</v>
      </c>
      <c r="AA1148" s="114" t="s">
        <v>27</v>
      </c>
      <c r="AB1148" s="370" t="s">
        <v>2887</v>
      </c>
      <c r="AC1148" s="525" t="s">
        <v>5706</v>
      </c>
    </row>
    <row r="1149" spans="1:29" ht="15" customHeight="1">
      <c r="A1149" s="289" t="s">
        <v>203</v>
      </c>
      <c r="B1149" s="289" t="s">
        <v>5258</v>
      </c>
      <c r="C1149" s="289" t="s">
        <v>27</v>
      </c>
      <c r="D1149" s="53" t="s">
        <v>2758</v>
      </c>
      <c r="E1149" s="290" t="s">
        <v>17</v>
      </c>
      <c r="F1149" s="289">
        <v>4079703</v>
      </c>
      <c r="G1149" s="289" t="s">
        <v>5259</v>
      </c>
      <c r="H1149" s="371" t="s">
        <v>3084</v>
      </c>
      <c r="I1149" s="289" t="s">
        <v>60</v>
      </c>
      <c r="J1149" s="289" t="s">
        <v>1588</v>
      </c>
      <c r="K1149" s="289" t="s">
        <v>6266</v>
      </c>
      <c r="L1149" s="51" t="s">
        <v>4464</v>
      </c>
      <c r="M1149" s="290" t="s">
        <v>22</v>
      </c>
      <c r="N1149" s="289" t="s">
        <v>27</v>
      </c>
      <c r="O1149" s="290" t="s">
        <v>22</v>
      </c>
      <c r="P1149" s="324" t="s">
        <v>5025</v>
      </c>
      <c r="Q1149" s="292" t="s">
        <v>5260</v>
      </c>
      <c r="R1149" s="289" t="s">
        <v>5261</v>
      </c>
      <c r="S1149" s="293" t="s">
        <v>5262</v>
      </c>
      <c r="T1149" s="293" t="s">
        <v>5655</v>
      </c>
      <c r="U1149" s="294" t="s">
        <v>6273</v>
      </c>
      <c r="V1149" s="295" t="s">
        <v>6274</v>
      </c>
      <c r="W1149" s="293" t="s">
        <v>5430</v>
      </c>
      <c r="X1149" s="296" t="s">
        <v>5656</v>
      </c>
      <c r="Y1149" s="114" t="s">
        <v>27</v>
      </c>
      <c r="Z1149" s="114" t="s">
        <v>27</v>
      </c>
      <c r="AA1149" s="114" t="s">
        <v>27</v>
      </c>
      <c r="AB1149" s="370" t="s">
        <v>2887</v>
      </c>
      <c r="AC1149" s="525"/>
    </row>
    <row r="1150" spans="1:29" ht="15" customHeight="1">
      <c r="A1150" s="289" t="s">
        <v>203</v>
      </c>
      <c r="B1150" s="289" t="s">
        <v>5263</v>
      </c>
      <c r="C1150" s="289" t="s">
        <v>27</v>
      </c>
      <c r="D1150" s="53" t="s">
        <v>2758</v>
      </c>
      <c r="E1150" s="290" t="s">
        <v>17</v>
      </c>
      <c r="F1150" s="289">
        <v>4079532</v>
      </c>
      <c r="G1150" s="289" t="s">
        <v>5259</v>
      </c>
      <c r="H1150" s="371" t="s">
        <v>3084</v>
      </c>
      <c r="I1150" s="289" t="s">
        <v>21</v>
      </c>
      <c r="J1150" s="289" t="s">
        <v>209</v>
      </c>
      <c r="K1150" s="289" t="s">
        <v>236</v>
      </c>
      <c r="L1150" s="51" t="s">
        <v>4464</v>
      </c>
      <c r="M1150" s="290" t="s">
        <v>22</v>
      </c>
      <c r="N1150" s="289" t="s">
        <v>22</v>
      </c>
      <c r="O1150" s="290" t="s">
        <v>22</v>
      </c>
      <c r="P1150" s="324" t="s">
        <v>5025</v>
      </c>
      <c r="Q1150" s="292" t="s">
        <v>5264</v>
      </c>
      <c r="R1150" s="289" t="s">
        <v>5265</v>
      </c>
      <c r="S1150" s="293" t="s">
        <v>5266</v>
      </c>
      <c r="T1150" s="293" t="s">
        <v>5431</v>
      </c>
      <c r="U1150" s="294" t="s">
        <v>6275</v>
      </c>
      <c r="V1150" s="295" t="s">
        <v>6276</v>
      </c>
      <c r="W1150" s="293"/>
      <c r="X1150" s="296" t="s">
        <v>5656</v>
      </c>
      <c r="Y1150" s="114" t="s">
        <v>27</v>
      </c>
      <c r="Z1150" s="114" t="s">
        <v>27</v>
      </c>
      <c r="AA1150" s="114" t="s">
        <v>27</v>
      </c>
      <c r="AB1150" s="370" t="s">
        <v>2887</v>
      </c>
      <c r="AC1150" s="525"/>
    </row>
    <row r="1151" spans="1:29" ht="15" customHeight="1">
      <c r="A1151" s="289" t="s">
        <v>203</v>
      </c>
      <c r="B1151" s="289" t="s">
        <v>5267</v>
      </c>
      <c r="C1151" s="289" t="s">
        <v>27</v>
      </c>
      <c r="D1151" s="53" t="s">
        <v>2758</v>
      </c>
      <c r="E1151" s="290" t="s">
        <v>17</v>
      </c>
      <c r="F1151" s="289">
        <v>4079653</v>
      </c>
      <c r="G1151" s="289" t="s">
        <v>5268</v>
      </c>
      <c r="H1151" s="371" t="s">
        <v>3084</v>
      </c>
      <c r="I1151" s="289" t="s">
        <v>21</v>
      </c>
      <c r="J1151" s="289" t="s">
        <v>209</v>
      </c>
      <c r="K1151" s="289" t="s">
        <v>236</v>
      </c>
      <c r="L1151" s="51" t="s">
        <v>4464</v>
      </c>
      <c r="M1151" s="290" t="s">
        <v>22</v>
      </c>
      <c r="N1151" s="289" t="s">
        <v>22</v>
      </c>
      <c r="O1151" s="290" t="s">
        <v>22</v>
      </c>
      <c r="P1151" s="324" t="s">
        <v>5025</v>
      </c>
      <c r="Q1151" s="292" t="s">
        <v>5269</v>
      </c>
      <c r="R1151" s="289" t="s">
        <v>5270</v>
      </c>
      <c r="S1151" s="293" t="s">
        <v>5271</v>
      </c>
      <c r="T1151" s="293" t="s">
        <v>5432</v>
      </c>
      <c r="U1151" s="294" t="s">
        <v>6277</v>
      </c>
      <c r="V1151" s="295" t="s">
        <v>6278</v>
      </c>
      <c r="W1151" s="293"/>
      <c r="X1151" s="296" t="s">
        <v>5656</v>
      </c>
      <c r="Y1151" s="114" t="s">
        <v>27</v>
      </c>
      <c r="Z1151" s="114" t="s">
        <v>27</v>
      </c>
      <c r="AA1151" s="114" t="s">
        <v>27</v>
      </c>
      <c r="AB1151" s="370" t="s">
        <v>2887</v>
      </c>
      <c r="AC1151" s="524"/>
    </row>
    <row r="1152" spans="1:29" ht="15" customHeight="1">
      <c r="A1152" s="289" t="s">
        <v>203</v>
      </c>
      <c r="B1152" s="289" t="s">
        <v>5856</v>
      </c>
      <c r="C1152" s="289" t="s">
        <v>27</v>
      </c>
      <c r="D1152" s="53" t="s">
        <v>2758</v>
      </c>
      <c r="E1152" s="290" t="s">
        <v>17</v>
      </c>
      <c r="F1152" s="289">
        <v>4079567</v>
      </c>
      <c r="G1152" s="289" t="s">
        <v>5268</v>
      </c>
      <c r="H1152" s="371" t="s">
        <v>3084</v>
      </c>
      <c r="I1152" s="289" t="s">
        <v>21</v>
      </c>
      <c r="J1152" s="289" t="s">
        <v>223</v>
      </c>
      <c r="K1152" s="289" t="s">
        <v>33</v>
      </c>
      <c r="L1152" s="51" t="s">
        <v>4464</v>
      </c>
      <c r="M1152" s="290" t="s">
        <v>22</v>
      </c>
      <c r="N1152" s="289" t="s">
        <v>22</v>
      </c>
      <c r="O1152" s="290" t="s">
        <v>22</v>
      </c>
      <c r="P1152" s="324" t="s">
        <v>4978</v>
      </c>
      <c r="Q1152" s="292" t="s">
        <v>5272</v>
      </c>
      <c r="R1152" s="289" t="s">
        <v>5273</v>
      </c>
      <c r="S1152" s="293" t="s">
        <v>5274</v>
      </c>
      <c r="T1152" s="293">
        <v>13011842454</v>
      </c>
      <c r="U1152" s="294" t="s">
        <v>5657</v>
      </c>
      <c r="V1152" s="295" t="s">
        <v>5658</v>
      </c>
      <c r="W1152" s="293"/>
      <c r="X1152" s="296" t="s">
        <v>5469</v>
      </c>
      <c r="Y1152" s="114" t="s">
        <v>27</v>
      </c>
      <c r="Z1152" s="114" t="s">
        <v>27</v>
      </c>
      <c r="AA1152" s="114" t="s">
        <v>27</v>
      </c>
      <c r="AB1152" s="370" t="s">
        <v>2887</v>
      </c>
      <c r="AC1152" s="524"/>
    </row>
    <row r="1153" spans="1:29" ht="15" customHeight="1">
      <c r="A1153" s="289" t="s">
        <v>203</v>
      </c>
      <c r="B1153" s="289" t="s">
        <v>5275</v>
      </c>
      <c r="C1153" s="289" t="s">
        <v>27</v>
      </c>
      <c r="D1153" s="53" t="s">
        <v>2758</v>
      </c>
      <c r="E1153" s="290" t="s">
        <v>17</v>
      </c>
      <c r="F1153" s="289">
        <v>4079560</v>
      </c>
      <c r="G1153" s="289" t="s">
        <v>5276</v>
      </c>
      <c r="H1153" s="371" t="s">
        <v>3084</v>
      </c>
      <c r="I1153" s="289" t="s">
        <v>21</v>
      </c>
      <c r="J1153" s="289" t="s">
        <v>223</v>
      </c>
      <c r="K1153" s="289" t="s">
        <v>337</v>
      </c>
      <c r="L1153" s="51" t="s">
        <v>4464</v>
      </c>
      <c r="M1153" s="290" t="s">
        <v>22</v>
      </c>
      <c r="N1153" s="289" t="s">
        <v>22</v>
      </c>
      <c r="O1153" s="290" t="s">
        <v>22</v>
      </c>
      <c r="P1153" s="324" t="s">
        <v>4978</v>
      </c>
      <c r="Q1153" s="292" t="s">
        <v>5277</v>
      </c>
      <c r="R1153" s="289" t="s">
        <v>5278</v>
      </c>
      <c r="S1153" s="293" t="s">
        <v>5279</v>
      </c>
      <c r="T1153" s="293">
        <v>15501280367</v>
      </c>
      <c r="U1153" s="294" t="s">
        <v>5659</v>
      </c>
      <c r="V1153" s="295" t="s">
        <v>5660</v>
      </c>
      <c r="W1153" s="293"/>
      <c r="X1153" s="296" t="s">
        <v>5469</v>
      </c>
      <c r="Y1153" s="114" t="s">
        <v>27</v>
      </c>
      <c r="Z1153" s="114" t="s">
        <v>27</v>
      </c>
      <c r="AA1153" s="114" t="s">
        <v>27</v>
      </c>
      <c r="AB1153" s="370" t="s">
        <v>2887</v>
      </c>
      <c r="AC1153" s="525"/>
    </row>
    <row r="1154" spans="1:29" ht="15" customHeight="1">
      <c r="A1154" s="289" t="s">
        <v>203</v>
      </c>
      <c r="B1154" s="289" t="s">
        <v>5280</v>
      </c>
      <c r="C1154" s="289" t="s">
        <v>27</v>
      </c>
      <c r="D1154" s="53" t="s">
        <v>2758</v>
      </c>
      <c r="E1154" s="290" t="s">
        <v>17</v>
      </c>
      <c r="F1154" s="289">
        <v>4079541</v>
      </c>
      <c r="G1154" s="289" t="s">
        <v>5276</v>
      </c>
      <c r="H1154" s="371" t="s">
        <v>3084</v>
      </c>
      <c r="I1154" s="289" t="s">
        <v>60</v>
      </c>
      <c r="J1154" s="289" t="s">
        <v>2486</v>
      </c>
      <c r="K1154" s="289" t="s">
        <v>2651</v>
      </c>
      <c r="L1154" s="51" t="s">
        <v>4464</v>
      </c>
      <c r="M1154" s="290" t="s">
        <v>22</v>
      </c>
      <c r="N1154" s="289" t="s">
        <v>22</v>
      </c>
      <c r="O1154" s="290" t="s">
        <v>22</v>
      </c>
      <c r="P1154" s="324" t="s">
        <v>5433</v>
      </c>
      <c r="Q1154" s="292" t="s">
        <v>5281</v>
      </c>
      <c r="R1154" s="289" t="s">
        <v>5434</v>
      </c>
      <c r="S1154" s="293" t="s">
        <v>5435</v>
      </c>
      <c r="T1154" s="293" t="s">
        <v>5436</v>
      </c>
      <c r="U1154" s="294" t="s">
        <v>6279</v>
      </c>
      <c r="V1154" s="295" t="s">
        <v>6280</v>
      </c>
      <c r="W1154" s="293" t="s">
        <v>5437</v>
      </c>
      <c r="X1154" s="296" t="s">
        <v>5438</v>
      </c>
      <c r="Y1154" s="114" t="s">
        <v>27</v>
      </c>
      <c r="Z1154" s="114" t="s">
        <v>27</v>
      </c>
      <c r="AA1154" s="114" t="s">
        <v>27</v>
      </c>
      <c r="AB1154" s="370" t="s">
        <v>2887</v>
      </c>
      <c r="AC1154" s="525"/>
    </row>
    <row r="1155" spans="1:29" ht="15" customHeight="1">
      <c r="A1155" s="289" t="s">
        <v>203</v>
      </c>
      <c r="B1155" s="289" t="s">
        <v>5282</v>
      </c>
      <c r="C1155" s="289" t="s">
        <v>27</v>
      </c>
      <c r="D1155" s="53" t="s">
        <v>2758</v>
      </c>
      <c r="E1155" s="290" t="s">
        <v>17</v>
      </c>
      <c r="F1155" s="289">
        <v>4079357</v>
      </c>
      <c r="G1155" s="289" t="s">
        <v>5283</v>
      </c>
      <c r="H1155" s="371" t="s">
        <v>3084</v>
      </c>
      <c r="I1155" s="289" t="s">
        <v>60</v>
      </c>
      <c r="J1155" s="289" t="s">
        <v>2486</v>
      </c>
      <c r="K1155" s="289" t="s">
        <v>2651</v>
      </c>
      <c r="L1155" s="51" t="s">
        <v>4464</v>
      </c>
      <c r="M1155" s="290" t="s">
        <v>22</v>
      </c>
      <c r="N1155" s="289" t="s">
        <v>22</v>
      </c>
      <c r="O1155" s="290" t="s">
        <v>22</v>
      </c>
      <c r="P1155" s="324" t="s">
        <v>5433</v>
      </c>
      <c r="Q1155" s="292" t="s">
        <v>5284</v>
      </c>
      <c r="R1155" s="289" t="s">
        <v>5439</v>
      </c>
      <c r="S1155" s="293" t="s">
        <v>5440</v>
      </c>
      <c r="T1155" s="293" t="s">
        <v>5441</v>
      </c>
      <c r="U1155" s="294" t="s">
        <v>6281</v>
      </c>
      <c r="V1155" s="295" t="s">
        <v>6282</v>
      </c>
      <c r="W1155" s="293" t="s">
        <v>5419</v>
      </c>
      <c r="X1155" s="296" t="s">
        <v>5438</v>
      </c>
      <c r="Y1155" s="114" t="s">
        <v>27</v>
      </c>
      <c r="Z1155" s="114" t="s">
        <v>27</v>
      </c>
      <c r="AA1155" s="114" t="s">
        <v>27</v>
      </c>
      <c r="AB1155" s="370" t="s">
        <v>2887</v>
      </c>
      <c r="AC1155" s="524"/>
    </row>
    <row r="1156" spans="1:29" ht="15" customHeight="1">
      <c r="A1156" s="289" t="s">
        <v>203</v>
      </c>
      <c r="B1156" s="289" t="s">
        <v>5285</v>
      </c>
      <c r="C1156" s="289" t="s">
        <v>22</v>
      </c>
      <c r="D1156" s="53" t="s">
        <v>2758</v>
      </c>
      <c r="E1156" s="290" t="s">
        <v>17</v>
      </c>
      <c r="F1156" s="289">
        <v>4079720</v>
      </c>
      <c r="G1156" s="289"/>
      <c r="H1156" s="371" t="s">
        <v>3084</v>
      </c>
      <c r="I1156" s="289"/>
      <c r="J1156" s="289"/>
      <c r="K1156" s="289"/>
      <c r="L1156" s="51"/>
      <c r="M1156" s="290" t="s">
        <v>22</v>
      </c>
      <c r="N1156" s="289" t="s">
        <v>22</v>
      </c>
      <c r="O1156" s="290" t="s">
        <v>22</v>
      </c>
      <c r="P1156" s="324" t="s">
        <v>5433</v>
      </c>
      <c r="Q1156" s="292" t="s">
        <v>5286</v>
      </c>
      <c r="R1156" s="289" t="e">
        <v>#N/A</v>
      </c>
      <c r="S1156" s="293" t="e">
        <v>#N/A</v>
      </c>
      <c r="T1156" s="293"/>
      <c r="U1156" s="294" t="e">
        <v>#N/A</v>
      </c>
      <c r="V1156" s="295" t="e">
        <v>#N/A</v>
      </c>
      <c r="W1156" s="293"/>
      <c r="X1156" s="296" t="s">
        <v>5656</v>
      </c>
      <c r="Y1156" s="114" t="s">
        <v>2021</v>
      </c>
      <c r="Z1156" s="114" t="s">
        <v>22</v>
      </c>
      <c r="AA1156" s="114" t="s">
        <v>2021</v>
      </c>
      <c r="AB1156" s="370" t="s">
        <v>5705</v>
      </c>
      <c r="AC1156" s="524"/>
    </row>
    <row r="1157" spans="1:29" ht="15" customHeight="1">
      <c r="A1157" s="289" t="s">
        <v>203</v>
      </c>
      <c r="B1157" s="289" t="s">
        <v>5287</v>
      </c>
      <c r="C1157" s="289" t="s">
        <v>27</v>
      </c>
      <c r="D1157" s="53" t="s">
        <v>2758</v>
      </c>
      <c r="E1157" s="290" t="s">
        <v>17</v>
      </c>
      <c r="F1157" s="289">
        <v>4079339</v>
      </c>
      <c r="G1157" s="289" t="s">
        <v>5288</v>
      </c>
      <c r="H1157" s="371" t="s">
        <v>3084</v>
      </c>
      <c r="I1157" s="289" t="s">
        <v>60</v>
      </c>
      <c r="J1157" s="289" t="s">
        <v>2484</v>
      </c>
      <c r="K1157" s="289" t="s">
        <v>4427</v>
      </c>
      <c r="L1157" s="51" t="s">
        <v>4464</v>
      </c>
      <c r="M1157" s="290" t="s">
        <v>22</v>
      </c>
      <c r="N1157" s="289" t="s">
        <v>22</v>
      </c>
      <c r="O1157" s="290" t="s">
        <v>22</v>
      </c>
      <c r="P1157" s="324" t="s">
        <v>5433</v>
      </c>
      <c r="Q1157" s="292" t="s">
        <v>5289</v>
      </c>
      <c r="R1157" s="289" t="s">
        <v>5446</v>
      </c>
      <c r="S1157" s="293" t="s">
        <v>5447</v>
      </c>
      <c r="T1157" s="293" t="s">
        <v>5663</v>
      </c>
      <c r="U1157" s="294" t="s">
        <v>5664</v>
      </c>
      <c r="V1157" s="295" t="s">
        <v>5665</v>
      </c>
      <c r="W1157" s="293" t="s">
        <v>5448</v>
      </c>
      <c r="X1157" s="296" t="s">
        <v>5656</v>
      </c>
      <c r="Y1157" s="114" t="s">
        <v>27</v>
      </c>
      <c r="Z1157" s="114" t="s">
        <v>27</v>
      </c>
      <c r="AA1157" s="114" t="s">
        <v>27</v>
      </c>
      <c r="AB1157" s="370" t="s">
        <v>2887</v>
      </c>
      <c r="AC1157" s="524"/>
    </row>
    <row r="1158" spans="1:29" ht="15" customHeight="1">
      <c r="A1158" s="289" t="s">
        <v>203</v>
      </c>
      <c r="B1158" s="289" t="s">
        <v>5290</v>
      </c>
      <c r="C1158" s="289" t="s">
        <v>27</v>
      </c>
      <c r="D1158" s="53" t="s">
        <v>2758</v>
      </c>
      <c r="E1158" s="290" t="s">
        <v>17</v>
      </c>
      <c r="F1158" s="289">
        <v>4079517</v>
      </c>
      <c r="G1158" s="289" t="s">
        <v>5288</v>
      </c>
      <c r="H1158" s="371" t="s">
        <v>3084</v>
      </c>
      <c r="I1158" s="289" t="s">
        <v>60</v>
      </c>
      <c r="J1158" s="289" t="s">
        <v>2501</v>
      </c>
      <c r="K1158" s="289" t="s">
        <v>4445</v>
      </c>
      <c r="L1158" s="51" t="s">
        <v>4464</v>
      </c>
      <c r="M1158" s="290" t="s">
        <v>22</v>
      </c>
      <c r="N1158" s="289" t="s">
        <v>27</v>
      </c>
      <c r="O1158" s="290" t="s">
        <v>22</v>
      </c>
      <c r="P1158" s="324" t="s">
        <v>5433</v>
      </c>
      <c r="Q1158" s="292" t="s">
        <v>5291</v>
      </c>
      <c r="R1158" s="289" t="s">
        <v>5450</v>
      </c>
      <c r="S1158" s="293" t="s">
        <v>5451</v>
      </c>
      <c r="T1158" s="293" t="s">
        <v>5452</v>
      </c>
      <c r="U1158" s="294" t="s">
        <v>5666</v>
      </c>
      <c r="V1158" s="295" t="s">
        <v>5667</v>
      </c>
      <c r="W1158" s="293" t="s">
        <v>5453</v>
      </c>
      <c r="X1158" s="296" t="s">
        <v>5438</v>
      </c>
      <c r="Y1158" s="114" t="s">
        <v>27</v>
      </c>
      <c r="Z1158" s="114" t="s">
        <v>27</v>
      </c>
      <c r="AA1158" s="114" t="s">
        <v>27</v>
      </c>
      <c r="AB1158" s="370" t="s">
        <v>2887</v>
      </c>
      <c r="AC1158" s="524"/>
    </row>
    <row r="1159" spans="1:29" ht="15" customHeight="1">
      <c r="A1159" s="289" t="s">
        <v>203</v>
      </c>
      <c r="B1159" s="289" t="s">
        <v>5292</v>
      </c>
      <c r="C1159" s="289" t="s">
        <v>27</v>
      </c>
      <c r="D1159" s="289" t="s">
        <v>2758</v>
      </c>
      <c r="E1159" s="290" t="s">
        <v>17</v>
      </c>
      <c r="F1159" s="289">
        <v>4079390</v>
      </c>
      <c r="G1159" s="289" t="s">
        <v>5293</v>
      </c>
      <c r="H1159" s="371" t="s">
        <v>3084</v>
      </c>
      <c r="I1159" s="289" t="s">
        <v>60</v>
      </c>
      <c r="J1159" s="289" t="s">
        <v>2501</v>
      </c>
      <c r="K1159" s="289" t="s">
        <v>4445</v>
      </c>
      <c r="L1159" s="51" t="s">
        <v>4464</v>
      </c>
      <c r="M1159" s="290" t="s">
        <v>22</v>
      </c>
      <c r="N1159" s="289" t="s">
        <v>27</v>
      </c>
      <c r="O1159" s="290" t="s">
        <v>22</v>
      </c>
      <c r="P1159" s="324" t="s">
        <v>5433</v>
      </c>
      <c r="Q1159" s="292" t="s">
        <v>5294</v>
      </c>
      <c r="R1159" s="289" t="s">
        <v>5454</v>
      </c>
      <c r="S1159" s="293" t="s">
        <v>5455</v>
      </c>
      <c r="T1159" s="293" t="s">
        <v>5456</v>
      </c>
      <c r="U1159" s="294" t="s">
        <v>6283</v>
      </c>
      <c r="V1159" s="295" t="s">
        <v>6284</v>
      </c>
      <c r="W1159" s="293" t="s">
        <v>5457</v>
      </c>
      <c r="X1159" s="296" t="s">
        <v>5438</v>
      </c>
      <c r="Y1159" s="114" t="s">
        <v>27</v>
      </c>
      <c r="Z1159" s="114" t="s">
        <v>27</v>
      </c>
      <c r="AA1159" s="114" t="s">
        <v>27</v>
      </c>
      <c r="AB1159" s="370" t="s">
        <v>2887</v>
      </c>
      <c r="AC1159" s="525"/>
    </row>
    <row r="1160" spans="1:29" ht="15" customHeight="1">
      <c r="A1160" s="289" t="s">
        <v>203</v>
      </c>
      <c r="B1160" s="289" t="s">
        <v>5295</v>
      </c>
      <c r="C1160" s="289" t="s">
        <v>27</v>
      </c>
      <c r="D1160" s="53" t="s">
        <v>2759</v>
      </c>
      <c r="E1160" s="290" t="s">
        <v>17</v>
      </c>
      <c r="F1160" s="289">
        <v>4079581</v>
      </c>
      <c r="G1160" s="289" t="s">
        <v>5293</v>
      </c>
      <c r="H1160" s="371" t="s">
        <v>3084</v>
      </c>
      <c r="I1160" s="289" t="s">
        <v>60</v>
      </c>
      <c r="J1160" s="289" t="s">
        <v>2486</v>
      </c>
      <c r="K1160" s="289" t="s">
        <v>2651</v>
      </c>
      <c r="L1160" s="51" t="s">
        <v>4464</v>
      </c>
      <c r="M1160" s="290" t="s">
        <v>22</v>
      </c>
      <c r="N1160" s="289" t="s">
        <v>22</v>
      </c>
      <c r="O1160" s="290" t="s">
        <v>22</v>
      </c>
      <c r="P1160" s="324" t="s">
        <v>5433</v>
      </c>
      <c r="Q1160" s="292" t="s">
        <v>5296</v>
      </c>
      <c r="R1160" s="289" t="s">
        <v>5228</v>
      </c>
      <c r="S1160" s="293" t="s">
        <v>5106</v>
      </c>
      <c r="T1160" s="293" t="s">
        <v>5459</v>
      </c>
      <c r="U1160" s="294" t="s">
        <v>6285</v>
      </c>
      <c r="V1160" s="295" t="s">
        <v>6286</v>
      </c>
      <c r="W1160" s="293" t="s">
        <v>5458</v>
      </c>
      <c r="X1160" s="296" t="s">
        <v>5438</v>
      </c>
      <c r="Y1160" s="114" t="s">
        <v>27</v>
      </c>
      <c r="Z1160" s="114" t="s">
        <v>27</v>
      </c>
      <c r="AA1160" s="114" t="s">
        <v>27</v>
      </c>
      <c r="AB1160" s="370" t="s">
        <v>2887</v>
      </c>
      <c r="AC1160" s="525" t="s">
        <v>5858</v>
      </c>
    </row>
    <row r="1161" spans="1:29" ht="15" customHeight="1">
      <c r="A1161" s="289" t="s">
        <v>203</v>
      </c>
      <c r="B1161" s="289" t="s">
        <v>5300</v>
      </c>
      <c r="C1161" s="289" t="s">
        <v>27</v>
      </c>
      <c r="D1161" s="53" t="s">
        <v>2758</v>
      </c>
      <c r="E1161" s="290" t="s">
        <v>17</v>
      </c>
      <c r="F1161" s="289">
        <v>4079714</v>
      </c>
      <c r="G1161" s="289" t="s">
        <v>5051</v>
      </c>
      <c r="H1161" s="371" t="s">
        <v>3084</v>
      </c>
      <c r="I1161" s="289" t="s">
        <v>21</v>
      </c>
      <c r="J1161" s="289" t="s">
        <v>1587</v>
      </c>
      <c r="K1161" s="289" t="s">
        <v>206</v>
      </c>
      <c r="L1161" s="51" t="s">
        <v>6608</v>
      </c>
      <c r="M1161" s="290" t="s">
        <v>22</v>
      </c>
      <c r="N1161" s="289" t="s">
        <v>22</v>
      </c>
      <c r="O1161" s="290" t="s">
        <v>27</v>
      </c>
      <c r="P1161" s="324" t="s">
        <v>5433</v>
      </c>
      <c r="Q1161" s="292" t="s">
        <v>5301</v>
      </c>
      <c r="R1161" s="289" t="s">
        <v>5186</v>
      </c>
      <c r="S1161" s="293" t="s">
        <v>4943</v>
      </c>
      <c r="T1161" s="293" t="s">
        <v>6511</v>
      </c>
      <c r="U1161" s="294" t="s">
        <v>5614</v>
      </c>
      <c r="V1161" s="295">
        <v>0</v>
      </c>
      <c r="W1161" s="293"/>
      <c r="X1161" s="296">
        <v>43454</v>
      </c>
      <c r="Y1161" s="114" t="s">
        <v>27</v>
      </c>
      <c r="Z1161" s="114" t="s">
        <v>27</v>
      </c>
      <c r="AA1161" s="114" t="s">
        <v>27</v>
      </c>
      <c r="AB1161" s="370" t="s">
        <v>2887</v>
      </c>
      <c r="AC1161" s="525" t="s">
        <v>6512</v>
      </c>
    </row>
    <row r="1162" spans="1:29" ht="15" customHeight="1">
      <c r="A1162" s="289" t="s">
        <v>203</v>
      </c>
      <c r="B1162" s="289" t="s">
        <v>5302</v>
      </c>
      <c r="C1162" s="289" t="s">
        <v>27</v>
      </c>
      <c r="D1162" s="53" t="s">
        <v>2758</v>
      </c>
      <c r="E1162" s="290" t="s">
        <v>17</v>
      </c>
      <c r="F1162" s="289">
        <v>4079380</v>
      </c>
      <c r="G1162" s="289" t="s">
        <v>5303</v>
      </c>
      <c r="H1162" s="371" t="s">
        <v>3084</v>
      </c>
      <c r="I1162" s="289" t="s">
        <v>21</v>
      </c>
      <c r="J1162" s="289" t="s">
        <v>209</v>
      </c>
      <c r="K1162" s="289" t="s">
        <v>236</v>
      </c>
      <c r="L1162" s="51" t="s">
        <v>4464</v>
      </c>
      <c r="M1162" s="290" t="s">
        <v>22</v>
      </c>
      <c r="N1162" s="289" t="s">
        <v>22</v>
      </c>
      <c r="O1162" s="290" t="s">
        <v>22</v>
      </c>
      <c r="P1162" s="324" t="s">
        <v>5433</v>
      </c>
      <c r="Q1162" s="292" t="s">
        <v>5304</v>
      </c>
      <c r="R1162" s="289" t="s">
        <v>5775</v>
      </c>
      <c r="S1162" s="293" t="s">
        <v>5776</v>
      </c>
      <c r="T1162" s="293" t="s">
        <v>5470</v>
      </c>
      <c r="U1162" s="294" t="s">
        <v>6287</v>
      </c>
      <c r="V1162" s="295" t="s">
        <v>6288</v>
      </c>
      <c r="W1162" s="293"/>
      <c r="X1162" s="296" t="s">
        <v>5656</v>
      </c>
      <c r="Y1162" s="114" t="s">
        <v>27</v>
      </c>
      <c r="Z1162" s="114" t="s">
        <v>27</v>
      </c>
      <c r="AA1162" s="114" t="s">
        <v>27</v>
      </c>
      <c r="AB1162" s="370" t="s">
        <v>2887</v>
      </c>
      <c r="AC1162" s="525"/>
    </row>
    <row r="1163" spans="1:29" ht="15" customHeight="1">
      <c r="A1163" s="289" t="s">
        <v>203</v>
      </c>
      <c r="B1163" s="289" t="s">
        <v>5310</v>
      </c>
      <c r="C1163" s="289" t="s">
        <v>27</v>
      </c>
      <c r="D1163" s="53" t="s">
        <v>2758</v>
      </c>
      <c r="E1163" s="290" t="s">
        <v>17</v>
      </c>
      <c r="F1163" s="289">
        <v>4079706</v>
      </c>
      <c r="G1163" s="289" t="s">
        <v>5308</v>
      </c>
      <c r="H1163" s="371" t="s">
        <v>3084</v>
      </c>
      <c r="I1163" s="289" t="s">
        <v>21</v>
      </c>
      <c r="J1163" s="289" t="s">
        <v>209</v>
      </c>
      <c r="K1163" s="289" t="s">
        <v>236</v>
      </c>
      <c r="L1163" s="51" t="s">
        <v>4464</v>
      </c>
      <c r="M1163" s="290" t="s">
        <v>22</v>
      </c>
      <c r="N1163" s="289" t="s">
        <v>22</v>
      </c>
      <c r="O1163" s="290" t="s">
        <v>22</v>
      </c>
      <c r="P1163" s="324" t="s">
        <v>5433</v>
      </c>
      <c r="Q1163" s="292" t="s">
        <v>5311</v>
      </c>
      <c r="R1163" s="289" t="s">
        <v>5241</v>
      </c>
      <c r="S1163" s="293" t="s">
        <v>5242</v>
      </c>
      <c r="T1163" s="293" t="s">
        <v>5471</v>
      </c>
      <c r="U1163" s="294" t="s">
        <v>6289</v>
      </c>
      <c r="V1163" s="295" t="s">
        <v>6290</v>
      </c>
      <c r="W1163" s="293"/>
      <c r="X1163" s="296" t="s">
        <v>5656</v>
      </c>
      <c r="Y1163" s="114" t="s">
        <v>27</v>
      </c>
      <c r="Z1163" s="114" t="s">
        <v>27</v>
      </c>
      <c r="AA1163" s="114" t="s">
        <v>27</v>
      </c>
      <c r="AB1163" s="44" t="s">
        <v>2887</v>
      </c>
      <c r="AC1163" s="525"/>
    </row>
    <row r="1164" spans="1:29" ht="15" customHeight="1">
      <c r="A1164" s="289" t="s">
        <v>203</v>
      </c>
      <c r="B1164" s="289" t="s">
        <v>5335</v>
      </c>
      <c r="C1164" s="289" t="s">
        <v>22</v>
      </c>
      <c r="D1164" s="53" t="s">
        <v>2758</v>
      </c>
      <c r="E1164" s="290" t="s">
        <v>17</v>
      </c>
      <c r="F1164" s="289">
        <v>4079423</v>
      </c>
      <c r="G1164" s="289"/>
      <c r="H1164" s="371" t="s">
        <v>3084</v>
      </c>
      <c r="I1164" s="289"/>
      <c r="J1164" s="289"/>
      <c r="K1164" s="289"/>
      <c r="L1164" s="51"/>
      <c r="M1164" s="290" t="s">
        <v>22</v>
      </c>
      <c r="N1164" s="289" t="s">
        <v>22</v>
      </c>
      <c r="O1164" s="290" t="s">
        <v>22</v>
      </c>
      <c r="P1164" s="324" t="s">
        <v>6318</v>
      </c>
      <c r="Q1164" s="292" t="s">
        <v>5336</v>
      </c>
      <c r="R1164" s="289" t="e">
        <v>#N/A</v>
      </c>
      <c r="S1164" s="293" t="e">
        <v>#N/A</v>
      </c>
      <c r="T1164" s="293"/>
      <c r="U1164" s="294" t="e">
        <v>#N/A</v>
      </c>
      <c r="V1164" s="295" t="e">
        <v>#N/A</v>
      </c>
      <c r="W1164" s="293"/>
      <c r="X1164" s="296" t="s">
        <v>6609</v>
      </c>
      <c r="Y1164" s="114" t="s">
        <v>2021</v>
      </c>
      <c r="Z1164" s="114" t="s">
        <v>22</v>
      </c>
      <c r="AA1164" s="114" t="s">
        <v>2021</v>
      </c>
      <c r="AB1164" s="44" t="s">
        <v>5705</v>
      </c>
      <c r="AC1164" s="525"/>
    </row>
    <row r="1165" spans="1:29" ht="15" customHeight="1">
      <c r="A1165" s="289" t="s">
        <v>203</v>
      </c>
      <c r="B1165" s="289" t="s">
        <v>5337</v>
      </c>
      <c r="C1165" s="289" t="s">
        <v>27</v>
      </c>
      <c r="D1165" s="53" t="s">
        <v>2758</v>
      </c>
      <c r="E1165" s="290" t="s">
        <v>2008</v>
      </c>
      <c r="F1165" s="289">
        <v>4079615</v>
      </c>
      <c r="G1165" s="289" t="s">
        <v>5338</v>
      </c>
      <c r="H1165" s="371" t="s">
        <v>3084</v>
      </c>
      <c r="I1165" s="289" t="s">
        <v>60</v>
      </c>
      <c r="J1165" s="289" t="s">
        <v>2484</v>
      </c>
      <c r="K1165" s="289" t="s">
        <v>4427</v>
      </c>
      <c r="L1165" s="51" t="s">
        <v>31</v>
      </c>
      <c r="M1165" s="290" t="s">
        <v>22</v>
      </c>
      <c r="N1165" s="289" t="s">
        <v>22</v>
      </c>
      <c r="O1165" s="290" t="s">
        <v>22</v>
      </c>
      <c r="P1165" s="324" t="s">
        <v>6318</v>
      </c>
      <c r="Q1165" s="292" t="s">
        <v>5339</v>
      </c>
      <c r="R1165" s="289" t="s">
        <v>6681</v>
      </c>
      <c r="S1165" s="293" t="s">
        <v>6682</v>
      </c>
      <c r="T1165" s="293" t="s">
        <v>6683</v>
      </c>
      <c r="U1165" s="294" t="s">
        <v>6684</v>
      </c>
      <c r="V1165" s="295" t="s">
        <v>6685</v>
      </c>
      <c r="W1165" s="293" t="s">
        <v>6728</v>
      </c>
      <c r="X1165" s="296" t="s">
        <v>6722</v>
      </c>
      <c r="Y1165" s="114" t="s">
        <v>27</v>
      </c>
      <c r="Z1165" s="114" t="s">
        <v>27</v>
      </c>
      <c r="AA1165" s="114" t="s">
        <v>27</v>
      </c>
      <c r="AB1165" s="44" t="s">
        <v>2887</v>
      </c>
      <c r="AC1165" s="525"/>
    </row>
    <row r="1166" spans="1:29" ht="15" customHeight="1">
      <c r="A1166" s="289" t="s">
        <v>203</v>
      </c>
      <c r="B1166" s="289" t="s">
        <v>5340</v>
      </c>
      <c r="C1166" s="289" t="s">
        <v>22</v>
      </c>
      <c r="D1166" s="53" t="s">
        <v>4921</v>
      </c>
      <c r="E1166" s="290" t="s">
        <v>17</v>
      </c>
      <c r="F1166" s="289">
        <v>4079680</v>
      </c>
      <c r="G1166" s="289"/>
      <c r="H1166" s="371" t="s">
        <v>3084</v>
      </c>
      <c r="I1166" s="289"/>
      <c r="J1166" s="289"/>
      <c r="K1166" s="289"/>
      <c r="L1166" s="51"/>
      <c r="M1166" s="290" t="s">
        <v>22</v>
      </c>
      <c r="N1166" s="289" t="s">
        <v>22</v>
      </c>
      <c r="O1166" s="290" t="s">
        <v>22</v>
      </c>
      <c r="P1166" s="324"/>
      <c r="Q1166" s="292"/>
      <c r="R1166" s="289" t="e">
        <v>#N/A</v>
      </c>
      <c r="S1166" s="293" t="e">
        <v>#N/A</v>
      </c>
      <c r="T1166" s="293"/>
      <c r="U1166" s="294" t="e">
        <v>#N/A</v>
      </c>
      <c r="V1166" s="295" t="e">
        <v>#N/A</v>
      </c>
      <c r="W1166" s="293"/>
      <c r="X1166" s="296"/>
      <c r="Y1166" s="114" t="s">
        <v>2021</v>
      </c>
      <c r="Z1166" s="114" t="s">
        <v>22</v>
      </c>
      <c r="AA1166" s="114" t="s">
        <v>2021</v>
      </c>
      <c r="AB1166" s="44" t="s">
        <v>5705</v>
      </c>
      <c r="AC1166" s="525" t="s">
        <v>6519</v>
      </c>
    </row>
    <row r="1167" spans="1:29" ht="15" customHeight="1">
      <c r="A1167" s="289" t="s">
        <v>203</v>
      </c>
      <c r="B1167" s="289" t="s">
        <v>5341</v>
      </c>
      <c r="C1167" s="289" t="s">
        <v>27</v>
      </c>
      <c r="D1167" s="53" t="s">
        <v>2758</v>
      </c>
      <c r="E1167" s="290" t="s">
        <v>6610</v>
      </c>
      <c r="F1167" s="289">
        <v>4079660</v>
      </c>
      <c r="G1167" s="289" t="s">
        <v>5342</v>
      </c>
      <c r="H1167" s="371" t="s">
        <v>3084</v>
      </c>
      <c r="I1167" s="289" t="s">
        <v>21</v>
      </c>
      <c r="J1167" s="289" t="s">
        <v>204</v>
      </c>
      <c r="K1167" s="289" t="s">
        <v>3650</v>
      </c>
      <c r="L1167" s="51" t="s">
        <v>31</v>
      </c>
      <c r="M1167" s="290" t="s">
        <v>22</v>
      </c>
      <c r="N1167" s="289" t="s">
        <v>27</v>
      </c>
      <c r="O1167" s="290" t="s">
        <v>22</v>
      </c>
      <c r="P1167" s="324" t="s">
        <v>6318</v>
      </c>
      <c r="Q1167" s="292" t="s">
        <v>5343</v>
      </c>
      <c r="R1167" s="289" t="s">
        <v>6611</v>
      </c>
      <c r="S1167" s="293" t="s">
        <v>6612</v>
      </c>
      <c r="T1167" s="293" t="s">
        <v>6520</v>
      </c>
      <c r="U1167" s="294" t="s">
        <v>6613</v>
      </c>
      <c r="V1167" s="295" t="s">
        <v>6614</v>
      </c>
      <c r="W1167" s="293"/>
      <c r="X1167" s="296" t="s">
        <v>6521</v>
      </c>
      <c r="Y1167" s="114" t="s">
        <v>27</v>
      </c>
      <c r="Z1167" s="114" t="s">
        <v>27</v>
      </c>
      <c r="AA1167" s="114" t="s">
        <v>27</v>
      </c>
      <c r="AB1167" s="44" t="s">
        <v>2887</v>
      </c>
      <c r="AC1167" s="525"/>
    </row>
    <row r="1168" spans="1:29" ht="15" customHeight="1">
      <c r="A1168" s="289" t="s">
        <v>203</v>
      </c>
      <c r="B1168" s="289" t="s">
        <v>5344</v>
      </c>
      <c r="C1168" s="289" t="s">
        <v>27</v>
      </c>
      <c r="D1168" s="53" t="s">
        <v>2758</v>
      </c>
      <c r="E1168" s="290" t="s">
        <v>6610</v>
      </c>
      <c r="F1168" s="289">
        <v>4079607</v>
      </c>
      <c r="G1168" s="289" t="s">
        <v>5342</v>
      </c>
      <c r="H1168" s="371" t="s">
        <v>3084</v>
      </c>
      <c r="I1168" s="289" t="s">
        <v>21</v>
      </c>
      <c r="J1168" s="289" t="s">
        <v>209</v>
      </c>
      <c r="K1168" s="289" t="s">
        <v>6752</v>
      </c>
      <c r="L1168" s="51" t="s">
        <v>31</v>
      </c>
      <c r="M1168" s="290" t="s">
        <v>22</v>
      </c>
      <c r="N1168" s="289" t="s">
        <v>22</v>
      </c>
      <c r="O1168" s="290" t="s">
        <v>22</v>
      </c>
      <c r="P1168" s="324" t="s">
        <v>6318</v>
      </c>
      <c r="Q1168" s="292" t="s">
        <v>5345</v>
      </c>
      <c r="R1168" s="289" t="s">
        <v>6615</v>
      </c>
      <c r="S1168" s="293" t="s">
        <v>6616</v>
      </c>
      <c r="T1168" s="293" t="s">
        <v>6617</v>
      </c>
      <c r="U1168" s="294" t="s">
        <v>6618</v>
      </c>
      <c r="V1168" s="295" t="s">
        <v>6619</v>
      </c>
      <c r="W1168" s="293"/>
      <c r="X1168" s="296" t="s">
        <v>6609</v>
      </c>
      <c r="Y1168" s="114" t="s">
        <v>27</v>
      </c>
      <c r="Z1168" s="114" t="s">
        <v>27</v>
      </c>
      <c r="AA1168" s="114" t="s">
        <v>27</v>
      </c>
      <c r="AB1168" s="44" t="s">
        <v>2887</v>
      </c>
      <c r="AC1168" s="525" t="s">
        <v>6518</v>
      </c>
    </row>
    <row r="1169" spans="1:29">
      <c r="A1169" s="289" t="s">
        <v>203</v>
      </c>
      <c r="B1169" s="289" t="s">
        <v>5346</v>
      </c>
      <c r="C1169" s="289" t="s">
        <v>27</v>
      </c>
      <c r="D1169" s="53" t="s">
        <v>2758</v>
      </c>
      <c r="E1169" s="290" t="s">
        <v>6610</v>
      </c>
      <c r="F1169" s="289">
        <v>4079608</v>
      </c>
      <c r="G1169" s="289" t="s">
        <v>5347</v>
      </c>
      <c r="H1169" s="371" t="s">
        <v>3084</v>
      </c>
      <c r="I1169" s="289" t="s">
        <v>21</v>
      </c>
      <c r="J1169" s="289" t="s">
        <v>209</v>
      </c>
      <c r="K1169" s="289" t="s">
        <v>61</v>
      </c>
      <c r="L1169" s="51" t="s">
        <v>31</v>
      </c>
      <c r="M1169" s="290" t="s">
        <v>22</v>
      </c>
      <c r="N1169" s="289" t="s">
        <v>22</v>
      </c>
      <c r="O1169" s="290" t="s">
        <v>22</v>
      </c>
      <c r="P1169" s="324" t="s">
        <v>6318</v>
      </c>
      <c r="Q1169" s="292" t="s">
        <v>5348</v>
      </c>
      <c r="R1169" s="289" t="s">
        <v>6620</v>
      </c>
      <c r="S1169" s="293" t="s">
        <v>6621</v>
      </c>
      <c r="T1169" s="293" t="s">
        <v>6622</v>
      </c>
      <c r="U1169" s="294" t="s">
        <v>6623</v>
      </c>
      <c r="V1169" s="295" t="s">
        <v>6624</v>
      </c>
      <c r="W1169" s="293"/>
      <c r="X1169" s="296" t="s">
        <v>6609</v>
      </c>
      <c r="Y1169" s="114" t="s">
        <v>27</v>
      </c>
      <c r="Z1169" s="114" t="s">
        <v>27</v>
      </c>
      <c r="AA1169" s="114" t="s">
        <v>27</v>
      </c>
      <c r="AB1169" s="44" t="s">
        <v>2887</v>
      </c>
      <c r="AC1169" s="525" t="s">
        <v>6660</v>
      </c>
    </row>
    <row r="1170" spans="1:29" ht="15" customHeight="1">
      <c r="A1170" s="289" t="s">
        <v>203</v>
      </c>
      <c r="B1170" s="289" t="s">
        <v>5349</v>
      </c>
      <c r="C1170" s="289" t="s">
        <v>27</v>
      </c>
      <c r="D1170" s="53" t="s">
        <v>2758</v>
      </c>
      <c r="E1170" s="290" t="s">
        <v>6610</v>
      </c>
      <c r="F1170" s="289">
        <v>4079509</v>
      </c>
      <c r="G1170" s="289" t="s">
        <v>5347</v>
      </c>
      <c r="H1170" s="371" t="s">
        <v>3084</v>
      </c>
      <c r="I1170" s="289" t="s">
        <v>21</v>
      </c>
      <c r="J1170" s="289" t="s">
        <v>223</v>
      </c>
      <c r="K1170" s="289" t="s">
        <v>6752</v>
      </c>
      <c r="L1170" s="51" t="s">
        <v>31</v>
      </c>
      <c r="M1170" s="290" t="s">
        <v>22</v>
      </c>
      <c r="N1170" s="289" t="s">
        <v>22</v>
      </c>
      <c r="O1170" s="290" t="s">
        <v>22</v>
      </c>
      <c r="P1170" s="324" t="s">
        <v>6318</v>
      </c>
      <c r="Q1170" s="292" t="s">
        <v>5350</v>
      </c>
      <c r="R1170" s="289" t="s">
        <v>6625</v>
      </c>
      <c r="S1170" s="293" t="s">
        <v>6626</v>
      </c>
      <c r="T1170" s="293" t="s">
        <v>6627</v>
      </c>
      <c r="U1170" s="294" t="s">
        <v>6628</v>
      </c>
      <c r="V1170" s="295" t="s">
        <v>6629</v>
      </c>
      <c r="W1170" s="293"/>
      <c r="X1170" s="296" t="s">
        <v>6609</v>
      </c>
      <c r="Y1170" s="114" t="s">
        <v>27</v>
      </c>
      <c r="Z1170" s="114" t="s">
        <v>27</v>
      </c>
      <c r="AA1170" s="114" t="s">
        <v>27</v>
      </c>
      <c r="AB1170" s="44" t="s">
        <v>2887</v>
      </c>
      <c r="AC1170" s="525" t="s">
        <v>6518</v>
      </c>
    </row>
    <row r="1171" spans="1:29">
      <c r="A1171" s="289" t="s">
        <v>203</v>
      </c>
      <c r="B1171" s="289" t="s">
        <v>5351</v>
      </c>
      <c r="C1171" s="289" t="s">
        <v>27</v>
      </c>
      <c r="D1171" s="53" t="s">
        <v>2758</v>
      </c>
      <c r="E1171" s="290" t="s">
        <v>2008</v>
      </c>
      <c r="F1171" s="289">
        <v>4079709</v>
      </c>
      <c r="G1171" s="289" t="s">
        <v>5352</v>
      </c>
      <c r="H1171" s="371" t="s">
        <v>3084</v>
      </c>
      <c r="I1171" s="289" t="s">
        <v>60</v>
      </c>
      <c r="J1171" s="289" t="s">
        <v>2484</v>
      </c>
      <c r="K1171" s="289" t="s">
        <v>4427</v>
      </c>
      <c r="L1171" s="51" t="s">
        <v>31</v>
      </c>
      <c r="M1171" s="290" t="s">
        <v>22</v>
      </c>
      <c r="N1171" s="289" t="s">
        <v>22</v>
      </c>
      <c r="O1171" s="290" t="s">
        <v>22</v>
      </c>
      <c r="P1171" s="324" t="s">
        <v>6318</v>
      </c>
      <c r="Q1171" s="292" t="s">
        <v>5353</v>
      </c>
      <c r="R1171" s="289" t="s">
        <v>6686</v>
      </c>
      <c r="S1171" s="293" t="s">
        <v>6687</v>
      </c>
      <c r="T1171" s="293" t="s">
        <v>6688</v>
      </c>
      <c r="U1171" s="294" t="s">
        <v>6689</v>
      </c>
      <c r="V1171" s="295" t="s">
        <v>6690</v>
      </c>
      <c r="W1171" s="293" t="s">
        <v>6729</v>
      </c>
      <c r="X1171" s="296" t="s">
        <v>6722</v>
      </c>
      <c r="Y1171" s="114" t="s">
        <v>27</v>
      </c>
      <c r="Z1171" s="114" t="s">
        <v>27</v>
      </c>
      <c r="AA1171" s="114" t="s">
        <v>27</v>
      </c>
      <c r="AB1171" s="44" t="s">
        <v>2887</v>
      </c>
      <c r="AC1171" s="525"/>
    </row>
    <row r="1172" spans="1:29">
      <c r="A1172" s="289" t="s">
        <v>203</v>
      </c>
      <c r="B1172" s="289" t="s">
        <v>5354</v>
      </c>
      <c r="C1172" s="289" t="s">
        <v>27</v>
      </c>
      <c r="D1172" s="53" t="s">
        <v>2758</v>
      </c>
      <c r="E1172" s="290" t="s">
        <v>6610</v>
      </c>
      <c r="F1172" s="289">
        <v>4079644</v>
      </c>
      <c r="G1172" s="289" t="s">
        <v>5352</v>
      </c>
      <c r="H1172" s="371" t="s">
        <v>3084</v>
      </c>
      <c r="I1172" s="289" t="s">
        <v>21</v>
      </c>
      <c r="J1172" s="289" t="s">
        <v>209</v>
      </c>
      <c r="K1172" s="289" t="s">
        <v>6752</v>
      </c>
      <c r="L1172" s="51" t="s">
        <v>31</v>
      </c>
      <c r="M1172" s="290" t="s">
        <v>22</v>
      </c>
      <c r="N1172" s="289" t="s">
        <v>22</v>
      </c>
      <c r="O1172" s="290" t="s">
        <v>22</v>
      </c>
      <c r="P1172" s="324" t="s">
        <v>6318</v>
      </c>
      <c r="Q1172" s="292" t="s">
        <v>5355</v>
      </c>
      <c r="R1172" s="289" t="s">
        <v>6631</v>
      </c>
      <c r="S1172" s="293" t="s">
        <v>6632</v>
      </c>
      <c r="T1172" s="293" t="s">
        <v>6633</v>
      </c>
      <c r="U1172" s="294" t="s">
        <v>6634</v>
      </c>
      <c r="V1172" s="295" t="s">
        <v>6635</v>
      </c>
      <c r="W1172" s="293"/>
      <c r="X1172" s="296" t="s">
        <v>6630</v>
      </c>
      <c r="Y1172" s="114" t="s">
        <v>27</v>
      </c>
      <c r="Z1172" s="114" t="s">
        <v>27</v>
      </c>
      <c r="AA1172" s="114" t="s">
        <v>27</v>
      </c>
      <c r="AB1172" s="44" t="s">
        <v>2887</v>
      </c>
      <c r="AC1172" s="525" t="s">
        <v>6661</v>
      </c>
    </row>
    <row r="1173" spans="1:29" ht="15" customHeight="1">
      <c r="A1173" s="289" t="s">
        <v>203</v>
      </c>
      <c r="B1173" s="289" t="s">
        <v>5356</v>
      </c>
      <c r="C1173" s="289" t="s">
        <v>27</v>
      </c>
      <c r="D1173" s="289" t="s">
        <v>2758</v>
      </c>
      <c r="E1173" s="290" t="s">
        <v>2008</v>
      </c>
      <c r="F1173" s="289">
        <v>4079502</v>
      </c>
      <c r="G1173" s="289" t="s">
        <v>5357</v>
      </c>
      <c r="H1173" s="371" t="s">
        <v>3084</v>
      </c>
      <c r="I1173" s="289" t="s">
        <v>60</v>
      </c>
      <c r="J1173" s="289" t="s">
        <v>2484</v>
      </c>
      <c r="K1173" s="289" t="s">
        <v>4427</v>
      </c>
      <c r="L1173" s="51" t="s">
        <v>31</v>
      </c>
      <c r="M1173" s="290" t="s">
        <v>22</v>
      </c>
      <c r="N1173" s="289" t="s">
        <v>22</v>
      </c>
      <c r="O1173" s="290" t="s">
        <v>22</v>
      </c>
      <c r="P1173" s="324" t="s">
        <v>6318</v>
      </c>
      <c r="Q1173" s="292" t="s">
        <v>5358</v>
      </c>
      <c r="R1173" s="289" t="s">
        <v>6691</v>
      </c>
      <c r="S1173" s="293" t="s">
        <v>6692</v>
      </c>
      <c r="T1173" s="293" t="s">
        <v>4948</v>
      </c>
      <c r="U1173" s="294" t="s">
        <v>6693</v>
      </c>
      <c r="V1173" s="295" t="s">
        <v>6694</v>
      </c>
      <c r="W1173" s="293" t="s">
        <v>6730</v>
      </c>
      <c r="X1173" s="296" t="s">
        <v>6722</v>
      </c>
      <c r="Y1173" s="114" t="s">
        <v>27</v>
      </c>
      <c r="Z1173" s="114" t="s">
        <v>27</v>
      </c>
      <c r="AA1173" s="114" t="s">
        <v>27</v>
      </c>
      <c r="AB1173" s="370" t="s">
        <v>2887</v>
      </c>
      <c r="AC1173" s="525"/>
    </row>
    <row r="1174" spans="1:29" ht="15" customHeight="1">
      <c r="A1174" s="289" t="s">
        <v>203</v>
      </c>
      <c r="B1174" s="486" t="s">
        <v>5359</v>
      </c>
      <c r="C1174" s="289" t="s">
        <v>27</v>
      </c>
      <c r="D1174" s="289" t="s">
        <v>2758</v>
      </c>
      <c r="E1174" s="290" t="s">
        <v>6610</v>
      </c>
      <c r="F1174" s="289">
        <v>4079510</v>
      </c>
      <c r="G1174" s="289" t="s">
        <v>5357</v>
      </c>
      <c r="H1174" s="371" t="s">
        <v>3084</v>
      </c>
      <c r="I1174" s="289" t="s">
        <v>21</v>
      </c>
      <c r="J1174" s="289" t="s">
        <v>209</v>
      </c>
      <c r="K1174" s="289" t="s">
        <v>6752</v>
      </c>
      <c r="L1174" s="51" t="s">
        <v>31</v>
      </c>
      <c r="M1174" s="290" t="s">
        <v>22</v>
      </c>
      <c r="N1174" s="289" t="s">
        <v>22</v>
      </c>
      <c r="O1174" s="290" t="s">
        <v>22</v>
      </c>
      <c r="P1174" s="324" t="s">
        <v>6318</v>
      </c>
      <c r="Q1174" s="292" t="s">
        <v>5360</v>
      </c>
      <c r="R1174" s="289" t="s">
        <v>6636</v>
      </c>
      <c r="S1174" s="293" t="s">
        <v>6637</v>
      </c>
      <c r="T1174" s="293" t="s">
        <v>6893</v>
      </c>
      <c r="U1174" s="294" t="s">
        <v>6638</v>
      </c>
      <c r="V1174" s="295" t="s">
        <v>6639</v>
      </c>
      <c r="W1174" s="293"/>
      <c r="X1174" s="296" t="s">
        <v>6630</v>
      </c>
      <c r="Y1174" s="114" t="s">
        <v>27</v>
      </c>
      <c r="Z1174" s="114" t="s">
        <v>27</v>
      </c>
      <c r="AA1174" s="114" t="s">
        <v>27</v>
      </c>
      <c r="AB1174" s="370" t="s">
        <v>2887</v>
      </c>
      <c r="AC1174" s="525" t="s">
        <v>6662</v>
      </c>
    </row>
    <row r="1175" spans="1:29" ht="15" customHeight="1">
      <c r="A1175" s="289" t="s">
        <v>203</v>
      </c>
      <c r="B1175" s="289" t="s">
        <v>5361</v>
      </c>
      <c r="C1175" s="289" t="s">
        <v>27</v>
      </c>
      <c r="D1175" s="289" t="s">
        <v>4921</v>
      </c>
      <c r="E1175" s="290" t="s">
        <v>2008</v>
      </c>
      <c r="F1175" s="289">
        <v>4079514</v>
      </c>
      <c r="G1175" s="289" t="s">
        <v>5362</v>
      </c>
      <c r="H1175" s="371" t="s">
        <v>3084</v>
      </c>
      <c r="I1175" s="289" t="s">
        <v>60</v>
      </c>
      <c r="J1175" s="289" t="s">
        <v>2486</v>
      </c>
      <c r="K1175" s="289" t="s">
        <v>2651</v>
      </c>
      <c r="L1175" s="51" t="s">
        <v>31</v>
      </c>
      <c r="M1175" s="290" t="s">
        <v>22</v>
      </c>
      <c r="N1175" s="289" t="s">
        <v>22</v>
      </c>
      <c r="O1175" s="290" t="s">
        <v>22</v>
      </c>
      <c r="P1175" s="324" t="s">
        <v>6318</v>
      </c>
      <c r="Q1175" s="292" t="s">
        <v>5363</v>
      </c>
      <c r="R1175" s="289" t="s">
        <v>6731</v>
      </c>
      <c r="S1175" s="293" t="s">
        <v>6732</v>
      </c>
      <c r="T1175" s="293" t="s">
        <v>6733</v>
      </c>
      <c r="U1175" s="294" t="s">
        <v>6734</v>
      </c>
      <c r="V1175" s="295" t="s">
        <v>6735</v>
      </c>
      <c r="W1175" s="293" t="s">
        <v>6736</v>
      </c>
      <c r="X1175" s="296" t="s">
        <v>6722</v>
      </c>
      <c r="Y1175" s="114" t="s">
        <v>27</v>
      </c>
      <c r="Z1175" s="114" t="s">
        <v>27</v>
      </c>
      <c r="AA1175" s="114" t="s">
        <v>27</v>
      </c>
      <c r="AB1175" s="370" t="s">
        <v>2887</v>
      </c>
      <c r="AC1175" s="525" t="s">
        <v>6659</v>
      </c>
    </row>
    <row r="1176" spans="1:29" ht="15" customHeight="1">
      <c r="A1176" s="289" t="s">
        <v>203</v>
      </c>
      <c r="B1176" s="289" t="s">
        <v>5472</v>
      </c>
      <c r="C1176" s="289" t="s">
        <v>27</v>
      </c>
      <c r="D1176" s="53" t="s">
        <v>4921</v>
      </c>
      <c r="E1176" s="290" t="s">
        <v>2008</v>
      </c>
      <c r="F1176" s="289">
        <v>4079515</v>
      </c>
      <c r="G1176" s="289" t="s">
        <v>5362</v>
      </c>
      <c r="H1176" s="371" t="s">
        <v>3084</v>
      </c>
      <c r="I1176" s="289" t="s">
        <v>21</v>
      </c>
      <c r="J1176" s="289" t="s">
        <v>204</v>
      </c>
      <c r="K1176" s="289" t="s">
        <v>3650</v>
      </c>
      <c r="L1176" s="51" t="s">
        <v>31</v>
      </c>
      <c r="M1176" s="290" t="s">
        <v>22</v>
      </c>
      <c r="N1176" s="289" t="s">
        <v>22</v>
      </c>
      <c r="O1176" s="290" t="s">
        <v>22</v>
      </c>
      <c r="P1176" s="324" t="s">
        <v>6318</v>
      </c>
      <c r="Q1176" s="292" t="s">
        <v>5473</v>
      </c>
      <c r="R1176" s="289" t="s">
        <v>6653</v>
      </c>
      <c r="S1176" s="293" t="s">
        <v>6654</v>
      </c>
      <c r="T1176" s="293" t="s">
        <v>6737</v>
      </c>
      <c r="U1176" s="294" t="s">
        <v>6655</v>
      </c>
      <c r="V1176" s="295" t="s">
        <v>6656</v>
      </c>
      <c r="W1176" s="293"/>
      <c r="X1176" s="296" t="s">
        <v>6738</v>
      </c>
      <c r="Y1176" s="114" t="s">
        <v>27</v>
      </c>
      <c r="Z1176" s="114" t="s">
        <v>27</v>
      </c>
      <c r="AA1176" s="114" t="s">
        <v>27</v>
      </c>
      <c r="AB1176" s="51" t="s">
        <v>2887</v>
      </c>
      <c r="AC1176" s="525" t="s">
        <v>6659</v>
      </c>
    </row>
    <row r="1177" spans="1:29" ht="15" customHeight="1">
      <c r="A1177" s="289" t="s">
        <v>203</v>
      </c>
      <c r="B1177" s="486" t="s">
        <v>5669</v>
      </c>
      <c r="C1177" s="289" t="s">
        <v>22</v>
      </c>
      <c r="D1177" s="289" t="s">
        <v>4921</v>
      </c>
      <c r="E1177" s="290" t="s">
        <v>2008</v>
      </c>
      <c r="F1177" s="289">
        <v>4079530</v>
      </c>
      <c r="G1177" s="289" t="s">
        <v>6753</v>
      </c>
      <c r="H1177" s="371" t="s">
        <v>3084</v>
      </c>
      <c r="I1177" s="289" t="s">
        <v>60</v>
      </c>
      <c r="J1177" s="289" t="s">
        <v>2484</v>
      </c>
      <c r="K1177" s="289" t="s">
        <v>4427</v>
      </c>
      <c r="L1177" s="51" t="s">
        <v>4464</v>
      </c>
      <c r="M1177" s="290" t="s">
        <v>22</v>
      </c>
      <c r="N1177" s="289" t="s">
        <v>22</v>
      </c>
      <c r="O1177" s="290" t="s">
        <v>22</v>
      </c>
      <c r="P1177" s="324" t="s">
        <v>6318</v>
      </c>
      <c r="Q1177" s="292" t="s">
        <v>5670</v>
      </c>
      <c r="R1177" s="289" t="s">
        <v>5443</v>
      </c>
      <c r="S1177" s="293" t="s">
        <v>5444</v>
      </c>
      <c r="T1177" s="293" t="s">
        <v>5073</v>
      </c>
      <c r="U1177" s="294" t="s">
        <v>5661</v>
      </c>
      <c r="V1177" s="295" t="s">
        <v>5662</v>
      </c>
      <c r="W1177" s="293" t="s">
        <v>5445</v>
      </c>
      <c r="X1177" s="296" t="s">
        <v>6738</v>
      </c>
      <c r="Y1177" s="114" t="s">
        <v>27</v>
      </c>
      <c r="Z1177" s="114" t="s">
        <v>27</v>
      </c>
      <c r="AA1177" s="114" t="s">
        <v>349</v>
      </c>
      <c r="AB1177" s="51" t="s">
        <v>6523</v>
      </c>
      <c r="AC1177" s="525" t="s">
        <v>6854</v>
      </c>
    </row>
    <row r="1178" spans="1:29" ht="15" customHeight="1">
      <c r="A1178" s="289" t="s">
        <v>203</v>
      </c>
      <c r="B1178" s="486" t="s">
        <v>5671</v>
      </c>
      <c r="C1178" s="289" t="s">
        <v>27</v>
      </c>
      <c r="D1178" s="289" t="s">
        <v>4921</v>
      </c>
      <c r="E1178" s="290" t="s">
        <v>2008</v>
      </c>
      <c r="F1178" s="289">
        <v>4079612</v>
      </c>
      <c r="G1178" s="289" t="s">
        <v>6753</v>
      </c>
      <c r="H1178" s="371" t="s">
        <v>3084</v>
      </c>
      <c r="I1178" s="289" t="s">
        <v>21</v>
      </c>
      <c r="J1178" s="289" t="s">
        <v>204</v>
      </c>
      <c r="K1178" s="289" t="s">
        <v>206</v>
      </c>
      <c r="L1178" s="51" t="s">
        <v>31</v>
      </c>
      <c r="M1178" s="290" t="s">
        <v>22</v>
      </c>
      <c r="N1178" s="289" t="s">
        <v>22</v>
      </c>
      <c r="O1178" s="290" t="s">
        <v>22</v>
      </c>
      <c r="P1178" s="324" t="s">
        <v>6318</v>
      </c>
      <c r="Q1178" s="292" t="s">
        <v>5672</v>
      </c>
      <c r="R1178" s="289" t="s">
        <v>6754</v>
      </c>
      <c r="S1178" s="293" t="s">
        <v>6755</v>
      </c>
      <c r="T1178" s="293" t="s">
        <v>6756</v>
      </c>
      <c r="U1178" s="294" t="s">
        <v>6757</v>
      </c>
      <c r="V1178" s="295" t="s">
        <v>6758</v>
      </c>
      <c r="W1178" s="293"/>
      <c r="X1178" s="296" t="s">
        <v>6738</v>
      </c>
      <c r="Y1178" s="114" t="s">
        <v>27</v>
      </c>
      <c r="Z1178" s="114" t="s">
        <v>27</v>
      </c>
      <c r="AA1178" s="114" t="s">
        <v>27</v>
      </c>
      <c r="AB1178" s="51" t="s">
        <v>2887</v>
      </c>
      <c r="AC1178" s="525" t="s">
        <v>6854</v>
      </c>
    </row>
    <row r="1179" spans="1:29" ht="15" customHeight="1">
      <c r="A1179" s="289" t="s">
        <v>203</v>
      </c>
      <c r="B1179" s="486" t="s">
        <v>5673</v>
      </c>
      <c r="C1179" s="289" t="s">
        <v>27</v>
      </c>
      <c r="D1179" s="289" t="s">
        <v>4921</v>
      </c>
      <c r="E1179" s="290" t="s">
        <v>2008</v>
      </c>
      <c r="F1179" s="289">
        <v>4079666</v>
      </c>
      <c r="G1179" s="289" t="s">
        <v>6759</v>
      </c>
      <c r="H1179" s="371" t="s">
        <v>3084</v>
      </c>
      <c r="I1179" s="289" t="s">
        <v>21</v>
      </c>
      <c r="J1179" s="289" t="s">
        <v>204</v>
      </c>
      <c r="K1179" s="289" t="s">
        <v>206</v>
      </c>
      <c r="L1179" s="51" t="s">
        <v>31</v>
      </c>
      <c r="M1179" s="290" t="s">
        <v>22</v>
      </c>
      <c r="N1179" s="289" t="s">
        <v>22</v>
      </c>
      <c r="O1179" s="290" t="s">
        <v>22</v>
      </c>
      <c r="P1179" s="324" t="s">
        <v>6318</v>
      </c>
      <c r="Q1179" s="292" t="s">
        <v>5674</v>
      </c>
      <c r="R1179" s="289" t="s">
        <v>6760</v>
      </c>
      <c r="S1179" s="293" t="s">
        <v>6761</v>
      </c>
      <c r="T1179" s="293" t="s">
        <v>6762</v>
      </c>
      <c r="U1179" s="294" t="s">
        <v>6763</v>
      </c>
      <c r="V1179" s="295" t="s">
        <v>6764</v>
      </c>
      <c r="W1179" s="293"/>
      <c r="X1179" s="296" t="s">
        <v>6738</v>
      </c>
      <c r="Y1179" s="114" t="s">
        <v>27</v>
      </c>
      <c r="Z1179" s="114" t="s">
        <v>27</v>
      </c>
      <c r="AA1179" s="114" t="s">
        <v>27</v>
      </c>
      <c r="AB1179" s="51" t="s">
        <v>2887</v>
      </c>
      <c r="AC1179" s="525" t="s">
        <v>6854</v>
      </c>
    </row>
    <row r="1180" spans="1:29" ht="15" customHeight="1">
      <c r="A1180" s="289" t="s">
        <v>203</v>
      </c>
      <c r="B1180" s="486" t="s">
        <v>5675</v>
      </c>
      <c r="C1180" s="289" t="s">
        <v>27</v>
      </c>
      <c r="D1180" s="289" t="s">
        <v>4921</v>
      </c>
      <c r="E1180" s="290" t="s">
        <v>2008</v>
      </c>
      <c r="F1180" s="289">
        <v>4079565</v>
      </c>
      <c r="G1180" s="289" t="s">
        <v>6759</v>
      </c>
      <c r="H1180" s="371" t="s">
        <v>3084</v>
      </c>
      <c r="I1180" s="289" t="s">
        <v>21</v>
      </c>
      <c r="J1180" s="289" t="s">
        <v>204</v>
      </c>
      <c r="K1180" s="289" t="s">
        <v>206</v>
      </c>
      <c r="L1180" s="51" t="s">
        <v>31</v>
      </c>
      <c r="M1180" s="290" t="s">
        <v>22</v>
      </c>
      <c r="N1180" s="289" t="s">
        <v>22</v>
      </c>
      <c r="O1180" s="290" t="s">
        <v>22</v>
      </c>
      <c r="P1180" s="324" t="s">
        <v>6329</v>
      </c>
      <c r="Q1180" s="292" t="s">
        <v>5676</v>
      </c>
      <c r="R1180" s="289" t="s">
        <v>6765</v>
      </c>
      <c r="S1180" s="293" t="s">
        <v>6766</v>
      </c>
      <c r="T1180" s="293" t="s">
        <v>6767</v>
      </c>
      <c r="U1180" s="294" t="s">
        <v>6768</v>
      </c>
      <c r="V1180" s="295" t="s">
        <v>6769</v>
      </c>
      <c r="W1180" s="293"/>
      <c r="X1180" s="296" t="s">
        <v>6738</v>
      </c>
      <c r="Y1180" s="114" t="s">
        <v>27</v>
      </c>
      <c r="Z1180" s="114" t="s">
        <v>27</v>
      </c>
      <c r="AA1180" s="114" t="s">
        <v>27</v>
      </c>
      <c r="AB1180" s="51" t="s">
        <v>2887</v>
      </c>
      <c r="AC1180" s="525" t="s">
        <v>6854</v>
      </c>
    </row>
    <row r="1181" spans="1:29" ht="15" customHeight="1">
      <c r="A1181" s="289" t="s">
        <v>203</v>
      </c>
      <c r="B1181" s="486" t="s">
        <v>5677</v>
      </c>
      <c r="C1181" s="289" t="s">
        <v>27</v>
      </c>
      <c r="D1181" s="289" t="s">
        <v>4921</v>
      </c>
      <c r="E1181" s="290" t="s">
        <v>2008</v>
      </c>
      <c r="F1181" s="289">
        <v>4079568</v>
      </c>
      <c r="G1181" s="289" t="s">
        <v>6770</v>
      </c>
      <c r="H1181" s="371" t="s">
        <v>3084</v>
      </c>
      <c r="I1181" s="289" t="s">
        <v>60</v>
      </c>
      <c r="J1181" s="289" t="s">
        <v>2484</v>
      </c>
      <c r="K1181" s="289" t="s">
        <v>4427</v>
      </c>
      <c r="L1181" s="51" t="s">
        <v>31</v>
      </c>
      <c r="M1181" s="290" t="s">
        <v>22</v>
      </c>
      <c r="N1181" s="289" t="s">
        <v>22</v>
      </c>
      <c r="O1181" s="290" t="s">
        <v>22</v>
      </c>
      <c r="P1181" s="324" t="s">
        <v>6329</v>
      </c>
      <c r="Q1181" s="292" t="s">
        <v>5678</v>
      </c>
      <c r="R1181" s="289" t="s">
        <v>6771</v>
      </c>
      <c r="S1181" s="293" t="s">
        <v>6772</v>
      </c>
      <c r="T1181" s="293" t="s">
        <v>6773</v>
      </c>
      <c r="U1181" s="294" t="s">
        <v>6774</v>
      </c>
      <c r="V1181" s="295" t="s">
        <v>6775</v>
      </c>
      <c r="W1181" s="293" t="s">
        <v>6776</v>
      </c>
      <c r="X1181" s="296" t="s">
        <v>6738</v>
      </c>
      <c r="Y1181" s="114" t="s">
        <v>27</v>
      </c>
      <c r="Z1181" s="114" t="s">
        <v>27</v>
      </c>
      <c r="AA1181" s="114" t="s">
        <v>27</v>
      </c>
      <c r="AB1181" s="114" t="s">
        <v>2887</v>
      </c>
      <c r="AC1181" s="525" t="s">
        <v>6854</v>
      </c>
    </row>
    <row r="1182" spans="1:29" ht="15" customHeight="1">
      <c r="A1182" s="289" t="s">
        <v>203</v>
      </c>
      <c r="B1182" s="486" t="s">
        <v>5679</v>
      </c>
      <c r="C1182" s="289" t="s">
        <v>27</v>
      </c>
      <c r="D1182" s="289" t="s">
        <v>4921</v>
      </c>
      <c r="E1182" s="290" t="s">
        <v>2008</v>
      </c>
      <c r="F1182" s="289">
        <v>4079358</v>
      </c>
      <c r="G1182" s="289" t="s">
        <v>6770</v>
      </c>
      <c r="H1182" s="371" t="s">
        <v>3084</v>
      </c>
      <c r="I1182" s="289" t="s">
        <v>60</v>
      </c>
      <c r="J1182" s="289" t="s">
        <v>2484</v>
      </c>
      <c r="K1182" s="289" t="s">
        <v>4427</v>
      </c>
      <c r="L1182" s="51" t="s">
        <v>31</v>
      </c>
      <c r="M1182" s="290" t="s">
        <v>22</v>
      </c>
      <c r="N1182" s="289" t="s">
        <v>22</v>
      </c>
      <c r="O1182" s="290" t="s">
        <v>22</v>
      </c>
      <c r="P1182" s="324" t="s">
        <v>6329</v>
      </c>
      <c r="Q1182" s="292" t="s">
        <v>5680</v>
      </c>
      <c r="R1182" s="289" t="s">
        <v>6777</v>
      </c>
      <c r="S1182" s="293" t="s">
        <v>6778</v>
      </c>
      <c r="T1182" s="293" t="s">
        <v>6779</v>
      </c>
      <c r="U1182" s="294" t="s">
        <v>6780</v>
      </c>
      <c r="V1182" s="295" t="s">
        <v>6781</v>
      </c>
      <c r="W1182" s="293" t="s">
        <v>6782</v>
      </c>
      <c r="X1182" s="296" t="s">
        <v>6738</v>
      </c>
      <c r="Y1182" s="114" t="s">
        <v>27</v>
      </c>
      <c r="Z1182" s="114" t="s">
        <v>27</v>
      </c>
      <c r="AA1182" s="114" t="s">
        <v>27</v>
      </c>
      <c r="AB1182" s="114" t="s">
        <v>2887</v>
      </c>
      <c r="AC1182" s="525" t="s">
        <v>6854</v>
      </c>
    </row>
    <row r="1183" spans="1:29" ht="15" customHeight="1">
      <c r="A1183" s="289" t="s">
        <v>203</v>
      </c>
      <c r="B1183" s="486" t="s">
        <v>5681</v>
      </c>
      <c r="C1183" s="289" t="s">
        <v>27</v>
      </c>
      <c r="D1183" s="289" t="s">
        <v>4921</v>
      </c>
      <c r="E1183" s="290" t="s">
        <v>2008</v>
      </c>
      <c r="F1183" s="289">
        <v>4079508</v>
      </c>
      <c r="G1183" s="289" t="s">
        <v>6783</v>
      </c>
      <c r="H1183" s="371" t="s">
        <v>3084</v>
      </c>
      <c r="I1183" s="289" t="s">
        <v>21</v>
      </c>
      <c r="J1183" s="289" t="s">
        <v>209</v>
      </c>
      <c r="K1183" s="289" t="s">
        <v>6892</v>
      </c>
      <c r="L1183" s="51" t="s">
        <v>31</v>
      </c>
      <c r="M1183" s="290" t="s">
        <v>22</v>
      </c>
      <c r="N1183" s="289" t="s">
        <v>22</v>
      </c>
      <c r="O1183" s="290" t="s">
        <v>22</v>
      </c>
      <c r="P1183" s="324" t="s">
        <v>6329</v>
      </c>
      <c r="Q1183" s="292" t="s">
        <v>5682</v>
      </c>
      <c r="R1183" s="289" t="s">
        <v>6784</v>
      </c>
      <c r="S1183" s="293" t="s">
        <v>6785</v>
      </c>
      <c r="T1183" s="293" t="s">
        <v>6786</v>
      </c>
      <c r="U1183" s="294" t="s">
        <v>6787</v>
      </c>
      <c r="V1183" s="295" t="s">
        <v>6788</v>
      </c>
      <c r="W1183" s="293"/>
      <c r="X1183" s="296" t="s">
        <v>6789</v>
      </c>
      <c r="Y1183" s="114" t="s">
        <v>27</v>
      </c>
      <c r="Z1183" s="114" t="s">
        <v>27</v>
      </c>
      <c r="AA1183" s="114" t="s">
        <v>27</v>
      </c>
      <c r="AB1183" s="370" t="s">
        <v>2887</v>
      </c>
      <c r="AC1183" s="525" t="s">
        <v>6855</v>
      </c>
    </row>
    <row r="1184" spans="1:29" ht="15" customHeight="1">
      <c r="A1184" s="289" t="s">
        <v>203</v>
      </c>
      <c r="B1184" s="289" t="s">
        <v>5683</v>
      </c>
      <c r="C1184" s="289" t="s">
        <v>27</v>
      </c>
      <c r="D1184" s="289" t="s">
        <v>4921</v>
      </c>
      <c r="E1184" s="290" t="s">
        <v>2008</v>
      </c>
      <c r="F1184" s="289">
        <v>4079521</v>
      </c>
      <c r="G1184" s="289" t="s">
        <v>6783</v>
      </c>
      <c r="H1184" s="371" t="s">
        <v>3084</v>
      </c>
      <c r="I1184" s="289" t="s">
        <v>21</v>
      </c>
      <c r="J1184" s="289" t="s">
        <v>209</v>
      </c>
      <c r="K1184" s="289" t="s">
        <v>26</v>
      </c>
      <c r="L1184" s="51" t="s">
        <v>31</v>
      </c>
      <c r="M1184" s="290" t="s">
        <v>22</v>
      </c>
      <c r="N1184" s="289" t="s">
        <v>22</v>
      </c>
      <c r="O1184" s="290" t="s">
        <v>22</v>
      </c>
      <c r="P1184" s="324" t="s">
        <v>6329</v>
      </c>
      <c r="Q1184" s="292" t="s">
        <v>5684</v>
      </c>
      <c r="R1184" s="289" t="s">
        <v>6790</v>
      </c>
      <c r="S1184" s="293" t="s">
        <v>6791</v>
      </c>
      <c r="T1184" s="293" t="s">
        <v>6792</v>
      </c>
      <c r="U1184" s="294" t="s">
        <v>6793</v>
      </c>
      <c r="V1184" s="295" t="s">
        <v>6794</v>
      </c>
      <c r="W1184" s="293"/>
      <c r="X1184" s="296" t="s">
        <v>6789</v>
      </c>
      <c r="Y1184" s="114" t="s">
        <v>27</v>
      </c>
      <c r="Z1184" s="114" t="s">
        <v>27</v>
      </c>
      <c r="AA1184" s="114" t="s">
        <v>27</v>
      </c>
      <c r="AB1184" s="370" t="s">
        <v>2887</v>
      </c>
      <c r="AC1184" s="525" t="s">
        <v>6855</v>
      </c>
    </row>
    <row r="1185" spans="1:29" ht="15" customHeight="1">
      <c r="A1185" s="289" t="s">
        <v>203</v>
      </c>
      <c r="B1185" s="289" t="s">
        <v>5689</v>
      </c>
      <c r="C1185" s="289" t="s">
        <v>27</v>
      </c>
      <c r="D1185" s="289" t="s">
        <v>4921</v>
      </c>
      <c r="E1185" s="290" t="s">
        <v>2008</v>
      </c>
      <c r="F1185" s="289">
        <v>4079655</v>
      </c>
      <c r="G1185" s="289" t="s">
        <v>6795</v>
      </c>
      <c r="H1185" s="371" t="s">
        <v>3084</v>
      </c>
      <c r="I1185" s="289" t="s">
        <v>21</v>
      </c>
      <c r="J1185" s="289" t="s">
        <v>209</v>
      </c>
      <c r="K1185" s="289" t="s">
        <v>236</v>
      </c>
      <c r="L1185" s="51" t="s">
        <v>31</v>
      </c>
      <c r="M1185" s="290" t="s">
        <v>22</v>
      </c>
      <c r="N1185" s="289" t="s">
        <v>22</v>
      </c>
      <c r="O1185" s="290" t="s">
        <v>22</v>
      </c>
      <c r="P1185" s="324" t="s">
        <v>6329</v>
      </c>
      <c r="Q1185" s="292" t="s">
        <v>5690</v>
      </c>
      <c r="R1185" s="289" t="s">
        <v>6796</v>
      </c>
      <c r="S1185" s="293" t="s">
        <v>6797</v>
      </c>
      <c r="T1185" s="293" t="s">
        <v>6798</v>
      </c>
      <c r="U1185" s="294" t="s">
        <v>6799</v>
      </c>
      <c r="V1185" s="295" t="s">
        <v>6800</v>
      </c>
      <c r="W1185" s="293"/>
      <c r="X1185" s="296" t="s">
        <v>6789</v>
      </c>
      <c r="Y1185" s="114" t="s">
        <v>27</v>
      </c>
      <c r="Z1185" s="114" t="s">
        <v>27</v>
      </c>
      <c r="AA1185" s="114" t="s">
        <v>27</v>
      </c>
      <c r="AB1185" s="370" t="s">
        <v>2887</v>
      </c>
      <c r="AC1185" s="525" t="s">
        <v>6855</v>
      </c>
    </row>
    <row r="1186" spans="1:29" ht="15" customHeight="1">
      <c r="A1186" s="289" t="s">
        <v>203</v>
      </c>
      <c r="B1186" s="289" t="s">
        <v>5691</v>
      </c>
      <c r="C1186" s="289" t="s">
        <v>22</v>
      </c>
      <c r="D1186" s="289" t="s">
        <v>4921</v>
      </c>
      <c r="E1186" s="290" t="s">
        <v>2008</v>
      </c>
      <c r="F1186" s="289">
        <v>4079702</v>
      </c>
      <c r="G1186" s="289" t="s">
        <v>6795</v>
      </c>
      <c r="H1186" s="371" t="s">
        <v>3084</v>
      </c>
      <c r="I1186" s="289"/>
      <c r="J1186" s="289"/>
      <c r="K1186" s="289"/>
      <c r="L1186" s="51"/>
      <c r="M1186" s="290" t="s">
        <v>22</v>
      </c>
      <c r="N1186" s="289" t="s">
        <v>22</v>
      </c>
      <c r="O1186" s="290" t="s">
        <v>22</v>
      </c>
      <c r="P1186" s="324" t="s">
        <v>6329</v>
      </c>
      <c r="Q1186" s="292" t="s">
        <v>5692</v>
      </c>
      <c r="R1186" s="289" t="e">
        <v>#N/A</v>
      </c>
      <c r="S1186" s="293" t="e">
        <v>#N/A</v>
      </c>
      <c r="T1186" s="293"/>
      <c r="U1186" s="294" t="e">
        <v>#N/A</v>
      </c>
      <c r="V1186" s="295" t="e">
        <v>#N/A</v>
      </c>
      <c r="W1186" s="293"/>
      <c r="X1186" s="296" t="s">
        <v>6801</v>
      </c>
      <c r="Y1186" s="114" t="s">
        <v>2021</v>
      </c>
      <c r="Z1186" s="114" t="s">
        <v>22</v>
      </c>
      <c r="AA1186" s="114" t="s">
        <v>22</v>
      </c>
      <c r="AB1186" s="370" t="s">
        <v>5705</v>
      </c>
      <c r="AC1186" s="525" t="s">
        <v>6854</v>
      </c>
    </row>
    <row r="1187" spans="1:29" ht="15" customHeight="1">
      <c r="A1187" s="289" t="s">
        <v>203</v>
      </c>
      <c r="B1187" s="289" t="s">
        <v>5693</v>
      </c>
      <c r="C1187" s="289" t="s">
        <v>27</v>
      </c>
      <c r="D1187" s="289" t="s">
        <v>4921</v>
      </c>
      <c r="E1187" s="290" t="s">
        <v>2008</v>
      </c>
      <c r="F1187" s="289">
        <v>4079659</v>
      </c>
      <c r="G1187" s="289" t="s">
        <v>6802</v>
      </c>
      <c r="H1187" s="371" t="s">
        <v>3084</v>
      </c>
      <c r="I1187" s="289" t="s">
        <v>21</v>
      </c>
      <c r="J1187" s="289" t="s">
        <v>223</v>
      </c>
      <c r="K1187" s="289" t="s">
        <v>61</v>
      </c>
      <c r="L1187" s="51" t="s">
        <v>31</v>
      </c>
      <c r="M1187" s="290" t="s">
        <v>22</v>
      </c>
      <c r="N1187" s="289" t="s">
        <v>22</v>
      </c>
      <c r="O1187" s="290" t="s">
        <v>22</v>
      </c>
      <c r="P1187" s="324" t="s">
        <v>6329</v>
      </c>
      <c r="Q1187" s="292" t="s">
        <v>5694</v>
      </c>
      <c r="R1187" s="289" t="s">
        <v>6803</v>
      </c>
      <c r="S1187" s="293" t="s">
        <v>6804</v>
      </c>
      <c r="T1187" s="293" t="s">
        <v>6805</v>
      </c>
      <c r="U1187" s="294" t="s">
        <v>6806</v>
      </c>
      <c r="V1187" s="295" t="s">
        <v>6807</v>
      </c>
      <c r="W1187" s="293"/>
      <c r="X1187" s="296" t="s">
        <v>6789</v>
      </c>
      <c r="Y1187" s="114" t="s">
        <v>27</v>
      </c>
      <c r="Z1187" s="114" t="s">
        <v>27</v>
      </c>
      <c r="AA1187" s="114" t="s">
        <v>27</v>
      </c>
      <c r="AB1187" s="370" t="s">
        <v>2887</v>
      </c>
      <c r="AC1187" s="525" t="s">
        <v>6855</v>
      </c>
    </row>
    <row r="1188" spans="1:29" ht="15" customHeight="1">
      <c r="A1188" s="289" t="s">
        <v>203</v>
      </c>
      <c r="B1188" s="289" t="s">
        <v>5695</v>
      </c>
      <c r="C1188" s="289" t="s">
        <v>27</v>
      </c>
      <c r="D1188" s="289" t="s">
        <v>4921</v>
      </c>
      <c r="E1188" s="290" t="s">
        <v>2008</v>
      </c>
      <c r="F1188" s="289">
        <v>4079437</v>
      </c>
      <c r="G1188" s="289"/>
      <c r="H1188" s="371" t="s">
        <v>3084</v>
      </c>
      <c r="I1188" s="289" t="s">
        <v>21</v>
      </c>
      <c r="J1188" s="289" t="s">
        <v>204</v>
      </c>
      <c r="K1188" s="289" t="s">
        <v>206</v>
      </c>
      <c r="L1188" s="51" t="s">
        <v>31</v>
      </c>
      <c r="M1188" s="290" t="s">
        <v>22</v>
      </c>
      <c r="N1188" s="289" t="s">
        <v>22</v>
      </c>
      <c r="O1188" s="290" t="s">
        <v>22</v>
      </c>
      <c r="P1188" s="324" t="s">
        <v>6329</v>
      </c>
      <c r="Q1188" s="292" t="s">
        <v>5696</v>
      </c>
      <c r="R1188" s="289" t="s">
        <v>6808</v>
      </c>
      <c r="S1188" s="293" t="s">
        <v>6809</v>
      </c>
      <c r="T1188" s="293" t="s">
        <v>6810</v>
      </c>
      <c r="U1188" s="294" t="s">
        <v>6811</v>
      </c>
      <c r="V1188" s="295" t="s">
        <v>6812</v>
      </c>
      <c r="W1188" s="293"/>
      <c r="X1188" s="296" t="s">
        <v>6789</v>
      </c>
      <c r="Y1188" s="114" t="s">
        <v>27</v>
      </c>
      <c r="Z1188" s="114" t="s">
        <v>27</v>
      </c>
      <c r="AA1188" s="114" t="s">
        <v>27</v>
      </c>
      <c r="AB1188" s="370" t="s">
        <v>2887</v>
      </c>
      <c r="AC1188" s="525" t="s">
        <v>6855</v>
      </c>
    </row>
    <row r="1189" spans="1:29" ht="15" customHeight="1">
      <c r="A1189" s="289" t="s">
        <v>203</v>
      </c>
      <c r="B1189" s="289" t="s">
        <v>5697</v>
      </c>
      <c r="C1189" s="289" t="s">
        <v>27</v>
      </c>
      <c r="D1189" s="289" t="s">
        <v>4921</v>
      </c>
      <c r="E1189" s="290" t="s">
        <v>2008</v>
      </c>
      <c r="F1189" s="289">
        <v>4079467</v>
      </c>
      <c r="G1189" s="289" t="s">
        <v>6813</v>
      </c>
      <c r="H1189" s="371" t="s">
        <v>3084</v>
      </c>
      <c r="I1189" s="289" t="s">
        <v>60</v>
      </c>
      <c r="J1189" s="289" t="s">
        <v>2501</v>
      </c>
      <c r="K1189" s="289" t="s">
        <v>4445</v>
      </c>
      <c r="L1189" s="51" t="s">
        <v>31</v>
      </c>
      <c r="M1189" s="290" t="s">
        <v>22</v>
      </c>
      <c r="N1189" s="289" t="s">
        <v>22</v>
      </c>
      <c r="O1189" s="290" t="s">
        <v>22</v>
      </c>
      <c r="P1189" s="324" t="s">
        <v>6329</v>
      </c>
      <c r="Q1189" s="292" t="s">
        <v>5698</v>
      </c>
      <c r="R1189" s="289" t="s">
        <v>6814</v>
      </c>
      <c r="S1189" s="293" t="s">
        <v>6815</v>
      </c>
      <c r="T1189" s="293" t="s">
        <v>6816</v>
      </c>
      <c r="U1189" s="294" t="s">
        <v>6817</v>
      </c>
      <c r="V1189" s="295" t="s">
        <v>6818</v>
      </c>
      <c r="W1189" s="293" t="s">
        <v>6819</v>
      </c>
      <c r="X1189" s="296" t="s">
        <v>6789</v>
      </c>
      <c r="Y1189" s="114" t="s">
        <v>27</v>
      </c>
      <c r="Z1189" s="114" t="s">
        <v>27</v>
      </c>
      <c r="AA1189" s="114" t="s">
        <v>27</v>
      </c>
      <c r="AB1189" s="370" t="s">
        <v>2887</v>
      </c>
      <c r="AC1189" s="525" t="s">
        <v>6855</v>
      </c>
    </row>
    <row r="1190" spans="1:29" ht="15" customHeight="1">
      <c r="A1190" s="289" t="s">
        <v>203</v>
      </c>
      <c r="B1190" s="289" t="s">
        <v>5699</v>
      </c>
      <c r="C1190" s="289" t="s">
        <v>27</v>
      </c>
      <c r="D1190" s="289" t="s">
        <v>4921</v>
      </c>
      <c r="E1190" s="290" t="s">
        <v>2008</v>
      </c>
      <c r="F1190" s="289">
        <v>4079511</v>
      </c>
      <c r="G1190" s="289" t="s">
        <v>6813</v>
      </c>
      <c r="H1190" s="371" t="s">
        <v>3084</v>
      </c>
      <c r="I1190" s="289" t="s">
        <v>21</v>
      </c>
      <c r="J1190" s="289" t="s">
        <v>209</v>
      </c>
      <c r="K1190" s="289" t="s">
        <v>26</v>
      </c>
      <c r="L1190" s="51" t="s">
        <v>6820</v>
      </c>
      <c r="M1190" s="290" t="s">
        <v>22</v>
      </c>
      <c r="N1190" s="289" t="s">
        <v>22</v>
      </c>
      <c r="O1190" s="290" t="s">
        <v>22</v>
      </c>
      <c r="P1190" s="324" t="s">
        <v>6329</v>
      </c>
      <c r="Q1190" s="292" t="s">
        <v>5700</v>
      </c>
      <c r="R1190" s="289" t="s">
        <v>6821</v>
      </c>
      <c r="S1190" s="293" t="s">
        <v>6822</v>
      </c>
      <c r="T1190" s="293" t="s">
        <v>6823</v>
      </c>
      <c r="U1190" s="294" t="s">
        <v>6824</v>
      </c>
      <c r="V1190" s="295" t="s">
        <v>6825</v>
      </c>
      <c r="W1190" s="293"/>
      <c r="X1190" s="296" t="s">
        <v>6789</v>
      </c>
      <c r="Y1190" s="114" t="s">
        <v>27</v>
      </c>
      <c r="Z1190" s="114" t="s">
        <v>27</v>
      </c>
      <c r="AA1190" s="114" t="s">
        <v>27</v>
      </c>
      <c r="AB1190" s="370" t="s">
        <v>2887</v>
      </c>
      <c r="AC1190" s="524" t="s">
        <v>6854</v>
      </c>
    </row>
    <row r="1191" spans="1:29" ht="15" customHeight="1">
      <c r="A1191" s="289" t="s">
        <v>203</v>
      </c>
      <c r="B1191" s="289" t="s">
        <v>5701</v>
      </c>
      <c r="C1191" s="289" t="s">
        <v>22</v>
      </c>
      <c r="D1191" s="289" t="s">
        <v>4921</v>
      </c>
      <c r="E1191" s="290" t="s">
        <v>2008</v>
      </c>
      <c r="F1191" s="289">
        <v>4079576</v>
      </c>
      <c r="G1191" s="289" t="s">
        <v>6751</v>
      </c>
      <c r="H1191" s="371" t="s">
        <v>3084</v>
      </c>
      <c r="I1191" s="289" t="s">
        <v>21</v>
      </c>
      <c r="J1191" s="289" t="s">
        <v>223</v>
      </c>
      <c r="K1191" s="289" t="s">
        <v>337</v>
      </c>
      <c r="L1191" s="51" t="s">
        <v>6820</v>
      </c>
      <c r="M1191" s="290" t="s">
        <v>22</v>
      </c>
      <c r="N1191" s="289" t="s">
        <v>22</v>
      </c>
      <c r="O1191" s="290" t="s">
        <v>22</v>
      </c>
      <c r="P1191" s="324" t="s">
        <v>6329</v>
      </c>
      <c r="Q1191" s="292" t="s">
        <v>5702</v>
      </c>
      <c r="R1191" s="289" t="s">
        <v>6894</v>
      </c>
      <c r="S1191" s="293" t="s">
        <v>6895</v>
      </c>
      <c r="T1191" s="293" t="s">
        <v>6896</v>
      </c>
      <c r="U1191" s="294" t="s">
        <v>6897</v>
      </c>
      <c r="V1191" s="295" t="s">
        <v>6898</v>
      </c>
      <c r="W1191" s="293"/>
      <c r="X1191" s="296" t="s">
        <v>6789</v>
      </c>
      <c r="Y1191" s="114" t="s">
        <v>27</v>
      </c>
      <c r="Z1191" s="114" t="s">
        <v>27</v>
      </c>
      <c r="AA1191" s="114" t="s">
        <v>349</v>
      </c>
      <c r="AB1191" s="370" t="s">
        <v>6523</v>
      </c>
      <c r="AC1191" s="524" t="s">
        <v>7081</v>
      </c>
    </row>
    <row r="1192" spans="1:29" ht="15" customHeight="1">
      <c r="A1192" s="289" t="s">
        <v>203</v>
      </c>
      <c r="B1192" s="289" t="s">
        <v>5703</v>
      </c>
      <c r="C1192" s="289" t="s">
        <v>27</v>
      </c>
      <c r="D1192" s="289" t="s">
        <v>4921</v>
      </c>
      <c r="E1192" s="290" t="s">
        <v>2008</v>
      </c>
      <c r="F1192" s="289">
        <v>4079338</v>
      </c>
      <c r="G1192" s="289" t="s">
        <v>6751</v>
      </c>
      <c r="H1192" s="371" t="s">
        <v>3084</v>
      </c>
      <c r="I1192" s="289" t="s">
        <v>21</v>
      </c>
      <c r="J1192" s="289" t="s">
        <v>209</v>
      </c>
      <c r="K1192" s="289" t="s">
        <v>26</v>
      </c>
      <c r="L1192" s="51" t="s">
        <v>6820</v>
      </c>
      <c r="M1192" s="290" t="s">
        <v>22</v>
      </c>
      <c r="N1192" s="289" t="s">
        <v>22</v>
      </c>
      <c r="O1192" s="290" t="s">
        <v>22</v>
      </c>
      <c r="P1192" s="324" t="s">
        <v>6329</v>
      </c>
      <c r="Q1192" s="292" t="s">
        <v>5704</v>
      </c>
      <c r="R1192" s="289" t="s">
        <v>6826</v>
      </c>
      <c r="S1192" s="293" t="s">
        <v>6827</v>
      </c>
      <c r="T1192" s="293" t="s">
        <v>6828</v>
      </c>
      <c r="U1192" s="294" t="s">
        <v>6829</v>
      </c>
      <c r="V1192" s="295" t="s">
        <v>6830</v>
      </c>
      <c r="W1192" s="293"/>
      <c r="X1192" s="296" t="s">
        <v>6738</v>
      </c>
      <c r="Y1192" s="114" t="s">
        <v>27</v>
      </c>
      <c r="Z1192" s="114" t="s">
        <v>27</v>
      </c>
      <c r="AA1192" s="114" t="s">
        <v>27</v>
      </c>
      <c r="AB1192" s="370" t="s">
        <v>2887</v>
      </c>
      <c r="AC1192" s="524" t="s">
        <v>6854</v>
      </c>
    </row>
    <row r="1193" spans="1:29" ht="15" customHeight="1">
      <c r="A1193" s="289" t="s">
        <v>203</v>
      </c>
      <c r="B1193" s="289" t="s">
        <v>5884</v>
      </c>
      <c r="C1193" s="289" t="s">
        <v>27</v>
      </c>
      <c r="D1193" s="289" t="s">
        <v>2758</v>
      </c>
      <c r="E1193" s="290" t="s">
        <v>6610</v>
      </c>
      <c r="F1193" s="289">
        <v>3647714</v>
      </c>
      <c r="G1193" s="289"/>
      <c r="H1193" s="371" t="s">
        <v>3084</v>
      </c>
      <c r="I1193" s="289" t="s">
        <v>21</v>
      </c>
      <c r="J1193" s="289" t="s">
        <v>204</v>
      </c>
      <c r="K1193" s="289" t="s">
        <v>206</v>
      </c>
      <c r="L1193" s="51" t="s">
        <v>31</v>
      </c>
      <c r="M1193" s="290" t="s">
        <v>22</v>
      </c>
      <c r="N1193" s="289" t="s">
        <v>22</v>
      </c>
      <c r="O1193" s="290" t="s">
        <v>22</v>
      </c>
      <c r="P1193" s="324" t="s">
        <v>6329</v>
      </c>
      <c r="Q1193" s="292" t="s">
        <v>6330</v>
      </c>
      <c r="R1193" s="289" t="s">
        <v>6640</v>
      </c>
      <c r="S1193" s="293" t="s">
        <v>6641</v>
      </c>
      <c r="T1193" s="293" t="s">
        <v>6522</v>
      </c>
      <c r="U1193" s="294" t="s">
        <v>6643</v>
      </c>
      <c r="V1193" s="295" t="s">
        <v>6644</v>
      </c>
      <c r="W1193" s="293"/>
      <c r="X1193" s="296">
        <v>43470</v>
      </c>
      <c r="Y1193" s="114" t="s">
        <v>27</v>
      </c>
      <c r="Z1193" s="114" t="s">
        <v>27</v>
      </c>
      <c r="AA1193" s="114" t="s">
        <v>27</v>
      </c>
      <c r="AB1193" s="370" t="s">
        <v>2887</v>
      </c>
      <c r="AC1193" s="524" t="s">
        <v>6663</v>
      </c>
    </row>
    <row r="1194" spans="1:29" ht="15" customHeight="1">
      <c r="A1194" s="289" t="s">
        <v>203</v>
      </c>
      <c r="B1194" s="289" t="s">
        <v>5883</v>
      </c>
      <c r="C1194" s="289" t="s">
        <v>27</v>
      </c>
      <c r="D1194" s="289" t="s">
        <v>2758</v>
      </c>
      <c r="E1194" s="290" t="s">
        <v>6610</v>
      </c>
      <c r="F1194" s="289">
        <v>3648436</v>
      </c>
      <c r="G1194" s="289" t="s">
        <v>5342</v>
      </c>
      <c r="H1194" s="371" t="s">
        <v>3084</v>
      </c>
      <c r="I1194" s="289" t="s">
        <v>21</v>
      </c>
      <c r="J1194" s="289" t="s">
        <v>209</v>
      </c>
      <c r="K1194" s="289" t="s">
        <v>61</v>
      </c>
      <c r="L1194" s="51" t="s">
        <v>31</v>
      </c>
      <c r="M1194" s="290" t="s">
        <v>22</v>
      </c>
      <c r="N1194" s="289" t="s">
        <v>22</v>
      </c>
      <c r="O1194" s="290" t="s">
        <v>22</v>
      </c>
      <c r="P1194" s="324" t="s">
        <v>6318</v>
      </c>
      <c r="Q1194" s="292" t="s">
        <v>6331</v>
      </c>
      <c r="R1194" s="289" t="s">
        <v>6645</v>
      </c>
      <c r="S1194" s="293" t="s">
        <v>6646</v>
      </c>
      <c r="T1194" s="293" t="s">
        <v>6642</v>
      </c>
      <c r="U1194" s="294" t="s">
        <v>6647</v>
      </c>
      <c r="V1194" s="295" t="s">
        <v>6648</v>
      </c>
      <c r="W1194" s="293"/>
      <c r="X1194" s="296">
        <v>43470</v>
      </c>
      <c r="Y1194" s="114" t="s">
        <v>27</v>
      </c>
      <c r="Z1194" s="114" t="s">
        <v>27</v>
      </c>
      <c r="AA1194" s="114" t="s">
        <v>27</v>
      </c>
      <c r="AB1194" s="370" t="s">
        <v>2887</v>
      </c>
      <c r="AC1194" s="524"/>
    </row>
    <row r="1195" spans="1:29" ht="15" customHeight="1">
      <c r="A1195" s="289" t="s">
        <v>203</v>
      </c>
      <c r="B1195" s="289" t="s">
        <v>5885</v>
      </c>
      <c r="C1195" s="289" t="s">
        <v>22</v>
      </c>
      <c r="D1195" s="289" t="s">
        <v>4921</v>
      </c>
      <c r="E1195" s="290" t="s">
        <v>2008</v>
      </c>
      <c r="F1195" s="289">
        <v>3648041</v>
      </c>
      <c r="G1195" s="289"/>
      <c r="H1195" s="371" t="s">
        <v>3084</v>
      </c>
      <c r="I1195" s="289"/>
      <c r="J1195" s="289"/>
      <c r="K1195" s="289"/>
      <c r="L1195" s="51"/>
      <c r="M1195" s="290" t="s">
        <v>22</v>
      </c>
      <c r="N1195" s="289" t="s">
        <v>22</v>
      </c>
      <c r="O1195" s="290" t="s">
        <v>22</v>
      </c>
      <c r="P1195" s="324" t="s">
        <v>6329</v>
      </c>
      <c r="Q1195" s="292" t="s">
        <v>6332</v>
      </c>
      <c r="R1195" s="289" t="e">
        <v>#N/A</v>
      </c>
      <c r="S1195" s="293" t="e">
        <v>#N/A</v>
      </c>
      <c r="T1195" s="293"/>
      <c r="U1195" s="294" t="e">
        <v>#N/A</v>
      </c>
      <c r="V1195" s="295" t="e">
        <v>#N/A</v>
      </c>
      <c r="W1195" s="293"/>
      <c r="X1195" s="296"/>
      <c r="Y1195" s="114" t="s">
        <v>2021</v>
      </c>
      <c r="Z1195" s="114" t="s">
        <v>22</v>
      </c>
      <c r="AA1195" s="114" t="s">
        <v>2021</v>
      </c>
      <c r="AB1195" s="370" t="s">
        <v>5705</v>
      </c>
      <c r="AC1195" s="524" t="s">
        <v>7082</v>
      </c>
    </row>
    <row r="1196" spans="1:29" ht="15" customHeight="1">
      <c r="A1196" s="289" t="s">
        <v>203</v>
      </c>
      <c r="B1196" s="289" t="s">
        <v>5886</v>
      </c>
      <c r="C1196" s="289" t="s">
        <v>27</v>
      </c>
      <c r="D1196" s="289" t="s">
        <v>4921</v>
      </c>
      <c r="E1196" s="290" t="s">
        <v>2008</v>
      </c>
      <c r="F1196" s="289">
        <v>3647631</v>
      </c>
      <c r="G1196" s="289"/>
      <c r="H1196" s="371" t="s">
        <v>3084</v>
      </c>
      <c r="I1196" s="289" t="s">
        <v>60</v>
      </c>
      <c r="J1196" s="289" t="s">
        <v>2501</v>
      </c>
      <c r="K1196" s="289" t="s">
        <v>6257</v>
      </c>
      <c r="L1196" s="51" t="s">
        <v>6820</v>
      </c>
      <c r="M1196" s="290" t="s">
        <v>22</v>
      </c>
      <c r="N1196" s="289" t="s">
        <v>22</v>
      </c>
      <c r="O1196" s="290" t="s">
        <v>22</v>
      </c>
      <c r="P1196" s="324" t="s">
        <v>6329</v>
      </c>
      <c r="Q1196" s="292" t="s">
        <v>6333</v>
      </c>
      <c r="R1196" s="289" t="s">
        <v>6899</v>
      </c>
      <c r="S1196" s="293" t="s">
        <v>6900</v>
      </c>
      <c r="T1196" s="293" t="s">
        <v>6901</v>
      </c>
      <c r="U1196" s="294" t="s">
        <v>6902</v>
      </c>
      <c r="V1196" s="295" t="s">
        <v>6903</v>
      </c>
      <c r="W1196" s="293" t="s">
        <v>6904</v>
      </c>
      <c r="X1196" s="296">
        <v>43467</v>
      </c>
      <c r="Y1196" s="114" t="s">
        <v>27</v>
      </c>
      <c r="Z1196" s="114" t="s">
        <v>27</v>
      </c>
      <c r="AA1196" s="114" t="s">
        <v>27</v>
      </c>
      <c r="AB1196" s="370" t="s">
        <v>2887</v>
      </c>
      <c r="AC1196" s="524" t="s">
        <v>7081</v>
      </c>
    </row>
    <row r="1197" spans="1:29" ht="15" customHeight="1">
      <c r="A1197" s="289" t="s">
        <v>203</v>
      </c>
      <c r="B1197" s="289" t="s">
        <v>5888</v>
      </c>
      <c r="C1197" s="289" t="s">
        <v>22</v>
      </c>
      <c r="D1197" s="289" t="s">
        <v>4921</v>
      </c>
      <c r="E1197" s="290" t="s">
        <v>2008</v>
      </c>
      <c r="F1197" s="289">
        <v>3647699</v>
      </c>
      <c r="G1197" s="289"/>
      <c r="H1197" s="371" t="s">
        <v>3084</v>
      </c>
      <c r="I1197" s="289"/>
      <c r="J1197" s="289"/>
      <c r="K1197" s="289"/>
      <c r="L1197" s="51"/>
      <c r="M1197" s="290" t="s">
        <v>22</v>
      </c>
      <c r="N1197" s="289" t="s">
        <v>22</v>
      </c>
      <c r="O1197" s="290" t="s">
        <v>22</v>
      </c>
      <c r="P1197" s="324" t="s">
        <v>6329</v>
      </c>
      <c r="Q1197" s="292" t="s">
        <v>6335</v>
      </c>
      <c r="R1197" s="289" t="e">
        <v>#N/A</v>
      </c>
      <c r="S1197" s="293" t="e">
        <v>#N/A</v>
      </c>
      <c r="T1197" s="293"/>
      <c r="U1197" s="294" t="e">
        <v>#N/A</v>
      </c>
      <c r="V1197" s="295" t="e">
        <v>#N/A</v>
      </c>
      <c r="W1197" s="293"/>
      <c r="X1197" s="296"/>
      <c r="Y1197" s="114" t="s">
        <v>2021</v>
      </c>
      <c r="Z1197" s="114" t="s">
        <v>22</v>
      </c>
      <c r="AA1197" s="114" t="s">
        <v>2021</v>
      </c>
      <c r="AB1197" s="370" t="s">
        <v>5705</v>
      </c>
      <c r="AC1197" s="524" t="s">
        <v>7083</v>
      </c>
    </row>
    <row r="1198" spans="1:29" ht="15" customHeight="1">
      <c r="A1198" s="289" t="s">
        <v>203</v>
      </c>
      <c r="B1198" s="289" t="s">
        <v>5892</v>
      </c>
      <c r="C1198" s="289" t="s">
        <v>27</v>
      </c>
      <c r="D1198" s="289" t="s">
        <v>4921</v>
      </c>
      <c r="E1198" s="290" t="s">
        <v>2008</v>
      </c>
      <c r="F1198" s="289">
        <v>3647623</v>
      </c>
      <c r="G1198" s="289"/>
      <c r="H1198" s="371" t="s">
        <v>3084</v>
      </c>
      <c r="I1198" s="289" t="s">
        <v>60</v>
      </c>
      <c r="J1198" s="289" t="s">
        <v>2485</v>
      </c>
      <c r="K1198" s="289" t="s">
        <v>4426</v>
      </c>
      <c r="L1198" s="51" t="s">
        <v>6820</v>
      </c>
      <c r="M1198" s="290" t="s">
        <v>22</v>
      </c>
      <c r="N1198" s="289" t="s">
        <v>22</v>
      </c>
      <c r="O1198" s="290" t="s">
        <v>22</v>
      </c>
      <c r="P1198" s="324" t="s">
        <v>6338</v>
      </c>
      <c r="Q1198" s="292" t="s">
        <v>6340</v>
      </c>
      <c r="R1198" s="289" t="s">
        <v>6905</v>
      </c>
      <c r="S1198" s="293" t="s">
        <v>6906</v>
      </c>
      <c r="T1198" s="293" t="s">
        <v>6907</v>
      </c>
      <c r="U1198" s="294" t="s">
        <v>6908</v>
      </c>
      <c r="V1198" s="295" t="s">
        <v>6909</v>
      </c>
      <c r="W1198" s="293" t="s">
        <v>6910</v>
      </c>
      <c r="X1198" s="296">
        <v>43467</v>
      </c>
      <c r="Y1198" s="114" t="s">
        <v>27</v>
      </c>
      <c r="Z1198" s="114" t="s">
        <v>27</v>
      </c>
      <c r="AA1198" s="114" t="s">
        <v>27</v>
      </c>
      <c r="AB1198" s="370" t="s">
        <v>2887</v>
      </c>
      <c r="AC1198" s="524" t="s">
        <v>7081</v>
      </c>
    </row>
    <row r="1199" spans="1:29" ht="15" customHeight="1">
      <c r="A1199" s="289" t="s">
        <v>203</v>
      </c>
      <c r="B1199" s="289" t="s">
        <v>5893</v>
      </c>
      <c r="C1199" s="289" t="s">
        <v>27</v>
      </c>
      <c r="D1199" s="289" t="s">
        <v>4921</v>
      </c>
      <c r="E1199" s="290" t="s">
        <v>2008</v>
      </c>
      <c r="F1199" s="289">
        <v>3647671</v>
      </c>
      <c r="G1199" s="289"/>
      <c r="H1199" s="371" t="s">
        <v>3084</v>
      </c>
      <c r="I1199" s="289" t="s">
        <v>21</v>
      </c>
      <c r="J1199" s="289" t="s">
        <v>209</v>
      </c>
      <c r="K1199" s="289" t="s">
        <v>6892</v>
      </c>
      <c r="L1199" s="51" t="s">
        <v>6820</v>
      </c>
      <c r="M1199" s="290" t="s">
        <v>22</v>
      </c>
      <c r="N1199" s="289" t="s">
        <v>22</v>
      </c>
      <c r="O1199" s="290" t="s">
        <v>22</v>
      </c>
      <c r="P1199" s="324" t="s">
        <v>6338</v>
      </c>
      <c r="Q1199" s="292" t="s">
        <v>6341</v>
      </c>
      <c r="R1199" s="289" t="s">
        <v>6911</v>
      </c>
      <c r="S1199" s="293" t="s">
        <v>6912</v>
      </c>
      <c r="T1199" s="293" t="s">
        <v>6913</v>
      </c>
      <c r="U1199" s="294" t="s">
        <v>6914</v>
      </c>
      <c r="V1199" s="295" t="s">
        <v>6915</v>
      </c>
      <c r="W1199" s="293"/>
      <c r="X1199" s="296">
        <v>43467</v>
      </c>
      <c r="Y1199" s="114" t="s">
        <v>27</v>
      </c>
      <c r="Z1199" s="114" t="s">
        <v>27</v>
      </c>
      <c r="AA1199" s="114" t="s">
        <v>27</v>
      </c>
      <c r="AB1199" s="370" t="s">
        <v>2887</v>
      </c>
      <c r="AC1199" s="524" t="s">
        <v>7084</v>
      </c>
    </row>
    <row r="1200" spans="1:29" ht="15" customHeight="1">
      <c r="A1200" s="289" t="s">
        <v>203</v>
      </c>
      <c r="B1200" s="289" t="s">
        <v>5894</v>
      </c>
      <c r="C1200" s="289" t="s">
        <v>22</v>
      </c>
      <c r="D1200" s="289" t="s">
        <v>4921</v>
      </c>
      <c r="E1200" s="290" t="s">
        <v>2008</v>
      </c>
      <c r="F1200" s="289">
        <v>3648077</v>
      </c>
      <c r="G1200" s="289" t="s">
        <v>7134</v>
      </c>
      <c r="H1200" s="371" t="s">
        <v>3084</v>
      </c>
      <c r="I1200" s="289" t="s">
        <v>60</v>
      </c>
      <c r="J1200" s="289" t="s">
        <v>2485</v>
      </c>
      <c r="K1200" s="289" t="s">
        <v>4426</v>
      </c>
      <c r="L1200" s="51" t="s">
        <v>6820</v>
      </c>
      <c r="M1200" s="290" t="s">
        <v>22</v>
      </c>
      <c r="N1200" s="289" t="s">
        <v>22</v>
      </c>
      <c r="O1200" s="290" t="s">
        <v>22</v>
      </c>
      <c r="P1200" s="324" t="s">
        <v>6338</v>
      </c>
      <c r="Q1200" s="292" t="s">
        <v>6342</v>
      </c>
      <c r="R1200" s="289" t="s">
        <v>6916</v>
      </c>
      <c r="S1200" s="293" t="s">
        <v>6917</v>
      </c>
      <c r="T1200" s="293" t="s">
        <v>6918</v>
      </c>
      <c r="U1200" s="294" t="s">
        <v>6919</v>
      </c>
      <c r="V1200" s="295" t="s">
        <v>6920</v>
      </c>
      <c r="W1200" s="293" t="s">
        <v>7135</v>
      </c>
      <c r="X1200" s="296">
        <v>43467</v>
      </c>
      <c r="Y1200" s="114" t="s">
        <v>27</v>
      </c>
      <c r="Z1200" s="114" t="s">
        <v>27</v>
      </c>
      <c r="AA1200" s="114" t="s">
        <v>349</v>
      </c>
      <c r="AB1200" s="370" t="s">
        <v>6523</v>
      </c>
      <c r="AC1200" s="524" t="s">
        <v>7084</v>
      </c>
    </row>
    <row r="1201" spans="1:29" ht="15" customHeight="1">
      <c r="A1201" s="289" t="s">
        <v>203</v>
      </c>
      <c r="B1201" s="289" t="s">
        <v>5895</v>
      </c>
      <c r="C1201" s="289" t="s">
        <v>22</v>
      </c>
      <c r="D1201" s="289" t="s">
        <v>4921</v>
      </c>
      <c r="E1201" s="290" t="s">
        <v>2008</v>
      </c>
      <c r="F1201" s="289">
        <v>3647710</v>
      </c>
      <c r="G1201" s="289" t="s">
        <v>7136</v>
      </c>
      <c r="H1201" s="371" t="s">
        <v>3084</v>
      </c>
      <c r="I1201" s="289" t="s">
        <v>60</v>
      </c>
      <c r="J1201" s="289" t="s">
        <v>2485</v>
      </c>
      <c r="K1201" s="289" t="s">
        <v>4426</v>
      </c>
      <c r="L1201" s="51" t="s">
        <v>6820</v>
      </c>
      <c r="M1201" s="290" t="s">
        <v>22</v>
      </c>
      <c r="N1201" s="289" t="s">
        <v>22</v>
      </c>
      <c r="O1201" s="290" t="s">
        <v>22</v>
      </c>
      <c r="P1201" s="324" t="s">
        <v>6338</v>
      </c>
      <c r="Q1201" s="292" t="s">
        <v>6343</v>
      </c>
      <c r="R1201" s="289" t="s">
        <v>6921</v>
      </c>
      <c r="S1201" s="293" t="s">
        <v>6922</v>
      </c>
      <c r="T1201" s="293" t="s">
        <v>6923</v>
      </c>
      <c r="U1201" s="294" t="s">
        <v>6924</v>
      </c>
      <c r="V1201" s="295" t="s">
        <v>6925</v>
      </c>
      <c r="W1201" s="293" t="s">
        <v>6926</v>
      </c>
      <c r="X1201" s="296">
        <v>43467</v>
      </c>
      <c r="Y1201" s="114" t="s">
        <v>27</v>
      </c>
      <c r="Z1201" s="114" t="s">
        <v>27</v>
      </c>
      <c r="AA1201" s="114" t="s">
        <v>349</v>
      </c>
      <c r="AB1201" s="370" t="s">
        <v>6853</v>
      </c>
      <c r="AC1201" s="524" t="s">
        <v>7084</v>
      </c>
    </row>
    <row r="1202" spans="1:29" ht="15" customHeight="1">
      <c r="A1202" s="289" t="s">
        <v>203</v>
      </c>
      <c r="B1202" s="289" t="s">
        <v>5896</v>
      </c>
      <c r="C1202" s="289" t="s">
        <v>27</v>
      </c>
      <c r="D1202" s="289" t="s">
        <v>4921</v>
      </c>
      <c r="E1202" s="290" t="s">
        <v>2008</v>
      </c>
      <c r="F1202" s="289">
        <v>3647635</v>
      </c>
      <c r="G1202" s="289"/>
      <c r="H1202" s="371" t="s">
        <v>3084</v>
      </c>
      <c r="I1202" s="289" t="s">
        <v>60</v>
      </c>
      <c r="J1202" s="289" t="s">
        <v>1588</v>
      </c>
      <c r="K1202" s="289" t="s">
        <v>6927</v>
      </c>
      <c r="L1202" s="51" t="s">
        <v>6820</v>
      </c>
      <c r="M1202" s="290" t="s">
        <v>22</v>
      </c>
      <c r="N1202" s="289" t="s">
        <v>22</v>
      </c>
      <c r="O1202" s="290" t="s">
        <v>22</v>
      </c>
      <c r="P1202" s="324" t="s">
        <v>6338</v>
      </c>
      <c r="Q1202" s="292" t="s">
        <v>6344</v>
      </c>
      <c r="R1202" s="289" t="s">
        <v>6928</v>
      </c>
      <c r="S1202" s="293" t="s">
        <v>6929</v>
      </c>
      <c r="T1202" s="293" t="s">
        <v>6930</v>
      </c>
      <c r="U1202" s="294" t="s">
        <v>6931</v>
      </c>
      <c r="V1202" s="295" t="s">
        <v>6932</v>
      </c>
      <c r="W1202" s="293" t="s">
        <v>6933</v>
      </c>
      <c r="X1202" s="296">
        <v>43467</v>
      </c>
      <c r="Y1202" s="114" t="s">
        <v>27</v>
      </c>
      <c r="Z1202" s="114" t="s">
        <v>27</v>
      </c>
      <c r="AA1202" s="114" t="s">
        <v>27</v>
      </c>
      <c r="AB1202" s="370" t="s">
        <v>2887</v>
      </c>
      <c r="AC1202" s="524" t="s">
        <v>7084</v>
      </c>
    </row>
    <row r="1203" spans="1:29" ht="15" customHeight="1">
      <c r="A1203" s="289" t="s">
        <v>203</v>
      </c>
      <c r="B1203" s="289" t="s">
        <v>5897</v>
      </c>
      <c r="C1203" s="289" t="s">
        <v>22</v>
      </c>
      <c r="D1203" s="53" t="s">
        <v>4921</v>
      </c>
      <c r="E1203" s="290" t="s">
        <v>2008</v>
      </c>
      <c r="F1203" s="289">
        <v>3647582</v>
      </c>
      <c r="G1203" s="289"/>
      <c r="H1203" s="371" t="s">
        <v>3084</v>
      </c>
      <c r="I1203" s="289" t="s">
        <v>60</v>
      </c>
      <c r="J1203" s="289" t="s">
        <v>1588</v>
      </c>
      <c r="K1203" s="289" t="s">
        <v>6927</v>
      </c>
      <c r="L1203" s="51" t="s">
        <v>6820</v>
      </c>
      <c r="M1203" s="290" t="s">
        <v>22</v>
      </c>
      <c r="N1203" s="289" t="s">
        <v>22</v>
      </c>
      <c r="O1203" s="290" t="s">
        <v>22</v>
      </c>
      <c r="P1203" s="324" t="s">
        <v>6338</v>
      </c>
      <c r="Q1203" s="292" t="s">
        <v>6345</v>
      </c>
      <c r="R1203" s="289" t="s">
        <v>6934</v>
      </c>
      <c r="S1203" s="293" t="s">
        <v>6935</v>
      </c>
      <c r="T1203" s="293" t="s">
        <v>6936</v>
      </c>
      <c r="U1203" s="294" t="s">
        <v>6937</v>
      </c>
      <c r="V1203" s="295" t="s">
        <v>6938</v>
      </c>
      <c r="W1203" s="293" t="s">
        <v>6939</v>
      </c>
      <c r="X1203" s="296">
        <v>43470</v>
      </c>
      <c r="Y1203" s="114" t="s">
        <v>27</v>
      </c>
      <c r="Z1203" s="114" t="s">
        <v>27</v>
      </c>
      <c r="AA1203" s="114" t="s">
        <v>27</v>
      </c>
      <c r="AB1203" s="51" t="s">
        <v>2887</v>
      </c>
      <c r="AC1203" s="524" t="s">
        <v>7084</v>
      </c>
    </row>
    <row r="1204" spans="1:29" ht="15" customHeight="1">
      <c r="A1204" s="289" t="s">
        <v>203</v>
      </c>
      <c r="B1204" s="289" t="s">
        <v>5898</v>
      </c>
      <c r="C1204" s="289" t="s">
        <v>22</v>
      </c>
      <c r="D1204" s="289" t="s">
        <v>4921</v>
      </c>
      <c r="E1204" s="290" t="s">
        <v>2008</v>
      </c>
      <c r="F1204" s="289">
        <v>3647698</v>
      </c>
      <c r="G1204" s="289" t="s">
        <v>7137</v>
      </c>
      <c r="H1204" s="371" t="s">
        <v>3084</v>
      </c>
      <c r="I1204" s="289" t="s">
        <v>21</v>
      </c>
      <c r="J1204" s="289" t="s">
        <v>223</v>
      </c>
      <c r="K1204" s="289" t="s">
        <v>337</v>
      </c>
      <c r="L1204" s="51" t="s">
        <v>6820</v>
      </c>
      <c r="M1204" s="290" t="s">
        <v>22</v>
      </c>
      <c r="N1204" s="289" t="s">
        <v>22</v>
      </c>
      <c r="O1204" s="290" t="s">
        <v>22</v>
      </c>
      <c r="P1204" s="324" t="s">
        <v>6338</v>
      </c>
      <c r="Q1204" s="292" t="s">
        <v>6346</v>
      </c>
      <c r="R1204" s="289" t="s">
        <v>6940</v>
      </c>
      <c r="S1204" s="293" t="s">
        <v>6941</v>
      </c>
      <c r="T1204" s="293" t="s">
        <v>6942</v>
      </c>
      <c r="U1204" s="294" t="s">
        <v>6943</v>
      </c>
      <c r="V1204" s="295" t="s">
        <v>6944</v>
      </c>
      <c r="W1204" s="293"/>
      <c r="X1204" s="296">
        <v>43468</v>
      </c>
      <c r="Y1204" s="114" t="s">
        <v>27</v>
      </c>
      <c r="Z1204" s="114" t="s">
        <v>27</v>
      </c>
      <c r="AA1204" s="114" t="s">
        <v>349</v>
      </c>
      <c r="AB1204" s="370" t="s">
        <v>6523</v>
      </c>
      <c r="AC1204" s="524" t="s">
        <v>7084</v>
      </c>
    </row>
    <row r="1205" spans="1:29" ht="15" customHeight="1">
      <c r="A1205" s="289" t="s">
        <v>203</v>
      </c>
      <c r="B1205" s="289" t="s">
        <v>5899</v>
      </c>
      <c r="C1205" s="289" t="s">
        <v>22</v>
      </c>
      <c r="D1205" s="289" t="s">
        <v>4921</v>
      </c>
      <c r="E1205" s="290" t="s">
        <v>2008</v>
      </c>
      <c r="F1205" s="289">
        <v>3647882</v>
      </c>
      <c r="G1205" s="289" t="s">
        <v>7138</v>
      </c>
      <c r="H1205" s="371" t="s">
        <v>3084</v>
      </c>
      <c r="I1205" s="289" t="s">
        <v>60</v>
      </c>
      <c r="J1205" s="289" t="s">
        <v>1588</v>
      </c>
      <c r="K1205" s="289" t="s">
        <v>6927</v>
      </c>
      <c r="L1205" s="51" t="s">
        <v>6820</v>
      </c>
      <c r="M1205" s="290" t="s">
        <v>22</v>
      </c>
      <c r="N1205" s="289" t="s">
        <v>22</v>
      </c>
      <c r="O1205" s="290" t="s">
        <v>22</v>
      </c>
      <c r="P1205" s="324" t="s">
        <v>6338</v>
      </c>
      <c r="Q1205" s="292" t="s">
        <v>6347</v>
      </c>
      <c r="R1205" s="289" t="s">
        <v>6945</v>
      </c>
      <c r="S1205" s="293" t="s">
        <v>6946</v>
      </c>
      <c r="T1205" s="293" t="s">
        <v>6947</v>
      </c>
      <c r="U1205" s="294" t="s">
        <v>6948</v>
      </c>
      <c r="V1205" s="295" t="s">
        <v>6949</v>
      </c>
      <c r="W1205" s="293" t="s">
        <v>6950</v>
      </c>
      <c r="X1205" s="296">
        <v>43467</v>
      </c>
      <c r="Y1205" s="114" t="s">
        <v>27</v>
      </c>
      <c r="Z1205" s="114" t="s">
        <v>27</v>
      </c>
      <c r="AA1205" s="114" t="s">
        <v>349</v>
      </c>
      <c r="AB1205" s="370" t="s">
        <v>6523</v>
      </c>
      <c r="AC1205" s="524" t="s">
        <v>7084</v>
      </c>
    </row>
    <row r="1206" spans="1:29" ht="15" customHeight="1">
      <c r="A1206" s="289" t="s">
        <v>203</v>
      </c>
      <c r="B1206" s="289" t="s">
        <v>5900</v>
      </c>
      <c r="C1206" s="289" t="s">
        <v>22</v>
      </c>
      <c r="D1206" s="289" t="s">
        <v>4921</v>
      </c>
      <c r="E1206" s="290" t="s">
        <v>6610</v>
      </c>
      <c r="F1206" s="289">
        <v>3647830</v>
      </c>
      <c r="G1206" s="289" t="s">
        <v>7137</v>
      </c>
      <c r="H1206" s="371" t="s">
        <v>3084</v>
      </c>
      <c r="I1206" s="289" t="s">
        <v>60</v>
      </c>
      <c r="J1206" s="289" t="s">
        <v>2501</v>
      </c>
      <c r="K1206" s="289" t="s">
        <v>6257</v>
      </c>
      <c r="L1206" s="51" t="s">
        <v>31</v>
      </c>
      <c r="M1206" s="290" t="s">
        <v>22</v>
      </c>
      <c r="N1206" s="289" t="s">
        <v>22</v>
      </c>
      <c r="O1206" s="290" t="s">
        <v>22</v>
      </c>
      <c r="P1206" s="324" t="s">
        <v>6338</v>
      </c>
      <c r="Q1206" s="292" t="s">
        <v>6348</v>
      </c>
      <c r="R1206" s="289" t="s">
        <v>6951</v>
      </c>
      <c r="S1206" s="293" t="s">
        <v>6952</v>
      </c>
      <c r="T1206" s="293" t="s">
        <v>6953</v>
      </c>
      <c r="U1206" s="294" t="s">
        <v>6954</v>
      </c>
      <c r="V1206" s="295" t="s">
        <v>6955</v>
      </c>
      <c r="W1206" s="293" t="s">
        <v>6956</v>
      </c>
      <c r="X1206" s="296">
        <v>43468</v>
      </c>
      <c r="Y1206" s="114" t="s">
        <v>27</v>
      </c>
      <c r="Z1206" s="114" t="s">
        <v>27</v>
      </c>
      <c r="AA1206" s="114" t="s">
        <v>349</v>
      </c>
      <c r="AB1206" s="370" t="s">
        <v>4818</v>
      </c>
      <c r="AC1206" s="524" t="s">
        <v>7084</v>
      </c>
    </row>
    <row r="1207" spans="1:29" ht="15" customHeight="1">
      <c r="A1207" s="289" t="s">
        <v>203</v>
      </c>
      <c r="B1207" s="289" t="s">
        <v>5901</v>
      </c>
      <c r="C1207" s="289" t="s">
        <v>22</v>
      </c>
      <c r="D1207" s="289" t="s">
        <v>4921</v>
      </c>
      <c r="E1207" s="290" t="s">
        <v>2008</v>
      </c>
      <c r="F1207" s="289">
        <v>3647826</v>
      </c>
      <c r="G1207" s="289"/>
      <c r="H1207" s="371" t="s">
        <v>3084</v>
      </c>
      <c r="I1207" s="289" t="s">
        <v>60</v>
      </c>
      <c r="J1207" s="289" t="s">
        <v>2486</v>
      </c>
      <c r="K1207" s="289" t="s">
        <v>2651</v>
      </c>
      <c r="L1207" s="51" t="s">
        <v>6820</v>
      </c>
      <c r="M1207" s="290" t="s">
        <v>22</v>
      </c>
      <c r="N1207" s="289" t="s">
        <v>22</v>
      </c>
      <c r="O1207" s="290" t="s">
        <v>22</v>
      </c>
      <c r="P1207" s="324" t="s">
        <v>6338</v>
      </c>
      <c r="Q1207" s="292" t="s">
        <v>6349</v>
      </c>
      <c r="R1207" s="289" t="s">
        <v>6957</v>
      </c>
      <c r="S1207" s="293" t="s">
        <v>6958</v>
      </c>
      <c r="T1207" s="293" t="s">
        <v>6959</v>
      </c>
      <c r="U1207" s="294" t="s">
        <v>6960</v>
      </c>
      <c r="V1207" s="295" t="s">
        <v>6961</v>
      </c>
      <c r="W1207" s="293" t="s">
        <v>6962</v>
      </c>
      <c r="X1207" s="296">
        <v>43467</v>
      </c>
      <c r="Y1207" s="114" t="s">
        <v>27</v>
      </c>
      <c r="Z1207" s="114" t="s">
        <v>27</v>
      </c>
      <c r="AA1207" s="114" t="s">
        <v>27</v>
      </c>
      <c r="AB1207" s="370" t="s">
        <v>2887</v>
      </c>
      <c r="AC1207" s="524" t="s">
        <v>7084</v>
      </c>
    </row>
    <row r="1208" spans="1:29" ht="15" customHeight="1">
      <c r="A1208" s="289" t="s">
        <v>203</v>
      </c>
      <c r="B1208" s="289" t="s">
        <v>5902</v>
      </c>
      <c r="C1208" s="289" t="s">
        <v>22</v>
      </c>
      <c r="D1208" s="289" t="s">
        <v>4921</v>
      </c>
      <c r="E1208" s="290" t="s">
        <v>2008</v>
      </c>
      <c r="F1208" s="289">
        <v>3647680</v>
      </c>
      <c r="G1208" s="289"/>
      <c r="H1208" s="371" t="s">
        <v>3084</v>
      </c>
      <c r="I1208" s="289" t="s">
        <v>60</v>
      </c>
      <c r="J1208" s="289" t="s">
        <v>2486</v>
      </c>
      <c r="K1208" s="289" t="s">
        <v>2651</v>
      </c>
      <c r="L1208" s="51" t="s">
        <v>6820</v>
      </c>
      <c r="M1208" s="290" t="s">
        <v>22</v>
      </c>
      <c r="N1208" s="289" t="s">
        <v>22</v>
      </c>
      <c r="O1208" s="290" t="s">
        <v>22</v>
      </c>
      <c r="P1208" s="324" t="s">
        <v>6338</v>
      </c>
      <c r="Q1208" s="292" t="s">
        <v>6350</v>
      </c>
      <c r="R1208" s="289" t="s">
        <v>6963</v>
      </c>
      <c r="S1208" s="293" t="s">
        <v>6964</v>
      </c>
      <c r="T1208" s="293" t="s">
        <v>6965</v>
      </c>
      <c r="U1208" s="294" t="s">
        <v>6966</v>
      </c>
      <c r="V1208" s="295" t="s">
        <v>6967</v>
      </c>
      <c r="W1208" s="293" t="s">
        <v>6968</v>
      </c>
      <c r="X1208" s="296">
        <v>43467</v>
      </c>
      <c r="Y1208" s="114" t="s">
        <v>27</v>
      </c>
      <c r="Z1208" s="114" t="s">
        <v>27</v>
      </c>
      <c r="AA1208" s="114" t="s">
        <v>27</v>
      </c>
      <c r="AB1208" s="370" t="s">
        <v>2887</v>
      </c>
      <c r="AC1208" s="524" t="s">
        <v>7084</v>
      </c>
    </row>
    <row r="1209" spans="1:29" ht="15" customHeight="1">
      <c r="A1209" s="289" t="s">
        <v>203</v>
      </c>
      <c r="B1209" s="289" t="s">
        <v>5903</v>
      </c>
      <c r="C1209" s="289" t="s">
        <v>22</v>
      </c>
      <c r="D1209" s="289" t="s">
        <v>4921</v>
      </c>
      <c r="E1209" s="290" t="s">
        <v>2008</v>
      </c>
      <c r="F1209" s="289">
        <v>3648046</v>
      </c>
      <c r="G1209" s="289" t="s">
        <v>7139</v>
      </c>
      <c r="H1209" s="371" t="s">
        <v>3084</v>
      </c>
      <c r="I1209" s="289" t="s">
        <v>60</v>
      </c>
      <c r="J1209" s="289" t="s">
        <v>2485</v>
      </c>
      <c r="K1209" s="289" t="s">
        <v>4426</v>
      </c>
      <c r="L1209" s="51" t="s">
        <v>6820</v>
      </c>
      <c r="M1209" s="290" t="s">
        <v>22</v>
      </c>
      <c r="N1209" s="289" t="s">
        <v>22</v>
      </c>
      <c r="O1209" s="290" t="s">
        <v>22</v>
      </c>
      <c r="P1209" s="324" t="s">
        <v>6338</v>
      </c>
      <c r="Q1209" s="292" t="s">
        <v>6351</v>
      </c>
      <c r="R1209" s="289" t="s">
        <v>6986</v>
      </c>
      <c r="S1209" s="293" t="s">
        <v>6987</v>
      </c>
      <c r="T1209" s="293" t="s">
        <v>6988</v>
      </c>
      <c r="U1209" s="294" t="s">
        <v>6989</v>
      </c>
      <c r="V1209" s="295" t="s">
        <v>6990</v>
      </c>
      <c r="W1209" s="293" t="s">
        <v>6991</v>
      </c>
      <c r="X1209" s="296">
        <v>43470</v>
      </c>
      <c r="Y1209" s="114" t="s">
        <v>2021</v>
      </c>
      <c r="Z1209" s="114" t="s">
        <v>22</v>
      </c>
      <c r="AA1209" s="114" t="s">
        <v>2021</v>
      </c>
      <c r="AB1209" s="370" t="s">
        <v>5705</v>
      </c>
      <c r="AC1209" s="524" t="s">
        <v>7141</v>
      </c>
    </row>
    <row r="1210" spans="1:29" ht="15" customHeight="1">
      <c r="A1210" s="289" t="s">
        <v>203</v>
      </c>
      <c r="B1210" s="289" t="s">
        <v>5904</v>
      </c>
      <c r="C1210" s="289" t="s">
        <v>22</v>
      </c>
      <c r="D1210" s="289" t="s">
        <v>4921</v>
      </c>
      <c r="E1210" s="290" t="s">
        <v>6610</v>
      </c>
      <c r="F1210" s="289">
        <v>3647871</v>
      </c>
      <c r="G1210" s="289"/>
      <c r="H1210" s="371" t="s">
        <v>3084</v>
      </c>
      <c r="I1210" s="289"/>
      <c r="J1210" s="289"/>
      <c r="K1210" s="289"/>
      <c r="L1210" s="51"/>
      <c r="M1210" s="290" t="s">
        <v>22</v>
      </c>
      <c r="N1210" s="289" t="s">
        <v>22</v>
      </c>
      <c r="O1210" s="290" t="s">
        <v>22</v>
      </c>
      <c r="P1210" s="324" t="s">
        <v>6338</v>
      </c>
      <c r="Q1210" s="292" t="s">
        <v>6352</v>
      </c>
      <c r="R1210" s="289" t="e">
        <v>#N/A</v>
      </c>
      <c r="S1210" s="293" t="e">
        <v>#N/A</v>
      </c>
      <c r="T1210" s="293"/>
      <c r="U1210" s="294" t="e">
        <v>#N/A</v>
      </c>
      <c r="V1210" s="295" t="e">
        <v>#N/A</v>
      </c>
      <c r="W1210" s="293"/>
      <c r="X1210" s="296"/>
      <c r="Y1210" s="114" t="s">
        <v>349</v>
      </c>
      <c r="Z1210" s="114" t="s">
        <v>22</v>
      </c>
      <c r="AA1210" s="114" t="s">
        <v>22</v>
      </c>
      <c r="AB1210" s="370" t="s">
        <v>4818</v>
      </c>
      <c r="AC1210" s="524"/>
    </row>
    <row r="1211" spans="1:29" ht="15" customHeight="1">
      <c r="A1211" s="289" t="s">
        <v>203</v>
      </c>
      <c r="B1211" s="289" t="s">
        <v>5905</v>
      </c>
      <c r="C1211" s="289" t="s">
        <v>22</v>
      </c>
      <c r="D1211" s="289" t="s">
        <v>2758</v>
      </c>
      <c r="E1211" s="290" t="s">
        <v>6610</v>
      </c>
      <c r="F1211" s="289">
        <v>3647789</v>
      </c>
      <c r="G1211" s="289"/>
      <c r="H1211" s="371" t="s">
        <v>3084</v>
      </c>
      <c r="I1211" s="289"/>
      <c r="J1211" s="289"/>
      <c r="K1211" s="289"/>
      <c r="L1211" s="51"/>
      <c r="M1211" s="290" t="s">
        <v>22</v>
      </c>
      <c r="N1211" s="289" t="s">
        <v>22</v>
      </c>
      <c r="O1211" s="290" t="s">
        <v>22</v>
      </c>
      <c r="P1211" s="324" t="s">
        <v>6338</v>
      </c>
      <c r="Q1211" s="292" t="s">
        <v>6353</v>
      </c>
      <c r="R1211" s="289" t="e">
        <v>#N/A</v>
      </c>
      <c r="S1211" s="293" t="e">
        <v>#N/A</v>
      </c>
      <c r="T1211" s="293"/>
      <c r="U1211" s="294" t="e">
        <v>#N/A</v>
      </c>
      <c r="V1211" s="295" t="e">
        <v>#N/A</v>
      </c>
      <c r="W1211" s="293"/>
      <c r="X1211" s="296">
        <v>43459</v>
      </c>
      <c r="Y1211" s="114" t="s">
        <v>349</v>
      </c>
      <c r="Z1211" s="114" t="s">
        <v>349</v>
      </c>
      <c r="AA1211" s="114" t="s">
        <v>22</v>
      </c>
      <c r="AB1211" s="370" t="s">
        <v>6853</v>
      </c>
      <c r="AC1211" s="524" t="s">
        <v>6664</v>
      </c>
    </row>
    <row r="1212" spans="1:29" ht="15" customHeight="1">
      <c r="A1212" s="289" t="s">
        <v>203</v>
      </c>
      <c r="B1212" s="289" t="s">
        <v>5906</v>
      </c>
      <c r="C1212" s="289" t="s">
        <v>22</v>
      </c>
      <c r="D1212" s="289" t="s">
        <v>4921</v>
      </c>
      <c r="E1212" s="290" t="s">
        <v>6610</v>
      </c>
      <c r="F1212" s="289">
        <v>3647928</v>
      </c>
      <c r="G1212" s="289"/>
      <c r="H1212" s="371" t="s">
        <v>3084</v>
      </c>
      <c r="I1212" s="289"/>
      <c r="J1212" s="289"/>
      <c r="K1212" s="289"/>
      <c r="L1212" s="51"/>
      <c r="M1212" s="290" t="s">
        <v>22</v>
      </c>
      <c r="N1212" s="289" t="s">
        <v>22</v>
      </c>
      <c r="O1212" s="290" t="s">
        <v>22</v>
      </c>
      <c r="P1212" s="324" t="s">
        <v>6338</v>
      </c>
      <c r="Q1212" s="292" t="s">
        <v>6354</v>
      </c>
      <c r="R1212" s="289" t="e">
        <v>#N/A</v>
      </c>
      <c r="S1212" s="293" t="e">
        <v>#N/A</v>
      </c>
      <c r="T1212" s="293"/>
      <c r="U1212" s="294" t="e">
        <v>#N/A</v>
      </c>
      <c r="V1212" s="295" t="e">
        <v>#N/A</v>
      </c>
      <c r="W1212" s="293"/>
      <c r="X1212" s="296"/>
      <c r="Y1212" s="114" t="s">
        <v>349</v>
      </c>
      <c r="Z1212" s="114" t="s">
        <v>22</v>
      </c>
      <c r="AA1212" s="114" t="s">
        <v>22</v>
      </c>
      <c r="AB1212" s="370" t="s">
        <v>4818</v>
      </c>
      <c r="AC1212" s="524"/>
    </row>
    <row r="1213" spans="1:29" ht="15" customHeight="1">
      <c r="A1213" s="289" t="s">
        <v>203</v>
      </c>
      <c r="B1213" s="289" t="s">
        <v>5907</v>
      </c>
      <c r="C1213" s="289" t="s">
        <v>22</v>
      </c>
      <c r="D1213" s="289" t="s">
        <v>4921</v>
      </c>
      <c r="E1213" s="290" t="s">
        <v>2008</v>
      </c>
      <c r="F1213" s="289">
        <v>3647922</v>
      </c>
      <c r="G1213" s="289" t="s">
        <v>7139</v>
      </c>
      <c r="H1213" s="371" t="s">
        <v>3084</v>
      </c>
      <c r="I1213" s="289" t="s">
        <v>60</v>
      </c>
      <c r="J1213" s="289" t="s">
        <v>1588</v>
      </c>
      <c r="K1213" s="289" t="s">
        <v>6927</v>
      </c>
      <c r="L1213" s="51" t="s">
        <v>6820</v>
      </c>
      <c r="M1213" s="290" t="s">
        <v>22</v>
      </c>
      <c r="N1213" s="289" t="s">
        <v>22</v>
      </c>
      <c r="O1213" s="290" t="s">
        <v>22</v>
      </c>
      <c r="P1213" s="324" t="s">
        <v>6338</v>
      </c>
      <c r="Q1213" s="292" t="s">
        <v>6355</v>
      </c>
      <c r="R1213" s="289" t="s">
        <v>6974</v>
      </c>
      <c r="S1213" s="293" t="s">
        <v>6975</v>
      </c>
      <c r="T1213" s="293" t="s">
        <v>6976</v>
      </c>
      <c r="U1213" s="294" t="s">
        <v>6977</v>
      </c>
      <c r="V1213" s="295" t="s">
        <v>6978</v>
      </c>
      <c r="W1213" s="293" t="s">
        <v>6979</v>
      </c>
      <c r="X1213" s="296">
        <v>43467</v>
      </c>
      <c r="Y1213" s="114" t="s">
        <v>27</v>
      </c>
      <c r="Z1213" s="114" t="s">
        <v>27</v>
      </c>
      <c r="AA1213" s="114" t="s">
        <v>349</v>
      </c>
      <c r="AB1213" s="370" t="s">
        <v>6523</v>
      </c>
      <c r="AC1213" s="524" t="s">
        <v>7084</v>
      </c>
    </row>
    <row r="1214" spans="1:29" ht="15" customHeight="1">
      <c r="A1214" s="289" t="s">
        <v>203</v>
      </c>
      <c r="B1214" s="289" t="s">
        <v>5908</v>
      </c>
      <c r="C1214" s="289" t="s">
        <v>22</v>
      </c>
      <c r="D1214" s="289" t="s">
        <v>4921</v>
      </c>
      <c r="E1214" s="290" t="s">
        <v>6610</v>
      </c>
      <c r="F1214" s="289">
        <v>3647816</v>
      </c>
      <c r="G1214" s="289"/>
      <c r="H1214" s="371" t="s">
        <v>3084</v>
      </c>
      <c r="I1214" s="289"/>
      <c r="J1214" s="289"/>
      <c r="K1214" s="289"/>
      <c r="L1214" s="51"/>
      <c r="M1214" s="290" t="s">
        <v>22</v>
      </c>
      <c r="N1214" s="289" t="s">
        <v>22</v>
      </c>
      <c r="O1214" s="290" t="s">
        <v>22</v>
      </c>
      <c r="P1214" s="324" t="s">
        <v>6338</v>
      </c>
      <c r="Q1214" s="292" t="s">
        <v>6356</v>
      </c>
      <c r="R1214" s="289" t="e">
        <v>#N/A</v>
      </c>
      <c r="S1214" s="293" t="e">
        <v>#N/A</v>
      </c>
      <c r="T1214" s="293"/>
      <c r="U1214" s="294" t="e">
        <v>#N/A</v>
      </c>
      <c r="V1214" s="295" t="e">
        <v>#N/A</v>
      </c>
      <c r="W1214" s="293"/>
      <c r="X1214" s="296"/>
      <c r="Y1214" s="114" t="s">
        <v>349</v>
      </c>
      <c r="Z1214" s="114" t="s">
        <v>22</v>
      </c>
      <c r="AA1214" s="114" t="s">
        <v>22</v>
      </c>
      <c r="AB1214" s="370" t="s">
        <v>4818</v>
      </c>
      <c r="AC1214" s="524"/>
    </row>
    <row r="1215" spans="1:29" ht="15" customHeight="1">
      <c r="A1215" s="289" t="s">
        <v>203</v>
      </c>
      <c r="B1215" s="289" t="s">
        <v>5909</v>
      </c>
      <c r="C1215" s="289" t="s">
        <v>22</v>
      </c>
      <c r="D1215" s="289" t="s">
        <v>4921</v>
      </c>
      <c r="E1215" s="290" t="s">
        <v>2008</v>
      </c>
      <c r="F1215" s="289">
        <v>3648085</v>
      </c>
      <c r="G1215" s="289"/>
      <c r="H1215" s="371" t="s">
        <v>3084</v>
      </c>
      <c r="I1215" s="289" t="s">
        <v>60</v>
      </c>
      <c r="J1215" s="289" t="s">
        <v>1588</v>
      </c>
      <c r="K1215" s="289" t="s">
        <v>6927</v>
      </c>
      <c r="L1215" s="51" t="s">
        <v>6820</v>
      </c>
      <c r="M1215" s="290" t="s">
        <v>22</v>
      </c>
      <c r="N1215" s="289" t="s">
        <v>22</v>
      </c>
      <c r="O1215" s="290" t="s">
        <v>22</v>
      </c>
      <c r="P1215" s="324" t="s">
        <v>6338</v>
      </c>
      <c r="Q1215" s="292" t="s">
        <v>6357</v>
      </c>
      <c r="R1215" s="289" t="s">
        <v>6980</v>
      </c>
      <c r="S1215" s="293" t="s">
        <v>6981</v>
      </c>
      <c r="T1215" s="293" t="s">
        <v>6982</v>
      </c>
      <c r="U1215" s="294" t="s">
        <v>6983</v>
      </c>
      <c r="V1215" s="295" t="s">
        <v>6984</v>
      </c>
      <c r="W1215" s="293" t="s">
        <v>6985</v>
      </c>
      <c r="X1215" s="296">
        <v>43470</v>
      </c>
      <c r="Y1215" s="114" t="s">
        <v>27</v>
      </c>
      <c r="Z1215" s="114" t="s">
        <v>27</v>
      </c>
      <c r="AA1215" s="114" t="s">
        <v>27</v>
      </c>
      <c r="AB1215" s="370" t="s">
        <v>2887</v>
      </c>
      <c r="AC1215" s="524" t="s">
        <v>7084</v>
      </c>
    </row>
    <row r="1216" spans="1:29" ht="15" customHeight="1">
      <c r="A1216" s="289" t="s">
        <v>203</v>
      </c>
      <c r="B1216" s="289" t="s">
        <v>5910</v>
      </c>
      <c r="C1216" s="289" t="s">
        <v>22</v>
      </c>
      <c r="D1216" s="289" t="s">
        <v>4921</v>
      </c>
      <c r="E1216" s="290" t="s">
        <v>2008</v>
      </c>
      <c r="F1216" s="289">
        <v>3647907</v>
      </c>
      <c r="G1216" s="289" t="s">
        <v>7140</v>
      </c>
      <c r="H1216" s="371" t="s">
        <v>3084</v>
      </c>
      <c r="I1216" s="289" t="s">
        <v>21</v>
      </c>
      <c r="J1216" s="289" t="s">
        <v>223</v>
      </c>
      <c r="K1216" s="289" t="s">
        <v>337</v>
      </c>
      <c r="L1216" s="51" t="s">
        <v>6820</v>
      </c>
      <c r="M1216" s="290" t="s">
        <v>22</v>
      </c>
      <c r="N1216" s="289" t="s">
        <v>22</v>
      </c>
      <c r="O1216" s="290" t="s">
        <v>22</v>
      </c>
      <c r="P1216" s="324" t="s">
        <v>6338</v>
      </c>
      <c r="Q1216" s="292" t="s">
        <v>6358</v>
      </c>
      <c r="R1216" s="289" t="s">
        <v>6969</v>
      </c>
      <c r="S1216" s="293" t="s">
        <v>6970</v>
      </c>
      <c r="T1216" s="293" t="s">
        <v>6971</v>
      </c>
      <c r="U1216" s="294" t="s">
        <v>6972</v>
      </c>
      <c r="V1216" s="295" t="s">
        <v>6973</v>
      </c>
      <c r="W1216" s="293"/>
      <c r="X1216" s="296">
        <v>43467</v>
      </c>
      <c r="Y1216" s="114" t="s">
        <v>27</v>
      </c>
      <c r="Z1216" s="114" t="s">
        <v>27</v>
      </c>
      <c r="AA1216" s="114" t="s">
        <v>349</v>
      </c>
      <c r="AB1216" s="370" t="s">
        <v>6523</v>
      </c>
      <c r="AC1216" s="524" t="s">
        <v>7084</v>
      </c>
    </row>
    <row r="1217" spans="1:29" ht="15" customHeight="1">
      <c r="A1217" s="289" t="s">
        <v>203</v>
      </c>
      <c r="B1217" s="289" t="s">
        <v>5911</v>
      </c>
      <c r="C1217" s="289" t="s">
        <v>22</v>
      </c>
      <c r="D1217" s="289" t="s">
        <v>4921</v>
      </c>
      <c r="E1217" s="290" t="s">
        <v>6610</v>
      </c>
      <c r="F1217" s="289">
        <v>3648050</v>
      </c>
      <c r="G1217" s="289"/>
      <c r="H1217" s="371" t="s">
        <v>3084</v>
      </c>
      <c r="I1217" s="289"/>
      <c r="J1217" s="289"/>
      <c r="K1217" s="289"/>
      <c r="L1217" s="51"/>
      <c r="M1217" s="290" t="s">
        <v>22</v>
      </c>
      <c r="N1217" s="289" t="s">
        <v>22</v>
      </c>
      <c r="O1217" s="290" t="s">
        <v>22</v>
      </c>
      <c r="P1217" s="324" t="s">
        <v>5433</v>
      </c>
      <c r="Q1217" s="292" t="s">
        <v>6359</v>
      </c>
      <c r="R1217" s="289" t="e">
        <v>#N/A</v>
      </c>
      <c r="S1217" s="293" t="e">
        <v>#N/A</v>
      </c>
      <c r="T1217" s="293"/>
      <c r="U1217" s="294" t="e">
        <v>#N/A</v>
      </c>
      <c r="V1217" s="295" t="e">
        <v>#N/A</v>
      </c>
      <c r="W1217" s="293"/>
      <c r="X1217" s="296"/>
      <c r="Y1217" s="114" t="s">
        <v>349</v>
      </c>
      <c r="Z1217" s="114" t="s">
        <v>22</v>
      </c>
      <c r="AA1217" s="114" t="s">
        <v>22</v>
      </c>
      <c r="AB1217" s="370" t="s">
        <v>4818</v>
      </c>
      <c r="AC1217" s="524"/>
    </row>
    <row r="1218" spans="1:29" ht="15" customHeight="1">
      <c r="A1218" s="289" t="s">
        <v>203</v>
      </c>
      <c r="B1218" s="289" t="s">
        <v>5912</v>
      </c>
      <c r="C1218" s="289" t="s">
        <v>22</v>
      </c>
      <c r="D1218" s="289" t="s">
        <v>2758</v>
      </c>
      <c r="E1218" s="290" t="s">
        <v>6610</v>
      </c>
      <c r="F1218" s="289">
        <v>3648068</v>
      </c>
      <c r="G1218" s="289"/>
      <c r="H1218" s="371" t="s">
        <v>3084</v>
      </c>
      <c r="I1218" s="289"/>
      <c r="J1218" s="289"/>
      <c r="K1218" s="289"/>
      <c r="L1218" s="51"/>
      <c r="M1218" s="290" t="s">
        <v>22</v>
      </c>
      <c r="N1218" s="289" t="s">
        <v>22</v>
      </c>
      <c r="O1218" s="290" t="s">
        <v>22</v>
      </c>
      <c r="P1218" s="324" t="s">
        <v>5025</v>
      </c>
      <c r="Q1218" s="292" t="s">
        <v>6360</v>
      </c>
      <c r="R1218" s="289" t="e">
        <v>#N/A</v>
      </c>
      <c r="S1218" s="293" t="e">
        <v>#N/A</v>
      </c>
      <c r="T1218" s="293"/>
      <c r="U1218" s="294" t="e">
        <v>#N/A</v>
      </c>
      <c r="V1218" s="295" t="e">
        <v>#N/A</v>
      </c>
      <c r="W1218" s="293"/>
      <c r="X1218" s="296">
        <v>43459</v>
      </c>
      <c r="Y1218" s="114" t="s">
        <v>349</v>
      </c>
      <c r="Z1218" s="114" t="s">
        <v>349</v>
      </c>
      <c r="AA1218" s="114" t="s">
        <v>22</v>
      </c>
      <c r="AB1218" s="370" t="s">
        <v>6853</v>
      </c>
      <c r="AC1218" s="524" t="s">
        <v>6665</v>
      </c>
    </row>
    <row r="1219" spans="1:29" ht="15" customHeight="1">
      <c r="A1219" s="289" t="s">
        <v>203</v>
      </c>
      <c r="B1219" s="289" t="s">
        <v>6992</v>
      </c>
      <c r="C1219" s="289" t="s">
        <v>27</v>
      </c>
      <c r="D1219" s="289" t="s">
        <v>4921</v>
      </c>
      <c r="E1219" s="290" t="s">
        <v>2008</v>
      </c>
      <c r="F1219" s="289">
        <v>2510486</v>
      </c>
      <c r="G1219" s="289"/>
      <c r="H1219" s="371" t="s">
        <v>3084</v>
      </c>
      <c r="I1219" s="289" t="s">
        <v>60</v>
      </c>
      <c r="J1219" s="289" t="s">
        <v>2486</v>
      </c>
      <c r="K1219" s="289" t="s">
        <v>2651</v>
      </c>
      <c r="L1219" s="51" t="s">
        <v>6820</v>
      </c>
      <c r="M1219" s="290" t="s">
        <v>22</v>
      </c>
      <c r="N1219" s="289" t="s">
        <v>22</v>
      </c>
      <c r="O1219" s="290" t="s">
        <v>22</v>
      </c>
      <c r="P1219" s="324" t="s">
        <v>6338</v>
      </c>
      <c r="Q1219" s="292" t="s">
        <v>6993</v>
      </c>
      <c r="R1219" s="289" t="s">
        <v>6994</v>
      </c>
      <c r="S1219" s="293" t="s">
        <v>6995</v>
      </c>
      <c r="T1219" s="293" t="s">
        <v>6996</v>
      </c>
      <c r="U1219" s="294" t="e">
        <v>#N/A</v>
      </c>
      <c r="V1219" s="295" t="e">
        <v>#N/A</v>
      </c>
      <c r="W1219" s="293" t="s">
        <v>6997</v>
      </c>
      <c r="X1219" s="296">
        <v>43467</v>
      </c>
      <c r="Y1219" s="114" t="s">
        <v>27</v>
      </c>
      <c r="Z1219" s="114" t="s">
        <v>27</v>
      </c>
      <c r="AA1219" s="114" t="s">
        <v>27</v>
      </c>
      <c r="AB1219" s="370" t="s">
        <v>2887</v>
      </c>
      <c r="AC1219" s="524" t="s">
        <v>7081</v>
      </c>
    </row>
    <row r="1220" spans="1:29" ht="15" customHeight="1">
      <c r="A1220" s="289" t="s">
        <v>203</v>
      </c>
      <c r="B1220" s="289" t="s">
        <v>6998</v>
      </c>
      <c r="C1220" s="289" t="s">
        <v>22</v>
      </c>
      <c r="D1220" s="289" t="s">
        <v>4921</v>
      </c>
      <c r="E1220" s="290" t="s">
        <v>2008</v>
      </c>
      <c r="F1220" s="289">
        <v>2510500</v>
      </c>
      <c r="G1220" s="289" t="s">
        <v>6842</v>
      </c>
      <c r="H1220" s="371" t="s">
        <v>3084</v>
      </c>
      <c r="I1220" s="289" t="s">
        <v>21</v>
      </c>
      <c r="J1220" s="289" t="s">
        <v>223</v>
      </c>
      <c r="K1220" s="289" t="s">
        <v>337</v>
      </c>
      <c r="L1220" s="51" t="s">
        <v>6695</v>
      </c>
      <c r="M1220" s="290" t="s">
        <v>22</v>
      </c>
      <c r="N1220" s="289" t="s">
        <v>22</v>
      </c>
      <c r="O1220" s="290" t="s">
        <v>22</v>
      </c>
      <c r="P1220" s="324" t="s">
        <v>6329</v>
      </c>
      <c r="Q1220" s="292" t="s">
        <v>6999</v>
      </c>
      <c r="R1220" s="289" t="s">
        <v>6843</v>
      </c>
      <c r="S1220" s="293" t="s">
        <v>6844</v>
      </c>
      <c r="T1220" s="293" t="s">
        <v>6845</v>
      </c>
      <c r="U1220" s="294" t="s">
        <v>6846</v>
      </c>
      <c r="V1220" s="295" t="s">
        <v>6847</v>
      </c>
      <c r="W1220" s="293"/>
      <c r="X1220" s="296">
        <v>43468</v>
      </c>
      <c r="Y1220" s="114" t="s">
        <v>2021</v>
      </c>
      <c r="Z1220" s="114" t="s">
        <v>22</v>
      </c>
      <c r="AA1220" s="114" t="s">
        <v>2021</v>
      </c>
      <c r="AB1220" s="370" t="s">
        <v>5705</v>
      </c>
      <c r="AC1220" s="525" t="s">
        <v>7141</v>
      </c>
    </row>
    <row r="1221" spans="1:29" ht="15" customHeight="1">
      <c r="A1221" s="289" t="s">
        <v>203</v>
      </c>
      <c r="B1221" s="289" t="s">
        <v>227</v>
      </c>
      <c r="C1221" s="289" t="s">
        <v>22</v>
      </c>
      <c r="D1221" s="289"/>
      <c r="E1221" s="290"/>
      <c r="F1221" s="289">
        <v>2510856</v>
      </c>
      <c r="G1221" s="289" t="s">
        <v>4253</v>
      </c>
      <c r="H1221" s="371" t="s">
        <v>3084</v>
      </c>
      <c r="I1221" s="289" t="s">
        <v>60</v>
      </c>
      <c r="J1221" s="289" t="s">
        <v>2485</v>
      </c>
      <c r="K1221" s="289" t="s">
        <v>4426</v>
      </c>
      <c r="L1221" s="51" t="s">
        <v>6695</v>
      </c>
      <c r="M1221" s="290" t="s">
        <v>22</v>
      </c>
      <c r="N1221" s="289" t="s">
        <v>22</v>
      </c>
      <c r="O1221" s="290" t="s">
        <v>22</v>
      </c>
      <c r="P1221" s="324" t="s">
        <v>3235</v>
      </c>
      <c r="Q1221" s="292" t="s">
        <v>3849</v>
      </c>
      <c r="R1221" s="289" t="s">
        <v>7087</v>
      </c>
      <c r="S1221" s="293" t="s">
        <v>7088</v>
      </c>
      <c r="T1221" s="293" t="s">
        <v>7089</v>
      </c>
      <c r="U1221" s="294" t="s">
        <v>7090</v>
      </c>
      <c r="V1221" s="295" t="s">
        <v>7091</v>
      </c>
      <c r="W1221" s="293" t="s">
        <v>7092</v>
      </c>
      <c r="X1221" s="296">
        <v>43469</v>
      </c>
      <c r="Y1221" s="114" t="s">
        <v>27</v>
      </c>
      <c r="Z1221" s="114" t="s">
        <v>349</v>
      </c>
      <c r="AA1221" s="114" t="s">
        <v>22</v>
      </c>
      <c r="AB1221" s="370" t="s">
        <v>4818</v>
      </c>
      <c r="AC1221" s="525" t="s">
        <v>7085</v>
      </c>
    </row>
    <row r="1222" spans="1:29" ht="15" customHeight="1">
      <c r="A1222" s="289" t="s">
        <v>203</v>
      </c>
      <c r="B1222" s="289" t="s">
        <v>2029</v>
      </c>
      <c r="C1222" s="289" t="s">
        <v>22</v>
      </c>
      <c r="D1222" s="289"/>
      <c r="E1222" s="290"/>
      <c r="F1222" s="289">
        <v>2794256</v>
      </c>
      <c r="G1222" s="289" t="s">
        <v>4268</v>
      </c>
      <c r="H1222" s="371" t="s">
        <v>3084</v>
      </c>
      <c r="I1222" s="289" t="s">
        <v>60</v>
      </c>
      <c r="J1222" s="289" t="s">
        <v>2485</v>
      </c>
      <c r="K1222" s="289" t="s">
        <v>4426</v>
      </c>
      <c r="L1222" s="51" t="s">
        <v>6695</v>
      </c>
      <c r="M1222" s="290" t="s">
        <v>22</v>
      </c>
      <c r="N1222" s="289" t="s">
        <v>22</v>
      </c>
      <c r="O1222" s="290" t="s">
        <v>22</v>
      </c>
      <c r="P1222" s="324" t="s">
        <v>3261</v>
      </c>
      <c r="Q1222" s="292" t="s">
        <v>3865</v>
      </c>
      <c r="R1222" s="289" t="s">
        <v>7093</v>
      </c>
      <c r="S1222" s="293" t="s">
        <v>7094</v>
      </c>
      <c r="T1222" s="293" t="s">
        <v>7095</v>
      </c>
      <c r="U1222" s="294" t="s">
        <v>7096</v>
      </c>
      <c r="V1222" s="295" t="s">
        <v>7097</v>
      </c>
      <c r="W1222" s="293" t="s">
        <v>7098</v>
      </c>
      <c r="X1222" s="296">
        <v>43470</v>
      </c>
      <c r="Y1222" s="114" t="s">
        <v>27</v>
      </c>
      <c r="Z1222" s="114" t="s">
        <v>27</v>
      </c>
      <c r="AA1222" s="114" t="s">
        <v>349</v>
      </c>
      <c r="AB1222" s="370" t="s">
        <v>4818</v>
      </c>
      <c r="AC1222" s="525" t="s">
        <v>7085</v>
      </c>
    </row>
    <row r="1223" spans="1:29" ht="15" customHeight="1">
      <c r="A1223" s="289" t="s">
        <v>203</v>
      </c>
      <c r="B1223" s="289" t="s">
        <v>263</v>
      </c>
      <c r="C1223" s="289" t="s">
        <v>22</v>
      </c>
      <c r="D1223" s="289"/>
      <c r="E1223" s="290"/>
      <c r="F1223" s="289">
        <v>2794284</v>
      </c>
      <c r="G1223" s="289" t="s">
        <v>4457</v>
      </c>
      <c r="H1223" s="371" t="s">
        <v>3084</v>
      </c>
      <c r="I1223" s="289" t="s">
        <v>60</v>
      </c>
      <c r="J1223" s="289" t="s">
        <v>2484</v>
      </c>
      <c r="K1223" s="289" t="s">
        <v>4427</v>
      </c>
      <c r="L1223" s="51" t="s">
        <v>6695</v>
      </c>
      <c r="M1223" s="290" t="s">
        <v>22</v>
      </c>
      <c r="N1223" s="289" t="s">
        <v>22</v>
      </c>
      <c r="O1223" s="290" t="s">
        <v>22</v>
      </c>
      <c r="P1223" s="324" t="s">
        <v>3276</v>
      </c>
      <c r="Q1223" s="292" t="s">
        <v>3876</v>
      </c>
      <c r="R1223" s="289" t="s">
        <v>7099</v>
      </c>
      <c r="S1223" s="293" t="s">
        <v>7100</v>
      </c>
      <c r="T1223" s="293" t="s">
        <v>7101</v>
      </c>
      <c r="U1223" s="294" t="s">
        <v>7102</v>
      </c>
      <c r="V1223" s="295" t="s">
        <v>7103</v>
      </c>
      <c r="W1223" s="293" t="s">
        <v>7104</v>
      </c>
      <c r="X1223" s="296">
        <v>43469</v>
      </c>
      <c r="Y1223" s="114" t="s">
        <v>27</v>
      </c>
      <c r="Z1223" s="114" t="s">
        <v>27</v>
      </c>
      <c r="AA1223" s="114" t="s">
        <v>349</v>
      </c>
      <c r="AB1223" s="370" t="s">
        <v>6523</v>
      </c>
      <c r="AC1223" s="525" t="s">
        <v>7085</v>
      </c>
    </row>
    <row r="1224" spans="1:29" ht="15" customHeight="1">
      <c r="A1224" s="289" t="s">
        <v>203</v>
      </c>
      <c r="B1224" s="289" t="s">
        <v>2031</v>
      </c>
      <c r="C1224" s="289" t="s">
        <v>22</v>
      </c>
      <c r="D1224" s="289"/>
      <c r="E1224" s="290"/>
      <c r="F1224" s="289">
        <v>2794313</v>
      </c>
      <c r="G1224" s="289" t="s">
        <v>4283</v>
      </c>
      <c r="H1224" s="371" t="s">
        <v>3084</v>
      </c>
      <c r="I1224" s="289" t="s">
        <v>60</v>
      </c>
      <c r="J1224" s="289" t="s">
        <v>2484</v>
      </c>
      <c r="K1224" s="289" t="s">
        <v>4427</v>
      </c>
      <c r="L1224" s="51" t="s">
        <v>6695</v>
      </c>
      <c r="M1224" s="290" t="s">
        <v>22</v>
      </c>
      <c r="N1224" s="289" t="s">
        <v>22</v>
      </c>
      <c r="O1224" s="290" t="s">
        <v>22</v>
      </c>
      <c r="P1224" s="324" t="s">
        <v>3212</v>
      </c>
      <c r="Q1224" s="292" t="s">
        <v>3884</v>
      </c>
      <c r="R1224" s="289" t="s">
        <v>7105</v>
      </c>
      <c r="S1224" s="293" t="s">
        <v>7106</v>
      </c>
      <c r="T1224" s="293" t="s">
        <v>7107</v>
      </c>
      <c r="U1224" s="294" t="s">
        <v>7108</v>
      </c>
      <c r="V1224" s="295" t="s">
        <v>7109</v>
      </c>
      <c r="W1224" s="293" t="s">
        <v>7110</v>
      </c>
      <c r="X1224" s="296">
        <v>43469</v>
      </c>
      <c r="Y1224" s="114" t="s">
        <v>27</v>
      </c>
      <c r="Z1224" s="114" t="s">
        <v>349</v>
      </c>
      <c r="AA1224" s="114" t="s">
        <v>22</v>
      </c>
      <c r="AB1224" s="370" t="s">
        <v>4818</v>
      </c>
      <c r="AC1224" s="525" t="s">
        <v>7085</v>
      </c>
    </row>
    <row r="1225" spans="1:29" ht="15" customHeight="1">
      <c r="A1225" s="289" t="s">
        <v>203</v>
      </c>
      <c r="B1225" s="289" t="s">
        <v>2032</v>
      </c>
      <c r="C1225" s="289" t="s">
        <v>22</v>
      </c>
      <c r="D1225" s="289"/>
      <c r="E1225" s="290"/>
      <c r="F1225" s="289">
        <v>2794243</v>
      </c>
      <c r="G1225" s="289" t="s">
        <v>4284</v>
      </c>
      <c r="H1225" s="371" t="s">
        <v>3084</v>
      </c>
      <c r="I1225" s="289" t="s">
        <v>60</v>
      </c>
      <c r="J1225" s="289" t="s">
        <v>2486</v>
      </c>
      <c r="K1225" s="289" t="s">
        <v>2651</v>
      </c>
      <c r="L1225" s="51" t="s">
        <v>6695</v>
      </c>
      <c r="M1225" s="290" t="s">
        <v>22</v>
      </c>
      <c r="N1225" s="289" t="s">
        <v>22</v>
      </c>
      <c r="O1225" s="290" t="s">
        <v>22</v>
      </c>
      <c r="P1225" s="324" t="s">
        <v>3235</v>
      </c>
      <c r="Q1225" s="292" t="s">
        <v>3885</v>
      </c>
      <c r="R1225" s="289" t="s">
        <v>7111</v>
      </c>
      <c r="S1225" s="293" t="s">
        <v>7112</v>
      </c>
      <c r="T1225" s="293" t="s">
        <v>7113</v>
      </c>
      <c r="U1225" s="294" t="s">
        <v>7114</v>
      </c>
      <c r="V1225" s="295" t="s">
        <v>7115</v>
      </c>
      <c r="W1225" s="293" t="s">
        <v>7116</v>
      </c>
      <c r="X1225" s="296">
        <v>43469</v>
      </c>
      <c r="Y1225" s="114" t="s">
        <v>27</v>
      </c>
      <c r="Z1225" s="114" t="s">
        <v>27</v>
      </c>
      <c r="AA1225" s="114" t="s">
        <v>349</v>
      </c>
      <c r="AB1225" s="370" t="s">
        <v>4818</v>
      </c>
      <c r="AC1225" s="525" t="s">
        <v>7085</v>
      </c>
    </row>
    <row r="1226" spans="1:29" ht="15" customHeight="1">
      <c r="A1226" s="289" t="s">
        <v>203</v>
      </c>
      <c r="B1226" s="289" t="s">
        <v>271</v>
      </c>
      <c r="C1226" s="289" t="s">
        <v>22</v>
      </c>
      <c r="D1226" s="289"/>
      <c r="E1226" s="290"/>
      <c r="F1226" s="289">
        <v>2794410</v>
      </c>
      <c r="G1226" s="289" t="s">
        <v>4279</v>
      </c>
      <c r="H1226" s="371" t="s">
        <v>3084</v>
      </c>
      <c r="I1226" s="289" t="s">
        <v>60</v>
      </c>
      <c r="J1226" s="289" t="s">
        <v>2486</v>
      </c>
      <c r="K1226" s="289" t="s">
        <v>2651</v>
      </c>
      <c r="L1226" s="51" t="s">
        <v>6695</v>
      </c>
      <c r="M1226" s="290" t="s">
        <v>22</v>
      </c>
      <c r="N1226" s="289" t="s">
        <v>22</v>
      </c>
      <c r="O1226" s="290" t="s">
        <v>22</v>
      </c>
      <c r="P1226" s="324" t="s">
        <v>3235</v>
      </c>
      <c r="Q1226" s="292" t="s">
        <v>3886</v>
      </c>
      <c r="R1226" s="289" t="s">
        <v>7117</v>
      </c>
      <c r="S1226" s="293" t="s">
        <v>7118</v>
      </c>
      <c r="T1226" s="293" t="s">
        <v>7119</v>
      </c>
      <c r="U1226" s="294" t="s">
        <v>7120</v>
      </c>
      <c r="V1226" s="295" t="s">
        <v>7121</v>
      </c>
      <c r="W1226" s="293" t="s">
        <v>7122</v>
      </c>
      <c r="X1226" s="296">
        <v>43469</v>
      </c>
      <c r="Y1226" s="114" t="s">
        <v>27</v>
      </c>
      <c r="Z1226" s="114" t="s">
        <v>27</v>
      </c>
      <c r="AA1226" s="114" t="s">
        <v>349</v>
      </c>
      <c r="AB1226" s="370" t="s">
        <v>6523</v>
      </c>
      <c r="AC1226" s="525" t="s">
        <v>7085</v>
      </c>
    </row>
    <row r="1227" spans="1:29" ht="15" customHeight="1">
      <c r="A1227" s="289" t="s">
        <v>203</v>
      </c>
      <c r="B1227" s="289" t="s">
        <v>5312</v>
      </c>
      <c r="C1227" s="289" t="s">
        <v>27</v>
      </c>
      <c r="D1227" s="289" t="s">
        <v>2759</v>
      </c>
      <c r="E1227" s="290" t="s">
        <v>17</v>
      </c>
      <c r="F1227" s="289">
        <v>4079620</v>
      </c>
      <c r="G1227" s="289" t="s">
        <v>5313</v>
      </c>
      <c r="H1227" s="371" t="s">
        <v>3084</v>
      </c>
      <c r="I1227" s="289" t="s">
        <v>21</v>
      </c>
      <c r="J1227" s="289" t="s">
        <v>223</v>
      </c>
      <c r="K1227" s="289" t="s">
        <v>337</v>
      </c>
      <c r="L1227" s="51" t="s">
        <v>6657</v>
      </c>
      <c r="M1227" s="290" t="s">
        <v>22</v>
      </c>
      <c r="N1227" s="289" t="s">
        <v>22</v>
      </c>
      <c r="O1227" s="290" t="s">
        <v>22</v>
      </c>
      <c r="P1227" s="324" t="s">
        <v>5433</v>
      </c>
      <c r="Q1227" s="292" t="s">
        <v>5314</v>
      </c>
      <c r="R1227" s="289" t="s">
        <v>6291</v>
      </c>
      <c r="S1227" s="293" t="s">
        <v>6292</v>
      </c>
      <c r="T1227" s="293" t="s">
        <v>6513</v>
      </c>
      <c r="U1227" s="294" t="s">
        <v>6293</v>
      </c>
      <c r="V1227" s="295" t="s">
        <v>6294</v>
      </c>
      <c r="W1227" s="293" t="s">
        <v>6514</v>
      </c>
      <c r="X1227" s="296"/>
      <c r="Y1227" s="114" t="s">
        <v>27</v>
      </c>
      <c r="Z1227" s="114" t="s">
        <v>27</v>
      </c>
      <c r="AA1227" s="114" t="s">
        <v>27</v>
      </c>
      <c r="AB1227" s="370" t="s">
        <v>2887</v>
      </c>
      <c r="AC1227" s="525"/>
    </row>
    <row r="1228" spans="1:29" ht="15" customHeight="1">
      <c r="A1228" s="289" t="s">
        <v>203</v>
      </c>
      <c r="B1228" s="289" t="s">
        <v>5315</v>
      </c>
      <c r="C1228" s="289" t="s">
        <v>27</v>
      </c>
      <c r="D1228" s="289" t="s">
        <v>2759</v>
      </c>
      <c r="E1228" s="290" t="s">
        <v>17</v>
      </c>
      <c r="F1228" s="289">
        <v>4079585</v>
      </c>
      <c r="G1228" s="289" t="s">
        <v>5313</v>
      </c>
      <c r="H1228" s="371" t="s">
        <v>3084</v>
      </c>
      <c r="I1228" s="289" t="s">
        <v>21</v>
      </c>
      <c r="J1228" s="289" t="s">
        <v>209</v>
      </c>
      <c r="K1228" s="289" t="s">
        <v>236</v>
      </c>
      <c r="L1228" s="51" t="s">
        <v>6657</v>
      </c>
      <c r="M1228" s="290" t="s">
        <v>22</v>
      </c>
      <c r="N1228" s="289" t="s">
        <v>22</v>
      </c>
      <c r="O1228" s="290" t="s">
        <v>22</v>
      </c>
      <c r="P1228" s="324" t="s">
        <v>5433</v>
      </c>
      <c r="Q1228" s="292" t="s">
        <v>5316</v>
      </c>
      <c r="R1228" s="289" t="s">
        <v>6295</v>
      </c>
      <c r="S1228" s="293" t="s">
        <v>6296</v>
      </c>
      <c r="T1228" s="293" t="s">
        <v>6297</v>
      </c>
      <c r="U1228" s="294" t="s">
        <v>6298</v>
      </c>
      <c r="V1228" s="295" t="s">
        <v>6299</v>
      </c>
      <c r="W1228" s="293"/>
      <c r="X1228" s="296"/>
      <c r="Y1228" s="114" t="s">
        <v>27</v>
      </c>
      <c r="Z1228" s="114" t="s">
        <v>27</v>
      </c>
      <c r="AA1228" s="114" t="s">
        <v>27</v>
      </c>
      <c r="AB1228" s="370" t="s">
        <v>2887</v>
      </c>
      <c r="AC1228" s="525"/>
    </row>
    <row r="1229" spans="1:29" ht="15" customHeight="1">
      <c r="A1229" s="289" t="s">
        <v>203</v>
      </c>
      <c r="B1229" s="289" t="s">
        <v>5317</v>
      </c>
      <c r="C1229" s="289" t="s">
        <v>27</v>
      </c>
      <c r="D1229" s="289" t="s">
        <v>2759</v>
      </c>
      <c r="E1229" s="290" t="s">
        <v>17</v>
      </c>
      <c r="F1229" s="289">
        <v>4079343</v>
      </c>
      <c r="G1229" s="289" t="s">
        <v>5318</v>
      </c>
      <c r="H1229" s="371" t="s">
        <v>3084</v>
      </c>
      <c r="I1229" s="289" t="s">
        <v>21</v>
      </c>
      <c r="J1229" s="289" t="s">
        <v>209</v>
      </c>
      <c r="K1229" s="289" t="s">
        <v>236</v>
      </c>
      <c r="L1229" s="51" t="s">
        <v>6657</v>
      </c>
      <c r="M1229" s="290" t="s">
        <v>22</v>
      </c>
      <c r="N1229" s="289" t="s">
        <v>22</v>
      </c>
      <c r="O1229" s="290" t="s">
        <v>22</v>
      </c>
      <c r="P1229" s="324" t="s">
        <v>5433</v>
      </c>
      <c r="Q1229" s="292" t="s">
        <v>5319</v>
      </c>
      <c r="R1229" s="289" t="s">
        <v>6300</v>
      </c>
      <c r="S1229" s="293" t="s">
        <v>6301</v>
      </c>
      <c r="T1229" s="293">
        <v>13810399702</v>
      </c>
      <c r="U1229" s="294" t="s">
        <v>6302</v>
      </c>
      <c r="V1229" s="295" t="s">
        <v>6303</v>
      </c>
      <c r="W1229" s="293"/>
      <c r="X1229" s="296"/>
      <c r="Y1229" s="114" t="s">
        <v>27</v>
      </c>
      <c r="Z1229" s="114" t="s">
        <v>27</v>
      </c>
      <c r="AA1229" s="114" t="s">
        <v>27</v>
      </c>
      <c r="AB1229" s="370" t="s">
        <v>2887</v>
      </c>
      <c r="AC1229" s="525"/>
    </row>
    <row r="1230" spans="1:29" ht="15" customHeight="1">
      <c r="A1230" s="289" t="s">
        <v>203</v>
      </c>
      <c r="B1230" s="289" t="s">
        <v>5320</v>
      </c>
      <c r="C1230" s="289" t="s">
        <v>27</v>
      </c>
      <c r="D1230" s="289" t="s">
        <v>2759</v>
      </c>
      <c r="E1230" s="290" t="s">
        <v>17</v>
      </c>
      <c r="F1230" s="289">
        <v>4079550</v>
      </c>
      <c r="G1230" s="289" t="s">
        <v>5318</v>
      </c>
      <c r="H1230" s="371" t="s">
        <v>3084</v>
      </c>
      <c r="I1230" s="289" t="s">
        <v>21</v>
      </c>
      <c r="J1230" s="289" t="s">
        <v>209</v>
      </c>
      <c r="K1230" s="289" t="s">
        <v>236</v>
      </c>
      <c r="L1230" s="51" t="s">
        <v>6657</v>
      </c>
      <c r="M1230" s="290" t="s">
        <v>22</v>
      </c>
      <c r="N1230" s="289" t="s">
        <v>22</v>
      </c>
      <c r="O1230" s="290" t="s">
        <v>22</v>
      </c>
      <c r="P1230" s="324" t="s">
        <v>5433</v>
      </c>
      <c r="Q1230" s="292" t="s">
        <v>5321</v>
      </c>
      <c r="R1230" s="289" t="s">
        <v>6304</v>
      </c>
      <c r="S1230" s="293" t="s">
        <v>6305</v>
      </c>
      <c r="T1230" s="293">
        <v>13911453146</v>
      </c>
      <c r="U1230" s="294" t="s">
        <v>6306</v>
      </c>
      <c r="V1230" s="295" t="s">
        <v>6307</v>
      </c>
      <c r="W1230" s="293"/>
      <c r="X1230" s="296"/>
      <c r="Y1230" s="114" t="s">
        <v>27</v>
      </c>
      <c r="Z1230" s="114" t="s">
        <v>27</v>
      </c>
      <c r="AA1230" s="114" t="s">
        <v>27</v>
      </c>
      <c r="AB1230" s="370" t="s">
        <v>2887</v>
      </c>
      <c r="AC1230" s="525"/>
    </row>
    <row r="1231" spans="1:29" ht="15.75" customHeight="1">
      <c r="A1231" s="289" t="s">
        <v>203</v>
      </c>
      <c r="B1231" s="289" t="s">
        <v>5322</v>
      </c>
      <c r="C1231" s="289" t="s">
        <v>27</v>
      </c>
      <c r="D1231" s="289" t="s">
        <v>2759</v>
      </c>
      <c r="E1231" s="290" t="s">
        <v>17</v>
      </c>
      <c r="F1231" s="289">
        <v>4079648</v>
      </c>
      <c r="G1231" s="289" t="s">
        <v>5323</v>
      </c>
      <c r="H1231" s="371" t="s">
        <v>3084</v>
      </c>
      <c r="I1231" s="289" t="s">
        <v>21</v>
      </c>
      <c r="J1231" s="289" t="s">
        <v>204</v>
      </c>
      <c r="K1231" s="289" t="s">
        <v>1586</v>
      </c>
      <c r="L1231" s="51" t="s">
        <v>6657</v>
      </c>
      <c r="M1231" s="290" t="s">
        <v>22</v>
      </c>
      <c r="N1231" s="289" t="s">
        <v>27</v>
      </c>
      <c r="O1231" s="290" t="s">
        <v>22</v>
      </c>
      <c r="P1231" s="324" t="s">
        <v>5433</v>
      </c>
      <c r="Q1231" s="292" t="s">
        <v>5324</v>
      </c>
      <c r="R1231" s="289" t="s">
        <v>6308</v>
      </c>
      <c r="S1231" s="293" t="s">
        <v>6309</v>
      </c>
      <c r="T1231" s="293">
        <v>17310144373</v>
      </c>
      <c r="U1231" s="294" t="s">
        <v>6310</v>
      </c>
      <c r="V1231" s="295" t="s">
        <v>6311</v>
      </c>
      <c r="W1231" s="293"/>
      <c r="X1231" s="296"/>
      <c r="Y1231" s="114" t="s">
        <v>27</v>
      </c>
      <c r="Z1231" s="114" t="s">
        <v>27</v>
      </c>
      <c r="AA1231" s="114" t="s">
        <v>27</v>
      </c>
      <c r="AB1231" s="370" t="s">
        <v>2887</v>
      </c>
      <c r="AC1231" s="525"/>
    </row>
    <row r="1232" spans="1:29" ht="15.75" customHeight="1">
      <c r="A1232" s="289" t="s">
        <v>203</v>
      </c>
      <c r="B1232" s="289" t="s">
        <v>5325</v>
      </c>
      <c r="C1232" s="289" t="s">
        <v>27</v>
      </c>
      <c r="D1232" s="289" t="s">
        <v>2759</v>
      </c>
      <c r="E1232" s="290" t="s">
        <v>17</v>
      </c>
      <c r="F1232" s="289">
        <v>4079678</v>
      </c>
      <c r="G1232" s="289" t="s">
        <v>5323</v>
      </c>
      <c r="H1232" s="371" t="s">
        <v>3084</v>
      </c>
      <c r="I1232" s="289" t="s">
        <v>60</v>
      </c>
      <c r="J1232" s="289" t="s">
        <v>2485</v>
      </c>
      <c r="K1232" s="289" t="s">
        <v>6197</v>
      </c>
      <c r="L1232" s="51" t="s">
        <v>6657</v>
      </c>
      <c r="M1232" s="290" t="s">
        <v>22</v>
      </c>
      <c r="N1232" s="289" t="s">
        <v>22</v>
      </c>
      <c r="O1232" s="290" t="s">
        <v>22</v>
      </c>
      <c r="P1232" s="324" t="s">
        <v>5433</v>
      </c>
      <c r="Q1232" s="292" t="s">
        <v>5326</v>
      </c>
      <c r="R1232" s="289" t="s">
        <v>6312</v>
      </c>
      <c r="S1232" s="293" t="s">
        <v>6313</v>
      </c>
      <c r="T1232" s="293" t="s">
        <v>6314</v>
      </c>
      <c r="U1232" s="294" t="s">
        <v>6315</v>
      </c>
      <c r="V1232" s="295" t="s">
        <v>6316</v>
      </c>
      <c r="W1232" s="293" t="s">
        <v>6317</v>
      </c>
      <c r="X1232" s="296"/>
      <c r="Y1232" s="114" t="s">
        <v>27</v>
      </c>
      <c r="Z1232" s="114" t="s">
        <v>27</v>
      </c>
      <c r="AA1232" s="114" t="s">
        <v>27</v>
      </c>
      <c r="AB1232" s="370" t="s">
        <v>2887</v>
      </c>
      <c r="AC1232" s="525"/>
    </row>
    <row r="1233" spans="1:29" ht="15.75" customHeight="1">
      <c r="A1233" s="289" t="s">
        <v>203</v>
      </c>
      <c r="B1233" s="289" t="s">
        <v>5297</v>
      </c>
      <c r="C1233" s="289" t="s">
        <v>27</v>
      </c>
      <c r="D1233" s="289" t="s">
        <v>2759</v>
      </c>
      <c r="E1233" s="290" t="s">
        <v>17</v>
      </c>
      <c r="F1233" s="289">
        <v>4079561</v>
      </c>
      <c r="G1233" s="289" t="s">
        <v>5298</v>
      </c>
      <c r="H1233" s="371" t="s">
        <v>3084</v>
      </c>
      <c r="I1233" s="289" t="s">
        <v>21</v>
      </c>
      <c r="J1233" s="289" t="s">
        <v>204</v>
      </c>
      <c r="K1233" s="289" t="s">
        <v>206</v>
      </c>
      <c r="L1233" s="51" t="s">
        <v>6657</v>
      </c>
      <c r="M1233" s="290" t="s">
        <v>22</v>
      </c>
      <c r="N1233" s="289" t="s">
        <v>27</v>
      </c>
      <c r="O1233" s="290" t="s">
        <v>22</v>
      </c>
      <c r="P1233" s="324" t="s">
        <v>5433</v>
      </c>
      <c r="Q1233" s="292" t="s">
        <v>5299</v>
      </c>
      <c r="R1233" s="289" t="s">
        <v>5668</v>
      </c>
      <c r="S1233" s="293" t="s">
        <v>5837</v>
      </c>
      <c r="T1233" s="293" t="s">
        <v>5838</v>
      </c>
      <c r="U1233" s="294" t="s">
        <v>5839</v>
      </c>
      <c r="V1233" s="295" t="s">
        <v>5840</v>
      </c>
      <c r="W1233" s="293"/>
      <c r="X1233" s="296" t="s">
        <v>6515</v>
      </c>
      <c r="Y1233" s="114" t="s">
        <v>27</v>
      </c>
      <c r="Z1233" s="114" t="s">
        <v>27</v>
      </c>
      <c r="AA1233" s="114" t="s">
        <v>27</v>
      </c>
      <c r="AB1233" s="370" t="s">
        <v>2887</v>
      </c>
      <c r="AC1233" s="525"/>
    </row>
    <row r="1234" spans="1:29" ht="15.75" customHeight="1">
      <c r="A1234" s="289" t="s">
        <v>203</v>
      </c>
      <c r="B1234" s="289" t="s">
        <v>5305</v>
      </c>
      <c r="C1234" s="289" t="s">
        <v>27</v>
      </c>
      <c r="D1234" s="289" t="s">
        <v>2759</v>
      </c>
      <c r="E1234" s="290" t="s">
        <v>17</v>
      </c>
      <c r="F1234" s="289">
        <v>4079631</v>
      </c>
      <c r="G1234" s="289" t="s">
        <v>5303</v>
      </c>
      <c r="H1234" s="371" t="s">
        <v>3084</v>
      </c>
      <c r="I1234" s="289" t="s">
        <v>21</v>
      </c>
      <c r="J1234" s="289" t="s">
        <v>204</v>
      </c>
      <c r="K1234" s="289" t="s">
        <v>1586</v>
      </c>
      <c r="L1234" s="51" t="s">
        <v>6657</v>
      </c>
      <c r="M1234" s="290" t="s">
        <v>22</v>
      </c>
      <c r="N1234" s="289" t="s">
        <v>27</v>
      </c>
      <c r="O1234" s="290" t="s">
        <v>22</v>
      </c>
      <c r="P1234" s="324" t="s">
        <v>5433</v>
      </c>
      <c r="Q1234" s="292" t="s">
        <v>5306</v>
      </c>
      <c r="R1234" s="289" t="s">
        <v>5668</v>
      </c>
      <c r="S1234" s="293" t="s">
        <v>5841</v>
      </c>
      <c r="T1234" s="293" t="s">
        <v>5842</v>
      </c>
      <c r="U1234" s="294" t="s">
        <v>6516</v>
      </c>
      <c r="V1234" s="295" t="s">
        <v>6517</v>
      </c>
      <c r="W1234" s="293"/>
      <c r="X1234" s="296" t="s">
        <v>6515</v>
      </c>
      <c r="Y1234" s="114" t="s">
        <v>27</v>
      </c>
      <c r="Z1234" s="114" t="s">
        <v>27</v>
      </c>
      <c r="AA1234" s="114" t="s">
        <v>27</v>
      </c>
      <c r="AB1234" s="370" t="s">
        <v>2887</v>
      </c>
      <c r="AC1234" s="525"/>
    </row>
    <row r="1235" spans="1:29" ht="15.75" customHeight="1">
      <c r="A1235" s="289" t="s">
        <v>203</v>
      </c>
      <c r="B1235" s="289" t="s">
        <v>5327</v>
      </c>
      <c r="C1235" s="289" t="s">
        <v>27</v>
      </c>
      <c r="D1235" s="289" t="s">
        <v>2759</v>
      </c>
      <c r="E1235" s="290" t="s">
        <v>17</v>
      </c>
      <c r="F1235" s="289">
        <v>4079404</v>
      </c>
      <c r="G1235" s="289" t="s">
        <v>5328</v>
      </c>
      <c r="H1235" s="371" t="s">
        <v>3084</v>
      </c>
      <c r="I1235" s="289" t="s">
        <v>21</v>
      </c>
      <c r="J1235" s="289" t="s">
        <v>204</v>
      </c>
      <c r="K1235" s="289" t="s">
        <v>3650</v>
      </c>
      <c r="L1235" s="51" t="s">
        <v>6695</v>
      </c>
      <c r="M1235" s="290" t="s">
        <v>22</v>
      </c>
      <c r="N1235" s="289" t="s">
        <v>27</v>
      </c>
      <c r="O1235" s="290" t="s">
        <v>22</v>
      </c>
      <c r="P1235" s="324" t="s">
        <v>6318</v>
      </c>
      <c r="Q1235" s="292" t="s">
        <v>5329</v>
      </c>
      <c r="R1235" s="289" t="s">
        <v>6319</v>
      </c>
      <c r="S1235" s="293" t="s">
        <v>6696</v>
      </c>
      <c r="T1235" s="293">
        <v>18101234764</v>
      </c>
      <c r="U1235" s="294" t="s">
        <v>6320</v>
      </c>
      <c r="V1235" s="295" t="s">
        <v>6321</v>
      </c>
      <c r="W1235" s="293"/>
      <c r="X1235" s="296" t="s">
        <v>6697</v>
      </c>
      <c r="Y1235" s="114" t="s">
        <v>27</v>
      </c>
      <c r="Z1235" s="114" t="s">
        <v>27</v>
      </c>
      <c r="AA1235" s="114" t="s">
        <v>27</v>
      </c>
      <c r="AB1235" s="370" t="s">
        <v>2887</v>
      </c>
      <c r="AC1235" s="525" t="s">
        <v>6493</v>
      </c>
    </row>
    <row r="1236" spans="1:29" ht="15.75" customHeight="1">
      <c r="A1236" s="289" t="s">
        <v>203</v>
      </c>
      <c r="B1236" s="289" t="s">
        <v>5330</v>
      </c>
      <c r="C1236" s="289" t="s">
        <v>27</v>
      </c>
      <c r="D1236" s="289" t="s">
        <v>2759</v>
      </c>
      <c r="E1236" s="290" t="s">
        <v>17</v>
      </c>
      <c r="F1236" s="289">
        <v>4079363</v>
      </c>
      <c r="G1236" s="289" t="s">
        <v>5328</v>
      </c>
      <c r="H1236" s="371" t="s">
        <v>3084</v>
      </c>
      <c r="I1236" s="289" t="s">
        <v>21</v>
      </c>
      <c r="J1236" s="289" t="s">
        <v>204</v>
      </c>
      <c r="K1236" s="289" t="s">
        <v>206</v>
      </c>
      <c r="L1236" s="51" t="s">
        <v>6657</v>
      </c>
      <c r="M1236" s="290" t="s">
        <v>22</v>
      </c>
      <c r="N1236" s="289" t="s">
        <v>27</v>
      </c>
      <c r="O1236" s="290" t="s">
        <v>22</v>
      </c>
      <c r="P1236" s="324" t="s">
        <v>6318</v>
      </c>
      <c r="Q1236" s="292" t="s">
        <v>5331</v>
      </c>
      <c r="R1236" s="289" t="s">
        <v>6322</v>
      </c>
      <c r="S1236" s="293" t="s">
        <v>6323</v>
      </c>
      <c r="T1236" s="293">
        <v>17310244510</v>
      </c>
      <c r="U1236" s="294" t="s">
        <v>6324</v>
      </c>
      <c r="V1236" s="295" t="s">
        <v>6325</v>
      </c>
      <c r="W1236" s="293"/>
      <c r="X1236" s="296"/>
      <c r="Y1236" s="114" t="s">
        <v>27</v>
      </c>
      <c r="Z1236" s="114" t="s">
        <v>27</v>
      </c>
      <c r="AA1236" s="114" t="s">
        <v>27</v>
      </c>
      <c r="AB1236" s="370" t="s">
        <v>2887</v>
      </c>
      <c r="AC1236" s="525"/>
    </row>
    <row r="1237" spans="1:29" ht="15.75" customHeight="1">
      <c r="A1237" s="289" t="s">
        <v>203</v>
      </c>
      <c r="B1237" s="289" t="s">
        <v>5307</v>
      </c>
      <c r="C1237" s="289" t="s">
        <v>27</v>
      </c>
      <c r="D1237" s="289" t="s">
        <v>2759</v>
      </c>
      <c r="E1237" s="290" t="s">
        <v>17</v>
      </c>
      <c r="F1237" s="289">
        <v>4079716</v>
      </c>
      <c r="G1237" s="289" t="s">
        <v>5308</v>
      </c>
      <c r="H1237" s="371" t="s">
        <v>3084</v>
      </c>
      <c r="I1237" s="289" t="s">
        <v>21</v>
      </c>
      <c r="J1237" s="289" t="s">
        <v>209</v>
      </c>
      <c r="K1237" s="289" t="s">
        <v>26</v>
      </c>
      <c r="L1237" s="51" t="s">
        <v>6695</v>
      </c>
      <c r="M1237" s="290" t="s">
        <v>22</v>
      </c>
      <c r="N1237" s="289" t="s">
        <v>22</v>
      </c>
      <c r="O1237" s="290" t="s">
        <v>22</v>
      </c>
      <c r="P1237" s="324" t="s">
        <v>5433</v>
      </c>
      <c r="Q1237" s="292" t="s">
        <v>5309</v>
      </c>
      <c r="R1237" s="289" t="s">
        <v>6698</v>
      </c>
      <c r="S1237" s="293" t="s">
        <v>6699</v>
      </c>
      <c r="T1237" s="293" t="s">
        <v>5843</v>
      </c>
      <c r="U1237" s="294" t="s">
        <v>6700</v>
      </c>
      <c r="V1237" s="295" t="s">
        <v>6701</v>
      </c>
      <c r="W1237" s="293"/>
      <c r="X1237" s="296" t="s">
        <v>6697</v>
      </c>
      <c r="Y1237" s="114" t="s">
        <v>27</v>
      </c>
      <c r="Z1237" s="114" t="s">
        <v>27</v>
      </c>
      <c r="AA1237" s="114" t="s">
        <v>27</v>
      </c>
      <c r="AB1237" s="370" t="s">
        <v>2887</v>
      </c>
      <c r="AC1237" s="525" t="s">
        <v>6493</v>
      </c>
    </row>
    <row r="1238" spans="1:29" ht="15.75" customHeight="1">
      <c r="A1238" s="289" t="s">
        <v>203</v>
      </c>
      <c r="B1238" s="289" t="s">
        <v>5332</v>
      </c>
      <c r="C1238" s="289" t="s">
        <v>27</v>
      </c>
      <c r="D1238" s="289" t="s">
        <v>2759</v>
      </c>
      <c r="E1238" s="290" t="s">
        <v>17</v>
      </c>
      <c r="F1238" s="289">
        <v>4079671</v>
      </c>
      <c r="G1238" s="289" t="s">
        <v>5333</v>
      </c>
      <c r="H1238" s="371" t="s">
        <v>3084</v>
      </c>
      <c r="I1238" s="289" t="s">
        <v>21</v>
      </c>
      <c r="J1238" s="289" t="s">
        <v>223</v>
      </c>
      <c r="K1238" s="289" t="s">
        <v>337</v>
      </c>
      <c r="L1238" s="51" t="s">
        <v>6695</v>
      </c>
      <c r="M1238" s="290" t="s">
        <v>22</v>
      </c>
      <c r="N1238" s="289" t="s">
        <v>22</v>
      </c>
      <c r="O1238" s="290" t="s">
        <v>22</v>
      </c>
      <c r="P1238" s="324" t="s">
        <v>6318</v>
      </c>
      <c r="Q1238" s="292" t="s">
        <v>5334</v>
      </c>
      <c r="R1238" s="289" t="s">
        <v>6326</v>
      </c>
      <c r="S1238" s="293" t="s">
        <v>6702</v>
      </c>
      <c r="T1238" s="293">
        <v>18516913746</v>
      </c>
      <c r="U1238" s="294" t="s">
        <v>6327</v>
      </c>
      <c r="V1238" s="295" t="s">
        <v>6328</v>
      </c>
      <c r="W1238" s="293"/>
      <c r="X1238" s="296" t="s">
        <v>6697</v>
      </c>
      <c r="Y1238" s="114" t="s">
        <v>27</v>
      </c>
      <c r="Z1238" s="114" t="s">
        <v>27</v>
      </c>
      <c r="AA1238" s="114" t="s">
        <v>27</v>
      </c>
      <c r="AB1238" s="370" t="s">
        <v>2887</v>
      </c>
      <c r="AC1238" s="525" t="s">
        <v>6493</v>
      </c>
    </row>
    <row r="1239" spans="1:29" ht="15.75" customHeight="1">
      <c r="A1239" s="289" t="s">
        <v>203</v>
      </c>
      <c r="B1239" s="289" t="s">
        <v>5887</v>
      </c>
      <c r="C1239" s="289" t="s">
        <v>27</v>
      </c>
      <c r="D1239" s="289" t="s">
        <v>4921</v>
      </c>
      <c r="E1239" s="290" t="s">
        <v>2008</v>
      </c>
      <c r="F1239" s="289">
        <v>3648520</v>
      </c>
      <c r="G1239" s="289" t="s">
        <v>6831</v>
      </c>
      <c r="H1239" s="371" t="s">
        <v>3084</v>
      </c>
      <c r="I1239" s="289" t="s">
        <v>21</v>
      </c>
      <c r="J1239" s="289" t="s">
        <v>223</v>
      </c>
      <c r="K1239" s="289" t="s">
        <v>337</v>
      </c>
      <c r="L1239" s="51" t="s">
        <v>6695</v>
      </c>
      <c r="M1239" s="290" t="s">
        <v>22</v>
      </c>
      <c r="N1239" s="289" t="s">
        <v>22</v>
      </c>
      <c r="O1239" s="290" t="s">
        <v>22</v>
      </c>
      <c r="P1239" s="324" t="s">
        <v>6329</v>
      </c>
      <c r="Q1239" s="292" t="s">
        <v>6334</v>
      </c>
      <c r="R1239" s="289" t="s">
        <v>6832</v>
      </c>
      <c r="S1239" s="293" t="s">
        <v>6833</v>
      </c>
      <c r="T1239" s="293" t="s">
        <v>5442</v>
      </c>
      <c r="U1239" s="294" t="s">
        <v>6834</v>
      </c>
      <c r="V1239" s="295" t="s">
        <v>6835</v>
      </c>
      <c r="W1239" s="293"/>
      <c r="X1239" s="296" t="s">
        <v>6738</v>
      </c>
      <c r="Y1239" s="114" t="s">
        <v>27</v>
      </c>
      <c r="Z1239" s="114" t="s">
        <v>27</v>
      </c>
      <c r="AA1239" s="114" t="s">
        <v>27</v>
      </c>
      <c r="AB1239" s="370" t="s">
        <v>2887</v>
      </c>
      <c r="AC1239" s="525" t="s">
        <v>6856</v>
      </c>
    </row>
    <row r="1240" spans="1:29" ht="15.75" customHeight="1">
      <c r="A1240" s="289" t="s">
        <v>203</v>
      </c>
      <c r="B1240" s="289" t="s">
        <v>5889</v>
      </c>
      <c r="C1240" s="289" t="s">
        <v>27</v>
      </c>
      <c r="D1240" s="289" t="s">
        <v>4921</v>
      </c>
      <c r="E1240" s="290" t="s">
        <v>2008</v>
      </c>
      <c r="F1240" s="289">
        <v>3647977</v>
      </c>
      <c r="G1240" s="289" t="s">
        <v>6836</v>
      </c>
      <c r="H1240" s="371" t="s">
        <v>3084</v>
      </c>
      <c r="I1240" s="289" t="s">
        <v>21</v>
      </c>
      <c r="J1240" s="289" t="s">
        <v>223</v>
      </c>
      <c r="K1240" s="289" t="s">
        <v>6752</v>
      </c>
      <c r="L1240" s="51" t="s">
        <v>6695</v>
      </c>
      <c r="M1240" s="290" t="s">
        <v>22</v>
      </c>
      <c r="N1240" s="289" t="s">
        <v>22</v>
      </c>
      <c r="O1240" s="290" t="s">
        <v>22</v>
      </c>
      <c r="P1240" s="324" t="s">
        <v>6329</v>
      </c>
      <c r="Q1240" s="292" t="s">
        <v>6336</v>
      </c>
      <c r="R1240" s="289" t="s">
        <v>6837</v>
      </c>
      <c r="S1240" s="293" t="s">
        <v>6838</v>
      </c>
      <c r="T1240" s="293" t="s">
        <v>6839</v>
      </c>
      <c r="U1240" s="294" t="s">
        <v>6840</v>
      </c>
      <c r="V1240" s="295" t="s">
        <v>6841</v>
      </c>
      <c r="W1240" s="293"/>
      <c r="X1240" s="296" t="s">
        <v>6738</v>
      </c>
      <c r="Y1240" s="114" t="s">
        <v>27</v>
      </c>
      <c r="Z1240" s="114" t="s">
        <v>27</v>
      </c>
      <c r="AA1240" s="114" t="s">
        <v>27</v>
      </c>
      <c r="AB1240" s="370" t="s">
        <v>2887</v>
      </c>
      <c r="AC1240" s="525" t="s">
        <v>6856</v>
      </c>
    </row>
    <row r="1241" spans="1:29" ht="15.75" customHeight="1">
      <c r="A1241" s="289" t="s">
        <v>203</v>
      </c>
      <c r="B1241" s="289" t="s">
        <v>5890</v>
      </c>
      <c r="C1241" s="289" t="s">
        <v>22</v>
      </c>
      <c r="D1241" s="289" t="s">
        <v>4921</v>
      </c>
      <c r="E1241" s="290" t="s">
        <v>2008</v>
      </c>
      <c r="F1241" s="289">
        <v>3647657</v>
      </c>
      <c r="G1241" s="289"/>
      <c r="H1241" s="371" t="s">
        <v>3084</v>
      </c>
      <c r="I1241" s="289"/>
      <c r="J1241" s="289"/>
      <c r="K1241" s="289"/>
      <c r="L1241" s="51"/>
      <c r="M1241" s="290" t="s">
        <v>22</v>
      </c>
      <c r="N1241" s="289" t="s">
        <v>22</v>
      </c>
      <c r="O1241" s="290" t="s">
        <v>22</v>
      </c>
      <c r="P1241" s="324"/>
      <c r="Q1241" s="292" t="s">
        <v>6337</v>
      </c>
      <c r="R1241" s="289" t="e">
        <v>#N/A</v>
      </c>
      <c r="S1241" s="293" t="e">
        <v>#N/A</v>
      </c>
      <c r="T1241" s="293"/>
      <c r="U1241" s="294" t="e">
        <v>#N/A</v>
      </c>
      <c r="V1241" s="295" t="e">
        <v>#N/A</v>
      </c>
      <c r="W1241" s="293"/>
      <c r="X1241" s="296"/>
      <c r="Y1241" s="114" t="s">
        <v>2021</v>
      </c>
      <c r="Z1241" s="114" t="s">
        <v>22</v>
      </c>
      <c r="AA1241" s="114" t="s">
        <v>2021</v>
      </c>
      <c r="AB1241" s="370" t="s">
        <v>5705</v>
      </c>
      <c r="AC1241" s="525"/>
    </row>
    <row r="1242" spans="1:29" ht="15.75" customHeight="1">
      <c r="A1242" s="289" t="s">
        <v>203</v>
      </c>
      <c r="B1242" s="289" t="s">
        <v>5891</v>
      </c>
      <c r="C1242" s="289" t="s">
        <v>27</v>
      </c>
      <c r="D1242" s="289" t="s">
        <v>4921</v>
      </c>
      <c r="E1242" s="290" t="s">
        <v>2008</v>
      </c>
      <c r="F1242" s="289">
        <v>3647934</v>
      </c>
      <c r="G1242" s="289" t="s">
        <v>6842</v>
      </c>
      <c r="H1242" s="371" t="s">
        <v>3084</v>
      </c>
      <c r="I1242" s="289" t="s">
        <v>21</v>
      </c>
      <c r="J1242" s="289" t="s">
        <v>223</v>
      </c>
      <c r="K1242" s="289" t="s">
        <v>337</v>
      </c>
      <c r="L1242" s="51" t="s">
        <v>6695</v>
      </c>
      <c r="M1242" s="290" t="s">
        <v>22</v>
      </c>
      <c r="N1242" s="289" t="s">
        <v>22</v>
      </c>
      <c r="O1242" s="290" t="s">
        <v>22</v>
      </c>
      <c r="P1242" s="324" t="s">
        <v>6338</v>
      </c>
      <c r="Q1242" s="292" t="s">
        <v>6339</v>
      </c>
      <c r="R1242" s="289" t="s">
        <v>6848</v>
      </c>
      <c r="S1242" s="293" t="s">
        <v>6849</v>
      </c>
      <c r="T1242" s="293" t="s">
        <v>6850</v>
      </c>
      <c r="U1242" s="294" t="s">
        <v>6851</v>
      </c>
      <c r="V1242" s="295" t="s">
        <v>6852</v>
      </c>
      <c r="W1242" s="293"/>
      <c r="X1242" s="296" t="s">
        <v>6738</v>
      </c>
      <c r="Y1242" s="114" t="s">
        <v>27</v>
      </c>
      <c r="Z1242" s="114" t="s">
        <v>27</v>
      </c>
      <c r="AA1242" s="114" t="s">
        <v>27</v>
      </c>
      <c r="AB1242" s="370" t="s">
        <v>2887</v>
      </c>
      <c r="AC1242" s="525" t="s">
        <v>7143</v>
      </c>
    </row>
    <row r="1243" spans="1:29" ht="15.75" customHeight="1">
      <c r="A1243" s="289" t="s">
        <v>203</v>
      </c>
      <c r="B1243" s="289" t="s">
        <v>7000</v>
      </c>
      <c r="C1243" s="289"/>
      <c r="D1243" s="289"/>
      <c r="E1243" s="290"/>
      <c r="F1243" s="289">
        <v>4079681</v>
      </c>
      <c r="G1243" s="289"/>
      <c r="H1243" s="371" t="s">
        <v>3084</v>
      </c>
      <c r="I1243" s="289"/>
      <c r="J1243" s="289"/>
      <c r="K1243" s="289"/>
      <c r="L1243" s="51"/>
      <c r="M1243" s="290"/>
      <c r="N1243" s="289"/>
      <c r="O1243" s="290"/>
      <c r="P1243" s="324"/>
      <c r="Q1243" s="292" t="s">
        <v>7001</v>
      </c>
      <c r="R1243" s="289"/>
      <c r="S1243" s="293"/>
      <c r="T1243" s="293"/>
      <c r="U1243" s="294"/>
      <c r="V1243" s="295"/>
      <c r="W1243" s="293"/>
      <c r="X1243" s="296"/>
      <c r="Y1243" s="114"/>
      <c r="Z1243" s="114"/>
      <c r="AA1243" s="114"/>
      <c r="AB1243" s="370"/>
      <c r="AC1243" s="525"/>
    </row>
    <row r="1244" spans="1:29" ht="15.75" customHeight="1">
      <c r="A1244" s="289" t="s">
        <v>203</v>
      </c>
      <c r="B1244" s="289" t="s">
        <v>7002</v>
      </c>
      <c r="C1244" s="289"/>
      <c r="D1244" s="289"/>
      <c r="E1244" s="290"/>
      <c r="F1244" s="289">
        <v>4079344</v>
      </c>
      <c r="G1244" s="289"/>
      <c r="H1244" s="371" t="s">
        <v>3084</v>
      </c>
      <c r="I1244" s="289"/>
      <c r="J1244" s="289"/>
      <c r="K1244" s="289"/>
      <c r="L1244" s="51"/>
      <c r="M1244" s="290"/>
      <c r="N1244" s="289"/>
      <c r="O1244" s="290"/>
      <c r="P1244" s="324"/>
      <c r="Q1244" s="292" t="s">
        <v>7003</v>
      </c>
      <c r="R1244" s="289"/>
      <c r="S1244" s="293"/>
      <c r="T1244" s="293"/>
      <c r="U1244" s="294"/>
      <c r="V1244" s="295"/>
      <c r="W1244" s="293"/>
      <c r="X1244" s="296"/>
      <c r="Y1244" s="114"/>
      <c r="Z1244" s="114"/>
      <c r="AA1244" s="114"/>
      <c r="AB1244" s="370"/>
      <c r="AC1244" s="525"/>
    </row>
    <row r="1245" spans="1:29" ht="16.5" customHeight="1">
      <c r="A1245" s="289" t="s">
        <v>203</v>
      </c>
      <c r="B1245" s="289" t="s">
        <v>7004</v>
      </c>
      <c r="C1245" s="289"/>
      <c r="D1245" s="289"/>
      <c r="E1245" s="290"/>
      <c r="F1245" s="289">
        <v>4079554</v>
      </c>
      <c r="G1245" s="289"/>
      <c r="H1245" s="371" t="s">
        <v>3084</v>
      </c>
      <c r="I1245" s="289"/>
      <c r="J1245" s="289"/>
      <c r="K1245" s="289"/>
      <c r="L1245" s="51"/>
      <c r="M1245" s="290"/>
      <c r="N1245" s="289"/>
      <c r="O1245" s="290"/>
      <c r="P1245" s="324"/>
      <c r="Q1245" s="292" t="s">
        <v>7005</v>
      </c>
      <c r="R1245" s="289"/>
      <c r="S1245" s="293"/>
      <c r="T1245" s="293"/>
      <c r="U1245" s="294"/>
      <c r="V1245" s="295"/>
      <c r="W1245" s="293"/>
      <c r="X1245" s="296"/>
      <c r="Y1245" s="114"/>
      <c r="Z1245" s="114"/>
      <c r="AA1245" s="114"/>
      <c r="AB1245" s="370"/>
      <c r="AC1245" s="525"/>
    </row>
    <row r="1246" spans="1:29" ht="16.5" customHeight="1">
      <c r="A1246" s="289" t="s">
        <v>203</v>
      </c>
      <c r="B1246" s="289" t="s">
        <v>7006</v>
      </c>
      <c r="C1246" s="289"/>
      <c r="D1246" s="289"/>
      <c r="E1246" s="290"/>
      <c r="F1246" s="289">
        <v>4079564</v>
      </c>
      <c r="G1246" s="289"/>
      <c r="H1246" s="371" t="s">
        <v>3084</v>
      </c>
      <c r="I1246" s="289"/>
      <c r="J1246" s="289"/>
      <c r="K1246" s="289"/>
      <c r="L1246" s="51"/>
      <c r="M1246" s="290"/>
      <c r="N1246" s="289"/>
      <c r="O1246" s="290"/>
      <c r="P1246" s="324"/>
      <c r="Q1246" s="292" t="s">
        <v>7007</v>
      </c>
      <c r="R1246" s="289"/>
      <c r="S1246" s="293"/>
      <c r="T1246" s="293"/>
      <c r="U1246" s="294"/>
      <c r="V1246" s="295"/>
      <c r="W1246" s="293"/>
      <c r="X1246" s="296"/>
      <c r="Y1246" s="114"/>
      <c r="Z1246" s="114"/>
      <c r="AA1246" s="114"/>
      <c r="AB1246" s="370"/>
      <c r="AC1246" s="525"/>
    </row>
    <row r="1247" spans="1:29" ht="16.5" customHeight="1">
      <c r="A1247" s="289" t="s">
        <v>203</v>
      </c>
      <c r="B1247" s="289" t="s">
        <v>7008</v>
      </c>
      <c r="C1247" s="289"/>
      <c r="D1247" s="289"/>
      <c r="E1247" s="290"/>
      <c r="F1247" s="289">
        <v>4079396</v>
      </c>
      <c r="G1247" s="289"/>
      <c r="H1247" s="371" t="s">
        <v>3084</v>
      </c>
      <c r="I1247" s="289"/>
      <c r="J1247" s="289"/>
      <c r="K1247" s="289"/>
      <c r="L1247" s="51"/>
      <c r="M1247" s="290"/>
      <c r="N1247" s="289"/>
      <c r="O1247" s="290"/>
      <c r="P1247" s="324"/>
      <c r="Q1247" s="292" t="s">
        <v>7009</v>
      </c>
      <c r="R1247" s="289"/>
      <c r="S1247" s="293"/>
      <c r="T1247" s="293"/>
      <c r="U1247" s="294"/>
      <c r="V1247" s="295"/>
      <c r="W1247" s="293"/>
      <c r="X1247" s="296"/>
      <c r="Y1247" s="114"/>
      <c r="Z1247" s="114"/>
      <c r="AA1247" s="114"/>
      <c r="AB1247" s="370"/>
      <c r="AC1247" s="525"/>
    </row>
    <row r="1248" spans="1:29" ht="16.5" customHeight="1">
      <c r="A1248" s="289" t="s">
        <v>203</v>
      </c>
      <c r="B1248" s="289" t="s">
        <v>7010</v>
      </c>
      <c r="C1248" s="289"/>
      <c r="D1248" s="289"/>
      <c r="E1248" s="290"/>
      <c r="F1248" s="289">
        <v>4079384</v>
      </c>
      <c r="G1248" s="289"/>
      <c r="H1248" s="371" t="s">
        <v>3084</v>
      </c>
      <c r="I1248" s="289"/>
      <c r="J1248" s="289"/>
      <c r="K1248" s="289"/>
      <c r="L1248" s="51"/>
      <c r="M1248" s="290"/>
      <c r="N1248" s="289"/>
      <c r="O1248" s="290"/>
      <c r="P1248" s="324"/>
      <c r="Q1248" s="292" t="s">
        <v>7011</v>
      </c>
      <c r="R1248" s="289"/>
      <c r="S1248" s="293"/>
      <c r="T1248" s="293"/>
      <c r="U1248" s="294"/>
      <c r="V1248" s="295"/>
      <c r="W1248" s="293"/>
      <c r="X1248" s="296"/>
      <c r="Y1248" s="114"/>
      <c r="Z1248" s="114"/>
      <c r="AA1248" s="114"/>
      <c r="AB1248" s="370"/>
      <c r="AC1248" s="525"/>
    </row>
    <row r="1249" spans="1:29" ht="16.5" customHeight="1">
      <c r="A1249" s="289" t="s">
        <v>203</v>
      </c>
      <c r="B1249" s="289" t="s">
        <v>7012</v>
      </c>
      <c r="C1249" s="289"/>
      <c r="D1249" s="289"/>
      <c r="E1249" s="290"/>
      <c r="F1249" s="289">
        <v>4079383</v>
      </c>
      <c r="G1249" s="289"/>
      <c r="H1249" s="371" t="s">
        <v>3084</v>
      </c>
      <c r="I1249" s="289"/>
      <c r="J1249" s="289"/>
      <c r="K1249" s="289"/>
      <c r="L1249" s="51"/>
      <c r="M1249" s="290"/>
      <c r="N1249" s="289"/>
      <c r="O1249" s="290"/>
      <c r="P1249" s="324"/>
      <c r="Q1249" s="292" t="s">
        <v>7013</v>
      </c>
      <c r="R1249" s="289"/>
      <c r="S1249" s="293"/>
      <c r="T1249" s="293"/>
      <c r="U1249" s="294"/>
      <c r="V1249" s="295"/>
      <c r="W1249" s="293"/>
      <c r="X1249" s="296"/>
      <c r="Y1249" s="114"/>
      <c r="Z1249" s="114"/>
      <c r="AA1249" s="114"/>
      <c r="AB1249" s="370"/>
      <c r="AC1249" s="525"/>
    </row>
    <row r="1250" spans="1:29" ht="16.5" customHeight="1">
      <c r="A1250" s="289" t="s">
        <v>203</v>
      </c>
      <c r="B1250" s="289" t="s">
        <v>7014</v>
      </c>
      <c r="C1250" s="289"/>
      <c r="D1250" s="289"/>
      <c r="E1250" s="290"/>
      <c r="F1250" s="289">
        <v>4079552</v>
      </c>
      <c r="G1250" s="289"/>
      <c r="H1250" s="371" t="s">
        <v>3084</v>
      </c>
      <c r="I1250" s="289"/>
      <c r="J1250" s="289"/>
      <c r="K1250" s="289"/>
      <c r="L1250" s="51"/>
      <c r="M1250" s="290"/>
      <c r="N1250" s="289"/>
      <c r="O1250" s="290"/>
      <c r="P1250" s="324"/>
      <c r="Q1250" s="292" t="s">
        <v>7015</v>
      </c>
      <c r="R1250" s="289"/>
      <c r="S1250" s="293"/>
      <c r="T1250" s="293"/>
      <c r="U1250" s="294"/>
      <c r="V1250" s="295"/>
      <c r="W1250" s="293"/>
      <c r="X1250" s="296"/>
      <c r="Y1250" s="114"/>
      <c r="Z1250" s="114"/>
      <c r="AA1250" s="114"/>
      <c r="AB1250" s="370"/>
      <c r="AC1250" s="525"/>
    </row>
    <row r="1251" spans="1:29" ht="16.5" customHeight="1">
      <c r="A1251" s="289" t="s">
        <v>203</v>
      </c>
      <c r="B1251" s="289" t="s">
        <v>7016</v>
      </c>
      <c r="C1251" s="289"/>
      <c r="D1251" s="289"/>
      <c r="E1251" s="290"/>
      <c r="F1251" s="289">
        <v>4079647</v>
      </c>
      <c r="G1251" s="289"/>
      <c r="H1251" s="371" t="s">
        <v>3084</v>
      </c>
      <c r="I1251" s="289"/>
      <c r="J1251" s="289"/>
      <c r="K1251" s="289"/>
      <c r="L1251" s="51"/>
      <c r="M1251" s="290"/>
      <c r="N1251" s="289"/>
      <c r="O1251" s="290"/>
      <c r="P1251" s="324"/>
      <c r="Q1251" s="292" t="s">
        <v>7017</v>
      </c>
      <c r="R1251" s="289"/>
      <c r="S1251" s="293"/>
      <c r="T1251" s="293"/>
      <c r="U1251" s="294"/>
      <c r="V1251" s="295"/>
      <c r="W1251" s="293"/>
      <c r="X1251" s="296"/>
      <c r="Y1251" s="114"/>
      <c r="Z1251" s="114"/>
      <c r="AA1251" s="114"/>
      <c r="AB1251" s="370"/>
      <c r="AC1251" s="525"/>
    </row>
    <row r="1252" spans="1:29" ht="16.5" customHeight="1">
      <c r="A1252" s="289" t="s">
        <v>203</v>
      </c>
      <c r="B1252" s="289" t="s">
        <v>7018</v>
      </c>
      <c r="C1252" s="289"/>
      <c r="D1252" s="289"/>
      <c r="E1252" s="290"/>
      <c r="F1252" s="289">
        <v>4079640</v>
      </c>
      <c r="G1252" s="289"/>
      <c r="H1252" s="371" t="s">
        <v>3084</v>
      </c>
      <c r="I1252" s="289"/>
      <c r="J1252" s="289"/>
      <c r="K1252" s="289"/>
      <c r="L1252" s="51"/>
      <c r="M1252" s="290"/>
      <c r="N1252" s="289"/>
      <c r="O1252" s="290"/>
      <c r="P1252" s="324"/>
      <c r="Q1252" s="292" t="s">
        <v>7019</v>
      </c>
      <c r="R1252" s="289"/>
      <c r="S1252" s="293"/>
      <c r="T1252" s="293"/>
      <c r="U1252" s="294"/>
      <c r="V1252" s="295"/>
      <c r="W1252" s="293"/>
      <c r="X1252" s="296"/>
      <c r="Y1252" s="114"/>
      <c r="Z1252" s="114"/>
      <c r="AA1252" s="114"/>
      <c r="AB1252" s="370"/>
      <c r="AC1252" s="525"/>
    </row>
    <row r="1253" spans="1:29" ht="16.5" customHeight="1">
      <c r="A1253" s="289" t="s">
        <v>203</v>
      </c>
      <c r="B1253" s="289" t="s">
        <v>7020</v>
      </c>
      <c r="C1253" s="289"/>
      <c r="D1253" s="289"/>
      <c r="E1253" s="290"/>
      <c r="F1253" s="289">
        <v>4079626</v>
      </c>
      <c r="G1253" s="289"/>
      <c r="H1253" s="371" t="s">
        <v>3084</v>
      </c>
      <c r="I1253" s="289"/>
      <c r="J1253" s="289"/>
      <c r="K1253" s="289"/>
      <c r="L1253" s="51"/>
      <c r="M1253" s="290"/>
      <c r="N1253" s="289"/>
      <c r="O1253" s="290"/>
      <c r="P1253" s="324"/>
      <c r="Q1253" s="292" t="s">
        <v>7021</v>
      </c>
      <c r="R1253" s="289"/>
      <c r="S1253" s="293"/>
      <c r="T1253" s="293"/>
      <c r="U1253" s="294"/>
      <c r="V1253" s="295"/>
      <c r="W1253" s="293"/>
      <c r="X1253" s="296"/>
      <c r="Y1253" s="114"/>
      <c r="Z1253" s="114"/>
      <c r="AA1253" s="114"/>
      <c r="AB1253" s="370"/>
      <c r="AC1253" s="525"/>
    </row>
    <row r="1254" spans="1:29" ht="16.5" customHeight="1">
      <c r="A1254" s="289" t="s">
        <v>203</v>
      </c>
      <c r="B1254" s="289" t="s">
        <v>7022</v>
      </c>
      <c r="C1254" s="289"/>
      <c r="D1254" s="289"/>
      <c r="E1254" s="290"/>
      <c r="F1254" s="289">
        <v>4079651</v>
      </c>
      <c r="G1254" s="289"/>
      <c r="H1254" s="371" t="s">
        <v>3084</v>
      </c>
      <c r="I1254" s="289"/>
      <c r="J1254" s="289"/>
      <c r="K1254" s="289"/>
      <c r="L1254" s="51"/>
      <c r="M1254" s="290"/>
      <c r="N1254" s="289"/>
      <c r="O1254" s="290"/>
      <c r="P1254" s="324"/>
      <c r="Q1254" s="292" t="s">
        <v>7023</v>
      </c>
      <c r="R1254" s="289"/>
      <c r="S1254" s="293"/>
      <c r="T1254" s="293"/>
      <c r="U1254" s="294"/>
      <c r="V1254" s="295"/>
      <c r="W1254" s="293"/>
      <c r="X1254" s="296"/>
      <c r="Y1254" s="114"/>
      <c r="Z1254" s="114"/>
      <c r="AA1254" s="114"/>
      <c r="AB1254" s="370"/>
      <c r="AC1254" s="525"/>
    </row>
    <row r="1255" spans="1:29" ht="16.5" customHeight="1">
      <c r="A1255" s="289" t="s">
        <v>203</v>
      </c>
      <c r="B1255" s="289" t="s">
        <v>7024</v>
      </c>
      <c r="C1255" s="289"/>
      <c r="D1255" s="289"/>
      <c r="E1255" s="290"/>
      <c r="F1255" s="289">
        <v>4079616</v>
      </c>
      <c r="G1255" s="289"/>
      <c r="H1255" s="371" t="s">
        <v>3084</v>
      </c>
      <c r="I1255" s="289"/>
      <c r="J1255" s="289"/>
      <c r="K1255" s="289"/>
      <c r="L1255" s="51"/>
      <c r="M1255" s="290"/>
      <c r="N1255" s="289"/>
      <c r="O1255" s="290"/>
      <c r="P1255" s="324"/>
      <c r="Q1255" s="292" t="s">
        <v>7025</v>
      </c>
      <c r="R1255" s="289"/>
      <c r="S1255" s="293"/>
      <c r="T1255" s="293"/>
      <c r="U1255" s="294"/>
      <c r="V1255" s="295"/>
      <c r="W1255" s="293"/>
      <c r="X1255" s="296"/>
      <c r="Y1255" s="114"/>
      <c r="Z1255" s="114"/>
      <c r="AA1255" s="114"/>
      <c r="AB1255" s="370"/>
      <c r="AC1255" s="525"/>
    </row>
    <row r="1256" spans="1:29" ht="15.75" customHeight="1">
      <c r="A1256" s="289" t="s">
        <v>203</v>
      </c>
      <c r="B1256" s="289" t="s">
        <v>7026</v>
      </c>
      <c r="C1256" s="289"/>
      <c r="D1256" s="289"/>
      <c r="E1256" s="290"/>
      <c r="F1256" s="289">
        <v>4079571</v>
      </c>
      <c r="G1256" s="289"/>
      <c r="H1256" s="371" t="s">
        <v>3084</v>
      </c>
      <c r="I1256" s="289"/>
      <c r="J1256" s="289"/>
      <c r="K1256" s="289"/>
      <c r="L1256" s="51"/>
      <c r="M1256" s="290"/>
      <c r="N1256" s="289"/>
      <c r="O1256" s="290"/>
      <c r="P1256" s="324"/>
      <c r="Q1256" s="292" t="s">
        <v>7027</v>
      </c>
      <c r="R1256" s="289"/>
      <c r="S1256" s="293"/>
      <c r="T1256" s="293"/>
      <c r="U1256" s="294"/>
      <c r="V1256" s="295"/>
      <c r="W1256" s="293"/>
      <c r="X1256" s="296"/>
      <c r="Y1256" s="114"/>
      <c r="Z1256" s="114"/>
      <c r="AA1256" s="114"/>
      <c r="AB1256" s="370"/>
      <c r="AC1256" s="525"/>
    </row>
    <row r="1257" spans="1:29" ht="15.75" customHeight="1">
      <c r="A1257" s="289" t="s">
        <v>203</v>
      </c>
      <c r="B1257" s="289" t="s">
        <v>7028</v>
      </c>
      <c r="C1257" s="289"/>
      <c r="D1257" s="289"/>
      <c r="E1257" s="290"/>
      <c r="F1257" s="289">
        <v>4079687</v>
      </c>
      <c r="G1257" s="289"/>
      <c r="H1257" s="371" t="s">
        <v>3084</v>
      </c>
      <c r="I1257" s="289"/>
      <c r="J1257" s="289"/>
      <c r="K1257" s="289"/>
      <c r="L1257" s="51"/>
      <c r="M1257" s="290"/>
      <c r="N1257" s="289"/>
      <c r="O1257" s="290"/>
      <c r="P1257" s="324"/>
      <c r="Q1257" s="292" t="s">
        <v>7029</v>
      </c>
      <c r="R1257" s="289"/>
      <c r="S1257" s="293"/>
      <c r="T1257" s="293"/>
      <c r="U1257" s="294"/>
      <c r="V1257" s="295"/>
      <c r="W1257" s="293"/>
      <c r="X1257" s="296"/>
      <c r="Y1257" s="114"/>
      <c r="Z1257" s="114"/>
      <c r="AA1257" s="114"/>
      <c r="AB1257" s="370"/>
      <c r="AC1257" s="525"/>
    </row>
    <row r="1258" spans="1:29" ht="15.75" customHeight="1">
      <c r="A1258" s="289" t="s">
        <v>203</v>
      </c>
      <c r="B1258" s="289" t="s">
        <v>7030</v>
      </c>
      <c r="C1258" s="289"/>
      <c r="D1258" s="289"/>
      <c r="E1258" s="290"/>
      <c r="F1258" s="289">
        <v>4079496</v>
      </c>
      <c r="G1258" s="289"/>
      <c r="H1258" s="371" t="s">
        <v>3084</v>
      </c>
      <c r="I1258" s="289"/>
      <c r="J1258" s="289"/>
      <c r="K1258" s="289"/>
      <c r="L1258" s="51"/>
      <c r="M1258" s="290"/>
      <c r="N1258" s="289"/>
      <c r="O1258" s="290"/>
      <c r="P1258" s="324"/>
      <c r="Q1258" s="292" t="s">
        <v>7031</v>
      </c>
      <c r="R1258" s="289"/>
      <c r="S1258" s="293"/>
      <c r="T1258" s="293" t="s">
        <v>5419</v>
      </c>
      <c r="U1258" s="294"/>
      <c r="V1258" s="295"/>
      <c r="W1258" s="293"/>
      <c r="X1258" s="296"/>
      <c r="Y1258" s="114"/>
      <c r="Z1258" s="114"/>
      <c r="AA1258" s="114"/>
      <c r="AB1258" s="370"/>
      <c r="AC1258" s="525"/>
    </row>
    <row r="1259" spans="1:29" ht="15.75" customHeight="1">
      <c r="A1259" s="289" t="s">
        <v>203</v>
      </c>
      <c r="B1259" s="289" t="s">
        <v>7032</v>
      </c>
      <c r="C1259" s="289"/>
      <c r="D1259" s="289"/>
      <c r="E1259" s="290"/>
      <c r="F1259" s="289">
        <v>4079335</v>
      </c>
      <c r="G1259" s="289"/>
      <c r="H1259" s="371" t="s">
        <v>3084</v>
      </c>
      <c r="I1259" s="289"/>
      <c r="J1259" s="289"/>
      <c r="K1259" s="289"/>
      <c r="L1259" s="51"/>
      <c r="M1259" s="290"/>
      <c r="N1259" s="289"/>
      <c r="O1259" s="290"/>
      <c r="P1259" s="324"/>
      <c r="Q1259" s="292" t="s">
        <v>7033</v>
      </c>
      <c r="R1259" s="289"/>
      <c r="S1259" s="293"/>
      <c r="T1259" s="293"/>
      <c r="U1259" s="294"/>
      <c r="V1259" s="295"/>
      <c r="W1259" s="293"/>
      <c r="X1259" s="296"/>
      <c r="Y1259" s="114"/>
      <c r="Z1259" s="114"/>
      <c r="AA1259" s="114"/>
      <c r="AB1259" s="370"/>
      <c r="AC1259" s="525"/>
    </row>
    <row r="1260" spans="1:29" ht="15.75" customHeight="1">
      <c r="A1260" s="289" t="s">
        <v>203</v>
      </c>
      <c r="B1260" s="289" t="s">
        <v>7034</v>
      </c>
      <c r="C1260" s="289"/>
      <c r="D1260" s="289"/>
      <c r="E1260" s="290"/>
      <c r="F1260" s="289">
        <v>4079448</v>
      </c>
      <c r="G1260" s="289"/>
      <c r="H1260" s="371" t="s">
        <v>3084</v>
      </c>
      <c r="I1260" s="289"/>
      <c r="J1260" s="289"/>
      <c r="K1260" s="289"/>
      <c r="L1260" s="51"/>
      <c r="M1260" s="290"/>
      <c r="N1260" s="289"/>
      <c r="O1260" s="290"/>
      <c r="P1260" s="324"/>
      <c r="Q1260" s="292" t="s">
        <v>7035</v>
      </c>
      <c r="R1260" s="289"/>
      <c r="S1260" s="293"/>
      <c r="T1260" s="293"/>
      <c r="U1260" s="294"/>
      <c r="V1260" s="295"/>
      <c r="W1260" s="293"/>
      <c r="X1260" s="296"/>
      <c r="Y1260" s="114"/>
      <c r="Z1260" s="114"/>
      <c r="AA1260" s="114"/>
      <c r="AB1260" s="370"/>
      <c r="AC1260" s="525"/>
    </row>
    <row r="1261" spans="1:29" ht="15.75" customHeight="1">
      <c r="A1261" s="289" t="s">
        <v>203</v>
      </c>
      <c r="B1261" s="289" t="s">
        <v>7036</v>
      </c>
      <c r="C1261" s="289"/>
      <c r="D1261" s="289"/>
      <c r="E1261" s="290"/>
      <c r="F1261" s="289">
        <v>4079353</v>
      </c>
      <c r="G1261" s="289"/>
      <c r="H1261" s="371" t="s">
        <v>3084</v>
      </c>
      <c r="I1261" s="289"/>
      <c r="J1261" s="289"/>
      <c r="K1261" s="289"/>
      <c r="L1261" s="51"/>
      <c r="M1261" s="290"/>
      <c r="N1261" s="289"/>
      <c r="O1261" s="290"/>
      <c r="P1261" s="324"/>
      <c r="Q1261" s="292" t="s">
        <v>7037</v>
      </c>
      <c r="R1261" s="289"/>
      <c r="S1261" s="293"/>
      <c r="T1261" s="293"/>
      <c r="U1261" s="294"/>
      <c r="V1261" s="295"/>
      <c r="W1261" s="293"/>
      <c r="X1261" s="296"/>
      <c r="Y1261" s="114"/>
      <c r="Z1261" s="114"/>
      <c r="AA1261" s="114"/>
      <c r="AB1261" s="370"/>
      <c r="AC1261" s="525"/>
    </row>
    <row r="1262" spans="1:29" ht="15.75" customHeight="1">
      <c r="A1262" s="289" t="s">
        <v>203</v>
      </c>
      <c r="B1262" s="289" t="s">
        <v>7038</v>
      </c>
      <c r="C1262" s="289"/>
      <c r="D1262" s="289"/>
      <c r="E1262" s="290"/>
      <c r="F1262" s="289">
        <v>4079487</v>
      </c>
      <c r="G1262" s="289"/>
      <c r="H1262" s="371" t="s">
        <v>3084</v>
      </c>
      <c r="I1262" s="289"/>
      <c r="J1262" s="289"/>
      <c r="K1262" s="289"/>
      <c r="L1262" s="51"/>
      <c r="M1262" s="290"/>
      <c r="N1262" s="289"/>
      <c r="O1262" s="290"/>
      <c r="P1262" s="324"/>
      <c r="Q1262" s="292" t="s">
        <v>7039</v>
      </c>
      <c r="R1262" s="289"/>
      <c r="S1262" s="293"/>
      <c r="T1262" s="293"/>
      <c r="U1262" s="294"/>
      <c r="V1262" s="295"/>
      <c r="W1262" s="293"/>
      <c r="X1262" s="296"/>
      <c r="Y1262" s="114"/>
      <c r="Z1262" s="114"/>
      <c r="AA1262" s="114"/>
      <c r="AB1262" s="370"/>
      <c r="AC1262" s="525"/>
    </row>
    <row r="1263" spans="1:29" ht="15.75" customHeight="1">
      <c r="A1263" s="289" t="s">
        <v>203</v>
      </c>
      <c r="B1263" s="289" t="s">
        <v>7040</v>
      </c>
      <c r="C1263" s="289"/>
      <c r="D1263" s="289"/>
      <c r="E1263" s="290"/>
      <c r="F1263" s="289">
        <v>4079578</v>
      </c>
      <c r="G1263" s="289"/>
      <c r="H1263" s="371" t="s">
        <v>3084</v>
      </c>
      <c r="I1263" s="289"/>
      <c r="J1263" s="289"/>
      <c r="K1263" s="289"/>
      <c r="L1263" s="51"/>
      <c r="M1263" s="290"/>
      <c r="N1263" s="289"/>
      <c r="O1263" s="290"/>
      <c r="P1263" s="324"/>
      <c r="Q1263" s="292" t="s">
        <v>7041</v>
      </c>
      <c r="R1263" s="289"/>
      <c r="S1263" s="293"/>
      <c r="T1263" s="293"/>
      <c r="U1263" s="294"/>
      <c r="V1263" s="295"/>
      <c r="W1263" s="293"/>
      <c r="X1263" s="296"/>
      <c r="Y1263" s="114"/>
      <c r="Z1263" s="114"/>
      <c r="AA1263" s="114"/>
      <c r="AB1263" s="370"/>
      <c r="AC1263" s="525"/>
    </row>
    <row r="1264" spans="1:29" ht="15.75" customHeight="1">
      <c r="A1264" s="289" t="s">
        <v>203</v>
      </c>
      <c r="B1264" s="289" t="s">
        <v>7042</v>
      </c>
      <c r="C1264" s="289"/>
      <c r="D1264" s="289"/>
      <c r="E1264" s="290"/>
      <c r="F1264" s="289">
        <v>4079341</v>
      </c>
      <c r="G1264" s="289"/>
      <c r="H1264" s="371" t="s">
        <v>3084</v>
      </c>
      <c r="I1264" s="289"/>
      <c r="J1264" s="289"/>
      <c r="K1264" s="289"/>
      <c r="L1264" s="51"/>
      <c r="M1264" s="290"/>
      <c r="N1264" s="289"/>
      <c r="O1264" s="290"/>
      <c r="P1264" s="324"/>
      <c r="Q1264" s="292" t="s">
        <v>7043</v>
      </c>
      <c r="R1264" s="289"/>
      <c r="S1264" s="293"/>
      <c r="T1264" s="293"/>
      <c r="U1264" s="294"/>
      <c r="V1264" s="295"/>
      <c r="W1264" s="293"/>
      <c r="X1264" s="296"/>
      <c r="Y1264" s="114"/>
      <c r="Z1264" s="114"/>
      <c r="AA1264" s="114"/>
      <c r="AB1264" s="370"/>
      <c r="AC1264" s="525"/>
    </row>
    <row r="1265" spans="1:29" ht="15.75" customHeight="1">
      <c r="A1265" s="289" t="s">
        <v>203</v>
      </c>
      <c r="B1265" s="289" t="s">
        <v>7044</v>
      </c>
      <c r="C1265" s="289"/>
      <c r="D1265" s="289"/>
      <c r="E1265" s="290"/>
      <c r="F1265" s="289">
        <v>4079499</v>
      </c>
      <c r="G1265" s="289"/>
      <c r="H1265" s="371" t="s">
        <v>3084</v>
      </c>
      <c r="I1265" s="289"/>
      <c r="J1265" s="289"/>
      <c r="K1265" s="289"/>
      <c r="L1265" s="51"/>
      <c r="M1265" s="290"/>
      <c r="N1265" s="289"/>
      <c r="O1265" s="290"/>
      <c r="P1265" s="324"/>
      <c r="Q1265" s="292" t="s">
        <v>7045</v>
      </c>
      <c r="R1265" s="289"/>
      <c r="S1265" s="293"/>
      <c r="T1265" s="293"/>
      <c r="U1265" s="294"/>
      <c r="V1265" s="295"/>
      <c r="W1265" s="293"/>
      <c r="X1265" s="296"/>
      <c r="Y1265" s="114"/>
      <c r="Z1265" s="114"/>
      <c r="AA1265" s="114"/>
      <c r="AB1265" s="370"/>
      <c r="AC1265" s="525"/>
    </row>
    <row r="1266" spans="1:29" ht="15.75" customHeight="1">
      <c r="A1266" s="289" t="s">
        <v>203</v>
      </c>
      <c r="B1266" s="289" t="s">
        <v>7046</v>
      </c>
      <c r="C1266" s="289"/>
      <c r="D1266" s="289"/>
      <c r="E1266" s="290"/>
      <c r="F1266" s="289">
        <v>4079484</v>
      </c>
      <c r="G1266" s="289"/>
      <c r="H1266" s="371" t="s">
        <v>3084</v>
      </c>
      <c r="I1266" s="289"/>
      <c r="J1266" s="289"/>
      <c r="K1266" s="289"/>
      <c r="L1266" s="51"/>
      <c r="M1266" s="290"/>
      <c r="N1266" s="289"/>
      <c r="O1266" s="290"/>
      <c r="P1266" s="324"/>
      <c r="Q1266" s="292" t="s">
        <v>7047</v>
      </c>
      <c r="R1266" s="289"/>
      <c r="S1266" s="293"/>
      <c r="T1266" s="293"/>
      <c r="U1266" s="294"/>
      <c r="V1266" s="295"/>
      <c r="W1266" s="293"/>
      <c r="X1266" s="296"/>
      <c r="Y1266" s="114"/>
      <c r="Z1266" s="114"/>
      <c r="AA1266" s="114"/>
      <c r="AB1266" s="370"/>
      <c r="AC1266" s="525"/>
    </row>
    <row r="1267" spans="1:29" ht="15.75" customHeight="1">
      <c r="A1267" s="289" t="s">
        <v>203</v>
      </c>
      <c r="B1267" s="289" t="s">
        <v>7048</v>
      </c>
      <c r="C1267" s="289"/>
      <c r="D1267" s="289"/>
      <c r="E1267" s="290"/>
      <c r="F1267" s="289">
        <v>4079525</v>
      </c>
      <c r="G1267" s="289"/>
      <c r="H1267" s="371" t="s">
        <v>3084</v>
      </c>
      <c r="I1267" s="289"/>
      <c r="J1267" s="289"/>
      <c r="K1267" s="289"/>
      <c r="L1267" s="51"/>
      <c r="M1267" s="290"/>
      <c r="N1267" s="289"/>
      <c r="O1267" s="290"/>
      <c r="P1267" s="324"/>
      <c r="Q1267" s="292" t="s">
        <v>7049</v>
      </c>
      <c r="R1267" s="289"/>
      <c r="S1267" s="293"/>
      <c r="T1267" s="293"/>
      <c r="U1267" s="294"/>
      <c r="V1267" s="295"/>
      <c r="W1267" s="293"/>
      <c r="X1267" s="296"/>
      <c r="Y1267" s="114"/>
      <c r="Z1267" s="114"/>
      <c r="AA1267" s="114"/>
      <c r="AB1267" s="370"/>
      <c r="AC1267" s="525"/>
    </row>
    <row r="1268" spans="1:29" ht="15.75" customHeight="1">
      <c r="A1268" s="289" t="s">
        <v>203</v>
      </c>
      <c r="B1268" s="289" t="s">
        <v>7050</v>
      </c>
      <c r="C1268" s="289"/>
      <c r="D1268" s="289"/>
      <c r="E1268" s="290"/>
      <c r="F1268" s="289">
        <v>4079326</v>
      </c>
      <c r="G1268" s="289"/>
      <c r="H1268" s="371" t="s">
        <v>3084</v>
      </c>
      <c r="I1268" s="289"/>
      <c r="J1268" s="289"/>
      <c r="K1268" s="289"/>
      <c r="L1268" s="51"/>
      <c r="M1268" s="290"/>
      <c r="N1268" s="289"/>
      <c r="O1268" s="290"/>
      <c r="P1268" s="324"/>
      <c r="Q1268" s="292" t="s">
        <v>7051</v>
      </c>
      <c r="R1268" s="289"/>
      <c r="S1268" s="293"/>
      <c r="T1268" s="293"/>
      <c r="U1268" s="294"/>
      <c r="V1268" s="295"/>
      <c r="W1268" s="293"/>
      <c r="X1268" s="296"/>
      <c r="Y1268" s="114"/>
      <c r="Z1268" s="114"/>
      <c r="AA1268" s="114"/>
      <c r="AB1268" s="370"/>
      <c r="AC1268" s="525"/>
    </row>
    <row r="1269" spans="1:29" ht="15.75" customHeight="1">
      <c r="A1269" s="289" t="s">
        <v>203</v>
      </c>
      <c r="B1269" s="289" t="s">
        <v>7052</v>
      </c>
      <c r="C1269" s="289"/>
      <c r="D1269" s="289"/>
      <c r="E1269" s="290"/>
      <c r="F1269" s="289">
        <v>4079446</v>
      </c>
      <c r="G1269" s="289"/>
      <c r="H1269" s="371" t="s">
        <v>3084</v>
      </c>
      <c r="I1269" s="289"/>
      <c r="J1269" s="289"/>
      <c r="K1269" s="289"/>
      <c r="L1269" s="51"/>
      <c r="M1269" s="290"/>
      <c r="N1269" s="289"/>
      <c r="O1269" s="290"/>
      <c r="P1269" s="324"/>
      <c r="Q1269" s="292" t="s">
        <v>7053</v>
      </c>
      <c r="R1269" s="289"/>
      <c r="S1269" s="293"/>
      <c r="T1269" s="293"/>
      <c r="U1269" s="294"/>
      <c r="V1269" s="295"/>
      <c r="W1269" s="293"/>
      <c r="X1269" s="296"/>
      <c r="Y1269" s="114"/>
      <c r="Z1269" s="114"/>
      <c r="AA1269" s="114"/>
      <c r="AB1269" s="370"/>
      <c r="AC1269" s="525"/>
    </row>
    <row r="1270" spans="1:29" ht="15.75" customHeight="1">
      <c r="A1270" s="289" t="s">
        <v>203</v>
      </c>
      <c r="B1270" s="289" t="s">
        <v>7054</v>
      </c>
      <c r="C1270" s="289"/>
      <c r="D1270" s="289"/>
      <c r="E1270" s="290"/>
      <c r="F1270" s="289">
        <v>4079455</v>
      </c>
      <c r="G1270" s="289"/>
      <c r="H1270" s="371" t="s">
        <v>3084</v>
      </c>
      <c r="I1270" s="289"/>
      <c r="J1270" s="289"/>
      <c r="K1270" s="289"/>
      <c r="L1270" s="51"/>
      <c r="M1270" s="290"/>
      <c r="N1270" s="289"/>
      <c r="O1270" s="290"/>
      <c r="P1270" s="324"/>
      <c r="Q1270" s="292" t="s">
        <v>7055</v>
      </c>
      <c r="R1270" s="289"/>
      <c r="S1270" s="293"/>
      <c r="T1270" s="293"/>
      <c r="U1270" s="294"/>
      <c r="V1270" s="295"/>
      <c r="W1270" s="293"/>
      <c r="X1270" s="296"/>
      <c r="Y1270" s="114"/>
      <c r="Z1270" s="114"/>
      <c r="AA1270" s="114"/>
      <c r="AB1270" s="370"/>
      <c r="AC1270" s="525"/>
    </row>
    <row r="1271" spans="1:29" ht="15.75" customHeight="1">
      <c r="A1271" s="289" t="s">
        <v>203</v>
      </c>
      <c r="B1271" s="289" t="s">
        <v>7056</v>
      </c>
      <c r="C1271" s="289"/>
      <c r="D1271" s="289"/>
      <c r="E1271" s="290"/>
      <c r="F1271" s="289"/>
      <c r="G1271" s="289"/>
      <c r="H1271" s="371" t="s">
        <v>3084</v>
      </c>
      <c r="I1271" s="289"/>
      <c r="J1271" s="289"/>
      <c r="K1271" s="289"/>
      <c r="L1271" s="51"/>
      <c r="M1271" s="290"/>
      <c r="N1271" s="289"/>
      <c r="O1271" s="290"/>
      <c r="P1271" s="324"/>
      <c r="Q1271" s="292" t="s">
        <v>7057</v>
      </c>
      <c r="R1271" s="289"/>
      <c r="S1271" s="293"/>
      <c r="T1271" s="293"/>
      <c r="U1271" s="294"/>
      <c r="V1271" s="295"/>
      <c r="W1271" s="293"/>
      <c r="X1271" s="296"/>
      <c r="Y1271" s="114"/>
      <c r="Z1271" s="114"/>
      <c r="AA1271" s="114"/>
      <c r="AB1271" s="370"/>
      <c r="AC1271" s="525"/>
    </row>
    <row r="1272" spans="1:29" ht="15.75" customHeight="1">
      <c r="A1272" s="289" t="s">
        <v>203</v>
      </c>
      <c r="B1272" s="289" t="s">
        <v>7058</v>
      </c>
      <c r="C1272" s="289"/>
      <c r="D1272" s="289"/>
      <c r="E1272" s="290"/>
      <c r="F1272" s="289"/>
      <c r="G1272" s="289"/>
      <c r="H1272" s="371" t="s">
        <v>3084</v>
      </c>
      <c r="I1272" s="289"/>
      <c r="J1272" s="289"/>
      <c r="K1272" s="289"/>
      <c r="L1272" s="51"/>
      <c r="M1272" s="290"/>
      <c r="N1272" s="289"/>
      <c r="O1272" s="290"/>
      <c r="P1272" s="324"/>
      <c r="Q1272" s="292" t="s">
        <v>7059</v>
      </c>
      <c r="R1272" s="289"/>
      <c r="S1272" s="293"/>
      <c r="T1272" s="293"/>
      <c r="U1272" s="294"/>
      <c r="V1272" s="295"/>
      <c r="W1272" s="293"/>
      <c r="X1272" s="296"/>
      <c r="Y1272" s="114"/>
      <c r="Z1272" s="114"/>
      <c r="AA1272" s="114"/>
      <c r="AB1272" s="370"/>
      <c r="AC1272" s="525"/>
    </row>
    <row r="1273" spans="1:29" ht="15.75" customHeight="1">
      <c r="A1273" s="289" t="s">
        <v>203</v>
      </c>
      <c r="B1273" s="289" t="s">
        <v>7060</v>
      </c>
      <c r="C1273" s="289"/>
      <c r="D1273" s="289"/>
      <c r="E1273" s="290"/>
      <c r="F1273" s="289"/>
      <c r="G1273" s="289"/>
      <c r="H1273" s="371" t="s">
        <v>3084</v>
      </c>
      <c r="I1273" s="289"/>
      <c r="J1273" s="289"/>
      <c r="K1273" s="289"/>
      <c r="L1273" s="51"/>
      <c r="M1273" s="290"/>
      <c r="N1273" s="289"/>
      <c r="O1273" s="290"/>
      <c r="P1273" s="324"/>
      <c r="Q1273" s="292" t="s">
        <v>7061</v>
      </c>
      <c r="R1273" s="289"/>
      <c r="S1273" s="293"/>
      <c r="T1273" s="293"/>
      <c r="U1273" s="294"/>
      <c r="V1273" s="295"/>
      <c r="W1273" s="293"/>
      <c r="X1273" s="296"/>
      <c r="Y1273" s="114"/>
      <c r="Z1273" s="114"/>
      <c r="AA1273" s="114"/>
      <c r="AB1273" s="370"/>
      <c r="AC1273" s="525"/>
    </row>
    <row r="1274" spans="1:29" ht="15.75" customHeight="1">
      <c r="A1274" s="289" t="s">
        <v>203</v>
      </c>
      <c r="B1274" s="289" t="s">
        <v>7062</v>
      </c>
      <c r="C1274" s="289"/>
      <c r="D1274" s="289"/>
      <c r="E1274" s="290"/>
      <c r="F1274" s="289"/>
      <c r="G1274" s="289"/>
      <c r="H1274" s="371" t="s">
        <v>3084</v>
      </c>
      <c r="I1274" s="289"/>
      <c r="J1274" s="289"/>
      <c r="K1274" s="289"/>
      <c r="L1274" s="51"/>
      <c r="M1274" s="290"/>
      <c r="N1274" s="289"/>
      <c r="O1274" s="290"/>
      <c r="P1274" s="324"/>
      <c r="Q1274" s="292" t="s">
        <v>7063</v>
      </c>
      <c r="R1274" s="289"/>
      <c r="S1274" s="293"/>
      <c r="T1274" s="293"/>
      <c r="U1274" s="294"/>
      <c r="V1274" s="295"/>
      <c r="W1274" s="293"/>
      <c r="X1274" s="296"/>
      <c r="Y1274" s="114"/>
      <c r="Z1274" s="114"/>
      <c r="AA1274" s="114"/>
      <c r="AB1274" s="370"/>
      <c r="AC1274" s="525"/>
    </row>
    <row r="1275" spans="1:29" ht="15.75" customHeight="1">
      <c r="A1275" s="289" t="s">
        <v>203</v>
      </c>
      <c r="B1275" s="289" t="s">
        <v>7064</v>
      </c>
      <c r="C1275" s="289"/>
      <c r="D1275" s="289"/>
      <c r="E1275" s="290"/>
      <c r="F1275" s="289"/>
      <c r="G1275" s="289"/>
      <c r="H1275" s="371" t="s">
        <v>3084</v>
      </c>
      <c r="I1275" s="289"/>
      <c r="J1275" s="289"/>
      <c r="K1275" s="289"/>
      <c r="L1275" s="51"/>
      <c r="M1275" s="290"/>
      <c r="N1275" s="289"/>
      <c r="O1275" s="290"/>
      <c r="P1275" s="324"/>
      <c r="Q1275" s="292" t="s">
        <v>7065</v>
      </c>
      <c r="R1275" s="289"/>
      <c r="S1275" s="293"/>
      <c r="T1275" s="293"/>
      <c r="U1275" s="294"/>
      <c r="V1275" s="295"/>
      <c r="W1275" s="293"/>
      <c r="X1275" s="296"/>
      <c r="Y1275" s="114"/>
      <c r="Z1275" s="114"/>
      <c r="AA1275" s="114"/>
      <c r="AB1275" s="370"/>
      <c r="AC1275" s="525"/>
    </row>
    <row r="1276" spans="1:29" ht="15.75" customHeight="1">
      <c r="A1276" s="289" t="s">
        <v>203</v>
      </c>
      <c r="B1276" s="289" t="s">
        <v>7066</v>
      </c>
      <c r="C1276" s="289"/>
      <c r="D1276" s="289"/>
      <c r="E1276" s="290"/>
      <c r="F1276" s="289"/>
      <c r="G1276" s="289"/>
      <c r="H1276" s="371" t="s">
        <v>3084</v>
      </c>
      <c r="I1276" s="289"/>
      <c r="J1276" s="289"/>
      <c r="K1276" s="289"/>
      <c r="L1276" s="51"/>
      <c r="M1276" s="290"/>
      <c r="N1276" s="289"/>
      <c r="O1276" s="290"/>
      <c r="P1276" s="324"/>
      <c r="Q1276" s="292" t="s">
        <v>7067</v>
      </c>
      <c r="R1276" s="289"/>
      <c r="S1276" s="293"/>
      <c r="T1276" s="293"/>
      <c r="U1276" s="294"/>
      <c r="V1276" s="295"/>
      <c r="W1276" s="293"/>
      <c r="X1276" s="296"/>
      <c r="Y1276" s="114"/>
      <c r="Z1276" s="114"/>
      <c r="AA1276" s="114"/>
      <c r="AB1276" s="370"/>
      <c r="AC1276" s="525"/>
    </row>
    <row r="1277" spans="1:29" ht="15.75" customHeight="1">
      <c r="A1277" s="289" t="s">
        <v>203</v>
      </c>
      <c r="B1277" s="289" t="s">
        <v>7068</v>
      </c>
      <c r="C1277" s="289"/>
      <c r="D1277" s="289"/>
      <c r="E1277" s="290"/>
      <c r="F1277" s="289"/>
      <c r="G1277" s="289"/>
      <c r="H1277" s="371" t="s">
        <v>3084</v>
      </c>
      <c r="I1277" s="289"/>
      <c r="J1277" s="289"/>
      <c r="K1277" s="289"/>
      <c r="L1277" s="51"/>
      <c r="M1277" s="290"/>
      <c r="N1277" s="289"/>
      <c r="O1277" s="290"/>
      <c r="P1277" s="324"/>
      <c r="Q1277" s="292" t="s">
        <v>7069</v>
      </c>
      <c r="R1277" s="289"/>
      <c r="S1277" s="293"/>
      <c r="T1277" s="293"/>
      <c r="U1277" s="294"/>
      <c r="V1277" s="295"/>
      <c r="W1277" s="293"/>
      <c r="X1277" s="296"/>
      <c r="Y1277" s="114"/>
      <c r="Z1277" s="114"/>
      <c r="AA1277" s="114"/>
      <c r="AB1277" s="370"/>
      <c r="AC1277" s="525"/>
    </row>
    <row r="1278" spans="1:29" ht="15.75" customHeight="1">
      <c r="A1278" s="289" t="s">
        <v>203</v>
      </c>
      <c r="B1278" s="289" t="s">
        <v>7070</v>
      </c>
      <c r="C1278" s="289"/>
      <c r="D1278" s="289"/>
      <c r="E1278" s="290"/>
      <c r="F1278" s="289"/>
      <c r="G1278" s="289"/>
      <c r="H1278" s="371" t="s">
        <v>3084</v>
      </c>
      <c r="I1278" s="289"/>
      <c r="J1278" s="289"/>
      <c r="K1278" s="289"/>
      <c r="L1278" s="51"/>
      <c r="M1278" s="290"/>
      <c r="N1278" s="289"/>
      <c r="O1278" s="290"/>
      <c r="P1278" s="324"/>
      <c r="Q1278" s="292" t="s">
        <v>7071</v>
      </c>
      <c r="R1278" s="289"/>
      <c r="S1278" s="293"/>
      <c r="T1278" s="293"/>
      <c r="U1278" s="294"/>
      <c r="V1278" s="295"/>
      <c r="W1278" s="293"/>
      <c r="X1278" s="296"/>
      <c r="Y1278" s="114"/>
      <c r="Z1278" s="114"/>
      <c r="AA1278" s="114"/>
      <c r="AB1278" s="370"/>
      <c r="AC1278" s="525"/>
    </row>
    <row r="1279" spans="1:29" ht="15.75" customHeight="1">
      <c r="A1279" s="289" t="s">
        <v>203</v>
      </c>
      <c r="B1279" s="289" t="s">
        <v>7072</v>
      </c>
      <c r="C1279" s="289"/>
      <c r="D1279" s="289"/>
      <c r="E1279" s="290"/>
      <c r="F1279" s="289"/>
      <c r="G1279" s="289"/>
      <c r="H1279" s="371" t="s">
        <v>3084</v>
      </c>
      <c r="I1279" s="289"/>
      <c r="J1279" s="289"/>
      <c r="K1279" s="289"/>
      <c r="L1279" s="51"/>
      <c r="M1279" s="290"/>
      <c r="N1279" s="289"/>
      <c r="O1279" s="290"/>
      <c r="P1279" s="324"/>
      <c r="Q1279" s="292" t="s">
        <v>7073</v>
      </c>
      <c r="R1279" s="289"/>
      <c r="S1279" s="293"/>
      <c r="T1279" s="293"/>
      <c r="U1279" s="294"/>
      <c r="V1279" s="295"/>
      <c r="W1279" s="293"/>
      <c r="X1279" s="296"/>
      <c r="Y1279" s="114"/>
      <c r="Z1279" s="114"/>
      <c r="AA1279" s="114"/>
      <c r="AB1279" s="370"/>
      <c r="AC1279" s="525"/>
    </row>
    <row r="1280" spans="1:29" ht="15.75" customHeight="1">
      <c r="A1280" s="289" t="s">
        <v>203</v>
      </c>
      <c r="B1280" s="289" t="s">
        <v>7074</v>
      </c>
      <c r="C1280" s="289"/>
      <c r="D1280" s="289"/>
      <c r="E1280" s="290"/>
      <c r="F1280" s="289"/>
      <c r="G1280" s="289"/>
      <c r="H1280" s="371" t="s">
        <v>3084</v>
      </c>
      <c r="I1280" s="289"/>
      <c r="J1280" s="289"/>
      <c r="K1280" s="289"/>
      <c r="L1280" s="51"/>
      <c r="M1280" s="290"/>
      <c r="N1280" s="289"/>
      <c r="O1280" s="290"/>
      <c r="P1280" s="324"/>
      <c r="Q1280" s="292" t="s">
        <v>7075</v>
      </c>
      <c r="R1280" s="289"/>
      <c r="S1280" s="293"/>
      <c r="T1280" s="293"/>
      <c r="U1280" s="294"/>
      <c r="V1280" s="295"/>
      <c r="W1280" s="293"/>
      <c r="X1280" s="296"/>
      <c r="Y1280" s="114"/>
      <c r="Z1280" s="114"/>
      <c r="AA1280" s="114"/>
      <c r="AB1280" s="370"/>
      <c r="AC1280" s="525"/>
    </row>
    <row r="1281" spans="1:29" ht="15.75" customHeight="1">
      <c r="A1281" s="289" t="s">
        <v>203</v>
      </c>
      <c r="B1281" s="289" t="s">
        <v>7076</v>
      </c>
      <c r="C1281" s="289"/>
      <c r="D1281" s="289"/>
      <c r="E1281" s="290"/>
      <c r="F1281" s="289"/>
      <c r="G1281" s="289"/>
      <c r="H1281" s="371" t="s">
        <v>3084</v>
      </c>
      <c r="I1281" s="289"/>
      <c r="J1281" s="289"/>
      <c r="K1281" s="289"/>
      <c r="L1281" s="51"/>
      <c r="M1281" s="290"/>
      <c r="N1281" s="289"/>
      <c r="O1281" s="290"/>
      <c r="P1281" s="324"/>
      <c r="Q1281" s="292" t="s">
        <v>7077</v>
      </c>
      <c r="R1281" s="289"/>
      <c r="S1281" s="293"/>
      <c r="T1281" s="293"/>
      <c r="U1281" s="294"/>
      <c r="V1281" s="295"/>
      <c r="W1281" s="293"/>
      <c r="X1281" s="296"/>
      <c r="Y1281" s="114"/>
      <c r="Z1281" s="114"/>
      <c r="AA1281" s="114"/>
      <c r="AB1281" s="370"/>
      <c r="AC1281" s="525"/>
    </row>
    <row r="1282" spans="1:29" ht="15.75" customHeight="1">
      <c r="A1282" s="289" t="s">
        <v>203</v>
      </c>
      <c r="B1282" s="289" t="s">
        <v>7078</v>
      </c>
      <c r="C1282" s="289"/>
      <c r="D1282" s="289"/>
      <c r="E1282" s="290"/>
      <c r="F1282" s="289"/>
      <c r="G1282" s="289"/>
      <c r="H1282" s="371" t="s">
        <v>3084</v>
      </c>
      <c r="I1282" s="289"/>
      <c r="J1282" s="289"/>
      <c r="K1282" s="289"/>
      <c r="L1282" s="51"/>
      <c r="M1282" s="290"/>
      <c r="N1282" s="289"/>
      <c r="O1282" s="290"/>
      <c r="P1282" s="324"/>
      <c r="Q1282" s="292" t="s">
        <v>7079</v>
      </c>
      <c r="R1282" s="289"/>
      <c r="S1282" s="293"/>
      <c r="T1282" s="293"/>
      <c r="U1282" s="294"/>
      <c r="V1282" s="295"/>
      <c r="W1282" s="293"/>
      <c r="X1282" s="296"/>
      <c r="Y1282" s="114"/>
      <c r="Z1282" s="114"/>
      <c r="AA1282" s="114"/>
      <c r="AB1282" s="370"/>
      <c r="AC1282" s="525"/>
    </row>
    <row r="1283" spans="1:29" ht="15.75" customHeight="1">
      <c r="A1283" s="289" t="s">
        <v>203</v>
      </c>
      <c r="B1283" s="289" t="s">
        <v>311</v>
      </c>
      <c r="C1283" s="289"/>
      <c r="D1283" s="289"/>
      <c r="E1283" s="290"/>
      <c r="F1283" s="289">
        <v>3219897</v>
      </c>
      <c r="G1283" s="289" t="s">
        <v>4309</v>
      </c>
      <c r="H1283" s="371" t="s">
        <v>3084</v>
      </c>
      <c r="I1283" s="289"/>
      <c r="J1283" s="289"/>
      <c r="K1283" s="289"/>
      <c r="L1283" s="51"/>
      <c r="M1283" s="290"/>
      <c r="N1283" s="289"/>
      <c r="O1283" s="290"/>
      <c r="P1283" s="324" t="s">
        <v>3224</v>
      </c>
      <c r="Q1283" s="292" t="s">
        <v>3912</v>
      </c>
      <c r="R1283" s="289"/>
      <c r="S1283" s="293"/>
      <c r="T1283" s="293"/>
      <c r="U1283" s="294"/>
      <c r="V1283" s="295"/>
      <c r="W1283" s="293"/>
      <c r="X1283" s="296"/>
      <c r="Y1283" s="114"/>
      <c r="Z1283" s="114"/>
      <c r="AA1283" s="114"/>
      <c r="AB1283" s="370"/>
      <c r="AC1283" s="525" t="s">
        <v>7085</v>
      </c>
    </row>
    <row r="1284" spans="1:29" ht="15.75" customHeight="1">
      <c r="A1284" s="289" t="s">
        <v>203</v>
      </c>
      <c r="B1284" s="289" t="s">
        <v>321</v>
      </c>
      <c r="C1284" s="289"/>
      <c r="D1284" s="289"/>
      <c r="E1284" s="290"/>
      <c r="F1284" s="289">
        <v>3219857</v>
      </c>
      <c r="G1284" s="289" t="s">
        <v>4315</v>
      </c>
      <c r="H1284" s="371" t="s">
        <v>3084</v>
      </c>
      <c r="I1284" s="289"/>
      <c r="J1284" s="289"/>
      <c r="K1284" s="289"/>
      <c r="L1284" s="51"/>
      <c r="M1284" s="290"/>
      <c r="N1284" s="289"/>
      <c r="O1284" s="290"/>
      <c r="P1284" s="324" t="s">
        <v>3221</v>
      </c>
      <c r="Q1284" s="292" t="s">
        <v>3919</v>
      </c>
      <c r="R1284" s="289"/>
      <c r="S1284" s="293"/>
      <c r="T1284" s="293"/>
      <c r="U1284" s="294"/>
      <c r="V1284" s="295"/>
      <c r="W1284" s="293"/>
      <c r="X1284" s="296"/>
      <c r="Y1284" s="114"/>
      <c r="Z1284" s="114"/>
      <c r="AA1284" s="114"/>
      <c r="AB1284" s="370"/>
      <c r="AC1284" s="525" t="s">
        <v>7085</v>
      </c>
    </row>
    <row r="1285" spans="1:29" ht="15.75" customHeight="1">
      <c r="A1285" s="289" t="s">
        <v>203</v>
      </c>
      <c r="B1285" s="289" t="s">
        <v>331</v>
      </c>
      <c r="C1285" s="289"/>
      <c r="D1285" s="289"/>
      <c r="E1285" s="290"/>
      <c r="F1285" s="289">
        <v>2794226</v>
      </c>
      <c r="G1285" s="289" t="s">
        <v>4322</v>
      </c>
      <c r="H1285" s="371" t="s">
        <v>3084</v>
      </c>
      <c r="I1285" s="289"/>
      <c r="J1285" s="289"/>
      <c r="K1285" s="289"/>
      <c r="L1285" s="51"/>
      <c r="M1285" s="290"/>
      <c r="N1285" s="289"/>
      <c r="O1285" s="290"/>
      <c r="P1285" s="324" t="s">
        <v>3205</v>
      </c>
      <c r="Q1285" s="292" t="s">
        <v>3926</v>
      </c>
      <c r="R1285" s="289"/>
      <c r="S1285" s="293"/>
      <c r="T1285" s="293"/>
      <c r="U1285" s="294"/>
      <c r="V1285" s="295"/>
      <c r="W1285" s="293"/>
      <c r="X1285" s="296"/>
      <c r="Y1285" s="114"/>
      <c r="Z1285" s="114"/>
      <c r="AA1285" s="114"/>
      <c r="AB1285" s="370"/>
      <c r="AC1285" s="525" t="s">
        <v>7085</v>
      </c>
    </row>
    <row r="1286" spans="1:29" ht="15.75" customHeight="1">
      <c r="A1286" s="289" t="s">
        <v>203</v>
      </c>
      <c r="B1286" s="289" t="s">
        <v>1473</v>
      </c>
      <c r="C1286" s="289"/>
      <c r="D1286" s="289"/>
      <c r="E1286" s="290"/>
      <c r="F1286" s="289">
        <v>3220166</v>
      </c>
      <c r="G1286" s="289" t="s">
        <v>4328</v>
      </c>
      <c r="H1286" s="371" t="s">
        <v>3084</v>
      </c>
      <c r="I1286" s="289"/>
      <c r="J1286" s="289"/>
      <c r="K1286" s="289"/>
      <c r="L1286" s="51"/>
      <c r="M1286" s="290"/>
      <c r="N1286" s="289"/>
      <c r="O1286" s="290"/>
      <c r="P1286" s="324" t="s">
        <v>3276</v>
      </c>
      <c r="Q1286" s="292" t="s">
        <v>3931</v>
      </c>
      <c r="R1286" s="289"/>
      <c r="S1286" s="293"/>
      <c r="T1286" s="293"/>
      <c r="U1286" s="294"/>
      <c r="V1286" s="295"/>
      <c r="W1286" s="293"/>
      <c r="X1286" s="296"/>
      <c r="Y1286" s="114"/>
      <c r="Z1286" s="114"/>
      <c r="AA1286" s="114"/>
      <c r="AB1286" s="370"/>
      <c r="AC1286" s="525" t="s">
        <v>7085</v>
      </c>
    </row>
    <row r="1287" spans="1:29" ht="15.75" customHeight="1">
      <c r="A1287" s="289" t="s">
        <v>203</v>
      </c>
      <c r="B1287" s="289" t="s">
        <v>487</v>
      </c>
      <c r="C1287" s="289"/>
      <c r="D1287" s="289"/>
      <c r="E1287" s="290"/>
      <c r="F1287" s="289">
        <v>3220330</v>
      </c>
      <c r="G1287" s="289" t="s">
        <v>4292</v>
      </c>
      <c r="H1287" s="371" t="s">
        <v>3084</v>
      </c>
      <c r="I1287" s="289"/>
      <c r="J1287" s="289"/>
      <c r="K1287" s="289"/>
      <c r="L1287" s="51"/>
      <c r="M1287" s="290"/>
      <c r="N1287" s="289"/>
      <c r="O1287" s="290"/>
      <c r="P1287" s="324" t="s">
        <v>3235</v>
      </c>
      <c r="Q1287" s="292" t="s">
        <v>3949</v>
      </c>
      <c r="R1287" s="289"/>
      <c r="S1287" s="293"/>
      <c r="T1287" s="293"/>
      <c r="U1287" s="294"/>
      <c r="V1287" s="295"/>
      <c r="W1287" s="293"/>
      <c r="X1287" s="296"/>
      <c r="Y1287" s="114"/>
      <c r="Z1287" s="114"/>
      <c r="AA1287" s="114"/>
      <c r="AB1287" s="370"/>
      <c r="AC1287" s="525" t="s">
        <v>7085</v>
      </c>
    </row>
    <row r="1288" spans="1:29" ht="15.75" customHeight="1">
      <c r="A1288" s="289" t="s">
        <v>203</v>
      </c>
      <c r="B1288" s="289" t="s">
        <v>491</v>
      </c>
      <c r="C1288" s="289"/>
      <c r="D1288" s="289"/>
      <c r="E1288" s="290"/>
      <c r="F1288" s="289">
        <v>3299571</v>
      </c>
      <c r="G1288" s="289" t="s">
        <v>4332</v>
      </c>
      <c r="H1288" s="371" t="s">
        <v>3084</v>
      </c>
      <c r="I1288" s="289"/>
      <c r="J1288" s="289"/>
      <c r="K1288" s="289"/>
      <c r="L1288" s="51"/>
      <c r="M1288" s="290"/>
      <c r="N1288" s="289"/>
      <c r="O1288" s="290"/>
      <c r="P1288" s="324" t="s">
        <v>3211</v>
      </c>
      <c r="Q1288" s="292" t="s">
        <v>3961</v>
      </c>
      <c r="R1288" s="289"/>
      <c r="S1288" s="293"/>
      <c r="T1288" s="293"/>
      <c r="U1288" s="294"/>
      <c r="V1288" s="295"/>
      <c r="W1288" s="293"/>
      <c r="X1288" s="296"/>
      <c r="Y1288" s="114"/>
      <c r="Z1288" s="114"/>
      <c r="AA1288" s="114"/>
      <c r="AB1288" s="370"/>
      <c r="AC1288" s="525" t="s">
        <v>7085</v>
      </c>
    </row>
    <row r="1289" spans="1:29" ht="15.75" customHeight="1">
      <c r="A1289" s="289" t="s">
        <v>203</v>
      </c>
      <c r="B1289" s="289" t="s">
        <v>1487</v>
      </c>
      <c r="C1289" s="289"/>
      <c r="D1289" s="289"/>
      <c r="E1289" s="290"/>
      <c r="F1289" s="289">
        <v>3299368</v>
      </c>
      <c r="G1289" s="289" t="s">
        <v>4260</v>
      </c>
      <c r="H1289" s="371" t="s">
        <v>3084</v>
      </c>
      <c r="I1289" s="289"/>
      <c r="J1289" s="289"/>
      <c r="K1289" s="289"/>
      <c r="L1289" s="51"/>
      <c r="M1289" s="290"/>
      <c r="N1289" s="289"/>
      <c r="O1289" s="290"/>
      <c r="P1289" s="324" t="s">
        <v>3205</v>
      </c>
      <c r="Q1289" s="292" t="s">
        <v>3963</v>
      </c>
      <c r="R1289" s="289"/>
      <c r="S1289" s="293"/>
      <c r="T1289" s="293"/>
      <c r="U1289" s="294"/>
      <c r="V1289" s="295"/>
      <c r="W1289" s="293"/>
      <c r="X1289" s="296"/>
      <c r="Y1289" s="114"/>
      <c r="Z1289" s="114"/>
      <c r="AA1289" s="114"/>
      <c r="AB1289" s="370"/>
      <c r="AC1289" s="525" t="s">
        <v>7085</v>
      </c>
    </row>
    <row r="1290" spans="1:29" ht="15.75" customHeight="1">
      <c r="A1290" s="289" t="s">
        <v>203</v>
      </c>
      <c r="B1290" s="289" t="s">
        <v>1494</v>
      </c>
      <c r="C1290" s="289"/>
      <c r="D1290" s="289"/>
      <c r="E1290" s="290"/>
      <c r="F1290" s="289">
        <v>3219851</v>
      </c>
      <c r="G1290" s="289" t="s">
        <v>4352</v>
      </c>
      <c r="H1290" s="371" t="s">
        <v>3084</v>
      </c>
      <c r="I1290" s="289"/>
      <c r="J1290" s="289"/>
      <c r="K1290" s="289"/>
      <c r="L1290" s="51"/>
      <c r="M1290" s="290"/>
      <c r="N1290" s="289"/>
      <c r="O1290" s="290"/>
      <c r="P1290" s="324" t="s">
        <v>3221</v>
      </c>
      <c r="Q1290" s="292" t="s">
        <v>3971</v>
      </c>
      <c r="R1290" s="289"/>
      <c r="S1290" s="293"/>
      <c r="T1290" s="293"/>
      <c r="U1290" s="294"/>
      <c r="V1290" s="295"/>
      <c r="W1290" s="293"/>
      <c r="X1290" s="296"/>
      <c r="Y1290" s="114"/>
      <c r="Z1290" s="114"/>
      <c r="AA1290" s="114"/>
      <c r="AB1290" s="370"/>
      <c r="AC1290" s="525" t="s">
        <v>7085</v>
      </c>
    </row>
    <row r="1291" spans="1:29" ht="15.75" customHeight="1">
      <c r="A1291" s="289" t="s">
        <v>203</v>
      </c>
      <c r="B1291" s="289" t="s">
        <v>1495</v>
      </c>
      <c r="C1291" s="289"/>
      <c r="D1291" s="289"/>
      <c r="E1291" s="290"/>
      <c r="F1291" s="289">
        <v>3219691</v>
      </c>
      <c r="G1291" s="289" t="s">
        <v>4353</v>
      </c>
      <c r="H1291" s="371" t="s">
        <v>3084</v>
      </c>
      <c r="I1291" s="289"/>
      <c r="J1291" s="289"/>
      <c r="K1291" s="289"/>
      <c r="L1291" s="51"/>
      <c r="M1291" s="290"/>
      <c r="N1291" s="289"/>
      <c r="O1291" s="290"/>
      <c r="P1291" s="324" t="s">
        <v>3260</v>
      </c>
      <c r="Q1291" s="292" t="s">
        <v>3972</v>
      </c>
      <c r="R1291" s="289"/>
      <c r="S1291" s="293"/>
      <c r="T1291" s="293"/>
      <c r="U1291" s="294"/>
      <c r="V1291" s="295"/>
      <c r="W1291" s="293"/>
      <c r="X1291" s="296"/>
      <c r="Y1291" s="114"/>
      <c r="Z1291" s="114"/>
      <c r="AA1291" s="114"/>
      <c r="AB1291" s="370"/>
      <c r="AC1291" s="525" t="s">
        <v>7085</v>
      </c>
    </row>
    <row r="1292" spans="1:29" ht="15.75" customHeight="1">
      <c r="A1292" s="289" t="s">
        <v>203</v>
      </c>
      <c r="B1292" s="289" t="s">
        <v>1506</v>
      </c>
      <c r="C1292" s="289"/>
      <c r="D1292" s="289"/>
      <c r="E1292" s="290"/>
      <c r="F1292" s="289">
        <v>3299530</v>
      </c>
      <c r="G1292" s="289" t="s">
        <v>4358</v>
      </c>
      <c r="H1292" s="371" t="s">
        <v>3084</v>
      </c>
      <c r="I1292" s="289"/>
      <c r="J1292" s="289"/>
      <c r="K1292" s="289"/>
      <c r="L1292" s="51"/>
      <c r="M1292" s="290"/>
      <c r="N1292" s="289"/>
      <c r="O1292" s="290"/>
      <c r="P1292" s="324" t="s">
        <v>3221</v>
      </c>
      <c r="Q1292" s="292" t="s">
        <v>3983</v>
      </c>
      <c r="R1292" s="289"/>
      <c r="S1292" s="293"/>
      <c r="T1292" s="293"/>
      <c r="U1292" s="294"/>
      <c r="V1292" s="295"/>
      <c r="W1292" s="293"/>
      <c r="X1292" s="296"/>
      <c r="Y1292" s="114"/>
      <c r="Z1292" s="114"/>
      <c r="AA1292" s="114"/>
      <c r="AB1292" s="370"/>
      <c r="AC1292" s="525" t="s">
        <v>7085</v>
      </c>
    </row>
    <row r="1293" spans="1:29" ht="15.75" customHeight="1">
      <c r="A1293" s="289" t="s">
        <v>203</v>
      </c>
      <c r="B1293" s="289" t="s">
        <v>1538</v>
      </c>
      <c r="C1293" s="289"/>
      <c r="D1293" s="289"/>
      <c r="E1293" s="290"/>
      <c r="F1293" s="289">
        <v>2510716</v>
      </c>
      <c r="G1293" s="289" t="s">
        <v>4372</v>
      </c>
      <c r="H1293" s="371" t="s">
        <v>3084</v>
      </c>
      <c r="I1293" s="289"/>
      <c r="J1293" s="289"/>
      <c r="K1293" s="289"/>
      <c r="L1293" s="51"/>
      <c r="M1293" s="290"/>
      <c r="N1293" s="289"/>
      <c r="O1293" s="290"/>
      <c r="P1293" s="324" t="s">
        <v>3227</v>
      </c>
      <c r="Q1293" s="292" t="s">
        <v>4016</v>
      </c>
      <c r="R1293" s="289"/>
      <c r="S1293" s="293"/>
      <c r="T1293" s="293"/>
      <c r="U1293" s="294"/>
      <c r="V1293" s="295"/>
      <c r="W1293" s="293"/>
      <c r="X1293" s="296"/>
      <c r="Y1293" s="114"/>
      <c r="Z1293" s="114"/>
      <c r="AA1293" s="114"/>
      <c r="AB1293" s="370"/>
      <c r="AC1293" s="525" t="s">
        <v>7085</v>
      </c>
    </row>
    <row r="1294" spans="1:29" ht="15.75" customHeight="1">
      <c r="A1294" s="289" t="s">
        <v>203</v>
      </c>
      <c r="B1294" s="289" t="s">
        <v>1542</v>
      </c>
      <c r="C1294" s="289"/>
      <c r="D1294" s="289"/>
      <c r="E1294" s="290"/>
      <c r="F1294" s="289">
        <v>2510837</v>
      </c>
      <c r="G1294" s="289" t="s">
        <v>4350</v>
      </c>
      <c r="H1294" s="371" t="s">
        <v>3084</v>
      </c>
      <c r="I1294" s="289"/>
      <c r="J1294" s="289"/>
      <c r="K1294" s="289"/>
      <c r="L1294" s="51"/>
      <c r="M1294" s="290"/>
      <c r="N1294" s="289"/>
      <c r="O1294" s="290"/>
      <c r="P1294" s="324" t="s">
        <v>3227</v>
      </c>
      <c r="Q1294" s="292" t="s">
        <v>4020</v>
      </c>
      <c r="R1294" s="289"/>
      <c r="S1294" s="293"/>
      <c r="T1294" s="293"/>
      <c r="U1294" s="294"/>
      <c r="V1294" s="295"/>
      <c r="W1294" s="293"/>
      <c r="X1294" s="296"/>
      <c r="Y1294" s="114"/>
      <c r="Z1294" s="114"/>
      <c r="AA1294" s="114"/>
      <c r="AB1294" s="370"/>
      <c r="AC1294" s="525" t="s">
        <v>7085</v>
      </c>
    </row>
    <row r="1295" spans="1:29" ht="15.75" customHeight="1">
      <c r="A1295" s="289" t="s">
        <v>203</v>
      </c>
      <c r="B1295" s="289" t="s">
        <v>1544</v>
      </c>
      <c r="C1295" s="289"/>
      <c r="D1295" s="289"/>
      <c r="E1295" s="290"/>
      <c r="F1295" s="289">
        <v>2510546</v>
      </c>
      <c r="G1295" s="289" t="s">
        <v>4374</v>
      </c>
      <c r="H1295" s="371" t="s">
        <v>3084</v>
      </c>
      <c r="I1295" s="289"/>
      <c r="J1295" s="289"/>
      <c r="K1295" s="289"/>
      <c r="L1295" s="51"/>
      <c r="M1295" s="290"/>
      <c r="N1295" s="289"/>
      <c r="O1295" s="290"/>
      <c r="P1295" s="324" t="s">
        <v>3218</v>
      </c>
      <c r="Q1295" s="292" t="s">
        <v>4022</v>
      </c>
      <c r="R1295" s="289"/>
      <c r="S1295" s="293"/>
      <c r="T1295" s="293"/>
      <c r="U1295" s="294"/>
      <c r="V1295" s="295"/>
      <c r="W1295" s="293"/>
      <c r="X1295" s="296"/>
      <c r="Y1295" s="114"/>
      <c r="Z1295" s="114"/>
      <c r="AA1295" s="114"/>
      <c r="AB1295" s="370"/>
      <c r="AC1295" s="525" t="s">
        <v>7085</v>
      </c>
    </row>
    <row r="1296" spans="1:29" ht="15.75" customHeight="1">
      <c r="A1296" s="289" t="s">
        <v>203</v>
      </c>
      <c r="B1296" s="289" t="s">
        <v>1561</v>
      </c>
      <c r="C1296" s="289"/>
      <c r="D1296" s="289"/>
      <c r="E1296" s="290"/>
      <c r="F1296" s="289">
        <v>3316799</v>
      </c>
      <c r="G1296" s="289" t="s">
        <v>4347</v>
      </c>
      <c r="H1296" s="371" t="s">
        <v>3084</v>
      </c>
      <c r="I1296" s="289"/>
      <c r="J1296" s="289"/>
      <c r="K1296" s="289"/>
      <c r="L1296" s="51"/>
      <c r="M1296" s="290"/>
      <c r="N1296" s="289"/>
      <c r="O1296" s="290"/>
      <c r="P1296" s="324" t="s">
        <v>3227</v>
      </c>
      <c r="Q1296" s="292" t="s">
        <v>4042</v>
      </c>
      <c r="R1296" s="289"/>
      <c r="S1296" s="293"/>
      <c r="T1296" s="293"/>
      <c r="U1296" s="294"/>
      <c r="V1296" s="295"/>
      <c r="W1296" s="293"/>
      <c r="X1296" s="296"/>
      <c r="Y1296" s="114"/>
      <c r="Z1296" s="114"/>
      <c r="AA1296" s="114"/>
      <c r="AB1296" s="370"/>
      <c r="AC1296" s="525" t="s">
        <v>7085</v>
      </c>
    </row>
    <row r="1297" spans="1:29" ht="15.75" customHeight="1">
      <c r="A1297" s="289" t="s">
        <v>203</v>
      </c>
      <c r="B1297" s="289" t="s">
        <v>1572</v>
      </c>
      <c r="C1297" s="289"/>
      <c r="D1297" s="289"/>
      <c r="E1297" s="290"/>
      <c r="F1297" s="289">
        <v>2510679</v>
      </c>
      <c r="G1297" s="289" t="s">
        <v>4339</v>
      </c>
      <c r="H1297" s="371" t="s">
        <v>3084</v>
      </c>
      <c r="I1297" s="289"/>
      <c r="J1297" s="289"/>
      <c r="K1297" s="289"/>
      <c r="L1297" s="51"/>
      <c r="M1297" s="290"/>
      <c r="N1297" s="289"/>
      <c r="O1297" s="290"/>
      <c r="P1297" s="324" t="s">
        <v>3211</v>
      </c>
      <c r="Q1297" s="292" t="s">
        <v>4055</v>
      </c>
      <c r="R1297" s="289"/>
      <c r="S1297" s="293"/>
      <c r="T1297" s="293"/>
      <c r="U1297" s="294"/>
      <c r="V1297" s="295"/>
      <c r="W1297" s="293"/>
      <c r="X1297" s="296"/>
      <c r="Y1297" s="114"/>
      <c r="Z1297" s="114"/>
      <c r="AA1297" s="114"/>
      <c r="AB1297" s="370"/>
      <c r="AC1297" s="525" t="s">
        <v>7085</v>
      </c>
    </row>
    <row r="1298" spans="1:29" ht="15.75" customHeight="1">
      <c r="A1298" s="289" t="s">
        <v>203</v>
      </c>
      <c r="B1298" s="289" t="s">
        <v>1107</v>
      </c>
      <c r="C1298" s="289"/>
      <c r="D1298" s="289"/>
      <c r="E1298" s="290"/>
      <c r="F1298" s="289">
        <v>2510905</v>
      </c>
      <c r="G1298" s="289" t="s">
        <v>4363</v>
      </c>
      <c r="H1298" s="371" t="s">
        <v>3084</v>
      </c>
      <c r="I1298" s="289"/>
      <c r="J1298" s="289"/>
      <c r="K1298" s="289"/>
      <c r="L1298" s="51"/>
      <c r="M1298" s="290"/>
      <c r="N1298" s="289"/>
      <c r="O1298" s="290"/>
      <c r="P1298" s="324" t="s">
        <v>3261</v>
      </c>
      <c r="Q1298" s="292" t="s">
        <v>4058</v>
      </c>
      <c r="R1298" s="289"/>
      <c r="S1298" s="293"/>
      <c r="T1298" s="293"/>
      <c r="U1298" s="294"/>
      <c r="V1298" s="295"/>
      <c r="W1298" s="293"/>
      <c r="X1298" s="296"/>
      <c r="Y1298" s="114"/>
      <c r="Z1298" s="114"/>
      <c r="AA1298" s="114"/>
      <c r="AB1298" s="370"/>
      <c r="AC1298" s="525" t="s">
        <v>7085</v>
      </c>
    </row>
    <row r="1299" spans="1:29" ht="15.75" customHeight="1">
      <c r="A1299" s="289" t="s">
        <v>203</v>
      </c>
      <c r="B1299" s="289" t="s">
        <v>1116</v>
      </c>
      <c r="C1299" s="289"/>
      <c r="D1299" s="289"/>
      <c r="E1299" s="290"/>
      <c r="F1299" s="289">
        <v>2510548</v>
      </c>
      <c r="G1299" s="289" t="s">
        <v>4246</v>
      </c>
      <c r="H1299" s="371" t="s">
        <v>3084</v>
      </c>
      <c r="I1299" s="289"/>
      <c r="J1299" s="289"/>
      <c r="K1299" s="289"/>
      <c r="L1299" s="51"/>
      <c r="M1299" s="290"/>
      <c r="N1299" s="289"/>
      <c r="O1299" s="290"/>
      <c r="P1299" s="324" t="s">
        <v>3261</v>
      </c>
      <c r="Q1299" s="292" t="s">
        <v>4072</v>
      </c>
      <c r="R1299" s="289"/>
      <c r="S1299" s="293"/>
      <c r="T1299" s="293"/>
      <c r="U1299" s="294"/>
      <c r="V1299" s="295"/>
      <c r="W1299" s="293"/>
      <c r="X1299" s="296"/>
      <c r="Y1299" s="114"/>
      <c r="Z1299" s="114"/>
      <c r="AA1299" s="114"/>
      <c r="AB1299" s="370"/>
      <c r="AC1299" s="525" t="s">
        <v>7085</v>
      </c>
    </row>
    <row r="1300" spans="1:29" ht="15.75" customHeight="1">
      <c r="A1300" s="289" t="s">
        <v>203</v>
      </c>
      <c r="B1300" s="289" t="s">
        <v>2175</v>
      </c>
      <c r="C1300" s="289"/>
      <c r="D1300" s="289"/>
      <c r="E1300" s="290"/>
      <c r="F1300" s="289">
        <v>3648232</v>
      </c>
      <c r="G1300" s="289" t="s">
        <v>2176</v>
      </c>
      <c r="H1300" s="371" t="s">
        <v>3084</v>
      </c>
      <c r="I1300" s="289"/>
      <c r="J1300" s="289"/>
      <c r="K1300" s="289"/>
      <c r="L1300" s="51"/>
      <c r="M1300" s="290"/>
      <c r="N1300" s="289"/>
      <c r="O1300" s="290"/>
      <c r="P1300" s="324" t="s">
        <v>3221</v>
      </c>
      <c r="Q1300" s="292" t="s">
        <v>4090</v>
      </c>
      <c r="R1300" s="289"/>
      <c r="S1300" s="293"/>
      <c r="T1300" s="293"/>
      <c r="U1300" s="294"/>
      <c r="V1300" s="295"/>
      <c r="W1300" s="293"/>
      <c r="X1300" s="296"/>
      <c r="Y1300" s="114"/>
      <c r="Z1300" s="114"/>
      <c r="AA1300" s="114"/>
      <c r="AB1300" s="370"/>
      <c r="AC1300" s="525" t="s">
        <v>7085</v>
      </c>
    </row>
    <row r="1301" spans="1:29" ht="15.75" customHeight="1">
      <c r="A1301" s="289" t="s">
        <v>203</v>
      </c>
      <c r="B1301" s="289" t="s">
        <v>2179</v>
      </c>
      <c r="C1301" s="289"/>
      <c r="D1301" s="289"/>
      <c r="E1301" s="290"/>
      <c r="F1301" s="289">
        <v>3648462</v>
      </c>
      <c r="G1301" s="289" t="s">
        <v>2180</v>
      </c>
      <c r="H1301" s="371" t="s">
        <v>3084</v>
      </c>
      <c r="I1301" s="289"/>
      <c r="J1301" s="289"/>
      <c r="K1301" s="289"/>
      <c r="L1301" s="51"/>
      <c r="M1301" s="290"/>
      <c r="N1301" s="289"/>
      <c r="O1301" s="290"/>
      <c r="P1301" s="324" t="s">
        <v>3221</v>
      </c>
      <c r="Q1301" s="292" t="s">
        <v>4093</v>
      </c>
      <c r="R1301" s="289"/>
      <c r="S1301" s="293"/>
      <c r="T1301" s="293"/>
      <c r="U1301" s="294"/>
      <c r="V1301" s="295"/>
      <c r="W1301" s="293"/>
      <c r="X1301" s="296"/>
      <c r="Y1301" s="114"/>
      <c r="Z1301" s="114"/>
      <c r="AA1301" s="114"/>
      <c r="AB1301" s="370"/>
      <c r="AC1301" s="525" t="s">
        <v>7085</v>
      </c>
    </row>
    <row r="1302" spans="1:29" ht="15.75" customHeight="1">
      <c r="A1302" s="289" t="s">
        <v>203</v>
      </c>
      <c r="B1302" s="289" t="s">
        <v>2365</v>
      </c>
      <c r="C1302" s="289"/>
      <c r="D1302" s="289"/>
      <c r="E1302" s="290"/>
      <c r="F1302" s="289">
        <v>3648214</v>
      </c>
      <c r="G1302" s="289" t="s">
        <v>2172</v>
      </c>
      <c r="H1302" s="371" t="s">
        <v>3084</v>
      </c>
      <c r="I1302" s="289"/>
      <c r="J1302" s="289"/>
      <c r="K1302" s="289"/>
      <c r="L1302" s="51"/>
      <c r="M1302" s="290"/>
      <c r="N1302" s="289"/>
      <c r="O1302" s="290"/>
      <c r="P1302" s="324" t="s">
        <v>3235</v>
      </c>
      <c r="Q1302" s="292" t="s">
        <v>4095</v>
      </c>
      <c r="R1302" s="289"/>
      <c r="S1302" s="293"/>
      <c r="T1302" s="293"/>
      <c r="U1302" s="294"/>
      <c r="V1302" s="295"/>
      <c r="W1302" s="293"/>
      <c r="X1302" s="296"/>
      <c r="Y1302" s="114"/>
      <c r="Z1302" s="114"/>
      <c r="AA1302" s="114"/>
      <c r="AB1302" s="370"/>
      <c r="AC1302" s="525" t="s">
        <v>7085</v>
      </c>
    </row>
    <row r="1303" spans="1:29" ht="15.75" customHeight="1">
      <c r="A1303" s="289" t="s">
        <v>203</v>
      </c>
      <c r="B1303" s="289" t="s">
        <v>2379</v>
      </c>
      <c r="C1303" s="289"/>
      <c r="D1303" s="289"/>
      <c r="E1303" s="290"/>
      <c r="F1303" s="289">
        <v>3648477</v>
      </c>
      <c r="G1303" s="289" t="s">
        <v>2380</v>
      </c>
      <c r="H1303" s="371" t="s">
        <v>3084</v>
      </c>
      <c r="I1303" s="289"/>
      <c r="J1303" s="289"/>
      <c r="K1303" s="289"/>
      <c r="L1303" s="51"/>
      <c r="M1303" s="290"/>
      <c r="N1303" s="289"/>
      <c r="O1303" s="290"/>
      <c r="P1303" s="324" t="s">
        <v>3230</v>
      </c>
      <c r="Q1303" s="292" t="s">
        <v>4101</v>
      </c>
      <c r="R1303" s="289"/>
      <c r="S1303" s="293"/>
      <c r="T1303" s="293"/>
      <c r="U1303" s="294"/>
      <c r="V1303" s="295"/>
      <c r="W1303" s="293"/>
      <c r="X1303" s="296"/>
      <c r="Y1303" s="114"/>
      <c r="Z1303" s="114"/>
      <c r="AA1303" s="114"/>
      <c r="AB1303" s="370"/>
      <c r="AC1303" s="525" t="s">
        <v>7085</v>
      </c>
    </row>
    <row r="1304" spans="1:29" ht="15.75" customHeight="1">
      <c r="A1304" s="289" t="s">
        <v>203</v>
      </c>
      <c r="B1304" s="289" t="s">
        <v>2443</v>
      </c>
      <c r="C1304" s="289"/>
      <c r="D1304" s="289"/>
      <c r="E1304" s="290"/>
      <c r="F1304" s="289">
        <v>3648247</v>
      </c>
      <c r="G1304" s="289" t="s">
        <v>2444</v>
      </c>
      <c r="H1304" s="371" t="s">
        <v>3084</v>
      </c>
      <c r="I1304" s="289"/>
      <c r="J1304" s="289"/>
      <c r="K1304" s="289"/>
      <c r="L1304" s="51"/>
      <c r="M1304" s="290"/>
      <c r="N1304" s="289"/>
      <c r="O1304" s="290"/>
      <c r="P1304" s="324" t="s">
        <v>3211</v>
      </c>
      <c r="Q1304" s="292" t="s">
        <v>4126</v>
      </c>
      <c r="R1304" s="289"/>
      <c r="S1304" s="293"/>
      <c r="T1304" s="293"/>
      <c r="U1304" s="294"/>
      <c r="V1304" s="295"/>
      <c r="W1304" s="293"/>
      <c r="X1304" s="296"/>
      <c r="Y1304" s="114"/>
      <c r="Z1304" s="114"/>
      <c r="AA1304" s="114"/>
      <c r="AB1304" s="370"/>
      <c r="AC1304" s="525" t="s">
        <v>7085</v>
      </c>
    </row>
    <row r="1305" spans="1:29" ht="15.75" customHeight="1">
      <c r="A1305" s="289" t="s">
        <v>203</v>
      </c>
      <c r="B1305" s="289" t="s">
        <v>2424</v>
      </c>
      <c r="C1305" s="289"/>
      <c r="D1305" s="289"/>
      <c r="E1305" s="290"/>
      <c r="F1305" s="289">
        <v>3648430</v>
      </c>
      <c r="G1305" s="289" t="s">
        <v>2425</v>
      </c>
      <c r="H1305" s="371" t="s">
        <v>3084</v>
      </c>
      <c r="I1305" s="289"/>
      <c r="J1305" s="289"/>
      <c r="K1305" s="289"/>
      <c r="L1305" s="51"/>
      <c r="M1305" s="290"/>
      <c r="N1305" s="289"/>
      <c r="O1305" s="290"/>
      <c r="P1305" s="324" t="s">
        <v>3211</v>
      </c>
      <c r="Q1305" s="292" t="s">
        <v>4127</v>
      </c>
      <c r="R1305" s="289"/>
      <c r="S1305" s="293"/>
      <c r="T1305" s="293"/>
      <c r="U1305" s="294"/>
      <c r="V1305" s="295"/>
      <c r="W1305" s="293"/>
      <c r="X1305" s="296"/>
      <c r="Y1305" s="114"/>
      <c r="Z1305" s="114"/>
      <c r="AA1305" s="114"/>
      <c r="AB1305" s="370"/>
      <c r="AC1305" s="525" t="s">
        <v>7085</v>
      </c>
    </row>
    <row r="1306" spans="1:29" ht="15.75" customHeight="1">
      <c r="A1306" s="289" t="s">
        <v>203</v>
      </c>
      <c r="B1306" s="289" t="s">
        <v>2435</v>
      </c>
      <c r="C1306" s="289"/>
      <c r="D1306" s="289"/>
      <c r="E1306" s="290"/>
      <c r="F1306" s="289">
        <v>3648526</v>
      </c>
      <c r="G1306" s="289" t="s">
        <v>2436</v>
      </c>
      <c r="H1306" s="371" t="s">
        <v>3084</v>
      </c>
      <c r="I1306" s="289"/>
      <c r="J1306" s="289"/>
      <c r="K1306" s="289"/>
      <c r="L1306" s="51"/>
      <c r="M1306" s="290"/>
      <c r="N1306" s="289"/>
      <c r="O1306" s="290"/>
      <c r="P1306" s="324" t="s">
        <v>3211</v>
      </c>
      <c r="Q1306" s="292" t="s">
        <v>4128</v>
      </c>
      <c r="R1306" s="289"/>
      <c r="S1306" s="293"/>
      <c r="T1306" s="293"/>
      <c r="U1306" s="294"/>
      <c r="V1306" s="295"/>
      <c r="W1306" s="293"/>
      <c r="X1306" s="296"/>
      <c r="Y1306" s="114"/>
      <c r="Z1306" s="114"/>
      <c r="AA1306" s="114"/>
      <c r="AB1306" s="370"/>
      <c r="AC1306" s="525" t="s">
        <v>7085</v>
      </c>
    </row>
    <row r="1307" spans="1:29" ht="15.75" customHeight="1">
      <c r="A1307" s="289" t="s">
        <v>203</v>
      </c>
      <c r="B1307" s="289" t="s">
        <v>2430</v>
      </c>
      <c r="C1307" s="289"/>
      <c r="D1307" s="289"/>
      <c r="E1307" s="290"/>
      <c r="F1307" s="289">
        <v>3648356</v>
      </c>
      <c r="G1307" s="289" t="s">
        <v>2431</v>
      </c>
      <c r="H1307" s="371" t="s">
        <v>3084</v>
      </c>
      <c r="I1307" s="289"/>
      <c r="J1307" s="289"/>
      <c r="K1307" s="289"/>
      <c r="L1307" s="51"/>
      <c r="M1307" s="290"/>
      <c r="N1307" s="289"/>
      <c r="O1307" s="290"/>
      <c r="P1307" s="324" t="s">
        <v>3211</v>
      </c>
      <c r="Q1307" s="292" t="s">
        <v>4131</v>
      </c>
      <c r="R1307" s="289"/>
      <c r="S1307" s="293"/>
      <c r="T1307" s="293"/>
      <c r="U1307" s="294"/>
      <c r="V1307" s="295"/>
      <c r="W1307" s="293"/>
      <c r="X1307" s="296"/>
      <c r="Y1307" s="114"/>
      <c r="Z1307" s="114"/>
      <c r="AA1307" s="114"/>
      <c r="AB1307" s="370"/>
      <c r="AC1307" s="525" t="s">
        <v>7085</v>
      </c>
    </row>
    <row r="1308" spans="1:29" ht="15.75" customHeight="1">
      <c r="A1308" s="289" t="s">
        <v>203</v>
      </c>
      <c r="B1308" s="289" t="s">
        <v>2440</v>
      </c>
      <c r="C1308" s="289"/>
      <c r="D1308" s="289"/>
      <c r="E1308" s="290"/>
      <c r="F1308" s="289">
        <v>3648235</v>
      </c>
      <c r="G1308" s="289" t="s">
        <v>2441</v>
      </c>
      <c r="H1308" s="371" t="s">
        <v>3084</v>
      </c>
      <c r="I1308" s="289"/>
      <c r="J1308" s="289"/>
      <c r="K1308" s="289"/>
      <c r="L1308" s="51"/>
      <c r="M1308" s="290"/>
      <c r="N1308" s="289"/>
      <c r="O1308" s="290"/>
      <c r="P1308" s="324" t="s">
        <v>3935</v>
      </c>
      <c r="Q1308" s="292" t="s">
        <v>4135</v>
      </c>
      <c r="R1308" s="289"/>
      <c r="S1308" s="293"/>
      <c r="T1308" s="293"/>
      <c r="U1308" s="294"/>
      <c r="V1308" s="295"/>
      <c r="W1308" s="293"/>
      <c r="X1308" s="296"/>
      <c r="Y1308" s="114"/>
      <c r="Z1308" s="114"/>
      <c r="AA1308" s="114"/>
      <c r="AB1308" s="370"/>
      <c r="AC1308" s="525" t="s">
        <v>7085</v>
      </c>
    </row>
    <row r="1309" spans="1:29" ht="15.75" customHeight="1">
      <c r="A1309" s="289" t="s">
        <v>203</v>
      </c>
      <c r="B1309" s="289" t="s">
        <v>2409</v>
      </c>
      <c r="C1309" s="289"/>
      <c r="D1309" s="289"/>
      <c r="E1309" s="290"/>
      <c r="F1309" s="289">
        <v>3648348</v>
      </c>
      <c r="G1309" s="289" t="s">
        <v>2410</v>
      </c>
      <c r="H1309" s="371" t="s">
        <v>3084</v>
      </c>
      <c r="I1309" s="289"/>
      <c r="J1309" s="289"/>
      <c r="K1309" s="289"/>
      <c r="L1309" s="51"/>
      <c r="M1309" s="290"/>
      <c r="N1309" s="289"/>
      <c r="O1309" s="290"/>
      <c r="P1309" s="324" t="s">
        <v>3317</v>
      </c>
      <c r="Q1309" s="292" t="s">
        <v>4137</v>
      </c>
      <c r="R1309" s="289"/>
      <c r="S1309" s="293"/>
      <c r="T1309" s="293"/>
      <c r="U1309" s="294"/>
      <c r="V1309" s="295"/>
      <c r="W1309" s="293"/>
      <c r="X1309" s="296"/>
      <c r="Y1309" s="114"/>
      <c r="Z1309" s="114"/>
      <c r="AA1309" s="114"/>
      <c r="AB1309" s="370"/>
      <c r="AC1309" s="525" t="s">
        <v>7085</v>
      </c>
    </row>
    <row r="1310" spans="1:29" ht="15.75" customHeight="1">
      <c r="A1310" s="289" t="s">
        <v>203</v>
      </c>
      <c r="B1310" s="289" t="s">
        <v>2466</v>
      </c>
      <c r="C1310" s="289"/>
      <c r="D1310" s="289"/>
      <c r="E1310" s="290"/>
      <c r="F1310" s="289">
        <v>3633322</v>
      </c>
      <c r="G1310" s="289" t="s">
        <v>2454</v>
      </c>
      <c r="H1310" s="371" t="s">
        <v>3084</v>
      </c>
      <c r="I1310" s="289"/>
      <c r="J1310" s="289"/>
      <c r="K1310" s="289"/>
      <c r="L1310" s="51"/>
      <c r="M1310" s="290"/>
      <c r="N1310" s="289"/>
      <c r="O1310" s="290"/>
      <c r="P1310" s="324" t="s">
        <v>3204</v>
      </c>
      <c r="Q1310" s="292" t="s">
        <v>4140</v>
      </c>
      <c r="R1310" s="289"/>
      <c r="S1310" s="293"/>
      <c r="T1310" s="293"/>
      <c r="U1310" s="294"/>
      <c r="V1310" s="295"/>
      <c r="W1310" s="293"/>
      <c r="X1310" s="296"/>
      <c r="Y1310" s="114"/>
      <c r="Z1310" s="114"/>
      <c r="AA1310" s="114"/>
      <c r="AB1310" s="370"/>
      <c r="AC1310" s="525" t="s">
        <v>7085</v>
      </c>
    </row>
    <row r="1311" spans="1:29" ht="15.75" customHeight="1">
      <c r="A1311" s="289" t="s">
        <v>203</v>
      </c>
      <c r="B1311" s="289" t="s">
        <v>2768</v>
      </c>
      <c r="C1311" s="289"/>
      <c r="D1311" s="289"/>
      <c r="E1311" s="290"/>
      <c r="F1311" s="289">
        <v>3633170</v>
      </c>
      <c r="G1311" s="289" t="s">
        <v>2771</v>
      </c>
      <c r="H1311" s="371" t="s">
        <v>3084</v>
      </c>
      <c r="I1311" s="289"/>
      <c r="J1311" s="289"/>
      <c r="K1311" s="289"/>
      <c r="L1311" s="51"/>
      <c r="M1311" s="290"/>
      <c r="N1311" s="289"/>
      <c r="O1311" s="290"/>
      <c r="P1311" s="324" t="s">
        <v>4428</v>
      </c>
      <c r="Q1311" s="292" t="s">
        <v>4145</v>
      </c>
      <c r="R1311" s="289"/>
      <c r="S1311" s="293"/>
      <c r="T1311" s="293"/>
      <c r="U1311" s="294"/>
      <c r="V1311" s="295"/>
      <c r="W1311" s="293"/>
      <c r="X1311" s="296"/>
      <c r="Y1311" s="114"/>
      <c r="Z1311" s="114"/>
      <c r="AA1311" s="114"/>
      <c r="AB1311" s="370"/>
      <c r="AC1311" s="525" t="s">
        <v>7085</v>
      </c>
    </row>
    <row r="1312" spans="1:29" ht="15" customHeight="1">
      <c r="A1312" s="289" t="s">
        <v>203</v>
      </c>
      <c r="B1312" s="289" t="s">
        <v>2769</v>
      </c>
      <c r="C1312" s="289"/>
      <c r="D1312" s="289"/>
      <c r="E1312" s="290"/>
      <c r="F1312" s="289">
        <v>3633318</v>
      </c>
      <c r="G1312" s="289" t="s">
        <v>2771</v>
      </c>
      <c r="H1312" s="371" t="s">
        <v>3084</v>
      </c>
      <c r="I1312" s="289"/>
      <c r="J1312" s="289"/>
      <c r="K1312" s="289"/>
      <c r="L1312" s="51"/>
      <c r="M1312" s="290"/>
      <c r="N1312" s="289"/>
      <c r="O1312" s="290"/>
      <c r="P1312" s="324" t="s">
        <v>3389</v>
      </c>
      <c r="Q1312" s="292" t="s">
        <v>4146</v>
      </c>
      <c r="R1312" s="289"/>
      <c r="S1312" s="293"/>
      <c r="T1312" s="293"/>
      <c r="U1312" s="294"/>
      <c r="V1312" s="295"/>
      <c r="W1312" s="293"/>
      <c r="X1312" s="296"/>
      <c r="Y1312" s="114"/>
      <c r="Z1312" s="114"/>
      <c r="AA1312" s="114"/>
      <c r="AB1312" s="370"/>
      <c r="AC1312" s="525" t="s">
        <v>7085</v>
      </c>
    </row>
    <row r="1313" spans="1:30" ht="15" hidden="1" customHeight="1">
      <c r="A1313" s="51" t="s">
        <v>336</v>
      </c>
      <c r="B1313" s="51"/>
      <c r="C1313" s="51"/>
      <c r="D1313" s="53"/>
      <c r="E1313" s="51"/>
      <c r="F1313" s="53"/>
      <c r="G1313" s="51"/>
      <c r="H1313" s="51"/>
      <c r="I1313" s="51"/>
      <c r="J1313" s="51"/>
      <c r="K1313" s="53"/>
      <c r="L1313" s="51"/>
      <c r="M1313" s="62"/>
      <c r="N1313" s="51"/>
      <c r="O1313" s="51"/>
      <c r="P1313" s="53"/>
      <c r="Q1313" s="53"/>
      <c r="R1313" s="237"/>
      <c r="S1313" s="51"/>
      <c r="T1313" s="223"/>
      <c r="U1313" s="138"/>
      <c r="V1313" s="138"/>
      <c r="W1313" s="223"/>
      <c r="X1313" s="149"/>
      <c r="Y1313" s="45"/>
      <c r="Z1313" s="45"/>
      <c r="AA1313" s="45"/>
      <c r="AB1313" s="51"/>
      <c r="AC1313" s="169"/>
    </row>
    <row r="1314" spans="1:30" ht="15" hidden="1" customHeight="1">
      <c r="A1314" s="51" t="s">
        <v>336</v>
      </c>
      <c r="B1314" s="51"/>
      <c r="C1314" s="51"/>
      <c r="D1314" s="53"/>
      <c r="E1314" s="51"/>
      <c r="F1314" s="53"/>
      <c r="G1314" s="51"/>
      <c r="H1314" s="51"/>
      <c r="I1314" s="51"/>
      <c r="J1314" s="51"/>
      <c r="K1314" s="53"/>
      <c r="L1314" s="51"/>
      <c r="M1314" s="51"/>
      <c r="N1314" s="51"/>
      <c r="O1314" s="51"/>
      <c r="P1314" s="212"/>
      <c r="Q1314" s="53"/>
      <c r="R1314" s="237"/>
      <c r="S1314" s="51"/>
      <c r="T1314" s="223"/>
      <c r="U1314" s="138"/>
      <c r="V1314" s="138"/>
      <c r="W1314" s="223"/>
      <c r="X1314" s="149"/>
      <c r="Y1314" s="45"/>
      <c r="Z1314" s="45"/>
      <c r="AA1314" s="45"/>
      <c r="AB1314" s="51"/>
      <c r="AC1314" s="169"/>
    </row>
    <row r="1315" spans="1:30" ht="15" hidden="1" customHeight="1">
      <c r="A1315" s="51" t="s">
        <v>336</v>
      </c>
      <c r="B1315" s="251"/>
      <c r="C1315" s="251"/>
      <c r="D1315" s="53"/>
      <c r="E1315" s="51"/>
      <c r="F1315" s="53"/>
      <c r="G1315" s="51"/>
      <c r="H1315" s="51"/>
      <c r="I1315" s="51"/>
      <c r="J1315" s="51"/>
      <c r="K1315" s="53"/>
      <c r="L1315" s="51"/>
      <c r="M1315" s="51"/>
      <c r="N1315" s="51"/>
      <c r="O1315" s="51"/>
      <c r="P1315"/>
      <c r="Q1315" s="53"/>
      <c r="R1315" s="237"/>
      <c r="S1315" s="51"/>
      <c r="T1315" s="223"/>
      <c r="U1315" s="138"/>
      <c r="V1315" s="138"/>
      <c r="W1315" s="223"/>
      <c r="X1315" s="149"/>
      <c r="Y1315" s="45"/>
      <c r="Z1315" s="45"/>
      <c r="AA1315" s="45"/>
      <c r="AB1315" s="51"/>
      <c r="AC1315" s="169"/>
    </row>
    <row r="1316" spans="1:30" ht="15" hidden="1" customHeight="1">
      <c r="A1316" s="51" t="s">
        <v>336</v>
      </c>
      <c r="B1316" s="251"/>
      <c r="C1316" s="251"/>
      <c r="D1316" s="53"/>
      <c r="E1316" s="51"/>
      <c r="F1316" s="53"/>
      <c r="G1316" s="51"/>
      <c r="H1316" s="51"/>
      <c r="I1316" s="51"/>
      <c r="J1316" s="249"/>
      <c r="K1316" s="53"/>
      <c r="L1316" s="51"/>
      <c r="M1316" s="51"/>
      <c r="N1316" s="51"/>
      <c r="O1316" s="51"/>
      <c r="P1316"/>
      <c r="Q1316" s="53"/>
      <c r="R1316" s="237"/>
      <c r="S1316" s="51"/>
      <c r="T1316" s="223"/>
      <c r="U1316" s="138"/>
      <c r="V1316" s="138"/>
      <c r="W1316" s="223"/>
      <c r="X1316" s="149"/>
      <c r="Y1316" s="45"/>
      <c r="Z1316" s="45"/>
      <c r="AA1316" s="45"/>
      <c r="AB1316" s="51"/>
      <c r="AC1316" s="169"/>
    </row>
    <row r="1317" spans="1:30" ht="15" hidden="1" customHeight="1">
      <c r="A1317" s="51" t="s">
        <v>336</v>
      </c>
      <c r="B1317" s="251"/>
      <c r="C1317" s="251"/>
      <c r="D1317" s="53"/>
      <c r="E1317" s="51"/>
      <c r="F1317" s="53"/>
      <c r="G1317" s="51"/>
      <c r="H1317" s="51"/>
      <c r="I1317" s="51"/>
      <c r="J1317" s="51"/>
      <c r="K1317" s="53"/>
      <c r="L1317" s="51"/>
      <c r="M1317" s="51"/>
      <c r="N1317" s="51"/>
      <c r="O1317" s="51"/>
      <c r="P1317" s="212"/>
      <c r="Q1317" s="53"/>
      <c r="R1317" s="237"/>
      <c r="S1317" s="51"/>
      <c r="T1317" s="223"/>
      <c r="U1317" s="138"/>
      <c r="V1317" s="138"/>
      <c r="W1317" s="223"/>
      <c r="X1317" s="149"/>
      <c r="Y1317" s="45"/>
      <c r="Z1317" s="45"/>
      <c r="AA1317" s="45"/>
      <c r="AB1317" s="51"/>
      <c r="AC1317" s="169"/>
    </row>
    <row r="1318" spans="1:30" ht="15" hidden="1" customHeight="1">
      <c r="A1318" s="51" t="s">
        <v>336</v>
      </c>
      <c r="B1318" s="251"/>
      <c r="C1318" s="251"/>
      <c r="D1318" s="53"/>
      <c r="E1318" s="51"/>
      <c r="F1318" s="53"/>
      <c r="G1318" s="51"/>
      <c r="H1318" s="51"/>
      <c r="I1318" s="51"/>
      <c r="J1318" s="51"/>
      <c r="K1318" s="53"/>
      <c r="L1318" s="51"/>
      <c r="M1318" s="51"/>
      <c r="N1318" s="51"/>
      <c r="O1318" s="51"/>
      <c r="P1318" s="212"/>
      <c r="Q1318" s="53"/>
      <c r="R1318" s="237"/>
      <c r="S1318" s="51"/>
      <c r="T1318" s="223"/>
      <c r="U1318" s="138"/>
      <c r="V1318" s="138"/>
      <c r="W1318" s="223"/>
      <c r="X1318" s="149"/>
      <c r="Y1318" s="45"/>
      <c r="Z1318" s="45"/>
      <c r="AA1318" s="45"/>
      <c r="AB1318" s="51"/>
      <c r="AC1318" s="169"/>
    </row>
    <row r="1319" spans="1:30" ht="15" hidden="1" customHeight="1">
      <c r="A1319" s="51" t="s">
        <v>336</v>
      </c>
      <c r="B1319" s="51"/>
      <c r="C1319" s="51"/>
      <c r="D1319" s="53"/>
      <c r="E1319" s="51"/>
      <c r="F1319" s="53"/>
      <c r="G1319" s="51"/>
      <c r="H1319" s="51"/>
      <c r="I1319" s="51"/>
      <c r="J1319" s="249"/>
      <c r="K1319" s="53"/>
      <c r="L1319" s="51"/>
      <c r="M1319" s="51"/>
      <c r="N1319" s="51"/>
      <c r="O1319" s="51"/>
      <c r="P1319" s="212"/>
      <c r="Q1319" s="53"/>
      <c r="R1319" s="237"/>
      <c r="S1319" s="51"/>
      <c r="T1319" s="223"/>
      <c r="U1319" s="138"/>
      <c r="V1319" s="138"/>
      <c r="W1319" s="223"/>
      <c r="X1319" s="149"/>
      <c r="Y1319" s="45"/>
      <c r="Z1319" s="45"/>
      <c r="AA1319" s="45"/>
      <c r="AB1319" s="51"/>
      <c r="AC1319" s="169"/>
    </row>
    <row r="1320" spans="1:30" ht="15" hidden="1" customHeight="1">
      <c r="A1320" s="51" t="s">
        <v>336</v>
      </c>
      <c r="B1320" s="51"/>
      <c r="C1320" s="51"/>
      <c r="D1320" s="53"/>
      <c r="E1320" s="51"/>
      <c r="F1320" s="53"/>
      <c r="G1320" s="51"/>
      <c r="H1320" s="51"/>
      <c r="I1320" s="51"/>
      <c r="J1320" s="249"/>
      <c r="K1320" s="53"/>
      <c r="L1320" s="51"/>
      <c r="M1320" s="51"/>
      <c r="N1320" s="51"/>
      <c r="O1320" s="51"/>
      <c r="P1320" s="212"/>
      <c r="Q1320" s="53"/>
      <c r="R1320" s="237"/>
      <c r="S1320" s="51"/>
      <c r="T1320" s="223"/>
      <c r="U1320" s="138"/>
      <c r="V1320" s="138"/>
      <c r="W1320" s="223"/>
      <c r="X1320" s="149"/>
      <c r="Y1320" s="45"/>
      <c r="Z1320" s="45"/>
      <c r="AA1320" s="45"/>
      <c r="AB1320" s="51"/>
      <c r="AC1320" s="169"/>
    </row>
    <row r="1321" spans="1:30" ht="15" hidden="1" customHeight="1">
      <c r="A1321" s="251" t="s">
        <v>336</v>
      </c>
      <c r="B1321" s="251"/>
      <c r="C1321" s="251"/>
      <c r="D1321" s="252"/>
      <c r="E1321" s="251"/>
      <c r="F1321" s="53"/>
      <c r="G1321" s="51"/>
      <c r="H1321" s="51"/>
      <c r="I1321" s="51"/>
      <c r="J1321" s="249"/>
      <c r="K1321" s="53"/>
      <c r="L1321" s="51"/>
      <c r="M1321" s="51"/>
      <c r="N1321" s="51"/>
      <c r="O1321" s="51"/>
      <c r="P1321" s="212"/>
      <c r="Q1321" s="53"/>
      <c r="R1321" s="237"/>
      <c r="S1321" s="51"/>
      <c r="T1321" s="223"/>
      <c r="U1321" s="138"/>
      <c r="V1321" s="138"/>
      <c r="W1321" s="223"/>
      <c r="X1321" s="149"/>
      <c r="Y1321" s="45"/>
      <c r="Z1321" s="45"/>
      <c r="AA1321" s="45"/>
      <c r="AB1321" s="51"/>
      <c r="AC1321" s="169"/>
    </row>
    <row r="1322" spans="1:30" ht="15" customHeight="1">
      <c r="A1322" s="51" t="s">
        <v>0</v>
      </c>
      <c r="B1322" s="477" t="s">
        <v>6361</v>
      </c>
      <c r="C1322" s="51" t="s">
        <v>27</v>
      </c>
      <c r="D1322" s="53" t="s">
        <v>2758</v>
      </c>
      <c r="E1322" s="254" t="s">
        <v>17</v>
      </c>
      <c r="F1322" s="51" t="s">
        <v>6371</v>
      </c>
      <c r="G1322" s="51"/>
      <c r="H1322" s="51" t="s">
        <v>3084</v>
      </c>
      <c r="I1322" s="51" t="s">
        <v>60</v>
      </c>
      <c r="J1322" s="51" t="s">
        <v>3686</v>
      </c>
      <c r="K1322" s="53" t="s">
        <v>5971</v>
      </c>
      <c r="L1322" s="51" t="s">
        <v>4464</v>
      </c>
      <c r="M1322" s="51" t="s">
        <v>22</v>
      </c>
      <c r="N1322" s="51" t="s">
        <v>22</v>
      </c>
      <c r="O1322" s="51" t="s">
        <v>22</v>
      </c>
      <c r="P1322" s="53" t="s">
        <v>6338</v>
      </c>
      <c r="Q1322" s="53" t="s">
        <v>6340</v>
      </c>
      <c r="R1322" s="237"/>
      <c r="S1322" s="51"/>
      <c r="T1322" s="223"/>
      <c r="U1322" s="138"/>
      <c r="V1322" s="138"/>
      <c r="W1322" s="223"/>
      <c r="X1322" s="149">
        <v>43298</v>
      </c>
      <c r="Y1322" s="45" t="s">
        <v>27</v>
      </c>
      <c r="Z1322" s="45" t="s">
        <v>27</v>
      </c>
      <c r="AA1322" s="51" t="s">
        <v>27</v>
      </c>
      <c r="AB1322" s="51"/>
      <c r="AC1322" s="169" t="s">
        <v>6384</v>
      </c>
      <c r="AD1322" s="325"/>
    </row>
    <row r="1323" spans="1:30" ht="15" customHeight="1">
      <c r="A1323" s="51" t="s">
        <v>0</v>
      </c>
      <c r="B1323" s="450" t="s">
        <v>6362</v>
      </c>
      <c r="C1323" s="51" t="s">
        <v>27</v>
      </c>
      <c r="D1323" s="53" t="s">
        <v>2758</v>
      </c>
      <c r="E1323" s="254" t="s">
        <v>17</v>
      </c>
      <c r="F1323" s="51" t="s">
        <v>6372</v>
      </c>
      <c r="G1323" s="51"/>
      <c r="H1323" s="51" t="s">
        <v>3084</v>
      </c>
      <c r="I1323" s="51" t="s">
        <v>60</v>
      </c>
      <c r="J1323" s="51" t="s">
        <v>3686</v>
      </c>
      <c r="K1323" s="53" t="s">
        <v>5952</v>
      </c>
      <c r="L1323" s="51" t="s">
        <v>4464</v>
      </c>
      <c r="M1323" s="51" t="s">
        <v>22</v>
      </c>
      <c r="N1323" s="51" t="s">
        <v>22</v>
      </c>
      <c r="O1323" s="51" t="s">
        <v>22</v>
      </c>
      <c r="P1323" s="53" t="s">
        <v>6338</v>
      </c>
      <c r="Q1323" s="53" t="s">
        <v>6341</v>
      </c>
      <c r="R1323" s="237"/>
      <c r="S1323" s="51"/>
      <c r="T1323" s="223"/>
      <c r="U1323" s="138"/>
      <c r="V1323" s="138"/>
      <c r="W1323" s="223"/>
      <c r="X1323" s="149">
        <v>43298</v>
      </c>
      <c r="Y1323" s="45" t="s">
        <v>27</v>
      </c>
      <c r="Z1323" s="45" t="s">
        <v>27</v>
      </c>
      <c r="AA1323" s="51" t="s">
        <v>27</v>
      </c>
      <c r="AB1323" s="51"/>
      <c r="AC1323" s="451" t="s">
        <v>5988</v>
      </c>
      <c r="AD1323" s="325"/>
    </row>
    <row r="1324" spans="1:30" ht="15" customHeight="1">
      <c r="A1324" s="51" t="s">
        <v>0</v>
      </c>
      <c r="B1324" s="450" t="s">
        <v>6363</v>
      </c>
      <c r="C1324" s="51" t="s">
        <v>27</v>
      </c>
      <c r="D1324" s="53"/>
      <c r="E1324" s="254" t="s">
        <v>5533</v>
      </c>
      <c r="F1324" s="51" t="s">
        <v>6373</v>
      </c>
      <c r="G1324" s="51"/>
      <c r="H1324" s="51" t="s">
        <v>3084</v>
      </c>
      <c r="I1324" s="51" t="s">
        <v>21</v>
      </c>
      <c r="J1324" s="51" t="s">
        <v>24</v>
      </c>
      <c r="K1324" s="53" t="s">
        <v>26</v>
      </c>
      <c r="L1324" s="51" t="s">
        <v>5368</v>
      </c>
      <c r="M1324" s="51" t="s">
        <v>22</v>
      </c>
      <c r="N1324" s="51" t="s">
        <v>22</v>
      </c>
      <c r="O1324" s="51" t="s">
        <v>22</v>
      </c>
      <c r="P1324" s="53" t="s">
        <v>6338</v>
      </c>
      <c r="Q1324" s="53" t="s">
        <v>6342</v>
      </c>
      <c r="R1324" s="237"/>
      <c r="S1324" s="51"/>
      <c r="T1324" s="223"/>
      <c r="U1324" s="138"/>
      <c r="V1324" s="138"/>
      <c r="W1324" s="223"/>
      <c r="X1324" s="149">
        <v>43298</v>
      </c>
      <c r="Y1324" s="45" t="s">
        <v>27</v>
      </c>
      <c r="Z1324" s="45" t="s">
        <v>27</v>
      </c>
      <c r="AA1324" s="51" t="s">
        <v>349</v>
      </c>
      <c r="AB1324" s="51"/>
      <c r="AC1324" s="51" t="s">
        <v>7124</v>
      </c>
      <c r="AD1324" s="325"/>
    </row>
    <row r="1325" spans="1:30" ht="15" customHeight="1">
      <c r="A1325" s="51" t="s">
        <v>0</v>
      </c>
      <c r="B1325" s="450" t="s">
        <v>6364</v>
      </c>
      <c r="C1325" s="51" t="s">
        <v>27</v>
      </c>
      <c r="D1325" s="53" t="s">
        <v>2758</v>
      </c>
      <c r="E1325" s="254" t="s">
        <v>17</v>
      </c>
      <c r="F1325" s="51" t="s">
        <v>6374</v>
      </c>
      <c r="G1325" s="51"/>
      <c r="H1325" s="51" t="s">
        <v>3084</v>
      </c>
      <c r="I1325" s="51" t="s">
        <v>60</v>
      </c>
      <c r="J1325" s="51" t="s">
        <v>3671</v>
      </c>
      <c r="K1325" s="53" t="s">
        <v>6381</v>
      </c>
      <c r="L1325" s="51" t="s">
        <v>4464</v>
      </c>
      <c r="M1325" s="51" t="s">
        <v>22</v>
      </c>
      <c r="N1325" s="51" t="s">
        <v>22</v>
      </c>
      <c r="O1325" s="51" t="s">
        <v>22</v>
      </c>
      <c r="P1325" s="53" t="s">
        <v>6338</v>
      </c>
      <c r="Q1325" s="53" t="s">
        <v>6343</v>
      </c>
      <c r="R1325" s="237"/>
      <c r="S1325" s="51"/>
      <c r="T1325" s="223"/>
      <c r="U1325" s="138"/>
      <c r="V1325" s="138"/>
      <c r="W1325" s="223"/>
      <c r="X1325" s="149">
        <v>43298</v>
      </c>
      <c r="Y1325" s="45" t="s">
        <v>27</v>
      </c>
      <c r="Z1325" s="45" t="s">
        <v>27</v>
      </c>
      <c r="AA1325" s="51" t="s">
        <v>27</v>
      </c>
      <c r="AB1325" s="51"/>
      <c r="AC1325" s="169" t="s">
        <v>6388</v>
      </c>
      <c r="AD1325" s="325"/>
    </row>
    <row r="1326" spans="1:30" ht="15" customHeight="1">
      <c r="A1326" s="51" t="s">
        <v>0</v>
      </c>
      <c r="B1326" s="450" t="s">
        <v>6365</v>
      </c>
      <c r="C1326" s="51" t="s">
        <v>27</v>
      </c>
      <c r="D1326" s="289" t="s">
        <v>2759</v>
      </c>
      <c r="E1326" s="254" t="s">
        <v>17</v>
      </c>
      <c r="F1326" s="51" t="s">
        <v>6375</v>
      </c>
      <c r="G1326" s="51"/>
      <c r="H1326" s="51" t="s">
        <v>3084</v>
      </c>
      <c r="I1326" s="51" t="s">
        <v>21</v>
      </c>
      <c r="J1326" s="51" t="s">
        <v>24</v>
      </c>
      <c r="K1326" s="53" t="s">
        <v>26</v>
      </c>
      <c r="L1326" s="51" t="s">
        <v>4464</v>
      </c>
      <c r="M1326" s="51" t="s">
        <v>22</v>
      </c>
      <c r="N1326" s="51" t="s">
        <v>22</v>
      </c>
      <c r="O1326" s="51" t="s">
        <v>22</v>
      </c>
      <c r="P1326" s="53" t="s">
        <v>6338</v>
      </c>
      <c r="Q1326" s="53" t="s">
        <v>6344</v>
      </c>
      <c r="R1326" s="237"/>
      <c r="S1326" s="51"/>
      <c r="T1326" s="223"/>
      <c r="U1326" s="138"/>
      <c r="V1326" s="138"/>
      <c r="W1326" s="223"/>
      <c r="X1326" s="149">
        <v>43298</v>
      </c>
      <c r="Y1326" s="45" t="s">
        <v>27</v>
      </c>
      <c r="Z1326" s="45" t="s">
        <v>27</v>
      </c>
      <c r="AA1326" s="51" t="s">
        <v>27</v>
      </c>
      <c r="AB1326" s="51"/>
      <c r="AC1326" s="169" t="s">
        <v>5986</v>
      </c>
      <c r="AD1326" s="325"/>
    </row>
    <row r="1327" spans="1:30" ht="15" customHeight="1">
      <c r="A1327" s="51" t="s">
        <v>0</v>
      </c>
      <c r="B1327" s="450" t="s">
        <v>6366</v>
      </c>
      <c r="C1327" s="51" t="s">
        <v>27</v>
      </c>
      <c r="D1327" s="53" t="s">
        <v>2758</v>
      </c>
      <c r="E1327" s="254" t="s">
        <v>17</v>
      </c>
      <c r="F1327" s="51" t="s">
        <v>6376</v>
      </c>
      <c r="G1327" s="51"/>
      <c r="H1327" s="51" t="s">
        <v>3084</v>
      </c>
      <c r="I1327" s="51" t="s">
        <v>60</v>
      </c>
      <c r="J1327" s="51" t="s">
        <v>5938</v>
      </c>
      <c r="K1327" s="53" t="s">
        <v>5939</v>
      </c>
      <c r="L1327" s="51" t="s">
        <v>5368</v>
      </c>
      <c r="M1327" s="51" t="s">
        <v>22</v>
      </c>
      <c r="N1327" s="51" t="s">
        <v>22</v>
      </c>
      <c r="O1327" s="51" t="s">
        <v>22</v>
      </c>
      <c r="P1327" s="53" t="s">
        <v>6338</v>
      </c>
      <c r="Q1327" s="53" t="s">
        <v>6345</v>
      </c>
      <c r="R1327" s="237"/>
      <c r="S1327" s="51"/>
      <c r="T1327" s="223"/>
      <c r="U1327" s="138"/>
      <c r="V1327" s="138"/>
      <c r="W1327" s="223"/>
      <c r="X1327" s="149">
        <v>43298</v>
      </c>
      <c r="Y1327" s="45" t="s">
        <v>27</v>
      </c>
      <c r="Z1327" s="45" t="s">
        <v>27</v>
      </c>
      <c r="AA1327" s="51" t="s">
        <v>27</v>
      </c>
      <c r="AB1327" s="51"/>
      <c r="AC1327" s="51" t="s">
        <v>6713</v>
      </c>
      <c r="AD1327" s="325"/>
    </row>
    <row r="1328" spans="1:30" ht="15" customHeight="1">
      <c r="A1328" s="51" t="s">
        <v>0</v>
      </c>
      <c r="B1328" s="450" t="s">
        <v>6367</v>
      </c>
      <c r="C1328" s="51" t="s">
        <v>27</v>
      </c>
      <c r="D1328" s="289" t="s">
        <v>2758</v>
      </c>
      <c r="E1328" s="254" t="s">
        <v>17</v>
      </c>
      <c r="F1328" s="51" t="s">
        <v>6377</v>
      </c>
      <c r="G1328" s="51"/>
      <c r="H1328" s="51" t="s">
        <v>3084</v>
      </c>
      <c r="I1328" s="51" t="s">
        <v>21</v>
      </c>
      <c r="J1328" s="51" t="s">
        <v>32</v>
      </c>
      <c r="K1328" s="53" t="s">
        <v>33</v>
      </c>
      <c r="L1328" s="51" t="s">
        <v>4464</v>
      </c>
      <c r="M1328" s="51" t="s">
        <v>27</v>
      </c>
      <c r="N1328" s="51" t="s">
        <v>22</v>
      </c>
      <c r="O1328" s="51" t="s">
        <v>22</v>
      </c>
      <c r="P1328" s="53" t="s">
        <v>6338</v>
      </c>
      <c r="Q1328" s="53" t="s">
        <v>6346</v>
      </c>
      <c r="R1328" s="237"/>
      <c r="S1328" s="51"/>
      <c r="T1328" s="223"/>
      <c r="U1328" s="138"/>
      <c r="V1328" s="138"/>
      <c r="W1328" s="223"/>
      <c r="X1328" s="149">
        <v>43298</v>
      </c>
      <c r="Y1328" s="45" t="s">
        <v>27</v>
      </c>
      <c r="Z1328" s="45" t="s">
        <v>27</v>
      </c>
      <c r="AA1328" s="51" t="s">
        <v>27</v>
      </c>
      <c r="AB1328" s="51"/>
      <c r="AC1328" s="169" t="s">
        <v>5924</v>
      </c>
      <c r="AD1328" s="325"/>
    </row>
    <row r="1329" spans="1:30" ht="15" customHeight="1">
      <c r="A1329" s="51" t="s">
        <v>0</v>
      </c>
      <c r="B1329" s="477" t="s">
        <v>6368</v>
      </c>
      <c r="C1329" s="51" t="s">
        <v>27</v>
      </c>
      <c r="D1329" s="53" t="s">
        <v>2758</v>
      </c>
      <c r="E1329" s="290" t="s">
        <v>5533</v>
      </c>
      <c r="F1329" s="51" t="s">
        <v>6378</v>
      </c>
      <c r="G1329" s="51"/>
      <c r="H1329" s="51" t="s">
        <v>3084</v>
      </c>
      <c r="I1329" s="51" t="s">
        <v>60</v>
      </c>
      <c r="J1329" s="51" t="s">
        <v>3686</v>
      </c>
      <c r="K1329" s="53" t="s">
        <v>5952</v>
      </c>
      <c r="L1329" s="51" t="s">
        <v>31</v>
      </c>
      <c r="M1329" s="51" t="s">
        <v>22</v>
      </c>
      <c r="N1329" s="51" t="s">
        <v>22</v>
      </c>
      <c r="O1329" s="51" t="s">
        <v>22</v>
      </c>
      <c r="P1329" s="53" t="s">
        <v>6338</v>
      </c>
      <c r="Q1329" s="53" t="s">
        <v>6347</v>
      </c>
      <c r="R1329" s="237"/>
      <c r="S1329" s="51"/>
      <c r="T1329" s="223"/>
      <c r="U1329" s="138"/>
      <c r="V1329" s="138"/>
      <c r="W1329" s="223"/>
      <c r="X1329" s="149"/>
      <c r="Y1329" s="45" t="s">
        <v>27</v>
      </c>
      <c r="Z1329" s="45" t="s">
        <v>27</v>
      </c>
      <c r="AA1329" s="51" t="s">
        <v>27</v>
      </c>
      <c r="AB1329" s="51"/>
      <c r="AC1329" s="520" t="s">
        <v>6555</v>
      </c>
      <c r="AD1329" s="325"/>
    </row>
    <row r="1330" spans="1:30" ht="15" customHeight="1">
      <c r="A1330" s="51" t="s">
        <v>0</v>
      </c>
      <c r="B1330" s="450" t="s">
        <v>6369</v>
      </c>
      <c r="C1330" s="51" t="s">
        <v>27</v>
      </c>
      <c r="D1330" s="53" t="s">
        <v>2758</v>
      </c>
      <c r="E1330" s="254" t="s">
        <v>17</v>
      </c>
      <c r="F1330" s="51" t="s">
        <v>6379</v>
      </c>
      <c r="G1330" s="51"/>
      <c r="H1330" s="51" t="s">
        <v>3084</v>
      </c>
      <c r="I1330" s="51" t="s">
        <v>60</v>
      </c>
      <c r="J1330" s="51" t="s">
        <v>3671</v>
      </c>
      <c r="K1330" s="53" t="s">
        <v>6381</v>
      </c>
      <c r="L1330" s="51" t="s">
        <v>4464</v>
      </c>
      <c r="M1330" s="51" t="s">
        <v>22</v>
      </c>
      <c r="N1330" s="51" t="s">
        <v>22</v>
      </c>
      <c r="O1330" s="51" t="s">
        <v>22</v>
      </c>
      <c r="P1330" s="53" t="s">
        <v>6338</v>
      </c>
      <c r="Q1330" s="53" t="s">
        <v>6348</v>
      </c>
      <c r="R1330" s="237"/>
      <c r="S1330" s="51"/>
      <c r="T1330" s="223"/>
      <c r="U1330" s="138"/>
      <c r="V1330" s="138"/>
      <c r="W1330" s="223"/>
      <c r="X1330" s="149">
        <v>43298</v>
      </c>
      <c r="Y1330" s="45" t="s">
        <v>27</v>
      </c>
      <c r="Z1330" s="45" t="s">
        <v>27</v>
      </c>
      <c r="AA1330" s="51" t="s">
        <v>27</v>
      </c>
      <c r="AB1330" s="51"/>
      <c r="AC1330" s="451" t="s">
        <v>5989</v>
      </c>
      <c r="AD1330" s="325"/>
    </row>
    <row r="1331" spans="1:30" ht="16.350000000000001" customHeight="1">
      <c r="A1331" s="131" t="s">
        <v>0</v>
      </c>
      <c r="B1331" s="459" t="s">
        <v>6370</v>
      </c>
      <c r="C1331" s="131" t="s">
        <v>27</v>
      </c>
      <c r="D1331" s="53" t="s">
        <v>2758</v>
      </c>
      <c r="E1331" s="460" t="s">
        <v>17</v>
      </c>
      <c r="F1331" s="131" t="s">
        <v>6380</v>
      </c>
      <c r="G1331" s="131"/>
      <c r="H1331" s="131" t="s">
        <v>3084</v>
      </c>
      <c r="I1331" s="131" t="s">
        <v>60</v>
      </c>
      <c r="J1331" s="131" t="s">
        <v>5937</v>
      </c>
      <c r="K1331" s="352" t="s">
        <v>5936</v>
      </c>
      <c r="L1331" s="131" t="s">
        <v>4464</v>
      </c>
      <c r="M1331" s="51" t="s">
        <v>22</v>
      </c>
      <c r="N1331" s="51" t="s">
        <v>22</v>
      </c>
      <c r="O1331" s="51" t="s">
        <v>22</v>
      </c>
      <c r="P1331" s="53" t="s">
        <v>6338</v>
      </c>
      <c r="Q1331" s="53" t="s">
        <v>6349</v>
      </c>
      <c r="R1331" s="237"/>
      <c r="S1331" s="51"/>
      <c r="T1331" s="223"/>
      <c r="U1331" s="138"/>
      <c r="V1331" s="138"/>
      <c r="W1331" s="223"/>
      <c r="X1331" s="359">
        <v>43298</v>
      </c>
      <c r="Y1331" s="360" t="s">
        <v>27</v>
      </c>
      <c r="Z1331" s="360" t="s">
        <v>27</v>
      </c>
      <c r="AA1331" s="131" t="s">
        <v>27</v>
      </c>
      <c r="AB1331" s="131"/>
      <c r="AC1331" s="169" t="s">
        <v>6383</v>
      </c>
      <c r="AD1331" s="325"/>
    </row>
    <row r="1332" spans="1:30" ht="15" hidden="1" customHeight="1" thickBot="1">
      <c r="A1332" s="362" t="s">
        <v>336</v>
      </c>
      <c r="B1332" s="362"/>
      <c r="C1332" s="362"/>
      <c r="D1332" s="362"/>
      <c r="E1332" s="362"/>
      <c r="F1332" s="362"/>
      <c r="G1332" s="362"/>
      <c r="H1332" s="362"/>
      <c r="I1332" s="362"/>
      <c r="J1332" s="362"/>
      <c r="K1332" s="362"/>
      <c r="L1332" s="51"/>
      <c r="M1332" s="279"/>
      <c r="N1332" s="279"/>
      <c r="O1332" s="279"/>
      <c r="P1332" s="280"/>
      <c r="Q1332" s="278"/>
      <c r="R1332" s="279"/>
      <c r="S1332" s="279"/>
      <c r="T1332" s="279"/>
      <c r="U1332" s="279"/>
      <c r="V1332" s="279"/>
      <c r="W1332" s="455"/>
      <c r="X1332" s="362"/>
      <c r="Y1332" s="367"/>
      <c r="Z1332" s="367"/>
      <c r="AA1332" s="45"/>
      <c r="AB1332" s="51"/>
      <c r="AC1332" s="458"/>
    </row>
    <row r="1333" spans="1:30" ht="15" hidden="1" customHeight="1" thickBot="1">
      <c r="A1333" s="362" t="s">
        <v>336</v>
      </c>
      <c r="B1333" s="362"/>
      <c r="C1333" s="362"/>
      <c r="D1333" s="362"/>
      <c r="E1333" s="362"/>
      <c r="F1333" s="362"/>
      <c r="G1333" s="362"/>
      <c r="H1333" s="362"/>
      <c r="I1333" s="362"/>
      <c r="J1333" s="362"/>
      <c r="K1333" s="362"/>
      <c r="L1333" s="51"/>
      <c r="M1333" s="282"/>
      <c r="N1333" s="282"/>
      <c r="O1333" s="282"/>
      <c r="P1333" s="280"/>
      <c r="Q1333" s="281"/>
      <c r="R1333" s="282"/>
      <c r="S1333" s="282"/>
      <c r="T1333" s="282"/>
      <c r="U1333" s="282"/>
      <c r="V1333" s="282"/>
      <c r="W1333" s="456"/>
      <c r="X1333" s="362"/>
      <c r="Y1333" s="367"/>
      <c r="Z1333" s="367"/>
      <c r="AA1333" s="45"/>
      <c r="AB1333" s="51"/>
      <c r="AC1333" s="458"/>
    </row>
    <row r="1334" spans="1:30" ht="15" hidden="1" customHeight="1" thickBot="1">
      <c r="A1334" s="362" t="s">
        <v>336</v>
      </c>
      <c r="B1334" s="362"/>
      <c r="C1334" s="362"/>
      <c r="D1334" s="362"/>
      <c r="E1334" s="362"/>
      <c r="F1334" s="362"/>
      <c r="G1334" s="362"/>
      <c r="H1334" s="362"/>
      <c r="I1334" s="362"/>
      <c r="J1334" s="362"/>
      <c r="K1334" s="362"/>
      <c r="L1334" s="51"/>
      <c r="M1334" s="282"/>
      <c r="N1334" s="282"/>
      <c r="O1334" s="282"/>
      <c r="P1334" s="280"/>
      <c r="Q1334" s="281"/>
      <c r="R1334" s="282"/>
      <c r="S1334" s="282"/>
      <c r="T1334" s="282"/>
      <c r="U1334" s="282"/>
      <c r="V1334" s="282"/>
      <c r="W1334" s="456"/>
      <c r="X1334" s="362"/>
      <c r="Y1334" s="367"/>
      <c r="Z1334" s="367"/>
      <c r="AA1334" s="45"/>
      <c r="AB1334" s="51"/>
      <c r="AC1334" s="458"/>
    </row>
    <row r="1335" spans="1:30" ht="15" hidden="1" customHeight="1" thickBot="1">
      <c r="A1335" s="362" t="s">
        <v>336</v>
      </c>
      <c r="B1335" s="362"/>
      <c r="C1335" s="362"/>
      <c r="D1335" s="362"/>
      <c r="E1335" s="362"/>
      <c r="F1335" s="362"/>
      <c r="G1335" s="362"/>
      <c r="H1335" s="362"/>
      <c r="I1335" s="362"/>
      <c r="J1335" s="362"/>
      <c r="K1335" s="362"/>
      <c r="L1335" s="51"/>
      <c r="M1335" s="282"/>
      <c r="N1335" s="282"/>
      <c r="O1335" s="282"/>
      <c r="P1335"/>
      <c r="Q1335" s="282"/>
      <c r="R1335" s="282"/>
      <c r="S1335" s="282"/>
      <c r="T1335" s="282"/>
      <c r="U1335" s="282"/>
      <c r="V1335" s="282"/>
      <c r="W1335" s="456"/>
      <c r="X1335" s="362"/>
      <c r="Y1335" s="364"/>
      <c r="Z1335" s="364"/>
      <c r="AA1335" s="362"/>
      <c r="AB1335" s="51"/>
      <c r="AC1335" s="458"/>
    </row>
    <row r="1336" spans="1:30" ht="15" hidden="1" customHeight="1" thickBot="1">
      <c r="A1336" s="362" t="s">
        <v>336</v>
      </c>
      <c r="B1336" s="362"/>
      <c r="C1336" s="362"/>
      <c r="D1336" s="362"/>
      <c r="E1336" s="362"/>
      <c r="F1336" s="362"/>
      <c r="G1336" s="362"/>
      <c r="H1336" s="362"/>
      <c r="I1336" s="362"/>
      <c r="J1336" s="362"/>
      <c r="K1336" s="362"/>
      <c r="L1336" s="51"/>
      <c r="M1336" s="282"/>
      <c r="N1336" s="282"/>
      <c r="O1336" s="282"/>
      <c r="P1336"/>
      <c r="Q1336" s="282"/>
      <c r="R1336" s="282"/>
      <c r="S1336" s="282"/>
      <c r="T1336" s="282"/>
      <c r="U1336" s="282"/>
      <c r="V1336" s="282"/>
      <c r="W1336" s="456"/>
      <c r="X1336" s="362"/>
      <c r="Y1336" s="364"/>
      <c r="Z1336" s="364"/>
      <c r="AA1336" s="362"/>
      <c r="AB1336" s="51"/>
      <c r="AC1336" s="458"/>
    </row>
    <row r="1337" spans="1:30" ht="15" hidden="1" customHeight="1">
      <c r="A1337" s="361" t="s">
        <v>364</v>
      </c>
      <c r="B1337" s="361"/>
      <c r="C1337" s="361"/>
      <c r="D1337" s="464"/>
      <c r="E1337" s="361"/>
      <c r="F1337" s="427"/>
      <c r="G1337" s="465"/>
      <c r="H1337" s="361"/>
      <c r="I1337" s="361"/>
      <c r="J1337" s="466"/>
      <c r="K1337" s="427"/>
      <c r="L1337" s="361"/>
      <c r="M1337" s="51"/>
      <c r="N1337" s="51"/>
      <c r="O1337" s="51"/>
      <c r="P1337" s="53"/>
      <c r="Q1337" s="53"/>
      <c r="R1337" s="301"/>
      <c r="S1337" s="300"/>
      <c r="T1337" s="302"/>
      <c r="U1337" s="116"/>
      <c r="V1337" s="138"/>
      <c r="W1337" s="223"/>
      <c r="X1337" s="467"/>
      <c r="Y1337" s="468"/>
      <c r="Z1337" s="468"/>
      <c r="AA1337" s="361"/>
      <c r="AB1337" s="361"/>
      <c r="AC1337" s="169"/>
    </row>
    <row r="1338" spans="1:30" hidden="1">
      <c r="A1338" s="131" t="s">
        <v>364</v>
      </c>
      <c r="B1338" s="351"/>
      <c r="C1338" s="131"/>
      <c r="D1338" s="352"/>
      <c r="E1338" s="351"/>
      <c r="F1338" s="353"/>
      <c r="G1338" s="461"/>
      <c r="H1338" s="131"/>
      <c r="I1338" s="131"/>
      <c r="J1338" s="351"/>
      <c r="K1338" s="462"/>
      <c r="L1338" s="131"/>
      <c r="M1338" s="51"/>
      <c r="N1338" s="51"/>
      <c r="O1338" s="51"/>
      <c r="P1338" s="299"/>
      <c r="Q1338" s="299"/>
      <c r="R1338" s="303"/>
      <c r="S1338" s="51"/>
      <c r="T1338" s="302"/>
      <c r="U1338" s="142"/>
      <c r="V1338" s="138"/>
      <c r="W1338" s="223"/>
      <c r="X1338" s="359"/>
      <c r="Y1338" s="463"/>
      <c r="Z1338" s="360"/>
      <c r="AA1338" s="131"/>
      <c r="AB1338" s="131"/>
      <c r="AC1338" s="169"/>
    </row>
    <row r="1339" spans="1:30" ht="15.75" hidden="1" thickBot="1">
      <c r="A1339" s="51" t="s">
        <v>336</v>
      </c>
      <c r="B1339" s="362"/>
      <c r="C1339" s="362"/>
      <c r="D1339" s="362"/>
      <c r="E1339" s="362"/>
      <c r="F1339" s="362"/>
      <c r="G1339" s="362"/>
      <c r="H1339" s="362"/>
      <c r="I1339" s="362"/>
      <c r="J1339" s="362"/>
      <c r="K1339" s="362"/>
      <c r="L1339" s="51"/>
      <c r="M1339" s="282"/>
      <c r="N1339" s="282"/>
      <c r="O1339" s="282"/>
      <c r="P1339" s="282"/>
      <c r="Q1339" s="250"/>
      <c r="R1339" s="282"/>
      <c r="S1339" s="282"/>
      <c r="T1339" s="282"/>
      <c r="U1339" s="282"/>
      <c r="V1339" s="282"/>
      <c r="W1339" s="456"/>
      <c r="X1339" s="362"/>
      <c r="Y1339" s="362"/>
      <c r="Z1339" s="364"/>
      <c r="AA1339" s="364"/>
      <c r="AB1339" s="362"/>
      <c r="AC1339" s="458"/>
    </row>
    <row r="1340" spans="1:30" ht="15.75" hidden="1" thickBot="1">
      <c r="A1340" s="51" t="s">
        <v>336</v>
      </c>
      <c r="B1340" s="362"/>
      <c r="C1340" s="362"/>
      <c r="D1340" s="362"/>
      <c r="E1340" s="362"/>
      <c r="F1340" s="362"/>
      <c r="G1340" s="362"/>
      <c r="H1340" s="362"/>
      <c r="I1340" s="362"/>
      <c r="J1340" s="362"/>
      <c r="K1340" s="362"/>
      <c r="L1340" s="51"/>
      <c r="M1340" s="282"/>
      <c r="N1340" s="282"/>
      <c r="O1340" s="282"/>
      <c r="P1340" s="282"/>
      <c r="Q1340" s="250"/>
      <c r="R1340" s="282"/>
      <c r="S1340" s="282"/>
      <c r="T1340" s="282"/>
      <c r="U1340" s="282"/>
      <c r="V1340" s="282"/>
      <c r="W1340" s="456"/>
      <c r="X1340" s="362"/>
      <c r="Y1340" s="362"/>
      <c r="Z1340" s="364"/>
      <c r="AA1340" s="364"/>
      <c r="AB1340" s="362"/>
      <c r="AC1340" s="458"/>
    </row>
    <row r="1341" spans="1:30" ht="15.75" hidden="1" thickBot="1">
      <c r="A1341" s="51" t="s">
        <v>336</v>
      </c>
      <c r="B1341" s="362"/>
      <c r="C1341" s="362"/>
      <c r="D1341" s="362"/>
      <c r="E1341" s="362"/>
      <c r="F1341" s="362"/>
      <c r="G1341" s="362"/>
      <c r="H1341" s="362"/>
      <c r="I1341" s="362"/>
      <c r="J1341" s="362"/>
      <c r="K1341" s="362"/>
      <c r="L1341" s="51"/>
      <c r="M1341" s="282"/>
      <c r="N1341" s="282"/>
      <c r="O1341" s="282"/>
      <c r="P1341" s="282"/>
      <c r="Q1341" s="250"/>
      <c r="R1341" s="282"/>
      <c r="S1341" s="282"/>
      <c r="T1341" s="282"/>
      <c r="U1341" s="282"/>
      <c r="V1341" s="282"/>
      <c r="W1341" s="456"/>
      <c r="X1341" s="362"/>
      <c r="Y1341" s="362"/>
      <c r="Z1341" s="364"/>
      <c r="AA1341" s="364"/>
      <c r="AB1341" s="362"/>
      <c r="AC1341" s="458"/>
    </row>
    <row r="1342" spans="1:30" hidden="1">
      <c r="A1342" s="51" t="s">
        <v>336</v>
      </c>
      <c r="B1342" s="362"/>
      <c r="C1342" s="51"/>
      <c r="D1342" s="53"/>
      <c r="E1342" s="51"/>
      <c r="F1342" s="362"/>
      <c r="G1342" s="51"/>
      <c r="H1342" s="51"/>
      <c r="I1342" s="51"/>
      <c r="J1342" s="51"/>
      <c r="K1342" s="53"/>
      <c r="L1342" s="51"/>
      <c r="M1342" s="425"/>
      <c r="N1342" s="51"/>
      <c r="O1342" s="51"/>
      <c r="P1342" s="248"/>
      <c r="Q1342" s="53"/>
      <c r="R1342" s="237"/>
      <c r="S1342" s="51"/>
      <c r="T1342" s="223"/>
      <c r="U1342" s="138"/>
      <c r="V1342" s="138"/>
      <c r="W1342" s="457"/>
      <c r="X1342" s="149"/>
      <c r="Y1342" s="45"/>
      <c r="Z1342" s="45"/>
      <c r="AA1342" s="364"/>
      <c r="AB1342" s="51"/>
      <c r="AC1342" s="458"/>
    </row>
    <row r="1343" spans="1:30" ht="30">
      <c r="A1343" s="361" t="s">
        <v>364</v>
      </c>
      <c r="B1343" s="469" t="s">
        <v>4556</v>
      </c>
      <c r="C1343" s="361" t="s">
        <v>27</v>
      </c>
      <c r="D1343" s="464" t="s">
        <v>2759</v>
      </c>
      <c r="E1343" s="469" t="s">
        <v>17</v>
      </c>
      <c r="F1343" s="470" t="s">
        <v>4561</v>
      </c>
      <c r="G1343" s="471" t="s">
        <v>5506</v>
      </c>
      <c r="H1343" s="361" t="s">
        <v>3084</v>
      </c>
      <c r="I1343" s="361" t="s">
        <v>21</v>
      </c>
      <c r="J1343" s="466" t="s">
        <v>5851</v>
      </c>
      <c r="K1343" s="470" t="s">
        <v>337</v>
      </c>
      <c r="L1343" s="361" t="s">
        <v>4464</v>
      </c>
      <c r="M1343" s="51" t="s">
        <v>22</v>
      </c>
      <c r="N1343" s="51" t="s">
        <v>22</v>
      </c>
      <c r="O1343" s="51" t="s">
        <v>3639</v>
      </c>
      <c r="P1343" s="299" t="s">
        <v>4546</v>
      </c>
      <c r="Q1343" s="299" t="s">
        <v>4562</v>
      </c>
      <c r="R1343" s="303" t="s">
        <v>4566</v>
      </c>
      <c r="S1343" s="300" t="s">
        <v>4567</v>
      </c>
      <c r="T1343" s="350" t="s">
        <v>4702</v>
      </c>
      <c r="U1343" s="116">
        <v>440152256265</v>
      </c>
      <c r="V1343" s="138"/>
      <c r="W1343" s="223"/>
      <c r="X1343" s="467"/>
      <c r="Y1343" s="468" t="s">
        <v>27</v>
      </c>
      <c r="Z1343" s="468" t="s">
        <v>27</v>
      </c>
      <c r="AA1343" s="361" t="s">
        <v>27</v>
      </c>
      <c r="AB1343" s="361"/>
      <c r="AC1343" s="169"/>
    </row>
    <row r="1344" spans="1:30" ht="45">
      <c r="A1344" s="51" t="s">
        <v>364</v>
      </c>
      <c r="B1344" s="300" t="s">
        <v>4557</v>
      </c>
      <c r="C1344" s="51" t="s">
        <v>27</v>
      </c>
      <c r="D1344" s="53" t="s">
        <v>2758</v>
      </c>
      <c r="E1344" s="300" t="s">
        <v>17</v>
      </c>
      <c r="F1344" s="299" t="s">
        <v>4568</v>
      </c>
      <c r="G1344" s="341" t="s">
        <v>5507</v>
      </c>
      <c r="H1344" s="51" t="s">
        <v>3084</v>
      </c>
      <c r="I1344" s="51" t="s">
        <v>21</v>
      </c>
      <c r="J1344" s="51" t="s">
        <v>2259</v>
      </c>
      <c r="K1344" s="53" t="s">
        <v>61</v>
      </c>
      <c r="L1344" s="51" t="s">
        <v>4464</v>
      </c>
      <c r="M1344" s="51" t="s">
        <v>22</v>
      </c>
      <c r="N1344" s="51" t="s">
        <v>22</v>
      </c>
      <c r="O1344" s="51" t="s">
        <v>3639</v>
      </c>
      <c r="P1344" s="299" t="s">
        <v>4492</v>
      </c>
      <c r="Q1344" s="299" t="s">
        <v>4563</v>
      </c>
      <c r="R1344" s="237" t="s">
        <v>4698</v>
      </c>
      <c r="S1344" s="51" t="s">
        <v>4573</v>
      </c>
      <c r="T1344" s="386" t="s">
        <v>5833</v>
      </c>
      <c r="U1344" s="116">
        <v>440152219846</v>
      </c>
      <c r="V1344" s="138"/>
      <c r="W1344" s="223"/>
      <c r="X1344" s="149"/>
      <c r="Y1344" s="45" t="s">
        <v>27</v>
      </c>
      <c r="Z1344" s="45" t="s">
        <v>27</v>
      </c>
      <c r="AA1344" s="51" t="s">
        <v>27</v>
      </c>
      <c r="AB1344" s="51"/>
      <c r="AC1344" s="387" t="s">
        <v>5835</v>
      </c>
    </row>
    <row r="1345" spans="1:30" ht="45">
      <c r="A1345" s="51" t="s">
        <v>364</v>
      </c>
      <c r="B1345" s="300" t="s">
        <v>4558</v>
      </c>
      <c r="C1345" s="51" t="s">
        <v>27</v>
      </c>
      <c r="D1345" s="53" t="s">
        <v>2758</v>
      </c>
      <c r="E1345" s="300" t="s">
        <v>17</v>
      </c>
      <c r="F1345" s="299" t="s">
        <v>4569</v>
      </c>
      <c r="G1345" s="342" t="s">
        <v>5508</v>
      </c>
      <c r="H1345" s="51" t="s">
        <v>3084</v>
      </c>
      <c r="I1345" s="51" t="s">
        <v>21</v>
      </c>
      <c r="J1345" s="51" t="s">
        <v>2259</v>
      </c>
      <c r="K1345" s="53" t="s">
        <v>33</v>
      </c>
      <c r="L1345" s="51" t="s">
        <v>4464</v>
      </c>
      <c r="M1345" s="51" t="s">
        <v>22</v>
      </c>
      <c r="N1345" s="51" t="s">
        <v>22</v>
      </c>
      <c r="O1345" s="51" t="s">
        <v>3639</v>
      </c>
      <c r="P1345" s="53" t="s">
        <v>4492</v>
      </c>
      <c r="Q1345" s="299" t="s">
        <v>4564</v>
      </c>
      <c r="R1345" s="237" t="s">
        <v>4699</v>
      </c>
      <c r="S1345" s="51" t="s">
        <v>4574</v>
      </c>
      <c r="T1345" s="223" t="s">
        <v>5848</v>
      </c>
      <c r="U1345" s="116">
        <v>440152214483</v>
      </c>
      <c r="V1345" s="138"/>
      <c r="W1345" s="223"/>
      <c r="X1345" s="149"/>
      <c r="Y1345" s="45" t="s">
        <v>27</v>
      </c>
      <c r="Z1345" s="45" t="s">
        <v>27</v>
      </c>
      <c r="AA1345" s="51" t="s">
        <v>27</v>
      </c>
      <c r="AB1345" s="51"/>
      <c r="AC1345" s="388" t="s">
        <v>5849</v>
      </c>
    </row>
    <row r="1346" spans="1:30" ht="45">
      <c r="A1346" s="51" t="s">
        <v>364</v>
      </c>
      <c r="B1346" s="300" t="s">
        <v>4559</v>
      </c>
      <c r="C1346" s="51" t="s">
        <v>27</v>
      </c>
      <c r="D1346" s="53" t="s">
        <v>2758</v>
      </c>
      <c r="E1346" s="300" t="s">
        <v>17</v>
      </c>
      <c r="F1346" s="299" t="s">
        <v>4570</v>
      </c>
      <c r="G1346" s="343" t="s">
        <v>5503</v>
      </c>
      <c r="H1346" s="51" t="s">
        <v>3084</v>
      </c>
      <c r="I1346" s="51" t="s">
        <v>21</v>
      </c>
      <c r="J1346" s="51" t="s">
        <v>2259</v>
      </c>
      <c r="K1346" s="53" t="s">
        <v>337</v>
      </c>
      <c r="L1346" s="51" t="s">
        <v>4464</v>
      </c>
      <c r="M1346" s="51" t="s">
        <v>22</v>
      </c>
      <c r="N1346" s="51" t="s">
        <v>22</v>
      </c>
      <c r="O1346" s="51" t="s">
        <v>3639</v>
      </c>
      <c r="P1346" s="53" t="s">
        <v>4492</v>
      </c>
      <c r="Q1346" s="299" t="s">
        <v>4565</v>
      </c>
      <c r="R1346" s="237" t="s">
        <v>4700</v>
      </c>
      <c r="S1346" s="51" t="s">
        <v>4575</v>
      </c>
      <c r="T1346" s="223" t="s">
        <v>5834</v>
      </c>
      <c r="U1346" s="116">
        <v>440152214412</v>
      </c>
      <c r="V1346" s="138"/>
      <c r="W1346" s="223"/>
      <c r="X1346" s="149"/>
      <c r="Y1346" s="45" t="s">
        <v>27</v>
      </c>
      <c r="Z1346" s="45" t="s">
        <v>27</v>
      </c>
      <c r="AA1346" s="51" t="s">
        <v>27</v>
      </c>
      <c r="AB1346" s="51"/>
      <c r="AC1346" s="388" t="s">
        <v>5836</v>
      </c>
    </row>
    <row r="1347" spans="1:30" ht="30">
      <c r="A1347" s="51" t="s">
        <v>364</v>
      </c>
      <c r="B1347" s="300" t="s">
        <v>4560</v>
      </c>
      <c r="C1347" s="51" t="s">
        <v>27</v>
      </c>
      <c r="D1347" s="289" t="s">
        <v>2759</v>
      </c>
      <c r="E1347" s="51" t="s">
        <v>17</v>
      </c>
      <c r="F1347" s="299" t="s">
        <v>4571</v>
      </c>
      <c r="G1347" s="344" t="s">
        <v>5509</v>
      </c>
      <c r="H1347" s="51" t="s">
        <v>3084</v>
      </c>
      <c r="I1347" s="51" t="s">
        <v>21</v>
      </c>
      <c r="J1347" s="51" t="s">
        <v>2259</v>
      </c>
      <c r="K1347" s="53" t="s">
        <v>337</v>
      </c>
      <c r="L1347" s="51" t="s">
        <v>4464</v>
      </c>
      <c r="M1347" s="51" t="s">
        <v>22</v>
      </c>
      <c r="N1347" s="51" t="s">
        <v>22</v>
      </c>
      <c r="O1347" s="51" t="s">
        <v>3639</v>
      </c>
      <c r="P1347" s="53" t="s">
        <v>4492</v>
      </c>
      <c r="Q1347" s="299" t="s">
        <v>4572</v>
      </c>
      <c r="R1347" s="237" t="s">
        <v>4701</v>
      </c>
      <c r="S1347" s="51" t="s">
        <v>4576</v>
      </c>
      <c r="T1347" s="297" t="s">
        <v>5850</v>
      </c>
      <c r="U1347" s="116">
        <v>440152214460</v>
      </c>
      <c r="V1347" s="138"/>
      <c r="W1347" s="223"/>
      <c r="X1347" s="149"/>
      <c r="Y1347" s="45" t="s">
        <v>27</v>
      </c>
      <c r="Z1347" s="45" t="s">
        <v>27</v>
      </c>
      <c r="AA1347" s="51" t="s">
        <v>27</v>
      </c>
      <c r="AB1347" s="51"/>
      <c r="AC1347" s="388"/>
    </row>
    <row r="1348" spans="1:30" ht="30">
      <c r="A1348" s="51" t="s">
        <v>364</v>
      </c>
      <c r="B1348" s="300" t="s">
        <v>4596</v>
      </c>
      <c r="C1348" s="51" t="s">
        <v>27</v>
      </c>
      <c r="D1348" s="289" t="s">
        <v>2758</v>
      </c>
      <c r="E1348" s="300" t="s">
        <v>17</v>
      </c>
      <c r="F1348" s="299" t="s">
        <v>4591</v>
      </c>
      <c r="G1348" s="345" t="s">
        <v>5510</v>
      </c>
      <c r="H1348" s="51" t="s">
        <v>3084</v>
      </c>
      <c r="I1348" s="51" t="s">
        <v>60</v>
      </c>
      <c r="J1348" s="438" t="s">
        <v>5855</v>
      </c>
      <c r="K1348" s="53" t="s">
        <v>5854</v>
      </c>
      <c r="L1348" s="51" t="s">
        <v>31</v>
      </c>
      <c r="M1348" s="51" t="s">
        <v>22</v>
      </c>
      <c r="N1348" s="51" t="s">
        <v>22</v>
      </c>
      <c r="O1348" s="51" t="s">
        <v>3639</v>
      </c>
      <c r="P1348" s="53" t="s">
        <v>4492</v>
      </c>
      <c r="Q1348" s="299" t="s">
        <v>4592</v>
      </c>
      <c r="R1348" s="303" t="s">
        <v>4593</v>
      </c>
      <c r="S1348" s="300" t="s">
        <v>4594</v>
      </c>
      <c r="T1348" s="302" t="s">
        <v>4595</v>
      </c>
      <c r="U1348" s="116">
        <v>440152256248</v>
      </c>
      <c r="V1348" s="138"/>
      <c r="W1348" s="223"/>
      <c r="X1348" s="149"/>
      <c r="Y1348" s="45" t="s">
        <v>27</v>
      </c>
      <c r="Z1348" s="45" t="s">
        <v>27</v>
      </c>
      <c r="AA1348" s="51" t="s">
        <v>27</v>
      </c>
      <c r="AB1348" s="51"/>
      <c r="AC1348" s="51" t="s">
        <v>6553</v>
      </c>
    </row>
    <row r="1349" spans="1:30" ht="15" customHeight="1">
      <c r="A1349" s="51" t="s">
        <v>0</v>
      </c>
      <c r="B1349" s="51" t="s">
        <v>4495</v>
      </c>
      <c r="C1349" s="51" t="s">
        <v>27</v>
      </c>
      <c r="D1349" s="289" t="s">
        <v>2758</v>
      </c>
      <c r="E1349" s="300" t="s">
        <v>2008</v>
      </c>
      <c r="F1349" s="298" t="s">
        <v>4520</v>
      </c>
      <c r="G1349" s="51"/>
      <c r="H1349" s="51" t="s">
        <v>3084</v>
      </c>
      <c r="I1349" s="51" t="s">
        <v>21</v>
      </c>
      <c r="J1349" s="51" t="s">
        <v>32</v>
      </c>
      <c r="K1349" s="53" t="s">
        <v>61</v>
      </c>
      <c r="L1349" s="51" t="s">
        <v>4464</v>
      </c>
      <c r="M1349" s="51" t="s">
        <v>27</v>
      </c>
      <c r="N1349" s="51"/>
      <c r="O1349" s="51"/>
      <c r="P1349" s="53" t="s">
        <v>5729</v>
      </c>
      <c r="Q1349" s="53"/>
      <c r="R1349" s="237"/>
      <c r="S1349" s="51"/>
      <c r="T1349" s="223"/>
      <c r="U1349" s="138"/>
      <c r="V1349" s="138"/>
      <c r="W1349" s="223"/>
      <c r="X1349" s="149"/>
      <c r="Y1349" s="45" t="s">
        <v>27</v>
      </c>
      <c r="Z1349" s="45" t="s">
        <v>27</v>
      </c>
      <c r="AA1349" s="51" t="s">
        <v>27</v>
      </c>
      <c r="AB1349" s="51"/>
      <c r="AC1349" s="421" t="s">
        <v>5924</v>
      </c>
      <c r="AD1349" s="325"/>
    </row>
    <row r="1350" spans="1:30" ht="30">
      <c r="A1350" s="51" t="s">
        <v>0</v>
      </c>
      <c r="B1350" s="51" t="s">
        <v>4496</v>
      </c>
      <c r="C1350" s="51" t="s">
        <v>27</v>
      </c>
      <c r="D1350" s="53" t="s">
        <v>2758</v>
      </c>
      <c r="E1350" s="300" t="s">
        <v>2008</v>
      </c>
      <c r="F1350" s="53" t="s">
        <v>4521</v>
      </c>
      <c r="G1350" s="51"/>
      <c r="H1350" s="51" t="s">
        <v>3084</v>
      </c>
      <c r="I1350" s="51" t="s">
        <v>60</v>
      </c>
      <c r="J1350" s="51" t="s">
        <v>5733</v>
      </c>
      <c r="K1350" s="412" t="s">
        <v>5916</v>
      </c>
      <c r="L1350" s="51" t="s">
        <v>4464</v>
      </c>
      <c r="M1350" s="51" t="s">
        <v>22</v>
      </c>
      <c r="N1350" s="51"/>
      <c r="O1350" s="51"/>
      <c r="P1350" s="53"/>
      <c r="Q1350" s="53"/>
      <c r="R1350" s="237"/>
      <c r="S1350" s="51"/>
      <c r="T1350" s="223"/>
      <c r="U1350" s="138"/>
      <c r="V1350" s="138"/>
      <c r="W1350" s="223"/>
      <c r="X1350" s="149">
        <v>43425</v>
      </c>
      <c r="Y1350" s="45" t="s">
        <v>27</v>
      </c>
      <c r="Z1350" s="45" t="s">
        <v>27</v>
      </c>
      <c r="AA1350" s="51" t="s">
        <v>27</v>
      </c>
      <c r="AB1350" s="51"/>
      <c r="AC1350" s="384" t="s">
        <v>5815</v>
      </c>
      <c r="AD1350" s="325"/>
    </row>
    <row r="1351" spans="1:30" ht="30">
      <c r="A1351" s="51" t="s">
        <v>0</v>
      </c>
      <c r="B1351" s="51" t="s">
        <v>4497</v>
      </c>
      <c r="C1351" s="51" t="s">
        <v>27</v>
      </c>
      <c r="D1351" s="289" t="s">
        <v>25</v>
      </c>
      <c r="E1351" s="300" t="s">
        <v>2008</v>
      </c>
      <c r="F1351" s="53" t="s">
        <v>4522</v>
      </c>
      <c r="G1351" s="51"/>
      <c r="H1351" s="51" t="s">
        <v>3084</v>
      </c>
      <c r="I1351" s="51" t="s">
        <v>21</v>
      </c>
      <c r="J1351" s="51" t="s">
        <v>24</v>
      </c>
      <c r="K1351" s="53" t="s">
        <v>5860</v>
      </c>
      <c r="L1351" s="51" t="s">
        <v>4464</v>
      </c>
      <c r="M1351" s="51" t="s">
        <v>22</v>
      </c>
      <c r="N1351" s="51"/>
      <c r="O1351" s="51"/>
      <c r="P1351" s="53" t="s">
        <v>5729</v>
      </c>
      <c r="Q1351" s="53"/>
      <c r="R1351" s="237"/>
      <c r="S1351" s="51"/>
      <c r="T1351" s="223"/>
      <c r="U1351" s="138"/>
      <c r="V1351" s="138"/>
      <c r="W1351" s="223"/>
      <c r="X1351" s="149">
        <v>43425</v>
      </c>
      <c r="Y1351" s="45" t="s">
        <v>27</v>
      </c>
      <c r="Z1351" s="45" t="s">
        <v>27</v>
      </c>
      <c r="AA1351" s="51" t="s">
        <v>27</v>
      </c>
      <c r="AB1351" s="51"/>
      <c r="AC1351" s="438" t="s">
        <v>5978</v>
      </c>
      <c r="AD1351" s="325"/>
    </row>
    <row r="1352" spans="1:30" ht="45">
      <c r="A1352" s="51" t="s">
        <v>0</v>
      </c>
      <c r="B1352" s="51" t="s">
        <v>4498</v>
      </c>
      <c r="C1352" s="51" t="s">
        <v>27</v>
      </c>
      <c r="D1352" s="53" t="s">
        <v>2758</v>
      </c>
      <c r="E1352" s="300" t="s">
        <v>2008</v>
      </c>
      <c r="F1352" s="53" t="s">
        <v>4523</v>
      </c>
      <c r="G1352" s="51"/>
      <c r="H1352" s="51" t="s">
        <v>3084</v>
      </c>
      <c r="I1352" s="51" t="s">
        <v>60</v>
      </c>
      <c r="J1352" s="51" t="s">
        <v>5937</v>
      </c>
      <c r="K1352" s="53" t="s">
        <v>5936</v>
      </c>
      <c r="L1352" s="51" t="s">
        <v>4464</v>
      </c>
      <c r="M1352" s="51" t="s">
        <v>22</v>
      </c>
      <c r="N1352" s="51"/>
      <c r="O1352" s="51"/>
      <c r="P1352" s="53"/>
      <c r="Q1352" s="53"/>
      <c r="R1352" s="237"/>
      <c r="S1352" s="51"/>
      <c r="T1352" s="223"/>
      <c r="U1352" s="138"/>
      <c r="V1352" s="138"/>
      <c r="W1352" s="223"/>
      <c r="X1352" s="149">
        <v>43425</v>
      </c>
      <c r="Y1352" s="45" t="s">
        <v>27</v>
      </c>
      <c r="Z1352" s="45" t="s">
        <v>27</v>
      </c>
      <c r="AA1352" s="51" t="s">
        <v>27</v>
      </c>
      <c r="AB1352" s="51"/>
      <c r="AC1352" s="437" t="s">
        <v>5923</v>
      </c>
      <c r="AD1352" s="325"/>
    </row>
    <row r="1353" spans="1:30" ht="15" customHeight="1">
      <c r="A1353" s="51" t="s">
        <v>0</v>
      </c>
      <c r="B1353" s="51" t="s">
        <v>4499</v>
      </c>
      <c r="C1353" s="51" t="s">
        <v>27</v>
      </c>
      <c r="D1353" s="53" t="s">
        <v>2761</v>
      </c>
      <c r="E1353" s="300" t="s">
        <v>2008</v>
      </c>
      <c r="F1353" s="53" t="s">
        <v>4524</v>
      </c>
      <c r="G1353" s="51"/>
      <c r="H1353" s="51" t="s">
        <v>3084</v>
      </c>
      <c r="I1353" s="51" t="s">
        <v>21</v>
      </c>
      <c r="J1353" s="51" t="s">
        <v>24</v>
      </c>
      <c r="K1353" s="53" t="s">
        <v>5860</v>
      </c>
      <c r="L1353" s="51" t="s">
        <v>4464</v>
      </c>
      <c r="M1353" s="51" t="s">
        <v>22</v>
      </c>
      <c r="N1353" s="51"/>
      <c r="O1353" s="51"/>
      <c r="P1353" s="53"/>
      <c r="Q1353" s="53"/>
      <c r="R1353" s="237"/>
      <c r="S1353" s="51"/>
      <c r="T1353" s="223"/>
      <c r="U1353" s="138"/>
      <c r="V1353" s="138"/>
      <c r="W1353" s="223"/>
      <c r="X1353" s="149"/>
      <c r="Y1353" s="45" t="s">
        <v>27</v>
      </c>
      <c r="Z1353" s="45" t="s">
        <v>27</v>
      </c>
      <c r="AA1353" s="51" t="s">
        <v>27</v>
      </c>
      <c r="AB1353" s="51"/>
      <c r="AC1353" s="169" t="s">
        <v>5990</v>
      </c>
      <c r="AD1353" s="325"/>
    </row>
    <row r="1354" spans="1:30" ht="15" customHeight="1">
      <c r="A1354" s="51" t="s">
        <v>0</v>
      </c>
      <c r="B1354" s="51" t="s">
        <v>4500</v>
      </c>
      <c r="C1354" s="51" t="s">
        <v>27</v>
      </c>
      <c r="D1354" s="289" t="s">
        <v>25</v>
      </c>
      <c r="E1354" s="300" t="s">
        <v>2008</v>
      </c>
      <c r="F1354" s="53" t="s">
        <v>4525</v>
      </c>
      <c r="G1354" s="51"/>
      <c r="H1354" s="51" t="s">
        <v>3084</v>
      </c>
      <c r="I1354" s="51" t="s">
        <v>21</v>
      </c>
      <c r="J1354" s="51" t="s">
        <v>37</v>
      </c>
      <c r="K1354" s="412" t="s">
        <v>337</v>
      </c>
      <c r="L1354" s="51" t="s">
        <v>4464</v>
      </c>
      <c r="M1354" s="51" t="s">
        <v>22</v>
      </c>
      <c r="N1354" s="51"/>
      <c r="O1354" s="51"/>
      <c r="P1354" s="53" t="s">
        <v>5729</v>
      </c>
      <c r="Q1354" s="53"/>
      <c r="R1354" s="237"/>
      <c r="S1354" s="51"/>
      <c r="T1354" s="223"/>
      <c r="U1354" s="138"/>
      <c r="V1354" s="138"/>
      <c r="W1354" s="223"/>
      <c r="X1354" s="149"/>
      <c r="Y1354" s="45" t="s">
        <v>27</v>
      </c>
      <c r="Z1354" s="45" t="s">
        <v>27</v>
      </c>
      <c r="AA1354" s="51" t="s">
        <v>27</v>
      </c>
      <c r="AB1354" s="51"/>
      <c r="AC1354" s="169" t="s">
        <v>6390</v>
      </c>
      <c r="AD1354" s="325"/>
    </row>
    <row r="1355" spans="1:30" ht="15" customHeight="1">
      <c r="A1355" s="51" t="s">
        <v>0</v>
      </c>
      <c r="B1355" s="51" t="s">
        <v>4501</v>
      </c>
      <c r="C1355" s="51" t="s">
        <v>27</v>
      </c>
      <c r="D1355" s="53" t="s">
        <v>2758</v>
      </c>
      <c r="E1355" s="300" t="s">
        <v>2008</v>
      </c>
      <c r="F1355" s="53" t="s">
        <v>4526</v>
      </c>
      <c r="G1355" s="51"/>
      <c r="H1355" s="51" t="s">
        <v>3084</v>
      </c>
      <c r="I1355" s="51" t="s">
        <v>60</v>
      </c>
      <c r="J1355" s="51" t="s">
        <v>5730</v>
      </c>
      <c r="K1355" s="412" t="s">
        <v>5859</v>
      </c>
      <c r="L1355" s="51" t="s">
        <v>4464</v>
      </c>
      <c r="M1355" s="51" t="s">
        <v>22</v>
      </c>
      <c r="N1355" s="51"/>
      <c r="O1355" s="51"/>
      <c r="P1355" s="53" t="s">
        <v>5729</v>
      </c>
      <c r="Q1355" s="53"/>
      <c r="R1355" s="237"/>
      <c r="S1355" s="51"/>
      <c r="T1355" s="223"/>
      <c r="U1355" s="138"/>
      <c r="V1355" s="138"/>
      <c r="W1355" s="223"/>
      <c r="X1355" s="149"/>
      <c r="Y1355" s="45" t="s">
        <v>27</v>
      </c>
      <c r="Z1355" s="45" t="s">
        <v>27</v>
      </c>
      <c r="AA1355" s="51" t="s">
        <v>27</v>
      </c>
      <c r="AB1355" s="51"/>
      <c r="AD1355" s="325"/>
    </row>
    <row r="1356" spans="1:30" ht="15" customHeight="1">
      <c r="A1356" s="51" t="s">
        <v>0</v>
      </c>
      <c r="B1356" s="51" t="s">
        <v>4502</v>
      </c>
      <c r="C1356" s="51" t="s">
        <v>27</v>
      </c>
      <c r="D1356" s="289" t="s">
        <v>25</v>
      </c>
      <c r="E1356" s="300" t="s">
        <v>2008</v>
      </c>
      <c r="F1356" s="53" t="s">
        <v>4527</v>
      </c>
      <c r="G1356" s="51"/>
      <c r="H1356" s="51" t="s">
        <v>3084</v>
      </c>
      <c r="I1356" s="51" t="s">
        <v>21</v>
      </c>
      <c r="J1356" s="51" t="s">
        <v>37</v>
      </c>
      <c r="K1356" s="53" t="s">
        <v>337</v>
      </c>
      <c r="L1356" s="51" t="s">
        <v>4464</v>
      </c>
      <c r="M1356" s="51" t="s">
        <v>22</v>
      </c>
      <c r="N1356" s="51"/>
      <c r="O1356" s="51"/>
      <c r="P1356" s="53" t="s">
        <v>5729</v>
      </c>
      <c r="Q1356" s="53"/>
      <c r="R1356" s="237"/>
      <c r="S1356" s="51"/>
      <c r="T1356" s="223"/>
      <c r="U1356" s="138"/>
      <c r="V1356" s="138"/>
      <c r="W1356" s="223"/>
      <c r="X1356" s="149"/>
      <c r="Y1356" s="45" t="s">
        <v>27</v>
      </c>
      <c r="Z1356" s="45" t="s">
        <v>27</v>
      </c>
      <c r="AA1356" s="51" t="s">
        <v>27</v>
      </c>
      <c r="AB1356" s="51"/>
      <c r="AC1356" s="169" t="s">
        <v>6389</v>
      </c>
      <c r="AD1356" s="325"/>
    </row>
    <row r="1357" spans="1:30" ht="15" customHeight="1">
      <c r="A1357" s="51" t="s">
        <v>0</v>
      </c>
      <c r="B1357" s="477" t="s">
        <v>4503</v>
      </c>
      <c r="C1357" s="51" t="s">
        <v>27</v>
      </c>
      <c r="D1357" s="53" t="s">
        <v>2758</v>
      </c>
      <c r="E1357" s="300" t="s">
        <v>2008</v>
      </c>
      <c r="F1357" s="299" t="s">
        <v>4528</v>
      </c>
      <c r="G1357" s="51"/>
      <c r="H1357" s="51" t="s">
        <v>3084</v>
      </c>
      <c r="I1357" s="51" t="s">
        <v>60</v>
      </c>
      <c r="J1357" s="51" t="s">
        <v>3686</v>
      </c>
      <c r="K1357" s="53" t="s">
        <v>5971</v>
      </c>
      <c r="L1357" s="51" t="s">
        <v>4464</v>
      </c>
      <c r="M1357" s="51" t="s">
        <v>22</v>
      </c>
      <c r="N1357" s="51"/>
      <c r="O1357" s="51"/>
      <c r="P1357" s="53" t="s">
        <v>5729</v>
      </c>
      <c r="Q1357" s="53"/>
      <c r="R1357" s="237"/>
      <c r="S1357" s="51"/>
      <c r="T1357" s="223"/>
      <c r="U1357" s="138"/>
      <c r="V1357" s="138"/>
      <c r="W1357" s="223"/>
      <c r="X1357" s="149"/>
      <c r="Y1357" s="45" t="s">
        <v>27</v>
      </c>
      <c r="Z1357" s="45" t="s">
        <v>27</v>
      </c>
      <c r="AA1357" s="51" t="s">
        <v>27</v>
      </c>
      <c r="AB1357" s="51"/>
      <c r="AC1357" s="169" t="s">
        <v>6387</v>
      </c>
      <c r="AD1357" s="325"/>
    </row>
    <row r="1358" spans="1:30" ht="15" customHeight="1">
      <c r="A1358" s="51" t="s">
        <v>0</v>
      </c>
      <c r="B1358" s="51" t="s">
        <v>4504</v>
      </c>
      <c r="C1358" s="51" t="s">
        <v>27</v>
      </c>
      <c r="D1358" s="53" t="s">
        <v>2758</v>
      </c>
      <c r="E1358" s="290" t="s">
        <v>17</v>
      </c>
      <c r="F1358" s="53" t="s">
        <v>4529</v>
      </c>
      <c r="G1358" s="51"/>
      <c r="H1358" s="51" t="s">
        <v>3084</v>
      </c>
      <c r="I1358" s="51" t="s">
        <v>60</v>
      </c>
      <c r="J1358" s="51" t="s">
        <v>5733</v>
      </c>
      <c r="K1358" s="490" t="s">
        <v>5916</v>
      </c>
      <c r="L1358" s="51" t="s">
        <v>6385</v>
      </c>
      <c r="M1358" s="51" t="s">
        <v>22</v>
      </c>
      <c r="N1358" s="51"/>
      <c r="O1358" s="51"/>
      <c r="P1358" s="53"/>
      <c r="Q1358" s="53"/>
      <c r="R1358" s="237"/>
      <c r="S1358" s="51"/>
      <c r="T1358" s="223"/>
      <c r="U1358" s="138"/>
      <c r="V1358" s="138"/>
      <c r="W1358" s="223"/>
      <c r="X1358" s="149"/>
      <c r="Y1358" s="45" t="s">
        <v>27</v>
      </c>
      <c r="Z1358" s="45" t="s">
        <v>27</v>
      </c>
      <c r="AA1358" s="51" t="s">
        <v>27</v>
      </c>
      <c r="AB1358" s="51"/>
      <c r="AC1358" s="488" t="s">
        <v>6498</v>
      </c>
      <c r="AD1358" s="325"/>
    </row>
    <row r="1359" spans="1:30" ht="15" customHeight="1">
      <c r="A1359" s="51" t="s">
        <v>0</v>
      </c>
      <c r="B1359" s="422" t="s">
        <v>4505</v>
      </c>
      <c r="C1359" s="51" t="s">
        <v>27</v>
      </c>
      <c r="D1359" s="53" t="s">
        <v>2758</v>
      </c>
      <c r="E1359" s="300" t="s">
        <v>2008</v>
      </c>
      <c r="F1359" s="53" t="s">
        <v>4530</v>
      </c>
      <c r="G1359" s="51"/>
      <c r="H1359" s="51" t="s">
        <v>3084</v>
      </c>
      <c r="I1359" s="51" t="s">
        <v>21</v>
      </c>
      <c r="J1359" s="51" t="s">
        <v>24</v>
      </c>
      <c r="K1359" s="53" t="s">
        <v>33</v>
      </c>
      <c r="L1359" s="51" t="s">
        <v>4464</v>
      </c>
      <c r="M1359" s="51" t="s">
        <v>22</v>
      </c>
      <c r="N1359" s="51"/>
      <c r="O1359" s="51"/>
      <c r="P1359" s="53" t="s">
        <v>5729</v>
      </c>
      <c r="Q1359" s="53"/>
      <c r="R1359" s="237"/>
      <c r="S1359" s="51"/>
      <c r="T1359" s="223"/>
      <c r="U1359" s="138"/>
      <c r="V1359" s="138"/>
      <c r="W1359" s="223"/>
      <c r="X1359" s="149"/>
      <c r="Y1359" s="45" t="s">
        <v>27</v>
      </c>
      <c r="Z1359" s="45" t="s">
        <v>27</v>
      </c>
      <c r="AA1359" s="51" t="s">
        <v>27</v>
      </c>
      <c r="AB1359" s="51"/>
      <c r="AC1359" s="441" t="s">
        <v>5986</v>
      </c>
      <c r="AD1359" s="325"/>
    </row>
    <row r="1360" spans="1:30" ht="15" customHeight="1">
      <c r="A1360" s="51" t="s">
        <v>0</v>
      </c>
      <c r="B1360" s="51" t="s">
        <v>4506</v>
      </c>
      <c r="C1360" s="51" t="s">
        <v>27</v>
      </c>
      <c r="D1360" s="53" t="s">
        <v>2758</v>
      </c>
      <c r="E1360" s="300" t="s">
        <v>2008</v>
      </c>
      <c r="F1360" s="53" t="s">
        <v>4531</v>
      </c>
      <c r="G1360" s="51"/>
      <c r="H1360" s="51" t="s">
        <v>3084</v>
      </c>
      <c r="I1360" s="51" t="s">
        <v>60</v>
      </c>
      <c r="J1360" s="51" t="s">
        <v>5730</v>
      </c>
      <c r="K1360" s="412" t="s">
        <v>5859</v>
      </c>
      <c r="L1360" s="51" t="s">
        <v>4464</v>
      </c>
      <c r="M1360" s="51" t="s">
        <v>22</v>
      </c>
      <c r="N1360" s="51"/>
      <c r="O1360" s="51"/>
      <c r="P1360" s="53" t="s">
        <v>5729</v>
      </c>
      <c r="Q1360" s="53"/>
      <c r="R1360" s="237"/>
      <c r="S1360" s="51"/>
      <c r="T1360" s="223"/>
      <c r="U1360" s="138"/>
      <c r="V1360" s="138"/>
      <c r="W1360" s="223"/>
      <c r="X1360" s="149"/>
      <c r="Y1360" s="45" t="s">
        <v>27</v>
      </c>
      <c r="Z1360" s="45" t="s">
        <v>27</v>
      </c>
      <c r="AA1360" s="51" t="s">
        <v>27</v>
      </c>
      <c r="AB1360" s="51"/>
      <c r="AC1360" s="169" t="s">
        <v>5986</v>
      </c>
      <c r="AD1360" s="325"/>
    </row>
    <row r="1361" spans="1:30" ht="15" customHeight="1">
      <c r="A1361" s="51" t="s">
        <v>0</v>
      </c>
      <c r="B1361" s="51" t="s">
        <v>4507</v>
      </c>
      <c r="C1361" s="51" t="s">
        <v>27</v>
      </c>
      <c r="D1361" s="53" t="s">
        <v>2758</v>
      </c>
      <c r="E1361" s="300" t="s">
        <v>2008</v>
      </c>
      <c r="F1361" s="53" t="s">
        <v>4532</v>
      </c>
      <c r="G1361" s="51"/>
      <c r="H1361" s="51" t="s">
        <v>3084</v>
      </c>
      <c r="I1361" s="51" t="s">
        <v>60</v>
      </c>
      <c r="J1361" s="51" t="s">
        <v>5938</v>
      </c>
      <c r="K1361" s="53" t="s">
        <v>5939</v>
      </c>
      <c r="L1361" s="51" t="s">
        <v>4464</v>
      </c>
      <c r="M1361" s="51" t="s">
        <v>22</v>
      </c>
      <c r="N1361" s="51"/>
      <c r="O1361" s="51"/>
      <c r="P1361" s="53" t="s">
        <v>5729</v>
      </c>
      <c r="Q1361" s="53"/>
      <c r="R1361" s="237"/>
      <c r="S1361" s="51"/>
      <c r="T1361" s="223"/>
      <c r="U1361" s="138"/>
      <c r="V1361" s="138"/>
      <c r="W1361" s="223"/>
      <c r="X1361" s="149"/>
      <c r="Y1361" s="45" t="s">
        <v>27</v>
      </c>
      <c r="Z1361" s="45" t="s">
        <v>27</v>
      </c>
      <c r="AA1361" s="51" t="s">
        <v>27</v>
      </c>
      <c r="AB1361" s="51"/>
      <c r="AC1361" s="430" t="s">
        <v>5925</v>
      </c>
      <c r="AD1361" s="325"/>
    </row>
    <row r="1362" spans="1:30" ht="15" customHeight="1">
      <c r="A1362" s="51" t="s">
        <v>0</v>
      </c>
      <c r="B1362" s="51" t="s">
        <v>4508</v>
      </c>
      <c r="C1362" s="51" t="s">
        <v>27</v>
      </c>
      <c r="D1362" s="53" t="s">
        <v>2758</v>
      </c>
      <c r="E1362" s="300" t="s">
        <v>2008</v>
      </c>
      <c r="F1362" s="53" t="s">
        <v>4533</v>
      </c>
      <c r="G1362" s="51"/>
      <c r="H1362" s="51" t="s">
        <v>3084</v>
      </c>
      <c r="I1362" s="51" t="s">
        <v>21</v>
      </c>
      <c r="J1362" s="51" t="s">
        <v>24</v>
      </c>
      <c r="K1362" s="53" t="s">
        <v>26</v>
      </c>
      <c r="L1362" s="51" t="s">
        <v>4464</v>
      </c>
      <c r="M1362" s="51" t="s">
        <v>27</v>
      </c>
      <c r="N1362" s="51"/>
      <c r="O1362" s="51"/>
      <c r="P1362" s="53"/>
      <c r="Q1362" s="53"/>
      <c r="R1362" s="237"/>
      <c r="S1362" s="51"/>
      <c r="T1362" s="223"/>
      <c r="U1362" s="138"/>
      <c r="V1362" s="138"/>
      <c r="W1362" s="223"/>
      <c r="X1362" s="149"/>
      <c r="Y1362" s="45" t="s">
        <v>27</v>
      </c>
      <c r="Z1362" s="45" t="s">
        <v>27</v>
      </c>
      <c r="AA1362" s="51" t="s">
        <v>27</v>
      </c>
      <c r="AB1362" s="51"/>
      <c r="AC1362" s="382" t="s">
        <v>5791</v>
      </c>
      <c r="AD1362" s="325"/>
    </row>
    <row r="1363" spans="1:30" ht="15" customHeight="1">
      <c r="A1363" s="51" t="s">
        <v>0</v>
      </c>
      <c r="B1363" s="51" t="s">
        <v>4509</v>
      </c>
      <c r="C1363" s="51" t="s">
        <v>27</v>
      </c>
      <c r="D1363" s="53" t="s">
        <v>2758</v>
      </c>
      <c r="E1363" s="300" t="s">
        <v>2008</v>
      </c>
      <c r="F1363" s="299" t="s">
        <v>4535</v>
      </c>
      <c r="G1363" s="51"/>
      <c r="H1363" s="51" t="s">
        <v>3084</v>
      </c>
      <c r="I1363" s="51" t="s">
        <v>60</v>
      </c>
      <c r="J1363" s="51" t="s">
        <v>5730</v>
      </c>
      <c r="K1363" s="412" t="s">
        <v>5859</v>
      </c>
      <c r="L1363" s="51" t="s">
        <v>4464</v>
      </c>
      <c r="M1363" s="51" t="s">
        <v>22</v>
      </c>
      <c r="N1363" s="51"/>
      <c r="O1363" s="51"/>
      <c r="P1363" s="53" t="s">
        <v>5729</v>
      </c>
      <c r="Q1363" s="53"/>
      <c r="R1363" s="237"/>
      <c r="S1363" s="51"/>
      <c r="T1363" s="223"/>
      <c r="U1363" s="138"/>
      <c r="V1363" s="138"/>
      <c r="W1363" s="223"/>
      <c r="X1363" s="149"/>
      <c r="Y1363" s="45" t="s">
        <v>27</v>
      </c>
      <c r="Z1363" s="45" t="s">
        <v>27</v>
      </c>
      <c r="AA1363" s="51" t="s">
        <v>27</v>
      </c>
      <c r="AB1363" s="51"/>
      <c r="AC1363" s="169" t="s">
        <v>5986</v>
      </c>
      <c r="AD1363" s="325"/>
    </row>
    <row r="1364" spans="1:30" ht="15" customHeight="1">
      <c r="A1364" s="51" t="s">
        <v>0</v>
      </c>
      <c r="B1364" s="391" t="s">
        <v>4510</v>
      </c>
      <c r="C1364" s="51" t="s">
        <v>27</v>
      </c>
      <c r="D1364" s="53" t="s">
        <v>2758</v>
      </c>
      <c r="E1364" s="300" t="s">
        <v>2008</v>
      </c>
      <c r="F1364" s="299" t="s">
        <v>4534</v>
      </c>
      <c r="G1364" s="51"/>
      <c r="H1364" s="51" t="s">
        <v>3084</v>
      </c>
      <c r="I1364" s="51" t="s">
        <v>60</v>
      </c>
      <c r="J1364" s="51" t="s">
        <v>5733</v>
      </c>
      <c r="K1364" s="53" t="s">
        <v>5972</v>
      </c>
      <c r="L1364" s="51" t="s">
        <v>4464</v>
      </c>
      <c r="M1364" s="51" t="s">
        <v>22</v>
      </c>
      <c r="N1364" s="51"/>
      <c r="O1364" s="51"/>
      <c r="P1364" s="53"/>
      <c r="Q1364" s="53"/>
      <c r="R1364" s="237"/>
      <c r="S1364" s="51"/>
      <c r="T1364" s="223"/>
      <c r="U1364" s="138"/>
      <c r="V1364" s="138"/>
      <c r="W1364" s="223"/>
      <c r="X1364" s="149">
        <v>43425</v>
      </c>
      <c r="Y1364" s="45" t="s">
        <v>27</v>
      </c>
      <c r="Z1364" s="45" t="s">
        <v>27</v>
      </c>
      <c r="AA1364" s="51" t="s">
        <v>27</v>
      </c>
      <c r="AB1364" s="51"/>
      <c r="AC1364" s="391" t="s">
        <v>5816</v>
      </c>
      <c r="AD1364" s="325"/>
    </row>
    <row r="1365" spans="1:30" ht="30">
      <c r="A1365" s="51" t="s">
        <v>0</v>
      </c>
      <c r="B1365" s="51" t="s">
        <v>4511</v>
      </c>
      <c r="C1365" s="51" t="s">
        <v>27</v>
      </c>
      <c r="D1365" s="289" t="s">
        <v>25</v>
      </c>
      <c r="E1365" s="300" t="s">
        <v>2008</v>
      </c>
      <c r="F1365" s="73" t="s">
        <v>4538</v>
      </c>
      <c r="G1365" s="51"/>
      <c r="H1365" s="51" t="s">
        <v>3084</v>
      </c>
      <c r="I1365" s="51" t="s">
        <v>21</v>
      </c>
      <c r="J1365" s="51" t="s">
        <v>24</v>
      </c>
      <c r="K1365" s="53" t="s">
        <v>5860</v>
      </c>
      <c r="L1365" s="51" t="s">
        <v>4464</v>
      </c>
      <c r="M1365" s="51" t="s">
        <v>22</v>
      </c>
      <c r="N1365" s="51"/>
      <c r="O1365" s="51"/>
      <c r="P1365" s="53" t="s">
        <v>5729</v>
      </c>
      <c r="Q1365" s="53"/>
      <c r="R1365" s="237"/>
      <c r="S1365" s="51"/>
      <c r="T1365" s="223"/>
      <c r="U1365" s="138"/>
      <c r="V1365" s="138"/>
      <c r="W1365" s="223"/>
      <c r="X1365" s="149">
        <v>43425</v>
      </c>
      <c r="Y1365" s="45" t="s">
        <v>27</v>
      </c>
      <c r="Z1365" s="45" t="s">
        <v>27</v>
      </c>
      <c r="AA1365" s="51" t="s">
        <v>27</v>
      </c>
      <c r="AB1365" s="51"/>
      <c r="AC1365" s="438" t="s">
        <v>5980</v>
      </c>
      <c r="AD1365" s="325"/>
    </row>
    <row r="1366" spans="1:30" ht="15" customHeight="1">
      <c r="A1366" s="51" t="s">
        <v>0</v>
      </c>
      <c r="B1366" s="51" t="s">
        <v>4512</v>
      </c>
      <c r="C1366" s="51" t="s">
        <v>27</v>
      </c>
      <c r="D1366" s="53" t="s">
        <v>2758</v>
      </c>
      <c r="E1366" s="300" t="s">
        <v>2008</v>
      </c>
      <c r="F1366" s="53" t="s">
        <v>4536</v>
      </c>
      <c r="G1366" s="51"/>
      <c r="H1366" s="51" t="s">
        <v>3084</v>
      </c>
      <c r="I1366" s="51" t="s">
        <v>60</v>
      </c>
      <c r="J1366" s="51" t="s">
        <v>5730</v>
      </c>
      <c r="K1366" s="412" t="s">
        <v>5859</v>
      </c>
      <c r="L1366" s="51" t="s">
        <v>4464</v>
      </c>
      <c r="M1366" s="51" t="s">
        <v>22</v>
      </c>
      <c r="N1366" s="51"/>
      <c r="O1366" s="51"/>
      <c r="P1366" s="53" t="s">
        <v>5729</v>
      </c>
      <c r="Q1366" s="53"/>
      <c r="R1366" s="237"/>
      <c r="S1366" s="51"/>
      <c r="T1366" s="223"/>
      <c r="U1366" s="138"/>
      <c r="V1366" s="138"/>
      <c r="W1366" s="223"/>
      <c r="X1366" s="149"/>
      <c r="Y1366" s="45" t="s">
        <v>27</v>
      </c>
      <c r="Z1366" s="45" t="s">
        <v>27</v>
      </c>
      <c r="AA1366" s="51" t="s">
        <v>27</v>
      </c>
      <c r="AB1366" s="51"/>
      <c r="AC1366" s="169" t="s">
        <v>5986</v>
      </c>
      <c r="AD1366" s="325"/>
    </row>
    <row r="1367" spans="1:30" ht="15" customHeight="1">
      <c r="A1367" s="51" t="s">
        <v>0</v>
      </c>
      <c r="B1367" s="51" t="s">
        <v>4513</v>
      </c>
      <c r="C1367" s="51" t="s">
        <v>27</v>
      </c>
      <c r="D1367" s="53" t="s">
        <v>2758</v>
      </c>
      <c r="E1367" s="300" t="s">
        <v>2008</v>
      </c>
      <c r="F1367" s="53" t="s">
        <v>4537</v>
      </c>
      <c r="G1367" s="51"/>
      <c r="H1367" s="51" t="s">
        <v>3084</v>
      </c>
      <c r="I1367" s="51" t="s">
        <v>60</v>
      </c>
      <c r="J1367" s="51" t="s">
        <v>5730</v>
      </c>
      <c r="K1367" s="412" t="s">
        <v>5859</v>
      </c>
      <c r="L1367" s="51" t="s">
        <v>4464</v>
      </c>
      <c r="M1367" s="51" t="s">
        <v>22</v>
      </c>
      <c r="N1367" s="51"/>
      <c r="O1367" s="51"/>
      <c r="P1367" s="53" t="s">
        <v>5729</v>
      </c>
      <c r="Q1367" s="53"/>
      <c r="R1367" s="237"/>
      <c r="S1367" s="51"/>
      <c r="T1367" s="223"/>
      <c r="U1367" s="138"/>
      <c r="V1367" s="138"/>
      <c r="W1367" s="223"/>
      <c r="X1367" s="149"/>
      <c r="Y1367" s="45" t="s">
        <v>27</v>
      </c>
      <c r="Z1367" s="45" t="s">
        <v>27</v>
      </c>
      <c r="AA1367" s="51" t="s">
        <v>27</v>
      </c>
      <c r="AB1367" s="51"/>
      <c r="AC1367" s="169" t="s">
        <v>5986</v>
      </c>
      <c r="AD1367" s="325"/>
    </row>
    <row r="1368" spans="1:30" ht="30">
      <c r="A1368" s="51" t="s">
        <v>0</v>
      </c>
      <c r="B1368" s="51" t="s">
        <v>4514</v>
      </c>
      <c r="C1368" s="51" t="s">
        <v>27</v>
      </c>
      <c r="D1368" s="289" t="s">
        <v>25</v>
      </c>
      <c r="E1368" s="300" t="s">
        <v>2008</v>
      </c>
      <c r="F1368" s="53" t="s">
        <v>4539</v>
      </c>
      <c r="G1368" s="51"/>
      <c r="H1368" s="51" t="s">
        <v>3084</v>
      </c>
      <c r="I1368" s="51" t="s">
        <v>21</v>
      </c>
      <c r="J1368" s="51" t="s">
        <v>24</v>
      </c>
      <c r="K1368" s="53" t="s">
        <v>5860</v>
      </c>
      <c r="L1368" s="51" t="s">
        <v>4464</v>
      </c>
      <c r="M1368" s="51" t="s">
        <v>22</v>
      </c>
      <c r="N1368" s="51"/>
      <c r="O1368" s="51"/>
      <c r="P1368" s="53" t="s">
        <v>5729</v>
      </c>
      <c r="Q1368" s="53"/>
      <c r="R1368" s="237"/>
      <c r="S1368" s="51"/>
      <c r="T1368" s="223"/>
      <c r="U1368" s="138"/>
      <c r="V1368" s="138"/>
      <c r="W1368" s="223"/>
      <c r="X1368" s="149">
        <v>43425</v>
      </c>
      <c r="Y1368" s="45" t="s">
        <v>27</v>
      </c>
      <c r="Z1368" s="45" t="s">
        <v>27</v>
      </c>
      <c r="AA1368" s="51" t="s">
        <v>27</v>
      </c>
      <c r="AB1368" s="51"/>
      <c r="AC1368" s="438" t="s">
        <v>5981</v>
      </c>
      <c r="AD1368" s="325"/>
    </row>
    <row r="1369" spans="1:30" ht="15" customHeight="1">
      <c r="A1369" s="51" t="s">
        <v>0</v>
      </c>
      <c r="B1369" s="51" t="s">
        <v>4515</v>
      </c>
      <c r="C1369" s="51" t="s">
        <v>27</v>
      </c>
      <c r="D1369" s="53" t="s">
        <v>2758</v>
      </c>
      <c r="E1369" s="300" t="s">
        <v>2008</v>
      </c>
      <c r="F1369" s="53" t="s">
        <v>4540</v>
      </c>
      <c r="G1369" s="51"/>
      <c r="H1369" s="51" t="s">
        <v>3084</v>
      </c>
      <c r="I1369" s="51" t="s">
        <v>21</v>
      </c>
      <c r="J1369" s="51" t="s">
        <v>24</v>
      </c>
      <c r="K1369" s="53" t="s">
        <v>26</v>
      </c>
      <c r="L1369" s="51" t="s">
        <v>4464</v>
      </c>
      <c r="M1369" s="51" t="s">
        <v>22</v>
      </c>
      <c r="N1369" s="51"/>
      <c r="O1369" s="51"/>
      <c r="P1369" s="53"/>
      <c r="Q1369" s="53"/>
      <c r="R1369" s="237"/>
      <c r="S1369" s="51"/>
      <c r="T1369" s="223"/>
      <c r="U1369" s="138"/>
      <c r="V1369" s="138"/>
      <c r="W1369" s="223"/>
      <c r="X1369" s="149"/>
      <c r="Y1369" s="45" t="s">
        <v>27</v>
      </c>
      <c r="Z1369" s="45" t="s">
        <v>27</v>
      </c>
      <c r="AA1369" s="51" t="s">
        <v>22</v>
      </c>
      <c r="AB1369" s="51"/>
      <c r="AC1369" s="382" t="s">
        <v>5792</v>
      </c>
      <c r="AD1369" s="325"/>
    </row>
    <row r="1370" spans="1:30" ht="15" customHeight="1">
      <c r="A1370" s="51" t="s">
        <v>0</v>
      </c>
      <c r="B1370" s="51" t="s">
        <v>4516</v>
      </c>
      <c r="C1370" s="51" t="s">
        <v>27</v>
      </c>
      <c r="D1370" s="53" t="s">
        <v>2758</v>
      </c>
      <c r="E1370" s="300" t="s">
        <v>2008</v>
      </c>
      <c r="F1370" s="53" t="s">
        <v>4541</v>
      </c>
      <c r="G1370" s="51"/>
      <c r="H1370" s="51" t="s">
        <v>3084</v>
      </c>
      <c r="I1370" s="51" t="s">
        <v>60</v>
      </c>
      <c r="J1370" s="51" t="s">
        <v>3686</v>
      </c>
      <c r="K1370" s="53" t="s">
        <v>5952</v>
      </c>
      <c r="L1370" s="51" t="s">
        <v>4464</v>
      </c>
      <c r="M1370" s="51" t="s">
        <v>22</v>
      </c>
      <c r="N1370" s="51"/>
      <c r="O1370" s="51"/>
      <c r="P1370" s="53" t="s">
        <v>5729</v>
      </c>
      <c r="Q1370" s="53"/>
      <c r="R1370" s="237"/>
      <c r="S1370" s="51"/>
      <c r="T1370" s="223"/>
      <c r="U1370" s="138"/>
      <c r="V1370" s="138"/>
      <c r="W1370" s="223"/>
      <c r="X1370" s="149"/>
      <c r="Y1370" s="45" t="s">
        <v>27</v>
      </c>
      <c r="Z1370" s="45" t="s">
        <v>27</v>
      </c>
      <c r="AA1370" s="51" t="s">
        <v>27</v>
      </c>
      <c r="AB1370" s="51"/>
      <c r="AC1370" s="169" t="s">
        <v>6382</v>
      </c>
      <c r="AD1370" s="325"/>
    </row>
    <row r="1371" spans="1:30" ht="15" customHeight="1">
      <c r="A1371" s="51" t="s">
        <v>0</v>
      </c>
      <c r="B1371" s="51" t="s">
        <v>4517</v>
      </c>
      <c r="C1371" s="51" t="s">
        <v>27</v>
      </c>
      <c r="D1371" s="53" t="s">
        <v>2758</v>
      </c>
      <c r="E1371" s="300" t="s">
        <v>2008</v>
      </c>
      <c r="F1371" s="53" t="s">
        <v>4542</v>
      </c>
      <c r="G1371" s="51"/>
      <c r="H1371" s="51" t="s">
        <v>3084</v>
      </c>
      <c r="I1371" s="51" t="s">
        <v>21</v>
      </c>
      <c r="J1371" s="51" t="s">
        <v>24</v>
      </c>
      <c r="K1371" s="53" t="s">
        <v>26</v>
      </c>
      <c r="L1371" s="51" t="s">
        <v>4464</v>
      </c>
      <c r="M1371" s="51" t="s">
        <v>22</v>
      </c>
      <c r="N1371" s="51"/>
      <c r="O1371" s="51"/>
      <c r="P1371" s="53" t="s">
        <v>5729</v>
      </c>
      <c r="Q1371" s="53"/>
      <c r="R1371" s="237"/>
      <c r="S1371" s="51"/>
      <c r="T1371" s="223"/>
      <c r="U1371" s="138"/>
      <c r="V1371" s="138"/>
      <c r="W1371" s="223"/>
      <c r="X1371" s="149"/>
      <c r="Y1371" s="45" t="s">
        <v>27</v>
      </c>
      <c r="Z1371" s="45" t="s">
        <v>27</v>
      </c>
      <c r="AA1371" s="51" t="s">
        <v>27</v>
      </c>
      <c r="AB1371" s="51"/>
      <c r="AC1371" s="169"/>
      <c r="AD1371" s="325"/>
    </row>
    <row r="1372" spans="1:30" ht="15" customHeight="1">
      <c r="A1372" s="51" t="s">
        <v>0</v>
      </c>
      <c r="B1372" s="51" t="s">
        <v>4518</v>
      </c>
      <c r="C1372" s="51" t="s">
        <v>27</v>
      </c>
      <c r="D1372" s="53" t="s">
        <v>2758</v>
      </c>
      <c r="E1372" s="290" t="s">
        <v>5533</v>
      </c>
      <c r="F1372" s="53" t="s">
        <v>4543</v>
      </c>
      <c r="G1372" s="51"/>
      <c r="H1372" s="51" t="s">
        <v>3084</v>
      </c>
      <c r="I1372" s="51" t="s">
        <v>60</v>
      </c>
      <c r="J1372" s="51" t="s">
        <v>3686</v>
      </c>
      <c r="K1372" s="53" t="s">
        <v>5952</v>
      </c>
      <c r="L1372" s="51" t="s">
        <v>31</v>
      </c>
      <c r="M1372" s="51" t="s">
        <v>22</v>
      </c>
      <c r="N1372" s="51"/>
      <c r="O1372" s="51"/>
      <c r="P1372" s="53"/>
      <c r="Q1372" s="53"/>
      <c r="R1372" s="237"/>
      <c r="S1372" s="51"/>
      <c r="T1372" s="223"/>
      <c r="U1372" s="138"/>
      <c r="V1372" s="138"/>
      <c r="W1372" s="223"/>
      <c r="X1372" s="149"/>
      <c r="Y1372" s="45" t="s">
        <v>27</v>
      </c>
      <c r="Z1372" s="45" t="s">
        <v>27</v>
      </c>
      <c r="AA1372" s="51" t="s">
        <v>27</v>
      </c>
      <c r="AB1372" s="51"/>
      <c r="AC1372" s="527" t="s">
        <v>6672</v>
      </c>
      <c r="AD1372" s="325"/>
    </row>
    <row r="1373" spans="1:30" ht="15" customHeight="1">
      <c r="A1373" s="51" t="s">
        <v>0</v>
      </c>
      <c r="B1373" s="51" t="s">
        <v>4519</v>
      </c>
      <c r="C1373" s="51" t="s">
        <v>27</v>
      </c>
      <c r="D1373" s="53" t="s">
        <v>2761</v>
      </c>
      <c r="E1373" s="300" t="s">
        <v>2008</v>
      </c>
      <c r="F1373" s="53" t="s">
        <v>4544</v>
      </c>
      <c r="G1373" s="51"/>
      <c r="H1373" s="51" t="s">
        <v>3084</v>
      </c>
      <c r="I1373" s="51" t="s">
        <v>21</v>
      </c>
      <c r="J1373" s="51" t="s">
        <v>24</v>
      </c>
      <c r="K1373" s="53" t="s">
        <v>33</v>
      </c>
      <c r="L1373" s="51" t="s">
        <v>4464</v>
      </c>
      <c r="M1373" s="51" t="s">
        <v>22</v>
      </c>
      <c r="N1373" s="51"/>
      <c r="O1373" s="51"/>
      <c r="P1373" s="53"/>
      <c r="Q1373" s="53"/>
      <c r="R1373" s="237"/>
      <c r="S1373" s="51"/>
      <c r="T1373" s="223"/>
      <c r="U1373" s="138"/>
      <c r="V1373" s="138"/>
      <c r="W1373" s="223"/>
      <c r="X1373" s="149"/>
      <c r="Y1373" s="45" t="s">
        <v>27</v>
      </c>
      <c r="Z1373" s="45" t="s">
        <v>27</v>
      </c>
      <c r="AA1373" s="51" t="s">
        <v>27</v>
      </c>
      <c r="AB1373" s="51"/>
      <c r="AC1373" s="169" t="s">
        <v>5977</v>
      </c>
      <c r="AD1373" s="325"/>
    </row>
    <row r="1374" spans="1:30" ht="15" customHeight="1">
      <c r="A1374" s="51" t="s">
        <v>364</v>
      </c>
      <c r="B1374" s="300" t="s">
        <v>4577</v>
      </c>
      <c r="C1374" s="51" t="s">
        <v>27</v>
      </c>
      <c r="D1374" s="53" t="s">
        <v>2758</v>
      </c>
      <c r="E1374" s="300" t="s">
        <v>17</v>
      </c>
      <c r="F1374" s="299" t="s">
        <v>4579</v>
      </c>
      <c r="G1374" s="334" t="s">
        <v>5500</v>
      </c>
      <c r="H1374" s="51" t="s">
        <v>3084</v>
      </c>
      <c r="I1374" s="51" t="s">
        <v>21</v>
      </c>
      <c r="J1374" s="300" t="s">
        <v>2259</v>
      </c>
      <c r="K1374" s="306" t="s">
        <v>33</v>
      </c>
      <c r="L1374" s="51" t="s">
        <v>4464</v>
      </c>
      <c r="M1374" s="51" t="s">
        <v>22</v>
      </c>
      <c r="N1374" s="51" t="s">
        <v>22</v>
      </c>
      <c r="O1374" s="51" t="s">
        <v>3639</v>
      </c>
      <c r="P1374" s="299" t="s">
        <v>4546</v>
      </c>
      <c r="Q1374" s="299" t="s">
        <v>4582</v>
      </c>
      <c r="R1374" s="301" t="s">
        <v>4585</v>
      </c>
      <c r="S1374" s="51" t="s">
        <v>4586</v>
      </c>
      <c r="T1374" s="302" t="s">
        <v>4588</v>
      </c>
      <c r="U1374" s="116">
        <v>440152236906</v>
      </c>
      <c r="V1374" s="138"/>
      <c r="W1374" s="223"/>
      <c r="X1374" s="149"/>
      <c r="Y1374" s="45" t="s">
        <v>27</v>
      </c>
      <c r="Z1374" s="45" t="s">
        <v>27</v>
      </c>
      <c r="AA1374" s="51" t="s">
        <v>27</v>
      </c>
      <c r="AB1374" s="51"/>
      <c r="AC1374" s="169"/>
    </row>
    <row r="1375" spans="1:30" ht="15" customHeight="1">
      <c r="A1375" s="51" t="s">
        <v>364</v>
      </c>
      <c r="B1375" s="300" t="s">
        <v>4578</v>
      </c>
      <c r="C1375" s="51" t="s">
        <v>27</v>
      </c>
      <c r="D1375" s="53" t="s">
        <v>2758</v>
      </c>
      <c r="E1375" s="300" t="s">
        <v>17</v>
      </c>
      <c r="F1375" s="299" t="s">
        <v>4580</v>
      </c>
      <c r="G1375" s="335" t="s">
        <v>5501</v>
      </c>
      <c r="H1375" s="51" t="s">
        <v>3084</v>
      </c>
      <c r="I1375" s="51" t="s">
        <v>21</v>
      </c>
      <c r="J1375" s="300" t="s">
        <v>2259</v>
      </c>
      <c r="K1375" s="299" t="s">
        <v>337</v>
      </c>
      <c r="L1375" s="51" t="s">
        <v>4464</v>
      </c>
      <c r="M1375" s="51" t="s">
        <v>22</v>
      </c>
      <c r="N1375" s="51" t="s">
        <v>22</v>
      </c>
      <c r="O1375" s="51" t="s">
        <v>3639</v>
      </c>
      <c r="P1375" s="299" t="s">
        <v>4546</v>
      </c>
      <c r="Q1375" s="299" t="s">
        <v>4583</v>
      </c>
      <c r="R1375" s="301" t="s">
        <v>4584</v>
      </c>
      <c r="S1375" s="51" t="s">
        <v>4587</v>
      </c>
      <c r="T1375" s="302" t="s">
        <v>4589</v>
      </c>
      <c r="U1375" s="116">
        <v>440152226574</v>
      </c>
      <c r="V1375" s="138"/>
      <c r="W1375" s="223"/>
      <c r="X1375" s="149"/>
      <c r="Y1375" s="45" t="s">
        <v>27</v>
      </c>
      <c r="Z1375" s="45" t="s">
        <v>27</v>
      </c>
      <c r="AA1375" s="51" t="s">
        <v>27</v>
      </c>
      <c r="AB1375" s="51"/>
      <c r="AC1375" s="169"/>
    </row>
    <row r="1376" spans="1:30" ht="15" customHeight="1">
      <c r="A1376" s="51" t="s">
        <v>364</v>
      </c>
      <c r="B1376" s="300" t="s">
        <v>4597</v>
      </c>
      <c r="C1376" s="51" t="s">
        <v>22</v>
      </c>
      <c r="D1376" s="53"/>
      <c r="E1376" s="290" t="s">
        <v>5533</v>
      </c>
      <c r="F1376" s="299" t="s">
        <v>4598</v>
      </c>
      <c r="G1376" s="300"/>
      <c r="H1376" s="51" t="s">
        <v>3084</v>
      </c>
      <c r="I1376" s="51"/>
      <c r="J1376" s="51"/>
      <c r="K1376" s="53"/>
      <c r="L1376" s="51"/>
      <c r="M1376" s="51"/>
      <c r="N1376" s="51"/>
      <c r="O1376" s="51"/>
      <c r="P1376" s="53"/>
      <c r="Q1376" s="53"/>
      <c r="R1376" s="237"/>
      <c r="S1376" s="51"/>
      <c r="T1376" s="223"/>
      <c r="U1376" s="116"/>
      <c r="V1376" s="138"/>
      <c r="W1376" s="223"/>
      <c r="X1376" s="149"/>
      <c r="Y1376" s="45" t="s">
        <v>349</v>
      </c>
      <c r="Z1376" s="45" t="s">
        <v>22</v>
      </c>
      <c r="AA1376" s="51" t="s">
        <v>2021</v>
      </c>
      <c r="AB1376" s="51"/>
      <c r="AC1376" s="169" t="s">
        <v>5948</v>
      </c>
    </row>
    <row r="1377" spans="1:29" ht="15" customHeight="1">
      <c r="A1377" s="51" t="s">
        <v>364</v>
      </c>
      <c r="B1377" s="300" t="s">
        <v>4599</v>
      </c>
      <c r="C1377" s="51" t="s">
        <v>27</v>
      </c>
      <c r="D1377" s="53" t="s">
        <v>2761</v>
      </c>
      <c r="E1377" s="300" t="s">
        <v>17</v>
      </c>
      <c r="F1377" s="299" t="s">
        <v>4605</v>
      </c>
      <c r="G1377" s="346" t="s">
        <v>5511</v>
      </c>
      <c r="H1377" s="51" t="s">
        <v>3084</v>
      </c>
      <c r="I1377" s="51" t="s">
        <v>21</v>
      </c>
      <c r="J1377" s="300" t="s">
        <v>3677</v>
      </c>
      <c r="K1377" s="306" t="s">
        <v>33</v>
      </c>
      <c r="L1377" s="51" t="s">
        <v>4464</v>
      </c>
      <c r="M1377" s="51" t="s">
        <v>22</v>
      </c>
      <c r="N1377" s="51" t="s">
        <v>22</v>
      </c>
      <c r="O1377" s="51" t="s">
        <v>3639</v>
      </c>
      <c r="P1377" s="299" t="s">
        <v>4546</v>
      </c>
      <c r="Q1377" s="299" t="s">
        <v>4611</v>
      </c>
      <c r="R1377" s="303" t="s">
        <v>4612</v>
      </c>
      <c r="S1377" s="300" t="s">
        <v>4613</v>
      </c>
      <c r="T1377" s="302" t="s">
        <v>4614</v>
      </c>
      <c r="U1377" s="116">
        <v>440152256673</v>
      </c>
      <c r="V1377" s="138"/>
      <c r="W1377" s="223"/>
      <c r="X1377" s="149"/>
      <c r="Y1377" s="45" t="s">
        <v>27</v>
      </c>
      <c r="Z1377" s="45" t="s">
        <v>27</v>
      </c>
      <c r="AA1377" s="51" t="s">
        <v>27</v>
      </c>
      <c r="AB1377" s="51"/>
      <c r="AC1377" s="169" t="s">
        <v>5975</v>
      </c>
    </row>
    <row r="1378" spans="1:29" ht="15" customHeight="1">
      <c r="A1378" s="51" t="s">
        <v>364</v>
      </c>
      <c r="B1378" s="300" t="s">
        <v>4600</v>
      </c>
      <c r="C1378" s="51" t="s">
        <v>27</v>
      </c>
      <c r="D1378" s="53" t="s">
        <v>2761</v>
      </c>
      <c r="E1378" s="300" t="s">
        <v>17</v>
      </c>
      <c r="F1378" s="299" t="s">
        <v>4606</v>
      </c>
      <c r="G1378" s="346" t="s">
        <v>5512</v>
      </c>
      <c r="H1378" s="51" t="s">
        <v>3084</v>
      </c>
      <c r="I1378" s="51" t="s">
        <v>21</v>
      </c>
      <c r="J1378" s="349" t="s">
        <v>3677</v>
      </c>
      <c r="K1378" s="299" t="s">
        <v>337</v>
      </c>
      <c r="L1378" s="51" t="s">
        <v>4464</v>
      </c>
      <c r="M1378" s="51" t="s">
        <v>22</v>
      </c>
      <c r="N1378" s="51" t="s">
        <v>22</v>
      </c>
      <c r="O1378" s="51" t="s">
        <v>3639</v>
      </c>
      <c r="P1378" s="299" t="s">
        <v>4546</v>
      </c>
      <c r="Q1378" s="299" t="s">
        <v>4615</v>
      </c>
      <c r="R1378" s="301" t="s">
        <v>4616</v>
      </c>
      <c r="S1378" s="300" t="s">
        <v>4625</v>
      </c>
      <c r="T1378" s="223" t="s">
        <v>4630</v>
      </c>
      <c r="U1378" s="116">
        <v>440152256268</v>
      </c>
      <c r="V1378" s="138"/>
      <c r="W1378" s="223"/>
      <c r="X1378" s="149"/>
      <c r="Y1378" s="45" t="s">
        <v>27</v>
      </c>
      <c r="Z1378" s="45" t="s">
        <v>27</v>
      </c>
      <c r="AA1378" s="51" t="s">
        <v>27</v>
      </c>
      <c r="AB1378" s="51"/>
      <c r="AC1378" s="169" t="s">
        <v>5975</v>
      </c>
    </row>
    <row r="1379" spans="1:29" ht="15" customHeight="1">
      <c r="A1379" s="51" t="s">
        <v>364</v>
      </c>
      <c r="B1379" s="300" t="s">
        <v>4601</v>
      </c>
      <c r="C1379" s="51" t="s">
        <v>27</v>
      </c>
      <c r="D1379" s="53" t="s">
        <v>2761</v>
      </c>
      <c r="E1379" s="300" t="s">
        <v>17</v>
      </c>
      <c r="F1379" s="299" t="s">
        <v>4607</v>
      </c>
      <c r="G1379" s="346" t="s">
        <v>5513</v>
      </c>
      <c r="H1379" s="51" t="s">
        <v>3084</v>
      </c>
      <c r="I1379" s="51" t="s">
        <v>21</v>
      </c>
      <c r="J1379" s="300" t="s">
        <v>2259</v>
      </c>
      <c r="K1379" s="306" t="s">
        <v>33</v>
      </c>
      <c r="L1379" s="51" t="s">
        <v>4464</v>
      </c>
      <c r="M1379" s="51" t="s">
        <v>22</v>
      </c>
      <c r="N1379" s="51" t="s">
        <v>22</v>
      </c>
      <c r="O1379" s="51" t="s">
        <v>3639</v>
      </c>
      <c r="P1379" s="53" t="s">
        <v>4492</v>
      </c>
      <c r="Q1379" s="299" t="s">
        <v>4617</v>
      </c>
      <c r="R1379" s="301" t="s">
        <v>4622</v>
      </c>
      <c r="S1379" s="51" t="s">
        <v>4626</v>
      </c>
      <c r="T1379" s="223" t="s">
        <v>4631</v>
      </c>
      <c r="U1379" s="116">
        <v>440152213812</v>
      </c>
      <c r="V1379" s="138"/>
      <c r="W1379" s="223"/>
      <c r="X1379" s="149"/>
      <c r="Y1379" s="45" t="s">
        <v>27</v>
      </c>
      <c r="Z1379" s="45" t="s">
        <v>27</v>
      </c>
      <c r="AA1379" s="51" t="s">
        <v>27</v>
      </c>
      <c r="AB1379" s="51"/>
      <c r="AC1379" s="169" t="s">
        <v>5974</v>
      </c>
    </row>
    <row r="1380" spans="1:29" ht="15" customHeight="1">
      <c r="A1380" s="51" t="s">
        <v>364</v>
      </c>
      <c r="B1380" s="300" t="s">
        <v>4602</v>
      </c>
      <c r="C1380" s="51" t="s">
        <v>27</v>
      </c>
      <c r="D1380" s="53" t="s">
        <v>2761</v>
      </c>
      <c r="E1380" s="300" t="s">
        <v>17</v>
      </c>
      <c r="F1380" s="299" t="s">
        <v>4608</v>
      </c>
      <c r="G1380" s="346" t="s">
        <v>5514</v>
      </c>
      <c r="H1380" s="51" t="s">
        <v>3084</v>
      </c>
      <c r="I1380" s="51" t="s">
        <v>21</v>
      </c>
      <c r="J1380" s="300" t="s">
        <v>2259</v>
      </c>
      <c r="K1380" s="299" t="s">
        <v>337</v>
      </c>
      <c r="L1380" s="51" t="s">
        <v>4464</v>
      </c>
      <c r="M1380" s="51" t="s">
        <v>22</v>
      </c>
      <c r="N1380" s="51" t="s">
        <v>22</v>
      </c>
      <c r="O1380" s="51" t="s">
        <v>3639</v>
      </c>
      <c r="P1380" s="53" t="s">
        <v>4492</v>
      </c>
      <c r="Q1380" s="299" t="s">
        <v>4618</v>
      </c>
      <c r="R1380" s="301" t="s">
        <v>4621</v>
      </c>
      <c r="S1380" s="51" t="s">
        <v>4627</v>
      </c>
      <c r="T1380" s="223" t="s">
        <v>4632</v>
      </c>
      <c r="U1380" s="116">
        <v>440152256249</v>
      </c>
      <c r="V1380" s="138"/>
      <c r="W1380" s="223"/>
      <c r="X1380" s="149"/>
      <c r="Y1380" s="45" t="s">
        <v>27</v>
      </c>
      <c r="Z1380" s="45" t="s">
        <v>27</v>
      </c>
      <c r="AA1380" s="51" t="s">
        <v>27</v>
      </c>
      <c r="AB1380" s="51"/>
      <c r="AC1380" s="169" t="s">
        <v>5975</v>
      </c>
    </row>
    <row r="1381" spans="1:29" ht="15" customHeight="1">
      <c r="A1381" s="51" t="s">
        <v>364</v>
      </c>
      <c r="B1381" s="300" t="s">
        <v>4603</v>
      </c>
      <c r="C1381" s="51" t="s">
        <v>27</v>
      </c>
      <c r="D1381" s="53" t="s">
        <v>2761</v>
      </c>
      <c r="E1381" s="300" t="s">
        <v>17</v>
      </c>
      <c r="F1381" s="299" t="s">
        <v>4609</v>
      </c>
      <c r="G1381" s="346" t="s">
        <v>5515</v>
      </c>
      <c r="H1381" s="51" t="s">
        <v>3084</v>
      </c>
      <c r="I1381" s="51" t="s">
        <v>21</v>
      </c>
      <c r="J1381" s="300" t="s">
        <v>2259</v>
      </c>
      <c r="K1381" s="299" t="s">
        <v>337</v>
      </c>
      <c r="L1381" s="51" t="s">
        <v>4464</v>
      </c>
      <c r="M1381" s="51" t="s">
        <v>22</v>
      </c>
      <c r="N1381" s="51" t="s">
        <v>22</v>
      </c>
      <c r="O1381" s="51" t="s">
        <v>3639</v>
      </c>
      <c r="P1381" s="53" t="s">
        <v>4492</v>
      </c>
      <c r="Q1381" s="299" t="s">
        <v>4619</v>
      </c>
      <c r="R1381" s="301" t="s">
        <v>4623</v>
      </c>
      <c r="S1381" s="51" t="s">
        <v>4628</v>
      </c>
      <c r="T1381" s="223" t="s">
        <v>4633</v>
      </c>
      <c r="U1381" s="116">
        <v>440152256665</v>
      </c>
      <c r="V1381" s="138"/>
      <c r="W1381" s="223"/>
      <c r="X1381" s="149"/>
      <c r="Y1381" s="45" t="s">
        <v>27</v>
      </c>
      <c r="Z1381" s="45" t="s">
        <v>27</v>
      </c>
      <c r="AA1381" s="51" t="s">
        <v>27</v>
      </c>
      <c r="AB1381" s="51"/>
      <c r="AC1381" s="169" t="s">
        <v>5975</v>
      </c>
    </row>
    <row r="1382" spans="1:29" ht="15" customHeight="1">
      <c r="A1382" s="131" t="s">
        <v>364</v>
      </c>
      <c r="B1382" s="351" t="s">
        <v>4604</v>
      </c>
      <c r="C1382" s="131" t="s">
        <v>27</v>
      </c>
      <c r="D1382" s="352" t="s">
        <v>2761</v>
      </c>
      <c r="E1382" s="351" t="s">
        <v>17</v>
      </c>
      <c r="F1382" s="353" t="s">
        <v>4610</v>
      </c>
      <c r="G1382" s="354" t="s">
        <v>5516</v>
      </c>
      <c r="H1382" s="131" t="s">
        <v>3084</v>
      </c>
      <c r="I1382" s="131" t="s">
        <v>21</v>
      </c>
      <c r="J1382" s="355" t="s">
        <v>3677</v>
      </c>
      <c r="K1382" s="353" t="s">
        <v>337</v>
      </c>
      <c r="L1382" s="131" t="s">
        <v>4464</v>
      </c>
      <c r="M1382" s="131" t="s">
        <v>22</v>
      </c>
      <c r="N1382" s="131" t="s">
        <v>22</v>
      </c>
      <c r="O1382" s="131" t="s">
        <v>3639</v>
      </c>
      <c r="P1382" s="352" t="s">
        <v>4492</v>
      </c>
      <c r="Q1382" s="353" t="s">
        <v>4620</v>
      </c>
      <c r="R1382" s="301" t="s">
        <v>4624</v>
      </c>
      <c r="S1382" s="131" t="s">
        <v>4629</v>
      </c>
      <c r="T1382" s="356" t="s">
        <v>4634</v>
      </c>
      <c r="U1382" s="357">
        <v>440152256695</v>
      </c>
      <c r="V1382" s="358"/>
      <c r="W1382" s="356"/>
      <c r="X1382" s="359"/>
      <c r="Y1382" s="360" t="s">
        <v>27</v>
      </c>
      <c r="Z1382" s="360" t="s">
        <v>27</v>
      </c>
      <c r="AA1382" s="131" t="s">
        <v>27</v>
      </c>
      <c r="AB1382" s="131"/>
      <c r="AC1382" s="169" t="s">
        <v>5974</v>
      </c>
    </row>
    <row r="1383" spans="1:29" ht="15" customHeight="1">
      <c r="A1383" s="362" t="s">
        <v>336</v>
      </c>
      <c r="B1383" s="369" t="s">
        <v>4203</v>
      </c>
      <c r="C1383" s="362" t="s">
        <v>27</v>
      </c>
      <c r="D1383" s="53" t="s">
        <v>2758</v>
      </c>
      <c r="E1383" s="362" t="s">
        <v>2008</v>
      </c>
      <c r="F1383" s="362" t="s">
        <v>4204</v>
      </c>
      <c r="G1383" s="362"/>
      <c r="H1383" s="362" t="s">
        <v>3084</v>
      </c>
      <c r="I1383" s="362" t="s">
        <v>21</v>
      </c>
      <c r="J1383" s="362" t="s">
        <v>3674</v>
      </c>
      <c r="K1383" s="362" t="s">
        <v>33</v>
      </c>
      <c r="L1383" s="362" t="s">
        <v>4671</v>
      </c>
      <c r="M1383" s="362" t="s">
        <v>22</v>
      </c>
      <c r="N1383" s="362" t="s">
        <v>22</v>
      </c>
      <c r="O1383" s="362"/>
      <c r="P1383" s="363" t="s">
        <v>3828</v>
      </c>
      <c r="Q1383" s="362">
        <v>45256</v>
      </c>
      <c r="R1383" s="362" t="s">
        <v>4206</v>
      </c>
      <c r="S1383" s="364" t="s">
        <v>4207</v>
      </c>
      <c r="T1383" s="123">
        <v>9713308791</v>
      </c>
      <c r="U1383" s="365">
        <v>440152000000</v>
      </c>
      <c r="V1383" s="362"/>
      <c r="W1383" s="362"/>
      <c r="X1383" s="366">
        <v>43299</v>
      </c>
      <c r="Y1383" s="367" t="s">
        <v>27</v>
      </c>
      <c r="Z1383" s="367" t="s">
        <v>27</v>
      </c>
      <c r="AA1383" s="368" t="s">
        <v>27</v>
      </c>
      <c r="AB1383" s="51"/>
      <c r="AC1383" s="169"/>
    </row>
    <row r="1384" spans="1:29" ht="15" customHeight="1" thickBot="1">
      <c r="A1384" s="362" t="s">
        <v>336</v>
      </c>
      <c r="B1384" s="369" t="s">
        <v>4208</v>
      </c>
      <c r="C1384" s="362" t="s">
        <v>27</v>
      </c>
      <c r="D1384" s="289" t="s">
        <v>25</v>
      </c>
      <c r="E1384" s="362" t="s">
        <v>2008</v>
      </c>
      <c r="F1384" s="362" t="s">
        <v>4418</v>
      </c>
      <c r="G1384" s="362"/>
      <c r="H1384" s="362" t="s">
        <v>3084</v>
      </c>
      <c r="I1384" s="362" t="s">
        <v>21</v>
      </c>
      <c r="J1384" s="362" t="s">
        <v>3675</v>
      </c>
      <c r="K1384" s="362" t="s">
        <v>337</v>
      </c>
      <c r="L1384" s="362" t="s">
        <v>4671</v>
      </c>
      <c r="M1384" s="362" t="s">
        <v>22</v>
      </c>
      <c r="N1384" s="362" t="s">
        <v>22</v>
      </c>
      <c r="O1384" s="362"/>
      <c r="P1384" s="363" t="s">
        <v>3828</v>
      </c>
      <c r="Q1384" s="362">
        <v>45257</v>
      </c>
      <c r="R1384" s="362" t="s">
        <v>4891</v>
      </c>
      <c r="S1384" s="364" t="s">
        <v>4209</v>
      </c>
      <c r="T1384" s="123">
        <v>5034571290</v>
      </c>
      <c r="U1384" s="365">
        <v>440152000000</v>
      </c>
      <c r="V1384" s="362"/>
      <c r="W1384" s="362"/>
      <c r="X1384" s="473">
        <v>43300</v>
      </c>
      <c r="Y1384" s="367" t="s">
        <v>27</v>
      </c>
      <c r="Z1384" s="367" t="s">
        <v>27</v>
      </c>
      <c r="AA1384" s="368" t="s">
        <v>27</v>
      </c>
      <c r="AB1384" s="474"/>
      <c r="AC1384" s="169" t="s">
        <v>5978</v>
      </c>
    </row>
    <row r="1385" spans="1:29" ht="15" customHeight="1" thickBot="1">
      <c r="A1385" s="362" t="s">
        <v>336</v>
      </c>
      <c r="B1385" s="369" t="s">
        <v>4210</v>
      </c>
      <c r="C1385" s="362" t="s">
        <v>27</v>
      </c>
      <c r="D1385" s="53" t="s">
        <v>2758</v>
      </c>
      <c r="E1385" s="362" t="s">
        <v>2008</v>
      </c>
      <c r="F1385" s="362" t="s">
        <v>4211</v>
      </c>
      <c r="G1385" s="362"/>
      <c r="H1385" s="362" t="s">
        <v>3084</v>
      </c>
      <c r="I1385" s="362" t="s">
        <v>21</v>
      </c>
      <c r="J1385" s="362" t="s">
        <v>3675</v>
      </c>
      <c r="K1385" s="362" t="s">
        <v>4205</v>
      </c>
      <c r="L1385" s="362" t="s">
        <v>4671</v>
      </c>
      <c r="M1385" s="362" t="s">
        <v>22</v>
      </c>
      <c r="N1385" s="362" t="s">
        <v>22</v>
      </c>
      <c r="O1385" s="362"/>
      <c r="P1385" s="363" t="s">
        <v>3828</v>
      </c>
      <c r="Q1385" s="362">
        <v>45349</v>
      </c>
      <c r="R1385" s="362" t="s">
        <v>4892</v>
      </c>
      <c r="S1385" s="364" t="s">
        <v>4207</v>
      </c>
      <c r="T1385" s="123">
        <v>5034571299</v>
      </c>
      <c r="U1385" s="365">
        <v>440152000000</v>
      </c>
      <c r="V1385" s="362"/>
      <c r="W1385" s="362"/>
      <c r="X1385" s="473">
        <v>43301</v>
      </c>
      <c r="Y1385" s="367" t="s">
        <v>27</v>
      </c>
      <c r="Z1385" s="367" t="s">
        <v>27</v>
      </c>
      <c r="AA1385" s="368" t="s">
        <v>27</v>
      </c>
      <c r="AB1385" s="425"/>
      <c r="AC1385" s="169"/>
    </row>
    <row r="1386" spans="1:29" ht="15" customHeight="1" thickBot="1">
      <c r="A1386" s="362" t="s">
        <v>336</v>
      </c>
      <c r="B1386" s="369" t="s">
        <v>4212</v>
      </c>
      <c r="C1386" s="362" t="s">
        <v>27</v>
      </c>
      <c r="D1386" s="53" t="s">
        <v>2758</v>
      </c>
      <c r="E1386" s="362" t="s">
        <v>2008</v>
      </c>
      <c r="F1386" s="362" t="s">
        <v>4213</v>
      </c>
      <c r="G1386" s="362"/>
      <c r="H1386" s="362" t="s">
        <v>3084</v>
      </c>
      <c r="I1386" s="362" t="s">
        <v>21</v>
      </c>
      <c r="J1386" s="362" t="s">
        <v>3674</v>
      </c>
      <c r="K1386" s="362" t="s">
        <v>33</v>
      </c>
      <c r="L1386" s="362" t="s">
        <v>4671</v>
      </c>
      <c r="M1386" s="362" t="s">
        <v>22</v>
      </c>
      <c r="N1386" s="362" t="s">
        <v>22</v>
      </c>
      <c r="O1386" s="362"/>
      <c r="P1386" s="363" t="s">
        <v>3821</v>
      </c>
      <c r="Q1386" s="362">
        <v>45258</v>
      </c>
      <c r="R1386" s="362" t="s">
        <v>4214</v>
      </c>
      <c r="S1386" s="364" t="s">
        <v>4215</v>
      </c>
      <c r="T1386" s="123">
        <v>9713716584</v>
      </c>
      <c r="U1386" s="365">
        <v>440152000000</v>
      </c>
      <c r="V1386" s="362"/>
      <c r="W1386" s="362"/>
      <c r="X1386" s="473">
        <v>43304</v>
      </c>
      <c r="Y1386" s="367" t="s">
        <v>27</v>
      </c>
      <c r="Z1386" s="367" t="s">
        <v>27</v>
      </c>
      <c r="AA1386" s="367" t="s">
        <v>27</v>
      </c>
      <c r="AB1386" s="425"/>
      <c r="AC1386" s="169"/>
    </row>
    <row r="1387" spans="1:29" ht="75">
      <c r="A1387" s="362" t="s">
        <v>336</v>
      </c>
      <c r="B1387" s="369" t="s">
        <v>4415</v>
      </c>
      <c r="C1387" s="362" t="s">
        <v>27</v>
      </c>
      <c r="D1387" s="289" t="s">
        <v>25</v>
      </c>
      <c r="E1387" s="362" t="s">
        <v>2008</v>
      </c>
      <c r="F1387" s="362" t="s">
        <v>4419</v>
      </c>
      <c r="G1387" s="362"/>
      <c r="H1387" s="362" t="s">
        <v>3084</v>
      </c>
      <c r="I1387" s="362" t="s">
        <v>21</v>
      </c>
      <c r="J1387" s="362" t="s">
        <v>4787</v>
      </c>
      <c r="K1387" s="362" t="s">
        <v>3650</v>
      </c>
      <c r="L1387" s="362" t="s">
        <v>4671</v>
      </c>
      <c r="M1387" s="362" t="s">
        <v>22</v>
      </c>
      <c r="N1387" s="362" t="s">
        <v>955</v>
      </c>
      <c r="O1387" s="362"/>
      <c r="P1387" s="363" t="s">
        <v>3821</v>
      </c>
      <c r="Q1387" s="362">
        <v>45262</v>
      </c>
      <c r="R1387" s="362" t="s">
        <v>4896</v>
      </c>
      <c r="S1387" s="364" t="s">
        <v>4865</v>
      </c>
      <c r="T1387" s="123">
        <v>4844257109</v>
      </c>
      <c r="U1387" s="365">
        <v>440152289783</v>
      </c>
      <c r="V1387" s="362"/>
      <c r="W1387" s="362"/>
      <c r="X1387" s="149">
        <v>43313</v>
      </c>
      <c r="Y1387" s="468" t="s">
        <v>27</v>
      </c>
      <c r="Z1387" s="468" t="s">
        <v>27</v>
      </c>
      <c r="AA1387" s="468" t="s">
        <v>27</v>
      </c>
      <c r="AB1387" s="51"/>
      <c r="AC1387" s="476" t="s">
        <v>6391</v>
      </c>
    </row>
    <row r="1388" spans="1:29" ht="15" customHeight="1">
      <c r="A1388" s="362" t="s">
        <v>336</v>
      </c>
      <c r="B1388" s="369" t="s">
        <v>4890</v>
      </c>
      <c r="C1388" s="362" t="s">
        <v>27</v>
      </c>
      <c r="D1388" s="289" t="s">
        <v>2759</v>
      </c>
      <c r="E1388" s="362" t="s">
        <v>2008</v>
      </c>
      <c r="F1388" s="362" t="s">
        <v>4421</v>
      </c>
      <c r="G1388" s="362"/>
      <c r="H1388" s="362" t="s">
        <v>3084</v>
      </c>
      <c r="I1388" s="362" t="s">
        <v>21</v>
      </c>
      <c r="J1388" s="362" t="s">
        <v>4889</v>
      </c>
      <c r="K1388" s="362" t="s">
        <v>33</v>
      </c>
      <c r="L1388" s="362" t="s">
        <v>4671</v>
      </c>
      <c r="M1388" s="362" t="s">
        <v>22</v>
      </c>
      <c r="N1388" s="362" t="s">
        <v>955</v>
      </c>
      <c r="O1388" s="362"/>
      <c r="P1388" s="363" t="s">
        <v>3828</v>
      </c>
      <c r="Q1388" s="362">
        <v>45349</v>
      </c>
      <c r="R1388" s="362" t="s">
        <v>4897</v>
      </c>
      <c r="S1388" s="364" t="s">
        <v>4866</v>
      </c>
      <c r="T1388" s="123">
        <v>9713308463</v>
      </c>
      <c r="U1388" s="365">
        <v>440152289787</v>
      </c>
      <c r="V1388" s="362"/>
      <c r="W1388" s="362"/>
      <c r="X1388" s="149">
        <v>43313</v>
      </c>
      <c r="Y1388" s="45" t="s">
        <v>27</v>
      </c>
      <c r="Z1388" s="45" t="s">
        <v>27</v>
      </c>
      <c r="AA1388" s="45" t="s">
        <v>27</v>
      </c>
      <c r="AB1388" s="51"/>
      <c r="AC1388" s="169"/>
    </row>
    <row r="1389" spans="1:29" ht="15" customHeight="1">
      <c r="A1389" s="362" t="s">
        <v>336</v>
      </c>
      <c r="B1389" s="369" t="s">
        <v>4416</v>
      </c>
      <c r="C1389" s="362" t="s">
        <v>27</v>
      </c>
      <c r="D1389" s="289" t="s">
        <v>25</v>
      </c>
      <c r="E1389" s="362" t="s">
        <v>2008</v>
      </c>
      <c r="F1389" s="362" t="s">
        <v>4420</v>
      </c>
      <c r="G1389" s="362"/>
      <c r="H1389" s="362" t="s">
        <v>3084</v>
      </c>
      <c r="I1389" s="362" t="s">
        <v>21</v>
      </c>
      <c r="J1389" s="362" t="s">
        <v>3675</v>
      </c>
      <c r="K1389" s="362" t="s">
        <v>337</v>
      </c>
      <c r="L1389" s="362" t="s">
        <v>4671</v>
      </c>
      <c r="M1389" s="362" t="s">
        <v>22</v>
      </c>
      <c r="N1389" s="362" t="s">
        <v>955</v>
      </c>
      <c r="O1389" s="362"/>
      <c r="P1389" s="363" t="s">
        <v>3821</v>
      </c>
      <c r="Q1389" s="362">
        <v>45300</v>
      </c>
      <c r="R1389" s="362" t="s">
        <v>4894</v>
      </c>
      <c r="S1389" s="364" t="s">
        <v>4867</v>
      </c>
      <c r="T1389" s="123">
        <v>4846499004</v>
      </c>
      <c r="U1389" s="365">
        <v>440152289791</v>
      </c>
      <c r="V1389" s="362"/>
      <c r="W1389" s="362"/>
      <c r="X1389" s="149">
        <v>43313</v>
      </c>
      <c r="Y1389" s="45" t="s">
        <v>27</v>
      </c>
      <c r="Z1389" s="45" t="s">
        <v>27</v>
      </c>
      <c r="AA1389" s="45" t="s">
        <v>27</v>
      </c>
      <c r="AB1389" s="51"/>
      <c r="AC1389" s="169" t="s">
        <v>5980</v>
      </c>
    </row>
    <row r="1390" spans="1:29" ht="15" customHeight="1">
      <c r="A1390" s="362" t="s">
        <v>336</v>
      </c>
      <c r="B1390" s="369" t="s">
        <v>4417</v>
      </c>
      <c r="C1390" s="362" t="s">
        <v>27</v>
      </c>
      <c r="D1390" s="53" t="s">
        <v>2758</v>
      </c>
      <c r="E1390" s="362" t="s">
        <v>2008</v>
      </c>
      <c r="F1390" s="362" t="s">
        <v>4421</v>
      </c>
      <c r="G1390" s="362"/>
      <c r="H1390" s="362" t="s">
        <v>3084</v>
      </c>
      <c r="I1390" s="362" t="s">
        <v>21</v>
      </c>
      <c r="J1390" s="362" t="s">
        <v>3675</v>
      </c>
      <c r="K1390" s="362" t="s">
        <v>337</v>
      </c>
      <c r="L1390" s="362" t="s">
        <v>4671</v>
      </c>
      <c r="M1390" s="362" t="s">
        <v>22</v>
      </c>
      <c r="N1390" s="362" t="s">
        <v>22</v>
      </c>
      <c r="O1390" s="362"/>
      <c r="P1390" s="363" t="s">
        <v>3821</v>
      </c>
      <c r="Q1390" s="362">
        <v>45347</v>
      </c>
      <c r="R1390" s="362" t="s">
        <v>4895</v>
      </c>
      <c r="S1390" s="364" t="s">
        <v>4868</v>
      </c>
      <c r="T1390" s="123">
        <v>6105707135</v>
      </c>
      <c r="U1390" s="365">
        <v>440152289784</v>
      </c>
      <c r="V1390" s="362"/>
      <c r="W1390" s="362"/>
      <c r="X1390" s="149">
        <v>43313</v>
      </c>
      <c r="Y1390" s="45" t="s">
        <v>27</v>
      </c>
      <c r="Z1390" s="45" t="s">
        <v>27</v>
      </c>
      <c r="AA1390" s="45" t="s">
        <v>27</v>
      </c>
      <c r="AB1390" s="51"/>
      <c r="AC1390" s="169"/>
    </row>
    <row r="1391" spans="1:29" ht="30">
      <c r="A1391" s="362" t="s">
        <v>336</v>
      </c>
      <c r="B1391" s="369" t="s">
        <v>4433</v>
      </c>
      <c r="C1391" s="362" t="s">
        <v>27</v>
      </c>
      <c r="D1391" s="289" t="s">
        <v>2759</v>
      </c>
      <c r="E1391" s="362" t="s">
        <v>2008</v>
      </c>
      <c r="F1391" s="362" t="s">
        <v>4636</v>
      </c>
      <c r="G1391" s="362"/>
      <c r="H1391" s="362" t="s">
        <v>3084</v>
      </c>
      <c r="I1391" s="362" t="s">
        <v>21</v>
      </c>
      <c r="J1391" s="362" t="s">
        <v>4889</v>
      </c>
      <c r="K1391" s="362" t="s">
        <v>5852</v>
      </c>
      <c r="L1391" s="362" t="s">
        <v>5368</v>
      </c>
      <c r="M1391" s="362" t="s">
        <v>22</v>
      </c>
      <c r="N1391" s="362" t="s">
        <v>22</v>
      </c>
      <c r="O1391" s="362"/>
      <c r="P1391" s="363" t="s">
        <v>3821</v>
      </c>
      <c r="Q1391" s="362">
        <v>45351</v>
      </c>
      <c r="R1391" s="362" t="s">
        <v>4898</v>
      </c>
      <c r="S1391" s="364" t="s">
        <v>4869</v>
      </c>
      <c r="T1391" s="123">
        <v>9713308516</v>
      </c>
      <c r="U1391" s="365">
        <v>440152289794</v>
      </c>
      <c r="V1391" s="362"/>
      <c r="W1391" s="362"/>
      <c r="X1391" s="149">
        <v>43327</v>
      </c>
      <c r="Y1391" s="45" t="s">
        <v>27</v>
      </c>
      <c r="Z1391" s="45" t="s">
        <v>27</v>
      </c>
      <c r="AA1391" s="45" t="s">
        <v>22</v>
      </c>
      <c r="AB1391" s="51"/>
      <c r="AC1391" s="475" t="s">
        <v>6065</v>
      </c>
    </row>
    <row r="1392" spans="1:29" ht="15" customHeight="1">
      <c r="A1392" s="362" t="s">
        <v>336</v>
      </c>
      <c r="B1392" s="369" t="s">
        <v>4434</v>
      </c>
      <c r="C1392" s="362" t="s">
        <v>27</v>
      </c>
      <c r="D1392" s="369" t="s">
        <v>2761</v>
      </c>
      <c r="E1392" s="362" t="s">
        <v>2008</v>
      </c>
      <c r="F1392" s="362" t="s">
        <v>4637</v>
      </c>
      <c r="G1392" s="362"/>
      <c r="H1392" s="362" t="s">
        <v>3084</v>
      </c>
      <c r="I1392" s="362" t="s">
        <v>21</v>
      </c>
      <c r="J1392" s="362" t="s">
        <v>4889</v>
      </c>
      <c r="K1392" s="362" t="s">
        <v>5853</v>
      </c>
      <c r="L1392" s="362" t="s">
        <v>4671</v>
      </c>
      <c r="M1392" s="362" t="s">
        <v>22</v>
      </c>
      <c r="N1392" s="362" t="s">
        <v>22</v>
      </c>
      <c r="O1392" s="362"/>
      <c r="P1392" s="363" t="s">
        <v>3821</v>
      </c>
      <c r="Q1392" s="362">
        <v>45301</v>
      </c>
      <c r="R1392" s="362" t="s">
        <v>4899</v>
      </c>
      <c r="S1392" s="364" t="s">
        <v>4870</v>
      </c>
      <c r="T1392" s="123">
        <v>9713304230</v>
      </c>
      <c r="U1392" s="365">
        <v>440152289786</v>
      </c>
      <c r="V1392" s="362"/>
      <c r="W1392" s="362"/>
      <c r="X1392" s="149">
        <v>43327</v>
      </c>
      <c r="Y1392" s="45" t="s">
        <v>27</v>
      </c>
      <c r="Z1392" s="45" t="s">
        <v>27</v>
      </c>
      <c r="AA1392" s="45" t="s">
        <v>27</v>
      </c>
      <c r="AB1392" s="51"/>
      <c r="AC1392" s="169" t="s">
        <v>5982</v>
      </c>
    </row>
    <row r="1393" spans="1:29" ht="15" customHeight="1">
      <c r="A1393" s="362" t="s">
        <v>336</v>
      </c>
      <c r="B1393" s="369" t="s">
        <v>4435</v>
      </c>
      <c r="C1393" s="362" t="s">
        <v>27</v>
      </c>
      <c r="D1393" s="289" t="s">
        <v>25</v>
      </c>
      <c r="E1393" s="362" t="s">
        <v>2008</v>
      </c>
      <c r="F1393" s="362" t="s">
        <v>4638</v>
      </c>
      <c r="G1393" s="362"/>
      <c r="H1393" s="362" t="s">
        <v>3084</v>
      </c>
      <c r="I1393" s="362" t="s">
        <v>21</v>
      </c>
      <c r="J1393" s="362" t="s">
        <v>3675</v>
      </c>
      <c r="K1393" s="362" t="s">
        <v>337</v>
      </c>
      <c r="L1393" s="362" t="s">
        <v>4671</v>
      </c>
      <c r="M1393" s="362" t="s">
        <v>22</v>
      </c>
      <c r="N1393" s="362" t="s">
        <v>22</v>
      </c>
      <c r="O1393" s="362"/>
      <c r="P1393" s="363" t="s">
        <v>3828</v>
      </c>
      <c r="Q1393" s="362">
        <v>45302</v>
      </c>
      <c r="R1393" s="362" t="s">
        <v>4900</v>
      </c>
      <c r="S1393" s="364" t="s">
        <v>4871</v>
      </c>
      <c r="T1393" s="123">
        <v>5034571286</v>
      </c>
      <c r="U1393" s="365">
        <v>440152289736</v>
      </c>
      <c r="V1393" s="362"/>
      <c r="W1393" s="362"/>
      <c r="X1393" s="149">
        <v>43327</v>
      </c>
      <c r="Y1393" s="45" t="s">
        <v>27</v>
      </c>
      <c r="Z1393" s="45" t="s">
        <v>27</v>
      </c>
      <c r="AA1393" s="45" t="s">
        <v>27</v>
      </c>
      <c r="AB1393" s="51"/>
      <c r="AC1393" s="169" t="s">
        <v>5981</v>
      </c>
    </row>
    <row r="1394" spans="1:29" ht="15" customHeight="1">
      <c r="A1394" s="362" t="s">
        <v>336</v>
      </c>
      <c r="B1394" s="369" t="s">
        <v>4436</v>
      </c>
      <c r="C1394" s="362" t="s">
        <v>27</v>
      </c>
      <c r="D1394" s="53" t="s">
        <v>2758</v>
      </c>
      <c r="E1394" s="362" t="s">
        <v>2008</v>
      </c>
      <c r="F1394" s="362" t="s">
        <v>4639</v>
      </c>
      <c r="G1394" s="362"/>
      <c r="H1394" s="362" t="s">
        <v>3084</v>
      </c>
      <c r="I1394" s="362" t="s">
        <v>21</v>
      </c>
      <c r="J1394" s="362" t="s">
        <v>3675</v>
      </c>
      <c r="K1394" s="362" t="s">
        <v>337</v>
      </c>
      <c r="L1394" s="362" t="s">
        <v>4671</v>
      </c>
      <c r="M1394" s="362" t="s">
        <v>22</v>
      </c>
      <c r="N1394" s="362" t="s">
        <v>22</v>
      </c>
      <c r="O1394" s="362"/>
      <c r="P1394" s="363" t="s">
        <v>3828</v>
      </c>
      <c r="Q1394" s="362">
        <v>45303</v>
      </c>
      <c r="R1394" s="362" t="s">
        <v>4892</v>
      </c>
      <c r="S1394" s="364" t="s">
        <v>4872</v>
      </c>
      <c r="T1394" s="123">
        <v>5033744773</v>
      </c>
      <c r="U1394" s="365">
        <v>440152289785</v>
      </c>
      <c r="V1394" s="362"/>
      <c r="W1394" s="362"/>
      <c r="X1394" s="149">
        <v>43340</v>
      </c>
      <c r="Y1394" s="45" t="s">
        <v>27</v>
      </c>
      <c r="Z1394" s="45" t="s">
        <v>27</v>
      </c>
      <c r="AA1394" s="45" t="s">
        <v>27</v>
      </c>
      <c r="AB1394" s="51"/>
      <c r="AC1394" s="169"/>
    </row>
    <row r="1395" spans="1:29" ht="150">
      <c r="A1395" s="362" t="s">
        <v>336</v>
      </c>
      <c r="B1395" s="369" t="s">
        <v>4437</v>
      </c>
      <c r="C1395" s="362" t="s">
        <v>27</v>
      </c>
      <c r="D1395" s="369" t="s">
        <v>25</v>
      </c>
      <c r="E1395" s="362" t="s">
        <v>2008</v>
      </c>
      <c r="F1395" s="362" t="s">
        <v>4640</v>
      </c>
      <c r="G1395" s="362"/>
      <c r="H1395" s="362" t="s">
        <v>3084</v>
      </c>
      <c r="I1395" s="362" t="s">
        <v>21</v>
      </c>
      <c r="J1395" s="362" t="s">
        <v>4787</v>
      </c>
      <c r="K1395" s="362" t="s">
        <v>206</v>
      </c>
      <c r="L1395" s="362" t="s">
        <v>4671</v>
      </c>
      <c r="M1395" s="362" t="s">
        <v>22</v>
      </c>
      <c r="N1395" s="362" t="s">
        <v>22</v>
      </c>
      <c r="O1395" s="362"/>
      <c r="P1395" s="363" t="s">
        <v>3828</v>
      </c>
      <c r="Q1395" s="362">
        <v>45304</v>
      </c>
      <c r="R1395" s="362" t="s">
        <v>4901</v>
      </c>
      <c r="S1395" s="364" t="s">
        <v>4873</v>
      </c>
      <c r="T1395" s="123">
        <v>5033744776</v>
      </c>
      <c r="U1395" s="365">
        <v>440152289790</v>
      </c>
      <c r="V1395" s="362"/>
      <c r="W1395" s="362"/>
      <c r="X1395" s="149">
        <v>43340</v>
      </c>
      <c r="Y1395" s="45" t="s">
        <v>27</v>
      </c>
      <c r="Z1395" s="45" t="s">
        <v>27</v>
      </c>
      <c r="AA1395" s="45" t="s">
        <v>349</v>
      </c>
      <c r="AB1395" s="51"/>
      <c r="AC1395" s="485" t="s">
        <v>6485</v>
      </c>
    </row>
    <row r="1396" spans="1:29" ht="30">
      <c r="A1396" s="362" t="s">
        <v>336</v>
      </c>
      <c r="B1396" s="369" t="s">
        <v>4438</v>
      </c>
      <c r="C1396" s="362" t="s">
        <v>27</v>
      </c>
      <c r="D1396" s="369" t="s">
        <v>2761</v>
      </c>
      <c r="E1396" s="362" t="s">
        <v>2008</v>
      </c>
      <c r="F1396" s="362" t="s">
        <v>4641</v>
      </c>
      <c r="G1396" s="362"/>
      <c r="H1396" s="362" t="s">
        <v>3084</v>
      </c>
      <c r="I1396" s="362" t="s">
        <v>21</v>
      </c>
      <c r="J1396" s="362" t="s">
        <v>3675</v>
      </c>
      <c r="K1396" s="362" t="s">
        <v>5852</v>
      </c>
      <c r="L1396" s="362" t="s">
        <v>4671</v>
      </c>
      <c r="M1396" s="362" t="s">
        <v>22</v>
      </c>
      <c r="N1396" s="362" t="s">
        <v>22</v>
      </c>
      <c r="O1396" s="362"/>
      <c r="P1396" s="363" t="s">
        <v>3828</v>
      </c>
      <c r="Q1396" s="362">
        <v>45305</v>
      </c>
      <c r="R1396" s="362" t="s">
        <v>4893</v>
      </c>
      <c r="S1396" s="364" t="s">
        <v>4874</v>
      </c>
      <c r="T1396" s="123">
        <v>5033744777</v>
      </c>
      <c r="U1396" s="365">
        <v>440152289792</v>
      </c>
      <c r="V1396" s="362"/>
      <c r="W1396" s="362"/>
      <c r="X1396" s="149">
        <v>43340</v>
      </c>
      <c r="Y1396" s="45" t="s">
        <v>27</v>
      </c>
      <c r="Z1396" s="45" t="s">
        <v>27</v>
      </c>
      <c r="AA1396" s="45" t="s">
        <v>27</v>
      </c>
      <c r="AB1396" s="51"/>
      <c r="AC1396" s="480" t="s">
        <v>6393</v>
      </c>
    </row>
    <row r="1397" spans="1:29" ht="15" customHeight="1">
      <c r="A1397" s="362" t="s">
        <v>336</v>
      </c>
      <c r="B1397" s="369" t="s">
        <v>4827</v>
      </c>
      <c r="C1397" s="362" t="s">
        <v>27</v>
      </c>
      <c r="D1397" s="289" t="s">
        <v>2759</v>
      </c>
      <c r="E1397" s="362" t="s">
        <v>2008</v>
      </c>
      <c r="F1397" s="362" t="s">
        <v>4642</v>
      </c>
      <c r="G1397" s="362"/>
      <c r="H1397" s="362" t="s">
        <v>3084</v>
      </c>
      <c r="I1397" s="362" t="s">
        <v>21</v>
      </c>
      <c r="J1397" s="362" t="s">
        <v>3675</v>
      </c>
      <c r="K1397" s="362" t="s">
        <v>33</v>
      </c>
      <c r="L1397" s="362" t="s">
        <v>4671</v>
      </c>
      <c r="M1397" s="362" t="s">
        <v>22</v>
      </c>
      <c r="N1397" s="362" t="s">
        <v>22</v>
      </c>
      <c r="O1397" s="362"/>
      <c r="P1397" s="363" t="s">
        <v>4864</v>
      </c>
      <c r="Q1397" s="362">
        <v>45367</v>
      </c>
      <c r="R1397" s="362" t="s">
        <v>4902</v>
      </c>
      <c r="S1397" s="364" t="s">
        <v>4856</v>
      </c>
      <c r="T1397" s="123">
        <v>5034810754</v>
      </c>
      <c r="U1397" s="365">
        <v>440152289735</v>
      </c>
      <c r="V1397" s="362"/>
      <c r="W1397" s="362"/>
      <c r="X1397" s="149">
        <v>43361</v>
      </c>
      <c r="Y1397" s="45" t="s">
        <v>27</v>
      </c>
      <c r="Z1397" s="45" t="s">
        <v>27</v>
      </c>
      <c r="AA1397" s="45" t="s">
        <v>27</v>
      </c>
      <c r="AB1397" s="51"/>
      <c r="AC1397" s="475"/>
    </row>
    <row r="1398" spans="1:29" ht="15" customHeight="1">
      <c r="A1398" s="362" t="s">
        <v>336</v>
      </c>
      <c r="B1398" s="369" t="s">
        <v>4828</v>
      </c>
      <c r="C1398" s="362" t="s">
        <v>27</v>
      </c>
      <c r="D1398" s="369" t="s">
        <v>2761</v>
      </c>
      <c r="E1398" s="362" t="s">
        <v>2008</v>
      </c>
      <c r="F1398" s="362" t="s">
        <v>4643</v>
      </c>
      <c r="G1398" s="362"/>
      <c r="H1398" s="362" t="s">
        <v>3084</v>
      </c>
      <c r="I1398" s="362" t="s">
        <v>21</v>
      </c>
      <c r="J1398" s="362" t="s">
        <v>3675</v>
      </c>
      <c r="K1398" s="362" t="s">
        <v>33</v>
      </c>
      <c r="L1398" s="362" t="s">
        <v>4671</v>
      </c>
      <c r="M1398" s="362" t="s">
        <v>22</v>
      </c>
      <c r="N1398" s="362" t="s">
        <v>22</v>
      </c>
      <c r="O1398" s="362"/>
      <c r="P1398" s="363" t="s">
        <v>3828</v>
      </c>
      <c r="Q1398" s="362">
        <v>45369</v>
      </c>
      <c r="R1398" s="362" t="s">
        <v>4903</v>
      </c>
      <c r="S1398" s="364" t="s">
        <v>4857</v>
      </c>
      <c r="T1398" s="123">
        <v>5033744788</v>
      </c>
      <c r="U1398" s="365">
        <v>440152289741</v>
      </c>
      <c r="V1398" s="362"/>
      <c r="W1398" s="362"/>
      <c r="X1398" s="149">
        <v>43361</v>
      </c>
      <c r="Y1398" s="45" t="s">
        <v>27</v>
      </c>
      <c r="Z1398" s="45" t="s">
        <v>27</v>
      </c>
      <c r="AA1398" s="45" t="s">
        <v>27</v>
      </c>
      <c r="AB1398" s="51"/>
      <c r="AC1398" s="475" t="s">
        <v>5983</v>
      </c>
    </row>
    <row r="1399" spans="1:29" ht="15" customHeight="1">
      <c r="A1399" s="362" t="s">
        <v>336</v>
      </c>
      <c r="B1399" s="369" t="s">
        <v>4829</v>
      </c>
      <c r="C1399" s="362" t="s">
        <v>27</v>
      </c>
      <c r="D1399" s="53" t="s">
        <v>2758</v>
      </c>
      <c r="E1399" s="362" t="s">
        <v>2008</v>
      </c>
      <c r="F1399" s="362" t="s">
        <v>4644</v>
      </c>
      <c r="G1399" s="362"/>
      <c r="H1399" s="362" t="s">
        <v>3084</v>
      </c>
      <c r="I1399" s="362" t="s">
        <v>21</v>
      </c>
      <c r="J1399" s="362" t="s">
        <v>3674</v>
      </c>
      <c r="K1399" s="362" t="s">
        <v>337</v>
      </c>
      <c r="L1399" s="362" t="s">
        <v>4671</v>
      </c>
      <c r="M1399" s="362" t="s">
        <v>22</v>
      </c>
      <c r="N1399" s="362" t="s">
        <v>22</v>
      </c>
      <c r="O1399" s="362"/>
      <c r="P1399" s="363" t="s">
        <v>3828</v>
      </c>
      <c r="Q1399" s="362">
        <v>45370</v>
      </c>
      <c r="R1399" s="362"/>
      <c r="S1399" s="364" t="s">
        <v>4863</v>
      </c>
      <c r="T1399" s="123">
        <v>9718641004</v>
      </c>
      <c r="U1399" s="365">
        <v>440152289745</v>
      </c>
      <c r="V1399" s="362"/>
      <c r="W1399" s="362"/>
      <c r="X1399" s="149">
        <v>43361</v>
      </c>
      <c r="Y1399" s="45" t="s">
        <v>27</v>
      </c>
      <c r="Z1399" s="45" t="s">
        <v>27</v>
      </c>
      <c r="AA1399" s="45" t="s">
        <v>27</v>
      </c>
      <c r="AB1399" s="51"/>
      <c r="AC1399" s="475"/>
    </row>
    <row r="1400" spans="1:29" ht="15" customHeight="1">
      <c r="A1400" s="362" t="s">
        <v>336</v>
      </c>
      <c r="B1400" s="369" t="s">
        <v>4830</v>
      </c>
      <c r="C1400" s="362" t="s">
        <v>27</v>
      </c>
      <c r="D1400" s="53" t="s">
        <v>2758</v>
      </c>
      <c r="E1400" s="362" t="s">
        <v>2008</v>
      </c>
      <c r="F1400" s="362" t="s">
        <v>4645</v>
      </c>
      <c r="G1400" s="362"/>
      <c r="H1400" s="362" t="s">
        <v>3084</v>
      </c>
      <c r="I1400" s="362" t="s">
        <v>21</v>
      </c>
      <c r="J1400" s="362" t="s">
        <v>3674</v>
      </c>
      <c r="K1400" s="362" t="s">
        <v>337</v>
      </c>
      <c r="L1400" s="362" t="s">
        <v>4671</v>
      </c>
      <c r="M1400" s="362" t="s">
        <v>22</v>
      </c>
      <c r="N1400" s="362" t="s">
        <v>22</v>
      </c>
      <c r="O1400" s="362"/>
      <c r="P1400" s="363" t="s">
        <v>3828</v>
      </c>
      <c r="Q1400" s="362">
        <v>45371</v>
      </c>
      <c r="R1400" s="362"/>
      <c r="S1400" s="364" t="s">
        <v>4862</v>
      </c>
      <c r="T1400" s="123">
        <v>9718641001</v>
      </c>
      <c r="U1400" s="365">
        <v>440152289742</v>
      </c>
      <c r="V1400" s="362"/>
      <c r="W1400" s="362"/>
      <c r="X1400" s="149">
        <v>43361</v>
      </c>
      <c r="Y1400" s="45" t="s">
        <v>27</v>
      </c>
      <c r="Z1400" s="45" t="s">
        <v>27</v>
      </c>
      <c r="AA1400" s="45" t="s">
        <v>27</v>
      </c>
      <c r="AB1400" s="51"/>
      <c r="AC1400" s="475"/>
    </row>
    <row r="1401" spans="1:29" ht="15" customHeight="1">
      <c r="A1401" s="362" t="s">
        <v>336</v>
      </c>
      <c r="B1401" s="362" t="s">
        <v>4831</v>
      </c>
      <c r="C1401" s="362" t="s">
        <v>27</v>
      </c>
      <c r="D1401" s="369" t="s">
        <v>2761</v>
      </c>
      <c r="E1401" s="362" t="s">
        <v>2008</v>
      </c>
      <c r="F1401" s="362" t="s">
        <v>4646</v>
      </c>
      <c r="G1401" s="362"/>
      <c r="H1401" s="362" t="s">
        <v>3084</v>
      </c>
      <c r="I1401" s="362" t="s">
        <v>21</v>
      </c>
      <c r="J1401" s="362" t="s">
        <v>4889</v>
      </c>
      <c r="K1401" s="362" t="s">
        <v>5852</v>
      </c>
      <c r="L1401" s="362" t="s">
        <v>4671</v>
      </c>
      <c r="M1401" s="362" t="s">
        <v>22</v>
      </c>
      <c r="N1401" s="362" t="s">
        <v>22</v>
      </c>
      <c r="O1401" s="362"/>
      <c r="P1401" s="363" t="s">
        <v>3828</v>
      </c>
      <c r="Q1401" s="362">
        <v>45372</v>
      </c>
      <c r="R1401" s="362"/>
      <c r="S1401" s="364" t="s">
        <v>4861</v>
      </c>
      <c r="T1401" s="123">
        <v>9719792824</v>
      </c>
      <c r="U1401" s="365">
        <v>440152289737</v>
      </c>
      <c r="V1401" s="362"/>
      <c r="W1401" s="362"/>
      <c r="X1401" s="149">
        <v>43361</v>
      </c>
      <c r="Y1401" s="45" t="s">
        <v>27</v>
      </c>
      <c r="Z1401" s="45" t="s">
        <v>27</v>
      </c>
      <c r="AA1401" s="45" t="s">
        <v>27</v>
      </c>
      <c r="AB1401" s="51"/>
      <c r="AC1401" s="475" t="s">
        <v>5975</v>
      </c>
    </row>
    <row r="1402" spans="1:29" ht="15" customHeight="1">
      <c r="A1402" s="362" t="s">
        <v>336</v>
      </c>
      <c r="B1402" s="369" t="s">
        <v>4832</v>
      </c>
      <c r="C1402" s="362" t="s">
        <v>27</v>
      </c>
      <c r="D1402" s="289" t="s">
        <v>2759</v>
      </c>
      <c r="E1402" s="362" t="s">
        <v>2008</v>
      </c>
      <c r="F1402" s="362" t="s">
        <v>4647</v>
      </c>
      <c r="G1402" s="362"/>
      <c r="H1402" s="362" t="s">
        <v>3084</v>
      </c>
      <c r="I1402" s="362" t="s">
        <v>21</v>
      </c>
      <c r="J1402" s="362" t="s">
        <v>4889</v>
      </c>
      <c r="K1402" s="362" t="s">
        <v>5853</v>
      </c>
      <c r="L1402" s="362" t="s">
        <v>4671</v>
      </c>
      <c r="M1402" s="362" t="s">
        <v>22</v>
      </c>
      <c r="N1402" s="362" t="s">
        <v>22</v>
      </c>
      <c r="O1402" s="362"/>
      <c r="P1402" s="363" t="s">
        <v>3828</v>
      </c>
      <c r="Q1402" s="362">
        <v>45373</v>
      </c>
      <c r="R1402" s="362"/>
      <c r="S1402" s="364" t="s">
        <v>4860</v>
      </c>
      <c r="T1402" s="123">
        <v>9719792823</v>
      </c>
      <c r="U1402" s="365">
        <v>440152289753</v>
      </c>
      <c r="V1402" s="362"/>
      <c r="W1402" s="362"/>
      <c r="X1402" s="149">
        <v>43361</v>
      </c>
      <c r="Y1402" s="45" t="s">
        <v>27</v>
      </c>
      <c r="Z1402" s="45" t="s">
        <v>27</v>
      </c>
      <c r="AA1402" s="45" t="s">
        <v>27</v>
      </c>
      <c r="AB1402" s="51"/>
      <c r="AC1402" s="475"/>
    </row>
    <row r="1403" spans="1:29" ht="15" customHeight="1">
      <c r="A1403" s="362" t="s">
        <v>336</v>
      </c>
      <c r="B1403" s="369" t="s">
        <v>4833</v>
      </c>
      <c r="C1403" s="362" t="s">
        <v>27</v>
      </c>
      <c r="D1403" s="289" t="s">
        <v>2759</v>
      </c>
      <c r="E1403" s="362" t="s">
        <v>2008</v>
      </c>
      <c r="F1403" s="362" t="s">
        <v>4648</v>
      </c>
      <c r="G1403" s="362"/>
      <c r="H1403" s="362" t="s">
        <v>3084</v>
      </c>
      <c r="I1403" s="362" t="s">
        <v>21</v>
      </c>
      <c r="J1403" s="362" t="s">
        <v>3675</v>
      </c>
      <c r="K1403" s="362" t="s">
        <v>5853</v>
      </c>
      <c r="L1403" s="362" t="s">
        <v>4671</v>
      </c>
      <c r="M1403" s="362" t="s">
        <v>22</v>
      </c>
      <c r="N1403" s="362" t="s">
        <v>22</v>
      </c>
      <c r="O1403" s="362"/>
      <c r="P1403" s="363" t="s">
        <v>3828</v>
      </c>
      <c r="Q1403" s="362">
        <v>45374</v>
      </c>
      <c r="R1403" s="362"/>
      <c r="S1403" s="364" t="s">
        <v>4859</v>
      </c>
      <c r="T1403" s="123">
        <v>5035156183</v>
      </c>
      <c r="U1403" s="365">
        <v>440152289740</v>
      </c>
      <c r="V1403" s="362"/>
      <c r="W1403" s="362"/>
      <c r="X1403" s="149">
        <v>43361</v>
      </c>
      <c r="Y1403" s="45" t="s">
        <v>27</v>
      </c>
      <c r="Z1403" s="45" t="s">
        <v>27</v>
      </c>
      <c r="AA1403" s="45" t="s">
        <v>27</v>
      </c>
      <c r="AB1403" s="51"/>
      <c r="AC1403" s="475"/>
    </row>
    <row r="1404" spans="1:29" ht="15" customHeight="1">
      <c r="A1404" s="362" t="s">
        <v>336</v>
      </c>
      <c r="B1404" s="369" t="s">
        <v>4834</v>
      </c>
      <c r="C1404" s="362" t="s">
        <v>27</v>
      </c>
      <c r="D1404" s="289" t="s">
        <v>2759</v>
      </c>
      <c r="E1404" s="362" t="s">
        <v>2008</v>
      </c>
      <c r="F1404" s="362" t="s">
        <v>4649</v>
      </c>
      <c r="G1404" s="362"/>
      <c r="H1404" s="362" t="s">
        <v>3084</v>
      </c>
      <c r="I1404" s="362" t="s">
        <v>21</v>
      </c>
      <c r="J1404" s="362" t="s">
        <v>1025</v>
      </c>
      <c r="K1404" s="376" t="s">
        <v>1586</v>
      </c>
      <c r="L1404" s="362" t="s">
        <v>4671</v>
      </c>
      <c r="M1404" s="362" t="s">
        <v>22</v>
      </c>
      <c r="N1404" s="362" t="s">
        <v>22</v>
      </c>
      <c r="O1404" s="362"/>
      <c r="P1404" s="363" t="s">
        <v>3828</v>
      </c>
      <c r="Q1404" s="362">
        <v>45375</v>
      </c>
      <c r="R1404" s="362"/>
      <c r="S1404" s="364" t="s">
        <v>4858</v>
      </c>
      <c r="T1404" s="123">
        <v>5034572405</v>
      </c>
      <c r="U1404" s="365">
        <v>440152289739</v>
      </c>
      <c r="V1404" s="362"/>
      <c r="W1404" s="362"/>
      <c r="X1404" s="149">
        <v>43361</v>
      </c>
      <c r="Y1404" s="45" t="s">
        <v>27</v>
      </c>
      <c r="Z1404" s="45" t="s">
        <v>27</v>
      </c>
      <c r="AA1404" s="45" t="s">
        <v>27</v>
      </c>
      <c r="AB1404" s="51"/>
      <c r="AC1404" s="475"/>
    </row>
    <row r="1405" spans="1:29" ht="15" customHeight="1">
      <c r="A1405" s="362" t="s">
        <v>336</v>
      </c>
      <c r="B1405" s="369" t="s">
        <v>4835</v>
      </c>
      <c r="C1405" s="51" t="s">
        <v>27</v>
      </c>
      <c r="D1405" s="289" t="s">
        <v>2759</v>
      </c>
      <c r="E1405" s="362" t="s">
        <v>2008</v>
      </c>
      <c r="F1405" s="362" t="s">
        <v>4650</v>
      </c>
      <c r="G1405" s="362"/>
      <c r="H1405" s="362" t="s">
        <v>3084</v>
      </c>
      <c r="I1405" s="362" t="s">
        <v>21</v>
      </c>
      <c r="J1405" s="362" t="s">
        <v>1025</v>
      </c>
      <c r="K1405" s="362" t="s">
        <v>206</v>
      </c>
      <c r="L1405" s="362" t="s">
        <v>4671</v>
      </c>
      <c r="M1405" s="362" t="s">
        <v>22</v>
      </c>
      <c r="N1405" s="362" t="s">
        <v>22</v>
      </c>
      <c r="O1405" s="362"/>
      <c r="P1405" s="363" t="s">
        <v>4880</v>
      </c>
      <c r="Q1405" s="362">
        <v>45376</v>
      </c>
      <c r="R1405" s="362"/>
      <c r="S1405" s="364" t="s">
        <v>4881</v>
      </c>
      <c r="T1405" s="123">
        <v>6109698637</v>
      </c>
      <c r="U1405" s="365">
        <v>44015228980</v>
      </c>
      <c r="V1405" s="362"/>
      <c r="W1405" s="362"/>
      <c r="X1405" s="149">
        <v>43364</v>
      </c>
      <c r="Y1405" s="45" t="s">
        <v>27</v>
      </c>
      <c r="Z1405" s="45" t="s">
        <v>27</v>
      </c>
      <c r="AA1405" s="51" t="s">
        <v>27</v>
      </c>
      <c r="AB1405" s="51" t="s">
        <v>2473</v>
      </c>
      <c r="AC1405" s="475" t="s">
        <v>6172</v>
      </c>
    </row>
    <row r="1406" spans="1:29" ht="15" customHeight="1">
      <c r="A1406" s="362" t="s">
        <v>336</v>
      </c>
      <c r="B1406" s="362" t="s">
        <v>4836</v>
      </c>
      <c r="C1406" s="362" t="s">
        <v>27</v>
      </c>
      <c r="D1406" s="369" t="s">
        <v>2761</v>
      </c>
      <c r="E1406" s="362" t="s">
        <v>2008</v>
      </c>
      <c r="F1406" s="362" t="s">
        <v>4651</v>
      </c>
      <c r="G1406" s="362"/>
      <c r="H1406" s="362" t="s">
        <v>3084</v>
      </c>
      <c r="I1406" s="362" t="s">
        <v>21</v>
      </c>
      <c r="J1406" s="362" t="s">
        <v>4889</v>
      </c>
      <c r="K1406" s="362" t="s">
        <v>33</v>
      </c>
      <c r="L1406" s="362" t="s">
        <v>4671</v>
      </c>
      <c r="M1406" s="362" t="s">
        <v>22</v>
      </c>
      <c r="N1406" s="362" t="s">
        <v>22</v>
      </c>
      <c r="O1406" s="362"/>
      <c r="P1406" s="363" t="s">
        <v>4880</v>
      </c>
      <c r="Q1406" s="362">
        <v>45377</v>
      </c>
      <c r="R1406" s="362"/>
      <c r="S1406" s="364" t="s">
        <v>4882</v>
      </c>
      <c r="T1406" s="123">
        <v>9713308827</v>
      </c>
      <c r="U1406" s="365">
        <v>44015228979</v>
      </c>
      <c r="V1406" s="362"/>
      <c r="W1406" s="362"/>
      <c r="X1406" s="149">
        <v>43364</v>
      </c>
      <c r="Y1406" s="45" t="s">
        <v>27</v>
      </c>
      <c r="Z1406" s="45" t="s">
        <v>27</v>
      </c>
      <c r="AA1406" s="45" t="s">
        <v>27</v>
      </c>
      <c r="AB1406" s="51"/>
      <c r="AC1406" s="475" t="s">
        <v>5983</v>
      </c>
    </row>
    <row r="1407" spans="1:29" ht="15" customHeight="1">
      <c r="A1407" s="362" t="s">
        <v>336</v>
      </c>
      <c r="B1407" s="362" t="s">
        <v>4837</v>
      </c>
      <c r="C1407" s="362" t="s">
        <v>27</v>
      </c>
      <c r="D1407" s="289" t="s">
        <v>25</v>
      </c>
      <c r="E1407" s="362" t="s">
        <v>2008</v>
      </c>
      <c r="F1407" s="362" t="s">
        <v>4652</v>
      </c>
      <c r="G1407" s="362"/>
      <c r="H1407" s="362" t="s">
        <v>3084</v>
      </c>
      <c r="I1407" s="362" t="s">
        <v>21</v>
      </c>
      <c r="J1407" s="362" t="s">
        <v>4889</v>
      </c>
      <c r="K1407" s="362" t="s">
        <v>337</v>
      </c>
      <c r="L1407" s="362" t="s">
        <v>4671</v>
      </c>
      <c r="M1407" s="362" t="s">
        <v>22</v>
      </c>
      <c r="N1407" s="362" t="s">
        <v>22</v>
      </c>
      <c r="O1407" s="362"/>
      <c r="P1407" s="363" t="s">
        <v>4880</v>
      </c>
      <c r="Q1407" s="362">
        <v>45379</v>
      </c>
      <c r="R1407" s="362"/>
      <c r="S1407" s="364" t="s">
        <v>4883</v>
      </c>
      <c r="T1407" s="123">
        <v>9713716697</v>
      </c>
      <c r="U1407" s="365">
        <v>44015228973</v>
      </c>
      <c r="V1407" s="362"/>
      <c r="W1407" s="362"/>
      <c r="X1407" s="149">
        <v>43364</v>
      </c>
      <c r="Y1407" s="45" t="s">
        <v>27</v>
      </c>
      <c r="Z1407" s="45" t="s">
        <v>27</v>
      </c>
      <c r="AA1407" s="45" t="s">
        <v>27</v>
      </c>
      <c r="AB1407" s="51"/>
      <c r="AC1407" s="475" t="s">
        <v>5978</v>
      </c>
    </row>
    <row r="1408" spans="1:29" ht="15" customHeight="1">
      <c r="A1408" s="362" t="s">
        <v>336</v>
      </c>
      <c r="B1408" s="369" t="s">
        <v>4838</v>
      </c>
      <c r="C1408" s="362" t="s">
        <v>27</v>
      </c>
      <c r="D1408" s="53" t="s">
        <v>2758</v>
      </c>
      <c r="E1408" s="362" t="s">
        <v>2008</v>
      </c>
      <c r="F1408" s="362" t="s">
        <v>4653</v>
      </c>
      <c r="G1408" s="362"/>
      <c r="H1408" s="362" t="s">
        <v>3084</v>
      </c>
      <c r="I1408" s="362" t="s">
        <v>21</v>
      </c>
      <c r="J1408" s="362" t="s">
        <v>4787</v>
      </c>
      <c r="K1408" s="362" t="s">
        <v>206</v>
      </c>
      <c r="L1408" s="362" t="s">
        <v>4671</v>
      </c>
      <c r="M1408" s="362" t="s">
        <v>22</v>
      </c>
      <c r="N1408" s="362" t="s">
        <v>22</v>
      </c>
      <c r="O1408" s="362"/>
      <c r="P1408" s="363" t="s">
        <v>4880</v>
      </c>
      <c r="Q1408" s="362">
        <v>45380</v>
      </c>
      <c r="R1408" s="362"/>
      <c r="S1408" s="364" t="s">
        <v>4884</v>
      </c>
      <c r="T1408" s="123">
        <v>6106068962</v>
      </c>
      <c r="U1408" s="365">
        <v>44015228979</v>
      </c>
      <c r="V1408" s="362"/>
      <c r="W1408" s="362"/>
      <c r="X1408" s="149">
        <v>43364</v>
      </c>
      <c r="Y1408" s="45" t="s">
        <v>27</v>
      </c>
      <c r="Z1408" s="45" t="s">
        <v>27</v>
      </c>
      <c r="AA1408" s="45" t="s">
        <v>27</v>
      </c>
      <c r="AB1408" s="51"/>
      <c r="AC1408" s="475"/>
    </row>
    <row r="1409" spans="1:29" ht="15" customHeight="1">
      <c r="A1409" s="362" t="s">
        <v>336</v>
      </c>
      <c r="B1409" s="369" t="s">
        <v>4840</v>
      </c>
      <c r="C1409" s="362" t="s">
        <v>27</v>
      </c>
      <c r="D1409" s="289" t="s">
        <v>2758</v>
      </c>
      <c r="E1409" s="362" t="s">
        <v>2008</v>
      </c>
      <c r="F1409" s="362" t="s">
        <v>4655</v>
      </c>
      <c r="G1409" s="362"/>
      <c r="H1409" s="362" t="s">
        <v>3084</v>
      </c>
      <c r="I1409" s="362" t="s">
        <v>21</v>
      </c>
      <c r="J1409" s="362" t="s">
        <v>4787</v>
      </c>
      <c r="K1409" s="376" t="s">
        <v>337</v>
      </c>
      <c r="L1409" s="362" t="s">
        <v>4671</v>
      </c>
      <c r="M1409" s="362" t="s">
        <v>22</v>
      </c>
      <c r="N1409" s="362" t="s">
        <v>22</v>
      </c>
      <c r="O1409" s="362"/>
      <c r="P1409" s="363" t="s">
        <v>4880</v>
      </c>
      <c r="Q1409" s="362">
        <v>45382</v>
      </c>
      <c r="R1409" s="362"/>
      <c r="S1409" s="364" t="s">
        <v>4885</v>
      </c>
      <c r="T1409" s="123">
        <v>5039847197</v>
      </c>
      <c r="U1409" s="365">
        <v>440152289799</v>
      </c>
      <c r="V1409" s="362"/>
      <c r="W1409" s="362"/>
      <c r="X1409" s="149">
        <v>43364</v>
      </c>
      <c r="Y1409" s="45" t="s">
        <v>27</v>
      </c>
      <c r="Z1409" s="45" t="s">
        <v>27</v>
      </c>
      <c r="AA1409" s="45" t="s">
        <v>27</v>
      </c>
      <c r="AB1409" s="51"/>
      <c r="AC1409" s="475"/>
    </row>
    <row r="1410" spans="1:29" ht="15" customHeight="1">
      <c r="A1410" s="362" t="s">
        <v>336</v>
      </c>
      <c r="B1410" s="369" t="s">
        <v>4841</v>
      </c>
      <c r="C1410" s="362" t="s">
        <v>27</v>
      </c>
      <c r="D1410" s="289" t="s">
        <v>2759</v>
      </c>
      <c r="E1410" s="362" t="s">
        <v>2008</v>
      </c>
      <c r="F1410" s="362" t="s">
        <v>4656</v>
      </c>
      <c r="G1410" s="362"/>
      <c r="H1410" s="362" t="s">
        <v>3084</v>
      </c>
      <c r="I1410" s="362" t="s">
        <v>21</v>
      </c>
      <c r="J1410" s="362" t="s">
        <v>4787</v>
      </c>
      <c r="K1410" s="376" t="s">
        <v>5757</v>
      </c>
      <c r="L1410" s="362" t="s">
        <v>4671</v>
      </c>
      <c r="M1410" s="362" t="s">
        <v>22</v>
      </c>
      <c r="N1410" s="362" t="s">
        <v>22</v>
      </c>
      <c r="O1410" s="362"/>
      <c r="P1410" s="363" t="s">
        <v>4880</v>
      </c>
      <c r="Q1410" s="362"/>
      <c r="R1410" s="362"/>
      <c r="S1410" s="364" t="s">
        <v>4885</v>
      </c>
      <c r="T1410" s="123">
        <v>5039847197</v>
      </c>
      <c r="U1410" s="365">
        <v>440152289799</v>
      </c>
      <c r="V1410" s="362"/>
      <c r="W1410" s="362"/>
      <c r="X1410" s="149">
        <v>43367</v>
      </c>
      <c r="Y1410" s="45" t="s">
        <v>27</v>
      </c>
      <c r="Z1410" s="45" t="s">
        <v>27</v>
      </c>
      <c r="AA1410" s="45" t="s">
        <v>27</v>
      </c>
      <c r="AB1410" s="51"/>
      <c r="AC1410" s="475"/>
    </row>
    <row r="1411" spans="1:29" ht="15" customHeight="1">
      <c r="A1411" s="362" t="s">
        <v>336</v>
      </c>
      <c r="B1411" s="369" t="s">
        <v>4842</v>
      </c>
      <c r="C1411" s="362" t="s">
        <v>27</v>
      </c>
      <c r="D1411" s="289" t="s">
        <v>2759</v>
      </c>
      <c r="E1411" s="362" t="s">
        <v>2008</v>
      </c>
      <c r="F1411" s="362" t="s">
        <v>4657</v>
      </c>
      <c r="G1411" s="362"/>
      <c r="H1411" s="362" t="s">
        <v>3084</v>
      </c>
      <c r="I1411" s="362" t="s">
        <v>21</v>
      </c>
      <c r="J1411" s="362" t="s">
        <v>4787</v>
      </c>
      <c r="K1411" s="95" t="s">
        <v>206</v>
      </c>
      <c r="L1411" s="362" t="s">
        <v>4671</v>
      </c>
      <c r="M1411" s="362" t="s">
        <v>22</v>
      </c>
      <c r="N1411" s="362" t="s">
        <v>22</v>
      </c>
      <c r="O1411" s="362"/>
      <c r="P1411" s="363" t="s">
        <v>4880</v>
      </c>
      <c r="Q1411" s="362"/>
      <c r="R1411" s="362"/>
      <c r="S1411" s="364" t="s">
        <v>5142</v>
      </c>
      <c r="T1411" s="123">
        <v>6194948113</v>
      </c>
      <c r="U1411" s="365">
        <v>440152289754</v>
      </c>
      <c r="V1411" s="362"/>
      <c r="W1411" s="362"/>
      <c r="X1411" s="149">
        <v>43368</v>
      </c>
      <c r="Y1411" s="45" t="s">
        <v>27</v>
      </c>
      <c r="Z1411" s="45" t="s">
        <v>27</v>
      </c>
      <c r="AA1411" s="45" t="s">
        <v>27</v>
      </c>
      <c r="AB1411" s="51"/>
      <c r="AC1411" s="475"/>
    </row>
    <row r="1412" spans="1:29" ht="165">
      <c r="A1412" s="362" t="s">
        <v>336</v>
      </c>
      <c r="B1412" s="369" t="s">
        <v>4843</v>
      </c>
      <c r="C1412" s="362" t="s">
        <v>27</v>
      </c>
      <c r="D1412" s="53" t="s">
        <v>2758</v>
      </c>
      <c r="E1412" s="362" t="s">
        <v>2008</v>
      </c>
      <c r="F1412" s="362" t="s">
        <v>4658</v>
      </c>
      <c r="G1412" s="362"/>
      <c r="H1412" s="362" t="s">
        <v>3084</v>
      </c>
      <c r="I1412" s="362" t="s">
        <v>21</v>
      </c>
      <c r="J1412" s="362" t="s">
        <v>1025</v>
      </c>
      <c r="K1412" s="376" t="s">
        <v>1586</v>
      </c>
      <c r="L1412" s="362" t="s">
        <v>4671</v>
      </c>
      <c r="M1412" s="362" t="s">
        <v>22</v>
      </c>
      <c r="N1412" s="362" t="s">
        <v>22</v>
      </c>
      <c r="O1412" s="362"/>
      <c r="P1412" s="363" t="s">
        <v>4880</v>
      </c>
      <c r="Q1412" s="362"/>
      <c r="R1412" s="362"/>
      <c r="S1412" s="364" t="s">
        <v>5143</v>
      </c>
      <c r="T1412" s="123">
        <v>6194946258</v>
      </c>
      <c r="U1412" s="365">
        <v>440152289751</v>
      </c>
      <c r="V1412" s="362"/>
      <c r="W1412" s="362"/>
      <c r="X1412" s="149">
        <v>43368</v>
      </c>
      <c r="Y1412" s="45" t="s">
        <v>27</v>
      </c>
      <c r="Z1412" s="45" t="s">
        <v>27</v>
      </c>
      <c r="AA1412" s="45" t="s">
        <v>27</v>
      </c>
      <c r="AB1412" s="51" t="s">
        <v>2473</v>
      </c>
      <c r="AC1412" s="480" t="s">
        <v>6398</v>
      </c>
    </row>
    <row r="1413" spans="1:29" ht="15" customHeight="1">
      <c r="A1413" s="362" t="s">
        <v>336</v>
      </c>
      <c r="B1413" s="362" t="s">
        <v>4844</v>
      </c>
      <c r="C1413" s="362" t="s">
        <v>27</v>
      </c>
      <c r="D1413" s="289" t="s">
        <v>25</v>
      </c>
      <c r="E1413" s="362" t="s">
        <v>2008</v>
      </c>
      <c r="F1413" s="362" t="s">
        <v>4659</v>
      </c>
      <c r="G1413" s="362"/>
      <c r="H1413" s="362" t="s">
        <v>3084</v>
      </c>
      <c r="I1413" s="362" t="s">
        <v>21</v>
      </c>
      <c r="J1413" s="362" t="s">
        <v>4889</v>
      </c>
      <c r="K1413" s="362" t="s">
        <v>337</v>
      </c>
      <c r="L1413" s="362" t="s">
        <v>4671</v>
      </c>
      <c r="M1413" s="362" t="s">
        <v>22</v>
      </c>
      <c r="N1413" s="362" t="s">
        <v>22</v>
      </c>
      <c r="O1413" s="362"/>
      <c r="P1413" s="363" t="s">
        <v>4880</v>
      </c>
      <c r="Q1413" s="362"/>
      <c r="R1413" s="362"/>
      <c r="S1413" s="364" t="s">
        <v>5144</v>
      </c>
      <c r="T1413" s="123">
        <v>6194948295</v>
      </c>
      <c r="U1413" s="365">
        <v>440152289802</v>
      </c>
      <c r="V1413" s="362"/>
      <c r="W1413" s="362"/>
      <c r="X1413" s="149">
        <v>43368</v>
      </c>
      <c r="Y1413" s="45" t="s">
        <v>27</v>
      </c>
      <c r="Z1413" s="45" t="s">
        <v>27</v>
      </c>
      <c r="AA1413" s="45" t="s">
        <v>27</v>
      </c>
      <c r="AB1413" s="51"/>
      <c r="AC1413" s="475" t="s">
        <v>5980</v>
      </c>
    </row>
    <row r="1414" spans="1:29" ht="15" customHeight="1">
      <c r="A1414" s="362" t="s">
        <v>336</v>
      </c>
      <c r="B1414" s="362" t="s">
        <v>4845</v>
      </c>
      <c r="C1414" s="362" t="s">
        <v>27</v>
      </c>
      <c r="D1414" s="289" t="s">
        <v>25</v>
      </c>
      <c r="E1414" s="362" t="s">
        <v>2008</v>
      </c>
      <c r="F1414" s="362" t="s">
        <v>4660</v>
      </c>
      <c r="G1414" s="362"/>
      <c r="H1414" s="362" t="s">
        <v>3084</v>
      </c>
      <c r="I1414" s="362" t="s">
        <v>21</v>
      </c>
      <c r="J1414" s="362" t="s">
        <v>4889</v>
      </c>
      <c r="K1414" s="362" t="s">
        <v>337</v>
      </c>
      <c r="L1414" s="362" t="s">
        <v>4671</v>
      </c>
      <c r="M1414" s="362" t="s">
        <v>22</v>
      </c>
      <c r="N1414" s="362" t="s">
        <v>22</v>
      </c>
      <c r="O1414" s="362"/>
      <c r="P1414" s="363" t="s">
        <v>4880</v>
      </c>
      <c r="Q1414" s="362"/>
      <c r="R1414" s="362"/>
      <c r="S1414" s="364" t="s">
        <v>5145</v>
      </c>
      <c r="T1414" s="123">
        <v>6194849750</v>
      </c>
      <c r="U1414" s="365">
        <v>440152289752</v>
      </c>
      <c r="V1414" s="362"/>
      <c r="W1414" s="362"/>
      <c r="X1414" s="149">
        <v>43368</v>
      </c>
      <c r="Y1414" s="45" t="s">
        <v>27</v>
      </c>
      <c r="Z1414" s="45" t="s">
        <v>27</v>
      </c>
      <c r="AA1414" s="45" t="s">
        <v>27</v>
      </c>
      <c r="AB1414" s="51"/>
      <c r="AC1414" s="475" t="s">
        <v>5981</v>
      </c>
    </row>
    <row r="1415" spans="1:29" ht="15" customHeight="1">
      <c r="A1415" s="362" t="s">
        <v>336</v>
      </c>
      <c r="B1415" s="369" t="s">
        <v>4846</v>
      </c>
      <c r="C1415" s="362" t="s">
        <v>27</v>
      </c>
      <c r="D1415" s="53" t="s">
        <v>2758</v>
      </c>
      <c r="E1415" s="362" t="s">
        <v>2008</v>
      </c>
      <c r="F1415" s="362" t="s">
        <v>4661</v>
      </c>
      <c r="G1415" s="362"/>
      <c r="H1415" s="362" t="s">
        <v>3084</v>
      </c>
      <c r="I1415" s="362" t="s">
        <v>21</v>
      </c>
      <c r="J1415" s="362" t="s">
        <v>4787</v>
      </c>
      <c r="K1415" s="362" t="s">
        <v>206</v>
      </c>
      <c r="L1415" s="362" t="s">
        <v>4671</v>
      </c>
      <c r="M1415" s="362" t="s">
        <v>22</v>
      </c>
      <c r="N1415" s="362" t="s">
        <v>22</v>
      </c>
      <c r="O1415" s="362"/>
      <c r="P1415" s="363" t="s">
        <v>4880</v>
      </c>
      <c r="Q1415" s="362"/>
      <c r="R1415" s="362"/>
      <c r="S1415" s="364" t="s">
        <v>5146</v>
      </c>
      <c r="T1415" s="123">
        <v>5033477848</v>
      </c>
      <c r="U1415" s="365">
        <v>440152289789</v>
      </c>
      <c r="V1415" s="362"/>
      <c r="W1415" s="362"/>
      <c r="X1415" s="149">
        <v>43368</v>
      </c>
      <c r="Y1415" s="45" t="s">
        <v>27</v>
      </c>
      <c r="Z1415" s="45" t="s">
        <v>27</v>
      </c>
      <c r="AA1415" s="45" t="s">
        <v>27</v>
      </c>
      <c r="AB1415" s="51"/>
      <c r="AC1415" s="475"/>
    </row>
    <row r="1416" spans="1:29" ht="15" customHeight="1">
      <c r="A1416" s="362" t="s">
        <v>336</v>
      </c>
      <c r="B1416" s="369" t="s">
        <v>4847</v>
      </c>
      <c r="C1416" s="362" t="s">
        <v>27</v>
      </c>
      <c r="D1416" s="53" t="s">
        <v>2758</v>
      </c>
      <c r="E1416" s="362" t="s">
        <v>2008</v>
      </c>
      <c r="F1416" s="362" t="s">
        <v>4662</v>
      </c>
      <c r="G1416" s="362"/>
      <c r="H1416" s="362" t="s">
        <v>3084</v>
      </c>
      <c r="I1416" s="362" t="s">
        <v>21</v>
      </c>
      <c r="J1416" s="362" t="s">
        <v>4787</v>
      </c>
      <c r="K1416" s="376" t="s">
        <v>1586</v>
      </c>
      <c r="L1416" s="362" t="s">
        <v>4671</v>
      </c>
      <c r="M1416" s="362" t="s">
        <v>22</v>
      </c>
      <c r="N1416" s="362" t="s">
        <v>22</v>
      </c>
      <c r="O1416" s="362"/>
      <c r="P1416" s="363" t="s">
        <v>4880</v>
      </c>
      <c r="Q1416" s="362"/>
      <c r="R1416" s="362"/>
      <c r="S1416" s="364" t="s">
        <v>4881</v>
      </c>
      <c r="T1416" s="123">
        <v>9717274965</v>
      </c>
      <c r="U1416" s="365">
        <v>440152289750</v>
      </c>
      <c r="V1416" s="362"/>
      <c r="W1416" s="362"/>
      <c r="X1416" s="149">
        <v>43373</v>
      </c>
      <c r="Y1416" s="45" t="s">
        <v>27</v>
      </c>
      <c r="Z1416" s="45" t="s">
        <v>27</v>
      </c>
      <c r="AA1416" s="45" t="s">
        <v>27</v>
      </c>
      <c r="AB1416" s="51"/>
      <c r="AC1416" s="475"/>
    </row>
    <row r="1417" spans="1:29" ht="15" customHeight="1">
      <c r="A1417" s="362" t="s">
        <v>336</v>
      </c>
      <c r="B1417" s="369" t="s">
        <v>4848</v>
      </c>
      <c r="C1417" s="362" t="s">
        <v>27</v>
      </c>
      <c r="D1417" s="289" t="s">
        <v>2758</v>
      </c>
      <c r="E1417" s="362" t="s">
        <v>2008</v>
      </c>
      <c r="F1417" s="362" t="s">
        <v>4663</v>
      </c>
      <c r="G1417" s="362"/>
      <c r="H1417" s="362" t="s">
        <v>3084</v>
      </c>
      <c r="I1417" s="362" t="s">
        <v>21</v>
      </c>
      <c r="J1417" s="362" t="s">
        <v>4787</v>
      </c>
      <c r="K1417" s="376" t="s">
        <v>1586</v>
      </c>
      <c r="L1417" s="362" t="s">
        <v>4671</v>
      </c>
      <c r="M1417" s="362" t="s">
        <v>22</v>
      </c>
      <c r="N1417" s="362" t="s">
        <v>22</v>
      </c>
      <c r="O1417" s="362"/>
      <c r="P1417" s="363" t="s">
        <v>4880</v>
      </c>
      <c r="Q1417" s="362"/>
      <c r="R1417" s="362"/>
      <c r="S1417" s="364" t="s">
        <v>5137</v>
      </c>
      <c r="T1417" s="123">
        <v>9717275453</v>
      </c>
      <c r="U1417" s="365">
        <v>440152289749</v>
      </c>
      <c r="V1417" s="362"/>
      <c r="W1417" s="362"/>
      <c r="X1417" s="149">
        <v>43373</v>
      </c>
      <c r="Y1417" s="45" t="s">
        <v>27</v>
      </c>
      <c r="Z1417" s="45" t="s">
        <v>27</v>
      </c>
      <c r="AA1417" s="45" t="s">
        <v>27</v>
      </c>
      <c r="AB1417" s="51"/>
      <c r="AC1417" s="475"/>
    </row>
    <row r="1418" spans="1:29" ht="30">
      <c r="A1418" s="362" t="s">
        <v>336</v>
      </c>
      <c r="B1418" s="362" t="s">
        <v>4849</v>
      </c>
      <c r="C1418" s="362" t="s">
        <v>27</v>
      </c>
      <c r="D1418" s="369" t="s">
        <v>2761</v>
      </c>
      <c r="E1418" s="362" t="s">
        <v>2008</v>
      </c>
      <c r="F1418" s="362" t="s">
        <v>4664</v>
      </c>
      <c r="G1418" s="362"/>
      <c r="H1418" s="362" t="s">
        <v>3084</v>
      </c>
      <c r="I1418" s="362" t="s">
        <v>21</v>
      </c>
      <c r="J1418" s="362" t="s">
        <v>4787</v>
      </c>
      <c r="K1418" s="362" t="s">
        <v>206</v>
      </c>
      <c r="L1418" s="362" t="s">
        <v>4671</v>
      </c>
      <c r="M1418" s="362" t="s">
        <v>22</v>
      </c>
      <c r="N1418" s="362" t="s">
        <v>22</v>
      </c>
      <c r="O1418" s="362"/>
      <c r="P1418" s="363" t="s">
        <v>4880</v>
      </c>
      <c r="Q1418" s="362"/>
      <c r="R1418" s="362"/>
      <c r="S1418" s="364" t="s">
        <v>5138</v>
      </c>
      <c r="T1418" s="123">
        <v>9717275059</v>
      </c>
      <c r="U1418" s="365">
        <v>440152289747</v>
      </c>
      <c r="V1418" s="362"/>
      <c r="W1418" s="362"/>
      <c r="X1418" s="149">
        <v>43373</v>
      </c>
      <c r="Y1418" s="45" t="s">
        <v>27</v>
      </c>
      <c r="Z1418" s="45" t="s">
        <v>27</v>
      </c>
      <c r="AA1418" s="45" t="s">
        <v>27</v>
      </c>
      <c r="AB1418" s="51"/>
      <c r="AC1418" s="475" t="s">
        <v>6063</v>
      </c>
    </row>
    <row r="1419" spans="1:29" ht="120">
      <c r="A1419" s="362" t="s">
        <v>336</v>
      </c>
      <c r="B1419" s="369" t="s">
        <v>4850</v>
      </c>
      <c r="C1419" s="362" t="s">
        <v>22</v>
      </c>
      <c r="D1419" s="289"/>
      <c r="E1419" s="362" t="s">
        <v>2008</v>
      </c>
      <c r="F1419" s="362" t="s">
        <v>4665</v>
      </c>
      <c r="G1419" s="362"/>
      <c r="H1419" s="362" t="s">
        <v>3084</v>
      </c>
      <c r="I1419" s="362" t="s">
        <v>60</v>
      </c>
      <c r="J1419" s="362" t="s">
        <v>3684</v>
      </c>
      <c r="K1419" s="362"/>
      <c r="L1419" s="362" t="s">
        <v>5368</v>
      </c>
      <c r="M1419" s="362" t="s">
        <v>22</v>
      </c>
      <c r="N1419" s="362" t="s">
        <v>22</v>
      </c>
      <c r="O1419" s="362"/>
      <c r="P1419" s="363" t="s">
        <v>4880</v>
      </c>
      <c r="Q1419" s="362"/>
      <c r="R1419" s="362"/>
      <c r="S1419" s="364" t="s">
        <v>5139</v>
      </c>
      <c r="T1419" s="123">
        <v>6106068962</v>
      </c>
      <c r="U1419" s="365">
        <v>440152289743</v>
      </c>
      <c r="V1419" s="362"/>
      <c r="W1419" s="362"/>
      <c r="X1419" s="149">
        <v>43373</v>
      </c>
      <c r="Y1419" s="45" t="s">
        <v>27</v>
      </c>
      <c r="Z1419" s="45" t="s">
        <v>27</v>
      </c>
      <c r="AA1419" s="45" t="s">
        <v>22</v>
      </c>
      <c r="AB1419" s="51" t="s">
        <v>2473</v>
      </c>
      <c r="AC1419" s="481" t="s">
        <v>6399</v>
      </c>
    </row>
    <row r="1420" spans="1:29" ht="15" customHeight="1">
      <c r="A1420" s="362" t="s">
        <v>336</v>
      </c>
      <c r="B1420" s="369" t="s">
        <v>4851</v>
      </c>
      <c r="C1420" s="362" t="s">
        <v>27</v>
      </c>
      <c r="D1420" s="369" t="s">
        <v>2758</v>
      </c>
      <c r="E1420" s="362" t="s">
        <v>2008</v>
      </c>
      <c r="F1420" s="362" t="s">
        <v>4666</v>
      </c>
      <c r="G1420" s="362"/>
      <c r="H1420" s="362" t="s">
        <v>3084</v>
      </c>
      <c r="I1420" s="362" t="s">
        <v>60</v>
      </c>
      <c r="J1420" s="407" t="s">
        <v>5829</v>
      </c>
      <c r="K1420" s="362" t="s">
        <v>5830</v>
      </c>
      <c r="L1420" s="51" t="s">
        <v>4464</v>
      </c>
      <c r="M1420" s="362" t="s">
        <v>22</v>
      </c>
      <c r="N1420" s="362" t="s">
        <v>22</v>
      </c>
      <c r="O1420" s="362"/>
      <c r="P1420" s="363" t="s">
        <v>4880</v>
      </c>
      <c r="Q1420" s="362"/>
      <c r="R1420" s="362"/>
      <c r="S1420" s="364" t="s">
        <v>5140</v>
      </c>
      <c r="T1420" s="123">
        <v>5039847197</v>
      </c>
      <c r="U1420" s="365">
        <v>440152289748</v>
      </c>
      <c r="V1420" s="362"/>
      <c r="W1420" s="362"/>
      <c r="X1420" s="149">
        <v>43373</v>
      </c>
      <c r="Y1420" s="45" t="s">
        <v>27</v>
      </c>
      <c r="Z1420" s="45" t="s">
        <v>27</v>
      </c>
      <c r="AA1420" s="45" t="s">
        <v>27</v>
      </c>
      <c r="AB1420" s="51"/>
      <c r="AC1420" s="475"/>
    </row>
    <row r="1421" spans="1:29" ht="45">
      <c r="A1421" s="362" t="s">
        <v>336</v>
      </c>
      <c r="B1421" s="362" t="s">
        <v>4852</v>
      </c>
      <c r="C1421" s="362" t="s">
        <v>27</v>
      </c>
      <c r="D1421" s="369" t="s">
        <v>2758</v>
      </c>
      <c r="E1421" s="362" t="s">
        <v>2008</v>
      </c>
      <c r="F1421" s="362" t="s">
        <v>4667</v>
      </c>
      <c r="G1421" s="362"/>
      <c r="H1421" s="362" t="s">
        <v>3084</v>
      </c>
      <c r="I1421" s="362" t="s">
        <v>60</v>
      </c>
      <c r="J1421" s="407" t="s">
        <v>5829</v>
      </c>
      <c r="K1421" s="362" t="s">
        <v>5830</v>
      </c>
      <c r="L1421" s="51" t="s">
        <v>4464</v>
      </c>
      <c r="M1421" s="362" t="s">
        <v>22</v>
      </c>
      <c r="N1421" s="362" t="s">
        <v>22</v>
      </c>
      <c r="O1421" s="362"/>
      <c r="P1421" s="363" t="s">
        <v>4880</v>
      </c>
      <c r="Q1421" s="362"/>
      <c r="R1421" s="362"/>
      <c r="S1421" s="364" t="s">
        <v>5141</v>
      </c>
      <c r="T1421" s="123">
        <v>6194948113</v>
      </c>
      <c r="U1421" s="365">
        <v>440152289744</v>
      </c>
      <c r="V1421" s="362"/>
      <c r="W1421" s="362"/>
      <c r="X1421" s="149">
        <v>43373</v>
      </c>
      <c r="Y1421" s="45" t="s">
        <v>27</v>
      </c>
      <c r="Z1421" s="45" t="s">
        <v>27</v>
      </c>
      <c r="AA1421" s="45" t="s">
        <v>27</v>
      </c>
      <c r="AB1421" s="51" t="s">
        <v>2473</v>
      </c>
      <c r="AC1421" s="475" t="s">
        <v>6173</v>
      </c>
    </row>
    <row r="1422" spans="1:29" ht="15" customHeight="1">
      <c r="A1422" s="362" t="s">
        <v>336</v>
      </c>
      <c r="B1422" s="369" t="s">
        <v>4853</v>
      </c>
      <c r="C1422" s="51" t="s">
        <v>27</v>
      </c>
      <c r="D1422" s="53" t="s">
        <v>2758</v>
      </c>
      <c r="E1422" s="362" t="s">
        <v>2008</v>
      </c>
      <c r="F1422" s="362" t="s">
        <v>4668</v>
      </c>
      <c r="G1422" s="362"/>
      <c r="H1422" s="362" t="s">
        <v>3084</v>
      </c>
      <c r="I1422" s="362" t="s">
        <v>21</v>
      </c>
      <c r="J1422" s="362" t="s">
        <v>1025</v>
      </c>
      <c r="K1422" s="362" t="s">
        <v>206</v>
      </c>
      <c r="L1422" s="362" t="s">
        <v>4671</v>
      </c>
      <c r="M1422" s="362" t="s">
        <v>22</v>
      </c>
      <c r="N1422" s="362" t="s">
        <v>22</v>
      </c>
      <c r="O1422" s="362"/>
      <c r="P1422" s="363" t="s">
        <v>3828</v>
      </c>
      <c r="Q1422" s="362"/>
      <c r="R1422" s="362"/>
      <c r="S1422" s="364" t="s">
        <v>5373</v>
      </c>
      <c r="T1422" s="123">
        <v>5034572405</v>
      </c>
      <c r="U1422" s="365">
        <v>440152289794</v>
      </c>
      <c r="V1422" s="362"/>
      <c r="W1422" s="362"/>
      <c r="X1422" s="149">
        <v>43383</v>
      </c>
      <c r="Y1422" s="45" t="s">
        <v>27</v>
      </c>
      <c r="Z1422" s="45" t="s">
        <v>27</v>
      </c>
      <c r="AA1422" s="51" t="s">
        <v>27</v>
      </c>
      <c r="AB1422" s="51"/>
      <c r="AC1422" s="475" t="s">
        <v>5819</v>
      </c>
    </row>
    <row r="1423" spans="1:29" ht="285">
      <c r="A1423" s="362" t="s">
        <v>336</v>
      </c>
      <c r="B1423" s="369" t="s">
        <v>4854</v>
      </c>
      <c r="C1423" s="362" t="s">
        <v>27</v>
      </c>
      <c r="D1423" s="289" t="s">
        <v>2759</v>
      </c>
      <c r="E1423" s="362" t="s">
        <v>2008</v>
      </c>
      <c r="F1423" s="362" t="s">
        <v>4669</v>
      </c>
      <c r="G1423" s="362"/>
      <c r="H1423" s="362" t="s">
        <v>3084</v>
      </c>
      <c r="I1423" s="406" t="s">
        <v>60</v>
      </c>
      <c r="J1423" s="362" t="s">
        <v>5599</v>
      </c>
      <c r="K1423" s="362" t="s">
        <v>5820</v>
      </c>
      <c r="L1423" s="362"/>
      <c r="M1423" s="362" t="s">
        <v>22</v>
      </c>
      <c r="N1423" s="362" t="s">
        <v>22</v>
      </c>
      <c r="O1423" s="362"/>
      <c r="P1423" s="363" t="s">
        <v>3828</v>
      </c>
      <c r="Q1423" s="362"/>
      <c r="R1423" s="362"/>
      <c r="S1423" s="364" t="s">
        <v>5369</v>
      </c>
      <c r="T1423" s="444" t="s">
        <v>6062</v>
      </c>
      <c r="U1423" s="365" t="s">
        <v>5371</v>
      </c>
      <c r="V1423" s="362"/>
      <c r="W1423" s="362"/>
      <c r="X1423" s="149">
        <v>43383</v>
      </c>
      <c r="Y1423" s="45" t="s">
        <v>27</v>
      </c>
      <c r="Z1423" s="45" t="s">
        <v>27</v>
      </c>
      <c r="AA1423" s="45" t="s">
        <v>349</v>
      </c>
      <c r="AB1423" s="51"/>
      <c r="AC1423" s="485" t="s">
        <v>6486</v>
      </c>
    </row>
    <row r="1424" spans="1:29" ht="60">
      <c r="A1424" s="362" t="s">
        <v>336</v>
      </c>
      <c r="B1424" s="369" t="s">
        <v>4855</v>
      </c>
      <c r="C1424" s="362" t="s">
        <v>27</v>
      </c>
      <c r="D1424" s="369"/>
      <c r="E1424" s="362" t="s">
        <v>2008</v>
      </c>
      <c r="F1424" s="362" t="s">
        <v>4670</v>
      </c>
      <c r="G1424" s="362"/>
      <c r="H1424" s="362" t="s">
        <v>3084</v>
      </c>
      <c r="J1424" s="362"/>
      <c r="K1424" s="362"/>
      <c r="L1424" s="362"/>
      <c r="M1424" s="362" t="s">
        <v>22</v>
      </c>
      <c r="N1424" s="362" t="s">
        <v>22</v>
      </c>
      <c r="O1424" s="362"/>
      <c r="P1424" s="363" t="s">
        <v>3828</v>
      </c>
      <c r="Q1424" s="362"/>
      <c r="R1424" s="362"/>
      <c r="S1424" s="364" t="s">
        <v>5370</v>
      </c>
      <c r="T1424" s="123">
        <v>6194948295</v>
      </c>
      <c r="U1424" s="365" t="s">
        <v>5372</v>
      </c>
      <c r="V1424" s="362"/>
      <c r="W1424" s="362"/>
      <c r="X1424" s="149">
        <v>43383</v>
      </c>
      <c r="Y1424" s="45" t="s">
        <v>27</v>
      </c>
      <c r="Z1424" s="45" t="s">
        <v>27</v>
      </c>
      <c r="AA1424" s="45" t="s">
        <v>22</v>
      </c>
      <c r="AB1424" s="51"/>
      <c r="AC1424" s="432" t="s">
        <v>5950</v>
      </c>
    </row>
    <row r="1425" spans="1:29" ht="15" hidden="1" customHeight="1">
      <c r="A1425" s="362" t="s">
        <v>336</v>
      </c>
      <c r="B1425" s="369" t="s">
        <v>4703</v>
      </c>
      <c r="C1425" s="362" t="s">
        <v>27</v>
      </c>
      <c r="D1425" s="362" t="s">
        <v>2658</v>
      </c>
      <c r="E1425" s="362" t="s">
        <v>2008</v>
      </c>
      <c r="F1425" s="362"/>
      <c r="G1425" s="362"/>
      <c r="H1425" s="362" t="s">
        <v>104</v>
      </c>
      <c r="I1425" s="362" t="s">
        <v>21</v>
      </c>
      <c r="J1425" s="362" t="s">
        <v>4739</v>
      </c>
      <c r="K1425" s="362" t="s">
        <v>337</v>
      </c>
      <c r="L1425" s="362" t="s">
        <v>4740</v>
      </c>
      <c r="M1425" s="362" t="s">
        <v>22</v>
      </c>
      <c r="N1425" s="362" t="s">
        <v>22</v>
      </c>
      <c r="O1425" s="362"/>
      <c r="P1425" s="363"/>
      <c r="Q1425" s="362"/>
      <c r="R1425" s="362"/>
      <c r="S1425" s="364" t="s">
        <v>4705</v>
      </c>
      <c r="T1425" s="123">
        <v>14846324057</v>
      </c>
      <c r="U1425" s="365" t="s">
        <v>4704</v>
      </c>
      <c r="V1425" s="362"/>
      <c r="W1425" s="362"/>
      <c r="X1425" s="149"/>
      <c r="Y1425" s="45" t="s">
        <v>27</v>
      </c>
      <c r="Z1425" s="45" t="s">
        <v>27</v>
      </c>
      <c r="AA1425" s="45" t="s">
        <v>27</v>
      </c>
      <c r="AB1425" s="51"/>
      <c r="AC1425" s="169"/>
    </row>
    <row r="1426" spans="1:29" ht="15" hidden="1" customHeight="1">
      <c r="A1426" s="362" t="s">
        <v>336</v>
      </c>
      <c r="B1426" s="369" t="s">
        <v>4706</v>
      </c>
      <c r="C1426" s="362" t="s">
        <v>27</v>
      </c>
      <c r="D1426" s="362" t="s">
        <v>2658</v>
      </c>
      <c r="E1426" s="362" t="s">
        <v>2008</v>
      </c>
      <c r="F1426" s="362"/>
      <c r="G1426" s="362"/>
      <c r="H1426" s="362" t="s">
        <v>104</v>
      </c>
      <c r="I1426" s="362" t="s">
        <v>21</v>
      </c>
      <c r="J1426" s="362" t="s">
        <v>4739</v>
      </c>
      <c r="K1426" s="362" t="s">
        <v>337</v>
      </c>
      <c r="L1426" s="362"/>
      <c r="M1426" s="362" t="s">
        <v>22</v>
      </c>
      <c r="N1426" s="362" t="s">
        <v>22</v>
      </c>
      <c r="O1426" s="362"/>
      <c r="P1426" s="363"/>
      <c r="Q1426" s="362"/>
      <c r="R1426" s="362"/>
      <c r="S1426" s="364" t="s">
        <v>4708</v>
      </c>
      <c r="T1426" s="123">
        <v>14846499102</v>
      </c>
      <c r="U1426" s="365" t="s">
        <v>4707</v>
      </c>
      <c r="V1426" s="362"/>
      <c r="W1426" s="362"/>
      <c r="X1426" s="149"/>
      <c r="Y1426" s="45" t="s">
        <v>27</v>
      </c>
      <c r="Z1426" s="45" t="s">
        <v>27</v>
      </c>
      <c r="AA1426" s="45" t="s">
        <v>27</v>
      </c>
      <c r="AB1426" s="51"/>
      <c r="AC1426" s="169"/>
    </row>
    <row r="1427" spans="1:29" ht="15" hidden="1" customHeight="1">
      <c r="A1427" s="362" t="s">
        <v>336</v>
      </c>
      <c r="B1427" s="369" t="s">
        <v>4709</v>
      </c>
      <c r="C1427" s="362" t="s">
        <v>27</v>
      </c>
      <c r="D1427" s="362" t="s">
        <v>2658</v>
      </c>
      <c r="E1427" s="362" t="s">
        <v>2008</v>
      </c>
      <c r="F1427" s="362"/>
      <c r="G1427" s="362"/>
      <c r="H1427" s="362" t="s">
        <v>104</v>
      </c>
      <c r="I1427" s="362" t="s">
        <v>21</v>
      </c>
      <c r="J1427" s="362" t="s">
        <v>362</v>
      </c>
      <c r="K1427" s="362" t="s">
        <v>337</v>
      </c>
      <c r="L1427" s="362"/>
      <c r="M1427" s="362" t="s">
        <v>22</v>
      </c>
      <c r="N1427" s="362" t="s">
        <v>22</v>
      </c>
      <c r="O1427" s="362"/>
      <c r="P1427" s="363"/>
      <c r="Q1427" s="362"/>
      <c r="R1427" s="362"/>
      <c r="S1427" s="364" t="s">
        <v>4711</v>
      </c>
      <c r="T1427" s="123">
        <v>19713719914</v>
      </c>
      <c r="U1427" s="365" t="s">
        <v>4710</v>
      </c>
      <c r="V1427" s="362"/>
      <c r="W1427" s="362"/>
      <c r="X1427" s="149"/>
      <c r="Y1427" s="45" t="s">
        <v>27</v>
      </c>
      <c r="Z1427" s="45" t="s">
        <v>27</v>
      </c>
      <c r="AA1427" s="45" t="s">
        <v>27</v>
      </c>
      <c r="AB1427" s="51"/>
      <c r="AC1427" s="169"/>
    </row>
    <row r="1428" spans="1:29" ht="15" hidden="1" customHeight="1">
      <c r="A1428" s="362" t="s">
        <v>336</v>
      </c>
      <c r="B1428" s="369" t="s">
        <v>4712</v>
      </c>
      <c r="C1428" s="362" t="s">
        <v>27</v>
      </c>
      <c r="D1428" s="362" t="s">
        <v>2658</v>
      </c>
      <c r="E1428" s="362" t="s">
        <v>2008</v>
      </c>
      <c r="F1428" s="362"/>
      <c r="G1428" s="362"/>
      <c r="H1428" s="362" t="s">
        <v>104</v>
      </c>
      <c r="I1428" s="362" t="s">
        <v>21</v>
      </c>
      <c r="J1428" s="362" t="s">
        <v>362</v>
      </c>
      <c r="K1428" s="362" t="s">
        <v>337</v>
      </c>
      <c r="L1428" s="362"/>
      <c r="M1428" s="362" t="s">
        <v>22</v>
      </c>
      <c r="N1428" s="362" t="s">
        <v>22</v>
      </c>
      <c r="O1428" s="362"/>
      <c r="P1428" s="363"/>
      <c r="Q1428" s="362"/>
      <c r="R1428" s="362"/>
      <c r="S1428" s="364" t="s">
        <v>4714</v>
      </c>
      <c r="T1428" s="123">
        <v>14846959077</v>
      </c>
      <c r="U1428" s="365" t="s">
        <v>4713</v>
      </c>
      <c r="V1428" s="362"/>
      <c r="W1428" s="362"/>
      <c r="X1428" s="149"/>
      <c r="Y1428" s="45" t="s">
        <v>27</v>
      </c>
      <c r="Z1428" s="45" t="s">
        <v>27</v>
      </c>
      <c r="AA1428" s="45" t="s">
        <v>27</v>
      </c>
      <c r="AB1428" s="51"/>
      <c r="AC1428" s="169"/>
    </row>
    <row r="1429" spans="1:29" ht="15" hidden="1" customHeight="1">
      <c r="A1429" s="362" t="s">
        <v>336</v>
      </c>
      <c r="B1429" s="362" t="s">
        <v>4715</v>
      </c>
      <c r="C1429" s="362" t="s">
        <v>27</v>
      </c>
      <c r="D1429" s="362" t="s">
        <v>2658</v>
      </c>
      <c r="E1429" s="362" t="s">
        <v>2008</v>
      </c>
      <c r="F1429" s="362"/>
      <c r="G1429" s="362"/>
      <c r="H1429" s="362" t="s">
        <v>104</v>
      </c>
      <c r="I1429" s="362" t="s">
        <v>21</v>
      </c>
      <c r="J1429" s="362" t="s">
        <v>362</v>
      </c>
      <c r="K1429" s="362" t="s">
        <v>337</v>
      </c>
      <c r="L1429" s="362"/>
      <c r="M1429" s="362" t="s">
        <v>22</v>
      </c>
      <c r="N1429" s="362" t="s">
        <v>22</v>
      </c>
      <c r="O1429" s="362"/>
      <c r="P1429" s="363"/>
      <c r="Q1429" s="362"/>
      <c r="R1429" s="362"/>
      <c r="S1429" s="364" t="s">
        <v>4717</v>
      </c>
      <c r="T1429" s="123">
        <v>14842640134</v>
      </c>
      <c r="U1429" s="365" t="s">
        <v>4716</v>
      </c>
      <c r="V1429" s="362"/>
      <c r="W1429" s="362"/>
      <c r="X1429" s="149"/>
      <c r="Y1429" s="45" t="s">
        <v>27</v>
      </c>
      <c r="Z1429" s="45" t="s">
        <v>27</v>
      </c>
      <c r="AA1429" s="45" t="s">
        <v>27</v>
      </c>
      <c r="AB1429" s="51"/>
      <c r="AC1429" s="169"/>
    </row>
    <row r="1430" spans="1:29" ht="15" hidden="1" customHeight="1">
      <c r="A1430" s="362" t="s">
        <v>336</v>
      </c>
      <c r="B1430" s="362" t="s">
        <v>4718</v>
      </c>
      <c r="C1430" s="362" t="s">
        <v>27</v>
      </c>
      <c r="D1430" s="362" t="s">
        <v>2658</v>
      </c>
      <c r="E1430" s="362" t="s">
        <v>2008</v>
      </c>
      <c r="F1430" s="362"/>
      <c r="G1430" s="362"/>
      <c r="H1430" s="362" t="s">
        <v>104</v>
      </c>
      <c r="I1430" s="362" t="s">
        <v>21</v>
      </c>
      <c r="J1430" s="362" t="s">
        <v>362</v>
      </c>
      <c r="K1430" s="362" t="s">
        <v>337</v>
      </c>
      <c r="L1430" s="362"/>
      <c r="M1430" s="362" t="s">
        <v>22</v>
      </c>
      <c r="N1430" s="362" t="s">
        <v>22</v>
      </c>
      <c r="O1430" s="362"/>
      <c r="P1430" s="363"/>
      <c r="Q1430" s="362"/>
      <c r="R1430" s="362"/>
      <c r="S1430" s="364" t="s">
        <v>4720</v>
      </c>
      <c r="T1430" s="123">
        <v>16105979549</v>
      </c>
      <c r="U1430" s="365" t="s">
        <v>4719</v>
      </c>
      <c r="V1430" s="362"/>
      <c r="W1430" s="362"/>
      <c r="X1430" s="149"/>
      <c r="Y1430" s="45" t="s">
        <v>27</v>
      </c>
      <c r="Z1430" s="45" t="s">
        <v>27</v>
      </c>
      <c r="AA1430" s="45" t="s">
        <v>27</v>
      </c>
      <c r="AB1430" s="51"/>
      <c r="AC1430" s="169"/>
    </row>
    <row r="1431" spans="1:29" ht="15" hidden="1" customHeight="1">
      <c r="A1431" s="362" t="s">
        <v>336</v>
      </c>
      <c r="B1431" s="362" t="s">
        <v>4721</v>
      </c>
      <c r="C1431" s="362" t="s">
        <v>27</v>
      </c>
      <c r="D1431" s="362" t="s">
        <v>2658</v>
      </c>
      <c r="E1431" s="362" t="s">
        <v>2008</v>
      </c>
      <c r="F1431" s="362"/>
      <c r="G1431" s="362"/>
      <c r="H1431" s="362" t="s">
        <v>104</v>
      </c>
      <c r="I1431" s="362" t="s">
        <v>21</v>
      </c>
      <c r="J1431" s="362" t="s">
        <v>362</v>
      </c>
      <c r="K1431" s="362" t="s">
        <v>337</v>
      </c>
      <c r="L1431" s="362"/>
      <c r="M1431" s="362" t="s">
        <v>22</v>
      </c>
      <c r="N1431" s="362" t="s">
        <v>22</v>
      </c>
      <c r="O1431" s="362"/>
      <c r="P1431" s="363"/>
      <c r="Q1431" s="362"/>
      <c r="R1431" s="362"/>
      <c r="S1431" s="364" t="s">
        <v>4723</v>
      </c>
      <c r="T1431" s="123">
        <v>14846023553</v>
      </c>
      <c r="U1431" s="365" t="s">
        <v>4722</v>
      </c>
      <c r="V1431" s="362"/>
      <c r="W1431" s="362"/>
      <c r="X1431" s="149"/>
      <c r="Y1431" s="45" t="s">
        <v>27</v>
      </c>
      <c r="Z1431" s="45" t="s">
        <v>27</v>
      </c>
      <c r="AA1431" s="45" t="s">
        <v>27</v>
      </c>
      <c r="AB1431" s="51"/>
      <c r="AC1431" s="169"/>
    </row>
    <row r="1432" spans="1:29" ht="15" hidden="1" customHeight="1">
      <c r="A1432" s="362" t="s">
        <v>336</v>
      </c>
      <c r="B1432" s="362" t="s">
        <v>4724</v>
      </c>
      <c r="C1432" s="362" t="s">
        <v>27</v>
      </c>
      <c r="D1432" s="362" t="s">
        <v>2658</v>
      </c>
      <c r="E1432" s="362" t="s">
        <v>2008</v>
      </c>
      <c r="F1432" s="362"/>
      <c r="G1432" s="362"/>
      <c r="H1432" s="362" t="s">
        <v>104</v>
      </c>
      <c r="I1432" s="362" t="s">
        <v>21</v>
      </c>
      <c r="J1432" s="362" t="s">
        <v>362</v>
      </c>
      <c r="K1432" s="362" t="s">
        <v>337</v>
      </c>
      <c r="L1432" s="362"/>
      <c r="M1432" s="362" t="s">
        <v>22</v>
      </c>
      <c r="N1432" s="362" t="s">
        <v>22</v>
      </c>
      <c r="O1432" s="362"/>
      <c r="P1432" s="363"/>
      <c r="Q1432" s="362"/>
      <c r="R1432" s="362"/>
      <c r="S1432" s="364" t="s">
        <v>4726</v>
      </c>
      <c r="T1432" s="123">
        <v>14843501385</v>
      </c>
      <c r="U1432" s="365" t="s">
        <v>4725</v>
      </c>
      <c r="V1432" s="362"/>
      <c r="W1432" s="362"/>
      <c r="X1432" s="149"/>
      <c r="Y1432" s="45" t="s">
        <v>27</v>
      </c>
      <c r="Z1432" s="45" t="s">
        <v>27</v>
      </c>
      <c r="AA1432" s="45" t="s">
        <v>27</v>
      </c>
      <c r="AB1432" s="51"/>
      <c r="AC1432" s="169"/>
    </row>
    <row r="1433" spans="1:29" ht="15" hidden="1" customHeight="1">
      <c r="A1433" s="362" t="s">
        <v>336</v>
      </c>
      <c r="B1433" s="362" t="s">
        <v>4727</v>
      </c>
      <c r="C1433" s="362" t="s">
        <v>27</v>
      </c>
      <c r="D1433" s="362" t="s">
        <v>2658</v>
      </c>
      <c r="E1433" s="362" t="s">
        <v>2008</v>
      </c>
      <c r="F1433" s="362"/>
      <c r="G1433" s="362"/>
      <c r="H1433" s="362" t="s">
        <v>104</v>
      </c>
      <c r="I1433" s="362" t="s">
        <v>21</v>
      </c>
      <c r="J1433" s="362" t="s">
        <v>4787</v>
      </c>
      <c r="K1433" s="362" t="s">
        <v>337</v>
      </c>
      <c r="L1433" s="362"/>
      <c r="M1433" s="362" t="s">
        <v>22</v>
      </c>
      <c r="N1433" s="362" t="s">
        <v>22</v>
      </c>
      <c r="O1433" s="362"/>
      <c r="P1433" s="363"/>
      <c r="Q1433" s="362"/>
      <c r="R1433" s="362"/>
      <c r="S1433" s="364" t="s">
        <v>4729</v>
      </c>
      <c r="T1433" s="123">
        <v>15035979093</v>
      </c>
      <c r="U1433" s="365" t="s">
        <v>4728</v>
      </c>
      <c r="V1433" s="362"/>
      <c r="W1433" s="362"/>
      <c r="X1433" s="149"/>
      <c r="Y1433" s="45" t="s">
        <v>27</v>
      </c>
      <c r="Z1433" s="45" t="s">
        <v>27</v>
      </c>
      <c r="AA1433" s="45" t="s">
        <v>27</v>
      </c>
      <c r="AB1433" s="51"/>
      <c r="AC1433" s="169"/>
    </row>
    <row r="1434" spans="1:29" ht="15" hidden="1" customHeight="1">
      <c r="A1434" s="362" t="s">
        <v>336</v>
      </c>
      <c r="B1434" s="362" t="s">
        <v>4730</v>
      </c>
      <c r="C1434" s="362" t="s">
        <v>27</v>
      </c>
      <c r="D1434" s="362" t="s">
        <v>2658</v>
      </c>
      <c r="E1434" s="362" t="s">
        <v>2008</v>
      </c>
      <c r="F1434" s="362"/>
      <c r="G1434" s="362"/>
      <c r="H1434" s="362" t="s">
        <v>104</v>
      </c>
      <c r="I1434" s="362" t="s">
        <v>21</v>
      </c>
      <c r="J1434" s="362" t="s">
        <v>4787</v>
      </c>
      <c r="K1434" s="362" t="s">
        <v>337</v>
      </c>
      <c r="L1434" s="362"/>
      <c r="M1434" s="362" t="s">
        <v>22</v>
      </c>
      <c r="N1434" s="362" t="s">
        <v>22</v>
      </c>
      <c r="O1434" s="362"/>
      <c r="P1434" s="363"/>
      <c r="Q1434" s="362"/>
      <c r="R1434" s="362"/>
      <c r="S1434" s="364" t="s">
        <v>4732</v>
      </c>
      <c r="T1434" s="123">
        <v>19712913179</v>
      </c>
      <c r="U1434" s="365" t="s">
        <v>4731</v>
      </c>
      <c r="V1434" s="362"/>
      <c r="W1434" s="362"/>
      <c r="X1434" s="149"/>
      <c r="Y1434" s="45" t="s">
        <v>27</v>
      </c>
      <c r="Z1434" s="45" t="s">
        <v>27</v>
      </c>
      <c r="AA1434" s="45" t="s">
        <v>27</v>
      </c>
      <c r="AB1434" s="51"/>
      <c r="AC1434" s="169"/>
    </row>
    <row r="1435" spans="1:29" ht="15" hidden="1" customHeight="1">
      <c r="A1435" s="362" t="s">
        <v>336</v>
      </c>
      <c r="B1435" s="362" t="s">
        <v>4733</v>
      </c>
      <c r="C1435" s="362" t="s">
        <v>27</v>
      </c>
      <c r="D1435" s="362" t="s">
        <v>2658</v>
      </c>
      <c r="E1435" s="362" t="s">
        <v>2008</v>
      </c>
      <c r="F1435" s="362"/>
      <c r="G1435" s="362"/>
      <c r="H1435" s="362" t="s">
        <v>104</v>
      </c>
      <c r="I1435" s="362" t="s">
        <v>21</v>
      </c>
      <c r="J1435" s="362" t="s">
        <v>4787</v>
      </c>
      <c r="K1435" s="362" t="s">
        <v>337</v>
      </c>
      <c r="L1435" s="362"/>
      <c r="M1435" s="362" t="s">
        <v>22</v>
      </c>
      <c r="N1435" s="362" t="s">
        <v>22</v>
      </c>
      <c r="O1435" s="362"/>
      <c r="P1435" s="363"/>
      <c r="Q1435" s="362"/>
      <c r="R1435" s="362"/>
      <c r="S1435" s="364" t="s">
        <v>4735</v>
      </c>
      <c r="T1435" s="123">
        <v>19717088292</v>
      </c>
      <c r="U1435" s="365" t="s">
        <v>4734</v>
      </c>
      <c r="V1435" s="362"/>
      <c r="W1435" s="362"/>
      <c r="X1435" s="149"/>
      <c r="Y1435" s="45" t="s">
        <v>27</v>
      </c>
      <c r="Z1435" s="45" t="s">
        <v>27</v>
      </c>
      <c r="AA1435" s="45" t="s">
        <v>27</v>
      </c>
      <c r="AB1435" s="51"/>
      <c r="AC1435" s="169"/>
    </row>
    <row r="1436" spans="1:29" ht="15" hidden="1" customHeight="1">
      <c r="A1436" s="362" t="s">
        <v>336</v>
      </c>
      <c r="B1436" s="362" t="s">
        <v>4736</v>
      </c>
      <c r="C1436" s="362" t="s">
        <v>27</v>
      </c>
      <c r="D1436" s="362" t="s">
        <v>2658</v>
      </c>
      <c r="E1436" s="362" t="s">
        <v>2008</v>
      </c>
      <c r="F1436" s="362"/>
      <c r="G1436" s="362"/>
      <c r="H1436" s="362" t="s">
        <v>104</v>
      </c>
      <c r="I1436" s="362" t="s">
        <v>21</v>
      </c>
      <c r="J1436" s="362" t="s">
        <v>4787</v>
      </c>
      <c r="K1436" s="362" t="s">
        <v>337</v>
      </c>
      <c r="L1436" s="362"/>
      <c r="M1436" s="362" t="s">
        <v>22</v>
      </c>
      <c r="N1436" s="362" t="s">
        <v>22</v>
      </c>
      <c r="O1436" s="362"/>
      <c r="P1436" s="363"/>
      <c r="Q1436" s="362"/>
      <c r="R1436" s="362"/>
      <c r="S1436" s="364" t="s">
        <v>4738</v>
      </c>
      <c r="T1436" s="123">
        <v>19717088495</v>
      </c>
      <c r="U1436" s="365" t="s">
        <v>4737</v>
      </c>
      <c r="V1436" s="362"/>
      <c r="W1436" s="362"/>
      <c r="X1436" s="149"/>
      <c r="Y1436" s="45" t="s">
        <v>27</v>
      </c>
      <c r="Z1436" s="45" t="s">
        <v>27</v>
      </c>
      <c r="AA1436" s="45" t="s">
        <v>27</v>
      </c>
      <c r="AB1436" s="51"/>
      <c r="AC1436" s="169"/>
    </row>
    <row r="1437" spans="1:29" ht="15" hidden="1" customHeight="1">
      <c r="A1437" s="362" t="s">
        <v>336</v>
      </c>
      <c r="B1437" s="362" t="s">
        <v>4741</v>
      </c>
      <c r="C1437" s="362" t="s">
        <v>27</v>
      </c>
      <c r="D1437" s="362" t="s">
        <v>2658</v>
      </c>
      <c r="E1437" s="362" t="s">
        <v>601</v>
      </c>
      <c r="F1437" s="362"/>
      <c r="G1437" s="362"/>
      <c r="H1437" s="362" t="s">
        <v>104</v>
      </c>
      <c r="I1437" s="362" t="s">
        <v>21</v>
      </c>
      <c r="J1437" s="362" t="s">
        <v>4739</v>
      </c>
      <c r="K1437" s="362" t="s">
        <v>337</v>
      </c>
      <c r="L1437" s="362"/>
      <c r="M1437" s="362" t="s">
        <v>22</v>
      </c>
      <c r="N1437" s="362" t="s">
        <v>22</v>
      </c>
      <c r="O1437" s="362"/>
      <c r="P1437" s="363"/>
      <c r="Q1437" s="362"/>
      <c r="R1437" s="362"/>
      <c r="S1437" s="364"/>
      <c r="T1437" s="123">
        <v>14848608998</v>
      </c>
      <c r="U1437" s="365" t="s">
        <v>4745</v>
      </c>
      <c r="V1437" s="362"/>
      <c r="W1437" s="362"/>
      <c r="X1437" s="149"/>
      <c r="Y1437" s="45" t="s">
        <v>27</v>
      </c>
      <c r="Z1437" s="45" t="s">
        <v>27</v>
      </c>
      <c r="AA1437" s="45" t="s">
        <v>27</v>
      </c>
      <c r="AB1437" s="51"/>
      <c r="AC1437" s="305" t="s">
        <v>4749</v>
      </c>
    </row>
    <row r="1438" spans="1:29" ht="15" hidden="1" customHeight="1">
      <c r="A1438" s="362" t="s">
        <v>336</v>
      </c>
      <c r="B1438" s="362" t="s">
        <v>4742</v>
      </c>
      <c r="C1438" s="362" t="s">
        <v>27</v>
      </c>
      <c r="D1438" s="362" t="s">
        <v>2658</v>
      </c>
      <c r="E1438" s="362" t="s">
        <v>601</v>
      </c>
      <c r="F1438" s="362"/>
      <c r="G1438" s="362"/>
      <c r="H1438" s="362" t="s">
        <v>104</v>
      </c>
      <c r="I1438" s="362" t="s">
        <v>21</v>
      </c>
      <c r="J1438" s="362" t="s">
        <v>362</v>
      </c>
      <c r="K1438" s="362" t="s">
        <v>337</v>
      </c>
      <c r="L1438" s="362"/>
      <c r="M1438" s="362" t="s">
        <v>22</v>
      </c>
      <c r="N1438" s="362" t="s">
        <v>22</v>
      </c>
      <c r="O1438" s="362"/>
      <c r="P1438" s="363"/>
      <c r="Q1438" s="362"/>
      <c r="R1438" s="362"/>
      <c r="S1438" s="364"/>
      <c r="T1438" s="123">
        <v>14847147426</v>
      </c>
      <c r="U1438" s="365" t="s">
        <v>4746</v>
      </c>
      <c r="V1438" s="362"/>
      <c r="W1438" s="362"/>
      <c r="X1438" s="149"/>
      <c r="Y1438" s="45" t="s">
        <v>27</v>
      </c>
      <c r="Z1438" s="45" t="s">
        <v>27</v>
      </c>
      <c r="AA1438" s="45" t="s">
        <v>27</v>
      </c>
      <c r="AB1438" s="51"/>
      <c r="AC1438" s="169"/>
    </row>
    <row r="1439" spans="1:29" ht="15" hidden="1" customHeight="1">
      <c r="A1439" s="362" t="s">
        <v>336</v>
      </c>
      <c r="B1439" s="362" t="s">
        <v>4743</v>
      </c>
      <c r="C1439" s="362" t="s">
        <v>27</v>
      </c>
      <c r="D1439" s="362" t="s">
        <v>2658</v>
      </c>
      <c r="E1439" s="362" t="s">
        <v>601</v>
      </c>
      <c r="F1439" s="362"/>
      <c r="G1439" s="362"/>
      <c r="H1439" s="362" t="s">
        <v>104</v>
      </c>
      <c r="I1439" s="362" t="s">
        <v>21</v>
      </c>
      <c r="J1439" s="362" t="s">
        <v>4739</v>
      </c>
      <c r="K1439" s="362" t="s">
        <v>337</v>
      </c>
      <c r="L1439" s="362"/>
      <c r="M1439" s="362" t="s">
        <v>22</v>
      </c>
      <c r="N1439" s="362" t="s">
        <v>22</v>
      </c>
      <c r="O1439" s="362"/>
      <c r="P1439" s="363"/>
      <c r="Q1439" s="362"/>
      <c r="R1439" s="362"/>
      <c r="S1439" s="364"/>
      <c r="T1439" s="123">
        <v>16106182461</v>
      </c>
      <c r="U1439" s="365" t="s">
        <v>4747</v>
      </c>
      <c r="V1439" s="362"/>
      <c r="W1439" s="362"/>
      <c r="X1439" s="149"/>
      <c r="Y1439" s="45" t="s">
        <v>27</v>
      </c>
      <c r="Z1439" s="45" t="s">
        <v>27</v>
      </c>
      <c r="AA1439" s="45" t="s">
        <v>27</v>
      </c>
      <c r="AB1439" s="51"/>
      <c r="AC1439" s="305" t="s">
        <v>4750</v>
      </c>
    </row>
    <row r="1440" spans="1:29" ht="15" hidden="1" customHeight="1">
      <c r="A1440" s="362" t="s">
        <v>336</v>
      </c>
      <c r="B1440" s="362" t="s">
        <v>4744</v>
      </c>
      <c r="C1440" s="362" t="s">
        <v>27</v>
      </c>
      <c r="D1440" s="362" t="s">
        <v>2658</v>
      </c>
      <c r="E1440" s="362" t="s">
        <v>601</v>
      </c>
      <c r="F1440" s="362"/>
      <c r="G1440" s="362"/>
      <c r="H1440" s="362" t="s">
        <v>104</v>
      </c>
      <c r="I1440" s="362" t="s">
        <v>21</v>
      </c>
      <c r="J1440" s="362" t="s">
        <v>362</v>
      </c>
      <c r="K1440" s="362" t="s">
        <v>337</v>
      </c>
      <c r="L1440" s="362"/>
      <c r="M1440" s="362" t="s">
        <v>22</v>
      </c>
      <c r="N1440" s="362" t="s">
        <v>22</v>
      </c>
      <c r="O1440" s="362"/>
      <c r="P1440" s="363"/>
      <c r="Q1440" s="362"/>
      <c r="R1440" s="362"/>
      <c r="S1440" s="364"/>
      <c r="T1440" s="123">
        <v>14847956463</v>
      </c>
      <c r="U1440" s="365" t="s">
        <v>4748</v>
      </c>
      <c r="V1440" s="362"/>
      <c r="W1440" s="362"/>
      <c r="X1440" s="149"/>
      <c r="Y1440" s="45" t="s">
        <v>27</v>
      </c>
      <c r="Z1440" s="45" t="s">
        <v>27</v>
      </c>
      <c r="AA1440" s="45" t="s">
        <v>27</v>
      </c>
      <c r="AB1440" s="51"/>
      <c r="AC1440" s="169"/>
    </row>
    <row r="1441" spans="1:29" ht="15" hidden="1" customHeight="1">
      <c r="A1441" s="362" t="s">
        <v>336</v>
      </c>
      <c r="B1441" s="362" t="s">
        <v>4751</v>
      </c>
      <c r="C1441" s="362" t="s">
        <v>27</v>
      </c>
      <c r="D1441" s="362" t="s">
        <v>2658</v>
      </c>
      <c r="E1441" s="362" t="s">
        <v>2008</v>
      </c>
      <c r="F1441" s="362"/>
      <c r="G1441" s="362"/>
      <c r="H1441" s="362" t="s">
        <v>599</v>
      </c>
      <c r="I1441" s="362" t="s">
        <v>21</v>
      </c>
      <c r="J1441" s="362" t="s">
        <v>362</v>
      </c>
      <c r="K1441" s="362" t="s">
        <v>337</v>
      </c>
      <c r="L1441" s="362"/>
      <c r="M1441" s="362" t="s">
        <v>22</v>
      </c>
      <c r="N1441" s="362" t="s">
        <v>22</v>
      </c>
      <c r="O1441" s="362"/>
      <c r="P1441" s="363"/>
      <c r="Q1441" s="362"/>
      <c r="R1441" s="362"/>
      <c r="S1441" s="364" t="s">
        <v>4772</v>
      </c>
      <c r="T1441" s="123">
        <v>14842649124</v>
      </c>
      <c r="U1441" s="365" t="s">
        <v>4762</v>
      </c>
      <c r="V1441" s="362"/>
      <c r="W1441" s="362"/>
      <c r="X1441" s="149"/>
      <c r="Y1441" s="45" t="s">
        <v>27</v>
      </c>
      <c r="Z1441" s="45" t="s">
        <v>27</v>
      </c>
      <c r="AA1441" s="45" t="s">
        <v>27</v>
      </c>
      <c r="AB1441" s="51"/>
      <c r="AC1441" s="169"/>
    </row>
    <row r="1442" spans="1:29" ht="15" hidden="1" customHeight="1">
      <c r="A1442" s="362" t="s">
        <v>336</v>
      </c>
      <c r="B1442" s="362" t="s">
        <v>4752</v>
      </c>
      <c r="C1442" s="362" t="s">
        <v>27</v>
      </c>
      <c r="D1442" s="362" t="s">
        <v>2658</v>
      </c>
      <c r="E1442" s="362" t="s">
        <v>2008</v>
      </c>
      <c r="F1442" s="362"/>
      <c r="G1442" s="362"/>
      <c r="H1442" s="362" t="s">
        <v>599</v>
      </c>
      <c r="I1442" s="362" t="s">
        <v>21</v>
      </c>
      <c r="J1442" s="362" t="s">
        <v>362</v>
      </c>
      <c r="K1442" s="362" t="s">
        <v>337</v>
      </c>
      <c r="L1442" s="362"/>
      <c r="M1442" s="362" t="s">
        <v>22</v>
      </c>
      <c r="N1442" s="362" t="s">
        <v>22</v>
      </c>
      <c r="O1442" s="362"/>
      <c r="P1442" s="363"/>
      <c r="Q1442" s="362"/>
      <c r="R1442" s="362"/>
      <c r="S1442" s="364" t="s">
        <v>4773</v>
      </c>
      <c r="T1442" s="123">
        <v>14848380353</v>
      </c>
      <c r="U1442" s="365" t="s">
        <v>4763</v>
      </c>
      <c r="V1442" s="362"/>
      <c r="W1442" s="362"/>
      <c r="X1442" s="149"/>
      <c r="Y1442" s="45" t="s">
        <v>27</v>
      </c>
      <c r="Z1442" s="45" t="s">
        <v>27</v>
      </c>
      <c r="AA1442" s="45" t="s">
        <v>27</v>
      </c>
      <c r="AB1442" s="51"/>
      <c r="AC1442" s="169"/>
    </row>
    <row r="1443" spans="1:29" ht="15" hidden="1" customHeight="1">
      <c r="A1443" s="362" t="s">
        <v>336</v>
      </c>
      <c r="B1443" s="362" t="s">
        <v>4753</v>
      </c>
      <c r="C1443" s="362" t="s">
        <v>27</v>
      </c>
      <c r="D1443" s="362" t="s">
        <v>2658</v>
      </c>
      <c r="E1443" s="362" t="s">
        <v>2008</v>
      </c>
      <c r="F1443" s="362"/>
      <c r="G1443" s="362"/>
      <c r="H1443" s="362" t="s">
        <v>599</v>
      </c>
      <c r="I1443" s="362" t="s">
        <v>21</v>
      </c>
      <c r="J1443" s="362" t="s">
        <v>83</v>
      </c>
      <c r="K1443" s="362" t="s">
        <v>337</v>
      </c>
      <c r="L1443" s="362"/>
      <c r="M1443" s="362" t="s">
        <v>22</v>
      </c>
      <c r="N1443" s="362" t="s">
        <v>22</v>
      </c>
      <c r="O1443" s="362"/>
      <c r="P1443" s="363"/>
      <c r="Q1443" s="362"/>
      <c r="R1443" s="362"/>
      <c r="S1443" s="364" t="s">
        <v>4774</v>
      </c>
      <c r="T1443" s="123">
        <v>16102033403</v>
      </c>
      <c r="U1443" s="365" t="s">
        <v>4764</v>
      </c>
      <c r="V1443" s="362"/>
      <c r="W1443" s="362"/>
      <c r="X1443" s="149"/>
      <c r="Y1443" s="45" t="s">
        <v>27</v>
      </c>
      <c r="Z1443" s="45" t="s">
        <v>27</v>
      </c>
      <c r="AA1443" s="45" t="s">
        <v>27</v>
      </c>
      <c r="AB1443" s="51"/>
      <c r="AC1443" s="169"/>
    </row>
    <row r="1444" spans="1:29" ht="15" hidden="1" customHeight="1">
      <c r="A1444" s="362" t="s">
        <v>336</v>
      </c>
      <c r="B1444" s="362" t="s">
        <v>4754</v>
      </c>
      <c r="C1444" s="362" t="s">
        <v>27</v>
      </c>
      <c r="D1444" s="362" t="s">
        <v>2658</v>
      </c>
      <c r="E1444" s="362" t="s">
        <v>2008</v>
      </c>
      <c r="F1444" s="362"/>
      <c r="G1444" s="362"/>
      <c r="H1444" s="362" t="s">
        <v>599</v>
      </c>
      <c r="I1444" s="362" t="s">
        <v>21</v>
      </c>
      <c r="J1444" s="362" t="s">
        <v>362</v>
      </c>
      <c r="K1444" s="362" t="s">
        <v>337</v>
      </c>
      <c r="L1444" s="362"/>
      <c r="M1444" s="362" t="s">
        <v>22</v>
      </c>
      <c r="N1444" s="362" t="s">
        <v>22</v>
      </c>
      <c r="O1444" s="362"/>
      <c r="P1444" s="363"/>
      <c r="Q1444" s="362"/>
      <c r="R1444" s="362"/>
      <c r="S1444" s="364" t="s">
        <v>4775</v>
      </c>
      <c r="T1444" s="123">
        <v>14845153004</v>
      </c>
      <c r="U1444" s="365" t="s">
        <v>4765</v>
      </c>
      <c r="V1444" s="362"/>
      <c r="W1444" s="362"/>
      <c r="X1444" s="149"/>
      <c r="Y1444" s="45" t="s">
        <v>27</v>
      </c>
      <c r="Z1444" s="45" t="s">
        <v>27</v>
      </c>
      <c r="AA1444" s="45" t="s">
        <v>27</v>
      </c>
      <c r="AB1444" s="51"/>
      <c r="AC1444" s="169"/>
    </row>
    <row r="1445" spans="1:29" ht="15" hidden="1" customHeight="1">
      <c r="A1445" s="362" t="s">
        <v>336</v>
      </c>
      <c r="B1445" s="362" t="s">
        <v>4755</v>
      </c>
      <c r="C1445" s="362" t="s">
        <v>27</v>
      </c>
      <c r="D1445" s="362" t="s">
        <v>2658</v>
      </c>
      <c r="E1445" s="362" t="s">
        <v>2008</v>
      </c>
      <c r="F1445" s="362"/>
      <c r="G1445" s="362"/>
      <c r="H1445" s="362" t="s">
        <v>599</v>
      </c>
      <c r="I1445" s="362" t="s">
        <v>21</v>
      </c>
      <c r="J1445" s="362" t="s">
        <v>362</v>
      </c>
      <c r="K1445" s="362" t="s">
        <v>337</v>
      </c>
      <c r="L1445" s="362"/>
      <c r="M1445" s="362" t="s">
        <v>22</v>
      </c>
      <c r="N1445" s="362" t="s">
        <v>22</v>
      </c>
      <c r="O1445" s="362"/>
      <c r="P1445" s="363"/>
      <c r="Q1445" s="362"/>
      <c r="R1445" s="362"/>
      <c r="S1445" s="364" t="s">
        <v>4776</v>
      </c>
      <c r="T1445" s="123">
        <v>14843877023</v>
      </c>
      <c r="U1445" s="365" t="s">
        <v>4766</v>
      </c>
      <c r="V1445" s="362"/>
      <c r="W1445" s="362"/>
      <c r="X1445" s="149"/>
      <c r="Y1445" s="45" t="s">
        <v>27</v>
      </c>
      <c r="Z1445" s="45" t="s">
        <v>27</v>
      </c>
      <c r="AA1445" s="45" t="s">
        <v>27</v>
      </c>
      <c r="AB1445" s="51"/>
      <c r="AC1445" s="169"/>
    </row>
    <row r="1446" spans="1:29" ht="15" hidden="1" customHeight="1">
      <c r="A1446" s="362" t="s">
        <v>336</v>
      </c>
      <c r="B1446" s="362" t="s">
        <v>4756</v>
      </c>
      <c r="C1446" s="362" t="s">
        <v>27</v>
      </c>
      <c r="D1446" s="362" t="s">
        <v>2658</v>
      </c>
      <c r="E1446" s="362" t="s">
        <v>2008</v>
      </c>
      <c r="F1446" s="362"/>
      <c r="G1446" s="362"/>
      <c r="H1446" s="362" t="s">
        <v>599</v>
      </c>
      <c r="I1446" s="362" t="s">
        <v>21</v>
      </c>
      <c r="J1446" s="362" t="s">
        <v>83</v>
      </c>
      <c r="K1446" s="362" t="s">
        <v>337</v>
      </c>
      <c r="L1446" s="362"/>
      <c r="M1446" s="362" t="s">
        <v>22</v>
      </c>
      <c r="N1446" s="362" t="s">
        <v>22</v>
      </c>
      <c r="O1446" s="362"/>
      <c r="P1446" s="363"/>
      <c r="Q1446" s="362"/>
      <c r="R1446" s="362"/>
      <c r="S1446" s="364" t="s">
        <v>4777</v>
      </c>
      <c r="T1446" s="123">
        <v>14846495813</v>
      </c>
      <c r="U1446" s="365" t="s">
        <v>4767</v>
      </c>
      <c r="V1446" s="362"/>
      <c r="W1446" s="362"/>
      <c r="X1446" s="149"/>
      <c r="Y1446" s="45" t="s">
        <v>27</v>
      </c>
      <c r="Z1446" s="45" t="s">
        <v>27</v>
      </c>
      <c r="AA1446" s="45" t="s">
        <v>27</v>
      </c>
      <c r="AB1446" s="51"/>
      <c r="AC1446" s="169"/>
    </row>
    <row r="1447" spans="1:29" ht="15" hidden="1" customHeight="1">
      <c r="A1447" s="362" t="s">
        <v>336</v>
      </c>
      <c r="B1447" s="362" t="s">
        <v>4757</v>
      </c>
      <c r="C1447" s="362" t="s">
        <v>27</v>
      </c>
      <c r="D1447" s="362" t="s">
        <v>2658</v>
      </c>
      <c r="E1447" s="362" t="s">
        <v>2008</v>
      </c>
      <c r="F1447" s="362"/>
      <c r="G1447" s="362"/>
      <c r="H1447" s="362" t="s">
        <v>599</v>
      </c>
      <c r="I1447" s="362" t="s">
        <v>21</v>
      </c>
      <c r="J1447" s="362" t="s">
        <v>83</v>
      </c>
      <c r="K1447" s="362" t="s">
        <v>337</v>
      </c>
      <c r="L1447" s="362"/>
      <c r="M1447" s="362" t="s">
        <v>22</v>
      </c>
      <c r="N1447" s="362" t="s">
        <v>22</v>
      </c>
      <c r="O1447" s="362"/>
      <c r="P1447" s="363"/>
      <c r="Q1447" s="362"/>
      <c r="R1447" s="362"/>
      <c r="S1447" s="364" t="s">
        <v>4778</v>
      </c>
      <c r="T1447" s="123" t="s">
        <v>4761</v>
      </c>
      <c r="U1447" s="365" t="s">
        <v>4768</v>
      </c>
      <c r="V1447" s="362"/>
      <c r="W1447" s="362"/>
      <c r="X1447" s="149"/>
      <c r="Y1447" s="45" t="s">
        <v>27</v>
      </c>
      <c r="Z1447" s="45" t="s">
        <v>27</v>
      </c>
      <c r="AA1447" s="45" t="s">
        <v>27</v>
      </c>
      <c r="AB1447" s="51"/>
      <c r="AC1447" s="169"/>
    </row>
    <row r="1448" spans="1:29" ht="15" hidden="1" customHeight="1">
      <c r="A1448" s="362" t="s">
        <v>336</v>
      </c>
      <c r="B1448" s="362" t="s">
        <v>4758</v>
      </c>
      <c r="C1448" s="362" t="s">
        <v>27</v>
      </c>
      <c r="D1448" s="362" t="s">
        <v>2658</v>
      </c>
      <c r="E1448" s="362" t="s">
        <v>2008</v>
      </c>
      <c r="F1448" s="362"/>
      <c r="G1448" s="362"/>
      <c r="H1448" s="362" t="s">
        <v>599</v>
      </c>
      <c r="I1448" s="362" t="s">
        <v>21</v>
      </c>
      <c r="J1448" s="362" t="s">
        <v>362</v>
      </c>
      <c r="K1448" s="362" t="s">
        <v>337</v>
      </c>
      <c r="L1448" s="362"/>
      <c r="M1448" s="362" t="s">
        <v>22</v>
      </c>
      <c r="N1448" s="362" t="s">
        <v>22</v>
      </c>
      <c r="O1448" s="362"/>
      <c r="P1448" s="363"/>
      <c r="Q1448" s="362"/>
      <c r="R1448" s="362"/>
      <c r="S1448" s="364" t="s">
        <v>4779</v>
      </c>
      <c r="T1448" s="123">
        <v>19713306132</v>
      </c>
      <c r="U1448" s="365" t="s">
        <v>4769</v>
      </c>
      <c r="V1448" s="362"/>
      <c r="W1448" s="362"/>
      <c r="X1448" s="149"/>
      <c r="Y1448" s="45" t="s">
        <v>27</v>
      </c>
      <c r="Z1448" s="45" t="s">
        <v>27</v>
      </c>
      <c r="AA1448" s="45" t="s">
        <v>27</v>
      </c>
      <c r="AB1448" s="51"/>
      <c r="AC1448" s="169"/>
    </row>
    <row r="1449" spans="1:29" ht="15" hidden="1" customHeight="1">
      <c r="A1449" s="362" t="s">
        <v>336</v>
      </c>
      <c r="B1449" s="362" t="s">
        <v>4759</v>
      </c>
      <c r="C1449" s="362" t="s">
        <v>27</v>
      </c>
      <c r="D1449" s="362" t="s">
        <v>2658</v>
      </c>
      <c r="E1449" s="362" t="s">
        <v>2008</v>
      </c>
      <c r="F1449" s="362"/>
      <c r="G1449" s="362"/>
      <c r="H1449" s="362" t="s">
        <v>599</v>
      </c>
      <c r="I1449" s="362" t="s">
        <v>21</v>
      </c>
      <c r="J1449" s="362" t="s">
        <v>83</v>
      </c>
      <c r="K1449" s="362" t="s">
        <v>337</v>
      </c>
      <c r="L1449" s="362"/>
      <c r="M1449" s="362" t="s">
        <v>22</v>
      </c>
      <c r="N1449" s="362" t="s">
        <v>22</v>
      </c>
      <c r="O1449" s="362"/>
      <c r="P1449" s="363"/>
      <c r="Q1449" s="362"/>
      <c r="R1449" s="362"/>
      <c r="S1449" s="364" t="s">
        <v>4780</v>
      </c>
      <c r="T1449" s="123">
        <v>16105042288</v>
      </c>
      <c r="U1449" s="365" t="s">
        <v>4770</v>
      </c>
      <c r="V1449" s="362"/>
      <c r="W1449" s="362"/>
      <c r="X1449" s="149"/>
      <c r="Y1449" s="45" t="s">
        <v>27</v>
      </c>
      <c r="Z1449" s="45" t="s">
        <v>27</v>
      </c>
      <c r="AA1449" s="45" t="s">
        <v>27</v>
      </c>
      <c r="AB1449" s="51"/>
      <c r="AC1449" s="169"/>
    </row>
    <row r="1450" spans="1:29" ht="15" hidden="1" customHeight="1">
      <c r="A1450" s="362" t="s">
        <v>336</v>
      </c>
      <c r="B1450" s="362" t="s">
        <v>4760</v>
      </c>
      <c r="C1450" s="362" t="s">
        <v>27</v>
      </c>
      <c r="D1450" s="362" t="s">
        <v>2658</v>
      </c>
      <c r="E1450" s="362" t="s">
        <v>2008</v>
      </c>
      <c r="F1450" s="362"/>
      <c r="G1450" s="362"/>
      <c r="H1450" s="362" t="s">
        <v>599</v>
      </c>
      <c r="I1450" s="362" t="s">
        <v>21</v>
      </c>
      <c r="J1450" s="362" t="s">
        <v>362</v>
      </c>
      <c r="K1450" s="362" t="s">
        <v>337</v>
      </c>
      <c r="L1450" s="362"/>
      <c r="M1450" s="362" t="s">
        <v>22</v>
      </c>
      <c r="N1450" s="362" t="s">
        <v>22</v>
      </c>
      <c r="O1450" s="362"/>
      <c r="P1450" s="363"/>
      <c r="Q1450" s="362"/>
      <c r="R1450" s="362"/>
      <c r="S1450" s="364" t="s">
        <v>4781</v>
      </c>
      <c r="T1450" s="123">
        <v>14842236082</v>
      </c>
      <c r="U1450" s="365" t="s">
        <v>4771</v>
      </c>
      <c r="V1450" s="362"/>
      <c r="W1450" s="362"/>
      <c r="X1450" s="149"/>
      <c r="Y1450" s="45" t="s">
        <v>27</v>
      </c>
      <c r="Z1450" s="45" t="s">
        <v>27</v>
      </c>
      <c r="AA1450" s="45" t="s">
        <v>27</v>
      </c>
      <c r="AB1450" s="51"/>
      <c r="AC1450" s="169"/>
    </row>
    <row r="1451" spans="1:29" ht="15" hidden="1" customHeight="1">
      <c r="A1451" s="362" t="s">
        <v>336</v>
      </c>
      <c r="B1451" s="362" t="s">
        <v>4782</v>
      </c>
      <c r="C1451" s="362" t="s">
        <v>27</v>
      </c>
      <c r="D1451" s="362" t="s">
        <v>2658</v>
      </c>
      <c r="E1451" s="362" t="s">
        <v>601</v>
      </c>
      <c r="F1451" s="362"/>
      <c r="G1451" s="362"/>
      <c r="H1451" s="362" t="s">
        <v>104</v>
      </c>
      <c r="I1451" s="362" t="s">
        <v>21</v>
      </c>
      <c r="J1451" s="362" t="s">
        <v>4739</v>
      </c>
      <c r="K1451" s="362" t="s">
        <v>337</v>
      </c>
      <c r="L1451" s="362"/>
      <c r="M1451" s="362" t="s">
        <v>22</v>
      </c>
      <c r="N1451" s="362" t="s">
        <v>22</v>
      </c>
      <c r="O1451" s="362"/>
      <c r="P1451" s="363" t="s">
        <v>4786</v>
      </c>
      <c r="Q1451" s="362"/>
      <c r="R1451" s="362"/>
      <c r="S1451" s="364"/>
      <c r="T1451" s="123">
        <v>15034571292</v>
      </c>
      <c r="U1451" s="365" t="s">
        <v>4784</v>
      </c>
      <c r="V1451" s="362"/>
      <c r="W1451" s="362"/>
      <c r="X1451" s="149"/>
      <c r="Y1451" s="45" t="s">
        <v>27</v>
      </c>
      <c r="Z1451" s="45" t="s">
        <v>27</v>
      </c>
      <c r="AA1451" s="45" t="s">
        <v>27</v>
      </c>
      <c r="AB1451" s="51"/>
      <c r="AC1451" s="169"/>
    </row>
    <row r="1452" spans="1:29" ht="15" hidden="1" customHeight="1">
      <c r="A1452" s="362" t="s">
        <v>336</v>
      </c>
      <c r="B1452" s="362" t="s">
        <v>4783</v>
      </c>
      <c r="C1452" s="362" t="s">
        <v>27</v>
      </c>
      <c r="D1452" s="362" t="s">
        <v>2658</v>
      </c>
      <c r="E1452" s="362" t="s">
        <v>601</v>
      </c>
      <c r="F1452" s="362"/>
      <c r="G1452" s="362"/>
      <c r="H1452" s="362" t="s">
        <v>104</v>
      </c>
      <c r="I1452" s="362" t="s">
        <v>21</v>
      </c>
      <c r="J1452" s="362" t="s">
        <v>362</v>
      </c>
      <c r="K1452" s="362" t="s">
        <v>337</v>
      </c>
      <c r="L1452" s="362"/>
      <c r="M1452" s="362" t="s">
        <v>22</v>
      </c>
      <c r="N1452" s="362" t="s">
        <v>22</v>
      </c>
      <c r="O1452" s="362"/>
      <c r="P1452" s="363" t="s">
        <v>4786</v>
      </c>
      <c r="Q1452" s="362"/>
      <c r="R1452" s="362"/>
      <c r="S1452" s="364"/>
      <c r="T1452" s="123">
        <v>15035158811</v>
      </c>
      <c r="U1452" s="365" t="s">
        <v>4785</v>
      </c>
      <c r="V1452" s="362"/>
      <c r="W1452" s="362"/>
      <c r="X1452" s="149"/>
      <c r="Y1452" s="45" t="s">
        <v>27</v>
      </c>
      <c r="Z1452" s="45" t="s">
        <v>27</v>
      </c>
      <c r="AA1452" s="45" t="s">
        <v>27</v>
      </c>
      <c r="AB1452" s="51"/>
      <c r="AC1452" s="169"/>
    </row>
    <row r="1453" spans="1:29" ht="15" hidden="1" customHeight="1">
      <c r="A1453" s="362" t="s">
        <v>336</v>
      </c>
      <c r="B1453" s="362" t="s">
        <v>4788</v>
      </c>
      <c r="C1453" s="362" t="s">
        <v>27</v>
      </c>
      <c r="D1453" s="362"/>
      <c r="E1453" s="362" t="s">
        <v>4797</v>
      </c>
      <c r="F1453" s="362"/>
      <c r="G1453" s="362"/>
      <c r="H1453" s="362" t="s">
        <v>2228</v>
      </c>
      <c r="I1453" s="362" t="s">
        <v>21</v>
      </c>
      <c r="J1453" s="362"/>
      <c r="K1453" s="362"/>
      <c r="L1453" s="362"/>
      <c r="M1453" s="362"/>
      <c r="N1453" s="362"/>
      <c r="O1453" s="362"/>
      <c r="P1453" s="363"/>
      <c r="Q1453" s="362"/>
      <c r="R1453" s="362"/>
      <c r="S1453" s="364"/>
      <c r="T1453" s="123"/>
      <c r="U1453" s="365"/>
      <c r="V1453" s="362"/>
      <c r="W1453" s="362"/>
      <c r="X1453" s="149"/>
      <c r="Y1453" s="45"/>
      <c r="Z1453" s="45"/>
      <c r="AA1453" s="51"/>
      <c r="AB1453" s="51"/>
      <c r="AC1453" s="169"/>
    </row>
    <row r="1454" spans="1:29" ht="15" hidden="1" customHeight="1">
      <c r="A1454" s="362" t="s">
        <v>336</v>
      </c>
      <c r="B1454" s="362" t="s">
        <v>4789</v>
      </c>
      <c r="C1454" s="362" t="s">
        <v>27</v>
      </c>
      <c r="D1454" s="362"/>
      <c r="E1454" s="362" t="s">
        <v>4797</v>
      </c>
      <c r="F1454" s="362"/>
      <c r="G1454" s="362"/>
      <c r="H1454" s="362" t="s">
        <v>2228</v>
      </c>
      <c r="I1454" s="362" t="s">
        <v>21</v>
      </c>
      <c r="J1454" s="362"/>
      <c r="K1454" s="362"/>
      <c r="L1454" s="362"/>
      <c r="M1454" s="362"/>
      <c r="N1454" s="362"/>
      <c r="O1454" s="362"/>
      <c r="P1454" s="363"/>
      <c r="Q1454" s="362"/>
      <c r="R1454" s="362"/>
      <c r="S1454" s="364"/>
      <c r="T1454" s="123"/>
      <c r="U1454" s="365"/>
      <c r="V1454" s="362"/>
      <c r="W1454" s="362"/>
      <c r="X1454" s="149"/>
      <c r="Y1454" s="45"/>
      <c r="Z1454" s="45"/>
      <c r="AA1454" s="51"/>
      <c r="AB1454" s="51"/>
      <c r="AC1454" s="169"/>
    </row>
    <row r="1455" spans="1:29" ht="15" hidden="1" customHeight="1">
      <c r="A1455" s="362" t="s">
        <v>336</v>
      </c>
      <c r="B1455" s="362" t="s">
        <v>4790</v>
      </c>
      <c r="C1455" s="362" t="s">
        <v>27</v>
      </c>
      <c r="D1455" s="362"/>
      <c r="E1455" s="362" t="s">
        <v>4797</v>
      </c>
      <c r="F1455" s="362"/>
      <c r="G1455" s="362"/>
      <c r="H1455" s="362" t="s">
        <v>2228</v>
      </c>
      <c r="I1455" s="362" t="s">
        <v>21</v>
      </c>
      <c r="J1455" s="362"/>
      <c r="K1455" s="362"/>
      <c r="L1455" s="362"/>
      <c r="M1455" s="362"/>
      <c r="N1455" s="362"/>
      <c r="O1455" s="362"/>
      <c r="P1455" s="363"/>
      <c r="Q1455" s="362"/>
      <c r="R1455" s="362"/>
      <c r="S1455" s="364"/>
      <c r="T1455" s="123"/>
      <c r="U1455" s="365"/>
      <c r="V1455" s="362"/>
      <c r="W1455" s="362"/>
      <c r="X1455" s="149"/>
      <c r="Y1455" s="45"/>
      <c r="Z1455" s="45"/>
      <c r="AA1455" s="51"/>
      <c r="AB1455" s="51"/>
      <c r="AC1455" s="169"/>
    </row>
    <row r="1456" spans="1:29" ht="15" hidden="1" customHeight="1">
      <c r="A1456" s="362" t="s">
        <v>336</v>
      </c>
      <c r="B1456" s="362" t="s">
        <v>4791</v>
      </c>
      <c r="C1456" s="362" t="s">
        <v>27</v>
      </c>
      <c r="D1456" s="362"/>
      <c r="E1456" s="362" t="s">
        <v>4797</v>
      </c>
      <c r="F1456" s="362"/>
      <c r="G1456" s="362"/>
      <c r="H1456" s="362" t="s">
        <v>2228</v>
      </c>
      <c r="I1456" s="362" t="s">
        <v>21</v>
      </c>
      <c r="J1456" s="362"/>
      <c r="K1456" s="362"/>
      <c r="L1456" s="362"/>
      <c r="M1456" s="362"/>
      <c r="N1456" s="362"/>
      <c r="O1456" s="362"/>
      <c r="P1456" s="363"/>
      <c r="Q1456" s="362"/>
      <c r="R1456" s="362"/>
      <c r="S1456" s="364"/>
      <c r="T1456" s="123"/>
      <c r="U1456" s="365"/>
      <c r="V1456" s="362"/>
      <c r="W1456" s="362"/>
      <c r="X1456" s="149"/>
      <c r="Y1456" s="45"/>
      <c r="Z1456" s="45"/>
      <c r="AA1456" s="51"/>
      <c r="AB1456" s="51"/>
      <c r="AC1456" s="169"/>
    </row>
    <row r="1457" spans="1:29" ht="15" hidden="1" customHeight="1">
      <c r="A1457" s="362" t="s">
        <v>336</v>
      </c>
      <c r="B1457" s="362" t="s">
        <v>4792</v>
      </c>
      <c r="C1457" s="362" t="s">
        <v>27</v>
      </c>
      <c r="D1457" s="362"/>
      <c r="E1457" s="362" t="s">
        <v>4797</v>
      </c>
      <c r="F1457" s="362"/>
      <c r="G1457" s="362"/>
      <c r="H1457" s="362" t="s">
        <v>2228</v>
      </c>
      <c r="I1457" s="362" t="s">
        <v>21</v>
      </c>
      <c r="J1457" s="362"/>
      <c r="K1457" s="362"/>
      <c r="L1457" s="362"/>
      <c r="M1457" s="362"/>
      <c r="N1457" s="362"/>
      <c r="O1457" s="362"/>
      <c r="P1457" s="363"/>
      <c r="Q1457" s="362"/>
      <c r="R1457" s="362"/>
      <c r="S1457" s="364"/>
      <c r="T1457" s="123"/>
      <c r="U1457" s="365"/>
      <c r="V1457" s="362"/>
      <c r="W1457" s="362"/>
      <c r="X1457" s="149"/>
      <c r="Y1457" s="45"/>
      <c r="Z1457" s="45"/>
      <c r="AA1457" s="51"/>
      <c r="AB1457" s="51"/>
      <c r="AC1457" s="169"/>
    </row>
    <row r="1458" spans="1:29" ht="15" hidden="1" customHeight="1">
      <c r="A1458" s="362" t="s">
        <v>336</v>
      </c>
      <c r="B1458" s="362" t="s">
        <v>4793</v>
      </c>
      <c r="C1458" s="362" t="s">
        <v>27</v>
      </c>
      <c r="D1458" s="362"/>
      <c r="E1458" s="362" t="s">
        <v>4797</v>
      </c>
      <c r="F1458" s="362"/>
      <c r="G1458" s="362"/>
      <c r="H1458" s="362" t="s">
        <v>2228</v>
      </c>
      <c r="I1458" s="362" t="s">
        <v>21</v>
      </c>
      <c r="J1458" s="362"/>
      <c r="K1458" s="362"/>
      <c r="L1458" s="362"/>
      <c r="M1458" s="362"/>
      <c r="N1458" s="362"/>
      <c r="O1458" s="362"/>
      <c r="P1458" s="363"/>
      <c r="Q1458" s="362"/>
      <c r="R1458" s="362"/>
      <c r="S1458" s="364"/>
      <c r="T1458" s="123"/>
      <c r="U1458" s="365"/>
      <c r="V1458" s="362"/>
      <c r="W1458" s="362"/>
      <c r="X1458" s="149"/>
      <c r="Y1458" s="45"/>
      <c r="Z1458" s="45"/>
      <c r="AA1458" s="51"/>
      <c r="AB1458" s="51"/>
      <c r="AC1458" s="169"/>
    </row>
    <row r="1459" spans="1:29" ht="15" hidden="1" customHeight="1">
      <c r="A1459" s="362" t="s">
        <v>336</v>
      </c>
      <c r="B1459" s="362" t="s">
        <v>4794</v>
      </c>
      <c r="C1459" s="362" t="s">
        <v>27</v>
      </c>
      <c r="D1459" s="362"/>
      <c r="E1459" s="362" t="s">
        <v>4797</v>
      </c>
      <c r="F1459" s="362"/>
      <c r="G1459" s="362"/>
      <c r="H1459" s="362" t="s">
        <v>2228</v>
      </c>
      <c r="I1459" s="362" t="s">
        <v>21</v>
      </c>
      <c r="J1459" s="362"/>
      <c r="K1459" s="362"/>
      <c r="L1459" s="362"/>
      <c r="M1459" s="362"/>
      <c r="N1459" s="362"/>
      <c r="O1459" s="362"/>
      <c r="P1459" s="363"/>
      <c r="Q1459" s="362"/>
      <c r="R1459" s="362"/>
      <c r="S1459" s="364"/>
      <c r="T1459" s="123"/>
      <c r="U1459" s="365"/>
      <c r="V1459" s="362"/>
      <c r="W1459" s="362"/>
      <c r="X1459" s="149"/>
      <c r="Y1459" s="45"/>
      <c r="Z1459" s="45"/>
      <c r="AA1459" s="51"/>
      <c r="AB1459" s="51"/>
      <c r="AC1459" s="169"/>
    </row>
    <row r="1460" spans="1:29" ht="15" hidden="1" customHeight="1">
      <c r="A1460" s="362" t="s">
        <v>336</v>
      </c>
      <c r="B1460" s="362" t="s">
        <v>4795</v>
      </c>
      <c r="C1460" s="362" t="s">
        <v>27</v>
      </c>
      <c r="D1460" s="362"/>
      <c r="E1460" s="362" t="s">
        <v>4797</v>
      </c>
      <c r="F1460" s="362"/>
      <c r="G1460" s="362"/>
      <c r="H1460" s="362" t="s">
        <v>2228</v>
      </c>
      <c r="I1460" s="362" t="s">
        <v>21</v>
      </c>
      <c r="J1460" s="362"/>
      <c r="K1460" s="362"/>
      <c r="L1460" s="362"/>
      <c r="M1460" s="362"/>
      <c r="N1460" s="362"/>
      <c r="O1460" s="362"/>
      <c r="P1460" s="363"/>
      <c r="Q1460" s="362"/>
      <c r="R1460" s="362"/>
      <c r="S1460" s="364"/>
      <c r="T1460" s="123"/>
      <c r="U1460" s="365"/>
      <c r="V1460" s="362"/>
      <c r="W1460" s="362"/>
      <c r="X1460" s="149"/>
      <c r="Y1460" s="45"/>
      <c r="Z1460" s="45"/>
      <c r="AA1460" s="51"/>
      <c r="AB1460" s="51"/>
      <c r="AC1460" s="169"/>
    </row>
    <row r="1461" spans="1:29" ht="15" hidden="1" customHeight="1">
      <c r="A1461" s="362" t="s">
        <v>336</v>
      </c>
      <c r="B1461" s="362" t="s">
        <v>4796</v>
      </c>
      <c r="C1461" s="362" t="s">
        <v>27</v>
      </c>
      <c r="D1461" s="362"/>
      <c r="E1461" s="362" t="s">
        <v>4797</v>
      </c>
      <c r="F1461" s="362"/>
      <c r="G1461" s="362"/>
      <c r="H1461" s="362" t="s">
        <v>2228</v>
      </c>
      <c r="I1461" s="362" t="s">
        <v>21</v>
      </c>
      <c r="J1461" s="362"/>
      <c r="K1461" s="362"/>
      <c r="L1461" s="362"/>
      <c r="M1461" s="362"/>
      <c r="N1461" s="362"/>
      <c r="O1461" s="362"/>
      <c r="P1461" s="363"/>
      <c r="Q1461" s="362"/>
      <c r="R1461" s="362"/>
      <c r="S1461" s="364"/>
      <c r="T1461" s="123"/>
      <c r="U1461" s="365"/>
      <c r="V1461" s="362"/>
      <c r="W1461" s="362"/>
      <c r="X1461" s="149"/>
      <c r="Y1461" s="45"/>
      <c r="Z1461" s="45"/>
      <c r="AA1461" s="51"/>
      <c r="AB1461" s="51"/>
      <c r="AC1461" s="169"/>
    </row>
    <row r="1462" spans="1:29" ht="15" hidden="1" customHeight="1">
      <c r="A1462" s="362" t="s">
        <v>336</v>
      </c>
      <c r="B1462" s="362" t="s">
        <v>5152</v>
      </c>
      <c r="C1462" s="362" t="s">
        <v>22</v>
      </c>
      <c r="D1462" s="362" t="s">
        <v>2893</v>
      </c>
      <c r="E1462" s="362" t="s">
        <v>2008</v>
      </c>
      <c r="F1462" s="362"/>
      <c r="G1462" s="362"/>
      <c r="H1462" s="362" t="s">
        <v>20</v>
      </c>
      <c r="I1462" s="362" t="s">
        <v>60</v>
      </c>
      <c r="J1462" s="362" t="s">
        <v>3684</v>
      </c>
      <c r="K1462" s="362" t="s">
        <v>5151</v>
      </c>
      <c r="L1462" s="362" t="s">
        <v>3646</v>
      </c>
      <c r="M1462" s="362" t="s">
        <v>22</v>
      </c>
      <c r="N1462" s="362" t="s">
        <v>22</v>
      </c>
      <c r="O1462" s="362"/>
      <c r="P1462" s="363" t="s">
        <v>3829</v>
      </c>
      <c r="Q1462" s="362"/>
      <c r="R1462" s="362"/>
      <c r="S1462" s="364"/>
      <c r="T1462" s="123"/>
      <c r="U1462" s="365"/>
      <c r="V1462" s="362"/>
      <c r="W1462" s="362"/>
      <c r="X1462" s="149"/>
      <c r="Y1462" s="45" t="s">
        <v>27</v>
      </c>
      <c r="Z1462" s="45" t="s">
        <v>27</v>
      </c>
      <c r="AA1462" s="45" t="s">
        <v>349</v>
      </c>
      <c r="AB1462" s="51"/>
      <c r="AC1462" s="169"/>
    </row>
    <row r="1463" spans="1:29" ht="15" hidden="1" customHeight="1" thickBot="1">
      <c r="A1463" s="362" t="s">
        <v>336</v>
      </c>
      <c r="B1463" s="362" t="s">
        <v>5153</v>
      </c>
      <c r="C1463" s="362" t="s">
        <v>22</v>
      </c>
      <c r="D1463" s="362" t="s">
        <v>2893</v>
      </c>
      <c r="E1463" s="362" t="s">
        <v>2008</v>
      </c>
      <c r="F1463" s="362"/>
      <c r="G1463" s="362"/>
      <c r="H1463" s="362" t="s">
        <v>20</v>
      </c>
      <c r="I1463" s="362" t="s">
        <v>60</v>
      </c>
      <c r="J1463" s="362" t="s">
        <v>3684</v>
      </c>
      <c r="K1463" s="362" t="s">
        <v>5151</v>
      </c>
      <c r="L1463" s="362" t="s">
        <v>3646</v>
      </c>
      <c r="M1463" s="362" t="s">
        <v>22</v>
      </c>
      <c r="N1463" s="362" t="s">
        <v>22</v>
      </c>
      <c r="O1463" s="362"/>
      <c r="P1463" s="363" t="s">
        <v>3829</v>
      </c>
      <c r="Q1463" s="362"/>
      <c r="R1463" s="362"/>
      <c r="S1463" s="364"/>
      <c r="T1463" s="123"/>
      <c r="U1463" s="365"/>
      <c r="V1463" s="362"/>
      <c r="W1463" s="362"/>
      <c r="X1463" s="149"/>
      <c r="Y1463" s="45" t="s">
        <v>27</v>
      </c>
      <c r="Z1463" s="45" t="s">
        <v>27</v>
      </c>
      <c r="AA1463" s="283" t="s">
        <v>27</v>
      </c>
      <c r="AB1463" s="51"/>
      <c r="AC1463" s="169"/>
    </row>
    <row r="1464" spans="1:29" ht="15" hidden="1" customHeight="1" thickBot="1">
      <c r="A1464" s="362" t="s">
        <v>336</v>
      </c>
      <c r="B1464" s="362" t="s">
        <v>5154</v>
      </c>
      <c r="C1464" s="362" t="s">
        <v>22</v>
      </c>
      <c r="D1464" s="362" t="s">
        <v>2893</v>
      </c>
      <c r="E1464" s="362" t="s">
        <v>2008</v>
      </c>
      <c r="F1464" s="362"/>
      <c r="G1464" s="362"/>
      <c r="H1464" s="362" t="s">
        <v>20</v>
      </c>
      <c r="I1464" s="362" t="s">
        <v>60</v>
      </c>
      <c r="J1464" s="362" t="s">
        <v>3684</v>
      </c>
      <c r="K1464" s="362" t="s">
        <v>5151</v>
      </c>
      <c r="L1464" s="362" t="s">
        <v>3646</v>
      </c>
      <c r="M1464" s="362" t="s">
        <v>22</v>
      </c>
      <c r="N1464" s="362" t="s">
        <v>22</v>
      </c>
      <c r="O1464" s="362"/>
      <c r="P1464" s="363" t="s">
        <v>3829</v>
      </c>
      <c r="Q1464" s="362"/>
      <c r="R1464" s="362"/>
      <c r="S1464" s="364"/>
      <c r="T1464" s="123"/>
      <c r="U1464" s="365"/>
      <c r="V1464" s="362"/>
      <c r="W1464" s="362"/>
      <c r="X1464" s="149"/>
      <c r="Y1464" s="45" t="s">
        <v>27</v>
      </c>
      <c r="Z1464" s="45" t="s">
        <v>27</v>
      </c>
      <c r="AA1464" s="283" t="s">
        <v>27</v>
      </c>
      <c r="AB1464" s="51"/>
      <c r="AC1464" s="169"/>
    </row>
    <row r="1465" spans="1:29" ht="15" hidden="1" customHeight="1" thickBot="1">
      <c r="A1465" s="362" t="s">
        <v>336</v>
      </c>
      <c r="B1465" s="362" t="s">
        <v>5155</v>
      </c>
      <c r="C1465" s="362" t="s">
        <v>22</v>
      </c>
      <c r="D1465" s="362" t="s">
        <v>2893</v>
      </c>
      <c r="E1465" s="362" t="s">
        <v>2008</v>
      </c>
      <c r="F1465" s="362"/>
      <c r="G1465" s="362"/>
      <c r="H1465" s="362" t="s">
        <v>20</v>
      </c>
      <c r="I1465" s="362" t="s">
        <v>60</v>
      </c>
      <c r="J1465" s="362" t="s">
        <v>3684</v>
      </c>
      <c r="K1465" s="362" t="s">
        <v>5151</v>
      </c>
      <c r="L1465" s="362" t="s">
        <v>3646</v>
      </c>
      <c r="M1465" s="362" t="s">
        <v>22</v>
      </c>
      <c r="N1465" s="362" t="s">
        <v>22</v>
      </c>
      <c r="O1465" s="362"/>
      <c r="P1465" s="363" t="s">
        <v>3829</v>
      </c>
      <c r="Q1465" s="362"/>
      <c r="R1465" s="362"/>
      <c r="S1465" s="364"/>
      <c r="T1465" s="123"/>
      <c r="U1465" s="365"/>
      <c r="V1465" s="362"/>
      <c r="W1465" s="362"/>
      <c r="X1465" s="149"/>
      <c r="Y1465" s="45" t="s">
        <v>27</v>
      </c>
      <c r="Z1465" s="45" t="s">
        <v>27</v>
      </c>
      <c r="AA1465" s="283" t="s">
        <v>27</v>
      </c>
      <c r="AB1465" s="51"/>
      <c r="AC1465" s="169"/>
    </row>
    <row r="1466" spans="1:29" ht="15" hidden="1" customHeight="1" thickBot="1">
      <c r="A1466" s="362" t="s">
        <v>336</v>
      </c>
      <c r="B1466" s="362" t="s">
        <v>5156</v>
      </c>
      <c r="C1466" s="362" t="s">
        <v>22</v>
      </c>
      <c r="D1466" s="362" t="s">
        <v>2893</v>
      </c>
      <c r="E1466" s="362" t="s">
        <v>2008</v>
      </c>
      <c r="F1466" s="362"/>
      <c r="G1466" s="362"/>
      <c r="H1466" s="362" t="s">
        <v>20</v>
      </c>
      <c r="I1466" s="362" t="s">
        <v>60</v>
      </c>
      <c r="J1466" s="362" t="s">
        <v>3684</v>
      </c>
      <c r="K1466" s="362" t="s">
        <v>5151</v>
      </c>
      <c r="L1466" s="362" t="s">
        <v>3646</v>
      </c>
      <c r="M1466" s="362" t="s">
        <v>22</v>
      </c>
      <c r="N1466" s="362" t="s">
        <v>22</v>
      </c>
      <c r="O1466" s="362"/>
      <c r="P1466" s="363" t="s">
        <v>3829</v>
      </c>
      <c r="Q1466" s="362"/>
      <c r="R1466" s="362"/>
      <c r="S1466" s="364"/>
      <c r="T1466" s="123"/>
      <c r="U1466" s="365"/>
      <c r="V1466" s="362"/>
      <c r="W1466" s="362"/>
      <c r="X1466" s="149"/>
      <c r="Y1466" s="45" t="s">
        <v>27</v>
      </c>
      <c r="Z1466" s="45" t="s">
        <v>27</v>
      </c>
      <c r="AA1466" s="283" t="s">
        <v>27</v>
      </c>
      <c r="AB1466" s="51"/>
      <c r="AC1466" s="169"/>
    </row>
    <row r="1467" spans="1:29" ht="15" hidden="1" customHeight="1" thickBot="1">
      <c r="A1467" s="362" t="s">
        <v>336</v>
      </c>
      <c r="B1467" s="362" t="s">
        <v>5157</v>
      </c>
      <c r="C1467" s="362" t="s">
        <v>22</v>
      </c>
      <c r="D1467" s="362" t="s">
        <v>2893</v>
      </c>
      <c r="E1467" s="362" t="s">
        <v>2008</v>
      </c>
      <c r="F1467" s="362"/>
      <c r="G1467" s="362"/>
      <c r="H1467" s="362" t="s">
        <v>20</v>
      </c>
      <c r="I1467" s="362" t="s">
        <v>60</v>
      </c>
      <c r="J1467" s="362" t="s">
        <v>3684</v>
      </c>
      <c r="K1467" s="362" t="s">
        <v>5151</v>
      </c>
      <c r="L1467" s="362" t="s">
        <v>3646</v>
      </c>
      <c r="M1467" s="362" t="s">
        <v>22</v>
      </c>
      <c r="N1467" s="362" t="s">
        <v>22</v>
      </c>
      <c r="O1467" s="362"/>
      <c r="P1467" s="363" t="s">
        <v>3827</v>
      </c>
      <c r="Q1467" s="362"/>
      <c r="R1467" s="362"/>
      <c r="S1467" s="364"/>
      <c r="T1467" s="123"/>
      <c r="U1467" s="365"/>
      <c r="V1467" s="362"/>
      <c r="W1467" s="362"/>
      <c r="X1467" s="149"/>
      <c r="Y1467" s="45" t="s">
        <v>27</v>
      </c>
      <c r="Z1467" s="45" t="s">
        <v>27</v>
      </c>
      <c r="AA1467" s="283" t="s">
        <v>27</v>
      </c>
      <c r="AB1467" s="51"/>
      <c r="AC1467" s="169"/>
    </row>
    <row r="1468" spans="1:29" ht="15" hidden="1" customHeight="1" thickBot="1">
      <c r="A1468" s="362" t="s">
        <v>336</v>
      </c>
      <c r="B1468" s="362" t="s">
        <v>5158</v>
      </c>
      <c r="C1468" s="362" t="s">
        <v>22</v>
      </c>
      <c r="D1468" s="362" t="s">
        <v>2893</v>
      </c>
      <c r="E1468" s="362" t="s">
        <v>2008</v>
      </c>
      <c r="F1468" s="362"/>
      <c r="G1468" s="362"/>
      <c r="H1468" s="362" t="s">
        <v>20</v>
      </c>
      <c r="I1468" s="362" t="s">
        <v>60</v>
      </c>
      <c r="J1468" s="362" t="s">
        <v>3684</v>
      </c>
      <c r="K1468" s="362" t="s">
        <v>5151</v>
      </c>
      <c r="L1468" s="362" t="s">
        <v>3646</v>
      </c>
      <c r="M1468" s="362" t="s">
        <v>22</v>
      </c>
      <c r="N1468" s="362" t="s">
        <v>22</v>
      </c>
      <c r="O1468" s="362"/>
      <c r="P1468" s="363" t="s">
        <v>3827</v>
      </c>
      <c r="Q1468" s="362"/>
      <c r="R1468" s="362"/>
      <c r="S1468" s="364"/>
      <c r="T1468" s="123"/>
      <c r="U1468" s="365"/>
      <c r="V1468" s="362"/>
      <c r="W1468" s="362"/>
      <c r="X1468" s="149"/>
      <c r="Y1468" s="45" t="s">
        <v>27</v>
      </c>
      <c r="Z1468" s="45" t="s">
        <v>27</v>
      </c>
      <c r="AA1468" s="283" t="s">
        <v>27</v>
      </c>
      <c r="AB1468" s="51"/>
      <c r="AC1468" s="169"/>
    </row>
    <row r="1469" spans="1:29" ht="15" hidden="1" customHeight="1" thickBot="1">
      <c r="A1469" s="362" t="s">
        <v>336</v>
      </c>
      <c r="B1469" s="362" t="s">
        <v>5150</v>
      </c>
      <c r="C1469" s="362" t="s">
        <v>22</v>
      </c>
      <c r="D1469" s="362" t="s">
        <v>2893</v>
      </c>
      <c r="E1469" s="362" t="s">
        <v>2008</v>
      </c>
      <c r="F1469" s="362"/>
      <c r="G1469" s="362"/>
      <c r="H1469" s="362" t="s">
        <v>20</v>
      </c>
      <c r="I1469" s="362" t="s">
        <v>60</v>
      </c>
      <c r="J1469" s="362" t="s">
        <v>3684</v>
      </c>
      <c r="K1469" s="362" t="s">
        <v>5151</v>
      </c>
      <c r="L1469" s="362" t="s">
        <v>3646</v>
      </c>
      <c r="M1469" s="362" t="s">
        <v>22</v>
      </c>
      <c r="N1469" s="362" t="s">
        <v>22</v>
      </c>
      <c r="O1469" s="362"/>
      <c r="P1469" s="363" t="s">
        <v>3827</v>
      </c>
      <c r="Q1469" s="362"/>
      <c r="R1469" s="362"/>
      <c r="S1469" s="364"/>
      <c r="T1469" s="123"/>
      <c r="U1469" s="365"/>
      <c r="V1469" s="362"/>
      <c r="W1469" s="362"/>
      <c r="X1469" s="149"/>
      <c r="Y1469" s="45" t="s">
        <v>27</v>
      </c>
      <c r="Z1469" s="45" t="s">
        <v>27</v>
      </c>
      <c r="AA1469" s="283" t="s">
        <v>27</v>
      </c>
      <c r="AB1469" s="51"/>
      <c r="AC1469" s="169"/>
    </row>
    <row r="1470" spans="1:29" ht="15" hidden="1" customHeight="1" thickBot="1">
      <c r="A1470" s="362" t="s">
        <v>336</v>
      </c>
      <c r="B1470" s="362" t="s">
        <v>5159</v>
      </c>
      <c r="C1470" s="362" t="s">
        <v>22</v>
      </c>
      <c r="D1470" s="362" t="s">
        <v>2893</v>
      </c>
      <c r="E1470" s="362" t="s">
        <v>2008</v>
      </c>
      <c r="F1470" s="362"/>
      <c r="G1470" s="362"/>
      <c r="H1470" s="362" t="s">
        <v>20</v>
      </c>
      <c r="I1470" s="362" t="s">
        <v>60</v>
      </c>
      <c r="J1470" s="362" t="s">
        <v>3684</v>
      </c>
      <c r="K1470" s="362" t="s">
        <v>5151</v>
      </c>
      <c r="L1470" s="362" t="s">
        <v>3646</v>
      </c>
      <c r="M1470" s="362" t="s">
        <v>22</v>
      </c>
      <c r="N1470" s="362" t="s">
        <v>22</v>
      </c>
      <c r="O1470" s="362"/>
      <c r="P1470" s="363" t="s">
        <v>3827</v>
      </c>
      <c r="Q1470" s="362"/>
      <c r="R1470" s="362"/>
      <c r="S1470" s="364"/>
      <c r="T1470" s="123"/>
      <c r="U1470" s="365"/>
      <c r="V1470" s="362"/>
      <c r="W1470" s="362"/>
      <c r="X1470" s="149"/>
      <c r="Y1470" s="45" t="s">
        <v>27</v>
      </c>
      <c r="Z1470" s="45" t="s">
        <v>27</v>
      </c>
      <c r="AA1470" s="283" t="s">
        <v>22</v>
      </c>
      <c r="AB1470" s="51"/>
      <c r="AC1470" s="169"/>
    </row>
    <row r="1471" spans="1:29" ht="15" hidden="1" customHeight="1" thickBot="1">
      <c r="A1471" s="362" t="s">
        <v>336</v>
      </c>
      <c r="B1471" s="362" t="s">
        <v>5160</v>
      </c>
      <c r="C1471" s="362" t="s">
        <v>22</v>
      </c>
      <c r="D1471" s="362" t="s">
        <v>2893</v>
      </c>
      <c r="E1471" s="362" t="s">
        <v>2008</v>
      </c>
      <c r="F1471" s="362"/>
      <c r="G1471" s="362"/>
      <c r="H1471" s="362" t="s">
        <v>20</v>
      </c>
      <c r="I1471" s="362" t="s">
        <v>60</v>
      </c>
      <c r="J1471" s="362" t="s">
        <v>3684</v>
      </c>
      <c r="K1471" s="362" t="s">
        <v>5151</v>
      </c>
      <c r="L1471" s="362" t="s">
        <v>3646</v>
      </c>
      <c r="M1471" s="362" t="s">
        <v>22</v>
      </c>
      <c r="N1471" s="362" t="s">
        <v>22</v>
      </c>
      <c r="O1471" s="362"/>
      <c r="P1471" s="363" t="s">
        <v>3827</v>
      </c>
      <c r="Q1471" s="362"/>
      <c r="R1471" s="362"/>
      <c r="S1471" s="364"/>
      <c r="T1471" s="123"/>
      <c r="U1471" s="365"/>
      <c r="V1471" s="362"/>
      <c r="W1471" s="362"/>
      <c r="X1471" s="149"/>
      <c r="Y1471" s="45" t="s">
        <v>27</v>
      </c>
      <c r="Z1471" s="45" t="s">
        <v>27</v>
      </c>
      <c r="AA1471" s="283" t="s">
        <v>22</v>
      </c>
      <c r="AB1471" s="51"/>
      <c r="AC1471" s="169"/>
    </row>
    <row r="1472" spans="1:29" ht="15" customHeight="1">
      <c r="A1472" s="62" t="s">
        <v>1244</v>
      </c>
      <c r="B1472" s="362" t="s">
        <v>5381</v>
      </c>
      <c r="C1472" s="362" t="s">
        <v>27</v>
      </c>
      <c r="D1472" s="362" t="s">
        <v>2761</v>
      </c>
      <c r="E1472" s="362" t="s">
        <v>17</v>
      </c>
      <c r="F1472" s="362">
        <v>3648322</v>
      </c>
      <c r="G1472" s="362"/>
      <c r="H1472" s="362" t="s">
        <v>3084</v>
      </c>
      <c r="I1472" s="362" t="s">
        <v>21</v>
      </c>
      <c r="J1472" s="362" t="s">
        <v>3675</v>
      </c>
      <c r="K1472" s="362" t="s">
        <v>5852</v>
      </c>
      <c r="L1472" s="362" t="s">
        <v>4464</v>
      </c>
      <c r="M1472" s="362" t="s">
        <v>22</v>
      </c>
      <c r="N1472" s="362" t="s">
        <v>22</v>
      </c>
      <c r="O1472" s="362" t="s">
        <v>22</v>
      </c>
      <c r="P1472" s="363"/>
      <c r="Q1472" s="362"/>
      <c r="R1472" s="362"/>
      <c r="S1472" s="364"/>
      <c r="T1472" s="123"/>
      <c r="U1472" s="365"/>
      <c r="V1472" s="362"/>
      <c r="W1472" s="362"/>
      <c r="X1472" s="149"/>
      <c r="Y1472" s="45" t="s">
        <v>27</v>
      </c>
      <c r="Z1472" s="45" t="s">
        <v>27</v>
      </c>
      <c r="AA1472" s="51" t="s">
        <v>27</v>
      </c>
      <c r="AB1472" s="51"/>
      <c r="AC1472" s="169" t="s">
        <v>5977</v>
      </c>
    </row>
    <row r="1473" spans="1:29" ht="15" customHeight="1">
      <c r="A1473" s="62" t="s">
        <v>1244</v>
      </c>
      <c r="B1473" s="362" t="s">
        <v>5382</v>
      </c>
      <c r="C1473" s="362" t="s">
        <v>27</v>
      </c>
      <c r="D1473" s="362" t="s">
        <v>2761</v>
      </c>
      <c r="E1473" s="362" t="s">
        <v>17</v>
      </c>
      <c r="F1473" s="362">
        <v>3647897</v>
      </c>
      <c r="G1473" s="362"/>
      <c r="H1473" s="362" t="s">
        <v>3084</v>
      </c>
      <c r="I1473" s="362" t="s">
        <v>21</v>
      </c>
      <c r="J1473" s="362" t="s">
        <v>3675</v>
      </c>
      <c r="K1473" s="362" t="s">
        <v>33</v>
      </c>
      <c r="L1473" s="362" t="s">
        <v>4464</v>
      </c>
      <c r="M1473" s="362" t="s">
        <v>22</v>
      </c>
      <c r="N1473" s="362" t="s">
        <v>22</v>
      </c>
      <c r="O1473" s="362" t="s">
        <v>22</v>
      </c>
      <c r="P1473" s="363"/>
      <c r="Q1473" s="362"/>
      <c r="R1473" s="362"/>
      <c r="S1473" s="364"/>
      <c r="T1473" s="123"/>
      <c r="U1473" s="365"/>
      <c r="V1473" s="362"/>
      <c r="W1473" s="362"/>
      <c r="X1473" s="149"/>
      <c r="Y1473" s="45" t="s">
        <v>27</v>
      </c>
      <c r="Z1473" s="45" t="s">
        <v>27</v>
      </c>
      <c r="AA1473" s="51" t="s">
        <v>27</v>
      </c>
      <c r="AB1473" s="51"/>
      <c r="AC1473" s="169" t="s">
        <v>5977</v>
      </c>
    </row>
    <row r="1474" spans="1:29" ht="15" customHeight="1">
      <c r="A1474" s="62" t="s">
        <v>1244</v>
      </c>
      <c r="B1474" s="362" t="s">
        <v>5383</v>
      </c>
      <c r="C1474" s="362" t="s">
        <v>27</v>
      </c>
      <c r="D1474" s="289" t="s">
        <v>25</v>
      </c>
      <c r="E1474" s="362" t="s">
        <v>17</v>
      </c>
      <c r="F1474" s="362">
        <v>3648283</v>
      </c>
      <c r="G1474" s="362"/>
      <c r="H1474" s="362" t="s">
        <v>3084</v>
      </c>
      <c r="I1474" s="362" t="s">
        <v>21</v>
      </c>
      <c r="J1474" s="362" t="s">
        <v>3675</v>
      </c>
      <c r="K1474" s="362" t="s">
        <v>5852</v>
      </c>
      <c r="L1474" s="362" t="s">
        <v>4464</v>
      </c>
      <c r="M1474" s="362" t="s">
        <v>22</v>
      </c>
      <c r="N1474" s="362" t="s">
        <v>22</v>
      </c>
      <c r="O1474" s="362" t="s">
        <v>22</v>
      </c>
      <c r="P1474" s="363"/>
      <c r="Q1474" s="362"/>
      <c r="R1474" s="362"/>
      <c r="S1474" s="364"/>
      <c r="T1474" s="123"/>
      <c r="U1474" s="365"/>
      <c r="V1474" s="362"/>
      <c r="W1474" s="362"/>
      <c r="X1474" s="149"/>
      <c r="Y1474" s="45" t="s">
        <v>27</v>
      </c>
      <c r="Z1474" s="45" t="s">
        <v>27</v>
      </c>
      <c r="AA1474" s="51" t="s">
        <v>27</v>
      </c>
      <c r="AB1474" s="51"/>
      <c r="AC1474" s="169" t="s">
        <v>5978</v>
      </c>
    </row>
    <row r="1475" spans="1:29" ht="15" customHeight="1">
      <c r="A1475" s="62" t="s">
        <v>1244</v>
      </c>
      <c r="B1475" s="362" t="s">
        <v>5384</v>
      </c>
      <c r="C1475" s="362" t="s">
        <v>27</v>
      </c>
      <c r="D1475" s="289" t="s">
        <v>25</v>
      </c>
      <c r="E1475" s="362" t="s">
        <v>17</v>
      </c>
      <c r="F1475" s="362">
        <v>3647760</v>
      </c>
      <c r="G1475" s="362"/>
      <c r="H1475" s="362" t="s">
        <v>3084</v>
      </c>
      <c r="I1475" s="362" t="s">
        <v>21</v>
      </c>
      <c r="J1475" s="362" t="s">
        <v>3675</v>
      </c>
      <c r="K1475" s="362" t="s">
        <v>5852</v>
      </c>
      <c r="L1475" s="362" t="s">
        <v>4464</v>
      </c>
      <c r="M1475" s="362" t="s">
        <v>22</v>
      </c>
      <c r="N1475" s="362" t="s">
        <v>22</v>
      </c>
      <c r="O1475" s="362" t="s">
        <v>22</v>
      </c>
      <c r="P1475" s="363"/>
      <c r="Q1475" s="362"/>
      <c r="R1475" s="362"/>
      <c r="S1475" s="364"/>
      <c r="T1475" s="123"/>
      <c r="U1475" s="365"/>
      <c r="V1475" s="362"/>
      <c r="W1475" s="362"/>
      <c r="X1475" s="149"/>
      <c r="Y1475" s="45" t="s">
        <v>27</v>
      </c>
      <c r="Z1475" s="45" t="s">
        <v>27</v>
      </c>
      <c r="AA1475" s="51" t="s">
        <v>27</v>
      </c>
      <c r="AB1475" s="51"/>
      <c r="AC1475" s="169" t="s">
        <v>5979</v>
      </c>
    </row>
    <row r="1476" spans="1:29" ht="15" customHeight="1">
      <c r="A1476" s="62" t="s">
        <v>1244</v>
      </c>
      <c r="B1476" s="362" t="s">
        <v>5385</v>
      </c>
      <c r="C1476" s="362" t="s">
        <v>27</v>
      </c>
      <c r="D1476" s="289" t="s">
        <v>25</v>
      </c>
      <c r="E1476" s="362" t="s">
        <v>17</v>
      </c>
      <c r="F1476" s="362">
        <v>3374821</v>
      </c>
      <c r="G1476" s="362"/>
      <c r="H1476" s="362" t="s">
        <v>3084</v>
      </c>
      <c r="I1476" s="362" t="s">
        <v>21</v>
      </c>
      <c r="J1476" s="362" t="s">
        <v>3675</v>
      </c>
      <c r="K1476" s="362"/>
      <c r="L1476" s="362"/>
      <c r="M1476" s="362" t="s">
        <v>22</v>
      </c>
      <c r="N1476" s="362" t="s">
        <v>22</v>
      </c>
      <c r="O1476" s="362" t="s">
        <v>22</v>
      </c>
      <c r="P1476" s="363"/>
      <c r="Q1476" s="362"/>
      <c r="R1476" s="362"/>
      <c r="S1476" s="364"/>
      <c r="T1476" s="123"/>
      <c r="U1476" s="365"/>
      <c r="V1476" s="362"/>
      <c r="W1476" s="362"/>
      <c r="X1476" s="149"/>
      <c r="Y1476" s="45" t="s">
        <v>27</v>
      </c>
      <c r="Z1476" s="45" t="s">
        <v>27</v>
      </c>
      <c r="AA1476" s="51" t="s">
        <v>22</v>
      </c>
      <c r="AB1476" s="51"/>
      <c r="AC1476" s="169" t="s">
        <v>5921</v>
      </c>
    </row>
    <row r="1477" spans="1:29" ht="15" customHeight="1">
      <c r="A1477" s="62" t="s">
        <v>1244</v>
      </c>
      <c r="B1477" s="362" t="s">
        <v>5386</v>
      </c>
      <c r="C1477" s="362" t="s">
        <v>27</v>
      </c>
      <c r="D1477" s="53" t="s">
        <v>2758</v>
      </c>
      <c r="E1477" s="362" t="s">
        <v>17</v>
      </c>
      <c r="F1477" s="362">
        <v>4079948</v>
      </c>
      <c r="G1477" s="362"/>
      <c r="H1477" s="362" t="s">
        <v>3084</v>
      </c>
      <c r="I1477" s="362" t="s">
        <v>21</v>
      </c>
      <c r="J1477" s="362" t="s">
        <v>3675</v>
      </c>
      <c r="K1477" s="362" t="s">
        <v>61</v>
      </c>
      <c r="L1477" s="362" t="s">
        <v>4464</v>
      </c>
      <c r="M1477" s="362" t="s">
        <v>22</v>
      </c>
      <c r="N1477" s="362" t="s">
        <v>22</v>
      </c>
      <c r="O1477" s="362" t="s">
        <v>22</v>
      </c>
      <c r="P1477" s="363"/>
      <c r="Q1477" s="362"/>
      <c r="R1477" s="362"/>
      <c r="S1477" s="364"/>
      <c r="T1477" s="123"/>
      <c r="U1477" s="365"/>
      <c r="V1477" s="362"/>
      <c r="W1477" s="362"/>
      <c r="X1477" s="149"/>
      <c r="Y1477" s="45" t="s">
        <v>27</v>
      </c>
      <c r="Z1477" s="45" t="s">
        <v>27</v>
      </c>
      <c r="AA1477" s="51" t="s">
        <v>27</v>
      </c>
      <c r="AB1477" s="51"/>
      <c r="AC1477" s="169"/>
    </row>
    <row r="1478" spans="1:29" ht="15" customHeight="1">
      <c r="A1478" s="62" t="s">
        <v>1244</v>
      </c>
      <c r="B1478" s="362" t="s">
        <v>5387</v>
      </c>
      <c r="C1478" s="362" t="s">
        <v>27</v>
      </c>
      <c r="D1478" s="53" t="s">
        <v>2758</v>
      </c>
      <c r="E1478" s="362" t="s">
        <v>17</v>
      </c>
      <c r="F1478" s="362">
        <v>4079924</v>
      </c>
      <c r="G1478" s="362"/>
      <c r="H1478" s="362" t="s">
        <v>3084</v>
      </c>
      <c r="I1478" s="362" t="s">
        <v>21</v>
      </c>
      <c r="J1478" s="362" t="s">
        <v>3675</v>
      </c>
      <c r="K1478" s="362" t="s">
        <v>61</v>
      </c>
      <c r="L1478" s="362" t="s">
        <v>4464</v>
      </c>
      <c r="M1478" s="362" t="s">
        <v>22</v>
      </c>
      <c r="N1478" s="362" t="s">
        <v>22</v>
      </c>
      <c r="O1478" s="362" t="s">
        <v>22</v>
      </c>
      <c r="P1478" s="363"/>
      <c r="Q1478" s="362"/>
      <c r="R1478" s="362"/>
      <c r="S1478" s="364"/>
      <c r="T1478" s="123"/>
      <c r="U1478" s="365"/>
      <c r="V1478" s="362"/>
      <c r="W1478" s="362"/>
      <c r="X1478" s="149"/>
      <c r="Y1478" s="45" t="s">
        <v>27</v>
      </c>
      <c r="Z1478" s="45" t="s">
        <v>27</v>
      </c>
      <c r="AA1478" s="51" t="s">
        <v>27</v>
      </c>
      <c r="AB1478" s="51"/>
      <c r="AC1478" s="374" t="s">
        <v>5754</v>
      </c>
    </row>
    <row r="1479" spans="1:29" ht="15" customHeight="1">
      <c r="A1479" s="62" t="s">
        <v>1244</v>
      </c>
      <c r="B1479" s="362" t="s">
        <v>5388</v>
      </c>
      <c r="C1479" s="362" t="s">
        <v>27</v>
      </c>
      <c r="D1479" s="53" t="s">
        <v>2758</v>
      </c>
      <c r="E1479" s="362" t="s">
        <v>17</v>
      </c>
      <c r="F1479" s="362">
        <v>4079899</v>
      </c>
      <c r="G1479" s="362"/>
      <c r="H1479" s="362" t="s">
        <v>3084</v>
      </c>
      <c r="I1479" s="362" t="s">
        <v>21</v>
      </c>
      <c r="J1479" s="362" t="s">
        <v>3675</v>
      </c>
      <c r="K1479" s="362" t="s">
        <v>337</v>
      </c>
      <c r="L1479" s="362" t="s">
        <v>4464</v>
      </c>
      <c r="M1479" s="362" t="s">
        <v>22</v>
      </c>
      <c r="N1479" s="362" t="s">
        <v>22</v>
      </c>
      <c r="O1479" s="362" t="s">
        <v>22</v>
      </c>
      <c r="P1479" s="363"/>
      <c r="Q1479" s="362"/>
      <c r="R1479" s="362"/>
      <c r="S1479" s="364"/>
      <c r="T1479" s="123"/>
      <c r="U1479" s="365"/>
      <c r="V1479" s="362"/>
      <c r="W1479" s="362"/>
      <c r="X1479" s="149"/>
      <c r="Y1479" s="45" t="s">
        <v>27</v>
      </c>
      <c r="Z1479" s="45" t="s">
        <v>27</v>
      </c>
      <c r="AA1479" s="51" t="s">
        <v>27</v>
      </c>
      <c r="AB1479" s="51"/>
      <c r="AC1479" s="169"/>
    </row>
    <row r="1480" spans="1:29" ht="15" customHeight="1">
      <c r="A1480" s="62" t="s">
        <v>1244</v>
      </c>
      <c r="B1480" s="362" t="s">
        <v>5389</v>
      </c>
      <c r="C1480" s="362" t="s">
        <v>27</v>
      </c>
      <c r="D1480" s="289" t="s">
        <v>2759</v>
      </c>
      <c r="E1480" s="362" t="s">
        <v>17</v>
      </c>
      <c r="F1480" s="362">
        <v>4079944</v>
      </c>
      <c r="G1480" s="362"/>
      <c r="H1480" s="362" t="s">
        <v>3084</v>
      </c>
      <c r="I1480" s="362" t="s">
        <v>21</v>
      </c>
      <c r="J1480" s="362" t="s">
        <v>3675</v>
      </c>
      <c r="K1480" s="362" t="s">
        <v>5852</v>
      </c>
      <c r="L1480" s="362" t="s">
        <v>4464</v>
      </c>
      <c r="M1480" s="362" t="s">
        <v>22</v>
      </c>
      <c r="N1480" s="362" t="s">
        <v>22</v>
      </c>
      <c r="O1480" s="362" t="s">
        <v>22</v>
      </c>
      <c r="P1480" s="363"/>
      <c r="Q1480" s="362"/>
      <c r="R1480" s="362"/>
      <c r="S1480" s="364"/>
      <c r="T1480" s="123"/>
      <c r="U1480" s="365"/>
      <c r="V1480" s="362"/>
      <c r="W1480" s="362"/>
      <c r="X1480" s="149"/>
      <c r="Y1480" s="45" t="s">
        <v>27</v>
      </c>
      <c r="Z1480" s="45" t="s">
        <v>27</v>
      </c>
      <c r="AA1480" s="51" t="s">
        <v>27</v>
      </c>
      <c r="AB1480" s="51"/>
      <c r="AC1480" s="169"/>
    </row>
    <row r="1481" spans="1:29" ht="30">
      <c r="A1481" s="62" t="s">
        <v>1244</v>
      </c>
      <c r="B1481" s="362" t="s">
        <v>5390</v>
      </c>
      <c r="C1481" s="362" t="s">
        <v>27</v>
      </c>
      <c r="D1481" s="289" t="s">
        <v>25</v>
      </c>
      <c r="E1481" s="362" t="s">
        <v>17</v>
      </c>
      <c r="F1481" s="362">
        <v>4079904</v>
      </c>
      <c r="G1481" s="362"/>
      <c r="H1481" s="362" t="s">
        <v>3084</v>
      </c>
      <c r="I1481" s="362" t="s">
        <v>21</v>
      </c>
      <c r="J1481" s="362" t="s">
        <v>1025</v>
      </c>
      <c r="K1481" s="362" t="s">
        <v>206</v>
      </c>
      <c r="L1481" s="362" t="s">
        <v>4464</v>
      </c>
      <c r="M1481" s="362" t="s">
        <v>22</v>
      </c>
      <c r="N1481" s="362" t="s">
        <v>22</v>
      </c>
      <c r="O1481" s="362" t="s">
        <v>22</v>
      </c>
      <c r="P1481" s="363"/>
      <c r="Q1481" s="362"/>
      <c r="R1481" s="362"/>
      <c r="S1481" s="364"/>
      <c r="T1481" s="123"/>
      <c r="U1481" s="365"/>
      <c r="V1481" s="362"/>
      <c r="W1481" s="362"/>
      <c r="X1481" s="149"/>
      <c r="Y1481" s="45" t="s">
        <v>27</v>
      </c>
      <c r="Z1481" s="45" t="s">
        <v>27</v>
      </c>
      <c r="AA1481" s="51" t="s">
        <v>27</v>
      </c>
      <c r="AB1481" s="51"/>
      <c r="AC1481" s="51" t="s">
        <v>6174</v>
      </c>
    </row>
    <row r="1482" spans="1:29" ht="30">
      <c r="A1482" s="62" t="s">
        <v>1244</v>
      </c>
      <c r="B1482" s="362" t="s">
        <v>5391</v>
      </c>
      <c r="C1482" s="362" t="s">
        <v>27</v>
      </c>
      <c r="D1482" s="289" t="s">
        <v>25</v>
      </c>
      <c r="E1482" s="362" t="s">
        <v>17</v>
      </c>
      <c r="F1482" s="362">
        <v>4079825</v>
      </c>
      <c r="G1482" s="362"/>
      <c r="H1482" s="362" t="s">
        <v>3084</v>
      </c>
      <c r="I1482" s="362" t="s">
        <v>21</v>
      </c>
      <c r="J1482" s="362" t="s">
        <v>1025</v>
      </c>
      <c r="K1482" s="362" t="s">
        <v>3650</v>
      </c>
      <c r="L1482" s="362" t="s">
        <v>4464</v>
      </c>
      <c r="M1482" s="362" t="s">
        <v>22</v>
      </c>
      <c r="N1482" s="362" t="s">
        <v>22</v>
      </c>
      <c r="O1482" s="362" t="s">
        <v>22</v>
      </c>
      <c r="P1482" s="363"/>
      <c r="Q1482" s="362"/>
      <c r="R1482" s="362"/>
      <c r="S1482" s="364"/>
      <c r="T1482" s="123"/>
      <c r="U1482" s="365"/>
      <c r="V1482" s="362"/>
      <c r="W1482" s="362"/>
      <c r="X1482" s="149"/>
      <c r="Y1482" s="45" t="s">
        <v>27</v>
      </c>
      <c r="Z1482" s="45" t="s">
        <v>27</v>
      </c>
      <c r="AA1482" s="51" t="s">
        <v>27</v>
      </c>
      <c r="AB1482" s="51"/>
      <c r="AC1482" s="51" t="s">
        <v>6175</v>
      </c>
    </row>
    <row r="1483" spans="1:29" ht="15" customHeight="1">
      <c r="A1483" s="62" t="s">
        <v>1244</v>
      </c>
      <c r="B1483" s="362" t="s">
        <v>5392</v>
      </c>
      <c r="C1483" s="362" t="s">
        <v>27</v>
      </c>
      <c r="D1483" s="53" t="s">
        <v>2758</v>
      </c>
      <c r="E1483" s="362" t="s">
        <v>17</v>
      </c>
      <c r="F1483" s="362">
        <v>4079798</v>
      </c>
      <c r="G1483" s="362"/>
      <c r="H1483" s="362" t="s">
        <v>3084</v>
      </c>
      <c r="I1483" s="362" t="s">
        <v>21</v>
      </c>
      <c r="J1483" s="362" t="s">
        <v>3674</v>
      </c>
      <c r="K1483" s="362" t="s">
        <v>33</v>
      </c>
      <c r="L1483" s="362" t="s">
        <v>4464</v>
      </c>
      <c r="M1483" s="362" t="s">
        <v>22</v>
      </c>
      <c r="N1483" s="362" t="s">
        <v>22</v>
      </c>
      <c r="O1483" s="362" t="s">
        <v>22</v>
      </c>
      <c r="P1483" s="363"/>
      <c r="Q1483" s="362"/>
      <c r="R1483" s="362"/>
      <c r="S1483" s="364"/>
      <c r="T1483" s="123"/>
      <c r="U1483" s="365"/>
      <c r="V1483" s="362"/>
      <c r="W1483" s="362"/>
      <c r="X1483" s="149"/>
      <c r="Y1483" s="45" t="s">
        <v>27</v>
      </c>
      <c r="Z1483" s="45" t="s">
        <v>27</v>
      </c>
      <c r="AA1483" s="51" t="s">
        <v>27</v>
      </c>
      <c r="AB1483" s="51"/>
      <c r="AC1483" s="169"/>
    </row>
    <row r="1484" spans="1:29" ht="15" customHeight="1">
      <c r="A1484" s="62" t="s">
        <v>1244</v>
      </c>
      <c r="B1484" s="362" t="s">
        <v>5393</v>
      </c>
      <c r="C1484" s="362" t="s">
        <v>27</v>
      </c>
      <c r="D1484" s="289" t="s">
        <v>2759</v>
      </c>
      <c r="E1484" s="362" t="s">
        <v>17</v>
      </c>
      <c r="F1484" s="362">
        <v>4079969</v>
      </c>
      <c r="G1484" s="362"/>
      <c r="H1484" s="362" t="s">
        <v>3084</v>
      </c>
      <c r="I1484" s="362" t="s">
        <v>21</v>
      </c>
      <c r="J1484" s="362" t="s">
        <v>3674</v>
      </c>
      <c r="K1484" s="362" t="s">
        <v>33</v>
      </c>
      <c r="L1484" s="362" t="s">
        <v>4464</v>
      </c>
      <c r="M1484" s="362" t="s">
        <v>22</v>
      </c>
      <c r="N1484" s="362" t="s">
        <v>22</v>
      </c>
      <c r="O1484" s="362" t="s">
        <v>22</v>
      </c>
      <c r="P1484" s="363"/>
      <c r="Q1484" s="362"/>
      <c r="R1484" s="362"/>
      <c r="S1484" s="364"/>
      <c r="T1484" s="123"/>
      <c r="U1484" s="365"/>
      <c r="V1484" s="362"/>
      <c r="W1484" s="362"/>
      <c r="X1484" s="149"/>
      <c r="Y1484" s="45" t="s">
        <v>27</v>
      </c>
      <c r="Z1484" s="45" t="s">
        <v>27</v>
      </c>
      <c r="AA1484" s="51" t="s">
        <v>27</v>
      </c>
      <c r="AB1484" s="51"/>
      <c r="AC1484" s="169"/>
    </row>
    <row r="1485" spans="1:29" ht="15" customHeight="1">
      <c r="A1485" s="62" t="s">
        <v>1244</v>
      </c>
      <c r="B1485" s="362" t="s">
        <v>5394</v>
      </c>
      <c r="C1485" s="362" t="s">
        <v>27</v>
      </c>
      <c r="D1485" s="362" t="s">
        <v>2761</v>
      </c>
      <c r="E1485" s="362" t="s">
        <v>17</v>
      </c>
      <c r="F1485" s="362">
        <v>4079903</v>
      </c>
      <c r="G1485" s="362"/>
      <c r="H1485" s="362" t="s">
        <v>3084</v>
      </c>
      <c r="I1485" s="362" t="s">
        <v>21</v>
      </c>
      <c r="J1485" s="362" t="s">
        <v>3674</v>
      </c>
      <c r="K1485" s="362" t="s">
        <v>5853</v>
      </c>
      <c r="L1485" s="362" t="s">
        <v>4464</v>
      </c>
      <c r="M1485" s="362" t="s">
        <v>22</v>
      </c>
      <c r="N1485" s="362" t="s">
        <v>22</v>
      </c>
      <c r="O1485" s="362" t="s">
        <v>22</v>
      </c>
      <c r="P1485" s="363"/>
      <c r="Q1485" s="362"/>
      <c r="R1485" s="362"/>
      <c r="S1485" s="364"/>
      <c r="T1485" s="123"/>
      <c r="U1485" s="365"/>
      <c r="V1485" s="362"/>
      <c r="W1485" s="362"/>
      <c r="X1485" s="149"/>
      <c r="Y1485" s="45" t="s">
        <v>27</v>
      </c>
      <c r="Z1485" s="45" t="s">
        <v>27</v>
      </c>
      <c r="AA1485" s="51" t="s">
        <v>27</v>
      </c>
      <c r="AB1485" s="51"/>
      <c r="AC1485" s="169" t="s">
        <v>5975</v>
      </c>
    </row>
    <row r="1486" spans="1:29" ht="15" customHeight="1">
      <c r="A1486" s="62" t="s">
        <v>1244</v>
      </c>
      <c r="B1486" s="362" t="s">
        <v>5395</v>
      </c>
      <c r="C1486" s="362" t="s">
        <v>27</v>
      </c>
      <c r="D1486" s="362" t="s">
        <v>2761</v>
      </c>
      <c r="E1486" s="362" t="s">
        <v>17</v>
      </c>
      <c r="F1486" s="362">
        <v>4079805</v>
      </c>
      <c r="G1486" s="362"/>
      <c r="H1486" s="362" t="s">
        <v>3084</v>
      </c>
      <c r="I1486" s="362" t="s">
        <v>21</v>
      </c>
      <c r="J1486" s="362" t="s">
        <v>3674</v>
      </c>
      <c r="K1486" s="362" t="s">
        <v>5852</v>
      </c>
      <c r="L1486" s="362" t="s">
        <v>4464</v>
      </c>
      <c r="M1486" s="362" t="s">
        <v>22</v>
      </c>
      <c r="N1486" s="362" t="s">
        <v>22</v>
      </c>
      <c r="O1486" s="362" t="s">
        <v>22</v>
      </c>
      <c r="P1486" s="363"/>
      <c r="Q1486" s="362"/>
      <c r="R1486" s="362"/>
      <c r="S1486" s="364"/>
      <c r="T1486" s="123"/>
      <c r="U1486" s="365"/>
      <c r="V1486" s="362"/>
      <c r="W1486" s="362"/>
      <c r="X1486" s="149"/>
      <c r="Y1486" s="45" t="s">
        <v>27</v>
      </c>
      <c r="Z1486" s="45" t="s">
        <v>27</v>
      </c>
      <c r="AA1486" s="51" t="s">
        <v>27</v>
      </c>
      <c r="AB1486" s="51"/>
      <c r="AC1486" s="169" t="s">
        <v>5975</v>
      </c>
    </row>
    <row r="1487" spans="1:29" ht="15" customHeight="1">
      <c r="A1487" s="62" t="s">
        <v>1244</v>
      </c>
      <c r="B1487" s="362" t="s">
        <v>5396</v>
      </c>
      <c r="C1487" s="362" t="s">
        <v>27</v>
      </c>
      <c r="D1487" s="53" t="s">
        <v>2758</v>
      </c>
      <c r="E1487" s="362" t="s">
        <v>17</v>
      </c>
      <c r="F1487" s="362">
        <v>4079951</v>
      </c>
      <c r="G1487" s="362"/>
      <c r="H1487" s="362" t="s">
        <v>3084</v>
      </c>
      <c r="I1487" s="362" t="s">
        <v>21</v>
      </c>
      <c r="J1487" s="362" t="s">
        <v>3675</v>
      </c>
      <c r="K1487" s="362" t="s">
        <v>337</v>
      </c>
      <c r="L1487" s="362" t="s">
        <v>4464</v>
      </c>
      <c r="M1487" s="362" t="s">
        <v>22</v>
      </c>
      <c r="N1487" s="362" t="s">
        <v>22</v>
      </c>
      <c r="O1487" s="362" t="s">
        <v>22</v>
      </c>
      <c r="P1487" s="363"/>
      <c r="Q1487" s="362"/>
      <c r="R1487" s="362"/>
      <c r="S1487" s="364"/>
      <c r="T1487" s="123"/>
      <c r="U1487" s="365"/>
      <c r="V1487" s="362"/>
      <c r="W1487" s="362"/>
      <c r="X1487" s="149"/>
      <c r="Y1487" s="45" t="s">
        <v>27</v>
      </c>
      <c r="Z1487" s="45" t="s">
        <v>27</v>
      </c>
      <c r="AA1487" s="51" t="s">
        <v>27</v>
      </c>
      <c r="AB1487" s="51"/>
      <c r="AC1487" s="169"/>
    </row>
    <row r="1488" spans="1:29" ht="15" customHeight="1">
      <c r="A1488" s="62" t="s">
        <v>1244</v>
      </c>
      <c r="B1488" s="362" t="s">
        <v>5397</v>
      </c>
      <c r="C1488" s="362" t="s">
        <v>27</v>
      </c>
      <c r="D1488" s="53" t="s">
        <v>2758</v>
      </c>
      <c r="E1488" s="362" t="s">
        <v>17</v>
      </c>
      <c r="F1488" s="362">
        <v>4079815</v>
      </c>
      <c r="G1488" s="362"/>
      <c r="H1488" s="362" t="s">
        <v>3084</v>
      </c>
      <c r="I1488" s="362" t="s">
        <v>21</v>
      </c>
      <c r="J1488" s="362" t="s">
        <v>4787</v>
      </c>
      <c r="K1488" s="362" t="s">
        <v>1586</v>
      </c>
      <c r="L1488" s="362" t="s">
        <v>4464</v>
      </c>
      <c r="M1488" s="362" t="s">
        <v>22</v>
      </c>
      <c r="N1488" s="362" t="s">
        <v>27</v>
      </c>
      <c r="O1488" s="362" t="s">
        <v>22</v>
      </c>
      <c r="P1488" s="363"/>
      <c r="Q1488" s="362"/>
      <c r="R1488" s="362"/>
      <c r="S1488" s="364"/>
      <c r="T1488" s="123"/>
      <c r="U1488" s="365"/>
      <c r="V1488" s="362"/>
      <c r="W1488" s="362"/>
      <c r="X1488" s="149"/>
      <c r="Y1488" s="45" t="s">
        <v>27</v>
      </c>
      <c r="Z1488" s="45" t="s">
        <v>27</v>
      </c>
      <c r="AA1488" s="51" t="s">
        <v>27</v>
      </c>
      <c r="AB1488" s="51"/>
      <c r="AC1488" s="169"/>
    </row>
    <row r="1489" spans="1:29" ht="15" customHeight="1">
      <c r="A1489" s="62" t="s">
        <v>1244</v>
      </c>
      <c r="B1489" s="362" t="s">
        <v>5398</v>
      </c>
      <c r="C1489" s="362" t="s">
        <v>27</v>
      </c>
      <c r="D1489" s="53" t="s">
        <v>2758</v>
      </c>
      <c r="E1489" s="362" t="s">
        <v>17</v>
      </c>
      <c r="F1489" s="362">
        <v>4079942</v>
      </c>
      <c r="G1489" s="362"/>
      <c r="H1489" s="362" t="s">
        <v>3084</v>
      </c>
      <c r="I1489" s="362" t="s">
        <v>21</v>
      </c>
      <c r="J1489" s="362" t="s">
        <v>4787</v>
      </c>
      <c r="K1489" s="362" t="s">
        <v>206</v>
      </c>
      <c r="L1489" s="362" t="s">
        <v>4464</v>
      </c>
      <c r="M1489" s="362" t="s">
        <v>22</v>
      </c>
      <c r="N1489" s="362" t="s">
        <v>27</v>
      </c>
      <c r="O1489" s="362" t="s">
        <v>22</v>
      </c>
      <c r="P1489" s="363"/>
      <c r="Q1489" s="362"/>
      <c r="R1489" s="362"/>
      <c r="S1489" s="364"/>
      <c r="T1489" s="123"/>
      <c r="U1489" s="365"/>
      <c r="V1489" s="362"/>
      <c r="W1489" s="362"/>
      <c r="X1489" s="149"/>
      <c r="Y1489" s="45" t="s">
        <v>27</v>
      </c>
      <c r="Z1489" s="45" t="s">
        <v>27</v>
      </c>
      <c r="AA1489" s="51" t="s">
        <v>27</v>
      </c>
      <c r="AB1489" s="51"/>
      <c r="AC1489" s="169"/>
    </row>
    <row r="1490" spans="1:29" ht="15" customHeight="1">
      <c r="A1490" s="62" t="s">
        <v>1244</v>
      </c>
      <c r="B1490" s="362" t="s">
        <v>5399</v>
      </c>
      <c r="C1490" s="362" t="s">
        <v>27</v>
      </c>
      <c r="D1490" s="53" t="s">
        <v>2758</v>
      </c>
      <c r="E1490" s="362" t="s">
        <v>17</v>
      </c>
      <c r="F1490" s="362">
        <v>4079888</v>
      </c>
      <c r="G1490" s="362"/>
      <c r="H1490" s="362" t="s">
        <v>3084</v>
      </c>
      <c r="I1490" s="362" t="s">
        <v>21</v>
      </c>
      <c r="J1490" s="362" t="s">
        <v>4787</v>
      </c>
      <c r="K1490" s="362" t="s">
        <v>337</v>
      </c>
      <c r="L1490" s="362" t="s">
        <v>4464</v>
      </c>
      <c r="M1490" s="362" t="s">
        <v>22</v>
      </c>
      <c r="N1490" s="362" t="s">
        <v>27</v>
      </c>
      <c r="O1490" s="362" t="s">
        <v>22</v>
      </c>
      <c r="P1490" s="363"/>
      <c r="Q1490" s="362"/>
      <c r="R1490" s="362"/>
      <c r="S1490" s="364"/>
      <c r="T1490" s="123"/>
      <c r="U1490" s="365"/>
      <c r="V1490" s="362"/>
      <c r="W1490" s="362"/>
      <c r="X1490" s="149"/>
      <c r="Y1490" s="45" t="s">
        <v>27</v>
      </c>
      <c r="Z1490" s="45" t="s">
        <v>27</v>
      </c>
      <c r="AA1490" s="51" t="s">
        <v>27</v>
      </c>
      <c r="AB1490" s="51"/>
      <c r="AC1490" s="169"/>
    </row>
    <row r="1491" spans="1:29" ht="45">
      <c r="A1491" s="62" t="s">
        <v>1244</v>
      </c>
      <c r="B1491" s="362" t="s">
        <v>5748</v>
      </c>
      <c r="C1491" s="362" t="s">
        <v>27</v>
      </c>
      <c r="D1491" s="369" t="s">
        <v>2758</v>
      </c>
      <c r="E1491" s="362" t="s">
        <v>17</v>
      </c>
      <c r="F1491" s="362">
        <v>4079836</v>
      </c>
      <c r="G1491" s="362"/>
      <c r="H1491" s="362" t="s">
        <v>3084</v>
      </c>
      <c r="I1491" s="362" t="s">
        <v>60</v>
      </c>
      <c r="J1491" s="362" t="s">
        <v>5749</v>
      </c>
      <c r="K1491" s="362" t="s">
        <v>5832</v>
      </c>
      <c r="L1491" s="362" t="s">
        <v>4464</v>
      </c>
      <c r="M1491" s="362" t="s">
        <v>22</v>
      </c>
      <c r="N1491" s="362" t="s">
        <v>27</v>
      </c>
      <c r="O1491" s="362" t="s">
        <v>22</v>
      </c>
      <c r="P1491" s="363"/>
      <c r="Q1491" s="362"/>
      <c r="R1491" s="362"/>
      <c r="S1491" s="364"/>
      <c r="T1491" s="123"/>
      <c r="U1491" s="365"/>
      <c r="V1491" s="362"/>
      <c r="W1491" s="362"/>
      <c r="X1491" s="149"/>
      <c r="Y1491" s="45" t="s">
        <v>27</v>
      </c>
      <c r="Z1491" s="45" t="s">
        <v>27</v>
      </c>
      <c r="AA1491" s="51" t="s">
        <v>27</v>
      </c>
      <c r="AB1491" s="51"/>
      <c r="AC1491" s="385" t="s">
        <v>5818</v>
      </c>
    </row>
    <row r="1492" spans="1:29" ht="15" customHeight="1">
      <c r="A1492" s="62" t="s">
        <v>1244</v>
      </c>
      <c r="B1492" s="362" t="s">
        <v>5400</v>
      </c>
      <c r="C1492" s="362" t="s">
        <v>27</v>
      </c>
      <c r="D1492" s="289" t="s">
        <v>2759</v>
      </c>
      <c r="E1492" s="362" t="s">
        <v>17</v>
      </c>
      <c r="F1492" s="362">
        <v>4079892</v>
      </c>
      <c r="G1492" s="362"/>
      <c r="H1492" s="362" t="s">
        <v>3084</v>
      </c>
      <c r="I1492" s="362" t="s">
        <v>21</v>
      </c>
      <c r="J1492" s="362" t="s">
        <v>876</v>
      </c>
      <c r="K1492" s="362" t="s">
        <v>206</v>
      </c>
      <c r="L1492" s="362" t="s">
        <v>4464</v>
      </c>
      <c r="M1492" s="362" t="s">
        <v>22</v>
      </c>
      <c r="N1492" s="362" t="s">
        <v>27</v>
      </c>
      <c r="O1492" s="362" t="s">
        <v>22</v>
      </c>
      <c r="P1492" s="363"/>
      <c r="Q1492" s="362"/>
      <c r="R1492" s="362"/>
      <c r="S1492" s="364"/>
      <c r="T1492" s="123"/>
      <c r="U1492" s="365"/>
      <c r="V1492" s="362"/>
      <c r="W1492" s="362"/>
      <c r="X1492" s="149"/>
      <c r="Y1492" s="45" t="s">
        <v>27</v>
      </c>
      <c r="Z1492" s="45" t="s">
        <v>27</v>
      </c>
      <c r="AA1492" s="51" t="s">
        <v>27</v>
      </c>
      <c r="AB1492" s="51"/>
      <c r="AC1492" s="169"/>
    </row>
    <row r="1493" spans="1:29" ht="15.75">
      <c r="A1493" s="62" t="s">
        <v>1244</v>
      </c>
      <c r="B1493" s="362" t="s">
        <v>5401</v>
      </c>
      <c r="C1493" s="362" t="s">
        <v>27</v>
      </c>
      <c r="D1493" s="289" t="s">
        <v>2759</v>
      </c>
      <c r="E1493" s="362" t="s">
        <v>17</v>
      </c>
      <c r="F1493" s="362">
        <v>4079813</v>
      </c>
      <c r="G1493" s="362"/>
      <c r="H1493" s="362" t="s">
        <v>3084</v>
      </c>
      <c r="I1493" s="362" t="s">
        <v>21</v>
      </c>
      <c r="J1493" s="362" t="s">
        <v>876</v>
      </c>
      <c r="K1493" s="362" t="s">
        <v>3650</v>
      </c>
      <c r="L1493" s="362" t="s">
        <v>4464</v>
      </c>
      <c r="M1493" s="362" t="s">
        <v>22</v>
      </c>
      <c r="N1493" s="362" t="s">
        <v>27</v>
      </c>
      <c r="O1493" s="362" t="s">
        <v>22</v>
      </c>
      <c r="P1493" s="363"/>
      <c r="Q1493" s="362"/>
      <c r="R1493" s="362"/>
      <c r="S1493" s="364"/>
      <c r="T1493" s="123"/>
      <c r="U1493" s="365"/>
      <c r="V1493" s="362"/>
      <c r="W1493" s="362"/>
      <c r="X1493" s="149"/>
      <c r="Y1493" s="45" t="s">
        <v>27</v>
      </c>
      <c r="Z1493" s="45" t="s">
        <v>27</v>
      </c>
      <c r="AA1493" s="51" t="s">
        <v>27</v>
      </c>
      <c r="AB1493" s="51"/>
      <c r="AC1493" s="169"/>
    </row>
    <row r="1494" spans="1:29" ht="15.75">
      <c r="A1494" s="62" t="s">
        <v>1244</v>
      </c>
      <c r="B1494" s="362" t="s">
        <v>5402</v>
      </c>
      <c r="C1494" s="362" t="s">
        <v>27</v>
      </c>
      <c r="D1494" s="369" t="s">
        <v>2758</v>
      </c>
      <c r="E1494" s="362" t="s">
        <v>17</v>
      </c>
      <c r="F1494" s="362">
        <v>4079889</v>
      </c>
      <c r="G1494" s="362"/>
      <c r="H1494" s="362" t="s">
        <v>3084</v>
      </c>
      <c r="I1494" s="362" t="s">
        <v>21</v>
      </c>
      <c r="J1494" s="362" t="s">
        <v>3674</v>
      </c>
      <c r="K1494" s="362" t="s">
        <v>337</v>
      </c>
      <c r="L1494" s="362" t="s">
        <v>4464</v>
      </c>
      <c r="M1494" s="362" t="s">
        <v>22</v>
      </c>
      <c r="N1494" s="362" t="s">
        <v>22</v>
      </c>
      <c r="O1494" s="362" t="s">
        <v>22</v>
      </c>
      <c r="P1494" s="363"/>
      <c r="Q1494" s="362"/>
      <c r="R1494" s="362"/>
      <c r="S1494" s="364"/>
      <c r="T1494" s="123"/>
      <c r="U1494" s="365"/>
      <c r="V1494" s="362"/>
      <c r="W1494" s="362"/>
      <c r="X1494" s="149"/>
      <c r="Y1494" s="45" t="s">
        <v>27</v>
      </c>
      <c r="Z1494" s="45" t="s">
        <v>27</v>
      </c>
      <c r="AA1494" s="51" t="s">
        <v>27</v>
      </c>
      <c r="AB1494" s="51"/>
      <c r="AC1494" s="169"/>
    </row>
    <row r="1495" spans="1:29" ht="15.75">
      <c r="A1495" s="62" t="s">
        <v>1244</v>
      </c>
      <c r="B1495" s="362" t="s">
        <v>5403</v>
      </c>
      <c r="C1495" s="362" t="s">
        <v>27</v>
      </c>
      <c r="D1495" s="289" t="s">
        <v>2759</v>
      </c>
      <c r="E1495" s="362" t="s">
        <v>17</v>
      </c>
      <c r="F1495" s="362">
        <v>4079855</v>
      </c>
      <c r="G1495" s="362"/>
      <c r="H1495" s="362" t="s">
        <v>3084</v>
      </c>
      <c r="I1495" s="362" t="s">
        <v>21</v>
      </c>
      <c r="J1495" s="362" t="s">
        <v>3674</v>
      </c>
      <c r="K1495" s="362" t="s">
        <v>5853</v>
      </c>
      <c r="L1495" s="362" t="s">
        <v>4464</v>
      </c>
      <c r="M1495" s="362" t="s">
        <v>22</v>
      </c>
      <c r="N1495" s="362" t="s">
        <v>22</v>
      </c>
      <c r="O1495" s="362" t="s">
        <v>22</v>
      </c>
      <c r="P1495" s="363"/>
      <c r="Q1495" s="362"/>
      <c r="R1495" s="362"/>
      <c r="S1495" s="364"/>
      <c r="T1495" s="123"/>
      <c r="U1495" s="365"/>
      <c r="V1495" s="362"/>
      <c r="W1495" s="362"/>
      <c r="X1495" s="149"/>
      <c r="Y1495" s="45" t="s">
        <v>27</v>
      </c>
      <c r="Z1495" s="45" t="s">
        <v>27</v>
      </c>
      <c r="AA1495" s="51" t="s">
        <v>27</v>
      </c>
      <c r="AB1495" s="51"/>
      <c r="AC1495" s="169"/>
    </row>
    <row r="1496" spans="1:29" ht="15.75">
      <c r="A1496" s="62" t="s">
        <v>1244</v>
      </c>
      <c r="B1496" s="362" t="s">
        <v>5404</v>
      </c>
      <c r="C1496" s="362" t="s">
        <v>27</v>
      </c>
      <c r="D1496" s="53" t="s">
        <v>2761</v>
      </c>
      <c r="E1496" s="362" t="s">
        <v>17</v>
      </c>
      <c r="F1496" s="362">
        <v>4079796</v>
      </c>
      <c r="G1496" s="362"/>
      <c r="H1496" s="362" t="s">
        <v>3084</v>
      </c>
      <c r="I1496" s="362" t="s">
        <v>21</v>
      </c>
      <c r="J1496" s="362" t="s">
        <v>3675</v>
      </c>
      <c r="K1496" s="362" t="s">
        <v>5852</v>
      </c>
      <c r="L1496" s="362" t="s">
        <v>4464</v>
      </c>
      <c r="M1496" s="362" t="s">
        <v>22</v>
      </c>
      <c r="N1496" s="362" t="s">
        <v>22</v>
      </c>
      <c r="O1496" s="362" t="s">
        <v>22</v>
      </c>
      <c r="P1496" s="363"/>
      <c r="Q1496" s="362"/>
      <c r="R1496" s="362"/>
      <c r="S1496" s="364"/>
      <c r="T1496" s="123"/>
      <c r="U1496" s="365"/>
      <c r="V1496" s="362"/>
      <c r="W1496" s="362"/>
      <c r="X1496" s="149"/>
      <c r="Y1496" s="45" t="s">
        <v>27</v>
      </c>
      <c r="Z1496" s="45" t="s">
        <v>27</v>
      </c>
      <c r="AA1496" s="51" t="s">
        <v>27</v>
      </c>
      <c r="AB1496" s="51"/>
      <c r="AC1496" s="169" t="s">
        <v>5975</v>
      </c>
    </row>
    <row r="1497" spans="1:29" ht="45">
      <c r="A1497" s="62" t="s">
        <v>1244</v>
      </c>
      <c r="B1497" s="362" t="s">
        <v>5405</v>
      </c>
      <c r="C1497" s="362" t="s">
        <v>27</v>
      </c>
      <c r="D1497" s="369" t="s">
        <v>2758</v>
      </c>
      <c r="E1497" s="362" t="s">
        <v>17</v>
      </c>
      <c r="F1497" s="362">
        <v>4079808</v>
      </c>
      <c r="G1497" s="362"/>
      <c r="H1497" s="362" t="s">
        <v>3084</v>
      </c>
      <c r="I1497" s="362" t="s">
        <v>60</v>
      </c>
      <c r="J1497" s="362" t="s">
        <v>5749</v>
      </c>
      <c r="K1497" s="362" t="s">
        <v>5832</v>
      </c>
      <c r="L1497" s="362" t="s">
        <v>4464</v>
      </c>
      <c r="M1497" s="362" t="s">
        <v>22</v>
      </c>
      <c r="N1497" s="362" t="s">
        <v>22</v>
      </c>
      <c r="O1497" s="362" t="s">
        <v>22</v>
      </c>
      <c r="P1497" s="363"/>
      <c r="Q1497" s="362"/>
      <c r="R1497" s="362"/>
      <c r="S1497" s="364"/>
      <c r="T1497" s="123"/>
      <c r="U1497" s="365"/>
      <c r="V1497" s="362"/>
      <c r="W1497" s="362"/>
      <c r="X1497" s="149"/>
      <c r="Y1497" s="45" t="s">
        <v>27</v>
      </c>
      <c r="Z1497" s="45" t="s">
        <v>27</v>
      </c>
      <c r="AA1497" s="51" t="s">
        <v>27</v>
      </c>
      <c r="AB1497" s="51"/>
      <c r="AC1497" s="385" t="s">
        <v>5818</v>
      </c>
    </row>
    <row r="1498" spans="1:29" ht="15.75">
      <c r="A1498" s="62" t="s">
        <v>1244</v>
      </c>
      <c r="B1498" s="362" t="s">
        <v>5406</v>
      </c>
      <c r="C1498" s="362" t="s">
        <v>27</v>
      </c>
      <c r="D1498" s="369" t="s">
        <v>2758</v>
      </c>
      <c r="E1498" s="362" t="s">
        <v>17</v>
      </c>
      <c r="F1498" s="362">
        <v>4079852</v>
      </c>
      <c r="G1498" s="362"/>
      <c r="H1498" s="362" t="s">
        <v>3084</v>
      </c>
      <c r="I1498" s="362" t="s">
        <v>21</v>
      </c>
      <c r="J1498" s="362" t="s">
        <v>1025</v>
      </c>
      <c r="K1498" s="362" t="s">
        <v>206</v>
      </c>
      <c r="L1498" s="362" t="s">
        <v>4464</v>
      </c>
      <c r="M1498" s="362" t="s">
        <v>22</v>
      </c>
      <c r="N1498" s="362" t="s">
        <v>27</v>
      </c>
      <c r="O1498" s="362" t="s">
        <v>22</v>
      </c>
      <c r="P1498" s="363"/>
      <c r="Q1498" s="362"/>
      <c r="R1498" s="362"/>
      <c r="S1498" s="364"/>
      <c r="T1498" s="123"/>
      <c r="U1498" s="365"/>
      <c r="V1498" s="362"/>
      <c r="W1498" s="362"/>
      <c r="X1498" s="149"/>
      <c r="Y1498" s="45" t="s">
        <v>27</v>
      </c>
      <c r="Z1498" s="45" t="s">
        <v>27</v>
      </c>
      <c r="AA1498" s="51" t="s">
        <v>27</v>
      </c>
      <c r="AB1498" s="51"/>
      <c r="AC1498" s="169"/>
    </row>
    <row r="1499" spans="1:29" ht="15.75">
      <c r="A1499" s="62" t="s">
        <v>1244</v>
      </c>
      <c r="B1499" s="362" t="s">
        <v>5407</v>
      </c>
      <c r="C1499" s="362" t="s">
        <v>27</v>
      </c>
      <c r="D1499" s="369" t="s">
        <v>2758</v>
      </c>
      <c r="E1499" s="362" t="s">
        <v>17</v>
      </c>
      <c r="F1499" s="362">
        <v>4079885</v>
      </c>
      <c r="G1499" s="362"/>
      <c r="H1499" s="362" t="s">
        <v>3084</v>
      </c>
      <c r="I1499" s="362" t="s">
        <v>21</v>
      </c>
      <c r="J1499" s="362" t="s">
        <v>1025</v>
      </c>
      <c r="K1499" s="362" t="s">
        <v>3650</v>
      </c>
      <c r="L1499" s="362" t="s">
        <v>4464</v>
      </c>
      <c r="M1499" s="362" t="s">
        <v>22</v>
      </c>
      <c r="N1499" s="362" t="s">
        <v>27</v>
      </c>
      <c r="O1499" s="362" t="s">
        <v>22</v>
      </c>
      <c r="P1499" s="363"/>
      <c r="Q1499" s="362"/>
      <c r="R1499" s="362"/>
      <c r="S1499" s="364"/>
      <c r="T1499" s="123"/>
      <c r="U1499" s="365"/>
      <c r="V1499" s="362"/>
      <c r="W1499" s="362"/>
      <c r="X1499" s="149"/>
      <c r="Y1499" s="45" t="s">
        <v>27</v>
      </c>
      <c r="Z1499" s="45" t="s">
        <v>27</v>
      </c>
      <c r="AA1499" s="51" t="s">
        <v>27</v>
      </c>
      <c r="AB1499" s="51"/>
      <c r="AC1499" s="169"/>
    </row>
    <row r="1500" spans="1:29" ht="60">
      <c r="A1500" s="62" t="s">
        <v>1244</v>
      </c>
      <c r="B1500" s="362" t="s">
        <v>5408</v>
      </c>
      <c r="C1500" s="362" t="s">
        <v>27</v>
      </c>
      <c r="D1500" s="369" t="s">
        <v>2758</v>
      </c>
      <c r="E1500" s="362" t="s">
        <v>17</v>
      </c>
      <c r="F1500" s="362">
        <v>4079906</v>
      </c>
      <c r="G1500" s="362"/>
      <c r="H1500" s="362" t="s">
        <v>3084</v>
      </c>
      <c r="I1500" s="362" t="s">
        <v>60</v>
      </c>
      <c r="J1500" s="362" t="s">
        <v>5599</v>
      </c>
      <c r="K1500" s="362" t="s">
        <v>5820</v>
      </c>
      <c r="L1500" s="362" t="s">
        <v>4464</v>
      </c>
      <c r="M1500" s="362" t="s">
        <v>22</v>
      </c>
      <c r="N1500" s="362" t="s">
        <v>22</v>
      </c>
      <c r="O1500" s="362" t="s">
        <v>22</v>
      </c>
      <c r="P1500" s="363"/>
      <c r="Q1500" s="362"/>
      <c r="R1500" s="362"/>
      <c r="S1500" s="364"/>
      <c r="T1500" s="123"/>
      <c r="U1500" s="365"/>
      <c r="V1500" s="362"/>
      <c r="W1500" s="362"/>
      <c r="X1500" s="149">
        <v>43430</v>
      </c>
      <c r="Y1500" s="45" t="s">
        <v>27</v>
      </c>
      <c r="Z1500" s="45" t="s">
        <v>27</v>
      </c>
      <c r="AA1500" s="51" t="s">
        <v>27</v>
      </c>
      <c r="AB1500" s="51"/>
      <c r="AC1500" s="403" t="s">
        <v>5873</v>
      </c>
    </row>
    <row r="1501" spans="1:29" ht="15.75">
      <c r="A1501" s="62" t="s">
        <v>1244</v>
      </c>
      <c r="B1501" s="362" t="s">
        <v>5409</v>
      </c>
      <c r="C1501" s="362" t="s">
        <v>27</v>
      </c>
      <c r="D1501" s="289" t="s">
        <v>2759</v>
      </c>
      <c r="E1501" s="362" t="s">
        <v>17</v>
      </c>
      <c r="F1501" s="362">
        <v>4079814</v>
      </c>
      <c r="G1501" s="362"/>
      <c r="H1501" s="362" t="s">
        <v>3084</v>
      </c>
      <c r="I1501" s="362" t="s">
        <v>21</v>
      </c>
      <c r="J1501" s="362" t="s">
        <v>1025</v>
      </c>
      <c r="K1501" s="362" t="s">
        <v>3650</v>
      </c>
      <c r="L1501" s="362" t="s">
        <v>4464</v>
      </c>
      <c r="M1501" s="362" t="s">
        <v>22</v>
      </c>
      <c r="N1501" s="362" t="s">
        <v>27</v>
      </c>
      <c r="O1501" s="362" t="s">
        <v>22</v>
      </c>
      <c r="P1501" s="363"/>
      <c r="Q1501" s="362"/>
      <c r="R1501" s="362"/>
      <c r="S1501" s="364"/>
      <c r="T1501" s="123"/>
      <c r="U1501" s="365"/>
      <c r="V1501" s="362"/>
      <c r="W1501" s="362"/>
      <c r="X1501" s="149"/>
      <c r="Y1501" s="45" t="s">
        <v>27</v>
      </c>
      <c r="Z1501" s="45" t="s">
        <v>27</v>
      </c>
      <c r="AA1501" s="51" t="s">
        <v>27</v>
      </c>
      <c r="AB1501" s="51"/>
      <c r="AC1501" s="169"/>
    </row>
    <row r="1502" spans="1:29" ht="30">
      <c r="A1502" s="62" t="s">
        <v>1244</v>
      </c>
      <c r="B1502" s="362" t="s">
        <v>5410</v>
      </c>
      <c r="C1502" s="362" t="s">
        <v>27</v>
      </c>
      <c r="D1502" s="289" t="s">
        <v>2759</v>
      </c>
      <c r="E1502" s="362" t="s">
        <v>17</v>
      </c>
      <c r="F1502" s="362">
        <v>4079789</v>
      </c>
      <c r="G1502" s="362"/>
      <c r="H1502" s="362" t="s">
        <v>3084</v>
      </c>
      <c r="I1502" s="362" t="s">
        <v>21</v>
      </c>
      <c r="J1502" s="362" t="s">
        <v>1025</v>
      </c>
      <c r="K1502" s="362" t="s">
        <v>206</v>
      </c>
      <c r="L1502" s="362" t="s">
        <v>4464</v>
      </c>
      <c r="M1502" s="362" t="s">
        <v>22</v>
      </c>
      <c r="N1502" s="362" t="s">
        <v>27</v>
      </c>
      <c r="O1502" s="362" t="s">
        <v>22</v>
      </c>
      <c r="P1502" s="363"/>
      <c r="Q1502" s="362"/>
      <c r="R1502" s="362"/>
      <c r="S1502" s="364"/>
      <c r="T1502" s="123"/>
      <c r="U1502" s="365"/>
      <c r="V1502" s="362"/>
      <c r="W1502" s="362"/>
      <c r="X1502" s="149"/>
      <c r="Y1502" s="45" t="s">
        <v>27</v>
      </c>
      <c r="Z1502" s="45" t="s">
        <v>27</v>
      </c>
      <c r="AA1502" s="51" t="s">
        <v>27</v>
      </c>
      <c r="AB1502" s="51"/>
      <c r="AC1502" s="385" t="s">
        <v>5817</v>
      </c>
    </row>
    <row r="1503" spans="1:29" ht="45">
      <c r="A1503" s="62" t="s">
        <v>1244</v>
      </c>
      <c r="B1503" s="362" t="s">
        <v>5411</v>
      </c>
      <c r="C1503" s="362" t="s">
        <v>27</v>
      </c>
      <c r="D1503" s="369" t="s">
        <v>2758</v>
      </c>
      <c r="E1503" s="362" t="s">
        <v>17</v>
      </c>
      <c r="F1503" s="362">
        <v>4079807</v>
      </c>
      <c r="G1503" s="362"/>
      <c r="H1503" s="362" t="s">
        <v>3084</v>
      </c>
      <c r="I1503" s="362" t="s">
        <v>60</v>
      </c>
      <c r="J1503" s="407" t="s">
        <v>5829</v>
      </c>
      <c r="K1503" s="362" t="s">
        <v>5861</v>
      </c>
      <c r="L1503" s="362" t="s">
        <v>4464</v>
      </c>
      <c r="M1503" s="362" t="s">
        <v>22</v>
      </c>
      <c r="N1503" s="362" t="s">
        <v>22</v>
      </c>
      <c r="O1503" s="362" t="s">
        <v>22</v>
      </c>
      <c r="P1503" s="363"/>
      <c r="Q1503" s="362"/>
      <c r="R1503" s="362"/>
      <c r="S1503" s="364"/>
      <c r="T1503" s="123"/>
      <c r="U1503" s="365"/>
      <c r="V1503" s="362"/>
      <c r="W1503" s="362"/>
      <c r="X1503" s="149"/>
      <c r="Y1503" s="45" t="s">
        <v>27</v>
      </c>
      <c r="Z1503" s="45" t="s">
        <v>27</v>
      </c>
      <c r="AA1503" s="51" t="s">
        <v>27</v>
      </c>
      <c r="AB1503" s="51"/>
      <c r="AC1503" s="169"/>
    </row>
    <row r="1504" spans="1:29" ht="45">
      <c r="A1504" s="62" t="s">
        <v>1244</v>
      </c>
      <c r="B1504" s="362" t="s">
        <v>5412</v>
      </c>
      <c r="C1504" s="362" t="s">
        <v>27</v>
      </c>
      <c r="D1504" s="369" t="s">
        <v>2758</v>
      </c>
      <c r="E1504" s="362" t="s">
        <v>17</v>
      </c>
      <c r="F1504" s="362">
        <v>4079974</v>
      </c>
      <c r="G1504" s="362"/>
      <c r="H1504" s="362" t="s">
        <v>3084</v>
      </c>
      <c r="I1504" s="362" t="s">
        <v>60</v>
      </c>
      <c r="J1504" s="407" t="s">
        <v>5829</v>
      </c>
      <c r="K1504" s="362" t="s">
        <v>5861</v>
      </c>
      <c r="L1504" s="362" t="s">
        <v>4464</v>
      </c>
      <c r="M1504" s="362" t="s">
        <v>22</v>
      </c>
      <c r="N1504" s="362" t="s">
        <v>22</v>
      </c>
      <c r="O1504" s="362" t="s">
        <v>22</v>
      </c>
      <c r="P1504" s="363"/>
      <c r="Q1504" s="362"/>
      <c r="R1504" s="362"/>
      <c r="S1504" s="364"/>
      <c r="T1504" s="123"/>
      <c r="U1504" s="365"/>
      <c r="V1504" s="362"/>
      <c r="W1504" s="362"/>
      <c r="X1504" s="149"/>
      <c r="Y1504" s="45" t="s">
        <v>27</v>
      </c>
      <c r="Z1504" s="45" t="s">
        <v>27</v>
      </c>
      <c r="AA1504" s="51" t="s">
        <v>27</v>
      </c>
      <c r="AB1504" s="51"/>
      <c r="AC1504" s="169"/>
    </row>
    <row r="1505" spans="1:29" ht="60">
      <c r="A1505" s="62" t="s">
        <v>1244</v>
      </c>
      <c r="B1505" s="362" t="s">
        <v>5413</v>
      </c>
      <c r="C1505" s="362" t="s">
        <v>27</v>
      </c>
      <c r="D1505" s="369" t="s">
        <v>2758</v>
      </c>
      <c r="E1505" s="362" t="s">
        <v>17</v>
      </c>
      <c r="F1505" s="362">
        <v>4079462</v>
      </c>
      <c r="G1505" s="362"/>
      <c r="H1505" s="362" t="s">
        <v>3084</v>
      </c>
      <c r="I1505" s="362" t="s">
        <v>60</v>
      </c>
      <c r="J1505" s="362" t="s">
        <v>5599</v>
      </c>
      <c r="K1505" s="362" t="s">
        <v>5820</v>
      </c>
      <c r="L1505" s="362" t="s">
        <v>4464</v>
      </c>
      <c r="M1505" s="362" t="s">
        <v>22</v>
      </c>
      <c r="N1505" s="362" t="s">
        <v>22</v>
      </c>
      <c r="O1505" s="362" t="s">
        <v>22</v>
      </c>
      <c r="P1505" s="363"/>
      <c r="Q1505" s="362"/>
      <c r="R1505" s="362"/>
      <c r="S1505" s="364"/>
      <c r="T1505" s="123"/>
      <c r="U1505" s="365"/>
      <c r="V1505" s="362"/>
      <c r="W1505" s="362"/>
      <c r="X1505" s="149">
        <v>43430</v>
      </c>
      <c r="Y1505" s="45" t="s">
        <v>27</v>
      </c>
      <c r="Z1505" s="45" t="s">
        <v>27</v>
      </c>
      <c r="AA1505" s="51" t="s">
        <v>27</v>
      </c>
      <c r="AB1505" s="51"/>
      <c r="AC1505" s="403" t="s">
        <v>5873</v>
      </c>
    </row>
    <row r="1506" spans="1:29" ht="75">
      <c r="A1506" s="62" t="s">
        <v>1244</v>
      </c>
      <c r="B1506" s="375" t="s">
        <v>5414</v>
      </c>
      <c r="C1506" s="362" t="s">
        <v>27</v>
      </c>
      <c r="D1506" s="369" t="s">
        <v>2758</v>
      </c>
      <c r="E1506" s="362" t="s">
        <v>17</v>
      </c>
      <c r="F1506" s="362">
        <v>4079503</v>
      </c>
      <c r="G1506" s="362"/>
      <c r="H1506" s="362" t="s">
        <v>3084</v>
      </c>
      <c r="I1506" s="362" t="s">
        <v>60</v>
      </c>
      <c r="J1506" s="362" t="s">
        <v>5755</v>
      </c>
      <c r="K1506" s="362" t="s">
        <v>5822</v>
      </c>
      <c r="L1506" s="362" t="s">
        <v>4464</v>
      </c>
      <c r="M1506" s="362" t="s">
        <v>22</v>
      </c>
      <c r="N1506" s="362" t="s">
        <v>22</v>
      </c>
      <c r="O1506" s="362" t="s">
        <v>22</v>
      </c>
      <c r="P1506" s="363"/>
      <c r="Q1506" s="362"/>
      <c r="R1506" s="362"/>
      <c r="S1506" s="364"/>
      <c r="T1506" s="123"/>
      <c r="U1506" s="365"/>
      <c r="V1506" s="362"/>
      <c r="W1506" s="362"/>
      <c r="X1506" s="149">
        <v>43430</v>
      </c>
      <c r="Y1506" s="45" t="s">
        <v>27</v>
      </c>
      <c r="Z1506" s="45" t="s">
        <v>27</v>
      </c>
      <c r="AA1506" s="51" t="s">
        <v>27</v>
      </c>
      <c r="AB1506" s="51"/>
      <c r="AC1506" s="439" t="s">
        <v>5985</v>
      </c>
    </row>
    <row r="1507" spans="1:29" ht="30">
      <c r="A1507" s="362" t="s">
        <v>364</v>
      </c>
      <c r="B1507" s="362" t="s">
        <v>5492</v>
      </c>
      <c r="C1507" s="362" t="s">
        <v>27</v>
      </c>
      <c r="D1507" s="369" t="s">
        <v>2758</v>
      </c>
      <c r="E1507" s="290" t="s">
        <v>5533</v>
      </c>
      <c r="F1507" s="378" t="s">
        <v>5782</v>
      </c>
      <c r="G1507" s="362" t="s">
        <v>5496</v>
      </c>
      <c r="H1507" s="362" t="s">
        <v>3084</v>
      </c>
      <c r="I1507" s="362" t="s">
        <v>21</v>
      </c>
      <c r="J1507" s="362" t="s">
        <v>3677</v>
      </c>
      <c r="K1507" s="362" t="s">
        <v>337</v>
      </c>
      <c r="L1507" s="362" t="s">
        <v>4464</v>
      </c>
      <c r="M1507" s="362" t="s">
        <v>22</v>
      </c>
      <c r="N1507" s="362" t="s">
        <v>22</v>
      </c>
      <c r="O1507" s="362" t="s">
        <v>3639</v>
      </c>
      <c r="P1507" s="363" t="s">
        <v>5517</v>
      </c>
      <c r="Q1507" s="362" t="s">
        <v>5518</v>
      </c>
      <c r="R1507" s="362" t="s">
        <v>5529</v>
      </c>
      <c r="S1507" s="364" t="s">
        <v>5522</v>
      </c>
      <c r="T1507" s="123" t="s">
        <v>5530</v>
      </c>
      <c r="U1507" s="357">
        <v>440152289915</v>
      </c>
      <c r="V1507" s="362"/>
      <c r="W1507" s="362"/>
      <c r="X1507" s="149"/>
      <c r="Y1507" s="45" t="s">
        <v>27</v>
      </c>
      <c r="Z1507" s="45" t="s">
        <v>27</v>
      </c>
      <c r="AA1507" s="51" t="s">
        <v>22</v>
      </c>
      <c r="AB1507" s="51" t="s">
        <v>2475</v>
      </c>
      <c r="AC1507" s="430" t="s">
        <v>5940</v>
      </c>
    </row>
    <row r="1508" spans="1:29" ht="45">
      <c r="A1508" s="362" t="s">
        <v>364</v>
      </c>
      <c r="B1508" s="362" t="s">
        <v>5493</v>
      </c>
      <c r="C1508" s="362" t="s">
        <v>27</v>
      </c>
      <c r="D1508" s="289" t="s">
        <v>25</v>
      </c>
      <c r="E1508" s="290" t="s">
        <v>5533</v>
      </c>
      <c r="F1508" s="378" t="s">
        <v>5783</v>
      </c>
      <c r="G1508" s="362" t="s">
        <v>5496</v>
      </c>
      <c r="H1508" s="362" t="s">
        <v>3084</v>
      </c>
      <c r="I1508" s="362" t="s">
        <v>21</v>
      </c>
      <c r="J1508" s="362" t="s">
        <v>2259</v>
      </c>
      <c r="K1508" s="362" t="s">
        <v>337</v>
      </c>
      <c r="L1508" s="362" t="s">
        <v>4464</v>
      </c>
      <c r="M1508" s="362" t="s">
        <v>22</v>
      </c>
      <c r="N1508" s="362" t="s">
        <v>22</v>
      </c>
      <c r="O1508" s="362" t="s">
        <v>3639</v>
      </c>
      <c r="P1508" s="363" t="s">
        <v>5517</v>
      </c>
      <c r="Q1508" s="362" t="s">
        <v>5519</v>
      </c>
      <c r="R1508" s="362" t="s">
        <v>5528</v>
      </c>
      <c r="S1508" s="364" t="s">
        <v>5523</v>
      </c>
      <c r="T1508" s="123" t="s">
        <v>5531</v>
      </c>
      <c r="U1508" s="357">
        <v>440152289938</v>
      </c>
      <c r="V1508" s="362"/>
      <c r="W1508" s="362"/>
      <c r="X1508" s="149"/>
      <c r="Y1508" s="51" t="s">
        <v>27</v>
      </c>
      <c r="Z1508" s="51" t="s">
        <v>27</v>
      </c>
      <c r="AA1508" s="51" t="s">
        <v>27</v>
      </c>
      <c r="AB1508" s="51"/>
      <c r="AC1508" s="438" t="s">
        <v>5976</v>
      </c>
    </row>
    <row r="1509" spans="1:29" ht="45">
      <c r="A1509" s="362" t="s">
        <v>364</v>
      </c>
      <c r="B1509" s="362" t="s">
        <v>5494</v>
      </c>
      <c r="C1509" s="362" t="s">
        <v>27</v>
      </c>
      <c r="D1509" s="289" t="s">
        <v>25</v>
      </c>
      <c r="E1509" s="290" t="s">
        <v>5533</v>
      </c>
      <c r="F1509" s="378" t="s">
        <v>5784</v>
      </c>
      <c r="G1509" s="362" t="s">
        <v>5497</v>
      </c>
      <c r="H1509" s="362" t="s">
        <v>3084</v>
      </c>
      <c r="I1509" s="362" t="s">
        <v>21</v>
      </c>
      <c r="J1509" s="362" t="s">
        <v>5943</v>
      </c>
      <c r="K1509" s="362" t="s">
        <v>337</v>
      </c>
      <c r="L1509" s="362" t="s">
        <v>4464</v>
      </c>
      <c r="M1509" s="362" t="s">
        <v>22</v>
      </c>
      <c r="N1509" s="362" t="s">
        <v>22</v>
      </c>
      <c r="O1509" s="362" t="s">
        <v>3639</v>
      </c>
      <c r="P1509" s="363" t="s">
        <v>5517</v>
      </c>
      <c r="Q1509" s="362" t="s">
        <v>5520</v>
      </c>
      <c r="R1509" s="362" t="s">
        <v>5527</v>
      </c>
      <c r="S1509" s="364" t="s">
        <v>5524</v>
      </c>
      <c r="T1509" s="373" t="s">
        <v>5944</v>
      </c>
      <c r="U1509" s="357">
        <v>440152289930</v>
      </c>
      <c r="V1509" s="362"/>
      <c r="W1509" s="362"/>
      <c r="X1509" s="149"/>
      <c r="Y1509" s="51" t="s">
        <v>27</v>
      </c>
      <c r="Z1509" s="51" t="s">
        <v>27</v>
      </c>
      <c r="AA1509" s="51" t="s">
        <v>27</v>
      </c>
      <c r="AB1509" s="51"/>
      <c r="AC1509" s="435" t="s">
        <v>5962</v>
      </c>
    </row>
    <row r="1510" spans="1:29" ht="45">
      <c r="A1510" s="362" t="s">
        <v>364</v>
      </c>
      <c r="B1510" s="362" t="s">
        <v>5495</v>
      </c>
      <c r="C1510" s="362" t="s">
        <v>27</v>
      </c>
      <c r="D1510" s="289" t="s">
        <v>25</v>
      </c>
      <c r="E1510" s="290" t="s">
        <v>5533</v>
      </c>
      <c r="F1510" s="378" t="s">
        <v>5785</v>
      </c>
      <c r="G1510" s="362" t="s">
        <v>5497</v>
      </c>
      <c r="H1510" s="362" t="s">
        <v>3084</v>
      </c>
      <c r="I1510" s="362" t="s">
        <v>21</v>
      </c>
      <c r="J1510" s="362" t="s">
        <v>83</v>
      </c>
      <c r="K1510" s="362" t="s">
        <v>337</v>
      </c>
      <c r="L1510" s="362" t="s">
        <v>4464</v>
      </c>
      <c r="M1510" s="362" t="s">
        <v>22</v>
      </c>
      <c r="N1510" s="362" t="s">
        <v>22</v>
      </c>
      <c r="O1510" s="362" t="s">
        <v>3639</v>
      </c>
      <c r="P1510" s="363" t="s">
        <v>5517</v>
      </c>
      <c r="Q1510" s="362" t="s">
        <v>5521</v>
      </c>
      <c r="R1510" s="362" t="s">
        <v>5958</v>
      </c>
      <c r="S1510" s="364" t="s">
        <v>5525</v>
      </c>
      <c r="T1510" s="123" t="s">
        <v>4554</v>
      </c>
      <c r="U1510" s="357">
        <v>440152289931</v>
      </c>
      <c r="V1510" s="362"/>
      <c r="W1510" s="362"/>
      <c r="X1510" s="149"/>
      <c r="Y1510" s="51" t="s">
        <v>27</v>
      </c>
      <c r="Z1510" s="51" t="s">
        <v>27</v>
      </c>
      <c r="AA1510" s="51" t="s">
        <v>27</v>
      </c>
      <c r="AB1510" s="51"/>
      <c r="AC1510" s="435" t="s">
        <v>5961</v>
      </c>
    </row>
    <row r="1511" spans="1:29" ht="15.75" hidden="1">
      <c r="A1511" s="362" t="s">
        <v>364</v>
      </c>
      <c r="B1511" s="362" t="s">
        <v>5535</v>
      </c>
      <c r="C1511" s="362" t="s">
        <v>22</v>
      </c>
      <c r="D1511" s="362"/>
      <c r="E1511" s="362" t="s">
        <v>5533</v>
      </c>
      <c r="F1511" s="362">
        <v>4079946</v>
      </c>
      <c r="G1511" s="362"/>
      <c r="H1511" s="362" t="s">
        <v>20</v>
      </c>
      <c r="I1511" s="362" t="s">
        <v>21</v>
      </c>
      <c r="J1511" s="362" t="s">
        <v>2259</v>
      </c>
      <c r="K1511" s="362" t="s">
        <v>337</v>
      </c>
      <c r="L1511" s="362" t="s">
        <v>211</v>
      </c>
      <c r="M1511" s="362" t="s">
        <v>22</v>
      </c>
      <c r="N1511" s="362" t="s">
        <v>22</v>
      </c>
      <c r="O1511" s="362" t="s">
        <v>3639</v>
      </c>
      <c r="P1511" s="363" t="s">
        <v>5517</v>
      </c>
      <c r="Q1511" s="362" t="s">
        <v>5751</v>
      </c>
      <c r="R1511" s="301" t="s">
        <v>5752</v>
      </c>
      <c r="S1511" s="364"/>
      <c r="T1511" s="373" t="s">
        <v>5753</v>
      </c>
      <c r="U1511" s="357">
        <v>440152248638</v>
      </c>
      <c r="V1511" s="362"/>
      <c r="W1511" s="362"/>
      <c r="X1511" s="149"/>
      <c r="Y1511" s="51" t="s">
        <v>27</v>
      </c>
      <c r="Z1511" s="51" t="s">
        <v>27</v>
      </c>
      <c r="AA1511" s="51" t="s">
        <v>27</v>
      </c>
      <c r="AB1511" s="51"/>
      <c r="AC1511" s="392" t="s">
        <v>5862</v>
      </c>
    </row>
    <row r="1512" spans="1:29" ht="15" customHeight="1">
      <c r="A1512" s="362" t="s">
        <v>364</v>
      </c>
      <c r="B1512" s="362" t="s">
        <v>5536</v>
      </c>
      <c r="C1512" s="362" t="s">
        <v>27</v>
      </c>
      <c r="D1512" s="289"/>
      <c r="E1512" s="362" t="s">
        <v>17</v>
      </c>
      <c r="F1512" s="378" t="s">
        <v>5777</v>
      </c>
      <c r="G1512" s="378" t="s">
        <v>5786</v>
      </c>
      <c r="H1512" s="362" t="s">
        <v>3084</v>
      </c>
      <c r="I1512" s="362" t="s">
        <v>21</v>
      </c>
      <c r="J1512" s="362"/>
      <c r="K1512" s="362"/>
      <c r="L1512" s="51" t="s">
        <v>6386</v>
      </c>
      <c r="M1512" s="362" t="s">
        <v>22</v>
      </c>
      <c r="N1512" s="362"/>
      <c r="O1512" s="362"/>
      <c r="P1512" s="363"/>
      <c r="Q1512" s="362"/>
      <c r="R1512" s="362"/>
      <c r="S1512" s="364"/>
      <c r="T1512" s="123"/>
      <c r="U1512" s="365"/>
      <c r="V1512" s="362"/>
      <c r="W1512" s="362"/>
      <c r="X1512" s="149"/>
      <c r="Y1512" s="51" t="s">
        <v>27</v>
      </c>
      <c r="Z1512" s="51" t="s">
        <v>27</v>
      </c>
      <c r="AA1512" s="51" t="s">
        <v>22</v>
      </c>
      <c r="AB1512" s="51"/>
      <c r="AC1512" s="485"/>
    </row>
    <row r="1513" spans="1:29" ht="30">
      <c r="A1513" s="362" t="s">
        <v>364</v>
      </c>
      <c r="B1513" s="362" t="s">
        <v>5537</v>
      </c>
      <c r="C1513" s="362" t="s">
        <v>22</v>
      </c>
      <c r="D1513" s="289"/>
      <c r="E1513" s="362" t="s">
        <v>17</v>
      </c>
      <c r="F1513" s="378" t="s">
        <v>5778</v>
      </c>
      <c r="G1513" s="362" t="s">
        <v>5550</v>
      </c>
      <c r="H1513" s="362" t="s">
        <v>3084</v>
      </c>
      <c r="I1513" s="362" t="s">
        <v>21</v>
      </c>
      <c r="J1513" s="362"/>
      <c r="K1513" s="362"/>
      <c r="L1513" s="362" t="s">
        <v>6386</v>
      </c>
      <c r="M1513" s="362" t="s">
        <v>22</v>
      </c>
      <c r="N1513" s="362" t="s">
        <v>22</v>
      </c>
      <c r="O1513" s="362" t="s">
        <v>3639</v>
      </c>
      <c r="P1513" s="363" t="s">
        <v>5547</v>
      </c>
      <c r="Q1513" s="362" t="s">
        <v>5548</v>
      </c>
      <c r="R1513" s="362" t="s">
        <v>5549</v>
      </c>
      <c r="S1513" s="364"/>
      <c r="T1513" s="123" t="s">
        <v>5546</v>
      </c>
      <c r="U1513" s="357">
        <v>4401522733092</v>
      </c>
      <c r="V1513" s="362"/>
      <c r="W1513" s="362"/>
      <c r="X1513" s="149"/>
      <c r="Y1513" s="51" t="s">
        <v>27</v>
      </c>
      <c r="Z1513" s="51" t="s">
        <v>27</v>
      </c>
      <c r="AA1513" s="51" t="s">
        <v>22</v>
      </c>
      <c r="AB1513" s="51"/>
      <c r="AC1513" s="485"/>
    </row>
    <row r="1514" spans="1:29" ht="60">
      <c r="A1514" s="362" t="s">
        <v>336</v>
      </c>
      <c r="B1514" s="362" t="s">
        <v>5863</v>
      </c>
      <c r="C1514" s="362" t="s">
        <v>27</v>
      </c>
      <c r="D1514" s="369" t="s">
        <v>2758</v>
      </c>
      <c r="E1514" s="362" t="s">
        <v>17</v>
      </c>
      <c r="F1514" s="362" t="s">
        <v>5571</v>
      </c>
      <c r="G1514" s="362"/>
      <c r="H1514" s="362" t="s">
        <v>3084</v>
      </c>
      <c r="I1514" s="362" t="s">
        <v>60</v>
      </c>
      <c r="J1514" s="407" t="s">
        <v>5829</v>
      </c>
      <c r="K1514" s="362" t="s">
        <v>5830</v>
      </c>
      <c r="L1514" s="362" t="s">
        <v>4464</v>
      </c>
      <c r="M1514" s="362" t="s">
        <v>22</v>
      </c>
      <c r="N1514" s="362"/>
      <c r="O1514" s="362"/>
      <c r="P1514" s="363" t="s">
        <v>3824</v>
      </c>
      <c r="Q1514" s="362"/>
      <c r="R1514" s="362"/>
      <c r="S1514" s="362" t="s">
        <v>5999</v>
      </c>
      <c r="T1514" s="362">
        <v>9712979320</v>
      </c>
      <c r="U1514" s="362" t="s">
        <v>6000</v>
      </c>
      <c r="V1514" s="362" t="s">
        <v>6001</v>
      </c>
      <c r="W1514" s="362">
        <v>6194947580</v>
      </c>
      <c r="X1514" s="149">
        <v>43432</v>
      </c>
      <c r="Y1514" s="51" t="s">
        <v>27</v>
      </c>
      <c r="Z1514" s="51" t="s">
        <v>27</v>
      </c>
      <c r="AA1514" s="51" t="s">
        <v>27</v>
      </c>
      <c r="AB1514" s="51"/>
      <c r="AC1514" s="409" t="s">
        <v>5881</v>
      </c>
    </row>
    <row r="1515" spans="1:29" ht="15" hidden="1" customHeight="1">
      <c r="A1515" s="362" t="s">
        <v>336</v>
      </c>
      <c r="B1515" s="362" t="s">
        <v>4839</v>
      </c>
      <c r="C1515" s="362" t="s">
        <v>22</v>
      </c>
      <c r="D1515" s="362"/>
      <c r="E1515" s="362" t="s">
        <v>2008</v>
      </c>
      <c r="F1515" s="362" t="s">
        <v>4654</v>
      </c>
      <c r="G1515" s="362"/>
      <c r="H1515" s="362"/>
      <c r="I1515" s="362"/>
      <c r="J1515" s="362"/>
      <c r="K1515" s="362"/>
      <c r="L1515" s="362"/>
      <c r="M1515" s="362"/>
      <c r="N1515" s="362"/>
      <c r="O1515" s="362"/>
      <c r="P1515" s="363"/>
      <c r="Q1515" s="362"/>
      <c r="R1515" s="362"/>
      <c r="S1515" s="362"/>
      <c r="T1515" s="362"/>
      <c r="U1515" s="362"/>
      <c r="V1515" s="362"/>
      <c r="W1515" s="362"/>
      <c r="X1515" s="149"/>
      <c r="Y1515" s="51"/>
      <c r="Z1515" s="51"/>
      <c r="AA1515" s="51"/>
      <c r="AB1515" s="51" t="s">
        <v>2473</v>
      </c>
      <c r="AC1515" s="428" t="s">
        <v>5935</v>
      </c>
    </row>
    <row r="1516" spans="1:29" ht="135">
      <c r="A1516" s="362" t="s">
        <v>336</v>
      </c>
      <c r="B1516" s="362" t="s">
        <v>5572</v>
      </c>
      <c r="C1516" s="362" t="s">
        <v>27</v>
      </c>
      <c r="D1516" s="369" t="s">
        <v>2758</v>
      </c>
      <c r="E1516" s="362" t="s">
        <v>2008</v>
      </c>
      <c r="F1516" s="362" t="s">
        <v>5554</v>
      </c>
      <c r="G1516" s="362"/>
      <c r="H1516" s="362" t="s">
        <v>3084</v>
      </c>
      <c r="I1516" s="362" t="s">
        <v>60</v>
      </c>
      <c r="J1516" s="362" t="s">
        <v>5598</v>
      </c>
      <c r="K1516" s="362" t="s">
        <v>5821</v>
      </c>
      <c r="L1516" s="362" t="s">
        <v>4671</v>
      </c>
      <c r="M1516" s="362" t="s">
        <v>22</v>
      </c>
      <c r="N1516" s="362" t="s">
        <v>22</v>
      </c>
      <c r="O1516" s="362"/>
      <c r="P1516" s="363" t="s">
        <v>3821</v>
      </c>
      <c r="Q1516" s="362"/>
      <c r="R1516" s="362"/>
      <c r="S1516" s="362" t="s">
        <v>6002</v>
      </c>
      <c r="T1516" s="362" t="s">
        <v>6003</v>
      </c>
      <c r="U1516" s="362" t="s">
        <v>6004</v>
      </c>
      <c r="V1516" s="362" t="s">
        <v>6005</v>
      </c>
      <c r="W1516" s="362">
        <v>9712979343</v>
      </c>
      <c r="X1516" s="149">
        <v>43424</v>
      </c>
      <c r="Y1516" s="51" t="s">
        <v>27</v>
      </c>
      <c r="Z1516" s="45" t="s">
        <v>27</v>
      </c>
      <c r="AA1516" s="51" t="s">
        <v>27</v>
      </c>
      <c r="AB1516" s="51"/>
      <c r="AC1516" s="413" t="s">
        <v>5867</v>
      </c>
    </row>
    <row r="1517" spans="1:29" ht="150">
      <c r="A1517" s="362" t="s">
        <v>336</v>
      </c>
      <c r="B1517" s="362" t="s">
        <v>5573</v>
      </c>
      <c r="C1517" s="362" t="s">
        <v>27</v>
      </c>
      <c r="D1517" s="369" t="s">
        <v>2758</v>
      </c>
      <c r="E1517" s="362" t="s">
        <v>2008</v>
      </c>
      <c r="F1517" s="362" t="s">
        <v>5555</v>
      </c>
      <c r="G1517" s="362"/>
      <c r="H1517" s="362" t="s">
        <v>3084</v>
      </c>
      <c r="I1517" s="362" t="s">
        <v>60</v>
      </c>
      <c r="J1517" s="362" t="s">
        <v>5598</v>
      </c>
      <c r="K1517" s="362" t="s">
        <v>5821</v>
      </c>
      <c r="L1517" s="362" t="s">
        <v>4671</v>
      </c>
      <c r="M1517" s="362" t="s">
        <v>22</v>
      </c>
      <c r="N1517" s="362" t="s">
        <v>22</v>
      </c>
      <c r="O1517" s="362"/>
      <c r="P1517" s="363" t="s">
        <v>3821</v>
      </c>
      <c r="Q1517" s="362"/>
      <c r="R1517" s="362"/>
      <c r="S1517" s="362" t="s">
        <v>6006</v>
      </c>
      <c r="T1517" s="362" t="s">
        <v>6007</v>
      </c>
      <c r="U1517" s="362" t="s">
        <v>6004</v>
      </c>
      <c r="V1517" s="362" t="s">
        <v>6005</v>
      </c>
      <c r="W1517" s="362">
        <v>9712979336</v>
      </c>
      <c r="X1517" s="149">
        <v>43424</v>
      </c>
      <c r="Y1517" s="51" t="s">
        <v>27</v>
      </c>
      <c r="Z1517" s="45" t="s">
        <v>27</v>
      </c>
      <c r="AA1517" s="51" t="s">
        <v>27</v>
      </c>
      <c r="AB1517" s="51"/>
      <c r="AC1517" s="410" t="s">
        <v>5880</v>
      </c>
    </row>
    <row r="1518" spans="1:29" ht="192" customHeight="1">
      <c r="A1518" s="362" t="s">
        <v>336</v>
      </c>
      <c r="B1518" s="362" t="s">
        <v>5574</v>
      </c>
      <c r="C1518" s="362" t="s">
        <v>27</v>
      </c>
      <c r="D1518" s="369" t="s">
        <v>2758</v>
      </c>
      <c r="E1518" s="362" t="s">
        <v>2008</v>
      </c>
      <c r="F1518" s="362" t="s">
        <v>5556</v>
      </c>
      <c r="G1518" s="362"/>
      <c r="H1518" s="362" t="s">
        <v>3084</v>
      </c>
      <c r="I1518" s="362" t="s">
        <v>60</v>
      </c>
      <c r="J1518" s="362" t="s">
        <v>5599</v>
      </c>
      <c r="K1518" s="362" t="s">
        <v>5820</v>
      </c>
      <c r="L1518" s="362" t="s">
        <v>4671</v>
      </c>
      <c r="M1518" s="362" t="s">
        <v>22</v>
      </c>
      <c r="N1518" s="362" t="s">
        <v>22</v>
      </c>
      <c r="O1518" s="362"/>
      <c r="P1518" s="363" t="s">
        <v>3824</v>
      </c>
      <c r="Q1518" s="362"/>
      <c r="R1518" s="362"/>
      <c r="S1518" s="362" t="s">
        <v>6014</v>
      </c>
      <c r="T1518" s="362" t="s">
        <v>6008</v>
      </c>
      <c r="U1518" s="362" t="s">
        <v>6009</v>
      </c>
      <c r="V1518" s="362" t="s">
        <v>6010</v>
      </c>
      <c r="W1518" s="362">
        <v>9712979344</v>
      </c>
      <c r="X1518" s="149">
        <v>43425</v>
      </c>
      <c r="Y1518" s="51" t="s">
        <v>27</v>
      </c>
      <c r="Z1518" s="51" t="s">
        <v>27</v>
      </c>
      <c r="AA1518" s="51" t="s">
        <v>27</v>
      </c>
      <c r="AB1518" s="51"/>
      <c r="AC1518" s="420" t="s">
        <v>5922</v>
      </c>
    </row>
    <row r="1519" spans="1:29" ht="165">
      <c r="A1519" s="362" t="s">
        <v>336</v>
      </c>
      <c r="B1519" s="362" t="s">
        <v>5575</v>
      </c>
      <c r="C1519" s="362" t="s">
        <v>27</v>
      </c>
      <c r="D1519" s="369" t="s">
        <v>2758</v>
      </c>
      <c r="E1519" s="362" t="s">
        <v>2008</v>
      </c>
      <c r="F1519" s="362" t="s">
        <v>5557</v>
      </c>
      <c r="G1519" s="362"/>
      <c r="H1519" s="362" t="s">
        <v>3084</v>
      </c>
      <c r="I1519" s="362" t="s">
        <v>60</v>
      </c>
      <c r="J1519" s="362" t="s">
        <v>5599</v>
      </c>
      <c r="K1519" s="362" t="s">
        <v>5820</v>
      </c>
      <c r="L1519" s="362" t="s">
        <v>4671</v>
      </c>
      <c r="M1519" s="362" t="s">
        <v>22</v>
      </c>
      <c r="N1519" s="362" t="s">
        <v>22</v>
      </c>
      <c r="O1519" s="362"/>
      <c r="P1519" s="363" t="s">
        <v>3824</v>
      </c>
      <c r="Q1519" s="362"/>
      <c r="R1519" s="362"/>
      <c r="S1519" s="362" t="s">
        <v>6015</v>
      </c>
      <c r="T1519" s="362" t="s">
        <v>6011</v>
      </c>
      <c r="U1519" s="362" t="s">
        <v>6012</v>
      </c>
      <c r="V1519" s="362" t="s">
        <v>6013</v>
      </c>
      <c r="W1519" s="362">
        <v>9712979338</v>
      </c>
      <c r="X1519" s="149">
        <v>43425</v>
      </c>
      <c r="Y1519" s="51" t="s">
        <v>27</v>
      </c>
      <c r="Z1519" s="51" t="s">
        <v>27</v>
      </c>
      <c r="AA1519" s="51" t="s">
        <v>27</v>
      </c>
      <c r="AB1519" s="51"/>
      <c r="AC1519" s="404" t="s">
        <v>5866</v>
      </c>
    </row>
    <row r="1520" spans="1:29" ht="105">
      <c r="A1520" s="51" t="s">
        <v>336</v>
      </c>
      <c r="B1520" s="51" t="s">
        <v>5600</v>
      </c>
      <c r="C1520" s="362" t="s">
        <v>27</v>
      </c>
      <c r="D1520" s="369" t="s">
        <v>2758</v>
      </c>
      <c r="E1520" s="51" t="s">
        <v>17</v>
      </c>
      <c r="F1520" s="95" t="s">
        <v>5558</v>
      </c>
      <c r="G1520" s="51"/>
      <c r="H1520" s="51" t="s">
        <v>3084</v>
      </c>
      <c r="I1520" s="362" t="s">
        <v>60</v>
      </c>
      <c r="J1520" s="403" t="s">
        <v>5823</v>
      </c>
      <c r="K1520" s="402" t="s">
        <v>5822</v>
      </c>
      <c r="L1520" s="362" t="s">
        <v>4671</v>
      </c>
      <c r="M1520" s="362" t="s">
        <v>22</v>
      </c>
      <c r="N1520" s="362" t="s">
        <v>22</v>
      </c>
      <c r="O1520" s="51"/>
      <c r="P1520" s="363" t="s">
        <v>3824</v>
      </c>
      <c r="Q1520" s="362"/>
      <c r="R1520" s="362"/>
      <c r="S1520" s="362" t="s">
        <v>6016</v>
      </c>
      <c r="T1520" s="362">
        <v>9712942756</v>
      </c>
      <c r="U1520" s="362" t="s">
        <v>6017</v>
      </c>
      <c r="V1520" s="362" t="s">
        <v>6018</v>
      </c>
      <c r="W1520" s="362">
        <v>9712942753</v>
      </c>
      <c r="X1520" s="149"/>
      <c r="Y1520" s="51" t="s">
        <v>27</v>
      </c>
      <c r="Z1520" s="51" t="s">
        <v>27</v>
      </c>
      <c r="AA1520" s="51" t="s">
        <v>27</v>
      </c>
      <c r="AB1520" s="51"/>
      <c r="AC1520" s="404" t="s">
        <v>5865</v>
      </c>
    </row>
    <row r="1521" spans="1:29" ht="45">
      <c r="A1521" s="51" t="s">
        <v>336</v>
      </c>
      <c r="B1521" s="51" t="s">
        <v>5601</v>
      </c>
      <c r="C1521" s="362" t="s">
        <v>27</v>
      </c>
      <c r="D1521" s="289" t="s">
        <v>2759</v>
      </c>
      <c r="E1521" s="51" t="s">
        <v>17</v>
      </c>
      <c r="F1521" s="95" t="s">
        <v>5559</v>
      </c>
      <c r="G1521" s="51"/>
      <c r="H1521" s="51" t="s">
        <v>3084</v>
      </c>
      <c r="I1521" s="362" t="s">
        <v>60</v>
      </c>
      <c r="J1521" s="362" t="s">
        <v>5598</v>
      </c>
      <c r="K1521" s="362" t="s">
        <v>5821</v>
      </c>
      <c r="L1521" s="362" t="s">
        <v>4671</v>
      </c>
      <c r="M1521" s="362" t="s">
        <v>22</v>
      </c>
      <c r="N1521" s="362" t="s">
        <v>22</v>
      </c>
      <c r="O1521" s="51"/>
      <c r="P1521" s="363" t="s">
        <v>3824</v>
      </c>
      <c r="Q1521" s="362"/>
      <c r="R1521" s="362"/>
      <c r="S1521" s="362" t="s">
        <v>6019</v>
      </c>
      <c r="T1521" s="362" t="s">
        <v>6020</v>
      </c>
      <c r="U1521" s="362" t="s">
        <v>6021</v>
      </c>
      <c r="V1521" s="362" t="s">
        <v>6022</v>
      </c>
      <c r="W1521" s="362">
        <v>9712979342</v>
      </c>
      <c r="X1521" s="149"/>
      <c r="Y1521" s="51" t="s">
        <v>27</v>
      </c>
      <c r="Z1521" s="51" t="s">
        <v>27</v>
      </c>
      <c r="AA1521" s="51" t="s">
        <v>27</v>
      </c>
      <c r="AB1521" s="51"/>
      <c r="AC1521" s="411" t="s">
        <v>5915</v>
      </c>
    </row>
    <row r="1522" spans="1:29" ht="75">
      <c r="A1522" s="51" t="s">
        <v>336</v>
      </c>
      <c r="B1522" s="401" t="s">
        <v>5602</v>
      </c>
      <c r="C1522" s="362" t="s">
        <v>27</v>
      </c>
      <c r="D1522" s="289" t="s">
        <v>2759</v>
      </c>
      <c r="E1522" s="51" t="s">
        <v>17</v>
      </c>
      <c r="F1522" s="95" t="s">
        <v>5560</v>
      </c>
      <c r="G1522" s="51"/>
      <c r="H1522" s="51" t="s">
        <v>3084</v>
      </c>
      <c r="I1522" s="362" t="s">
        <v>60</v>
      </c>
      <c r="J1522" s="362" t="s">
        <v>5599</v>
      </c>
      <c r="K1522" s="362" t="s">
        <v>5826</v>
      </c>
      <c r="L1522" s="362" t="s">
        <v>4671</v>
      </c>
      <c r="M1522" s="362" t="s">
        <v>22</v>
      </c>
      <c r="N1522" s="362" t="s">
        <v>22</v>
      </c>
      <c r="O1522" s="51"/>
      <c r="P1522" s="363" t="s">
        <v>3824</v>
      </c>
      <c r="Q1522" s="362"/>
      <c r="R1522" s="362"/>
      <c r="S1522" s="362" t="s">
        <v>6023</v>
      </c>
      <c r="T1522" s="362">
        <v>5037288665</v>
      </c>
      <c r="U1522" s="362" t="s">
        <v>6024</v>
      </c>
      <c r="V1522" s="362" t="s">
        <v>6025</v>
      </c>
      <c r="W1522" s="362">
        <v>9714704968</v>
      </c>
      <c r="X1522" s="149"/>
      <c r="Y1522" s="51" t="s">
        <v>27</v>
      </c>
      <c r="Z1522" s="51" t="s">
        <v>27</v>
      </c>
      <c r="AA1522" s="51" t="s">
        <v>27</v>
      </c>
      <c r="AB1522" s="51"/>
      <c r="AC1522" s="445" t="s">
        <v>6064</v>
      </c>
    </row>
    <row r="1523" spans="1:29" ht="15" customHeight="1">
      <c r="A1523" s="51" t="s">
        <v>336</v>
      </c>
      <c r="B1523" s="496" t="s">
        <v>5604</v>
      </c>
      <c r="C1523" s="51" t="s">
        <v>27</v>
      </c>
      <c r="D1523" s="53" t="s">
        <v>2758</v>
      </c>
      <c r="E1523" s="290" t="s">
        <v>5533</v>
      </c>
      <c r="F1523" s="95" t="s">
        <v>5562</v>
      </c>
      <c r="G1523" s="51"/>
      <c r="H1523" s="51" t="s">
        <v>3084</v>
      </c>
      <c r="I1523" s="362" t="s">
        <v>21</v>
      </c>
      <c r="J1523" s="51" t="s">
        <v>83</v>
      </c>
      <c r="K1523" s="53" t="s">
        <v>61</v>
      </c>
      <c r="L1523" s="51" t="s">
        <v>31</v>
      </c>
      <c r="M1523" s="51"/>
      <c r="N1523" s="51"/>
      <c r="O1523" s="51"/>
      <c r="P1523" s="363" t="s">
        <v>3824</v>
      </c>
      <c r="Q1523" s="362"/>
      <c r="R1523" s="362"/>
      <c r="S1523" s="362"/>
      <c r="T1523" s="362"/>
      <c r="U1523" s="362"/>
      <c r="V1523" s="362"/>
      <c r="W1523" s="362"/>
      <c r="X1523" s="149"/>
      <c r="Y1523" s="51" t="s">
        <v>27</v>
      </c>
      <c r="Z1523" s="51" t="s">
        <v>27</v>
      </c>
      <c r="AA1523" s="51" t="s">
        <v>27</v>
      </c>
      <c r="AB1523" s="51"/>
      <c r="AC1523" s="495" t="s">
        <v>6501</v>
      </c>
    </row>
    <row r="1524" spans="1:29" ht="60">
      <c r="A1524" s="51" t="s">
        <v>336</v>
      </c>
      <c r="B1524" s="51" t="s">
        <v>5611</v>
      </c>
      <c r="C1524" s="362" t="s">
        <v>27</v>
      </c>
      <c r="D1524" s="289" t="s">
        <v>2759</v>
      </c>
      <c r="E1524" s="51" t="s">
        <v>17</v>
      </c>
      <c r="F1524" t="s">
        <v>5557</v>
      </c>
      <c r="G1524" s="51"/>
      <c r="H1524" s="51" t="s">
        <v>3084</v>
      </c>
      <c r="I1524" s="362" t="s">
        <v>60</v>
      </c>
      <c r="J1524" s="385" t="s">
        <v>5823</v>
      </c>
      <c r="K1524" s="419" t="s">
        <v>5822</v>
      </c>
      <c r="L1524" s="362" t="s">
        <v>4671</v>
      </c>
      <c r="M1524" s="362" t="s">
        <v>22</v>
      </c>
      <c r="N1524" s="362" t="s">
        <v>22</v>
      </c>
      <c r="O1524" s="51"/>
      <c r="P1524" s="363" t="s">
        <v>3824</v>
      </c>
      <c r="Q1524" s="362"/>
      <c r="R1524" s="362"/>
      <c r="S1524" s="362" t="s">
        <v>6026</v>
      </c>
      <c r="T1524" s="362">
        <v>9712607750</v>
      </c>
      <c r="U1524" s="362" t="s">
        <v>6027</v>
      </c>
      <c r="V1524" s="362" t="s">
        <v>6028</v>
      </c>
      <c r="W1524" s="362">
        <v>9712607762</v>
      </c>
      <c r="X1524" s="149"/>
      <c r="Y1524" s="51" t="s">
        <v>27</v>
      </c>
      <c r="Z1524" s="51" t="s">
        <v>27</v>
      </c>
      <c r="AA1524" s="51" t="s">
        <v>27</v>
      </c>
      <c r="AB1524" s="51"/>
      <c r="AC1524" s="417" t="s">
        <v>5920</v>
      </c>
    </row>
    <row r="1525" spans="1:29" ht="15" customHeight="1">
      <c r="A1525" s="51" t="s">
        <v>336</v>
      </c>
      <c r="B1525" s="496" t="s">
        <v>5605</v>
      </c>
      <c r="C1525" s="51" t="s">
        <v>27</v>
      </c>
      <c r="D1525" s="53" t="s">
        <v>2758</v>
      </c>
      <c r="E1525" s="290" t="s">
        <v>5533</v>
      </c>
      <c r="F1525" s="95" t="s">
        <v>5563</v>
      </c>
      <c r="G1525" s="51"/>
      <c r="H1525" s="51" t="s">
        <v>3084</v>
      </c>
      <c r="I1525" s="362" t="s">
        <v>21</v>
      </c>
      <c r="J1525" s="51" t="s">
        <v>362</v>
      </c>
      <c r="K1525" s="53" t="s">
        <v>33</v>
      </c>
      <c r="L1525" s="51" t="s">
        <v>31</v>
      </c>
      <c r="M1525" s="51"/>
      <c r="N1525" s="51"/>
      <c r="O1525" s="51"/>
      <c r="P1525" s="363" t="s">
        <v>3824</v>
      </c>
      <c r="Q1525" s="362"/>
      <c r="R1525" s="362"/>
      <c r="S1525" s="362"/>
      <c r="T1525" s="362"/>
      <c r="U1525" s="362"/>
      <c r="V1525" s="362"/>
      <c r="W1525" s="362"/>
      <c r="X1525" s="149"/>
      <c r="Y1525" s="51" t="s">
        <v>27</v>
      </c>
      <c r="Z1525" s="51" t="s">
        <v>27</v>
      </c>
      <c r="AA1525" s="51" t="s">
        <v>27</v>
      </c>
      <c r="AB1525" s="51"/>
      <c r="AC1525" s="495" t="s">
        <v>6501</v>
      </c>
    </row>
    <row r="1526" spans="1:29" ht="15" customHeight="1">
      <c r="A1526" s="51" t="s">
        <v>336</v>
      </c>
      <c r="B1526" s="501" t="s">
        <v>5606</v>
      </c>
      <c r="C1526" s="51" t="s">
        <v>27</v>
      </c>
      <c r="D1526" s="53" t="s">
        <v>2758</v>
      </c>
      <c r="E1526" s="290" t="s">
        <v>5533</v>
      </c>
      <c r="F1526" s="95" t="s">
        <v>5564</v>
      </c>
      <c r="G1526" s="51"/>
      <c r="H1526" s="51" t="s">
        <v>3084</v>
      </c>
      <c r="I1526" s="362" t="s">
        <v>21</v>
      </c>
      <c r="J1526" s="51" t="s">
        <v>362</v>
      </c>
      <c r="K1526" s="53" t="s">
        <v>33</v>
      </c>
      <c r="L1526" s="51" t="s">
        <v>31</v>
      </c>
      <c r="M1526" s="51"/>
      <c r="N1526" s="51"/>
      <c r="O1526" s="51"/>
      <c r="P1526" s="363" t="s">
        <v>3824</v>
      </c>
      <c r="Q1526" s="362"/>
      <c r="R1526" s="362"/>
      <c r="S1526" s="362"/>
      <c r="T1526" s="362"/>
      <c r="U1526" s="362"/>
      <c r="V1526" s="362"/>
      <c r="W1526" s="362"/>
      <c r="X1526" s="149"/>
      <c r="Y1526" s="51" t="s">
        <v>27</v>
      </c>
      <c r="Z1526" s="51" t="s">
        <v>27</v>
      </c>
      <c r="AA1526" s="51" t="s">
        <v>27</v>
      </c>
      <c r="AB1526" s="51"/>
      <c r="AC1526" s="495" t="s">
        <v>6502</v>
      </c>
    </row>
    <row r="1527" spans="1:29" ht="79.5" customHeight="1">
      <c r="A1527" s="51" t="s">
        <v>336</v>
      </c>
      <c r="B1527" s="51" t="s">
        <v>6711</v>
      </c>
      <c r="C1527" s="51" t="s">
        <v>27</v>
      </c>
      <c r="D1527" s="53" t="s">
        <v>2758</v>
      </c>
      <c r="E1527" s="290"/>
      <c r="F1527" s="95" t="s">
        <v>5565</v>
      </c>
      <c r="G1527" s="51"/>
      <c r="H1527" s="51" t="s">
        <v>3084</v>
      </c>
      <c r="I1527" s="362" t="s">
        <v>21</v>
      </c>
      <c r="J1527" s="51" t="s">
        <v>362</v>
      </c>
      <c r="K1527" s="53" t="s">
        <v>337</v>
      </c>
      <c r="L1527" s="51" t="s">
        <v>31</v>
      </c>
      <c r="M1527" s="51"/>
      <c r="N1527" s="51"/>
      <c r="O1527" s="51"/>
      <c r="P1527" s="363" t="s">
        <v>3824</v>
      </c>
      <c r="Q1527" s="362"/>
      <c r="R1527" s="362"/>
      <c r="S1527" s="362"/>
      <c r="T1527" s="362"/>
      <c r="U1527" s="362"/>
      <c r="V1527" s="362"/>
      <c r="W1527" s="362"/>
      <c r="X1527" s="149"/>
      <c r="Y1527" s="51" t="s">
        <v>27</v>
      </c>
      <c r="Z1527" s="51" t="s">
        <v>27</v>
      </c>
      <c r="AA1527" s="51" t="s">
        <v>22</v>
      </c>
      <c r="AB1527" s="51"/>
      <c r="AC1527" s="530" t="s">
        <v>6712</v>
      </c>
    </row>
    <row r="1528" spans="1:29" ht="45.75" customHeight="1">
      <c r="A1528" s="51" t="s">
        <v>336</v>
      </c>
      <c r="B1528" s="51" t="s">
        <v>5607</v>
      </c>
      <c r="C1528" s="51" t="s">
        <v>27</v>
      </c>
      <c r="D1528" s="53" t="s">
        <v>2758</v>
      </c>
      <c r="E1528" s="290" t="s">
        <v>5533</v>
      </c>
      <c r="F1528" s="95" t="s">
        <v>5566</v>
      </c>
      <c r="G1528" s="51"/>
      <c r="H1528" s="51" t="s">
        <v>3084</v>
      </c>
      <c r="I1528" s="362" t="s">
        <v>21</v>
      </c>
      <c r="J1528" s="51" t="s">
        <v>83</v>
      </c>
      <c r="K1528" s="53" t="s">
        <v>33</v>
      </c>
      <c r="L1528" s="51" t="s">
        <v>5368</v>
      </c>
      <c r="M1528" s="51"/>
      <c r="N1528" s="51"/>
      <c r="O1528" s="51"/>
      <c r="P1528" s="363" t="s">
        <v>3827</v>
      </c>
      <c r="Q1528" s="362"/>
      <c r="R1528" s="362"/>
      <c r="S1528" s="362"/>
      <c r="T1528" s="362"/>
      <c r="U1528" s="362"/>
      <c r="V1528" s="362"/>
      <c r="W1528" s="362"/>
      <c r="X1528" s="149"/>
      <c r="Y1528" s="51" t="s">
        <v>27</v>
      </c>
      <c r="Z1528" s="51" t="s">
        <v>27</v>
      </c>
      <c r="AA1528" s="51" t="s">
        <v>27</v>
      </c>
      <c r="AB1528" s="51"/>
      <c r="AC1528" s="529" t="s">
        <v>6704</v>
      </c>
    </row>
    <row r="1529" spans="1:29" ht="90">
      <c r="A1529" s="51" t="s">
        <v>336</v>
      </c>
      <c r="B1529" s="496" t="s">
        <v>5609</v>
      </c>
      <c r="C1529" s="51" t="s">
        <v>27</v>
      </c>
      <c r="D1529" s="53" t="s">
        <v>2758</v>
      </c>
      <c r="E1529" s="290" t="s">
        <v>5533</v>
      </c>
      <c r="F1529" s="95" t="s">
        <v>5568</v>
      </c>
      <c r="G1529" s="51"/>
      <c r="H1529" s="51" t="s">
        <v>3084</v>
      </c>
      <c r="I1529" s="362" t="s">
        <v>21</v>
      </c>
      <c r="J1529" s="51" t="s">
        <v>1025</v>
      </c>
      <c r="K1529" s="53" t="s">
        <v>3650</v>
      </c>
      <c r="L1529" s="51" t="s">
        <v>31</v>
      </c>
      <c r="M1529" s="51"/>
      <c r="N1529" s="51"/>
      <c r="O1529" s="51"/>
      <c r="P1529" s="363" t="s">
        <v>3824</v>
      </c>
      <c r="Q1529" s="362"/>
      <c r="R1529" s="362"/>
      <c r="S1529" s="362"/>
      <c r="T1529" s="362"/>
      <c r="U1529" s="362"/>
      <c r="V1529" s="362"/>
      <c r="W1529" s="362"/>
      <c r="X1529" s="149"/>
      <c r="Y1529" s="51" t="s">
        <v>27</v>
      </c>
      <c r="Z1529" s="51" t="s">
        <v>27</v>
      </c>
      <c r="AA1529" s="51" t="s">
        <v>27</v>
      </c>
      <c r="AB1529" s="51"/>
      <c r="AC1529" s="501" t="s">
        <v>6529</v>
      </c>
    </row>
    <row r="1530" spans="1:29" ht="15" customHeight="1">
      <c r="A1530" s="51" t="s">
        <v>0</v>
      </c>
      <c r="B1530" s="51" t="s">
        <v>5576</v>
      </c>
      <c r="C1530" s="51" t="s">
        <v>27</v>
      </c>
      <c r="D1530" s="53" t="s">
        <v>2758</v>
      </c>
      <c r="E1530" s="290" t="s">
        <v>17</v>
      </c>
      <c r="F1530" s="53" t="s">
        <v>5707</v>
      </c>
      <c r="G1530" s="51"/>
      <c r="H1530" s="51" t="s">
        <v>3084</v>
      </c>
      <c r="I1530" s="362" t="s">
        <v>60</v>
      </c>
      <c r="J1530" s="51" t="s">
        <v>5733</v>
      </c>
      <c r="K1530" s="490" t="s">
        <v>5916</v>
      </c>
      <c r="L1530" s="51" t="s">
        <v>6385</v>
      </c>
      <c r="M1530" s="51" t="s">
        <v>22</v>
      </c>
      <c r="N1530" s="51"/>
      <c r="O1530" s="51"/>
      <c r="P1530" s="363"/>
      <c r="Q1530" s="362"/>
      <c r="R1530" s="362"/>
      <c r="S1530" s="362"/>
      <c r="T1530" s="362"/>
      <c r="U1530" s="362"/>
      <c r="V1530" s="362"/>
      <c r="W1530" s="362"/>
      <c r="X1530" s="149"/>
      <c r="Y1530" s="45" t="s">
        <v>27</v>
      </c>
      <c r="Z1530" s="45" t="s">
        <v>27</v>
      </c>
      <c r="AA1530" s="51" t="s">
        <v>27</v>
      </c>
      <c r="AB1530" s="51"/>
      <c r="AC1530" s="488" t="s">
        <v>6498</v>
      </c>
    </row>
    <row r="1531" spans="1:29" ht="60">
      <c r="A1531" s="51" t="s">
        <v>0</v>
      </c>
      <c r="B1531" s="381" t="s">
        <v>5577</v>
      </c>
      <c r="C1531" s="51" t="s">
        <v>27</v>
      </c>
      <c r="D1531" s="369" t="s">
        <v>2758</v>
      </c>
      <c r="E1531" s="300" t="s">
        <v>2008</v>
      </c>
      <c r="F1531" s="53" t="s">
        <v>5708</v>
      </c>
      <c r="G1531" s="51"/>
      <c r="H1531" s="51" t="s">
        <v>3084</v>
      </c>
      <c r="I1531" s="362" t="s">
        <v>60</v>
      </c>
      <c r="J1531" s="51" t="s">
        <v>5733</v>
      </c>
      <c r="K1531" s="53" t="s">
        <v>5972</v>
      </c>
      <c r="L1531" s="51" t="s">
        <v>4464</v>
      </c>
      <c r="M1531" s="51" t="s">
        <v>22</v>
      </c>
      <c r="N1531" s="51"/>
      <c r="O1531" s="51"/>
      <c r="P1531" s="363"/>
      <c r="Q1531" s="362"/>
      <c r="R1531" s="362"/>
      <c r="S1531" s="362"/>
      <c r="T1531" s="362"/>
      <c r="U1531" s="362"/>
      <c r="V1531" s="362"/>
      <c r="W1531" s="362"/>
      <c r="X1531" s="149">
        <v>43424</v>
      </c>
      <c r="Y1531" s="45" t="s">
        <v>27</v>
      </c>
      <c r="Z1531" s="45" t="s">
        <v>27</v>
      </c>
      <c r="AA1531" s="51" t="s">
        <v>27</v>
      </c>
      <c r="AB1531" s="51"/>
      <c r="AC1531" s="442" t="s">
        <v>5991</v>
      </c>
    </row>
    <row r="1532" spans="1:29" ht="15" customHeight="1">
      <c r="A1532" s="51" t="s">
        <v>0</v>
      </c>
      <c r="B1532" s="51" t="s">
        <v>5578</v>
      </c>
      <c r="C1532" s="51" t="s">
        <v>27</v>
      </c>
      <c r="D1532" s="53" t="s">
        <v>2758</v>
      </c>
      <c r="E1532" s="290" t="s">
        <v>17</v>
      </c>
      <c r="F1532" s="53" t="s">
        <v>5709</v>
      </c>
      <c r="G1532" s="51"/>
      <c r="H1532" s="51" t="s">
        <v>3084</v>
      </c>
      <c r="I1532" s="362" t="s">
        <v>21</v>
      </c>
      <c r="J1532" s="389" t="s">
        <v>24</v>
      </c>
      <c r="K1532" s="490" t="s">
        <v>61</v>
      </c>
      <c r="L1532" s="51" t="s">
        <v>6385</v>
      </c>
      <c r="M1532" s="51" t="s">
        <v>22</v>
      </c>
      <c r="N1532" s="51"/>
      <c r="O1532" s="51"/>
      <c r="P1532" s="363" t="s">
        <v>5729</v>
      </c>
      <c r="Q1532" s="362"/>
      <c r="R1532" s="362"/>
      <c r="S1532" s="362"/>
      <c r="T1532" s="362"/>
      <c r="U1532" s="362"/>
      <c r="V1532" s="362"/>
      <c r="W1532" s="362"/>
      <c r="X1532" s="149"/>
      <c r="Y1532" s="45" t="s">
        <v>27</v>
      </c>
      <c r="Z1532" s="45" t="s">
        <v>27</v>
      </c>
      <c r="AA1532" s="381" t="s">
        <v>27</v>
      </c>
      <c r="AB1532" s="51"/>
      <c r="AC1532" s="392"/>
    </row>
    <row r="1533" spans="1:29" ht="45">
      <c r="A1533" s="51" t="s">
        <v>0</v>
      </c>
      <c r="B1533" s="51" t="s">
        <v>5579</v>
      </c>
      <c r="C1533" s="51" t="s">
        <v>27</v>
      </c>
      <c r="D1533" s="53" t="s">
        <v>2758</v>
      </c>
      <c r="E1533" s="290" t="s">
        <v>17</v>
      </c>
      <c r="F1533" s="53" t="s">
        <v>5710</v>
      </c>
      <c r="G1533" s="51"/>
      <c r="H1533" s="51" t="s">
        <v>3084</v>
      </c>
      <c r="I1533" s="362" t="s">
        <v>60</v>
      </c>
      <c r="J1533" s="491" t="s">
        <v>5730</v>
      </c>
      <c r="K1533" s="490" t="s">
        <v>5859</v>
      </c>
      <c r="L1533" s="51" t="s">
        <v>6385</v>
      </c>
      <c r="M1533" s="51" t="s">
        <v>22</v>
      </c>
      <c r="N1533" s="51"/>
      <c r="O1533" s="51"/>
      <c r="P1533" s="363" t="s">
        <v>5729</v>
      </c>
      <c r="Q1533" s="362"/>
      <c r="R1533" s="362"/>
      <c r="S1533" s="362"/>
      <c r="T1533" s="362"/>
      <c r="U1533" s="362"/>
      <c r="V1533" s="362"/>
      <c r="W1533" s="362"/>
      <c r="X1533" s="149"/>
      <c r="Y1533" s="45" t="s">
        <v>27</v>
      </c>
      <c r="Z1533" s="45" t="s">
        <v>27</v>
      </c>
      <c r="AA1533" s="51" t="s">
        <v>27</v>
      </c>
      <c r="AB1533" s="51"/>
      <c r="AC1533" s="488" t="s">
        <v>6498</v>
      </c>
    </row>
    <row r="1534" spans="1:29" ht="15.75">
      <c r="A1534" s="51" t="s">
        <v>0</v>
      </c>
      <c r="B1534" s="51" t="s">
        <v>5580</v>
      </c>
      <c r="C1534" s="51" t="s">
        <v>27</v>
      </c>
      <c r="D1534" s="53" t="s">
        <v>2758</v>
      </c>
      <c r="E1534" s="290" t="s">
        <v>17</v>
      </c>
      <c r="F1534" s="53" t="s">
        <v>5711</v>
      </c>
      <c r="G1534" s="51"/>
      <c r="H1534" s="51" t="s">
        <v>3084</v>
      </c>
      <c r="I1534" s="362" t="s">
        <v>21</v>
      </c>
      <c r="J1534" s="51" t="s">
        <v>32</v>
      </c>
      <c r="K1534" s="490" t="s">
        <v>33</v>
      </c>
      <c r="L1534" s="51" t="s">
        <v>6385</v>
      </c>
      <c r="M1534" s="51" t="s">
        <v>22</v>
      </c>
      <c r="N1534" s="51"/>
      <c r="O1534" s="51"/>
      <c r="P1534" s="363" t="s">
        <v>5729</v>
      </c>
      <c r="Q1534" s="362"/>
      <c r="R1534" s="362"/>
      <c r="S1534" s="362"/>
      <c r="T1534" s="362"/>
      <c r="U1534" s="362"/>
      <c r="V1534" s="362"/>
      <c r="W1534" s="362"/>
      <c r="X1534" s="149"/>
      <c r="Y1534" s="45" t="s">
        <v>27</v>
      </c>
      <c r="Z1534" s="45" t="s">
        <v>27</v>
      </c>
      <c r="AA1534" s="51" t="s">
        <v>27</v>
      </c>
      <c r="AB1534" s="51"/>
      <c r="AC1534" s="392"/>
    </row>
    <row r="1535" spans="1:29" ht="15.75">
      <c r="A1535" s="51" t="s">
        <v>0</v>
      </c>
      <c r="B1535" s="51" t="s">
        <v>5581</v>
      </c>
      <c r="C1535" s="51" t="s">
        <v>27</v>
      </c>
      <c r="D1535" s="53" t="s">
        <v>2758</v>
      </c>
      <c r="E1535" s="290" t="s">
        <v>17</v>
      </c>
      <c r="F1535" s="53" t="s">
        <v>5712</v>
      </c>
      <c r="G1535" s="51"/>
      <c r="H1535" s="51" t="s">
        <v>3084</v>
      </c>
      <c r="I1535" s="362" t="s">
        <v>21</v>
      </c>
      <c r="J1535" s="389" t="s">
        <v>24</v>
      </c>
      <c r="K1535" s="490" t="s">
        <v>33</v>
      </c>
      <c r="L1535" s="51" t="s">
        <v>6385</v>
      </c>
      <c r="M1535" s="51" t="s">
        <v>22</v>
      </c>
      <c r="N1535" s="51"/>
      <c r="O1535" s="51"/>
      <c r="P1535" s="363" t="s">
        <v>5729</v>
      </c>
      <c r="Q1535" s="362"/>
      <c r="R1535" s="362"/>
      <c r="S1535" s="362"/>
      <c r="T1535" s="362"/>
      <c r="U1535" s="362"/>
      <c r="V1535" s="362"/>
      <c r="W1535" s="362"/>
      <c r="X1535" s="149"/>
      <c r="Y1535" s="45" t="s">
        <v>27</v>
      </c>
      <c r="Z1535" s="45" t="s">
        <v>27</v>
      </c>
      <c r="AA1535" s="381" t="s">
        <v>27</v>
      </c>
      <c r="AB1535" s="51"/>
      <c r="AC1535" s="392"/>
    </row>
    <row r="1536" spans="1:29" ht="15.75">
      <c r="A1536" s="51" t="s">
        <v>0</v>
      </c>
      <c r="B1536" s="51" t="s">
        <v>5582</v>
      </c>
      <c r="C1536" s="51" t="s">
        <v>27</v>
      </c>
      <c r="D1536" s="53" t="s">
        <v>2758</v>
      </c>
      <c r="E1536" s="290" t="s">
        <v>17</v>
      </c>
      <c r="F1536" s="53" t="s">
        <v>5713</v>
      </c>
      <c r="G1536" s="51"/>
      <c r="H1536" s="51" t="s">
        <v>3084</v>
      </c>
      <c r="I1536" s="362" t="s">
        <v>21</v>
      </c>
      <c r="J1536" s="51" t="s">
        <v>32</v>
      </c>
      <c r="K1536" s="490" t="s">
        <v>61</v>
      </c>
      <c r="L1536" s="51" t="s">
        <v>6385</v>
      </c>
      <c r="M1536" s="51" t="s">
        <v>22</v>
      </c>
      <c r="N1536" s="51"/>
      <c r="O1536" s="51"/>
      <c r="P1536" s="363" t="s">
        <v>5729</v>
      </c>
      <c r="Q1536" s="362"/>
      <c r="R1536" s="362"/>
      <c r="S1536" s="362"/>
      <c r="T1536" s="362"/>
      <c r="U1536" s="362"/>
      <c r="V1536" s="362"/>
      <c r="W1536" s="362"/>
      <c r="X1536" s="149"/>
      <c r="Y1536" s="45" t="s">
        <v>27</v>
      </c>
      <c r="Z1536" s="45" t="s">
        <v>27</v>
      </c>
      <c r="AA1536" s="381" t="s">
        <v>27</v>
      </c>
      <c r="AB1536" s="51"/>
      <c r="AC1536" s="392"/>
    </row>
    <row r="1537" spans="1:29" ht="15" customHeight="1">
      <c r="A1537" s="51" t="s">
        <v>0</v>
      </c>
      <c r="B1537" s="51" t="s">
        <v>5583</v>
      </c>
      <c r="C1537" s="51" t="s">
        <v>27</v>
      </c>
      <c r="D1537" s="53" t="s">
        <v>2758</v>
      </c>
      <c r="E1537" s="290" t="s">
        <v>17</v>
      </c>
      <c r="F1537" s="53" t="s">
        <v>5714</v>
      </c>
      <c r="G1537" s="51"/>
      <c r="H1537" s="51" t="s">
        <v>3084</v>
      </c>
      <c r="I1537" s="362" t="s">
        <v>21</v>
      </c>
      <c r="J1537" s="51" t="s">
        <v>32</v>
      </c>
      <c r="K1537" s="490" t="s">
        <v>337</v>
      </c>
      <c r="L1537" s="51" t="s">
        <v>6385</v>
      </c>
      <c r="M1537" s="51" t="s">
        <v>22</v>
      </c>
      <c r="N1537" s="51"/>
      <c r="O1537" s="51"/>
      <c r="P1537" s="363"/>
      <c r="Q1537" s="362"/>
      <c r="R1537" s="362"/>
      <c r="S1537" s="362"/>
      <c r="T1537" s="362"/>
      <c r="U1537" s="362"/>
      <c r="V1537" s="362"/>
      <c r="W1537" s="362"/>
      <c r="X1537" s="149"/>
      <c r="Y1537" s="51" t="s">
        <v>27</v>
      </c>
      <c r="Z1537" s="51" t="s">
        <v>27</v>
      </c>
      <c r="AA1537" s="51" t="s">
        <v>27</v>
      </c>
      <c r="AB1537" s="51"/>
      <c r="AC1537" s="494" t="s">
        <v>6500</v>
      </c>
    </row>
    <row r="1538" spans="1:29" ht="45">
      <c r="A1538" s="51" t="s">
        <v>0</v>
      </c>
      <c r="B1538" s="51" t="s">
        <v>5584</v>
      </c>
      <c r="C1538" s="51" t="s">
        <v>27</v>
      </c>
      <c r="D1538" s="369" t="s">
        <v>2758</v>
      </c>
      <c r="E1538" s="300" t="s">
        <v>2008</v>
      </c>
      <c r="F1538" s="53" t="s">
        <v>5715</v>
      </c>
      <c r="G1538" s="51"/>
      <c r="H1538" s="51" t="s">
        <v>3084</v>
      </c>
      <c r="I1538" s="362" t="s">
        <v>60</v>
      </c>
      <c r="J1538" s="51" t="s">
        <v>5733</v>
      </c>
      <c r="K1538" s="412" t="s">
        <v>5916</v>
      </c>
      <c r="L1538" s="51" t="s">
        <v>4464</v>
      </c>
      <c r="M1538" s="51" t="s">
        <v>22</v>
      </c>
      <c r="N1538" s="51"/>
      <c r="O1538" s="51"/>
      <c r="P1538" s="363"/>
      <c r="Q1538" s="362"/>
      <c r="R1538" s="362"/>
      <c r="S1538" s="362"/>
      <c r="T1538" s="362"/>
      <c r="U1538" s="362"/>
      <c r="V1538" s="362"/>
      <c r="W1538" s="362"/>
      <c r="X1538" s="149">
        <v>43424</v>
      </c>
      <c r="Y1538" s="51" t="s">
        <v>27</v>
      </c>
      <c r="Z1538" s="51" t="s">
        <v>27</v>
      </c>
      <c r="AA1538" s="51" t="s">
        <v>27</v>
      </c>
      <c r="AB1538" s="51"/>
      <c r="AC1538" s="442" t="s">
        <v>5992</v>
      </c>
    </row>
    <row r="1539" spans="1:29" ht="15" customHeight="1">
      <c r="A1539" s="51" t="s">
        <v>0</v>
      </c>
      <c r="B1539" s="51" t="s">
        <v>5585</v>
      </c>
      <c r="C1539" s="362" t="s">
        <v>27</v>
      </c>
      <c r="D1539" s="53" t="s">
        <v>2758</v>
      </c>
      <c r="E1539" s="290" t="s">
        <v>17</v>
      </c>
      <c r="F1539" s="53" t="s">
        <v>5716</v>
      </c>
      <c r="G1539" s="51"/>
      <c r="H1539" s="51" t="s">
        <v>3084</v>
      </c>
      <c r="I1539" s="362" t="s">
        <v>60</v>
      </c>
      <c r="J1539" s="491" t="s">
        <v>5733</v>
      </c>
      <c r="K1539" s="490" t="s">
        <v>6497</v>
      </c>
      <c r="L1539" s="51" t="s">
        <v>6385</v>
      </c>
      <c r="M1539" s="51" t="s">
        <v>22</v>
      </c>
      <c r="N1539" s="51"/>
      <c r="O1539" s="51"/>
      <c r="P1539" s="363"/>
      <c r="Q1539" s="362"/>
      <c r="R1539" s="362"/>
      <c r="S1539" s="362"/>
      <c r="T1539" s="362"/>
      <c r="U1539" s="362"/>
      <c r="V1539" s="362"/>
      <c r="W1539" s="362"/>
      <c r="X1539" s="149"/>
      <c r="Y1539" s="51" t="s">
        <v>27</v>
      </c>
      <c r="Z1539" s="51" t="s">
        <v>27</v>
      </c>
      <c r="AA1539" s="51" t="s">
        <v>27</v>
      </c>
      <c r="AB1539" s="51"/>
      <c r="AC1539" s="403"/>
    </row>
    <row r="1540" spans="1:29" ht="15.75">
      <c r="A1540" s="51" t="s">
        <v>0</v>
      </c>
      <c r="B1540" s="51" t="s">
        <v>5586</v>
      </c>
      <c r="C1540" s="362" t="s">
        <v>27</v>
      </c>
      <c r="D1540" s="53" t="s">
        <v>2758</v>
      </c>
      <c r="E1540" s="290" t="s">
        <v>17</v>
      </c>
      <c r="F1540" s="53" t="s">
        <v>5717</v>
      </c>
      <c r="G1540" s="51"/>
      <c r="H1540" s="51" t="s">
        <v>3084</v>
      </c>
      <c r="I1540" s="362" t="s">
        <v>21</v>
      </c>
      <c r="J1540" s="403" t="s">
        <v>24</v>
      </c>
      <c r="K1540" s="490" t="s">
        <v>26</v>
      </c>
      <c r="L1540" s="51" t="s">
        <v>6385</v>
      </c>
      <c r="M1540" s="51" t="s">
        <v>22</v>
      </c>
      <c r="N1540" s="51"/>
      <c r="O1540" s="51"/>
      <c r="P1540" s="363"/>
      <c r="Q1540" s="362"/>
      <c r="R1540" s="362"/>
      <c r="S1540" s="362"/>
      <c r="T1540" s="362"/>
      <c r="U1540" s="362"/>
      <c r="V1540" s="362"/>
      <c r="W1540" s="362"/>
      <c r="X1540" s="149"/>
      <c r="Y1540" s="51" t="s">
        <v>27</v>
      </c>
      <c r="Z1540" s="51" t="s">
        <v>27</v>
      </c>
      <c r="AA1540" s="51" t="s">
        <v>27</v>
      </c>
      <c r="AB1540" s="51"/>
      <c r="AC1540" s="403"/>
    </row>
    <row r="1541" spans="1:29" ht="15" customHeight="1">
      <c r="A1541" s="51" t="s">
        <v>0</v>
      </c>
      <c r="B1541" s="51" t="s">
        <v>5587</v>
      </c>
      <c r="C1541" s="362" t="s">
        <v>27</v>
      </c>
      <c r="D1541" s="53" t="s">
        <v>2758</v>
      </c>
      <c r="E1541" s="290" t="s">
        <v>17</v>
      </c>
      <c r="F1541" s="53" t="s">
        <v>5718</v>
      </c>
      <c r="G1541" s="51"/>
      <c r="H1541" s="51" t="s">
        <v>3084</v>
      </c>
      <c r="I1541" s="362" t="s">
        <v>21</v>
      </c>
      <c r="J1541" s="403" t="s">
        <v>24</v>
      </c>
      <c r="K1541" s="490" t="s">
        <v>26</v>
      </c>
      <c r="L1541" s="51" t="s">
        <v>6385</v>
      </c>
      <c r="M1541" s="51" t="s">
        <v>22</v>
      </c>
      <c r="N1541" s="51"/>
      <c r="O1541" s="51"/>
      <c r="P1541" s="363"/>
      <c r="Q1541" s="362"/>
      <c r="R1541" s="362"/>
      <c r="S1541" s="362"/>
      <c r="T1541" s="362"/>
      <c r="U1541" s="362"/>
      <c r="V1541" s="362"/>
      <c r="W1541" s="362"/>
      <c r="X1541" s="149"/>
      <c r="Y1541" s="51" t="s">
        <v>27</v>
      </c>
      <c r="Z1541" s="51" t="s">
        <v>27</v>
      </c>
      <c r="AA1541" s="51" t="s">
        <v>27</v>
      </c>
      <c r="AB1541" s="51"/>
      <c r="AC1541" s="403"/>
    </row>
    <row r="1542" spans="1:29" ht="15.75">
      <c r="A1542" s="51" t="s">
        <v>0</v>
      </c>
      <c r="B1542" s="51" t="s">
        <v>5588</v>
      </c>
      <c r="C1542" s="362" t="s">
        <v>27</v>
      </c>
      <c r="D1542" s="53" t="s">
        <v>2758</v>
      </c>
      <c r="E1542" s="290" t="s">
        <v>17</v>
      </c>
      <c r="F1542" s="53" t="s">
        <v>5719</v>
      </c>
      <c r="G1542" s="51"/>
      <c r="H1542" s="51" t="s">
        <v>3084</v>
      </c>
      <c r="I1542" s="362" t="s">
        <v>21</v>
      </c>
      <c r="J1542" s="51" t="s">
        <v>32</v>
      </c>
      <c r="K1542" s="490" t="s">
        <v>33</v>
      </c>
      <c r="L1542" s="51" t="s">
        <v>6385</v>
      </c>
      <c r="M1542" s="51" t="s">
        <v>22</v>
      </c>
      <c r="N1542" s="51"/>
      <c r="O1542" s="51"/>
      <c r="P1542" s="363"/>
      <c r="Q1542" s="362"/>
      <c r="R1542" s="362"/>
      <c r="S1542" s="362"/>
      <c r="T1542" s="362"/>
      <c r="U1542" s="362"/>
      <c r="V1542" s="362"/>
      <c r="W1542" s="362"/>
      <c r="X1542" s="149"/>
      <c r="Y1542" s="51" t="s">
        <v>27</v>
      </c>
      <c r="Z1542" s="51" t="s">
        <v>27</v>
      </c>
      <c r="AA1542" s="51" t="s">
        <v>27</v>
      </c>
      <c r="AB1542" s="51"/>
      <c r="AC1542" s="491" t="s">
        <v>6494</v>
      </c>
    </row>
    <row r="1543" spans="1:29" ht="75">
      <c r="A1543" s="51" t="s">
        <v>0</v>
      </c>
      <c r="B1543" s="51" t="s">
        <v>5589</v>
      </c>
      <c r="C1543" s="51" t="s">
        <v>27</v>
      </c>
      <c r="D1543" s="289" t="s">
        <v>2759</v>
      </c>
      <c r="E1543" s="300" t="s">
        <v>2008</v>
      </c>
      <c r="F1543" s="53" t="s">
        <v>5720</v>
      </c>
      <c r="G1543" s="51"/>
      <c r="H1543" s="51" t="s">
        <v>3084</v>
      </c>
      <c r="I1543" s="362" t="s">
        <v>60</v>
      </c>
      <c r="J1543" s="51" t="s">
        <v>5733</v>
      </c>
      <c r="K1543" s="439" t="s">
        <v>5972</v>
      </c>
      <c r="L1543" s="51" t="s">
        <v>5368</v>
      </c>
      <c r="M1543" s="51" t="s">
        <v>22</v>
      </c>
      <c r="N1543" s="51"/>
      <c r="O1543" s="51"/>
      <c r="P1543" s="363"/>
      <c r="Q1543" s="362"/>
      <c r="R1543" s="362"/>
      <c r="S1543" s="362"/>
      <c r="T1543" s="362"/>
      <c r="U1543" s="362"/>
      <c r="V1543" s="362"/>
      <c r="W1543" s="362"/>
      <c r="X1543" s="149">
        <v>43424</v>
      </c>
      <c r="Y1543" s="51" t="s">
        <v>27</v>
      </c>
      <c r="Z1543" s="51" t="s">
        <v>27</v>
      </c>
      <c r="AA1543" s="51" t="s">
        <v>27</v>
      </c>
      <c r="AB1543" s="51"/>
      <c r="AC1543" s="533" t="s">
        <v>6740</v>
      </c>
    </row>
    <row r="1544" spans="1:29" ht="15" customHeight="1">
      <c r="A1544" s="51" t="s">
        <v>0</v>
      </c>
      <c r="B1544" s="51" t="s">
        <v>5590</v>
      </c>
      <c r="C1544" s="51" t="s">
        <v>27</v>
      </c>
      <c r="D1544" s="53" t="s">
        <v>2758</v>
      </c>
      <c r="E1544" s="290" t="s">
        <v>17</v>
      </c>
      <c r="F1544" s="53" t="s">
        <v>5721</v>
      </c>
      <c r="G1544" s="51"/>
      <c r="H1544" s="51" t="s">
        <v>3084</v>
      </c>
      <c r="I1544" s="362" t="s">
        <v>21</v>
      </c>
      <c r="J1544" s="51" t="s">
        <v>37</v>
      </c>
      <c r="K1544" s="493" t="s">
        <v>337</v>
      </c>
      <c r="L1544" s="51" t="s">
        <v>6385</v>
      </c>
      <c r="M1544" s="51" t="s">
        <v>22</v>
      </c>
      <c r="N1544" s="51"/>
      <c r="O1544" s="51"/>
      <c r="P1544" s="363"/>
      <c r="Q1544" s="362"/>
      <c r="R1544" s="362"/>
      <c r="S1544" s="362"/>
      <c r="T1544" s="362"/>
      <c r="U1544" s="362"/>
      <c r="V1544" s="362"/>
      <c r="W1544" s="362"/>
      <c r="X1544" s="149"/>
      <c r="Y1544" s="45" t="s">
        <v>27</v>
      </c>
      <c r="Z1544" s="51" t="s">
        <v>27</v>
      </c>
      <c r="AA1544" s="51" t="s">
        <v>27</v>
      </c>
      <c r="AB1544" s="51"/>
      <c r="AC1544" s="447"/>
    </row>
    <row r="1545" spans="1:29" ht="15.75">
      <c r="A1545" s="51" t="s">
        <v>0</v>
      </c>
      <c r="B1545" s="51" t="s">
        <v>5591</v>
      </c>
      <c r="C1545" s="362" t="s">
        <v>27</v>
      </c>
      <c r="D1545" s="289" t="s">
        <v>2758</v>
      </c>
      <c r="E1545" s="290" t="s">
        <v>17</v>
      </c>
      <c r="F1545" s="53" t="s">
        <v>5722</v>
      </c>
      <c r="G1545" s="51"/>
      <c r="H1545" s="51" t="s">
        <v>3084</v>
      </c>
      <c r="I1545" s="362" t="s">
        <v>21</v>
      </c>
      <c r="J1545" s="51" t="s">
        <v>32</v>
      </c>
      <c r="K1545" s="490" t="s">
        <v>337</v>
      </c>
      <c r="L1545" s="51" t="s">
        <v>6385</v>
      </c>
      <c r="M1545" s="51" t="s">
        <v>22</v>
      </c>
      <c r="N1545" s="51"/>
      <c r="O1545" s="51"/>
      <c r="P1545" s="363"/>
      <c r="Q1545" s="362"/>
      <c r="R1545" s="362"/>
      <c r="S1545" s="362"/>
      <c r="T1545" s="362"/>
      <c r="U1545" s="362"/>
      <c r="V1545" s="362"/>
      <c r="W1545" s="362"/>
      <c r="X1545" s="149"/>
      <c r="Y1545" s="51" t="s">
        <v>27</v>
      </c>
      <c r="Z1545" s="51" t="s">
        <v>27</v>
      </c>
      <c r="AA1545" s="51" t="s">
        <v>27</v>
      </c>
      <c r="AB1545" s="51"/>
      <c r="AC1545" s="491" t="s">
        <v>6494</v>
      </c>
    </row>
    <row r="1546" spans="1:29" ht="15" customHeight="1">
      <c r="A1546" s="51" t="s">
        <v>0</v>
      </c>
      <c r="B1546" s="51" t="s">
        <v>5592</v>
      </c>
      <c r="C1546" s="51" t="s">
        <v>27</v>
      </c>
      <c r="D1546" s="53" t="s">
        <v>2758</v>
      </c>
      <c r="E1546" s="290" t="s">
        <v>17</v>
      </c>
      <c r="F1546" s="53" t="s">
        <v>5723</v>
      </c>
      <c r="G1546" s="51"/>
      <c r="H1546" s="51" t="s">
        <v>3084</v>
      </c>
      <c r="I1546" s="362" t="s">
        <v>60</v>
      </c>
      <c r="J1546" s="51" t="s">
        <v>5730</v>
      </c>
      <c r="K1546" s="490" t="s">
        <v>5859</v>
      </c>
      <c r="L1546" s="51" t="s">
        <v>6385</v>
      </c>
      <c r="M1546" s="51" t="s">
        <v>22</v>
      </c>
      <c r="N1546" s="51"/>
      <c r="O1546" s="51"/>
      <c r="P1546" s="363"/>
      <c r="Q1546" s="362"/>
      <c r="R1546" s="362"/>
      <c r="S1546" s="362"/>
      <c r="T1546" s="362"/>
      <c r="U1546" s="362"/>
      <c r="V1546" s="362"/>
      <c r="W1546" s="362"/>
      <c r="X1546" s="149"/>
      <c r="Y1546" s="45" t="s">
        <v>27</v>
      </c>
      <c r="Z1546" s="51" t="s">
        <v>27</v>
      </c>
      <c r="AA1546" s="51" t="s">
        <v>27</v>
      </c>
      <c r="AB1546" s="51"/>
      <c r="AC1546" s="488" t="s">
        <v>6498</v>
      </c>
    </row>
    <row r="1547" spans="1:29" ht="45">
      <c r="A1547" s="51" t="s">
        <v>0</v>
      </c>
      <c r="B1547" s="51" t="s">
        <v>5593</v>
      </c>
      <c r="C1547" s="362" t="s">
        <v>27</v>
      </c>
      <c r="D1547" s="289" t="s">
        <v>2758</v>
      </c>
      <c r="E1547" s="290" t="s">
        <v>17</v>
      </c>
      <c r="F1547" s="53" t="s">
        <v>5724</v>
      </c>
      <c r="G1547" s="51"/>
      <c r="H1547" s="51" t="s">
        <v>3084</v>
      </c>
      <c r="I1547" s="362" t="s">
        <v>60</v>
      </c>
      <c r="J1547" s="491" t="s">
        <v>5733</v>
      </c>
      <c r="K1547" s="490" t="s">
        <v>6497</v>
      </c>
      <c r="L1547" s="51" t="s">
        <v>6385</v>
      </c>
      <c r="M1547" s="51" t="s">
        <v>22</v>
      </c>
      <c r="N1547" s="51"/>
      <c r="O1547" s="51"/>
      <c r="P1547" s="363"/>
      <c r="Q1547" s="362"/>
      <c r="R1547" s="362"/>
      <c r="S1547" s="362"/>
      <c r="T1547" s="362"/>
      <c r="U1547" s="362"/>
      <c r="V1547" s="362"/>
      <c r="W1547" s="362"/>
      <c r="X1547" s="149"/>
      <c r="Y1547" s="51" t="s">
        <v>27</v>
      </c>
      <c r="Z1547" s="51" t="s">
        <v>27</v>
      </c>
      <c r="AA1547" s="51" t="s">
        <v>27</v>
      </c>
      <c r="AB1547" s="51"/>
      <c r="AC1547" s="411"/>
    </row>
    <row r="1548" spans="1:29" ht="15.75">
      <c r="A1548" s="51" t="s">
        <v>0</v>
      </c>
      <c r="B1548" s="51" t="s">
        <v>5594</v>
      </c>
      <c r="C1548" s="362" t="s">
        <v>27</v>
      </c>
      <c r="D1548" s="289" t="s">
        <v>2758</v>
      </c>
      <c r="E1548" s="290" t="s">
        <v>17</v>
      </c>
      <c r="F1548" s="53" t="s">
        <v>5725</v>
      </c>
      <c r="G1548" s="51"/>
      <c r="H1548" s="51" t="s">
        <v>3084</v>
      </c>
      <c r="I1548" s="362" t="s">
        <v>21</v>
      </c>
      <c r="J1548" s="51" t="s">
        <v>32</v>
      </c>
      <c r="K1548" s="490" t="s">
        <v>337</v>
      </c>
      <c r="L1548" s="51" t="s">
        <v>6385</v>
      </c>
      <c r="M1548" s="51" t="s">
        <v>22</v>
      </c>
      <c r="N1548" s="51"/>
      <c r="O1548" s="51"/>
      <c r="P1548" s="363"/>
      <c r="Q1548" s="362"/>
      <c r="R1548" s="362"/>
      <c r="S1548" s="362"/>
      <c r="T1548" s="362"/>
      <c r="U1548" s="362"/>
      <c r="V1548" s="362"/>
      <c r="W1548" s="362"/>
      <c r="X1548" s="149"/>
      <c r="Y1548" s="51" t="s">
        <v>27</v>
      </c>
      <c r="Z1548" s="51" t="s">
        <v>27</v>
      </c>
      <c r="AA1548" s="51" t="s">
        <v>27</v>
      </c>
      <c r="AB1548" s="51"/>
      <c r="AC1548" s="392"/>
    </row>
    <row r="1549" spans="1:29" ht="60">
      <c r="A1549" s="51" t="s">
        <v>0</v>
      </c>
      <c r="B1549" s="51" t="s">
        <v>5595</v>
      </c>
      <c r="C1549" s="51" t="s">
        <v>27</v>
      </c>
      <c r="D1549" s="289" t="s">
        <v>2759</v>
      </c>
      <c r="E1549" s="300" t="s">
        <v>2008</v>
      </c>
      <c r="F1549" s="53" t="s">
        <v>5726</v>
      </c>
      <c r="G1549" s="51"/>
      <c r="H1549" s="51" t="s">
        <v>3084</v>
      </c>
      <c r="I1549" s="362" t="s">
        <v>60</v>
      </c>
      <c r="J1549" s="51" t="s">
        <v>5733</v>
      </c>
      <c r="K1549" s="412" t="s">
        <v>5916</v>
      </c>
      <c r="L1549" s="51" t="s">
        <v>4464</v>
      </c>
      <c r="M1549" s="51" t="s">
        <v>22</v>
      </c>
      <c r="N1549" s="51"/>
      <c r="O1549" s="51"/>
      <c r="P1549" s="363"/>
      <c r="Q1549" s="362"/>
      <c r="R1549" s="362"/>
      <c r="S1549" s="362"/>
      <c r="T1549" s="362"/>
      <c r="U1549" s="362"/>
      <c r="V1549" s="362"/>
      <c r="W1549" s="362"/>
      <c r="X1549" s="149">
        <v>43424</v>
      </c>
      <c r="Y1549" s="51" t="s">
        <v>27</v>
      </c>
      <c r="Z1549" s="51" t="s">
        <v>27</v>
      </c>
      <c r="AA1549" s="51" t="s">
        <v>27</v>
      </c>
      <c r="AB1549" s="51"/>
      <c r="AC1549" s="442" t="s">
        <v>5993</v>
      </c>
    </row>
    <row r="1550" spans="1:29" ht="45">
      <c r="A1550" s="51" t="s">
        <v>0</v>
      </c>
      <c r="B1550" s="51" t="s">
        <v>5596</v>
      </c>
      <c r="C1550" s="51" t="s">
        <v>27</v>
      </c>
      <c r="D1550" s="289" t="s">
        <v>2759</v>
      </c>
      <c r="E1550" s="300" t="s">
        <v>2008</v>
      </c>
      <c r="F1550" s="53" t="s">
        <v>5727</v>
      </c>
      <c r="G1550" s="51"/>
      <c r="H1550" s="51" t="s">
        <v>3084</v>
      </c>
      <c r="I1550" s="362" t="s">
        <v>60</v>
      </c>
      <c r="J1550" s="51" t="s">
        <v>5730</v>
      </c>
      <c r="K1550" s="412" t="s">
        <v>5859</v>
      </c>
      <c r="L1550" s="51" t="s">
        <v>4464</v>
      </c>
      <c r="M1550" s="51" t="s">
        <v>22</v>
      </c>
      <c r="N1550" s="51"/>
      <c r="O1550" s="51"/>
      <c r="P1550" s="363"/>
      <c r="Q1550" s="362"/>
      <c r="R1550" s="362"/>
      <c r="S1550" s="362"/>
      <c r="T1550" s="362"/>
      <c r="U1550" s="362"/>
      <c r="V1550" s="362"/>
      <c r="W1550" s="362"/>
      <c r="X1550" s="149">
        <v>43424</v>
      </c>
      <c r="Y1550" s="51" t="s">
        <v>27</v>
      </c>
      <c r="Z1550" s="51" t="s">
        <v>27</v>
      </c>
      <c r="AA1550" s="51" t="s">
        <v>27</v>
      </c>
      <c r="AB1550" s="51"/>
      <c r="AC1550" s="392" t="s">
        <v>5814</v>
      </c>
    </row>
    <row r="1551" spans="1:29" ht="45">
      <c r="A1551" s="51" t="s">
        <v>0</v>
      </c>
      <c r="B1551" s="491" t="s">
        <v>5597</v>
      </c>
      <c r="C1551" s="51" t="s">
        <v>27</v>
      </c>
      <c r="D1551" s="289" t="s">
        <v>2758</v>
      </c>
      <c r="E1551" s="290" t="s">
        <v>17</v>
      </c>
      <c r="F1551" s="53" t="s">
        <v>5728</v>
      </c>
      <c r="G1551" s="51"/>
      <c r="H1551" s="51" t="s">
        <v>3084</v>
      </c>
      <c r="I1551" s="362" t="s">
        <v>60</v>
      </c>
      <c r="J1551" s="491" t="s">
        <v>5730</v>
      </c>
      <c r="K1551" s="490" t="s">
        <v>5859</v>
      </c>
      <c r="L1551" s="51" t="s">
        <v>6385</v>
      </c>
      <c r="M1551" s="51" t="s">
        <v>22</v>
      </c>
      <c r="N1551" s="51"/>
      <c r="O1551" s="51"/>
      <c r="P1551" s="363"/>
      <c r="Q1551" s="362"/>
      <c r="R1551" s="362"/>
      <c r="S1551" s="362"/>
      <c r="T1551" s="362"/>
      <c r="U1551" s="362"/>
      <c r="V1551" s="362"/>
      <c r="W1551" s="362"/>
      <c r="X1551" s="149"/>
      <c r="Y1551" s="45" t="s">
        <v>27</v>
      </c>
      <c r="Z1551" s="51" t="s">
        <v>27</v>
      </c>
      <c r="AA1551" s="51" t="s">
        <v>27</v>
      </c>
      <c r="AB1551" s="51"/>
      <c r="AC1551" s="488" t="s">
        <v>6498</v>
      </c>
    </row>
    <row r="1552" spans="1:29" s="127" customFormat="1" ht="45">
      <c r="A1552" s="62" t="s">
        <v>1244</v>
      </c>
      <c r="B1552" s="375" t="s">
        <v>5734</v>
      </c>
      <c r="C1552" s="375" t="s">
        <v>27</v>
      </c>
      <c r="D1552" s="369" t="s">
        <v>2758</v>
      </c>
      <c r="E1552" s="375" t="s">
        <v>17</v>
      </c>
      <c r="F1552" s="375">
        <v>4079441</v>
      </c>
      <c r="G1552" s="44"/>
      <c r="H1552" s="375" t="s">
        <v>3084</v>
      </c>
      <c r="I1552" s="362" t="s">
        <v>60</v>
      </c>
      <c r="J1552" s="394" t="s">
        <v>5756</v>
      </c>
      <c r="K1552" s="395" t="s">
        <v>5831</v>
      </c>
      <c r="L1552" s="375" t="s">
        <v>4464</v>
      </c>
      <c r="M1552" s="375" t="s">
        <v>22</v>
      </c>
      <c r="N1552" s="375" t="s">
        <v>22</v>
      </c>
      <c r="O1552" s="375" t="s">
        <v>22</v>
      </c>
      <c r="P1552" s="363"/>
      <c r="Q1552" s="362"/>
      <c r="R1552" s="362"/>
      <c r="S1552" s="362"/>
      <c r="T1552" s="362"/>
      <c r="U1552" s="362"/>
      <c r="V1552" s="362"/>
      <c r="W1552" s="362"/>
      <c r="X1552" s="399">
        <v>43430</v>
      </c>
      <c r="Y1552" s="45" t="s">
        <v>27</v>
      </c>
      <c r="Z1552" s="45" t="s">
        <v>27</v>
      </c>
      <c r="AA1552" s="44" t="s">
        <v>27</v>
      </c>
      <c r="AB1552" s="44"/>
      <c r="AC1552" s="408" t="s">
        <v>5877</v>
      </c>
    </row>
    <row r="1553" spans="1:29" s="127" customFormat="1" ht="60">
      <c r="A1553" s="62" t="s">
        <v>1244</v>
      </c>
      <c r="B1553" s="375" t="s">
        <v>5735</v>
      </c>
      <c r="C1553" s="375" t="s">
        <v>27</v>
      </c>
      <c r="D1553" s="369" t="s">
        <v>2758</v>
      </c>
      <c r="E1553" s="375" t="s">
        <v>17</v>
      </c>
      <c r="F1553" s="375">
        <v>4079497</v>
      </c>
      <c r="G1553" s="44"/>
      <c r="H1553" s="375" t="s">
        <v>3084</v>
      </c>
      <c r="I1553" s="362" t="s">
        <v>60</v>
      </c>
      <c r="J1553" s="404" t="s">
        <v>5750</v>
      </c>
      <c r="K1553" s="408" t="s">
        <v>5826</v>
      </c>
      <c r="L1553" s="375" t="s">
        <v>4464</v>
      </c>
      <c r="M1553" s="375" t="s">
        <v>22</v>
      </c>
      <c r="N1553" s="375" t="s">
        <v>22</v>
      </c>
      <c r="O1553" s="375" t="s">
        <v>22</v>
      </c>
      <c r="P1553" s="363"/>
      <c r="Q1553" s="362"/>
      <c r="R1553" s="362"/>
      <c r="S1553" s="362"/>
      <c r="T1553" s="362"/>
      <c r="U1553" s="362"/>
      <c r="V1553" s="362"/>
      <c r="W1553" s="362"/>
      <c r="X1553" s="399">
        <v>43430</v>
      </c>
      <c r="Y1553" s="45" t="s">
        <v>27</v>
      </c>
      <c r="Z1553" s="45" t="s">
        <v>27</v>
      </c>
      <c r="AA1553" s="44" t="s">
        <v>27</v>
      </c>
      <c r="AB1553" s="44"/>
      <c r="AC1553" s="408" t="s">
        <v>5871</v>
      </c>
    </row>
    <row r="1554" spans="1:29" s="127" customFormat="1" ht="60">
      <c r="A1554" s="62" t="s">
        <v>1244</v>
      </c>
      <c r="B1554" s="375" t="s">
        <v>5736</v>
      </c>
      <c r="C1554" s="375" t="s">
        <v>27</v>
      </c>
      <c r="D1554" s="369" t="s">
        <v>2758</v>
      </c>
      <c r="E1554" s="375" t="s">
        <v>17</v>
      </c>
      <c r="F1554" s="375">
        <v>4079506</v>
      </c>
      <c r="G1554" s="44"/>
      <c r="H1554" s="375" t="s">
        <v>3084</v>
      </c>
      <c r="I1554" s="362" t="s">
        <v>60</v>
      </c>
      <c r="J1554" s="403" t="s">
        <v>5828</v>
      </c>
      <c r="K1554" s="400" t="s">
        <v>5827</v>
      </c>
      <c r="L1554" s="375" t="s">
        <v>4464</v>
      </c>
      <c r="M1554" s="375" t="s">
        <v>22</v>
      </c>
      <c r="N1554" s="375" t="s">
        <v>22</v>
      </c>
      <c r="O1554" s="375" t="s">
        <v>22</v>
      </c>
      <c r="P1554" s="363"/>
      <c r="Q1554" s="362"/>
      <c r="R1554" s="362"/>
      <c r="S1554" s="362"/>
      <c r="T1554" s="362"/>
      <c r="U1554" s="362"/>
      <c r="V1554" s="362"/>
      <c r="W1554" s="362"/>
      <c r="X1554" s="399">
        <v>43430</v>
      </c>
      <c r="Y1554" s="45" t="s">
        <v>27</v>
      </c>
      <c r="Z1554" s="45" t="s">
        <v>27</v>
      </c>
      <c r="AA1554" s="44" t="s">
        <v>27</v>
      </c>
      <c r="AB1554" s="44"/>
      <c r="AC1554" s="408" t="s">
        <v>5870</v>
      </c>
    </row>
    <row r="1555" spans="1:29" s="127" customFormat="1" ht="45">
      <c r="A1555" s="62" t="s">
        <v>1244</v>
      </c>
      <c r="B1555" s="375" t="s">
        <v>5737</v>
      </c>
      <c r="C1555" s="375" t="s">
        <v>27</v>
      </c>
      <c r="D1555" s="289" t="s">
        <v>2759</v>
      </c>
      <c r="E1555" s="375" t="s">
        <v>17</v>
      </c>
      <c r="F1555" s="375">
        <v>4079674</v>
      </c>
      <c r="G1555" s="44"/>
      <c r="H1555" s="375" t="s">
        <v>3084</v>
      </c>
      <c r="I1555" s="362" t="s">
        <v>60</v>
      </c>
      <c r="J1555" s="407" t="s">
        <v>5829</v>
      </c>
      <c r="K1555" s="408" t="s">
        <v>5830</v>
      </c>
      <c r="L1555" s="375" t="s">
        <v>4464</v>
      </c>
      <c r="M1555" s="375" t="s">
        <v>22</v>
      </c>
      <c r="N1555" s="375" t="s">
        <v>22</v>
      </c>
      <c r="O1555" s="375" t="s">
        <v>22</v>
      </c>
      <c r="P1555" s="363"/>
      <c r="Q1555" s="362"/>
      <c r="R1555" s="362"/>
      <c r="S1555" s="362"/>
      <c r="T1555" s="362"/>
      <c r="U1555" s="362"/>
      <c r="V1555" s="362"/>
      <c r="W1555" s="362"/>
      <c r="X1555" s="399">
        <v>43430</v>
      </c>
      <c r="Y1555" s="45" t="s">
        <v>27</v>
      </c>
      <c r="Z1555" s="45" t="s">
        <v>27</v>
      </c>
      <c r="AA1555" s="44" t="s">
        <v>27</v>
      </c>
      <c r="AB1555" s="44"/>
      <c r="AC1555" s="408" t="s">
        <v>5872</v>
      </c>
    </row>
    <row r="1556" spans="1:29" s="127" customFormat="1" ht="45">
      <c r="A1556" s="62" t="s">
        <v>1244</v>
      </c>
      <c r="B1556" s="375" t="s">
        <v>5738</v>
      </c>
      <c r="C1556" s="375" t="s">
        <v>27</v>
      </c>
      <c r="D1556" s="289" t="s">
        <v>2759</v>
      </c>
      <c r="E1556" s="375" t="s">
        <v>17</v>
      </c>
      <c r="F1556" s="375">
        <v>4079946</v>
      </c>
      <c r="G1556" s="44"/>
      <c r="H1556" s="375" t="s">
        <v>3084</v>
      </c>
      <c r="I1556" s="362" t="s">
        <v>60</v>
      </c>
      <c r="J1556" s="394" t="s">
        <v>5749</v>
      </c>
      <c r="K1556" s="415" t="s">
        <v>5832</v>
      </c>
      <c r="L1556" s="375" t="s">
        <v>4464</v>
      </c>
      <c r="M1556" s="375" t="s">
        <v>22</v>
      </c>
      <c r="N1556" s="375" t="s">
        <v>22</v>
      </c>
      <c r="O1556" s="375" t="s">
        <v>22</v>
      </c>
      <c r="P1556" s="363"/>
      <c r="Q1556" s="362"/>
      <c r="R1556" s="362"/>
      <c r="S1556" s="362"/>
      <c r="T1556" s="362"/>
      <c r="U1556" s="362"/>
      <c r="V1556" s="362"/>
      <c r="W1556" s="362"/>
      <c r="X1556" s="399">
        <v>43430</v>
      </c>
      <c r="Y1556" s="45" t="s">
        <v>27</v>
      </c>
      <c r="Z1556" s="45" t="s">
        <v>27</v>
      </c>
      <c r="AA1556" s="44" t="s">
        <v>27</v>
      </c>
      <c r="AB1556" s="44"/>
      <c r="AC1556" s="408" t="s">
        <v>5878</v>
      </c>
    </row>
    <row r="1557" spans="1:29" s="127" customFormat="1" ht="45">
      <c r="A1557" s="62" t="s">
        <v>1244</v>
      </c>
      <c r="B1557" s="375" t="s">
        <v>5739</v>
      </c>
      <c r="C1557" s="375" t="s">
        <v>27</v>
      </c>
      <c r="D1557" s="289" t="s">
        <v>2759</v>
      </c>
      <c r="E1557" s="375" t="s">
        <v>17</v>
      </c>
      <c r="F1557" s="375">
        <v>4079433</v>
      </c>
      <c r="G1557" s="44"/>
      <c r="H1557" s="375" t="s">
        <v>3084</v>
      </c>
      <c r="I1557" s="362" t="s">
        <v>60</v>
      </c>
      <c r="J1557" s="375" t="s">
        <v>5755</v>
      </c>
      <c r="K1557" s="418" t="s">
        <v>5822</v>
      </c>
      <c r="L1557" s="375" t="s">
        <v>4464</v>
      </c>
      <c r="M1557" s="375" t="s">
        <v>22</v>
      </c>
      <c r="N1557" s="375" t="s">
        <v>22</v>
      </c>
      <c r="O1557" s="375" t="s">
        <v>22</v>
      </c>
      <c r="P1557" s="363"/>
      <c r="Q1557" s="362"/>
      <c r="R1557" s="362"/>
      <c r="S1557" s="362"/>
      <c r="T1557" s="362"/>
      <c r="U1557" s="362"/>
      <c r="V1557" s="362"/>
      <c r="W1557" s="362"/>
      <c r="X1557" s="399">
        <v>43430</v>
      </c>
      <c r="Y1557" s="45" t="s">
        <v>27</v>
      </c>
      <c r="Z1557" s="45" t="s">
        <v>27</v>
      </c>
      <c r="AA1557" s="44" t="s">
        <v>27</v>
      </c>
      <c r="AB1557" s="44"/>
      <c r="AC1557" s="415" t="s">
        <v>5917</v>
      </c>
    </row>
    <row r="1558" spans="1:29" s="127" customFormat="1" ht="120">
      <c r="A1558" s="62" t="s">
        <v>1244</v>
      </c>
      <c r="B1558" s="375" t="s">
        <v>5740</v>
      </c>
      <c r="C1558" s="375" t="s">
        <v>27</v>
      </c>
      <c r="D1558" s="289" t="s">
        <v>2759</v>
      </c>
      <c r="E1558" s="375" t="s">
        <v>17</v>
      </c>
      <c r="F1558" s="375">
        <v>4079603</v>
      </c>
      <c r="G1558" s="44"/>
      <c r="H1558" s="375" t="s">
        <v>3084</v>
      </c>
      <c r="I1558" s="362" t="s">
        <v>60</v>
      </c>
      <c r="J1558" s="394" t="s">
        <v>5756</v>
      </c>
      <c r="K1558" s="446" t="s">
        <v>5824</v>
      </c>
      <c r="L1558" s="375" t="s">
        <v>4464</v>
      </c>
      <c r="M1558" s="375" t="s">
        <v>22</v>
      </c>
      <c r="N1558" s="375" t="s">
        <v>22</v>
      </c>
      <c r="O1558" s="375" t="s">
        <v>22</v>
      </c>
      <c r="P1558" s="363"/>
      <c r="Q1558" s="362"/>
      <c r="R1558" s="362"/>
      <c r="S1558" s="362"/>
      <c r="T1558" s="362"/>
      <c r="U1558" s="362"/>
      <c r="V1558" s="362"/>
      <c r="W1558" s="362"/>
      <c r="X1558" s="399">
        <v>43430</v>
      </c>
      <c r="Y1558" s="45" t="s">
        <v>27</v>
      </c>
      <c r="Z1558" s="45" t="s">
        <v>27</v>
      </c>
      <c r="AA1558" s="44" t="s">
        <v>27</v>
      </c>
      <c r="AB1558" s="44"/>
      <c r="AC1558" s="440" t="s">
        <v>5984</v>
      </c>
    </row>
    <row r="1559" spans="1:29" s="127" customFormat="1" ht="60">
      <c r="A1559" s="62" t="s">
        <v>1244</v>
      </c>
      <c r="B1559" s="375" t="s">
        <v>5741</v>
      </c>
      <c r="C1559" s="375" t="s">
        <v>27</v>
      </c>
      <c r="D1559" s="289" t="s">
        <v>2759</v>
      </c>
      <c r="E1559" s="375" t="s">
        <v>17</v>
      </c>
      <c r="F1559" s="375">
        <v>4079533</v>
      </c>
      <c r="G1559" s="44"/>
      <c r="H1559" s="375" t="s">
        <v>3084</v>
      </c>
      <c r="I1559" s="362" t="s">
        <v>60</v>
      </c>
      <c r="J1559" s="394" t="s">
        <v>5750</v>
      </c>
      <c r="K1559" s="395" t="s">
        <v>5820</v>
      </c>
      <c r="L1559" s="375" t="s">
        <v>4464</v>
      </c>
      <c r="M1559" s="375" t="s">
        <v>22</v>
      </c>
      <c r="N1559" s="375" t="s">
        <v>22</v>
      </c>
      <c r="O1559" s="375" t="s">
        <v>22</v>
      </c>
      <c r="P1559" s="363"/>
      <c r="Q1559" s="362"/>
      <c r="R1559" s="362"/>
      <c r="S1559" s="362"/>
      <c r="T1559" s="362"/>
      <c r="U1559" s="362"/>
      <c r="V1559" s="362"/>
      <c r="W1559" s="362"/>
      <c r="X1559" s="399">
        <v>43430</v>
      </c>
      <c r="Y1559" s="45" t="s">
        <v>27</v>
      </c>
      <c r="Z1559" s="45" t="s">
        <v>27</v>
      </c>
      <c r="AA1559" s="44" t="s">
        <v>27</v>
      </c>
      <c r="AB1559" s="44"/>
      <c r="AC1559" s="408" t="s">
        <v>5879</v>
      </c>
    </row>
    <row r="1560" spans="1:29" s="127" customFormat="1" ht="45">
      <c r="A1560" s="62" t="s">
        <v>1244</v>
      </c>
      <c r="B1560" s="375" t="s">
        <v>5742</v>
      </c>
      <c r="C1560" s="375" t="s">
        <v>27</v>
      </c>
      <c r="D1560" s="369" t="s">
        <v>2758</v>
      </c>
      <c r="E1560" s="375" t="s">
        <v>17</v>
      </c>
      <c r="F1560" s="375">
        <v>4079523</v>
      </c>
      <c r="G1560" s="44"/>
      <c r="H1560" s="375" t="s">
        <v>3084</v>
      </c>
      <c r="I1560" s="362" t="s">
        <v>21</v>
      </c>
      <c r="J1560" s="394" t="s">
        <v>1025</v>
      </c>
      <c r="K1560" s="395" t="s">
        <v>337</v>
      </c>
      <c r="L1560" s="375" t="s">
        <v>4464</v>
      </c>
      <c r="M1560" s="375" t="s">
        <v>22</v>
      </c>
      <c r="N1560" s="375" t="s">
        <v>22</v>
      </c>
      <c r="O1560" s="375" t="s">
        <v>22</v>
      </c>
      <c r="P1560" s="363"/>
      <c r="Q1560" s="362"/>
      <c r="R1560" s="362"/>
      <c r="S1560" s="362"/>
      <c r="T1560" s="362"/>
      <c r="U1560" s="362"/>
      <c r="V1560" s="362"/>
      <c r="W1560" s="362"/>
      <c r="X1560" s="399">
        <v>43430</v>
      </c>
      <c r="Y1560" s="45" t="s">
        <v>27</v>
      </c>
      <c r="Z1560" s="45" t="s">
        <v>27</v>
      </c>
      <c r="AA1560" s="44" t="s">
        <v>27</v>
      </c>
      <c r="AB1560" s="44"/>
      <c r="AC1560" s="408" t="s">
        <v>5874</v>
      </c>
    </row>
    <row r="1561" spans="1:29" s="127" customFormat="1" ht="15" customHeight="1">
      <c r="A1561" s="62" t="s">
        <v>1244</v>
      </c>
      <c r="B1561" s="375" t="s">
        <v>5743</v>
      </c>
      <c r="C1561" s="375" t="s">
        <v>27</v>
      </c>
      <c r="D1561" s="289" t="s">
        <v>2758</v>
      </c>
      <c r="E1561" s="290" t="s">
        <v>17</v>
      </c>
      <c r="F1561" s="375">
        <v>4079401</v>
      </c>
      <c r="G1561" s="44"/>
      <c r="H1561" s="375" t="s">
        <v>3084</v>
      </c>
      <c r="I1561" s="362" t="s">
        <v>21</v>
      </c>
      <c r="J1561" s="362" t="s">
        <v>3675</v>
      </c>
      <c r="K1561" s="492" t="s">
        <v>337</v>
      </c>
      <c r="L1561" s="51" t="s">
        <v>6385</v>
      </c>
      <c r="M1561" s="375" t="s">
        <v>22</v>
      </c>
      <c r="N1561" s="375" t="s">
        <v>22</v>
      </c>
      <c r="O1561" s="375" t="s">
        <v>22</v>
      </c>
      <c r="P1561" s="363"/>
      <c r="Q1561" s="362"/>
      <c r="R1561" s="362"/>
      <c r="S1561" s="362"/>
      <c r="T1561" s="362"/>
      <c r="U1561" s="362"/>
      <c r="V1561" s="362"/>
      <c r="W1561" s="362"/>
      <c r="X1561" s="399"/>
      <c r="Y1561" s="44" t="s">
        <v>27</v>
      </c>
      <c r="Z1561" s="44" t="s">
        <v>27</v>
      </c>
      <c r="AA1561" s="44" t="s">
        <v>27</v>
      </c>
      <c r="AB1561" s="44" t="s">
        <v>2021</v>
      </c>
      <c r="AC1561" s="489" t="s">
        <v>6493</v>
      </c>
    </row>
    <row r="1562" spans="1:29" s="127" customFormat="1" ht="15" customHeight="1">
      <c r="A1562" s="62" t="s">
        <v>1244</v>
      </c>
      <c r="B1562" s="375" t="s">
        <v>5744</v>
      </c>
      <c r="C1562" s="375" t="s">
        <v>27</v>
      </c>
      <c r="D1562" s="289" t="s">
        <v>2758</v>
      </c>
      <c r="E1562" s="290" t="s">
        <v>17</v>
      </c>
      <c r="F1562" s="375">
        <v>4079593</v>
      </c>
      <c r="G1562" s="44"/>
      <c r="H1562" s="375" t="s">
        <v>3084</v>
      </c>
      <c r="I1562" s="362" t="s">
        <v>21</v>
      </c>
      <c r="J1562" s="394" t="s">
        <v>3674</v>
      </c>
      <c r="K1562" s="393" t="s">
        <v>33</v>
      </c>
      <c r="L1562" s="51" t="s">
        <v>6385</v>
      </c>
      <c r="M1562" s="375" t="s">
        <v>22</v>
      </c>
      <c r="N1562" s="375" t="s">
        <v>22</v>
      </c>
      <c r="O1562" s="375" t="s">
        <v>22</v>
      </c>
      <c r="P1562" s="363"/>
      <c r="Q1562" s="362"/>
      <c r="R1562" s="362"/>
      <c r="S1562" s="362"/>
      <c r="T1562" s="362"/>
      <c r="U1562" s="362"/>
      <c r="V1562" s="362"/>
      <c r="W1562" s="362"/>
      <c r="X1562" s="399"/>
      <c r="Y1562" s="44" t="s">
        <v>27</v>
      </c>
      <c r="Z1562" s="44" t="s">
        <v>27</v>
      </c>
      <c r="AA1562" s="44" t="s">
        <v>27</v>
      </c>
      <c r="AB1562" s="44" t="s">
        <v>2021</v>
      </c>
      <c r="AC1562" s="489" t="s">
        <v>6493</v>
      </c>
    </row>
    <row r="1563" spans="1:29" s="127" customFormat="1" ht="15" customHeight="1">
      <c r="A1563" s="62" t="s">
        <v>1244</v>
      </c>
      <c r="B1563" s="375" t="s">
        <v>5745</v>
      </c>
      <c r="C1563" s="375" t="s">
        <v>27</v>
      </c>
      <c r="D1563" s="289" t="s">
        <v>2758</v>
      </c>
      <c r="E1563" s="290" t="s">
        <v>17</v>
      </c>
      <c r="F1563" s="375">
        <v>4079374</v>
      </c>
      <c r="G1563" s="44"/>
      <c r="H1563" s="375" t="s">
        <v>3084</v>
      </c>
      <c r="I1563" s="362" t="s">
        <v>21</v>
      </c>
      <c r="J1563" s="394" t="s">
        <v>3674</v>
      </c>
      <c r="K1563" s="492" t="s">
        <v>337</v>
      </c>
      <c r="L1563" s="51" t="s">
        <v>6385</v>
      </c>
      <c r="M1563" s="375" t="s">
        <v>22</v>
      </c>
      <c r="N1563" s="375" t="s">
        <v>22</v>
      </c>
      <c r="O1563" s="375" t="s">
        <v>22</v>
      </c>
      <c r="P1563" s="363"/>
      <c r="Q1563" s="362"/>
      <c r="R1563" s="362"/>
      <c r="S1563" s="362"/>
      <c r="T1563" s="362"/>
      <c r="U1563" s="362"/>
      <c r="V1563" s="362"/>
      <c r="W1563" s="362"/>
      <c r="X1563" s="399"/>
      <c r="Y1563" s="44" t="s">
        <v>27</v>
      </c>
      <c r="Z1563" s="44" t="s">
        <v>27</v>
      </c>
      <c r="AA1563" s="44" t="s">
        <v>27</v>
      </c>
      <c r="AB1563" s="44"/>
      <c r="AC1563" s="404"/>
    </row>
    <row r="1564" spans="1:29" s="127" customFormat="1" ht="15.75">
      <c r="A1564" s="62" t="s">
        <v>1244</v>
      </c>
      <c r="B1564" s="375" t="s">
        <v>5746</v>
      </c>
      <c r="C1564" s="375" t="s">
        <v>27</v>
      </c>
      <c r="D1564" s="289" t="s">
        <v>2758</v>
      </c>
      <c r="E1564" s="290" t="s">
        <v>17</v>
      </c>
      <c r="F1564" s="375">
        <v>4079698</v>
      </c>
      <c r="G1564" s="44"/>
      <c r="H1564" s="375" t="s">
        <v>3084</v>
      </c>
      <c r="I1564" s="362" t="s">
        <v>21</v>
      </c>
      <c r="J1564" s="362" t="s">
        <v>3675</v>
      </c>
      <c r="K1564" s="492" t="s">
        <v>33</v>
      </c>
      <c r="L1564" s="51" t="s">
        <v>6385</v>
      </c>
      <c r="M1564" s="375" t="s">
        <v>22</v>
      </c>
      <c r="N1564" s="375" t="s">
        <v>22</v>
      </c>
      <c r="O1564" s="375" t="s">
        <v>22</v>
      </c>
      <c r="P1564" s="363"/>
      <c r="Q1564" s="362"/>
      <c r="R1564" s="362"/>
      <c r="S1564" s="362"/>
      <c r="T1564" s="362"/>
      <c r="U1564" s="362"/>
      <c r="V1564" s="362"/>
      <c r="W1564" s="362"/>
      <c r="X1564" s="399"/>
      <c r="Y1564" s="44" t="s">
        <v>27</v>
      </c>
      <c r="Z1564" s="44" t="s">
        <v>27</v>
      </c>
      <c r="AA1564" s="44" t="s">
        <v>27</v>
      </c>
      <c r="AB1564" s="44"/>
      <c r="AC1564" s="169"/>
    </row>
    <row r="1565" spans="1:29" s="127" customFormat="1" ht="15" customHeight="1">
      <c r="A1565" s="62" t="s">
        <v>1244</v>
      </c>
      <c r="B1565" s="375" t="s">
        <v>5747</v>
      </c>
      <c r="C1565" s="375" t="s">
        <v>27</v>
      </c>
      <c r="D1565" s="289" t="s">
        <v>2758</v>
      </c>
      <c r="E1565" s="290" t="s">
        <v>17</v>
      </c>
      <c r="F1565" s="375">
        <v>4079700</v>
      </c>
      <c r="G1565" s="44"/>
      <c r="H1565" s="375" t="s">
        <v>3084</v>
      </c>
      <c r="I1565" s="362" t="s">
        <v>21</v>
      </c>
      <c r="J1565" s="404" t="s">
        <v>1025</v>
      </c>
      <c r="K1565" s="393" t="s">
        <v>3650</v>
      </c>
      <c r="L1565" s="51" t="s">
        <v>6385</v>
      </c>
      <c r="M1565" s="375" t="s">
        <v>22</v>
      </c>
      <c r="N1565" s="375" t="s">
        <v>22</v>
      </c>
      <c r="O1565" s="375" t="s">
        <v>22</v>
      </c>
      <c r="P1565" s="363"/>
      <c r="Q1565" s="362"/>
      <c r="R1565" s="362"/>
      <c r="S1565" s="362"/>
      <c r="T1565" s="362"/>
      <c r="U1565" s="362"/>
      <c r="V1565" s="362"/>
      <c r="W1565" s="362"/>
      <c r="X1565" s="399"/>
      <c r="Y1565" s="44" t="s">
        <v>27</v>
      </c>
      <c r="Z1565" s="44" t="s">
        <v>27</v>
      </c>
      <c r="AA1565" s="44" t="s">
        <v>27</v>
      </c>
      <c r="AB1565" s="44" t="s">
        <v>2021</v>
      </c>
      <c r="AC1565" s="489" t="s">
        <v>6493</v>
      </c>
    </row>
    <row r="1566" spans="1:29" ht="120">
      <c r="A1566" s="51" t="s">
        <v>336</v>
      </c>
      <c r="B1566" s="51" t="s">
        <v>5761</v>
      </c>
      <c r="C1566" s="362" t="s">
        <v>27</v>
      </c>
      <c r="D1566" s="369" t="s">
        <v>2758</v>
      </c>
      <c r="E1566" s="51" t="s">
        <v>17</v>
      </c>
      <c r="F1566" t="s">
        <v>5554</v>
      </c>
      <c r="G1566" s="51"/>
      <c r="H1566" s="51" t="s">
        <v>3084</v>
      </c>
      <c r="I1566" s="362" t="s">
        <v>60</v>
      </c>
      <c r="J1566" s="403" t="s">
        <v>5825</v>
      </c>
      <c r="K1566" s="402" t="s">
        <v>5824</v>
      </c>
      <c r="L1566" s="362" t="s">
        <v>4671</v>
      </c>
      <c r="M1566" s="362" t="s">
        <v>22</v>
      </c>
      <c r="N1566" s="362" t="s">
        <v>22</v>
      </c>
      <c r="O1566" s="51"/>
      <c r="P1566" s="363" t="s">
        <v>3824</v>
      </c>
      <c r="Q1566" s="362"/>
      <c r="R1566" s="362"/>
      <c r="S1566" s="362" t="s">
        <v>6029</v>
      </c>
      <c r="T1566" s="362" t="s">
        <v>6030</v>
      </c>
      <c r="U1566" s="362" t="s">
        <v>6031</v>
      </c>
      <c r="V1566" s="362" t="s">
        <v>6032</v>
      </c>
      <c r="W1566" s="362">
        <v>9712942752</v>
      </c>
      <c r="X1566" s="149"/>
      <c r="Y1566" s="51" t="s">
        <v>27</v>
      </c>
      <c r="Z1566" s="51" t="s">
        <v>27</v>
      </c>
      <c r="AA1566" s="51" t="s">
        <v>27</v>
      </c>
      <c r="AB1566" s="51"/>
      <c r="AC1566" s="404" t="s">
        <v>5864</v>
      </c>
    </row>
    <row r="1567" spans="1:29" ht="120">
      <c r="A1567" s="51" t="s">
        <v>336</v>
      </c>
      <c r="B1567" s="51" t="s">
        <v>5762</v>
      </c>
      <c r="C1567" s="362" t="s">
        <v>27</v>
      </c>
      <c r="D1567" s="369" t="s">
        <v>2758</v>
      </c>
      <c r="E1567" s="51" t="s">
        <v>17</v>
      </c>
      <c r="F1567" t="s">
        <v>5555</v>
      </c>
      <c r="G1567" s="51"/>
      <c r="H1567" s="51" t="s">
        <v>3084</v>
      </c>
      <c r="I1567" s="362" t="s">
        <v>60</v>
      </c>
      <c r="J1567" s="385" t="s">
        <v>5599</v>
      </c>
      <c r="K1567" s="412" t="s">
        <v>5826</v>
      </c>
      <c r="L1567" s="362" t="s">
        <v>4671</v>
      </c>
      <c r="M1567" s="362" t="s">
        <v>22</v>
      </c>
      <c r="N1567" s="362" t="s">
        <v>22</v>
      </c>
      <c r="O1567" s="51"/>
      <c r="P1567" s="363" t="s">
        <v>3824</v>
      </c>
      <c r="Q1567" s="362"/>
      <c r="R1567" s="362"/>
      <c r="S1567" s="362" t="s">
        <v>6033</v>
      </c>
      <c r="T1567" s="362" t="s">
        <v>6034</v>
      </c>
      <c r="U1567" s="362" t="s">
        <v>6035</v>
      </c>
      <c r="V1567" s="362" t="s">
        <v>6036</v>
      </c>
      <c r="W1567" s="362" t="s">
        <v>6037</v>
      </c>
      <c r="X1567" s="149"/>
      <c r="Y1567" s="51" t="s">
        <v>27</v>
      </c>
      <c r="Z1567" s="51" t="s">
        <v>27</v>
      </c>
      <c r="AA1567" s="51" t="s">
        <v>27</v>
      </c>
      <c r="AB1567" s="51"/>
      <c r="AC1567" s="414" t="s">
        <v>5882</v>
      </c>
    </row>
    <row r="1568" spans="1:29" ht="210">
      <c r="A1568" s="51" t="s">
        <v>336</v>
      </c>
      <c r="B1568" s="51" t="s">
        <v>5763</v>
      </c>
      <c r="C1568" s="362" t="s">
        <v>27</v>
      </c>
      <c r="D1568" s="369" t="s">
        <v>2758</v>
      </c>
      <c r="E1568" s="51" t="s">
        <v>17</v>
      </c>
      <c r="F1568" t="s">
        <v>5555</v>
      </c>
      <c r="G1568" s="51"/>
      <c r="H1568" s="51" t="s">
        <v>3084</v>
      </c>
      <c r="I1568" s="362" t="s">
        <v>60</v>
      </c>
      <c r="J1568" s="403" t="s">
        <v>5828</v>
      </c>
      <c r="K1568" s="487" t="s">
        <v>5827</v>
      </c>
      <c r="L1568" s="362" t="s">
        <v>4671</v>
      </c>
      <c r="M1568" s="362" t="s">
        <v>22</v>
      </c>
      <c r="N1568" s="362" t="s">
        <v>22</v>
      </c>
      <c r="O1568" s="51"/>
      <c r="P1568" s="363" t="s">
        <v>3824</v>
      </c>
      <c r="Q1568" s="362"/>
      <c r="R1568" s="362"/>
      <c r="S1568" s="362" t="s">
        <v>6038</v>
      </c>
      <c r="T1568" s="362" t="s">
        <v>6039</v>
      </c>
      <c r="U1568" s="362" t="s">
        <v>6040</v>
      </c>
      <c r="V1568" s="362" t="s">
        <v>6041</v>
      </c>
      <c r="W1568" s="362" t="s">
        <v>6042</v>
      </c>
      <c r="X1568" s="149"/>
      <c r="Y1568" s="51" t="s">
        <v>27</v>
      </c>
      <c r="Z1568" s="51" t="s">
        <v>27</v>
      </c>
      <c r="AA1568" s="51" t="s">
        <v>22</v>
      </c>
      <c r="AB1568" s="51" t="s">
        <v>2473</v>
      </c>
      <c r="AC1568" s="481" t="s">
        <v>6400</v>
      </c>
    </row>
    <row r="1569" spans="1:29" ht="45">
      <c r="A1569" s="51" t="s">
        <v>336</v>
      </c>
      <c r="B1569" s="51" t="s">
        <v>5760</v>
      </c>
      <c r="C1569" s="362" t="s">
        <v>27</v>
      </c>
      <c r="D1569" s="289" t="s">
        <v>2759</v>
      </c>
      <c r="E1569" s="51" t="s">
        <v>17</v>
      </c>
      <c r="F1569" s="53" t="s">
        <v>5571</v>
      </c>
      <c r="G1569" s="51"/>
      <c r="H1569" s="51" t="s">
        <v>3084</v>
      </c>
      <c r="I1569" s="362" t="s">
        <v>60</v>
      </c>
      <c r="J1569" s="385" t="s">
        <v>5825</v>
      </c>
      <c r="K1569" s="419" t="s">
        <v>5824</v>
      </c>
      <c r="L1569" s="362" t="s">
        <v>4671</v>
      </c>
      <c r="M1569" s="362" t="s">
        <v>22</v>
      </c>
      <c r="N1569" s="362" t="s">
        <v>22</v>
      </c>
      <c r="O1569" s="51"/>
      <c r="P1569" s="363" t="s">
        <v>3824</v>
      </c>
      <c r="Q1569" s="362"/>
      <c r="R1569" s="362"/>
      <c r="S1569" s="362" t="s">
        <v>6043</v>
      </c>
      <c r="T1569" s="362" t="s">
        <v>6044</v>
      </c>
      <c r="U1569" s="362" t="s">
        <v>6045</v>
      </c>
      <c r="V1569" s="362" t="s">
        <v>6046</v>
      </c>
      <c r="W1569" s="362">
        <v>5037288471</v>
      </c>
      <c r="X1569" s="149"/>
      <c r="Y1569" s="51" t="s">
        <v>27</v>
      </c>
      <c r="Z1569" s="51" t="s">
        <v>27</v>
      </c>
      <c r="AA1569" s="51" t="s">
        <v>27</v>
      </c>
      <c r="AB1569" s="51"/>
      <c r="AC1569" s="416" t="s">
        <v>5918</v>
      </c>
    </row>
    <row r="1570" spans="1:29" ht="45">
      <c r="A1570" s="51" t="s">
        <v>336</v>
      </c>
      <c r="B1570" s="51" t="s">
        <v>5764</v>
      </c>
      <c r="C1570" s="362" t="s">
        <v>27</v>
      </c>
      <c r="D1570" s="369" t="s">
        <v>2758</v>
      </c>
      <c r="E1570" s="51" t="s">
        <v>17</v>
      </c>
      <c r="F1570" s="53" t="s">
        <v>5765</v>
      </c>
      <c r="G1570" s="51"/>
      <c r="H1570" s="51" t="s">
        <v>3084</v>
      </c>
      <c r="I1570" s="51" t="s">
        <v>60</v>
      </c>
      <c r="J1570" s="51" t="s">
        <v>5598</v>
      </c>
      <c r="K1570" s="362" t="s">
        <v>5821</v>
      </c>
      <c r="L1570" s="362" t="s">
        <v>4671</v>
      </c>
      <c r="M1570" s="362" t="s">
        <v>22</v>
      </c>
      <c r="N1570" s="362" t="s">
        <v>22</v>
      </c>
      <c r="O1570" s="51"/>
      <c r="P1570" s="363" t="s">
        <v>3824</v>
      </c>
      <c r="Q1570" s="362"/>
      <c r="R1570" s="362"/>
      <c r="S1570" s="362" t="s">
        <v>6047</v>
      </c>
      <c r="T1570" s="362" t="s">
        <v>6048</v>
      </c>
      <c r="U1570" s="362" t="s">
        <v>6049</v>
      </c>
      <c r="V1570" s="362" t="s">
        <v>6050</v>
      </c>
      <c r="W1570" s="362">
        <v>9712979322</v>
      </c>
      <c r="X1570" s="149"/>
      <c r="Y1570" s="51" t="s">
        <v>27</v>
      </c>
      <c r="Z1570" s="51" t="s">
        <v>27</v>
      </c>
      <c r="AA1570" s="51" t="s">
        <v>27</v>
      </c>
      <c r="AB1570" s="51"/>
      <c r="AC1570" s="403" t="s">
        <v>5868</v>
      </c>
    </row>
    <row r="1571" spans="1:29" ht="90">
      <c r="A1571" s="51" t="s">
        <v>336</v>
      </c>
      <c r="B1571" s="409" t="s">
        <v>5610</v>
      </c>
      <c r="C1571" s="362" t="s">
        <v>27</v>
      </c>
      <c r="D1571" s="289" t="s">
        <v>2759</v>
      </c>
      <c r="E1571" s="51" t="s">
        <v>17</v>
      </c>
      <c r="F1571" s="429" t="s">
        <v>5934</v>
      </c>
      <c r="G1571" s="51"/>
      <c r="H1571" s="51" t="s">
        <v>3084</v>
      </c>
      <c r="I1571" s="51" t="s">
        <v>60</v>
      </c>
      <c r="J1571" s="403" t="s">
        <v>5828</v>
      </c>
      <c r="K1571" s="419" t="s">
        <v>5827</v>
      </c>
      <c r="L1571" s="362" t="s">
        <v>4671</v>
      </c>
      <c r="M1571" s="362" t="s">
        <v>22</v>
      </c>
      <c r="N1571" s="362" t="s">
        <v>22</v>
      </c>
      <c r="O1571" s="51"/>
      <c r="P1571" s="363" t="s">
        <v>3824</v>
      </c>
      <c r="Q1571" s="362"/>
      <c r="R1571" s="362"/>
      <c r="S1571" s="362" t="s">
        <v>6051</v>
      </c>
      <c r="T1571" s="362" t="s">
        <v>6052</v>
      </c>
      <c r="U1571" s="362" t="s">
        <v>6053</v>
      </c>
      <c r="V1571" s="362" t="s">
        <v>6054</v>
      </c>
      <c r="W1571" s="362" t="s">
        <v>6055</v>
      </c>
      <c r="X1571" s="149"/>
      <c r="Y1571" s="51" t="s">
        <v>27</v>
      </c>
      <c r="Z1571" s="51" t="s">
        <v>27</v>
      </c>
      <c r="AA1571" s="51" t="s">
        <v>27</v>
      </c>
      <c r="AB1571" s="51"/>
      <c r="AC1571" s="416" t="s">
        <v>5919</v>
      </c>
    </row>
    <row r="1572" spans="1:29" ht="15" customHeight="1">
      <c r="A1572" s="362" t="s">
        <v>364</v>
      </c>
      <c r="B1572" s="411" t="s">
        <v>5787</v>
      </c>
      <c r="C1572" s="362" t="s">
        <v>27</v>
      </c>
      <c r="D1572" s="289" t="s">
        <v>2758</v>
      </c>
      <c r="E1572" s="290" t="s">
        <v>17</v>
      </c>
      <c r="F1572" s="377" t="s">
        <v>5779</v>
      </c>
      <c r="G1572" s="378" t="s">
        <v>5786</v>
      </c>
      <c r="H1572" s="362" t="s">
        <v>3084</v>
      </c>
      <c r="I1572" s="51" t="s">
        <v>21</v>
      </c>
      <c r="J1572" s="362" t="s">
        <v>2259</v>
      </c>
      <c r="K1572" s="490" t="s">
        <v>33</v>
      </c>
      <c r="L1572" s="51" t="s">
        <v>6385</v>
      </c>
      <c r="M1572" s="51" t="s">
        <v>22</v>
      </c>
      <c r="N1572" s="51"/>
      <c r="O1572" s="51"/>
      <c r="P1572" s="363"/>
      <c r="Q1572" s="362"/>
      <c r="R1572" s="362"/>
      <c r="S1572" s="362"/>
      <c r="T1572" s="362"/>
      <c r="U1572" s="362"/>
      <c r="V1572" s="362"/>
      <c r="W1572" s="362"/>
      <c r="X1572" s="149"/>
      <c r="Y1572" s="51" t="s">
        <v>27</v>
      </c>
      <c r="Z1572" s="51" t="s">
        <v>27</v>
      </c>
      <c r="AA1572" s="51" t="s">
        <v>27</v>
      </c>
      <c r="AB1572" s="51"/>
      <c r="AC1572" s="491" t="s">
        <v>6496</v>
      </c>
    </row>
    <row r="1573" spans="1:29" ht="15" customHeight="1">
      <c r="A1573" s="362" t="s">
        <v>364</v>
      </c>
      <c r="B1573" s="491" t="s">
        <v>5788</v>
      </c>
      <c r="C1573" s="362" t="s">
        <v>27</v>
      </c>
      <c r="D1573" s="289" t="s">
        <v>2758</v>
      </c>
      <c r="E1573" s="290" t="s">
        <v>17</v>
      </c>
      <c r="F1573" s="377" t="s">
        <v>5780</v>
      </c>
      <c r="G1573" s="378" t="s">
        <v>5507</v>
      </c>
      <c r="H1573" s="362" t="s">
        <v>3084</v>
      </c>
      <c r="I1573" s="51" t="s">
        <v>21</v>
      </c>
      <c r="J1573" s="362" t="s">
        <v>5851</v>
      </c>
      <c r="K1573" s="362" t="s">
        <v>33</v>
      </c>
      <c r="L1573" s="51" t="s">
        <v>6385</v>
      </c>
      <c r="M1573" s="51" t="s">
        <v>22</v>
      </c>
      <c r="N1573" s="51"/>
      <c r="O1573" s="51"/>
      <c r="P1573" s="363"/>
      <c r="Q1573" s="362"/>
      <c r="R1573" s="362"/>
      <c r="S1573" s="362"/>
      <c r="T1573" s="362"/>
      <c r="U1573" s="362"/>
      <c r="V1573" s="362"/>
      <c r="W1573" s="362"/>
      <c r="X1573" s="149"/>
      <c r="Y1573" s="51" t="s">
        <v>27</v>
      </c>
      <c r="Z1573" s="51" t="s">
        <v>27</v>
      </c>
      <c r="AA1573" s="51" t="s">
        <v>27</v>
      </c>
      <c r="AB1573" s="51"/>
      <c r="AC1573" s="496" t="s">
        <v>6525</v>
      </c>
    </row>
    <row r="1574" spans="1:29" ht="15" customHeight="1">
      <c r="A1574" s="362" t="s">
        <v>364</v>
      </c>
      <c r="B1574" s="491" t="s">
        <v>5789</v>
      </c>
      <c r="C1574" s="362" t="s">
        <v>27</v>
      </c>
      <c r="D1574" s="289" t="s">
        <v>2758</v>
      </c>
      <c r="E1574" s="290" t="s">
        <v>17</v>
      </c>
      <c r="F1574" s="377" t="s">
        <v>5781</v>
      </c>
      <c r="G1574" s="378" t="s">
        <v>5790</v>
      </c>
      <c r="H1574" s="362" t="s">
        <v>3084</v>
      </c>
      <c r="I1574" s="51" t="s">
        <v>21</v>
      </c>
      <c r="J1574" s="362" t="s">
        <v>2259</v>
      </c>
      <c r="K1574" s="362" t="s">
        <v>337</v>
      </c>
      <c r="L1574" s="51" t="s">
        <v>6385</v>
      </c>
      <c r="M1574" s="51" t="s">
        <v>22</v>
      </c>
      <c r="N1574" s="51"/>
      <c r="O1574" s="51"/>
      <c r="P1574" s="363"/>
      <c r="Q1574" s="362"/>
      <c r="R1574" s="362"/>
      <c r="S1574" s="362"/>
      <c r="T1574" s="362"/>
      <c r="U1574" s="362"/>
      <c r="V1574" s="362"/>
      <c r="W1574" s="362"/>
      <c r="X1574" s="149"/>
      <c r="Y1574" s="51" t="s">
        <v>27</v>
      </c>
      <c r="Z1574" s="51" t="s">
        <v>27</v>
      </c>
      <c r="AA1574" s="51" t="s">
        <v>27</v>
      </c>
      <c r="AB1574" s="51"/>
      <c r="AC1574" s="448"/>
    </row>
    <row r="1575" spans="1:29" ht="135">
      <c r="A1575" s="51" t="s">
        <v>336</v>
      </c>
      <c r="B1575" s="403" t="s">
        <v>5570</v>
      </c>
      <c r="C1575" s="403" t="s">
        <v>27</v>
      </c>
      <c r="D1575" s="289" t="s">
        <v>2759</v>
      </c>
      <c r="E1575" s="51" t="s">
        <v>17</v>
      </c>
      <c r="F1575" s="380" t="s">
        <v>5571</v>
      </c>
      <c r="G1575" s="51"/>
      <c r="H1575" s="51" t="s">
        <v>3084</v>
      </c>
      <c r="I1575" s="151" t="s">
        <v>60</v>
      </c>
      <c r="J1575" s="407" t="s">
        <v>5829</v>
      </c>
      <c r="K1575" s="402" t="s">
        <v>5830</v>
      </c>
      <c r="L1575" s="379" t="s">
        <v>4671</v>
      </c>
      <c r="M1575" s="379" t="s">
        <v>22</v>
      </c>
      <c r="N1575" s="51"/>
      <c r="O1575" s="51"/>
      <c r="P1575" s="363" t="s">
        <v>3824</v>
      </c>
      <c r="Q1575" s="362"/>
      <c r="R1575" s="362"/>
      <c r="S1575" s="362" t="s">
        <v>6029</v>
      </c>
      <c r="T1575" s="362">
        <v>9712979340</v>
      </c>
      <c r="U1575" s="362" t="s">
        <v>6056</v>
      </c>
      <c r="V1575" s="362" t="s">
        <v>6057</v>
      </c>
      <c r="W1575" s="362" t="s">
        <v>6058</v>
      </c>
      <c r="X1575" s="149"/>
      <c r="Y1575" s="51" t="s">
        <v>27</v>
      </c>
      <c r="Z1575" s="51" t="s">
        <v>27</v>
      </c>
      <c r="AA1575" s="51" t="s">
        <v>27</v>
      </c>
      <c r="AB1575" s="51"/>
      <c r="AC1575" s="403" t="s">
        <v>5869</v>
      </c>
    </row>
    <row r="1576" spans="1:29" ht="86.25" customHeight="1">
      <c r="A1576" s="51" t="s">
        <v>364</v>
      </c>
      <c r="B1576" s="501" t="s">
        <v>5793</v>
      </c>
      <c r="C1576" s="362" t="s">
        <v>27</v>
      </c>
      <c r="D1576" s="369" t="s">
        <v>2758</v>
      </c>
      <c r="E1576" s="290" t="s">
        <v>5533</v>
      </c>
      <c r="F1576" s="53" t="s">
        <v>5794</v>
      </c>
      <c r="G1576" s="51" t="s">
        <v>5505</v>
      </c>
      <c r="H1576" s="51" t="s">
        <v>3084</v>
      </c>
      <c r="I1576" s="51" t="s">
        <v>60</v>
      </c>
      <c r="J1576" s="438" t="s">
        <v>5855</v>
      </c>
      <c r="K1576" s="53" t="s">
        <v>5854</v>
      </c>
      <c r="L1576" s="51" t="s">
        <v>31</v>
      </c>
      <c r="M1576" s="383" t="s">
        <v>22</v>
      </c>
      <c r="N1576" s="51" t="s">
        <v>22</v>
      </c>
      <c r="O1576" s="51" t="s">
        <v>3639</v>
      </c>
      <c r="P1576" s="363" t="s">
        <v>5517</v>
      </c>
      <c r="Q1576" s="362" t="s">
        <v>5797</v>
      </c>
      <c r="R1576" s="362" t="s">
        <v>5796</v>
      </c>
      <c r="S1576" s="362" t="s">
        <v>5795</v>
      </c>
      <c r="T1576" s="362" t="s">
        <v>5945</v>
      </c>
      <c r="U1576" s="362"/>
      <c r="V1576" s="362"/>
      <c r="W1576" s="362"/>
      <c r="X1576" s="149"/>
      <c r="Y1576" s="51" t="s">
        <v>27</v>
      </c>
      <c r="Z1576" s="51" t="s">
        <v>27</v>
      </c>
      <c r="AA1576" s="51" t="s">
        <v>27</v>
      </c>
      <c r="AB1576" s="51"/>
      <c r="AC1576" s="519" t="s">
        <v>6554</v>
      </c>
    </row>
    <row r="1577" spans="1:29" ht="15" customHeight="1">
      <c r="A1577" s="51" t="s">
        <v>364</v>
      </c>
      <c r="B1577" s="51" t="s">
        <v>5798</v>
      </c>
      <c r="C1577" s="51" t="s">
        <v>22</v>
      </c>
      <c r="D1577" s="53"/>
      <c r="E1577" s="290" t="s">
        <v>5533</v>
      </c>
      <c r="F1577" s="53" t="s">
        <v>5799</v>
      </c>
      <c r="G1577" s="51"/>
      <c r="H1577" s="51" t="s">
        <v>3084</v>
      </c>
      <c r="I1577" s="51"/>
      <c r="J1577" s="391"/>
      <c r="K1577" s="390"/>
      <c r="L1577" s="51"/>
      <c r="M1577" s="51"/>
      <c r="N1577" s="51"/>
      <c r="O1577" s="51"/>
      <c r="P1577" s="363"/>
      <c r="Q1577" s="362"/>
      <c r="R1577" s="362"/>
      <c r="S1577" s="362"/>
      <c r="T1577" s="362"/>
      <c r="U1577" s="362"/>
      <c r="V1577" s="362"/>
      <c r="W1577" s="362"/>
      <c r="X1577" s="149"/>
      <c r="Y1577" s="51" t="s">
        <v>27</v>
      </c>
      <c r="Z1577" s="51" t="s">
        <v>27</v>
      </c>
      <c r="AA1577" s="51" t="s">
        <v>22</v>
      </c>
      <c r="AB1577" s="51"/>
      <c r="AC1577" s="411" t="s">
        <v>5913</v>
      </c>
    </row>
    <row r="1578" spans="1:29" ht="30">
      <c r="A1578" s="51" t="s">
        <v>364</v>
      </c>
      <c r="B1578" s="51" t="s">
        <v>5800</v>
      </c>
      <c r="C1578" s="51" t="s">
        <v>22</v>
      </c>
      <c r="D1578" s="53"/>
      <c r="E1578" s="290" t="s">
        <v>5533</v>
      </c>
      <c r="F1578" s="53" t="s">
        <v>5538</v>
      </c>
      <c r="G1578" s="51"/>
      <c r="H1578" s="51" t="s">
        <v>3084</v>
      </c>
      <c r="I1578" s="51"/>
      <c r="J1578" s="391"/>
      <c r="K1578" s="390"/>
      <c r="L1578" s="51"/>
      <c r="M1578" s="51"/>
      <c r="N1578" s="51"/>
      <c r="O1578" s="51"/>
      <c r="P1578" s="363"/>
      <c r="Q1578" s="362"/>
      <c r="R1578" s="362"/>
      <c r="S1578" s="362"/>
      <c r="T1578" s="362"/>
      <c r="U1578" s="362"/>
      <c r="V1578" s="362"/>
      <c r="W1578" s="362"/>
      <c r="X1578" s="149"/>
      <c r="Y1578" s="51" t="s">
        <v>27</v>
      </c>
      <c r="Z1578" s="51" t="s">
        <v>27</v>
      </c>
      <c r="AA1578" s="51" t="s">
        <v>22</v>
      </c>
      <c r="AB1578" s="51"/>
      <c r="AC1578" s="411" t="s">
        <v>5913</v>
      </c>
    </row>
    <row r="1579" spans="1:29" ht="30">
      <c r="A1579" s="51" t="s">
        <v>364</v>
      </c>
      <c r="B1579" s="51" t="s">
        <v>5801</v>
      </c>
      <c r="C1579" s="51" t="s">
        <v>22</v>
      </c>
      <c r="D1579" s="289"/>
      <c r="E1579" s="290" t="s">
        <v>5533</v>
      </c>
      <c r="F1579" s="53" t="s">
        <v>5802</v>
      </c>
      <c r="G1579" s="51"/>
      <c r="H1579" s="51" t="s">
        <v>3084</v>
      </c>
      <c r="I1579" s="51"/>
      <c r="J1579" s="403"/>
      <c r="K1579" s="402"/>
      <c r="L1579" s="51"/>
      <c r="M1579" s="51"/>
      <c r="N1579" s="51"/>
      <c r="O1579" s="51"/>
      <c r="P1579" s="363"/>
      <c r="Q1579" s="362"/>
      <c r="R1579" s="362"/>
      <c r="S1579" s="362"/>
      <c r="T1579" s="362"/>
      <c r="U1579" s="362"/>
      <c r="V1579" s="362"/>
      <c r="W1579" s="362"/>
      <c r="X1579" s="149"/>
      <c r="Y1579" s="51" t="s">
        <v>27</v>
      </c>
      <c r="Z1579" s="51" t="s">
        <v>27</v>
      </c>
      <c r="AA1579" s="51" t="s">
        <v>22</v>
      </c>
      <c r="AB1579" s="51"/>
      <c r="AC1579" s="411" t="s">
        <v>5914</v>
      </c>
    </row>
    <row r="1580" spans="1:29" ht="15.75">
      <c r="A1580" s="51" t="s">
        <v>364</v>
      </c>
      <c r="B1580" s="51" t="s">
        <v>5803</v>
      </c>
      <c r="C1580" s="51" t="s">
        <v>22</v>
      </c>
      <c r="D1580" s="289"/>
      <c r="E1580" s="290" t="s">
        <v>5533</v>
      </c>
      <c r="F1580" s="53" t="s">
        <v>5804</v>
      </c>
      <c r="G1580" s="51"/>
      <c r="H1580" s="51" t="s">
        <v>3084</v>
      </c>
      <c r="I1580" s="51"/>
      <c r="J1580" s="403"/>
      <c r="K1580" s="402"/>
      <c r="L1580" s="51"/>
      <c r="M1580" s="51"/>
      <c r="N1580" s="51"/>
      <c r="O1580" s="51"/>
      <c r="P1580" s="363"/>
      <c r="Q1580" s="362"/>
      <c r="R1580" s="362"/>
      <c r="S1580" s="362"/>
      <c r="T1580" s="362"/>
      <c r="U1580" s="362"/>
      <c r="V1580" s="362"/>
      <c r="W1580" s="362"/>
      <c r="X1580" s="149"/>
      <c r="Y1580" s="51" t="s">
        <v>27</v>
      </c>
      <c r="Z1580" s="51" t="s">
        <v>27</v>
      </c>
      <c r="AA1580" s="51" t="s">
        <v>22</v>
      </c>
      <c r="AB1580" s="51"/>
      <c r="AC1580" s="405" t="s">
        <v>5875</v>
      </c>
    </row>
    <row r="1581" spans="1:29" ht="15" customHeight="1">
      <c r="A1581" s="51" t="s">
        <v>364</v>
      </c>
      <c r="B1581" s="51" t="s">
        <v>5805</v>
      </c>
      <c r="C1581" s="51" t="s">
        <v>22</v>
      </c>
      <c r="D1581" s="289"/>
      <c r="E1581" s="290" t="s">
        <v>5533</v>
      </c>
      <c r="F1581" s="53" t="s">
        <v>5806</v>
      </c>
      <c r="G1581" s="51"/>
      <c r="H1581" s="51" t="s">
        <v>3084</v>
      </c>
      <c r="I1581" s="51"/>
      <c r="J1581" s="403"/>
      <c r="K1581" s="402"/>
      <c r="L1581" s="51"/>
      <c r="M1581" s="51"/>
      <c r="N1581" s="51"/>
      <c r="O1581" s="51"/>
      <c r="P1581" s="363"/>
      <c r="Q1581" s="362"/>
      <c r="R1581" s="362"/>
      <c r="S1581" s="362"/>
      <c r="T1581" s="362"/>
      <c r="U1581" s="362"/>
      <c r="V1581" s="362"/>
      <c r="W1581" s="362"/>
      <c r="X1581" s="149"/>
      <c r="Y1581" s="51" t="s">
        <v>27</v>
      </c>
      <c r="Z1581" s="51" t="s">
        <v>27</v>
      </c>
      <c r="AA1581" s="51" t="s">
        <v>22</v>
      </c>
      <c r="AB1581" s="51"/>
      <c r="AC1581" s="405" t="s">
        <v>5876</v>
      </c>
    </row>
    <row r="1582" spans="1:29" ht="15" customHeight="1">
      <c r="A1582" s="51" t="s">
        <v>364</v>
      </c>
      <c r="B1582" s="51" t="s">
        <v>5807</v>
      </c>
      <c r="C1582" s="51" t="s">
        <v>22</v>
      </c>
      <c r="D1582" s="53"/>
      <c r="E1582" s="290" t="s">
        <v>5533</v>
      </c>
      <c r="F1582" s="332" t="s">
        <v>5543</v>
      </c>
      <c r="G1582" s="51"/>
      <c r="H1582" s="51" t="s">
        <v>3084</v>
      </c>
      <c r="I1582" s="51"/>
      <c r="J1582" s="51"/>
      <c r="K1582" s="53"/>
      <c r="L1582" s="51"/>
      <c r="M1582" s="51"/>
      <c r="N1582" s="51"/>
      <c r="O1582" s="51"/>
      <c r="P1582" s="363"/>
      <c r="Q1582" s="362"/>
      <c r="R1582" s="362"/>
      <c r="S1582" s="362"/>
      <c r="T1582" s="362"/>
      <c r="U1582" s="362"/>
      <c r="V1582" s="362"/>
      <c r="W1582" s="362"/>
      <c r="X1582" s="149"/>
      <c r="Y1582" s="51" t="s">
        <v>27</v>
      </c>
      <c r="Z1582" s="51" t="s">
        <v>27</v>
      </c>
      <c r="AA1582" s="51" t="s">
        <v>22</v>
      </c>
      <c r="AB1582" s="51"/>
      <c r="AC1582" s="51" t="s">
        <v>5946</v>
      </c>
    </row>
    <row r="1583" spans="1:29" ht="15" customHeight="1">
      <c r="A1583" s="51" t="s">
        <v>364</v>
      </c>
      <c r="B1583" s="51" t="s">
        <v>5808</v>
      </c>
      <c r="C1583" s="51" t="s">
        <v>22</v>
      </c>
      <c r="D1583" s="53"/>
      <c r="E1583" s="290" t="s">
        <v>5533</v>
      </c>
      <c r="F1583" s="332" t="s">
        <v>5544</v>
      </c>
      <c r="G1583" s="51"/>
      <c r="H1583" s="51" t="s">
        <v>3084</v>
      </c>
      <c r="I1583" s="51"/>
      <c r="J1583" s="51"/>
      <c r="K1583" s="53"/>
      <c r="L1583" s="51"/>
      <c r="M1583" s="51"/>
      <c r="N1583" s="51"/>
      <c r="O1583" s="51"/>
      <c r="P1583" s="363"/>
      <c r="Q1583" s="362"/>
      <c r="R1583" s="362"/>
      <c r="S1583" s="362"/>
      <c r="T1583" s="362"/>
      <c r="U1583" s="362"/>
      <c r="V1583" s="362"/>
      <c r="W1583" s="362"/>
      <c r="X1583" s="149"/>
      <c r="Y1583" s="51" t="s">
        <v>27</v>
      </c>
      <c r="Z1583" s="51" t="s">
        <v>27</v>
      </c>
      <c r="AA1583" s="51" t="s">
        <v>22</v>
      </c>
      <c r="AB1583" s="51"/>
      <c r="AC1583" s="431" t="s">
        <v>5941</v>
      </c>
    </row>
    <row r="1584" spans="1:29" ht="15" customHeight="1">
      <c r="A1584" s="51" t="s">
        <v>364</v>
      </c>
      <c r="B1584" s="51" t="s">
        <v>5809</v>
      </c>
      <c r="C1584" s="51" t="s">
        <v>22</v>
      </c>
      <c r="D1584" s="53"/>
      <c r="E1584" s="290" t="s">
        <v>5533</v>
      </c>
      <c r="F1584" s="332" t="s">
        <v>5545</v>
      </c>
      <c r="G1584" s="51"/>
      <c r="H1584" s="51" t="s">
        <v>3084</v>
      </c>
      <c r="I1584" s="51"/>
      <c r="J1584" s="51"/>
      <c r="K1584" s="53"/>
      <c r="L1584" s="51"/>
      <c r="M1584" s="51"/>
      <c r="N1584" s="51"/>
      <c r="O1584" s="51"/>
      <c r="P1584" s="363"/>
      <c r="Q1584" s="362"/>
      <c r="R1584" s="362"/>
      <c r="S1584" s="362"/>
      <c r="T1584" s="362"/>
      <c r="U1584" s="362"/>
      <c r="V1584" s="362"/>
      <c r="W1584" s="362"/>
      <c r="X1584" s="149"/>
      <c r="Y1584" s="51" t="s">
        <v>27</v>
      </c>
      <c r="Z1584" s="51" t="s">
        <v>27</v>
      </c>
      <c r="AA1584" s="51" t="s">
        <v>22</v>
      </c>
      <c r="AB1584" s="51"/>
      <c r="AC1584" s="431" t="s">
        <v>5941</v>
      </c>
    </row>
    <row r="1585" spans="1:29" ht="15" customHeight="1">
      <c r="A1585" s="51" t="s">
        <v>364</v>
      </c>
      <c r="B1585" s="51" t="s">
        <v>5810</v>
      </c>
      <c r="C1585" s="51" t="s">
        <v>22</v>
      </c>
      <c r="D1585" s="51"/>
      <c r="E1585" s="290" t="s">
        <v>5533</v>
      </c>
      <c r="F1585" s="332" t="s">
        <v>5539</v>
      </c>
      <c r="G1585" s="51"/>
      <c r="H1585" s="51" t="s">
        <v>3084</v>
      </c>
      <c r="I1585" s="51"/>
      <c r="J1585" s="51"/>
      <c r="K1585" s="53"/>
      <c r="L1585" s="51"/>
      <c r="M1585" s="51"/>
      <c r="N1585" s="51"/>
      <c r="O1585" s="51"/>
      <c r="P1585" s="363"/>
      <c r="Q1585" s="362"/>
      <c r="R1585" s="362"/>
      <c r="S1585" s="362"/>
      <c r="T1585" s="362"/>
      <c r="U1585" s="362"/>
      <c r="V1585" s="362"/>
      <c r="W1585" s="362"/>
      <c r="X1585" s="149"/>
      <c r="Y1585" s="51" t="s">
        <v>27</v>
      </c>
      <c r="Z1585" s="51" t="s">
        <v>27</v>
      </c>
      <c r="AA1585" s="51" t="s">
        <v>22</v>
      </c>
      <c r="AB1585" s="51"/>
      <c r="AC1585" s="430" t="s">
        <v>5947</v>
      </c>
    </row>
    <row r="1586" spans="1:29" ht="15" customHeight="1">
      <c r="A1586" s="51" t="s">
        <v>364</v>
      </c>
      <c r="B1586" s="51" t="s">
        <v>5811</v>
      </c>
      <c r="C1586" s="51" t="s">
        <v>22</v>
      </c>
      <c r="D1586" s="51"/>
      <c r="E1586" s="290" t="s">
        <v>5533</v>
      </c>
      <c r="F1586" s="332" t="s">
        <v>5540</v>
      </c>
      <c r="G1586" s="51"/>
      <c r="H1586" s="51" t="s">
        <v>3084</v>
      </c>
      <c r="I1586" s="51"/>
      <c r="J1586" s="51"/>
      <c r="K1586" s="53"/>
      <c r="L1586" s="51"/>
      <c r="M1586" s="51"/>
      <c r="N1586" s="51"/>
      <c r="O1586" s="51"/>
      <c r="P1586" s="363"/>
      <c r="Q1586" s="362"/>
      <c r="R1586" s="362"/>
      <c r="S1586" s="362"/>
      <c r="T1586" s="362"/>
      <c r="U1586" s="362"/>
      <c r="V1586" s="362"/>
      <c r="W1586" s="362"/>
      <c r="X1586" s="149"/>
      <c r="Y1586" s="51" t="s">
        <v>27</v>
      </c>
      <c r="Z1586" s="51" t="s">
        <v>27</v>
      </c>
      <c r="AA1586" s="51" t="s">
        <v>22</v>
      </c>
      <c r="AB1586" s="51"/>
      <c r="AC1586" s="431" t="s">
        <v>5941</v>
      </c>
    </row>
    <row r="1587" spans="1:29" ht="15" customHeight="1">
      <c r="A1587" s="51" t="s">
        <v>364</v>
      </c>
      <c r="B1587" s="51" t="s">
        <v>5812</v>
      </c>
      <c r="C1587" s="51" t="s">
        <v>22</v>
      </c>
      <c r="D1587" s="51"/>
      <c r="E1587" s="290" t="s">
        <v>5533</v>
      </c>
      <c r="F1587" s="332" t="s">
        <v>5541</v>
      </c>
      <c r="G1587" s="51"/>
      <c r="H1587" s="51" t="s">
        <v>3084</v>
      </c>
      <c r="I1587" s="51"/>
      <c r="J1587" s="51"/>
      <c r="K1587" s="53"/>
      <c r="L1587" s="51"/>
      <c r="M1587" s="51"/>
      <c r="N1587" s="51"/>
      <c r="O1587" s="51"/>
      <c r="P1587" s="363"/>
      <c r="Q1587" s="362"/>
      <c r="R1587" s="362"/>
      <c r="S1587" s="362"/>
      <c r="T1587" s="362"/>
      <c r="U1587" s="362"/>
      <c r="V1587" s="362"/>
      <c r="W1587" s="362"/>
      <c r="X1587" s="149"/>
      <c r="Y1587" s="51" t="s">
        <v>27</v>
      </c>
      <c r="Z1587" s="51" t="s">
        <v>349</v>
      </c>
      <c r="AA1587" s="51" t="s">
        <v>22</v>
      </c>
      <c r="AB1587" s="51"/>
      <c r="AC1587" s="430" t="s">
        <v>5928</v>
      </c>
    </row>
    <row r="1588" spans="1:29" ht="15" customHeight="1">
      <c r="A1588" s="51" t="s">
        <v>364</v>
      </c>
      <c r="B1588" s="51" t="s">
        <v>5813</v>
      </c>
      <c r="C1588" s="51" t="s">
        <v>22</v>
      </c>
      <c r="D1588" s="51"/>
      <c r="E1588" s="290" t="s">
        <v>5533</v>
      </c>
      <c r="F1588" s="332" t="s">
        <v>5542</v>
      </c>
      <c r="G1588" s="51"/>
      <c r="H1588" s="51" t="s">
        <v>3084</v>
      </c>
      <c r="I1588" s="51"/>
      <c r="J1588" s="51"/>
      <c r="K1588" s="53"/>
      <c r="L1588" s="51"/>
      <c r="M1588" s="425"/>
      <c r="N1588" s="51"/>
      <c r="O1588" s="51"/>
      <c r="P1588" s="363"/>
      <c r="Q1588" s="362"/>
      <c r="R1588" s="362"/>
      <c r="S1588" s="362"/>
      <c r="T1588" s="362"/>
      <c r="U1588" s="362"/>
      <c r="V1588" s="362"/>
      <c r="W1588" s="362"/>
      <c r="X1588" s="424"/>
      <c r="Y1588" s="51" t="s">
        <v>27</v>
      </c>
      <c r="Z1588" s="51" t="s">
        <v>27</v>
      </c>
      <c r="AA1588" s="51" t="s">
        <v>22</v>
      </c>
      <c r="AB1588" s="51"/>
      <c r="AC1588" s="431" t="s">
        <v>5941</v>
      </c>
    </row>
    <row r="1589" spans="1:29" ht="15.75">
      <c r="A1589" s="361" t="s">
        <v>336</v>
      </c>
      <c r="B1589" s="449" t="s">
        <v>5608</v>
      </c>
      <c r="C1589" s="361" t="s">
        <v>27</v>
      </c>
      <c r="D1589" s="289" t="s">
        <v>2758</v>
      </c>
      <c r="E1589" s="290" t="s">
        <v>17</v>
      </c>
      <c r="F1589" s="95" t="s">
        <v>5567</v>
      </c>
      <c r="G1589" s="361"/>
      <c r="H1589" s="361" t="s">
        <v>3084</v>
      </c>
      <c r="I1589" s="361" t="s">
        <v>21</v>
      </c>
      <c r="J1589" s="51" t="s">
        <v>362</v>
      </c>
      <c r="K1589" s="427" t="s">
        <v>337</v>
      </c>
      <c r="L1589" s="51" t="s">
        <v>6385</v>
      </c>
      <c r="M1589" s="379"/>
      <c r="N1589" s="379"/>
      <c r="O1589" s="379"/>
      <c r="P1589" s="363" t="s">
        <v>3824</v>
      </c>
      <c r="Q1589" s="379"/>
      <c r="R1589" s="379"/>
      <c r="S1589" s="379" t="s">
        <v>6059</v>
      </c>
      <c r="T1589" s="379">
        <v>9712979326</v>
      </c>
      <c r="U1589" s="379" t="s">
        <v>6060</v>
      </c>
      <c r="V1589" s="379" t="s">
        <v>6061</v>
      </c>
      <c r="W1589" s="379"/>
      <c r="X1589" s="379"/>
      <c r="Y1589" s="361" t="s">
        <v>27</v>
      </c>
      <c r="Z1589" s="361" t="s">
        <v>27</v>
      </c>
      <c r="AA1589" s="361" t="s">
        <v>27</v>
      </c>
      <c r="AB1589" s="361"/>
      <c r="AC1589" s="426"/>
    </row>
    <row r="1590" spans="1:29" ht="45">
      <c r="A1590" s="51" t="s">
        <v>336</v>
      </c>
      <c r="B1590" s="472" t="s">
        <v>5603</v>
      </c>
      <c r="C1590" s="51" t="s">
        <v>27</v>
      </c>
      <c r="D1590" s="53"/>
      <c r="E1590" s="51" t="s">
        <v>17</v>
      </c>
      <c r="F1590" s="95" t="s">
        <v>5561</v>
      </c>
      <c r="G1590" s="51"/>
      <c r="H1590" s="51" t="s">
        <v>3084</v>
      </c>
      <c r="I1590" s="51"/>
      <c r="J1590" s="409" t="s">
        <v>83</v>
      </c>
      <c r="K1590" s="53"/>
      <c r="L1590" s="51"/>
      <c r="M1590" s="379"/>
      <c r="N1590" s="379"/>
      <c r="O1590" s="379"/>
      <c r="P1590" s="363"/>
      <c r="Q1590" s="379"/>
      <c r="R1590" s="379"/>
      <c r="S1590" s="379"/>
      <c r="T1590" s="379"/>
      <c r="U1590" s="379"/>
      <c r="V1590" s="379"/>
      <c r="W1590" s="379"/>
      <c r="X1590" s="379"/>
      <c r="Y1590" s="409" t="s">
        <v>27</v>
      </c>
      <c r="Z1590" s="51" t="s">
        <v>27</v>
      </c>
      <c r="AA1590" s="51" t="s">
        <v>22</v>
      </c>
      <c r="AB1590" s="51"/>
      <c r="AC1590" s="434" t="s">
        <v>5953</v>
      </c>
    </row>
    <row r="1591" spans="1:29" ht="90">
      <c r="A1591" s="51" t="s">
        <v>0</v>
      </c>
      <c r="B1591" s="51" t="s">
        <v>6479</v>
      </c>
      <c r="C1591" s="51" t="s">
        <v>27</v>
      </c>
      <c r="D1591" s="53" t="s">
        <v>2758</v>
      </c>
      <c r="E1591" s="290" t="s">
        <v>5533</v>
      </c>
      <c r="F1591" s="53" t="s">
        <v>6476</v>
      </c>
      <c r="G1591" s="51"/>
      <c r="H1591" s="51" t="s">
        <v>3084</v>
      </c>
      <c r="I1591" s="51" t="s">
        <v>60</v>
      </c>
      <c r="J1591" s="491" t="s">
        <v>5730</v>
      </c>
      <c r="K1591" s="53" t="s">
        <v>5859</v>
      </c>
      <c r="L1591" s="51" t="s">
        <v>31</v>
      </c>
      <c r="M1591" s="379"/>
      <c r="N1591" s="379"/>
      <c r="O1591" s="379"/>
      <c r="P1591" s="379"/>
      <c r="Q1591" s="379"/>
      <c r="R1591" s="379"/>
      <c r="S1591" s="379"/>
      <c r="T1591" s="379"/>
      <c r="U1591" s="379"/>
      <c r="V1591" s="379"/>
      <c r="W1591" s="379"/>
      <c r="X1591" s="379"/>
      <c r="Y1591" s="51" t="s">
        <v>27</v>
      </c>
      <c r="Z1591" s="51" t="s">
        <v>27</v>
      </c>
      <c r="AA1591" s="51" t="s">
        <v>27</v>
      </c>
      <c r="AB1591" s="51"/>
      <c r="AC1591" s="527" t="s">
        <v>6671</v>
      </c>
    </row>
    <row r="1592" spans="1:29" ht="45">
      <c r="A1592" s="51" t="s">
        <v>0</v>
      </c>
      <c r="B1592" s="51" t="s">
        <v>6480</v>
      </c>
      <c r="C1592" s="51" t="s">
        <v>27</v>
      </c>
      <c r="D1592" s="53" t="s">
        <v>2758</v>
      </c>
      <c r="E1592" s="290" t="s">
        <v>5533</v>
      </c>
      <c r="F1592" s="53" t="s">
        <v>6472</v>
      </c>
      <c r="G1592" s="51"/>
      <c r="H1592" s="51" t="s">
        <v>3084</v>
      </c>
      <c r="I1592" s="51" t="s">
        <v>60</v>
      </c>
      <c r="J1592" s="491" t="s">
        <v>5730</v>
      </c>
      <c r="K1592" s="53" t="s">
        <v>5859</v>
      </c>
      <c r="L1592" s="51" t="s">
        <v>31</v>
      </c>
      <c r="M1592" s="379"/>
      <c r="N1592" s="379"/>
      <c r="O1592" s="379"/>
      <c r="P1592" s="379"/>
      <c r="Q1592" s="379"/>
      <c r="R1592" s="379"/>
      <c r="S1592" s="379"/>
      <c r="T1592" s="379"/>
      <c r="U1592" s="379"/>
      <c r="V1592" s="379"/>
      <c r="W1592" s="379"/>
      <c r="X1592" s="379"/>
      <c r="Y1592" s="51" t="s">
        <v>27</v>
      </c>
      <c r="Z1592" s="51" t="s">
        <v>27</v>
      </c>
      <c r="AA1592" s="51" t="s">
        <v>27</v>
      </c>
      <c r="AB1592" s="51"/>
      <c r="AC1592" s="521" t="s">
        <v>6556</v>
      </c>
    </row>
    <row r="1593" spans="1:29" ht="90">
      <c r="A1593" s="51" t="s">
        <v>0</v>
      </c>
      <c r="B1593" s="51" t="s">
        <v>6481</v>
      </c>
      <c r="C1593" s="51" t="s">
        <v>27</v>
      </c>
      <c r="D1593" s="53" t="s">
        <v>2758</v>
      </c>
      <c r="E1593" s="290" t="s">
        <v>5533</v>
      </c>
      <c r="F1593" s="53" t="s">
        <v>6475</v>
      </c>
      <c r="G1593" s="51"/>
      <c r="H1593" s="51" t="s">
        <v>3084</v>
      </c>
      <c r="I1593" s="51" t="s">
        <v>21</v>
      </c>
      <c r="J1593" s="51" t="s">
        <v>24</v>
      </c>
      <c r="K1593" s="53" t="s">
        <v>26</v>
      </c>
      <c r="L1593" s="51" t="s">
        <v>31</v>
      </c>
      <c r="M1593" s="379"/>
      <c r="N1593" s="379"/>
      <c r="O1593" s="379"/>
      <c r="P1593" s="379"/>
      <c r="Q1593" s="379"/>
      <c r="R1593" s="379"/>
      <c r="S1593" s="379"/>
      <c r="T1593" s="379"/>
      <c r="U1593" s="379"/>
      <c r="V1593" s="379"/>
      <c r="W1593" s="379"/>
      <c r="X1593" s="379"/>
      <c r="Y1593" s="51" t="s">
        <v>27</v>
      </c>
      <c r="Z1593" s="51" t="s">
        <v>27</v>
      </c>
      <c r="AA1593" s="51" t="s">
        <v>27</v>
      </c>
      <c r="AB1593" s="51"/>
      <c r="AC1593" s="527" t="s">
        <v>6673</v>
      </c>
    </row>
    <row r="1594" spans="1:29" ht="45">
      <c r="A1594" s="51" t="s">
        <v>0</v>
      </c>
      <c r="B1594" s="51" t="s">
        <v>6482</v>
      </c>
      <c r="C1594" s="51" t="s">
        <v>27</v>
      </c>
      <c r="D1594" s="53" t="s">
        <v>2758</v>
      </c>
      <c r="E1594" s="290" t="s">
        <v>5533</v>
      </c>
      <c r="F1594" s="53" t="s">
        <v>6478</v>
      </c>
      <c r="G1594" s="51"/>
      <c r="H1594" s="51" t="s">
        <v>3084</v>
      </c>
      <c r="I1594" s="51" t="s">
        <v>60</v>
      </c>
      <c r="J1594" s="491" t="s">
        <v>5730</v>
      </c>
      <c r="K1594" s="53" t="s">
        <v>5952</v>
      </c>
      <c r="L1594" s="51" t="s">
        <v>31</v>
      </c>
      <c r="M1594" s="379"/>
      <c r="N1594" s="379"/>
      <c r="O1594" s="379"/>
      <c r="P1594" s="379"/>
      <c r="Q1594" s="379"/>
      <c r="R1594" s="379"/>
      <c r="S1594" s="379"/>
      <c r="T1594" s="379"/>
      <c r="U1594" s="379"/>
      <c r="V1594" s="379"/>
      <c r="W1594" s="379"/>
      <c r="X1594" s="379"/>
      <c r="Y1594" s="51" t="s">
        <v>27</v>
      </c>
      <c r="Z1594" s="51" t="s">
        <v>27</v>
      </c>
      <c r="AA1594" s="51" t="s">
        <v>27</v>
      </c>
      <c r="AB1594" s="51"/>
      <c r="AC1594" s="521" t="s">
        <v>6557</v>
      </c>
    </row>
    <row r="1595" spans="1:29" ht="45">
      <c r="A1595" s="51" t="s">
        <v>0</v>
      </c>
      <c r="B1595" s="51" t="s">
        <v>6483</v>
      </c>
      <c r="C1595" s="51" t="s">
        <v>27</v>
      </c>
      <c r="D1595" s="53" t="s">
        <v>2758</v>
      </c>
      <c r="E1595" s="290" t="s">
        <v>5533</v>
      </c>
      <c r="F1595" s="53" t="s">
        <v>6474</v>
      </c>
      <c r="G1595" s="51"/>
      <c r="H1595" s="51" t="s">
        <v>3084</v>
      </c>
      <c r="I1595" s="51" t="s">
        <v>60</v>
      </c>
      <c r="J1595" s="491" t="s">
        <v>5730</v>
      </c>
      <c r="K1595" s="53" t="s">
        <v>6381</v>
      </c>
      <c r="L1595" s="51" t="s">
        <v>31</v>
      </c>
      <c r="M1595" s="379"/>
      <c r="N1595" s="379"/>
      <c r="O1595" s="379"/>
      <c r="P1595" s="379"/>
      <c r="Q1595" s="379"/>
      <c r="R1595" s="379"/>
      <c r="S1595" s="379"/>
      <c r="T1595" s="379"/>
      <c r="U1595" s="379"/>
      <c r="V1595" s="379"/>
      <c r="W1595" s="379"/>
      <c r="X1595" s="379"/>
      <c r="Y1595" s="51" t="s">
        <v>27</v>
      </c>
      <c r="Z1595" s="51" t="s">
        <v>27</v>
      </c>
      <c r="AA1595" s="51" t="s">
        <v>27</v>
      </c>
      <c r="AB1595" s="51"/>
      <c r="AC1595" s="521" t="s">
        <v>6558</v>
      </c>
    </row>
    <row r="1596" spans="1:29" ht="45">
      <c r="A1596" s="51" t="s">
        <v>0</v>
      </c>
      <c r="B1596" s="51" t="s">
        <v>6484</v>
      </c>
      <c r="C1596" s="51" t="s">
        <v>27</v>
      </c>
      <c r="D1596" s="53" t="s">
        <v>2758</v>
      </c>
      <c r="E1596" s="290" t="s">
        <v>5533</v>
      </c>
      <c r="F1596" s="53" t="s">
        <v>6477</v>
      </c>
      <c r="G1596" s="51"/>
      <c r="H1596" s="51" t="s">
        <v>3084</v>
      </c>
      <c r="I1596" s="51" t="s">
        <v>60</v>
      </c>
      <c r="J1596" s="51" t="s">
        <v>3671</v>
      </c>
      <c r="K1596" s="53" t="s">
        <v>6381</v>
      </c>
      <c r="L1596" s="51" t="s">
        <v>31</v>
      </c>
      <c r="M1596" s="379"/>
      <c r="N1596" s="379"/>
      <c r="O1596" s="379"/>
      <c r="P1596" s="379"/>
      <c r="Q1596" s="379"/>
      <c r="R1596" s="379"/>
      <c r="S1596" s="379"/>
      <c r="T1596" s="379"/>
      <c r="U1596" s="379"/>
      <c r="V1596" s="379"/>
      <c r="W1596" s="379"/>
      <c r="X1596" s="379"/>
      <c r="Y1596" s="51" t="s">
        <v>27</v>
      </c>
      <c r="Z1596" s="51" t="s">
        <v>27</v>
      </c>
      <c r="AA1596" s="51" t="s">
        <v>27</v>
      </c>
      <c r="AB1596" s="51"/>
      <c r="AC1596" s="531" t="s">
        <v>6561</v>
      </c>
    </row>
    <row r="1597" spans="1:29" ht="45">
      <c r="A1597" s="51" t="s">
        <v>0</v>
      </c>
      <c r="B1597" s="51" t="s">
        <v>6487</v>
      </c>
      <c r="C1597" s="51" t="s">
        <v>27</v>
      </c>
      <c r="D1597" s="53" t="s">
        <v>2758</v>
      </c>
      <c r="E1597" s="290" t="s">
        <v>5533</v>
      </c>
      <c r="F1597" s="53" t="s">
        <v>6473</v>
      </c>
      <c r="G1597" s="51"/>
      <c r="H1597" s="51" t="s">
        <v>3084</v>
      </c>
      <c r="I1597" s="51" t="s">
        <v>60</v>
      </c>
      <c r="J1597" s="51" t="s">
        <v>3671</v>
      </c>
      <c r="K1597" s="53" t="s">
        <v>6381</v>
      </c>
      <c r="L1597" s="51" t="s">
        <v>31</v>
      </c>
      <c r="M1597" s="453"/>
      <c r="N1597" s="379"/>
      <c r="O1597" s="379"/>
      <c r="P1597" s="379"/>
      <c r="Q1597" s="379"/>
      <c r="R1597" s="379"/>
      <c r="S1597" s="379"/>
      <c r="T1597" s="379"/>
      <c r="U1597" s="379"/>
      <c r="V1597" s="379"/>
      <c r="W1597" s="452"/>
      <c r="X1597" s="379"/>
      <c r="Y1597" s="51" t="s">
        <v>27</v>
      </c>
      <c r="Z1597" s="51" t="s">
        <v>27</v>
      </c>
      <c r="AA1597" s="51" t="s">
        <v>27</v>
      </c>
      <c r="AB1597" s="51"/>
      <c r="AC1597" s="521" t="s">
        <v>6559</v>
      </c>
    </row>
    <row r="1598" spans="1:29" ht="15" customHeight="1">
      <c r="A1598" s="51" t="s">
        <v>364</v>
      </c>
      <c r="B1598" s="423" t="s">
        <v>545</v>
      </c>
      <c r="C1598" s="51" t="s">
        <v>22</v>
      </c>
      <c r="D1598" s="53"/>
      <c r="E1598" s="290" t="s">
        <v>5533</v>
      </c>
      <c r="F1598" s="53" t="s">
        <v>1734</v>
      </c>
      <c r="G1598" s="51"/>
      <c r="H1598" s="51" t="s">
        <v>3084</v>
      </c>
      <c r="I1598" s="51"/>
      <c r="J1598" s="51"/>
      <c r="K1598" s="53"/>
      <c r="L1598" s="51"/>
      <c r="M1598" s="379"/>
      <c r="N1598" s="379"/>
      <c r="O1598" s="379"/>
      <c r="P1598" s="379"/>
      <c r="Q1598" s="379"/>
      <c r="R1598" s="379"/>
      <c r="S1598" s="379"/>
      <c r="T1598" s="379"/>
      <c r="U1598" s="379"/>
      <c r="V1598" s="379"/>
      <c r="W1598" s="379"/>
      <c r="X1598" s="379"/>
      <c r="Y1598" s="51" t="s">
        <v>349</v>
      </c>
      <c r="Z1598" s="51" t="s">
        <v>22</v>
      </c>
      <c r="AA1598" s="51" t="s">
        <v>22</v>
      </c>
      <c r="AB1598" s="51"/>
      <c r="AC1598" s="51" t="s">
        <v>5942</v>
      </c>
    </row>
    <row r="1599" spans="1:29" ht="15" customHeight="1">
      <c r="A1599" s="51" t="s">
        <v>364</v>
      </c>
      <c r="B1599" s="423" t="s">
        <v>5927</v>
      </c>
      <c r="C1599" s="51" t="s">
        <v>22</v>
      </c>
      <c r="D1599" s="53"/>
      <c r="E1599" s="290" t="s">
        <v>5533</v>
      </c>
      <c r="F1599" s="53" t="s">
        <v>5926</v>
      </c>
      <c r="G1599" s="51"/>
      <c r="H1599" s="51" t="s">
        <v>3084</v>
      </c>
      <c r="I1599" s="51"/>
      <c r="J1599" s="51"/>
      <c r="K1599" s="53"/>
      <c r="L1599" s="51"/>
      <c r="M1599" s="379"/>
      <c r="N1599" s="379"/>
      <c r="O1599" s="379"/>
      <c r="P1599" s="379"/>
      <c r="Q1599" s="379"/>
      <c r="R1599" s="379"/>
      <c r="S1599" s="379"/>
      <c r="T1599" s="379"/>
      <c r="U1599" s="379"/>
      <c r="V1599" s="379"/>
      <c r="W1599" s="379"/>
      <c r="X1599" s="379"/>
      <c r="Y1599" s="51" t="s">
        <v>349</v>
      </c>
      <c r="Z1599" s="51" t="s">
        <v>22</v>
      </c>
      <c r="AA1599" s="51" t="s">
        <v>22</v>
      </c>
      <c r="AB1599" s="51"/>
      <c r="AC1599" s="51" t="s">
        <v>5942</v>
      </c>
    </row>
    <row r="1600" spans="1:29" ht="15" customHeight="1">
      <c r="A1600" s="51" t="s">
        <v>364</v>
      </c>
      <c r="B1600" s="423" t="s">
        <v>417</v>
      </c>
      <c r="C1600" s="51" t="s">
        <v>22</v>
      </c>
      <c r="D1600" s="53"/>
      <c r="E1600" s="290" t="s">
        <v>5533</v>
      </c>
      <c r="F1600" s="53" t="s">
        <v>1706</v>
      </c>
      <c r="G1600" s="51"/>
      <c r="H1600" s="51" t="s">
        <v>3084</v>
      </c>
      <c r="I1600" s="51"/>
      <c r="J1600" s="51"/>
      <c r="K1600" s="53"/>
      <c r="L1600" s="51"/>
      <c r="M1600" s="379"/>
      <c r="N1600" s="379"/>
      <c r="O1600" s="379"/>
      <c r="P1600" s="379"/>
      <c r="Q1600" s="379"/>
      <c r="R1600" s="379"/>
      <c r="S1600" s="379"/>
      <c r="T1600" s="379"/>
      <c r="U1600" s="379"/>
      <c r="V1600" s="379"/>
      <c r="W1600" s="379"/>
      <c r="X1600" s="379"/>
      <c r="Y1600" s="51" t="s">
        <v>349</v>
      </c>
      <c r="Z1600" s="51" t="s">
        <v>22</v>
      </c>
      <c r="AA1600" s="51" t="s">
        <v>22</v>
      </c>
      <c r="AB1600" s="51"/>
      <c r="AC1600" s="51" t="s">
        <v>5942</v>
      </c>
    </row>
    <row r="1601" spans="1:29" ht="15" customHeight="1">
      <c r="A1601" s="51" t="s">
        <v>364</v>
      </c>
      <c r="B1601" s="423" t="s">
        <v>408</v>
      </c>
      <c r="C1601" s="51" t="s">
        <v>22</v>
      </c>
      <c r="D1601" s="53"/>
      <c r="E1601" s="290" t="s">
        <v>5533</v>
      </c>
      <c r="F1601" s="53" t="s">
        <v>1698</v>
      </c>
      <c r="G1601" s="51"/>
      <c r="H1601" s="51" t="s">
        <v>3084</v>
      </c>
      <c r="I1601" s="51"/>
      <c r="J1601" s="51"/>
      <c r="K1601" s="53"/>
      <c r="L1601" s="51"/>
      <c r="M1601" s="379"/>
      <c r="N1601" s="379"/>
      <c r="O1601" s="379"/>
      <c r="P1601" s="379"/>
      <c r="Q1601" s="379"/>
      <c r="R1601" s="379"/>
      <c r="S1601" s="379"/>
      <c r="T1601" s="379"/>
      <c r="U1601" s="379"/>
      <c r="V1601" s="379"/>
      <c r="W1601" s="379"/>
      <c r="X1601" s="379"/>
      <c r="Y1601" s="51" t="s">
        <v>349</v>
      </c>
      <c r="Z1601" s="51" t="s">
        <v>22</v>
      </c>
      <c r="AA1601" s="51" t="s">
        <v>22</v>
      </c>
      <c r="AB1601" s="51"/>
      <c r="AC1601" s="51" t="s">
        <v>5942</v>
      </c>
    </row>
    <row r="1602" spans="1:29" ht="29.25" customHeight="1" thickBot="1">
      <c r="A1602" s="51" t="s">
        <v>336</v>
      </c>
      <c r="B1602" s="51" t="s">
        <v>5994</v>
      </c>
      <c r="C1602" s="51" t="s">
        <v>22</v>
      </c>
      <c r="D1602" s="53"/>
      <c r="E1602" s="290"/>
      <c r="F1602" s="53" t="s">
        <v>5929</v>
      </c>
      <c r="G1602" s="51"/>
      <c r="H1602" s="51" t="s">
        <v>3084</v>
      </c>
      <c r="I1602" s="51"/>
      <c r="J1602" s="51"/>
      <c r="K1602" s="53"/>
      <c r="L1602" s="51"/>
      <c r="M1602" s="379"/>
      <c r="N1602" s="379"/>
      <c r="O1602" s="379"/>
      <c r="P1602" s="379"/>
      <c r="Q1602" s="379"/>
      <c r="R1602" s="379"/>
      <c r="S1602" s="379"/>
      <c r="T1602" s="379"/>
      <c r="U1602" s="379"/>
      <c r="V1602" s="379"/>
      <c r="W1602" s="379"/>
      <c r="X1602" s="379"/>
      <c r="Y1602" s="51" t="s">
        <v>22</v>
      </c>
      <c r="Z1602" s="51" t="s">
        <v>22</v>
      </c>
      <c r="AA1602" s="51" t="s">
        <v>2021</v>
      </c>
      <c r="AB1602" s="51"/>
      <c r="AC1602" s="443" t="s">
        <v>6488</v>
      </c>
    </row>
    <row r="1603" spans="1:29" ht="27.75" customHeight="1" thickBot="1">
      <c r="A1603" s="51" t="s">
        <v>336</v>
      </c>
      <c r="B1603" s="51" t="s">
        <v>5995</v>
      </c>
      <c r="C1603" s="51" t="s">
        <v>22</v>
      </c>
      <c r="D1603" s="53"/>
      <c r="E1603" s="290"/>
      <c r="F1603" s="53" t="s">
        <v>5930</v>
      </c>
      <c r="G1603" s="51"/>
      <c r="H1603" s="51" t="s">
        <v>3084</v>
      </c>
      <c r="I1603" s="51"/>
      <c r="J1603" s="51"/>
      <c r="K1603" s="53"/>
      <c r="L1603" s="51"/>
      <c r="M1603" s="379"/>
      <c r="N1603" s="379"/>
      <c r="O1603" s="379"/>
      <c r="P1603" s="379"/>
      <c r="Q1603" s="379"/>
      <c r="R1603" s="379"/>
      <c r="S1603" s="379"/>
      <c r="T1603" s="379"/>
      <c r="U1603" s="379"/>
      <c r="V1603" s="379"/>
      <c r="W1603" s="379"/>
      <c r="X1603" s="379"/>
      <c r="Y1603" s="51" t="s">
        <v>22</v>
      </c>
      <c r="Z1603" s="51" t="s">
        <v>22</v>
      </c>
      <c r="AA1603" s="51" t="s">
        <v>2021</v>
      </c>
      <c r="AB1603" s="51"/>
      <c r="AC1603" s="443" t="s">
        <v>6489</v>
      </c>
    </row>
    <row r="1604" spans="1:29" ht="32.25" customHeight="1" thickBot="1">
      <c r="A1604" s="51" t="s">
        <v>336</v>
      </c>
      <c r="B1604" s="51" t="s">
        <v>5996</v>
      </c>
      <c r="C1604" s="51" t="s">
        <v>22</v>
      </c>
      <c r="D1604" s="53"/>
      <c r="E1604" s="290"/>
      <c r="F1604" s="53" t="s">
        <v>5931</v>
      </c>
      <c r="G1604" s="51"/>
      <c r="H1604" s="51" t="s">
        <v>3084</v>
      </c>
      <c r="I1604" s="51"/>
      <c r="J1604" s="51"/>
      <c r="K1604" s="53"/>
      <c r="L1604" s="51"/>
      <c r="M1604" s="379"/>
      <c r="N1604" s="379"/>
      <c r="O1604" s="379"/>
      <c r="P1604" s="379"/>
      <c r="Q1604" s="379"/>
      <c r="R1604" s="379"/>
      <c r="S1604" s="379"/>
      <c r="T1604" s="379"/>
      <c r="U1604" s="379"/>
      <c r="V1604" s="379"/>
      <c r="W1604" s="379"/>
      <c r="X1604" s="379"/>
      <c r="Y1604" s="51" t="s">
        <v>22</v>
      </c>
      <c r="Z1604" s="51" t="s">
        <v>22</v>
      </c>
      <c r="AA1604" s="51" t="s">
        <v>2021</v>
      </c>
      <c r="AB1604" s="51"/>
      <c r="AC1604" s="443" t="s">
        <v>6490</v>
      </c>
    </row>
    <row r="1605" spans="1:29" ht="30.75" customHeight="1" thickBot="1">
      <c r="A1605" s="51" t="s">
        <v>336</v>
      </c>
      <c r="B1605" s="51" t="s">
        <v>5997</v>
      </c>
      <c r="C1605" s="51" t="s">
        <v>22</v>
      </c>
      <c r="D1605" s="53"/>
      <c r="E1605" s="290"/>
      <c r="F1605" s="53" t="s">
        <v>5932</v>
      </c>
      <c r="G1605" s="51"/>
      <c r="H1605" s="51" t="s">
        <v>3084</v>
      </c>
      <c r="I1605" s="51"/>
      <c r="J1605" s="51"/>
      <c r="K1605" s="53"/>
      <c r="L1605" s="51"/>
      <c r="M1605" s="379"/>
      <c r="N1605" s="379"/>
      <c r="O1605" s="379"/>
      <c r="P1605" s="379"/>
      <c r="Q1605" s="379"/>
      <c r="R1605" s="379"/>
      <c r="S1605" s="379"/>
      <c r="T1605" s="379"/>
      <c r="U1605" s="379"/>
      <c r="V1605" s="379"/>
      <c r="W1605" s="379"/>
      <c r="X1605" s="379"/>
      <c r="Y1605" s="51" t="s">
        <v>22</v>
      </c>
      <c r="Z1605" s="51" t="s">
        <v>22</v>
      </c>
      <c r="AA1605" s="51" t="s">
        <v>2021</v>
      </c>
      <c r="AB1605" s="51"/>
      <c r="AC1605" s="443" t="s">
        <v>6491</v>
      </c>
    </row>
    <row r="1606" spans="1:29" ht="49.5" customHeight="1" thickBot="1">
      <c r="A1606" s="51" t="s">
        <v>336</v>
      </c>
      <c r="B1606" s="51" t="s">
        <v>5998</v>
      </c>
      <c r="C1606" s="51" t="s">
        <v>22</v>
      </c>
      <c r="D1606" s="53"/>
      <c r="E1606" s="290"/>
      <c r="F1606" s="53" t="s">
        <v>5933</v>
      </c>
      <c r="G1606" s="51"/>
      <c r="H1606" s="51" t="s">
        <v>3084</v>
      </c>
      <c r="I1606" s="51"/>
      <c r="J1606" s="51"/>
      <c r="K1606" s="53"/>
      <c r="L1606" s="51"/>
      <c r="M1606" s="379"/>
      <c r="N1606" s="379"/>
      <c r="O1606" s="379"/>
      <c r="P1606" s="379"/>
      <c r="Q1606" s="379"/>
      <c r="R1606" s="379"/>
      <c r="S1606" s="379"/>
      <c r="T1606" s="379"/>
      <c r="U1606" s="379"/>
      <c r="V1606" s="379"/>
      <c r="W1606" s="379"/>
      <c r="X1606" s="379"/>
      <c r="Y1606" s="51" t="s">
        <v>22</v>
      </c>
      <c r="Z1606" s="51" t="s">
        <v>22</v>
      </c>
      <c r="AA1606" s="51" t="s">
        <v>2021</v>
      </c>
      <c r="AB1606" s="51"/>
      <c r="AC1606" s="443" t="s">
        <v>6492</v>
      </c>
    </row>
    <row r="1607" spans="1:29" s="127" customFormat="1" ht="15" customHeight="1">
      <c r="A1607" s="509" t="s">
        <v>1244</v>
      </c>
      <c r="B1607" s="510" t="s">
        <v>5963</v>
      </c>
      <c r="C1607" s="511"/>
      <c r="D1607" s="512"/>
      <c r="E1607" s="513" t="s">
        <v>5533</v>
      </c>
      <c r="F1607" s="478">
        <v>3648327</v>
      </c>
      <c r="G1607" s="44"/>
      <c r="H1607" s="511" t="s">
        <v>3084</v>
      </c>
      <c r="I1607" s="514"/>
      <c r="J1607" s="515"/>
      <c r="K1607" s="512"/>
      <c r="L1607" s="515"/>
      <c r="M1607" s="375"/>
      <c r="N1607" s="375"/>
      <c r="O1607" s="375"/>
      <c r="P1607" s="393"/>
      <c r="Q1607" s="393"/>
      <c r="R1607" s="396"/>
      <c r="S1607" s="44"/>
      <c r="T1607" s="397"/>
      <c r="U1607" s="398"/>
      <c r="V1607" s="398"/>
      <c r="W1607" s="397"/>
      <c r="X1607" s="399"/>
      <c r="Y1607" s="515" t="s">
        <v>22</v>
      </c>
      <c r="Z1607" s="515" t="s">
        <v>22</v>
      </c>
      <c r="AA1607" s="515" t="s">
        <v>22</v>
      </c>
      <c r="AB1607" s="515"/>
      <c r="AC1607" s="515" t="s">
        <v>5969</v>
      </c>
    </row>
    <row r="1608" spans="1:29" s="127" customFormat="1" ht="15" hidden="1" customHeight="1">
      <c r="A1608" s="62" t="s">
        <v>1244</v>
      </c>
      <c r="B1608" s="51"/>
      <c r="C1608" s="375"/>
      <c r="D1608" s="393"/>
      <c r="E1608" s="375" t="s">
        <v>5533</v>
      </c>
      <c r="F1608" s="53">
        <v>3648327</v>
      </c>
      <c r="G1608" s="44"/>
      <c r="H1608" s="375"/>
      <c r="I1608" s="362"/>
      <c r="J1608" s="404"/>
      <c r="K1608" s="393"/>
      <c r="L1608" s="44"/>
      <c r="M1608" s="375"/>
      <c r="N1608" s="375"/>
      <c r="O1608" s="375"/>
      <c r="P1608" s="393"/>
      <c r="Q1608" s="393"/>
      <c r="R1608" s="396"/>
      <c r="S1608" s="44"/>
      <c r="T1608" s="397"/>
      <c r="U1608" s="398"/>
      <c r="V1608" s="398"/>
      <c r="W1608" s="397"/>
      <c r="X1608" s="399"/>
      <c r="Y1608" s="44"/>
      <c r="Z1608" s="44"/>
      <c r="AA1608" s="44"/>
      <c r="AB1608" s="44" t="s">
        <v>2021</v>
      </c>
      <c r="AC1608" s="404" t="s">
        <v>5951</v>
      </c>
    </row>
    <row r="1609" spans="1:29" s="127" customFormat="1" ht="15" hidden="1" customHeight="1">
      <c r="A1609" s="62" t="s">
        <v>1244</v>
      </c>
      <c r="B1609" s="51"/>
      <c r="C1609" s="375"/>
      <c r="D1609" s="393"/>
      <c r="E1609" s="375" t="s">
        <v>5533</v>
      </c>
      <c r="F1609" s="53">
        <v>3299597</v>
      </c>
      <c r="G1609" s="44"/>
      <c r="H1609" s="375"/>
      <c r="I1609" s="362"/>
      <c r="J1609" s="404"/>
      <c r="K1609" s="393"/>
      <c r="L1609" s="44"/>
      <c r="M1609" s="375"/>
      <c r="N1609" s="375"/>
      <c r="O1609" s="375"/>
      <c r="P1609" s="393"/>
      <c r="Q1609" s="393"/>
      <c r="R1609" s="396"/>
      <c r="S1609" s="44"/>
      <c r="T1609" s="397"/>
      <c r="U1609" s="398"/>
      <c r="V1609" s="398"/>
      <c r="W1609" s="397"/>
      <c r="X1609" s="399"/>
      <c r="Y1609" s="44"/>
      <c r="Z1609" s="44"/>
      <c r="AA1609" s="44"/>
      <c r="AB1609" s="44" t="s">
        <v>2021</v>
      </c>
      <c r="AC1609" s="404" t="s">
        <v>5951</v>
      </c>
    </row>
    <row r="1610" spans="1:29" s="127" customFormat="1" ht="15" hidden="1" customHeight="1">
      <c r="A1610" s="62" t="s">
        <v>1244</v>
      </c>
      <c r="B1610" s="51"/>
      <c r="C1610" s="375"/>
      <c r="D1610" s="393"/>
      <c r="E1610" s="375" t="s">
        <v>5533</v>
      </c>
      <c r="F1610" s="53">
        <v>2511004</v>
      </c>
      <c r="G1610" s="44"/>
      <c r="H1610" s="375"/>
      <c r="I1610" s="362"/>
      <c r="J1610" s="404"/>
      <c r="K1610" s="393"/>
      <c r="L1610" s="44"/>
      <c r="M1610" s="375"/>
      <c r="N1610" s="375"/>
      <c r="O1610" s="375"/>
      <c r="P1610" s="393"/>
      <c r="Q1610" s="393"/>
      <c r="R1610" s="396"/>
      <c r="S1610" s="44"/>
      <c r="T1610" s="397"/>
      <c r="U1610" s="398"/>
      <c r="V1610" s="398"/>
      <c r="W1610" s="397"/>
      <c r="X1610" s="399"/>
      <c r="Y1610" s="44"/>
      <c r="Z1610" s="44"/>
      <c r="AA1610" s="44"/>
      <c r="AB1610" s="44" t="s">
        <v>2021</v>
      </c>
      <c r="AC1610" s="404" t="s">
        <v>5951</v>
      </c>
    </row>
    <row r="1611" spans="1:29" s="127" customFormat="1" ht="15" hidden="1" customHeight="1">
      <c r="A1611" s="62" t="s">
        <v>1244</v>
      </c>
      <c r="B1611" s="51"/>
      <c r="C1611" s="375"/>
      <c r="D1611" s="393"/>
      <c r="E1611" s="375" t="s">
        <v>5533</v>
      </c>
      <c r="F1611" s="53">
        <v>3299733</v>
      </c>
      <c r="G1611" s="44"/>
      <c r="H1611" s="375"/>
      <c r="I1611" s="362"/>
      <c r="J1611" s="404"/>
      <c r="K1611" s="393"/>
      <c r="L1611" s="44"/>
      <c r="M1611" s="375"/>
      <c r="N1611" s="375"/>
      <c r="O1611" s="375"/>
      <c r="P1611" s="393"/>
      <c r="Q1611" s="393"/>
      <c r="R1611" s="396"/>
      <c r="S1611" s="44"/>
      <c r="T1611" s="397"/>
      <c r="U1611" s="398"/>
      <c r="V1611" s="398"/>
      <c r="W1611" s="397"/>
      <c r="X1611" s="399"/>
      <c r="Y1611" s="44"/>
      <c r="Z1611" s="44"/>
      <c r="AA1611" s="44"/>
      <c r="AB1611" s="44" t="s">
        <v>2021</v>
      </c>
      <c r="AC1611" s="404" t="s">
        <v>5951</v>
      </c>
    </row>
    <row r="1612" spans="1:29" s="127" customFormat="1" ht="15" hidden="1" customHeight="1">
      <c r="A1612" s="62" t="s">
        <v>1244</v>
      </c>
      <c r="B1612" s="51"/>
      <c r="C1612" s="375"/>
      <c r="D1612" s="393"/>
      <c r="E1612" s="375" t="s">
        <v>5533</v>
      </c>
      <c r="F1612" s="53">
        <v>3299342</v>
      </c>
      <c r="G1612" s="44"/>
      <c r="H1612" s="375"/>
      <c r="I1612" s="362"/>
      <c r="J1612" s="404"/>
      <c r="K1612" s="393"/>
      <c r="L1612" s="44"/>
      <c r="M1612" s="375"/>
      <c r="N1612" s="375"/>
      <c r="O1612" s="375"/>
      <c r="P1612" s="393"/>
      <c r="Q1612" s="393"/>
      <c r="R1612" s="396"/>
      <c r="S1612" s="44"/>
      <c r="T1612" s="397"/>
      <c r="U1612" s="398"/>
      <c r="V1612" s="398"/>
      <c r="W1612" s="397"/>
      <c r="X1612" s="399"/>
      <c r="Y1612" s="44"/>
      <c r="Z1612" s="44"/>
      <c r="AA1612" s="44"/>
      <c r="AB1612" s="44" t="s">
        <v>2021</v>
      </c>
      <c r="AC1612" s="404" t="s">
        <v>5951</v>
      </c>
    </row>
    <row r="1613" spans="1:29" s="127" customFormat="1" ht="15" hidden="1" customHeight="1">
      <c r="A1613" s="62" t="s">
        <v>1244</v>
      </c>
      <c r="B1613" s="51"/>
      <c r="C1613" s="375"/>
      <c r="D1613" s="393"/>
      <c r="E1613" s="375" t="s">
        <v>5533</v>
      </c>
      <c r="F1613" s="53">
        <v>3299725</v>
      </c>
      <c r="G1613" s="44"/>
      <c r="H1613" s="375"/>
      <c r="I1613" s="362"/>
      <c r="J1613" s="404"/>
      <c r="K1613" s="393"/>
      <c r="L1613" s="44"/>
      <c r="M1613" s="375"/>
      <c r="N1613" s="375"/>
      <c r="O1613" s="375"/>
      <c r="P1613" s="393"/>
      <c r="Q1613" s="393"/>
      <c r="R1613" s="396"/>
      <c r="S1613" s="44"/>
      <c r="T1613" s="397"/>
      <c r="U1613" s="398"/>
      <c r="V1613" s="398"/>
      <c r="W1613" s="397"/>
      <c r="X1613" s="399"/>
      <c r="Y1613" s="44"/>
      <c r="Z1613" s="44"/>
      <c r="AA1613" s="44"/>
      <c r="AB1613" s="44" t="s">
        <v>2021</v>
      </c>
      <c r="AC1613" s="404" t="s">
        <v>5951</v>
      </c>
    </row>
    <row r="1614" spans="1:29" ht="15" customHeight="1">
      <c r="A1614" s="51" t="s">
        <v>364</v>
      </c>
      <c r="B1614" s="51" t="s">
        <v>5954</v>
      </c>
      <c r="C1614" s="51" t="s">
        <v>27</v>
      </c>
      <c r="D1614" s="289" t="s">
        <v>25</v>
      </c>
      <c r="E1614" s="290" t="s">
        <v>5533</v>
      </c>
      <c r="F1614" s="53" t="s">
        <v>5955</v>
      </c>
      <c r="G1614" s="51"/>
      <c r="H1614" s="51" t="s">
        <v>3084</v>
      </c>
      <c r="I1614" s="51" t="s">
        <v>21</v>
      </c>
      <c r="J1614" s="51" t="s">
        <v>2259</v>
      </c>
      <c r="K1614" s="53" t="s">
        <v>337</v>
      </c>
      <c r="L1614" s="51" t="s">
        <v>4464</v>
      </c>
      <c r="M1614" s="51" t="s">
        <v>22</v>
      </c>
      <c r="N1614" s="51" t="s">
        <v>22</v>
      </c>
      <c r="O1614" s="51" t="s">
        <v>3639</v>
      </c>
      <c r="P1614" s="53" t="s">
        <v>5956</v>
      </c>
      <c r="Q1614" s="53" t="s">
        <v>5957</v>
      </c>
      <c r="R1614" s="237" t="s">
        <v>5526</v>
      </c>
      <c r="S1614" s="301" t="s">
        <v>5959</v>
      </c>
      <c r="T1614" s="297" t="s">
        <v>4554</v>
      </c>
      <c r="U1614" s="138"/>
      <c r="V1614" s="138"/>
      <c r="W1614" s="223"/>
      <c r="X1614" s="149"/>
      <c r="Y1614" s="51" t="s">
        <v>27</v>
      </c>
      <c r="Z1614" s="51" t="s">
        <v>27</v>
      </c>
      <c r="AA1614" s="51" t="s">
        <v>27</v>
      </c>
      <c r="AB1614" s="51"/>
      <c r="AC1614" s="436" t="s">
        <v>5960</v>
      </c>
    </row>
    <row r="1615" spans="1:29" ht="15" customHeight="1">
      <c r="A1615" s="509" t="s">
        <v>1244</v>
      </c>
      <c r="B1615" s="510" t="s">
        <v>5964</v>
      </c>
      <c r="C1615" s="511"/>
      <c r="D1615" s="512"/>
      <c r="E1615" s="513" t="s">
        <v>5533</v>
      </c>
      <c r="F1615" s="478">
        <v>3299733</v>
      </c>
      <c r="G1615" s="44"/>
      <c r="H1615" s="511" t="s">
        <v>3084</v>
      </c>
      <c r="I1615" s="514"/>
      <c r="J1615" s="515"/>
      <c r="K1615" s="512"/>
      <c r="L1615" s="515"/>
      <c r="M1615" s="399"/>
      <c r="N1615" s="44"/>
      <c r="O1615" s="44"/>
      <c r="P1615" s="44"/>
      <c r="Q1615" s="44" t="s">
        <v>2021</v>
      </c>
      <c r="R1615" s="433" t="s">
        <v>5951</v>
      </c>
      <c r="X1615" s="399"/>
      <c r="Y1615" s="515" t="s">
        <v>22</v>
      </c>
      <c r="Z1615" s="515" t="s">
        <v>22</v>
      </c>
      <c r="AA1615" s="515" t="s">
        <v>22</v>
      </c>
      <c r="AB1615" s="515"/>
      <c r="AC1615" s="515" t="s">
        <v>5969</v>
      </c>
    </row>
    <row r="1616" spans="1:29" ht="15" customHeight="1">
      <c r="A1616" s="509" t="s">
        <v>1244</v>
      </c>
      <c r="B1616" s="510" t="s">
        <v>5965</v>
      </c>
      <c r="C1616" s="511"/>
      <c r="D1616" s="512"/>
      <c r="E1616" s="513" t="s">
        <v>5533</v>
      </c>
      <c r="F1616" s="478">
        <v>3299721</v>
      </c>
      <c r="G1616" s="44"/>
      <c r="H1616" s="511" t="s">
        <v>3084</v>
      </c>
      <c r="I1616" s="514"/>
      <c r="J1616" s="515"/>
      <c r="K1616" s="512"/>
      <c r="L1616" s="515"/>
      <c r="M1616" s="399"/>
      <c r="N1616" s="44"/>
      <c r="O1616" s="44"/>
      <c r="P1616" s="44"/>
      <c r="Q1616" s="44" t="s">
        <v>2021</v>
      </c>
      <c r="R1616" s="433" t="s">
        <v>5951</v>
      </c>
      <c r="X1616" s="399"/>
      <c r="Y1616" s="515" t="s">
        <v>22</v>
      </c>
      <c r="Z1616" s="515" t="s">
        <v>22</v>
      </c>
      <c r="AA1616" s="515" t="s">
        <v>22</v>
      </c>
      <c r="AB1616" s="515"/>
      <c r="AC1616" s="515" t="s">
        <v>5969</v>
      </c>
    </row>
    <row r="1617" spans="1:29" ht="15" customHeight="1">
      <c r="A1617" s="509" t="s">
        <v>1244</v>
      </c>
      <c r="B1617" s="510" t="s">
        <v>5966</v>
      </c>
      <c r="C1617" s="511"/>
      <c r="D1617" s="512"/>
      <c r="E1617" s="513" t="s">
        <v>5533</v>
      </c>
      <c r="F1617" s="478">
        <v>3299597</v>
      </c>
      <c r="G1617" s="44"/>
      <c r="H1617" s="511" t="s">
        <v>3084</v>
      </c>
      <c r="I1617" s="514"/>
      <c r="J1617" s="515"/>
      <c r="K1617" s="512"/>
      <c r="L1617" s="515"/>
      <c r="M1617" s="399"/>
      <c r="N1617" s="44"/>
      <c r="O1617" s="44"/>
      <c r="P1617" s="44"/>
      <c r="Q1617" s="44" t="s">
        <v>2021</v>
      </c>
      <c r="R1617" s="433" t="s">
        <v>5951</v>
      </c>
      <c r="X1617" s="399"/>
      <c r="Y1617" s="515" t="s">
        <v>22</v>
      </c>
      <c r="Z1617" s="515" t="s">
        <v>22</v>
      </c>
      <c r="AA1617" s="515" t="s">
        <v>22</v>
      </c>
      <c r="AB1617" s="515"/>
      <c r="AC1617" s="515" t="s">
        <v>5969</v>
      </c>
    </row>
    <row r="1618" spans="1:29" ht="15" customHeight="1">
      <c r="A1618" s="509" t="s">
        <v>1244</v>
      </c>
      <c r="B1618" s="510" t="s">
        <v>5967</v>
      </c>
      <c r="C1618" s="511"/>
      <c r="D1618" s="512"/>
      <c r="E1618" s="513" t="s">
        <v>5533</v>
      </c>
      <c r="F1618" s="478">
        <v>3299725</v>
      </c>
      <c r="G1618" s="44"/>
      <c r="H1618" s="511" t="s">
        <v>3084</v>
      </c>
      <c r="I1618" s="514"/>
      <c r="J1618" s="515"/>
      <c r="K1618" s="512"/>
      <c r="L1618" s="515"/>
      <c r="M1618" s="399"/>
      <c r="N1618" s="44"/>
      <c r="O1618" s="44"/>
      <c r="P1618" s="44"/>
      <c r="Q1618" s="44" t="s">
        <v>2021</v>
      </c>
      <c r="R1618" s="433" t="s">
        <v>5951</v>
      </c>
      <c r="X1618" s="399"/>
      <c r="Y1618" s="515" t="s">
        <v>22</v>
      </c>
      <c r="Z1618" s="515" t="s">
        <v>22</v>
      </c>
      <c r="AA1618" s="515" t="s">
        <v>22</v>
      </c>
      <c r="AB1618" s="515"/>
      <c r="AC1618" s="515" t="s">
        <v>5969</v>
      </c>
    </row>
    <row r="1619" spans="1:29" ht="15" customHeight="1">
      <c r="A1619" s="509" t="s">
        <v>1244</v>
      </c>
      <c r="B1619" s="510" t="s">
        <v>5968</v>
      </c>
      <c r="C1619" s="511"/>
      <c r="D1619" s="512"/>
      <c r="E1619" s="513" t="s">
        <v>5533</v>
      </c>
      <c r="F1619" s="478">
        <v>2511004</v>
      </c>
      <c r="G1619" s="44"/>
      <c r="H1619" s="511" t="s">
        <v>3084</v>
      </c>
      <c r="I1619" s="514"/>
      <c r="J1619" s="515"/>
      <c r="K1619" s="512"/>
      <c r="L1619" s="515"/>
      <c r="M1619" s="399"/>
      <c r="N1619" s="44"/>
      <c r="O1619" s="44"/>
      <c r="P1619" s="44"/>
      <c r="Q1619" s="44" t="s">
        <v>2021</v>
      </c>
      <c r="R1619" s="433" t="s">
        <v>5951</v>
      </c>
      <c r="X1619" s="399"/>
      <c r="Y1619" s="515" t="s">
        <v>22</v>
      </c>
      <c r="Z1619" s="515" t="s">
        <v>22</v>
      </c>
      <c r="AA1619" s="515" t="s">
        <v>22</v>
      </c>
      <c r="AB1619" s="515"/>
      <c r="AC1619" s="515" t="s">
        <v>5970</v>
      </c>
    </row>
    <row r="1620" spans="1:29" ht="15" customHeight="1">
      <c r="A1620" s="51" t="s">
        <v>0</v>
      </c>
      <c r="B1620" s="51" t="s">
        <v>6499</v>
      </c>
      <c r="C1620" s="51" t="s">
        <v>27</v>
      </c>
      <c r="D1620" s="53" t="s">
        <v>2758</v>
      </c>
      <c r="E1620" s="290" t="s">
        <v>5533</v>
      </c>
      <c r="F1620" s="53">
        <v>2794427</v>
      </c>
      <c r="G1620" s="51"/>
      <c r="H1620" s="51" t="s">
        <v>3084</v>
      </c>
      <c r="I1620" s="51" t="s">
        <v>60</v>
      </c>
      <c r="J1620" s="51" t="s">
        <v>3686</v>
      </c>
      <c r="K1620" s="53" t="s">
        <v>5952</v>
      </c>
      <c r="L1620" s="51" t="s">
        <v>31</v>
      </c>
      <c r="X1620" s="149"/>
      <c r="Y1620" s="51" t="s">
        <v>27</v>
      </c>
      <c r="Z1620" s="51" t="s">
        <v>27</v>
      </c>
      <c r="AA1620" s="51" t="s">
        <v>27</v>
      </c>
      <c r="AB1620" s="51"/>
      <c r="AC1620" s="521" t="s">
        <v>6560</v>
      </c>
    </row>
    <row r="1621" spans="1:29" ht="15" customHeight="1">
      <c r="A1621" s="51" t="s">
        <v>0</v>
      </c>
      <c r="B1621" s="51" t="s">
        <v>603</v>
      </c>
      <c r="C1621" s="51" t="s">
        <v>22</v>
      </c>
      <c r="D1621" s="53"/>
      <c r="E1621" s="290" t="s">
        <v>17</v>
      </c>
      <c r="F1621" s="53">
        <v>2794388</v>
      </c>
      <c r="G1621" s="51"/>
      <c r="H1621" s="51" t="s">
        <v>3084</v>
      </c>
      <c r="I1621" s="51" t="s">
        <v>60</v>
      </c>
      <c r="J1621" s="51" t="s">
        <v>3686</v>
      </c>
      <c r="K1621" s="53" t="s">
        <v>5952</v>
      </c>
      <c r="L1621" s="51" t="s">
        <v>5368</v>
      </c>
      <c r="X1621" s="149"/>
      <c r="Y1621" s="51" t="s">
        <v>27</v>
      </c>
      <c r="Z1621" s="51" t="s">
        <v>27</v>
      </c>
      <c r="AA1621" s="51" t="s">
        <v>27</v>
      </c>
      <c r="AB1621" s="51"/>
      <c r="AC1621" s="532" t="s">
        <v>6739</v>
      </c>
    </row>
    <row r="1622" spans="1:29" ht="15" customHeight="1">
      <c r="A1622" s="51" t="s">
        <v>0</v>
      </c>
      <c r="B1622" s="51" t="s">
        <v>690</v>
      </c>
      <c r="C1622" s="51" t="s">
        <v>22</v>
      </c>
      <c r="D1622" s="53"/>
      <c r="E1622" s="290" t="s">
        <v>17</v>
      </c>
      <c r="F1622" s="53" t="s">
        <v>6742</v>
      </c>
      <c r="G1622" s="51"/>
      <c r="H1622" s="51" t="s">
        <v>3084</v>
      </c>
      <c r="I1622" s="51" t="s">
        <v>60</v>
      </c>
      <c r="J1622" s="51" t="s">
        <v>3686</v>
      </c>
      <c r="K1622" s="53" t="s">
        <v>5952</v>
      </c>
      <c r="L1622" s="51" t="s">
        <v>5368</v>
      </c>
      <c r="X1622" s="149"/>
      <c r="Y1622" s="51" t="s">
        <v>27</v>
      </c>
      <c r="Z1622" s="51" t="s">
        <v>27</v>
      </c>
      <c r="AA1622" s="51" t="s">
        <v>27</v>
      </c>
      <c r="AB1622" s="51"/>
      <c r="AC1622" s="534" t="s">
        <v>6859</v>
      </c>
    </row>
    <row r="1623" spans="1:29" ht="15" customHeight="1">
      <c r="A1623" s="51" t="s">
        <v>0</v>
      </c>
      <c r="B1623" s="51" t="s">
        <v>6714</v>
      </c>
      <c r="C1623" s="51" t="s">
        <v>22</v>
      </c>
      <c r="D1623" s="53"/>
      <c r="E1623" s="290" t="s">
        <v>17</v>
      </c>
      <c r="F1623" s="53">
        <v>3120194</v>
      </c>
      <c r="G1623" s="51"/>
      <c r="H1623" s="51" t="s">
        <v>3084</v>
      </c>
      <c r="I1623" s="51" t="s">
        <v>60</v>
      </c>
      <c r="J1623" s="51" t="s">
        <v>3686</v>
      </c>
      <c r="K1623" s="53" t="s">
        <v>5952</v>
      </c>
      <c r="L1623" s="51" t="s">
        <v>5368</v>
      </c>
      <c r="X1623" s="149"/>
      <c r="Y1623" s="51" t="s">
        <v>27</v>
      </c>
      <c r="Z1623" s="51" t="s">
        <v>27</v>
      </c>
      <c r="AA1623" s="51" t="s">
        <v>27</v>
      </c>
      <c r="AB1623" s="51"/>
      <c r="AC1623" s="532" t="s">
        <v>6739</v>
      </c>
    </row>
    <row r="1624" spans="1:29" ht="15" customHeight="1">
      <c r="A1624" s="51" t="s">
        <v>0</v>
      </c>
      <c r="B1624" s="51"/>
      <c r="C1624" s="51" t="s">
        <v>22</v>
      </c>
      <c r="D1624" s="53"/>
      <c r="E1624" s="290" t="s">
        <v>5533</v>
      </c>
      <c r="F1624" s="53">
        <v>2510715</v>
      </c>
      <c r="G1624" s="51"/>
      <c r="H1624" s="51" t="s">
        <v>3084</v>
      </c>
      <c r="I1624" s="51"/>
      <c r="J1624" s="51"/>
      <c r="K1624" s="53"/>
      <c r="L1624" s="51"/>
      <c r="X1624" s="149"/>
      <c r="Y1624" s="51" t="s">
        <v>22</v>
      </c>
      <c r="Z1624" s="51" t="s">
        <v>22</v>
      </c>
      <c r="AA1624" s="51" t="s">
        <v>22</v>
      </c>
      <c r="AB1624" s="51"/>
      <c r="AC1624" s="454" t="s">
        <v>5973</v>
      </c>
    </row>
    <row r="1625" spans="1:29" ht="15" customHeight="1">
      <c r="A1625" s="51" t="s">
        <v>0</v>
      </c>
      <c r="B1625" s="51" t="s">
        <v>7125</v>
      </c>
      <c r="C1625" s="51" t="s">
        <v>22</v>
      </c>
      <c r="D1625" s="53"/>
      <c r="E1625" s="290" t="s">
        <v>5533</v>
      </c>
      <c r="F1625" s="53" t="s">
        <v>7127</v>
      </c>
      <c r="G1625" s="51"/>
      <c r="H1625" s="51" t="s">
        <v>3084</v>
      </c>
      <c r="I1625" s="51"/>
      <c r="J1625" s="51"/>
      <c r="K1625" s="53"/>
      <c r="L1625" s="51"/>
      <c r="P1625" s="73" t="s">
        <v>7130</v>
      </c>
      <c r="X1625" s="149"/>
      <c r="Y1625" s="51" t="s">
        <v>27</v>
      </c>
      <c r="Z1625" s="51" t="s">
        <v>349</v>
      </c>
      <c r="AA1625" s="51" t="s">
        <v>22</v>
      </c>
      <c r="AB1625" s="51"/>
      <c r="AC1625" s="537" t="s">
        <v>7129</v>
      </c>
    </row>
    <row r="1626" spans="1:29" ht="15" customHeight="1">
      <c r="A1626" s="51" t="s">
        <v>0</v>
      </c>
      <c r="B1626" s="51"/>
      <c r="C1626" s="51" t="s">
        <v>22</v>
      </c>
      <c r="D1626" s="53"/>
      <c r="E1626" s="290" t="s">
        <v>5533</v>
      </c>
      <c r="F1626" s="53">
        <v>2510669</v>
      </c>
      <c r="G1626" s="51"/>
      <c r="H1626" s="51" t="s">
        <v>3084</v>
      </c>
      <c r="I1626" s="51"/>
      <c r="J1626" s="51"/>
      <c r="K1626" s="53"/>
      <c r="L1626" s="51"/>
      <c r="X1626" s="149"/>
      <c r="Y1626" s="51" t="s">
        <v>22</v>
      </c>
      <c r="Z1626" s="51" t="s">
        <v>22</v>
      </c>
      <c r="AA1626" s="51" t="s">
        <v>22</v>
      </c>
      <c r="AB1626" s="51"/>
      <c r="AC1626" s="454" t="s">
        <v>5973</v>
      </c>
    </row>
    <row r="1627" spans="1:29" ht="15" customHeight="1">
      <c r="A1627" s="51" t="s">
        <v>0</v>
      </c>
      <c r="B1627" s="51" t="s">
        <v>7126</v>
      </c>
      <c r="C1627" s="51" t="s">
        <v>22</v>
      </c>
      <c r="D1627" s="53"/>
      <c r="E1627" s="290" t="s">
        <v>5533</v>
      </c>
      <c r="F1627" s="53" t="s">
        <v>7128</v>
      </c>
      <c r="G1627" s="51"/>
      <c r="H1627" s="51" t="s">
        <v>3084</v>
      </c>
      <c r="I1627" s="51"/>
      <c r="J1627" s="51"/>
      <c r="K1627" s="53"/>
      <c r="L1627" s="51"/>
      <c r="P1627" s="73" t="s">
        <v>7130</v>
      </c>
      <c r="X1627" s="149"/>
      <c r="Y1627" s="51" t="s">
        <v>27</v>
      </c>
      <c r="Z1627" s="51" t="s">
        <v>349</v>
      </c>
      <c r="AA1627" s="51" t="s">
        <v>22</v>
      </c>
      <c r="AB1627" s="51"/>
      <c r="AC1627" s="537" t="s">
        <v>7129</v>
      </c>
    </row>
    <row r="1628" spans="1:29" ht="15" customHeight="1">
      <c r="A1628" s="51" t="s">
        <v>0</v>
      </c>
      <c r="B1628" s="51"/>
      <c r="C1628" s="51" t="s">
        <v>22</v>
      </c>
      <c r="D1628" s="53"/>
      <c r="E1628" s="290" t="s">
        <v>5533</v>
      </c>
      <c r="F1628" s="53">
        <v>2388865</v>
      </c>
      <c r="G1628" s="51"/>
      <c r="H1628" s="51" t="s">
        <v>3084</v>
      </c>
      <c r="I1628" s="51"/>
      <c r="J1628" s="51"/>
      <c r="K1628" s="53"/>
      <c r="L1628" s="51"/>
      <c r="X1628" s="149"/>
      <c r="Y1628" s="51" t="s">
        <v>22</v>
      </c>
      <c r="Z1628" s="51" t="s">
        <v>22</v>
      </c>
      <c r="AA1628" s="51" t="s">
        <v>22</v>
      </c>
      <c r="AB1628" s="51"/>
      <c r="AC1628" s="454" t="s">
        <v>5973</v>
      </c>
    </row>
    <row r="1629" spans="1:29" ht="15" customHeight="1">
      <c r="A1629" s="51" t="s">
        <v>0</v>
      </c>
      <c r="B1629" s="51" t="s">
        <v>7126</v>
      </c>
      <c r="C1629" s="51" t="s">
        <v>22</v>
      </c>
      <c r="D1629" s="53"/>
      <c r="E1629" s="290" t="s">
        <v>5533</v>
      </c>
      <c r="F1629" s="53">
        <v>3120207</v>
      </c>
      <c r="G1629" s="51"/>
      <c r="H1629" s="51" t="s">
        <v>3084</v>
      </c>
      <c r="I1629" s="51"/>
      <c r="J1629" s="51"/>
      <c r="K1629" s="53"/>
      <c r="L1629" s="51"/>
      <c r="P1629" s="73" t="s">
        <v>7130</v>
      </c>
      <c r="X1629" s="149"/>
      <c r="Y1629" s="51" t="s">
        <v>27</v>
      </c>
      <c r="Z1629" s="51" t="s">
        <v>349</v>
      </c>
      <c r="AA1629" s="51" t="s">
        <v>22</v>
      </c>
      <c r="AB1629" s="51"/>
      <c r="AC1629" s="537" t="s">
        <v>7129</v>
      </c>
    </row>
    <row r="1630" spans="1:29" ht="15" customHeight="1">
      <c r="A1630" s="51" t="s">
        <v>0</v>
      </c>
      <c r="B1630" s="51"/>
      <c r="C1630" s="51" t="s">
        <v>22</v>
      </c>
      <c r="D1630" s="53"/>
      <c r="E1630" s="290" t="s">
        <v>5533</v>
      </c>
      <c r="F1630" s="53">
        <v>2794362</v>
      </c>
      <c r="G1630" s="51"/>
      <c r="H1630" s="51" t="s">
        <v>3084</v>
      </c>
      <c r="I1630" s="51"/>
      <c r="J1630" s="51"/>
      <c r="K1630" s="53"/>
      <c r="L1630" s="51"/>
      <c r="X1630" s="149"/>
      <c r="Y1630" s="51" t="s">
        <v>22</v>
      </c>
      <c r="Z1630" s="51" t="s">
        <v>22</v>
      </c>
      <c r="AA1630" s="51" t="s">
        <v>22</v>
      </c>
      <c r="AB1630" s="51"/>
      <c r="AC1630" s="454" t="s">
        <v>5973</v>
      </c>
    </row>
    <row r="1631" spans="1:29" ht="15" customHeight="1">
      <c r="A1631" s="51" t="s">
        <v>0</v>
      </c>
      <c r="B1631" s="51"/>
      <c r="C1631" s="51" t="s">
        <v>22</v>
      </c>
      <c r="D1631" s="53"/>
      <c r="E1631" s="290" t="s">
        <v>5533</v>
      </c>
      <c r="F1631" s="53">
        <v>3648363</v>
      </c>
      <c r="G1631" s="51"/>
      <c r="H1631" s="51" t="s">
        <v>3084</v>
      </c>
      <c r="I1631" s="51"/>
      <c r="J1631" s="51"/>
      <c r="K1631" s="53"/>
      <c r="L1631" s="51"/>
      <c r="X1631" s="149"/>
      <c r="Y1631" s="51" t="s">
        <v>22</v>
      </c>
      <c r="Z1631" s="51" t="s">
        <v>22</v>
      </c>
      <c r="AA1631" s="51" t="s">
        <v>22</v>
      </c>
      <c r="AB1631" s="51"/>
      <c r="AC1631" s="454" t="s">
        <v>5973</v>
      </c>
    </row>
    <row r="1632" spans="1:29" ht="15" customHeight="1">
      <c r="A1632" s="51" t="s">
        <v>0</v>
      </c>
      <c r="B1632" s="51"/>
      <c r="C1632" s="51" t="s">
        <v>22</v>
      </c>
      <c r="D1632" s="53"/>
      <c r="E1632" s="290" t="s">
        <v>5533</v>
      </c>
      <c r="F1632" s="53">
        <v>2794401</v>
      </c>
      <c r="G1632" s="51"/>
      <c r="H1632" s="51" t="s">
        <v>3084</v>
      </c>
      <c r="I1632" s="51"/>
      <c r="J1632" s="51"/>
      <c r="K1632" s="53"/>
      <c r="L1632" s="51"/>
      <c r="X1632" s="149"/>
      <c r="Y1632" s="51" t="s">
        <v>22</v>
      </c>
      <c r="Z1632" s="51" t="s">
        <v>22</v>
      </c>
      <c r="AA1632" s="51" t="s">
        <v>22</v>
      </c>
      <c r="AB1632" s="51"/>
      <c r="AC1632" s="454" t="s">
        <v>5973</v>
      </c>
    </row>
    <row r="1633" spans="1:29" ht="15" customHeight="1">
      <c r="A1633" s="51" t="s">
        <v>0</v>
      </c>
      <c r="B1633" s="51"/>
      <c r="C1633" s="51" t="s">
        <v>22</v>
      </c>
      <c r="D1633" s="53"/>
      <c r="E1633" s="290" t="s">
        <v>5533</v>
      </c>
      <c r="F1633" s="53">
        <v>321992</v>
      </c>
      <c r="G1633" s="51"/>
      <c r="H1633" s="51" t="s">
        <v>3084</v>
      </c>
      <c r="I1633" s="51"/>
      <c r="J1633" s="51"/>
      <c r="K1633" s="53"/>
      <c r="L1633" s="51"/>
      <c r="X1633" s="149"/>
      <c r="Y1633" s="51" t="s">
        <v>22</v>
      </c>
      <c r="Z1633" s="51" t="s">
        <v>22</v>
      </c>
      <c r="AA1633" s="51" t="s">
        <v>22</v>
      </c>
      <c r="AB1633" s="51"/>
      <c r="AC1633" s="454" t="s">
        <v>5973</v>
      </c>
    </row>
    <row r="1634" spans="1:29" ht="15" customHeight="1">
      <c r="A1634" s="51" t="s">
        <v>0</v>
      </c>
      <c r="B1634" s="51"/>
      <c r="C1634" s="51" t="s">
        <v>22</v>
      </c>
      <c r="D1634" s="53"/>
      <c r="E1634" s="290" t="s">
        <v>5533</v>
      </c>
      <c r="F1634" s="53">
        <v>2510735</v>
      </c>
      <c r="G1634" s="51"/>
      <c r="H1634" s="51" t="s">
        <v>3084</v>
      </c>
      <c r="I1634" s="51"/>
      <c r="J1634" s="51"/>
      <c r="K1634" s="53"/>
      <c r="L1634" s="51"/>
      <c r="X1634" s="149"/>
      <c r="Y1634" s="51" t="s">
        <v>22</v>
      </c>
      <c r="Z1634" s="51" t="s">
        <v>22</v>
      </c>
      <c r="AA1634" s="51" t="s">
        <v>22</v>
      </c>
      <c r="AB1634" s="51"/>
      <c r="AC1634" s="454" t="s">
        <v>5973</v>
      </c>
    </row>
    <row r="1635" spans="1:29" ht="15" customHeight="1">
      <c r="A1635" s="51" t="s">
        <v>336</v>
      </c>
      <c r="B1635" s="51" t="s">
        <v>6394</v>
      </c>
      <c r="C1635" s="539" t="s">
        <v>955</v>
      </c>
      <c r="D1635" s="51"/>
      <c r="E1635" s="290" t="s">
        <v>5533</v>
      </c>
      <c r="F1635" s="51" t="s">
        <v>6115</v>
      </c>
      <c r="G1635" s="51"/>
      <c r="H1635" s="51" t="s">
        <v>3084</v>
      </c>
      <c r="I1635" s="539" t="s">
        <v>21</v>
      </c>
      <c r="J1635" s="539" t="s">
        <v>876</v>
      </c>
      <c r="K1635" s="51"/>
      <c r="L1635" s="539" t="s">
        <v>5368</v>
      </c>
      <c r="M1635" s="51"/>
      <c r="N1635" s="51"/>
      <c r="O1635" s="51"/>
      <c r="P1635" s="539" t="s">
        <v>7133</v>
      </c>
      <c r="Q1635" s="51"/>
      <c r="R1635" s="51"/>
      <c r="S1635" s="51"/>
      <c r="T1635" s="51"/>
      <c r="U1635" s="51"/>
      <c r="V1635" s="51"/>
      <c r="W1635" s="51"/>
      <c r="X1635" s="51"/>
      <c r="Y1635" s="51" t="s">
        <v>27</v>
      </c>
      <c r="Z1635" s="51" t="s">
        <v>349</v>
      </c>
      <c r="AA1635" s="51" t="s">
        <v>22</v>
      </c>
      <c r="AB1635" s="51"/>
      <c r="AC1635" s="51"/>
    </row>
    <row r="1636" spans="1:29" ht="15" customHeight="1">
      <c r="A1636" s="51" t="s">
        <v>336</v>
      </c>
      <c r="B1636" s="51" t="s">
        <v>6395</v>
      </c>
      <c r="C1636" s="539" t="s">
        <v>955</v>
      </c>
      <c r="D1636" s="51"/>
      <c r="E1636" s="290" t="s">
        <v>5533</v>
      </c>
      <c r="F1636" s="51" t="s">
        <v>6116</v>
      </c>
      <c r="G1636" s="51"/>
      <c r="H1636" s="51" t="s">
        <v>3084</v>
      </c>
      <c r="I1636" s="539" t="s">
        <v>21</v>
      </c>
      <c r="J1636" s="539" t="s">
        <v>876</v>
      </c>
      <c r="K1636" s="51"/>
      <c r="L1636" s="539" t="s">
        <v>5368</v>
      </c>
      <c r="M1636" s="51"/>
      <c r="N1636" s="51"/>
      <c r="O1636" s="51"/>
      <c r="P1636" s="539" t="s">
        <v>7133</v>
      </c>
      <c r="Q1636" s="51"/>
      <c r="R1636" s="51"/>
      <c r="S1636" s="51"/>
      <c r="T1636" s="51"/>
      <c r="U1636" s="51"/>
      <c r="V1636" s="51"/>
      <c r="W1636" s="51"/>
      <c r="X1636" s="51"/>
      <c r="Y1636" s="51" t="s">
        <v>27</v>
      </c>
      <c r="Z1636" s="51" t="s">
        <v>349</v>
      </c>
      <c r="AA1636" s="51" t="s">
        <v>22</v>
      </c>
      <c r="AB1636" s="51"/>
      <c r="AC1636" s="51"/>
    </row>
    <row r="1637" spans="1:29" ht="15" customHeight="1">
      <c r="A1637" s="51" t="s">
        <v>336</v>
      </c>
      <c r="B1637" s="51" t="s">
        <v>6396</v>
      </c>
      <c r="C1637" s="539" t="s">
        <v>955</v>
      </c>
      <c r="D1637" s="51"/>
      <c r="E1637" s="290" t="s">
        <v>5533</v>
      </c>
      <c r="F1637" s="51" t="s">
        <v>6117</v>
      </c>
      <c r="G1637" s="51"/>
      <c r="H1637" s="51" t="s">
        <v>3084</v>
      </c>
      <c r="I1637" s="539" t="s">
        <v>21</v>
      </c>
      <c r="J1637" s="539" t="s">
        <v>876</v>
      </c>
      <c r="K1637" s="51"/>
      <c r="L1637" s="539" t="s">
        <v>5368</v>
      </c>
      <c r="M1637" s="51"/>
      <c r="N1637" s="51"/>
      <c r="O1637" s="51"/>
      <c r="P1637" s="539" t="s">
        <v>7133</v>
      </c>
      <c r="Q1637" s="51"/>
      <c r="R1637" s="51"/>
      <c r="S1637" s="51"/>
      <c r="T1637" s="51"/>
      <c r="U1637" s="51"/>
      <c r="V1637" s="51"/>
      <c r="W1637" s="51"/>
      <c r="X1637" s="51"/>
      <c r="Y1637" s="51" t="s">
        <v>27</v>
      </c>
      <c r="Z1637" s="51" t="s">
        <v>349</v>
      </c>
      <c r="AA1637" s="51" t="s">
        <v>22</v>
      </c>
      <c r="AB1637" s="51"/>
      <c r="AC1637" s="51"/>
    </row>
    <row r="1638" spans="1:29" ht="15" customHeight="1">
      <c r="A1638" s="51" t="s">
        <v>336</v>
      </c>
      <c r="B1638" s="51" t="s">
        <v>6397</v>
      </c>
      <c r="C1638" s="539" t="s">
        <v>955</v>
      </c>
      <c r="D1638" s="51"/>
      <c r="E1638" s="290" t="s">
        <v>5533</v>
      </c>
      <c r="F1638" s="51" t="s">
        <v>6118</v>
      </c>
      <c r="G1638" s="51"/>
      <c r="H1638" s="51" t="s">
        <v>3084</v>
      </c>
      <c r="I1638" s="539" t="s">
        <v>21</v>
      </c>
      <c r="J1638" s="539" t="s">
        <v>876</v>
      </c>
      <c r="K1638" s="51"/>
      <c r="L1638" s="539" t="s">
        <v>5368</v>
      </c>
      <c r="M1638" s="51"/>
      <c r="N1638" s="51"/>
      <c r="O1638" s="51"/>
      <c r="P1638" s="539" t="s">
        <v>7133</v>
      </c>
      <c r="Q1638" s="51"/>
      <c r="R1638" s="51"/>
      <c r="S1638" s="51"/>
      <c r="T1638" s="51"/>
      <c r="U1638" s="51"/>
      <c r="V1638" s="51"/>
      <c r="W1638" s="51"/>
      <c r="X1638" s="51"/>
      <c r="Y1638" s="51" t="s">
        <v>27</v>
      </c>
      <c r="Z1638" s="51" t="s">
        <v>349</v>
      </c>
      <c r="AA1638" s="51" t="s">
        <v>22</v>
      </c>
      <c r="AB1638" s="51"/>
      <c r="AC1638" s="51"/>
    </row>
    <row r="1639" spans="1:29" ht="15" customHeight="1">
      <c r="A1639" s="51" t="s">
        <v>336</v>
      </c>
      <c r="B1639" s="51" t="s">
        <v>6417</v>
      </c>
      <c r="C1639" s="539" t="s">
        <v>955</v>
      </c>
      <c r="D1639" s="51"/>
      <c r="E1639" s="290" t="s">
        <v>5533</v>
      </c>
      <c r="F1639" s="51" t="s">
        <v>6119</v>
      </c>
      <c r="G1639" s="51"/>
      <c r="H1639" s="51" t="s">
        <v>3084</v>
      </c>
      <c r="I1639" s="539" t="s">
        <v>21</v>
      </c>
      <c r="J1639" s="539" t="s">
        <v>876</v>
      </c>
      <c r="K1639" s="51"/>
      <c r="L1639" s="539" t="s">
        <v>5368</v>
      </c>
      <c r="M1639" s="51"/>
      <c r="N1639" s="51"/>
      <c r="O1639" s="51"/>
      <c r="P1639" s="539" t="s">
        <v>7133</v>
      </c>
      <c r="Q1639" s="51"/>
      <c r="R1639" s="51"/>
      <c r="S1639" s="51"/>
      <c r="T1639" s="51"/>
      <c r="U1639" s="51"/>
      <c r="V1639" s="51"/>
      <c r="W1639" s="51"/>
      <c r="X1639" s="51"/>
      <c r="Y1639" s="51" t="s">
        <v>27</v>
      </c>
      <c r="Z1639" s="51" t="s">
        <v>349</v>
      </c>
      <c r="AA1639" s="51" t="s">
        <v>22</v>
      </c>
      <c r="AB1639" s="51"/>
      <c r="AC1639" s="51"/>
    </row>
    <row r="1640" spans="1:29" ht="15" customHeight="1">
      <c r="A1640" s="51" t="s">
        <v>336</v>
      </c>
      <c r="B1640" s="51" t="s">
        <v>6418</v>
      </c>
      <c r="C1640" s="51"/>
      <c r="D1640" s="51"/>
      <c r="E1640" s="51"/>
      <c r="F1640" s="51" t="s">
        <v>6120</v>
      </c>
      <c r="G1640" s="51"/>
      <c r="H1640" s="51" t="s">
        <v>3084</v>
      </c>
      <c r="I1640" s="51"/>
      <c r="J1640" s="51"/>
      <c r="K1640" s="51"/>
      <c r="L1640" s="51"/>
      <c r="M1640" s="51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 t="s">
        <v>22</v>
      </c>
      <c r="Z1640" s="51" t="s">
        <v>22</v>
      </c>
      <c r="AA1640" s="51" t="s">
        <v>22</v>
      </c>
      <c r="AB1640" s="51"/>
      <c r="AC1640" s="51"/>
    </row>
    <row r="1641" spans="1:29" ht="15" customHeight="1">
      <c r="A1641" s="51" t="s">
        <v>336</v>
      </c>
      <c r="B1641" s="51" t="s">
        <v>6419</v>
      </c>
      <c r="C1641" s="51"/>
      <c r="D1641" s="51"/>
      <c r="E1641" s="51"/>
      <c r="F1641" s="51" t="s">
        <v>6121</v>
      </c>
      <c r="G1641" s="51"/>
      <c r="H1641" s="51" t="s">
        <v>3084</v>
      </c>
      <c r="I1641" s="51"/>
      <c r="J1641" s="51"/>
      <c r="K1641" s="51"/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 t="s">
        <v>22</v>
      </c>
      <c r="Z1641" s="51" t="s">
        <v>22</v>
      </c>
      <c r="AA1641" s="51" t="s">
        <v>22</v>
      </c>
      <c r="AB1641" s="51"/>
      <c r="AC1641" s="51"/>
    </row>
    <row r="1642" spans="1:29" ht="15" customHeight="1">
      <c r="A1642" s="51" t="s">
        <v>336</v>
      </c>
      <c r="B1642" s="51" t="s">
        <v>6420</v>
      </c>
      <c r="C1642" s="51"/>
      <c r="D1642" s="51"/>
      <c r="E1642" s="51"/>
      <c r="F1642" s="51" t="s">
        <v>6122</v>
      </c>
      <c r="G1642" s="51"/>
      <c r="H1642" s="51" t="s">
        <v>3084</v>
      </c>
      <c r="I1642" s="51"/>
      <c r="J1642" s="51"/>
      <c r="K1642" s="51"/>
      <c r="L1642" s="51"/>
      <c r="M1642" s="51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 t="s">
        <v>22</v>
      </c>
      <c r="Z1642" s="51" t="s">
        <v>22</v>
      </c>
      <c r="AA1642" s="51" t="s">
        <v>22</v>
      </c>
      <c r="AB1642" s="51"/>
      <c r="AC1642" s="51"/>
    </row>
    <row r="1643" spans="1:29" ht="15" customHeight="1">
      <c r="A1643" s="51" t="s">
        <v>336</v>
      </c>
      <c r="B1643" s="51" t="s">
        <v>6421</v>
      </c>
      <c r="C1643" s="51"/>
      <c r="D1643" s="51"/>
      <c r="E1643" s="51"/>
      <c r="F1643" s="51" t="s">
        <v>6123</v>
      </c>
      <c r="G1643" s="51"/>
      <c r="H1643" s="51" t="s">
        <v>3084</v>
      </c>
      <c r="I1643" s="51"/>
      <c r="J1643" s="51"/>
      <c r="K1643" s="51"/>
      <c r="L1643" s="51"/>
      <c r="M1643" s="51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 t="s">
        <v>22</v>
      </c>
      <c r="Z1643" s="51" t="s">
        <v>22</v>
      </c>
      <c r="AA1643" s="51" t="s">
        <v>22</v>
      </c>
      <c r="AB1643" s="51"/>
      <c r="AC1643" s="51"/>
    </row>
    <row r="1644" spans="1:29" ht="15" customHeight="1">
      <c r="A1644" s="51" t="s">
        <v>336</v>
      </c>
      <c r="B1644" s="51" t="s">
        <v>6422</v>
      </c>
      <c r="C1644" s="51"/>
      <c r="D1644" s="51"/>
      <c r="E1644" s="51"/>
      <c r="F1644" s="51" t="s">
        <v>6124</v>
      </c>
      <c r="G1644" s="51"/>
      <c r="H1644" s="51" t="s">
        <v>3084</v>
      </c>
      <c r="I1644" s="51"/>
      <c r="J1644" s="51"/>
      <c r="K1644" s="51"/>
      <c r="L1644" s="51"/>
      <c r="M1644" s="51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 t="s">
        <v>22</v>
      </c>
      <c r="Z1644" s="51" t="s">
        <v>22</v>
      </c>
      <c r="AA1644" s="51" t="s">
        <v>22</v>
      </c>
      <c r="AB1644" s="51"/>
      <c r="AC1644" s="51"/>
    </row>
    <row r="1645" spans="1:29" ht="15" customHeight="1">
      <c r="A1645" s="51" t="s">
        <v>336</v>
      </c>
      <c r="B1645" s="51" t="s">
        <v>6423</v>
      </c>
      <c r="C1645" s="51"/>
      <c r="D1645" s="51"/>
      <c r="E1645" s="51"/>
      <c r="F1645" s="51" t="s">
        <v>6125</v>
      </c>
      <c r="G1645" s="51"/>
      <c r="H1645" s="51" t="s">
        <v>3084</v>
      </c>
      <c r="I1645" s="51"/>
      <c r="J1645" s="51"/>
      <c r="K1645" s="51"/>
      <c r="L1645" s="51"/>
      <c r="M1645" s="51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 t="s">
        <v>22</v>
      </c>
      <c r="Z1645" s="51" t="s">
        <v>22</v>
      </c>
      <c r="AA1645" s="51" t="s">
        <v>22</v>
      </c>
      <c r="AB1645" s="51"/>
      <c r="AC1645" s="51"/>
    </row>
    <row r="1646" spans="1:29" ht="15" customHeight="1">
      <c r="A1646" s="51" t="s">
        <v>336</v>
      </c>
      <c r="B1646" s="51" t="s">
        <v>6424</v>
      </c>
      <c r="C1646" s="51"/>
      <c r="D1646" s="51"/>
      <c r="E1646" s="51"/>
      <c r="F1646" s="51" t="s">
        <v>6126</v>
      </c>
      <c r="G1646" s="51"/>
      <c r="H1646" s="51" t="s">
        <v>3084</v>
      </c>
      <c r="I1646" s="51"/>
      <c r="J1646" s="51"/>
      <c r="K1646" s="51"/>
      <c r="L1646" s="51"/>
      <c r="M1646" s="51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 t="s">
        <v>22</v>
      </c>
      <c r="Z1646" s="51" t="s">
        <v>22</v>
      </c>
      <c r="AA1646" s="51" t="s">
        <v>22</v>
      </c>
      <c r="AB1646" s="51"/>
      <c r="AC1646" s="51"/>
    </row>
    <row r="1647" spans="1:29" ht="15" customHeight="1">
      <c r="A1647" s="51" t="s">
        <v>336</v>
      </c>
      <c r="B1647" s="51" t="s">
        <v>6425</v>
      </c>
      <c r="C1647" s="51"/>
      <c r="D1647" s="51"/>
      <c r="E1647" s="51"/>
      <c r="F1647" s="51" t="s">
        <v>6127</v>
      </c>
      <c r="G1647" s="51"/>
      <c r="H1647" s="51" t="s">
        <v>3084</v>
      </c>
      <c r="I1647" s="51"/>
      <c r="J1647" s="51"/>
      <c r="K1647" s="51"/>
      <c r="L1647" s="51"/>
      <c r="M1647" s="51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 t="s">
        <v>22</v>
      </c>
      <c r="Z1647" s="51" t="s">
        <v>22</v>
      </c>
      <c r="AA1647" s="51" t="s">
        <v>22</v>
      </c>
      <c r="AB1647" s="51"/>
      <c r="AC1647" s="51"/>
    </row>
    <row r="1648" spans="1:29" ht="15" customHeight="1">
      <c r="A1648" s="51" t="s">
        <v>336</v>
      </c>
      <c r="B1648" s="51" t="s">
        <v>6426</v>
      </c>
      <c r="C1648" s="51"/>
      <c r="D1648" s="51"/>
      <c r="E1648" s="51"/>
      <c r="F1648" s="51" t="s">
        <v>6128</v>
      </c>
      <c r="G1648" s="51"/>
      <c r="H1648" s="51" t="s">
        <v>3084</v>
      </c>
      <c r="I1648" s="51"/>
      <c r="J1648" s="51"/>
      <c r="K1648" s="51"/>
      <c r="L1648" s="51"/>
      <c r="M1648" s="51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 t="s">
        <v>22</v>
      </c>
      <c r="Z1648" s="51" t="s">
        <v>22</v>
      </c>
      <c r="AA1648" s="51" t="s">
        <v>22</v>
      </c>
      <c r="AB1648" s="51"/>
      <c r="AC1648" s="51"/>
    </row>
    <row r="1649" spans="1:29" ht="15" customHeight="1">
      <c r="A1649" s="51" t="s">
        <v>336</v>
      </c>
      <c r="B1649" s="51" t="s">
        <v>6427</v>
      </c>
      <c r="C1649" s="51"/>
      <c r="D1649" s="51"/>
      <c r="E1649" s="51"/>
      <c r="F1649" s="51" t="s">
        <v>6129</v>
      </c>
      <c r="G1649" s="51"/>
      <c r="H1649" s="51" t="s">
        <v>3084</v>
      </c>
      <c r="I1649" s="51"/>
      <c r="J1649" s="51"/>
      <c r="K1649" s="51"/>
      <c r="L1649" s="51"/>
      <c r="M1649" s="51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 t="s">
        <v>22</v>
      </c>
      <c r="Z1649" s="51" t="s">
        <v>22</v>
      </c>
      <c r="AA1649" s="51" t="s">
        <v>22</v>
      </c>
      <c r="AB1649" s="51"/>
      <c r="AC1649" s="51"/>
    </row>
    <row r="1650" spans="1:29" ht="15" customHeight="1">
      <c r="A1650" s="51" t="s">
        <v>336</v>
      </c>
      <c r="B1650" s="51" t="s">
        <v>6428</v>
      </c>
      <c r="C1650" s="51"/>
      <c r="D1650" s="51"/>
      <c r="E1650" s="51"/>
      <c r="F1650" s="51" t="s">
        <v>6130</v>
      </c>
      <c r="G1650" s="51"/>
      <c r="H1650" s="51" t="s">
        <v>3084</v>
      </c>
      <c r="I1650" s="51"/>
      <c r="J1650" s="51"/>
      <c r="K1650" s="51"/>
      <c r="L1650" s="51"/>
      <c r="M1650" s="51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 t="s">
        <v>22</v>
      </c>
      <c r="Z1650" s="51" t="s">
        <v>22</v>
      </c>
      <c r="AA1650" s="51" t="s">
        <v>22</v>
      </c>
      <c r="AB1650" s="51"/>
      <c r="AC1650" s="51"/>
    </row>
    <row r="1651" spans="1:29" ht="34.5" customHeight="1">
      <c r="A1651" s="51" t="s">
        <v>336</v>
      </c>
      <c r="B1651" s="482" t="s">
        <v>6429</v>
      </c>
      <c r="C1651" s="51" t="s">
        <v>22</v>
      </c>
      <c r="D1651" s="51" t="s">
        <v>2758</v>
      </c>
      <c r="E1651" s="51"/>
      <c r="F1651" s="51" t="s">
        <v>6131</v>
      </c>
      <c r="G1651" s="51"/>
      <c r="H1651" s="51" t="s">
        <v>3084</v>
      </c>
      <c r="I1651" s="51" t="s">
        <v>21</v>
      </c>
      <c r="J1651" s="501"/>
      <c r="K1651" s="501"/>
      <c r="L1651" s="51" t="s">
        <v>31</v>
      </c>
      <c r="M1651" s="51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 t="s">
        <v>349</v>
      </c>
      <c r="Z1651" s="51" t="s">
        <v>22</v>
      </c>
      <c r="AA1651" s="51" t="s">
        <v>22</v>
      </c>
      <c r="AB1651" s="51"/>
      <c r="AC1651" s="503"/>
    </row>
    <row r="1652" spans="1:29" ht="60">
      <c r="A1652" s="51" t="s">
        <v>336</v>
      </c>
      <c r="B1652" s="51" t="s">
        <v>6430</v>
      </c>
      <c r="C1652" s="51" t="s">
        <v>27</v>
      </c>
      <c r="D1652" s="51" t="s">
        <v>2758</v>
      </c>
      <c r="E1652" s="51" t="s">
        <v>5533</v>
      </c>
      <c r="F1652" s="51" t="s">
        <v>6132</v>
      </c>
      <c r="G1652" s="51"/>
      <c r="H1652" s="51" t="s">
        <v>3084</v>
      </c>
      <c r="I1652" s="51" t="s">
        <v>21</v>
      </c>
      <c r="J1652" s="51" t="s">
        <v>1025</v>
      </c>
      <c r="K1652" s="51" t="s">
        <v>206</v>
      </c>
      <c r="L1652" s="51" t="s">
        <v>31</v>
      </c>
      <c r="M1652" s="51"/>
      <c r="N1652" s="51"/>
      <c r="O1652" s="51"/>
      <c r="P1652" s="363" t="s">
        <v>3827</v>
      </c>
      <c r="Q1652" s="51"/>
      <c r="R1652" s="51"/>
      <c r="S1652" s="51"/>
      <c r="T1652" s="51"/>
      <c r="U1652" s="51"/>
      <c r="V1652" s="51"/>
      <c r="W1652" s="51"/>
      <c r="X1652" s="51"/>
      <c r="Y1652" s="51" t="s">
        <v>27</v>
      </c>
      <c r="Z1652" s="51" t="s">
        <v>27</v>
      </c>
      <c r="AA1652" s="51" t="s">
        <v>27</v>
      </c>
      <c r="AB1652" s="51"/>
      <c r="AC1652" s="501" t="s">
        <v>6530</v>
      </c>
    </row>
    <row r="1653" spans="1:29" ht="75">
      <c r="A1653" s="51" t="s">
        <v>336</v>
      </c>
      <c r="B1653" s="51" t="s">
        <v>6431</v>
      </c>
      <c r="C1653" s="51" t="s">
        <v>27</v>
      </c>
      <c r="D1653" s="51" t="s">
        <v>2758</v>
      </c>
      <c r="E1653" s="51" t="s">
        <v>5533</v>
      </c>
      <c r="F1653" s="51" t="s">
        <v>6133</v>
      </c>
      <c r="G1653" s="51"/>
      <c r="H1653" s="51" t="s">
        <v>3084</v>
      </c>
      <c r="I1653" s="51" t="s">
        <v>21</v>
      </c>
      <c r="J1653" s="51" t="s">
        <v>876</v>
      </c>
      <c r="K1653" s="51" t="s">
        <v>3650</v>
      </c>
      <c r="L1653" s="51" t="s">
        <v>31</v>
      </c>
      <c r="M1653" s="51"/>
      <c r="N1653" s="51"/>
      <c r="O1653" s="51"/>
      <c r="P1653" s="363" t="s">
        <v>3827</v>
      </c>
      <c r="Q1653" s="51"/>
      <c r="R1653" s="51"/>
      <c r="S1653" s="51"/>
      <c r="T1653" s="51"/>
      <c r="U1653" s="51"/>
      <c r="V1653" s="51"/>
      <c r="W1653" s="51"/>
      <c r="X1653" s="51"/>
      <c r="Y1653" s="51" t="s">
        <v>27</v>
      </c>
      <c r="Z1653" s="51" t="s">
        <v>27</v>
      </c>
      <c r="AA1653" s="51" t="s">
        <v>27</v>
      </c>
      <c r="AB1653" s="51"/>
      <c r="AC1653" s="501" t="s">
        <v>6531</v>
      </c>
    </row>
    <row r="1654" spans="1:29" ht="73.5" customHeight="1">
      <c r="A1654" s="51" t="s">
        <v>336</v>
      </c>
      <c r="B1654" s="482" t="s">
        <v>6432</v>
      </c>
      <c r="C1654" s="51" t="s">
        <v>22</v>
      </c>
      <c r="D1654" s="51" t="s">
        <v>2758</v>
      </c>
      <c r="E1654" s="51" t="s">
        <v>5533</v>
      </c>
      <c r="F1654" s="51" t="s">
        <v>6134</v>
      </c>
      <c r="G1654" s="51"/>
      <c r="H1654" s="51" t="s">
        <v>3084</v>
      </c>
      <c r="I1654" s="51" t="s">
        <v>21</v>
      </c>
      <c r="J1654" s="519" t="s">
        <v>83</v>
      </c>
      <c r="K1654" s="501" t="s">
        <v>61</v>
      </c>
      <c r="L1654" s="51" t="s">
        <v>5368</v>
      </c>
      <c r="M1654" s="51"/>
      <c r="N1654" s="51"/>
      <c r="O1654" s="51"/>
      <c r="P1654" s="363"/>
      <c r="Q1654" s="51"/>
      <c r="R1654" s="51"/>
      <c r="S1654" s="51"/>
      <c r="T1654" s="51"/>
      <c r="U1654" s="51"/>
      <c r="V1654" s="51"/>
      <c r="W1654" s="51"/>
      <c r="X1654" s="51"/>
      <c r="Y1654" s="51" t="s">
        <v>27</v>
      </c>
      <c r="Z1654" s="51" t="s">
        <v>27</v>
      </c>
      <c r="AA1654" s="51" t="s">
        <v>27</v>
      </c>
      <c r="AB1654" s="51"/>
      <c r="AC1654" s="523" t="s">
        <v>6576</v>
      </c>
    </row>
    <row r="1655" spans="1:29" ht="135">
      <c r="A1655" s="51" t="s">
        <v>336</v>
      </c>
      <c r="B1655" s="502" t="s">
        <v>6433</v>
      </c>
      <c r="C1655" s="51" t="s">
        <v>22</v>
      </c>
      <c r="D1655" s="51" t="s">
        <v>2758</v>
      </c>
      <c r="E1655" s="51" t="s">
        <v>5533</v>
      </c>
      <c r="F1655" s="51" t="s">
        <v>6135</v>
      </c>
      <c r="G1655" s="51"/>
      <c r="H1655" s="51" t="s">
        <v>3084</v>
      </c>
      <c r="I1655" s="51" t="s">
        <v>21</v>
      </c>
      <c r="J1655" s="501" t="s">
        <v>83</v>
      </c>
      <c r="K1655" s="501" t="s">
        <v>61</v>
      </c>
      <c r="L1655" s="51" t="s">
        <v>31</v>
      </c>
      <c r="M1655" s="51"/>
      <c r="N1655" s="51"/>
      <c r="O1655" s="51"/>
      <c r="P1655" s="363"/>
      <c r="Q1655" s="51"/>
      <c r="R1655" s="51"/>
      <c r="S1655" s="51"/>
      <c r="T1655" s="51"/>
      <c r="U1655" s="51"/>
      <c r="V1655" s="51"/>
      <c r="W1655" s="51"/>
      <c r="X1655" s="51"/>
      <c r="Y1655" s="51" t="s">
        <v>27</v>
      </c>
      <c r="Z1655" s="51" t="s">
        <v>27</v>
      </c>
      <c r="AA1655" s="51" t="s">
        <v>27</v>
      </c>
      <c r="AB1655" s="51"/>
      <c r="AC1655" s="523" t="s">
        <v>6579</v>
      </c>
    </row>
    <row r="1656" spans="1:29" ht="21" customHeight="1">
      <c r="A1656" s="51" t="s">
        <v>336</v>
      </c>
      <c r="B1656" s="51" t="s">
        <v>6434</v>
      </c>
      <c r="C1656" s="51" t="s">
        <v>27</v>
      </c>
      <c r="D1656" s="51" t="s">
        <v>2758</v>
      </c>
      <c r="E1656" s="51" t="s">
        <v>5533</v>
      </c>
      <c r="F1656" s="51" t="s">
        <v>6136</v>
      </c>
      <c r="G1656" s="51"/>
      <c r="H1656" s="51" t="s">
        <v>3084</v>
      </c>
      <c r="I1656" s="51" t="s">
        <v>21</v>
      </c>
      <c r="J1656" s="51" t="s">
        <v>876</v>
      </c>
      <c r="K1656" s="51" t="s">
        <v>337</v>
      </c>
      <c r="L1656" s="51" t="s">
        <v>31</v>
      </c>
      <c r="M1656" s="51"/>
      <c r="N1656" s="51"/>
      <c r="O1656" s="51"/>
      <c r="P1656" s="363" t="s">
        <v>3827</v>
      </c>
      <c r="Q1656" s="51"/>
      <c r="R1656" s="51"/>
      <c r="S1656" s="51"/>
      <c r="T1656" s="51"/>
      <c r="U1656" s="51"/>
      <c r="V1656" s="51"/>
      <c r="W1656" s="51"/>
      <c r="X1656" s="51"/>
      <c r="Y1656" s="51" t="s">
        <v>27</v>
      </c>
      <c r="Z1656" s="51" t="s">
        <v>27</v>
      </c>
      <c r="AA1656" s="51" t="s">
        <v>27</v>
      </c>
      <c r="AB1656" s="51"/>
      <c r="AC1656" s="501" t="s">
        <v>6532</v>
      </c>
    </row>
    <row r="1657" spans="1:29" ht="57" customHeight="1">
      <c r="A1657" s="51" t="s">
        <v>336</v>
      </c>
      <c r="B1657" s="482" t="s">
        <v>6435</v>
      </c>
      <c r="C1657" s="51" t="s">
        <v>22</v>
      </c>
      <c r="D1657" s="51" t="s">
        <v>2758</v>
      </c>
      <c r="E1657" s="51" t="s">
        <v>5533</v>
      </c>
      <c r="F1657" s="51" t="s">
        <v>6137</v>
      </c>
      <c r="G1657" s="51"/>
      <c r="H1657" s="51" t="s">
        <v>3084</v>
      </c>
      <c r="I1657" s="51" t="s">
        <v>21</v>
      </c>
      <c r="J1657" s="517" t="s">
        <v>83</v>
      </c>
      <c r="K1657" s="518" t="s">
        <v>337</v>
      </c>
      <c r="L1657" s="519" t="s">
        <v>5368</v>
      </c>
      <c r="M1657" s="51"/>
      <c r="N1657" s="51"/>
      <c r="O1657" s="51"/>
      <c r="P1657" s="363"/>
      <c r="Q1657" s="51"/>
      <c r="R1657" s="51"/>
      <c r="S1657" s="51"/>
      <c r="T1657" s="51"/>
      <c r="U1657" s="51"/>
      <c r="V1657" s="51"/>
      <c r="W1657" s="51"/>
      <c r="X1657" s="51"/>
      <c r="Y1657" s="51" t="s">
        <v>27</v>
      </c>
      <c r="Z1657" s="51" t="s">
        <v>27</v>
      </c>
      <c r="AA1657" s="51" t="s">
        <v>27</v>
      </c>
      <c r="AB1657" s="51"/>
      <c r="AC1657" s="529" t="s">
        <v>6705</v>
      </c>
    </row>
    <row r="1658" spans="1:29" ht="22.5" customHeight="1">
      <c r="A1658" s="51" t="s">
        <v>336</v>
      </c>
      <c r="B1658" s="482" t="s">
        <v>6436</v>
      </c>
      <c r="C1658" s="51" t="s">
        <v>955</v>
      </c>
      <c r="D1658" s="51" t="s">
        <v>2758</v>
      </c>
      <c r="E1658" s="51" t="s">
        <v>5533</v>
      </c>
      <c r="F1658" s="67" t="s">
        <v>6138</v>
      </c>
      <c r="G1658" s="51"/>
      <c r="H1658" s="51" t="s">
        <v>3084</v>
      </c>
      <c r="I1658" s="51" t="s">
        <v>21</v>
      </c>
      <c r="J1658" s="501" t="s">
        <v>1025</v>
      </c>
      <c r="K1658" s="501" t="s">
        <v>3650</v>
      </c>
      <c r="L1658" s="51" t="s">
        <v>5368</v>
      </c>
      <c r="M1658" s="51"/>
      <c r="N1658" s="51"/>
      <c r="O1658" s="51"/>
      <c r="P1658" s="363"/>
      <c r="Q1658" s="51"/>
      <c r="R1658" s="51"/>
      <c r="S1658" s="51"/>
      <c r="T1658" s="51"/>
      <c r="U1658" s="51"/>
      <c r="V1658" s="51"/>
      <c r="W1658" s="51"/>
      <c r="X1658" s="51"/>
      <c r="Y1658" s="51" t="s">
        <v>27</v>
      </c>
      <c r="Z1658" s="51" t="s">
        <v>27</v>
      </c>
      <c r="AA1658" s="51" t="s">
        <v>27</v>
      </c>
      <c r="AB1658" s="51"/>
      <c r="AC1658" s="51" t="s">
        <v>6563</v>
      </c>
    </row>
    <row r="1659" spans="1:29" ht="15" customHeight="1">
      <c r="A1659" s="51" t="s">
        <v>336</v>
      </c>
      <c r="B1659" s="482" t="s">
        <v>6437</v>
      </c>
      <c r="C1659" s="51"/>
      <c r="D1659" s="51"/>
      <c r="E1659" s="51"/>
      <c r="F1659" s="67" t="s">
        <v>6139</v>
      </c>
      <c r="G1659" s="51"/>
      <c r="H1659" s="51" t="s">
        <v>3084</v>
      </c>
      <c r="I1659" s="51"/>
      <c r="J1659" s="51"/>
      <c r="K1659" s="51"/>
      <c r="L1659" s="51"/>
      <c r="M1659" s="51"/>
      <c r="N1659" s="51"/>
      <c r="O1659" s="51"/>
      <c r="P1659" s="363"/>
      <c r="Q1659" s="51"/>
      <c r="R1659" s="51"/>
      <c r="S1659" s="51"/>
      <c r="T1659" s="51"/>
      <c r="U1659" s="51"/>
      <c r="V1659" s="51"/>
      <c r="W1659" s="51"/>
      <c r="X1659" s="51"/>
      <c r="Y1659" s="51" t="s">
        <v>22</v>
      </c>
      <c r="Z1659" s="51" t="s">
        <v>22</v>
      </c>
      <c r="AA1659" s="51" t="s">
        <v>22</v>
      </c>
      <c r="AB1659" s="51"/>
      <c r="AC1659" s="51"/>
    </row>
    <row r="1660" spans="1:29" ht="15" customHeight="1">
      <c r="A1660" s="51" t="s">
        <v>336</v>
      </c>
      <c r="B1660" s="482" t="s">
        <v>6438</v>
      </c>
      <c r="C1660" s="51"/>
      <c r="D1660" s="51"/>
      <c r="E1660" s="51"/>
      <c r="F1660" s="67" t="s">
        <v>6140</v>
      </c>
      <c r="G1660" s="51"/>
      <c r="H1660" s="51" t="s">
        <v>3084</v>
      </c>
      <c r="I1660" s="51"/>
      <c r="J1660" s="51"/>
      <c r="K1660" s="51"/>
      <c r="L1660" s="51"/>
      <c r="M1660" s="51"/>
      <c r="N1660" s="51"/>
      <c r="O1660" s="51"/>
      <c r="P1660" s="363"/>
      <c r="Q1660" s="51"/>
      <c r="R1660" s="51"/>
      <c r="S1660" s="51"/>
      <c r="T1660" s="51"/>
      <c r="U1660" s="51"/>
      <c r="V1660" s="51"/>
      <c r="W1660" s="51"/>
      <c r="X1660" s="51"/>
      <c r="Y1660" s="51" t="s">
        <v>22</v>
      </c>
      <c r="Z1660" s="51" t="s">
        <v>22</v>
      </c>
      <c r="AA1660" s="51" t="s">
        <v>22</v>
      </c>
      <c r="AB1660" s="51"/>
      <c r="AC1660" s="51"/>
    </row>
    <row r="1661" spans="1:29" ht="60" customHeight="1">
      <c r="A1661" s="51" t="s">
        <v>336</v>
      </c>
      <c r="B1661" s="504" t="s">
        <v>6439</v>
      </c>
      <c r="C1661" s="51" t="s">
        <v>22</v>
      </c>
      <c r="D1661" s="51" t="s">
        <v>2758</v>
      </c>
      <c r="E1661" s="51" t="s">
        <v>5533</v>
      </c>
      <c r="F1661" s="51" t="s">
        <v>6141</v>
      </c>
      <c r="G1661" s="51"/>
      <c r="H1661" s="51" t="s">
        <v>3084</v>
      </c>
      <c r="I1661" s="51" t="s">
        <v>21</v>
      </c>
      <c r="J1661" s="529" t="s">
        <v>876</v>
      </c>
      <c r="K1661" s="501" t="s">
        <v>337</v>
      </c>
      <c r="L1661" s="51" t="s">
        <v>5368</v>
      </c>
      <c r="M1661" s="51"/>
      <c r="N1661" s="51"/>
      <c r="O1661" s="51"/>
      <c r="P1661" s="363"/>
      <c r="Q1661" s="51"/>
      <c r="R1661" s="51"/>
      <c r="S1661" s="51"/>
      <c r="T1661" s="51"/>
      <c r="U1661" s="51"/>
      <c r="V1661" s="51"/>
      <c r="W1661" s="51"/>
      <c r="X1661" s="51"/>
      <c r="Y1661" s="51" t="s">
        <v>27</v>
      </c>
      <c r="Z1661" s="51" t="s">
        <v>27</v>
      </c>
      <c r="AA1661" s="51" t="s">
        <v>27</v>
      </c>
      <c r="AB1661" s="51"/>
      <c r="AC1661" s="529" t="s">
        <v>6708</v>
      </c>
    </row>
    <row r="1662" spans="1:29" ht="75">
      <c r="A1662" s="51" t="s">
        <v>336</v>
      </c>
      <c r="B1662" s="51" t="s">
        <v>6440</v>
      </c>
      <c r="C1662" s="51" t="s">
        <v>27</v>
      </c>
      <c r="D1662" s="51" t="s">
        <v>2758</v>
      </c>
      <c r="E1662" s="51" t="s">
        <v>5533</v>
      </c>
      <c r="F1662" s="51" t="s">
        <v>6142</v>
      </c>
      <c r="G1662" s="51"/>
      <c r="H1662" s="51" t="s">
        <v>3084</v>
      </c>
      <c r="I1662" s="51" t="s">
        <v>21</v>
      </c>
      <c r="J1662" s="51" t="s">
        <v>362</v>
      </c>
      <c r="K1662" s="51" t="s">
        <v>337</v>
      </c>
      <c r="L1662" s="51" t="s">
        <v>31</v>
      </c>
      <c r="M1662" s="51"/>
      <c r="N1662" s="51"/>
      <c r="O1662" s="51"/>
      <c r="P1662" s="363" t="s">
        <v>3827</v>
      </c>
      <c r="Q1662" s="51"/>
      <c r="R1662" s="51"/>
      <c r="S1662" s="51"/>
      <c r="T1662" s="51"/>
      <c r="U1662" s="51"/>
      <c r="V1662" s="51"/>
      <c r="W1662" s="51"/>
      <c r="X1662" s="51"/>
      <c r="Y1662" s="51" t="s">
        <v>27</v>
      </c>
      <c r="Z1662" s="51" t="s">
        <v>27</v>
      </c>
      <c r="AA1662" s="51" t="s">
        <v>27</v>
      </c>
      <c r="AB1662" s="51"/>
      <c r="AC1662" s="501" t="s">
        <v>6528</v>
      </c>
    </row>
    <row r="1663" spans="1:29" ht="75">
      <c r="A1663" s="51" t="s">
        <v>336</v>
      </c>
      <c r="B1663" s="51" t="s">
        <v>6441</v>
      </c>
      <c r="C1663" s="51"/>
      <c r="D1663" s="51"/>
      <c r="E1663" s="51"/>
      <c r="F1663" s="51" t="s">
        <v>6143</v>
      </c>
      <c r="G1663" s="51"/>
      <c r="H1663" s="51" t="s">
        <v>3084</v>
      </c>
      <c r="I1663" s="51" t="s">
        <v>21</v>
      </c>
      <c r="J1663" s="51"/>
      <c r="K1663" s="51"/>
      <c r="L1663" s="51"/>
      <c r="M1663" s="51"/>
      <c r="N1663" s="51"/>
      <c r="O1663" s="51"/>
      <c r="P1663" s="363" t="s">
        <v>3827</v>
      </c>
      <c r="Q1663" s="51"/>
      <c r="R1663" s="51"/>
      <c r="S1663" s="51"/>
      <c r="T1663" s="51"/>
      <c r="U1663" s="51"/>
      <c r="V1663" s="51"/>
      <c r="W1663" s="51"/>
      <c r="X1663" s="51"/>
      <c r="Y1663" s="51" t="s">
        <v>27</v>
      </c>
      <c r="Z1663" s="51" t="s">
        <v>27</v>
      </c>
      <c r="AA1663" s="51" t="s">
        <v>22</v>
      </c>
      <c r="AB1663" s="51"/>
      <c r="AC1663" s="499" t="s">
        <v>6526</v>
      </c>
    </row>
    <row r="1664" spans="1:29" ht="45">
      <c r="A1664" s="51" t="s">
        <v>336</v>
      </c>
      <c r="B1664" s="51" t="s">
        <v>6442</v>
      </c>
      <c r="C1664" s="51" t="s">
        <v>27</v>
      </c>
      <c r="D1664" s="51" t="s">
        <v>2758</v>
      </c>
      <c r="E1664" s="51" t="s">
        <v>5533</v>
      </c>
      <c r="F1664" s="51" t="s">
        <v>6144</v>
      </c>
      <c r="G1664" s="51"/>
      <c r="H1664" s="51" t="s">
        <v>3084</v>
      </c>
      <c r="I1664" s="51" t="s">
        <v>21</v>
      </c>
      <c r="J1664" s="51" t="s">
        <v>83</v>
      </c>
      <c r="K1664" s="51" t="s">
        <v>337</v>
      </c>
      <c r="L1664" s="51" t="s">
        <v>31</v>
      </c>
      <c r="M1664" s="51"/>
      <c r="N1664" s="51"/>
      <c r="O1664" s="51"/>
      <c r="P1664" s="363" t="s">
        <v>3827</v>
      </c>
      <c r="Q1664" s="51"/>
      <c r="R1664" s="51"/>
      <c r="S1664" s="51"/>
      <c r="T1664" s="51"/>
      <c r="U1664" s="51"/>
      <c r="V1664" s="51"/>
      <c r="W1664" s="51"/>
      <c r="X1664" s="51"/>
      <c r="Y1664" s="51" t="s">
        <v>27</v>
      </c>
      <c r="Z1664" s="51" t="s">
        <v>27</v>
      </c>
      <c r="AA1664" s="51" t="s">
        <v>27</v>
      </c>
      <c r="AB1664" s="51"/>
      <c r="AC1664" s="501" t="s">
        <v>6533</v>
      </c>
    </row>
    <row r="1665" spans="1:29" ht="74.25" customHeight="1">
      <c r="A1665" s="51" t="s">
        <v>336</v>
      </c>
      <c r="B1665" s="51" t="s">
        <v>6443</v>
      </c>
      <c r="C1665" s="51" t="s">
        <v>27</v>
      </c>
      <c r="D1665" s="51" t="s">
        <v>2758</v>
      </c>
      <c r="E1665" s="51" t="s">
        <v>5533</v>
      </c>
      <c r="F1665" s="51" t="s">
        <v>6145</v>
      </c>
      <c r="G1665" s="51"/>
      <c r="H1665" s="51" t="s">
        <v>3084</v>
      </c>
      <c r="I1665" s="51" t="s">
        <v>21</v>
      </c>
      <c r="J1665" s="51" t="s">
        <v>876</v>
      </c>
      <c r="K1665" s="51" t="s">
        <v>206</v>
      </c>
      <c r="L1665" s="51" t="s">
        <v>31</v>
      </c>
      <c r="M1665" s="51"/>
      <c r="N1665" s="51"/>
      <c r="O1665" s="51"/>
      <c r="P1665" s="363" t="s">
        <v>3827</v>
      </c>
      <c r="Q1665" s="51"/>
      <c r="R1665" s="51"/>
      <c r="S1665" s="51"/>
      <c r="T1665" s="51"/>
      <c r="U1665" s="51"/>
      <c r="V1665" s="51"/>
      <c r="W1665" s="51"/>
      <c r="X1665" s="51"/>
      <c r="Y1665" s="51" t="s">
        <v>27</v>
      </c>
      <c r="Z1665" s="51" t="s">
        <v>27</v>
      </c>
      <c r="AA1665" s="51" t="s">
        <v>27</v>
      </c>
      <c r="AB1665" s="51"/>
      <c r="AC1665" s="500" t="s">
        <v>6527</v>
      </c>
    </row>
    <row r="1666" spans="1:29" ht="15" customHeight="1">
      <c r="A1666" s="51" t="s">
        <v>336</v>
      </c>
      <c r="B1666" s="482" t="s">
        <v>6444</v>
      </c>
      <c r="C1666" s="51"/>
      <c r="D1666" s="51"/>
      <c r="E1666" s="51"/>
      <c r="F1666" s="51" t="s">
        <v>6146</v>
      </c>
      <c r="G1666" s="51"/>
      <c r="H1666" s="51" t="s">
        <v>3084</v>
      </c>
      <c r="I1666" s="51"/>
      <c r="J1666" s="51"/>
      <c r="K1666" s="51"/>
      <c r="L1666" s="51"/>
      <c r="M1666" s="51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 t="s">
        <v>22</v>
      </c>
      <c r="Z1666" s="51" t="s">
        <v>22</v>
      </c>
      <c r="AA1666" s="51" t="s">
        <v>22</v>
      </c>
      <c r="AB1666" s="51"/>
      <c r="AC1666" s="51"/>
    </row>
    <row r="1667" spans="1:29" ht="43.5" customHeight="1">
      <c r="A1667" s="51" t="s">
        <v>336</v>
      </c>
      <c r="B1667" s="482" t="s">
        <v>6445</v>
      </c>
      <c r="C1667" s="51"/>
      <c r="D1667" s="51" t="s">
        <v>2758</v>
      </c>
      <c r="E1667" s="51" t="s">
        <v>5533</v>
      </c>
      <c r="F1667" s="51" t="s">
        <v>7131</v>
      </c>
      <c r="G1667" s="51"/>
      <c r="H1667" s="51" t="s">
        <v>3084</v>
      </c>
      <c r="I1667" s="51" t="s">
        <v>21</v>
      </c>
      <c r="J1667" s="51" t="s">
        <v>83</v>
      </c>
      <c r="K1667" s="51" t="s">
        <v>337</v>
      </c>
      <c r="L1667" s="51" t="s">
        <v>5368</v>
      </c>
      <c r="M1667" s="51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 t="s">
        <v>27</v>
      </c>
      <c r="Z1667" s="51" t="s">
        <v>27</v>
      </c>
      <c r="AA1667" s="51" t="s">
        <v>27</v>
      </c>
      <c r="AB1667" s="51"/>
      <c r="AC1667" s="529" t="s">
        <v>6706</v>
      </c>
    </row>
    <row r="1668" spans="1:29" ht="15" customHeight="1">
      <c r="A1668" s="51" t="s">
        <v>336</v>
      </c>
      <c r="B1668" s="483" t="s">
        <v>6446</v>
      </c>
      <c r="C1668" s="51"/>
      <c r="D1668" s="51"/>
      <c r="E1668" s="51"/>
      <c r="F1668" s="51" t="s">
        <v>6148</v>
      </c>
      <c r="G1668" s="51"/>
      <c r="H1668" s="51" t="s">
        <v>3084</v>
      </c>
      <c r="I1668" s="51"/>
      <c r="J1668" s="51"/>
      <c r="K1668" s="51"/>
      <c r="L1668" s="51"/>
      <c r="M1668" s="51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 t="s">
        <v>22</v>
      </c>
      <c r="Z1668" s="51" t="s">
        <v>22</v>
      </c>
      <c r="AA1668" s="51" t="s">
        <v>22</v>
      </c>
      <c r="AB1668" s="51"/>
      <c r="AC1668" s="51"/>
    </row>
    <row r="1669" spans="1:29" ht="15" customHeight="1">
      <c r="A1669" s="51" t="s">
        <v>336</v>
      </c>
      <c r="B1669" s="483" t="s">
        <v>6447</v>
      </c>
      <c r="C1669" s="51"/>
      <c r="D1669" s="51"/>
      <c r="E1669" s="51"/>
      <c r="F1669" s="51" t="s">
        <v>6149</v>
      </c>
      <c r="G1669" s="51"/>
      <c r="H1669" s="51" t="s">
        <v>3084</v>
      </c>
      <c r="I1669" s="51"/>
      <c r="J1669" s="51"/>
      <c r="K1669" s="51"/>
      <c r="L1669" s="51"/>
      <c r="M1669" s="51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 t="s">
        <v>22</v>
      </c>
      <c r="Z1669" s="51" t="s">
        <v>22</v>
      </c>
      <c r="AA1669" s="51" t="s">
        <v>22</v>
      </c>
      <c r="AB1669" s="51"/>
      <c r="AC1669" s="51"/>
    </row>
    <row r="1670" spans="1:29" ht="15" customHeight="1">
      <c r="A1670" s="51" t="s">
        <v>336</v>
      </c>
      <c r="B1670" s="483" t="s">
        <v>6448</v>
      </c>
      <c r="C1670" s="51"/>
      <c r="D1670" s="51"/>
      <c r="E1670" s="51"/>
      <c r="F1670" s="51" t="s">
        <v>6150</v>
      </c>
      <c r="G1670" s="51"/>
      <c r="H1670" s="51" t="s">
        <v>3084</v>
      </c>
      <c r="I1670" s="51"/>
      <c r="J1670" s="51"/>
      <c r="K1670" s="51"/>
      <c r="L1670" s="51"/>
      <c r="M1670" s="51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 t="s">
        <v>22</v>
      </c>
      <c r="Z1670" s="51" t="s">
        <v>22</v>
      </c>
      <c r="AA1670" s="51" t="s">
        <v>22</v>
      </c>
      <c r="AB1670" s="51"/>
      <c r="AC1670" s="51"/>
    </row>
    <row r="1671" spans="1:29" ht="15" customHeight="1">
      <c r="A1671" s="51" t="s">
        <v>336</v>
      </c>
      <c r="B1671" s="538" t="s">
        <v>6449</v>
      </c>
      <c r="C1671" s="51"/>
      <c r="D1671" s="51"/>
      <c r="E1671" s="51"/>
      <c r="F1671" s="67" t="s">
        <v>6147</v>
      </c>
      <c r="G1671" s="51"/>
      <c r="H1671" s="51" t="s">
        <v>3084</v>
      </c>
      <c r="I1671" s="51"/>
      <c r="J1671" s="51"/>
      <c r="K1671" s="51"/>
      <c r="L1671" s="51"/>
      <c r="M1671" s="51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 t="s">
        <v>22</v>
      </c>
      <c r="Z1671" s="51" t="s">
        <v>22</v>
      </c>
      <c r="AA1671" s="51" t="s">
        <v>22</v>
      </c>
      <c r="AB1671" s="51"/>
      <c r="AC1671" s="51"/>
    </row>
    <row r="1672" spans="1:29" ht="15" customHeight="1">
      <c r="A1672" s="51" t="s">
        <v>336</v>
      </c>
      <c r="B1672" s="483" t="s">
        <v>6450</v>
      </c>
      <c r="C1672" s="51"/>
      <c r="D1672" s="51"/>
      <c r="E1672" s="51"/>
      <c r="F1672" s="151" t="s">
        <v>6151</v>
      </c>
      <c r="G1672" s="51"/>
      <c r="H1672" s="51" t="s">
        <v>3084</v>
      </c>
      <c r="I1672" s="51"/>
      <c r="J1672" s="51"/>
      <c r="K1672" s="51"/>
      <c r="L1672" s="51"/>
      <c r="M1672" s="51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 t="s">
        <v>22</v>
      </c>
      <c r="Z1672" s="51" t="s">
        <v>22</v>
      </c>
      <c r="AA1672" s="51" t="s">
        <v>22</v>
      </c>
      <c r="AB1672" s="51"/>
      <c r="AC1672" s="51"/>
    </row>
    <row r="1673" spans="1:29" ht="15" customHeight="1">
      <c r="A1673" s="51" t="s">
        <v>336</v>
      </c>
      <c r="B1673" s="538" t="s">
        <v>6451</v>
      </c>
      <c r="C1673" s="51"/>
      <c r="D1673" s="51"/>
      <c r="E1673" s="51"/>
      <c r="F1673" s="51" t="s">
        <v>6152</v>
      </c>
      <c r="G1673" s="51"/>
      <c r="H1673" s="51" t="s">
        <v>3084</v>
      </c>
      <c r="I1673" s="51"/>
      <c r="J1673" s="51"/>
      <c r="K1673" s="51"/>
      <c r="L1673" s="51"/>
      <c r="M1673" s="51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 t="s">
        <v>22</v>
      </c>
      <c r="Z1673" s="51" t="s">
        <v>22</v>
      </c>
      <c r="AA1673" s="51" t="s">
        <v>22</v>
      </c>
      <c r="AB1673" s="51"/>
      <c r="AC1673" s="51"/>
    </row>
    <row r="1674" spans="1:29" ht="15" customHeight="1">
      <c r="A1674" s="51" t="s">
        <v>336</v>
      </c>
      <c r="B1674" s="483" t="s">
        <v>6452</v>
      </c>
      <c r="C1674" s="51"/>
      <c r="D1674" s="51"/>
      <c r="E1674" s="51"/>
      <c r="F1674" s="51" t="s">
        <v>6153</v>
      </c>
      <c r="G1674" s="51"/>
      <c r="H1674" s="51" t="s">
        <v>3084</v>
      </c>
      <c r="I1674" s="51"/>
      <c r="J1674" s="51"/>
      <c r="K1674" s="51"/>
      <c r="L1674" s="51"/>
      <c r="M1674" s="51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 t="s">
        <v>22</v>
      </c>
      <c r="Z1674" s="51" t="s">
        <v>22</v>
      </c>
      <c r="AA1674" s="51" t="s">
        <v>22</v>
      </c>
      <c r="AB1674" s="51"/>
      <c r="AC1674" s="51"/>
    </row>
    <row r="1675" spans="1:29" ht="15" customHeight="1">
      <c r="A1675" s="51" t="s">
        <v>336</v>
      </c>
      <c r="B1675" s="483" t="s">
        <v>6453</v>
      </c>
      <c r="C1675" s="51"/>
      <c r="D1675" s="51"/>
      <c r="E1675" s="51"/>
      <c r="F1675" s="51" t="s">
        <v>6154</v>
      </c>
      <c r="G1675" s="51"/>
      <c r="H1675" s="51" t="s">
        <v>3084</v>
      </c>
      <c r="I1675" s="51"/>
      <c r="J1675" s="51"/>
      <c r="K1675" s="51"/>
      <c r="L1675" s="51"/>
      <c r="M1675" s="51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 t="s">
        <v>22</v>
      </c>
      <c r="Z1675" s="51" t="s">
        <v>22</v>
      </c>
      <c r="AA1675" s="51" t="s">
        <v>22</v>
      </c>
      <c r="AB1675" s="51"/>
      <c r="AC1675" s="51"/>
    </row>
    <row r="1676" spans="1:29" ht="15" customHeight="1">
      <c r="A1676" s="51" t="s">
        <v>336</v>
      </c>
      <c r="B1676" s="483" t="s">
        <v>6454</v>
      </c>
      <c r="C1676" s="51"/>
      <c r="D1676" s="51"/>
      <c r="E1676" s="51"/>
      <c r="F1676" s="51" t="s">
        <v>6155</v>
      </c>
      <c r="G1676" s="51"/>
      <c r="H1676" s="51" t="s">
        <v>3084</v>
      </c>
      <c r="I1676" s="51"/>
      <c r="J1676" s="51"/>
      <c r="K1676" s="51"/>
      <c r="L1676" s="51"/>
      <c r="M1676" s="51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 t="s">
        <v>22</v>
      </c>
      <c r="Z1676" s="51" t="s">
        <v>22</v>
      </c>
      <c r="AA1676" s="51" t="s">
        <v>22</v>
      </c>
      <c r="AB1676" s="51"/>
      <c r="AC1676" s="51"/>
    </row>
    <row r="1677" spans="1:29" ht="15" customHeight="1">
      <c r="A1677" s="51" t="s">
        <v>336</v>
      </c>
      <c r="B1677" s="483" t="s">
        <v>6455</v>
      </c>
      <c r="C1677" s="51"/>
      <c r="D1677" s="51"/>
      <c r="E1677" s="51"/>
      <c r="F1677" s="51" t="s">
        <v>6156</v>
      </c>
      <c r="G1677" s="51"/>
      <c r="H1677" s="51" t="s">
        <v>3084</v>
      </c>
      <c r="I1677" s="51"/>
      <c r="J1677" s="51"/>
      <c r="K1677" s="51"/>
      <c r="L1677" s="51"/>
      <c r="M1677" s="51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 t="s">
        <v>22</v>
      </c>
      <c r="Z1677" s="51" t="s">
        <v>22</v>
      </c>
      <c r="AA1677" s="51" t="s">
        <v>22</v>
      </c>
      <c r="AB1677" s="51"/>
      <c r="AC1677" s="51"/>
    </row>
    <row r="1678" spans="1:29" ht="15" customHeight="1">
      <c r="A1678" s="51" t="s">
        <v>336</v>
      </c>
      <c r="B1678" s="484" t="s">
        <v>6456</v>
      </c>
      <c r="C1678" s="51" t="s">
        <v>22</v>
      </c>
      <c r="D1678" s="51" t="s">
        <v>2758</v>
      </c>
      <c r="E1678" s="51"/>
      <c r="F1678" s="51" t="s">
        <v>6157</v>
      </c>
      <c r="G1678" s="51"/>
      <c r="H1678" s="51" t="s">
        <v>3084</v>
      </c>
      <c r="I1678" s="51" t="s">
        <v>21</v>
      </c>
      <c r="J1678" s="501"/>
      <c r="K1678" s="501"/>
      <c r="L1678" s="51" t="s">
        <v>31</v>
      </c>
      <c r="M1678" s="51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 t="s">
        <v>349</v>
      </c>
      <c r="Z1678" s="51" t="s">
        <v>22</v>
      </c>
      <c r="AA1678" s="51" t="s">
        <v>22</v>
      </c>
      <c r="AB1678" s="51"/>
      <c r="AC1678" s="51"/>
    </row>
    <row r="1679" spans="1:29" ht="15" customHeight="1">
      <c r="A1679" s="51" t="s">
        <v>336</v>
      </c>
      <c r="B1679" s="484" t="s">
        <v>6457</v>
      </c>
      <c r="C1679" s="51" t="s">
        <v>22</v>
      </c>
      <c r="D1679" s="51" t="s">
        <v>2758</v>
      </c>
      <c r="E1679" s="51"/>
      <c r="F1679" s="51" t="s">
        <v>6158</v>
      </c>
      <c r="G1679" s="51"/>
      <c r="H1679" s="51" t="s">
        <v>3084</v>
      </c>
      <c r="I1679" s="51" t="s">
        <v>21</v>
      </c>
      <c r="J1679" s="51"/>
      <c r="K1679" s="53"/>
      <c r="L1679" s="51" t="s">
        <v>31</v>
      </c>
      <c r="M1679" s="51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 t="s">
        <v>349</v>
      </c>
      <c r="Z1679" s="51" t="s">
        <v>22</v>
      </c>
      <c r="AA1679" s="51" t="s">
        <v>22</v>
      </c>
      <c r="AB1679" s="51"/>
      <c r="AC1679" s="51"/>
    </row>
    <row r="1680" spans="1:29" ht="15" customHeight="1">
      <c r="A1680" s="51" t="s">
        <v>336</v>
      </c>
      <c r="B1680" s="484" t="s">
        <v>6458</v>
      </c>
      <c r="C1680" s="51" t="s">
        <v>22</v>
      </c>
      <c r="D1680" s="51" t="s">
        <v>2758</v>
      </c>
      <c r="E1680" s="51" t="s">
        <v>5533</v>
      </c>
      <c r="F1680" s="51" t="s">
        <v>6159</v>
      </c>
      <c r="G1680" s="51"/>
      <c r="H1680" s="51" t="s">
        <v>3084</v>
      </c>
      <c r="I1680" s="51" t="s">
        <v>21</v>
      </c>
      <c r="J1680" s="51" t="s">
        <v>362</v>
      </c>
      <c r="K1680" s="53" t="s">
        <v>337</v>
      </c>
      <c r="L1680" s="51" t="s">
        <v>31</v>
      </c>
      <c r="M1680" s="51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 t="s">
        <v>27</v>
      </c>
      <c r="Z1680" s="51" t="s">
        <v>27</v>
      </c>
      <c r="AA1680" s="51" t="s">
        <v>27</v>
      </c>
      <c r="AB1680" s="51"/>
      <c r="AC1680" s="51" t="s">
        <v>6710</v>
      </c>
    </row>
    <row r="1681" spans="1:29" ht="15" customHeight="1">
      <c r="A1681" s="51" t="s">
        <v>336</v>
      </c>
      <c r="B1681" s="484" t="s">
        <v>6459</v>
      </c>
      <c r="C1681" s="51" t="s">
        <v>22</v>
      </c>
      <c r="D1681" s="51" t="s">
        <v>2758</v>
      </c>
      <c r="E1681" s="51"/>
      <c r="F1681" s="51" t="s">
        <v>6160</v>
      </c>
      <c r="G1681" s="51"/>
      <c r="H1681" s="51" t="s">
        <v>3084</v>
      </c>
      <c r="I1681" s="51" t="s">
        <v>21</v>
      </c>
      <c r="J1681" s="51"/>
      <c r="K1681" s="53"/>
      <c r="L1681" s="51" t="s">
        <v>31</v>
      </c>
      <c r="M1681" s="51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 t="s">
        <v>349</v>
      </c>
      <c r="Z1681" s="51" t="s">
        <v>22</v>
      </c>
      <c r="AA1681" s="51" t="s">
        <v>22</v>
      </c>
      <c r="AB1681" s="51"/>
      <c r="AC1681" s="51"/>
    </row>
    <row r="1682" spans="1:29" ht="15" customHeight="1">
      <c r="A1682" s="51" t="s">
        <v>336</v>
      </c>
      <c r="B1682" s="483" t="s">
        <v>6460</v>
      </c>
      <c r="C1682" s="51"/>
      <c r="D1682" s="51"/>
      <c r="E1682" s="51"/>
      <c r="F1682" s="67" t="s">
        <v>7132</v>
      </c>
      <c r="G1682" s="51"/>
      <c r="H1682" s="51" t="s">
        <v>3084</v>
      </c>
      <c r="I1682" s="51"/>
      <c r="J1682" s="51"/>
      <c r="K1682" s="51"/>
      <c r="L1682" s="51"/>
      <c r="M1682" s="51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 t="s">
        <v>22</v>
      </c>
      <c r="Z1682" s="51" t="s">
        <v>22</v>
      </c>
      <c r="AA1682" s="51" t="s">
        <v>22</v>
      </c>
      <c r="AB1682" s="51"/>
      <c r="AC1682" s="51"/>
    </row>
    <row r="1683" spans="1:29" ht="15" customHeight="1">
      <c r="A1683" s="51" t="s">
        <v>336</v>
      </c>
      <c r="B1683" s="483" t="s">
        <v>6461</v>
      </c>
      <c r="C1683" s="51"/>
      <c r="D1683" s="51"/>
      <c r="E1683" s="51"/>
      <c r="F1683" s="151" t="s">
        <v>6161</v>
      </c>
      <c r="G1683" s="51"/>
      <c r="H1683" s="51" t="s">
        <v>3084</v>
      </c>
      <c r="I1683" s="51"/>
      <c r="J1683" s="51"/>
      <c r="K1683" s="51"/>
      <c r="L1683" s="51"/>
      <c r="M1683" s="51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 t="s">
        <v>22</v>
      </c>
      <c r="Z1683" s="51" t="s">
        <v>22</v>
      </c>
      <c r="AA1683" s="51" t="s">
        <v>22</v>
      </c>
      <c r="AB1683" s="51"/>
      <c r="AC1683" s="51"/>
    </row>
    <row r="1684" spans="1:29" ht="15" customHeight="1">
      <c r="A1684" s="51" t="s">
        <v>336</v>
      </c>
      <c r="B1684" s="483" t="s">
        <v>6462</v>
      </c>
      <c r="C1684" s="51"/>
      <c r="D1684" s="51"/>
      <c r="E1684" s="51"/>
      <c r="F1684" s="51" t="s">
        <v>6162</v>
      </c>
      <c r="G1684" s="51"/>
      <c r="H1684" s="51" t="s">
        <v>3084</v>
      </c>
      <c r="I1684" s="51"/>
      <c r="J1684" s="51"/>
      <c r="K1684" s="51"/>
      <c r="L1684" s="51"/>
      <c r="M1684" s="51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 t="s">
        <v>22</v>
      </c>
      <c r="Z1684" s="51" t="s">
        <v>22</v>
      </c>
      <c r="AA1684" s="51" t="s">
        <v>22</v>
      </c>
      <c r="AB1684" s="51"/>
      <c r="AC1684" s="51"/>
    </row>
    <row r="1685" spans="1:29" ht="15" customHeight="1">
      <c r="A1685" s="51" t="s">
        <v>336</v>
      </c>
      <c r="B1685" s="483" t="s">
        <v>6463</v>
      </c>
      <c r="C1685" s="51"/>
      <c r="D1685" s="51"/>
      <c r="E1685" s="51"/>
      <c r="F1685" s="51" t="s">
        <v>6163</v>
      </c>
      <c r="G1685" s="51"/>
      <c r="H1685" s="51" t="s">
        <v>3084</v>
      </c>
      <c r="I1685" s="51"/>
      <c r="J1685" s="51"/>
      <c r="K1685" s="51"/>
      <c r="L1685" s="51"/>
      <c r="M1685" s="51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 t="s">
        <v>22</v>
      </c>
      <c r="Z1685" s="51" t="s">
        <v>22</v>
      </c>
      <c r="AA1685" s="51" t="s">
        <v>22</v>
      </c>
      <c r="AB1685" s="51"/>
      <c r="AC1685" s="51"/>
    </row>
    <row r="1686" spans="1:29" ht="45.75" customHeight="1">
      <c r="A1686" s="51" t="s">
        <v>336</v>
      </c>
      <c r="B1686" s="482" t="s">
        <v>6464</v>
      </c>
      <c r="C1686" s="51" t="s">
        <v>22</v>
      </c>
      <c r="D1686" s="51" t="s">
        <v>2758</v>
      </c>
      <c r="E1686" s="51" t="s">
        <v>5533</v>
      </c>
      <c r="F1686" s="51" t="s">
        <v>6164</v>
      </c>
      <c r="G1686" s="51"/>
      <c r="H1686" s="51" t="s">
        <v>3084</v>
      </c>
      <c r="I1686" s="51" t="s">
        <v>21</v>
      </c>
      <c r="J1686" s="501" t="s">
        <v>1025</v>
      </c>
      <c r="K1686" s="501" t="s">
        <v>206</v>
      </c>
      <c r="L1686" s="51" t="s">
        <v>5368</v>
      </c>
      <c r="M1686" s="51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 t="s">
        <v>27</v>
      </c>
      <c r="Z1686" s="51" t="s">
        <v>27</v>
      </c>
      <c r="AA1686" s="51" t="s">
        <v>27</v>
      </c>
      <c r="AB1686" s="51"/>
      <c r="AC1686" s="522" t="s">
        <v>6564</v>
      </c>
    </row>
    <row r="1687" spans="1:29" ht="26.25" customHeight="1">
      <c r="A1687" s="51" t="s">
        <v>336</v>
      </c>
      <c r="B1687" s="482" t="s">
        <v>6465</v>
      </c>
      <c r="C1687" s="51" t="s">
        <v>22</v>
      </c>
      <c r="D1687" s="51" t="s">
        <v>2758</v>
      </c>
      <c r="E1687" s="51"/>
      <c r="F1687" s="51" t="s">
        <v>6165</v>
      </c>
      <c r="G1687" s="51"/>
      <c r="H1687" s="51" t="s">
        <v>3084</v>
      </c>
      <c r="I1687" s="51" t="s">
        <v>21</v>
      </c>
      <c r="J1687" s="51"/>
      <c r="K1687" s="53"/>
      <c r="L1687" s="51" t="s">
        <v>31</v>
      </c>
      <c r="M1687" s="51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 t="s">
        <v>349</v>
      </c>
      <c r="Z1687" s="51" t="s">
        <v>22</v>
      </c>
      <c r="AA1687" s="51" t="s">
        <v>22</v>
      </c>
      <c r="AB1687" s="51"/>
      <c r="AC1687" s="51"/>
    </row>
    <row r="1688" spans="1:29" ht="72" customHeight="1">
      <c r="A1688" s="51" t="s">
        <v>336</v>
      </c>
      <c r="B1688" s="482" t="s">
        <v>6466</v>
      </c>
      <c r="C1688" s="51" t="s">
        <v>22</v>
      </c>
      <c r="D1688" s="51" t="s">
        <v>2758</v>
      </c>
      <c r="E1688" s="51" t="s">
        <v>5533</v>
      </c>
      <c r="F1688" s="51" t="s">
        <v>6166</v>
      </c>
      <c r="G1688" s="51"/>
      <c r="H1688" s="51" t="s">
        <v>3084</v>
      </c>
      <c r="I1688" s="51" t="s">
        <v>21</v>
      </c>
      <c r="J1688" s="501" t="s">
        <v>4787</v>
      </c>
      <c r="K1688" s="501" t="s">
        <v>3650</v>
      </c>
      <c r="L1688" s="51" t="s">
        <v>5368</v>
      </c>
      <c r="M1688" s="51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 t="s">
        <v>27</v>
      </c>
      <c r="Z1688" s="51" t="s">
        <v>27</v>
      </c>
      <c r="AA1688" s="51" t="s">
        <v>27</v>
      </c>
      <c r="AB1688" s="51"/>
      <c r="AC1688" s="523" t="s">
        <v>6578</v>
      </c>
    </row>
    <row r="1689" spans="1:29" ht="29.25" customHeight="1">
      <c r="A1689" s="51" t="s">
        <v>336</v>
      </c>
      <c r="B1689" s="482" t="s">
        <v>6467</v>
      </c>
      <c r="C1689" s="51" t="s">
        <v>22</v>
      </c>
      <c r="D1689" s="51" t="s">
        <v>2758</v>
      </c>
      <c r="E1689" s="51" t="s">
        <v>5533</v>
      </c>
      <c r="F1689" s="51" t="s">
        <v>6167</v>
      </c>
      <c r="G1689" s="51"/>
      <c r="H1689" s="51" t="s">
        <v>3084</v>
      </c>
      <c r="I1689" s="51" t="s">
        <v>21</v>
      </c>
      <c r="J1689" s="501" t="s">
        <v>1025</v>
      </c>
      <c r="K1689" s="501" t="s">
        <v>337</v>
      </c>
      <c r="L1689" s="51" t="s">
        <v>5368</v>
      </c>
      <c r="M1689" s="51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 t="s">
        <v>27</v>
      </c>
      <c r="Z1689" s="51" t="s">
        <v>27</v>
      </c>
      <c r="AA1689" s="51" t="s">
        <v>27</v>
      </c>
      <c r="AB1689" s="51"/>
      <c r="AC1689" s="522" t="s">
        <v>6562</v>
      </c>
    </row>
    <row r="1690" spans="1:29" ht="59.25" customHeight="1">
      <c r="A1690" s="51" t="s">
        <v>336</v>
      </c>
      <c r="B1690" s="498" t="s">
        <v>6468</v>
      </c>
      <c r="C1690" s="51" t="s">
        <v>22</v>
      </c>
      <c r="D1690" s="51" t="s">
        <v>2758</v>
      </c>
      <c r="E1690" s="51" t="s">
        <v>5533</v>
      </c>
      <c r="F1690" s="67" t="s">
        <v>6168</v>
      </c>
      <c r="G1690" s="51"/>
      <c r="H1690" s="51" t="s">
        <v>3084</v>
      </c>
      <c r="I1690" s="51" t="s">
        <v>21</v>
      </c>
      <c r="J1690" s="529" t="s">
        <v>362</v>
      </c>
      <c r="K1690" s="73" t="s">
        <v>33</v>
      </c>
      <c r="L1690" s="51" t="s">
        <v>5368</v>
      </c>
      <c r="M1690" s="51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 t="s">
        <v>27</v>
      </c>
      <c r="Z1690" s="51" t="s">
        <v>27</v>
      </c>
      <c r="AA1690" s="51" t="s">
        <v>27</v>
      </c>
      <c r="AB1690" s="51"/>
      <c r="AC1690" s="528" t="s">
        <v>6674</v>
      </c>
    </row>
    <row r="1691" spans="1:29" ht="63" customHeight="1">
      <c r="A1691" s="51" t="s">
        <v>336</v>
      </c>
      <c r="B1691" s="498" t="s">
        <v>6469</v>
      </c>
      <c r="C1691" s="51" t="s">
        <v>22</v>
      </c>
      <c r="D1691" s="51" t="s">
        <v>2758</v>
      </c>
      <c r="E1691" s="51" t="s">
        <v>5533</v>
      </c>
      <c r="F1691" s="67" t="s">
        <v>6503</v>
      </c>
      <c r="G1691" s="51"/>
      <c r="H1691" s="51" t="s">
        <v>3084</v>
      </c>
      <c r="I1691" s="51" t="s">
        <v>21</v>
      </c>
      <c r="J1691" s="501" t="s">
        <v>1025</v>
      </c>
      <c r="K1691" s="501" t="s">
        <v>337</v>
      </c>
      <c r="L1691" s="51" t="s">
        <v>5368</v>
      </c>
      <c r="M1691" s="51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 t="s">
        <v>27</v>
      </c>
      <c r="Z1691" s="51" t="s">
        <v>27</v>
      </c>
      <c r="AA1691" s="51" t="s">
        <v>27</v>
      </c>
      <c r="AB1691" s="51"/>
      <c r="AC1691" s="523" t="s">
        <v>6577</v>
      </c>
    </row>
    <row r="1692" spans="1:29" ht="33" customHeight="1">
      <c r="A1692" s="51" t="s">
        <v>336</v>
      </c>
      <c r="B1692" s="498" t="s">
        <v>6470</v>
      </c>
      <c r="C1692" s="51" t="s">
        <v>22</v>
      </c>
      <c r="D1692" s="51" t="s">
        <v>2758</v>
      </c>
      <c r="E1692" s="51" t="s">
        <v>5533</v>
      </c>
      <c r="F1692" s="51" t="s">
        <v>6169</v>
      </c>
      <c r="G1692" s="51"/>
      <c r="H1692" s="51" t="s">
        <v>3084</v>
      </c>
      <c r="I1692" s="51" t="s">
        <v>21</v>
      </c>
      <c r="J1692" s="501" t="s">
        <v>1025</v>
      </c>
      <c r="K1692" s="501" t="s">
        <v>337</v>
      </c>
      <c r="L1692" s="519" t="s">
        <v>5368</v>
      </c>
      <c r="M1692" s="51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 t="s">
        <v>27</v>
      </c>
      <c r="Z1692" s="51" t="s">
        <v>27</v>
      </c>
      <c r="AA1692" s="51" t="s">
        <v>27</v>
      </c>
      <c r="AB1692" s="51"/>
      <c r="AC1692" s="51" t="s">
        <v>6565</v>
      </c>
    </row>
    <row r="1693" spans="1:29" ht="33" customHeight="1">
      <c r="A1693" s="51" t="s">
        <v>336</v>
      </c>
      <c r="B1693" s="498" t="s">
        <v>6471</v>
      </c>
      <c r="C1693" s="51" t="s">
        <v>22</v>
      </c>
      <c r="D1693" s="51" t="s">
        <v>2758</v>
      </c>
      <c r="E1693" s="51" t="s">
        <v>5533</v>
      </c>
      <c r="F1693" s="51" t="s">
        <v>6170</v>
      </c>
      <c r="G1693" s="51"/>
      <c r="H1693" s="51" t="s">
        <v>3084</v>
      </c>
      <c r="I1693" s="51" t="s">
        <v>21</v>
      </c>
      <c r="J1693" s="51" t="s">
        <v>876</v>
      </c>
      <c r="K1693" s="51" t="s">
        <v>337</v>
      </c>
      <c r="L1693" s="51" t="s">
        <v>5368</v>
      </c>
      <c r="M1693" s="51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 t="s">
        <v>27</v>
      </c>
      <c r="Z1693" s="51" t="s">
        <v>27</v>
      </c>
      <c r="AA1693" s="51" t="s">
        <v>27</v>
      </c>
      <c r="AB1693" s="51"/>
      <c r="AC1693" s="529" t="s">
        <v>6707</v>
      </c>
    </row>
    <row r="1694" spans="1:29" ht="15" customHeight="1">
      <c r="A1694" s="509" t="s">
        <v>1244</v>
      </c>
      <c r="B1694" s="510"/>
      <c r="C1694" s="510"/>
      <c r="D1694" s="510"/>
      <c r="E1694" s="513" t="s">
        <v>5533</v>
      </c>
      <c r="F1694" s="478">
        <v>3299342</v>
      </c>
      <c r="G1694" s="51"/>
      <c r="H1694" s="511" t="s">
        <v>3084</v>
      </c>
      <c r="I1694" s="510"/>
      <c r="J1694" s="510"/>
      <c r="K1694" s="510"/>
      <c r="L1694" s="510"/>
      <c r="M1694" s="51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0" t="s">
        <v>22</v>
      </c>
      <c r="Z1694" s="510" t="s">
        <v>22</v>
      </c>
      <c r="AA1694" s="510" t="s">
        <v>22</v>
      </c>
      <c r="AB1694" s="515"/>
      <c r="AC1694" s="510" t="s">
        <v>6392</v>
      </c>
    </row>
    <row r="1695" spans="1:29" ht="15" customHeight="1">
      <c r="A1695" s="509" t="s">
        <v>1244</v>
      </c>
      <c r="B1695" s="510"/>
      <c r="C1695" s="510"/>
      <c r="D1695" s="510"/>
      <c r="E1695" s="513" t="s">
        <v>5533</v>
      </c>
      <c r="F1695" s="478">
        <v>3299818</v>
      </c>
      <c r="G1695" s="51"/>
      <c r="H1695" s="511" t="s">
        <v>3084</v>
      </c>
      <c r="I1695" s="510"/>
      <c r="J1695" s="510"/>
      <c r="K1695" s="510"/>
      <c r="L1695" s="510"/>
      <c r="M1695" s="51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0" t="s">
        <v>22</v>
      </c>
      <c r="Z1695" s="510" t="s">
        <v>22</v>
      </c>
      <c r="AA1695" s="510" t="s">
        <v>22</v>
      </c>
      <c r="AB1695" s="515"/>
      <c r="AC1695" s="510" t="s">
        <v>6392</v>
      </c>
    </row>
    <row r="1696" spans="1:29" ht="15" customHeight="1">
      <c r="A1696" s="510" t="s">
        <v>1244</v>
      </c>
      <c r="B1696" s="510"/>
      <c r="C1696" s="510" t="s">
        <v>22</v>
      </c>
      <c r="D1696" s="510" t="s">
        <v>2758</v>
      </c>
      <c r="E1696" s="513" t="s">
        <v>5533</v>
      </c>
      <c r="F1696" s="51" t="s">
        <v>6068</v>
      </c>
      <c r="G1696" s="51"/>
      <c r="H1696" s="510" t="s">
        <v>3084</v>
      </c>
      <c r="I1696" s="510" t="s">
        <v>21</v>
      </c>
      <c r="J1696" s="510" t="s">
        <v>1025</v>
      </c>
      <c r="K1696" s="510" t="s">
        <v>337</v>
      </c>
      <c r="L1696" s="510" t="s">
        <v>31</v>
      </c>
      <c r="M1696" s="51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0" t="s">
        <v>349</v>
      </c>
      <c r="Z1696" s="510" t="s">
        <v>22</v>
      </c>
      <c r="AA1696" s="510" t="s">
        <v>22</v>
      </c>
      <c r="AB1696" s="510"/>
      <c r="AC1696" s="510"/>
    </row>
    <row r="1697" spans="1:29" ht="15" customHeight="1">
      <c r="A1697" s="510" t="s">
        <v>1244</v>
      </c>
      <c r="B1697" s="510"/>
      <c r="C1697" s="510" t="s">
        <v>22</v>
      </c>
      <c r="D1697" s="510" t="s">
        <v>2758</v>
      </c>
      <c r="E1697" s="513" t="s">
        <v>5533</v>
      </c>
      <c r="F1697" s="51" t="s">
        <v>6069</v>
      </c>
      <c r="G1697" s="51"/>
      <c r="H1697" s="510" t="s">
        <v>3084</v>
      </c>
      <c r="I1697" s="510" t="s">
        <v>21</v>
      </c>
      <c r="J1697" s="510" t="s">
        <v>1025</v>
      </c>
      <c r="K1697" s="510" t="s">
        <v>206</v>
      </c>
      <c r="L1697" s="510" t="s">
        <v>31</v>
      </c>
      <c r="M1697" s="51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0" t="s">
        <v>349</v>
      </c>
      <c r="Z1697" s="510" t="s">
        <v>22</v>
      </c>
      <c r="AA1697" s="510" t="s">
        <v>22</v>
      </c>
      <c r="AB1697" s="510"/>
      <c r="AC1697" s="510"/>
    </row>
    <row r="1698" spans="1:29" ht="15" customHeight="1">
      <c r="A1698" s="510" t="s">
        <v>1244</v>
      </c>
      <c r="B1698" s="510"/>
      <c r="C1698" s="510" t="s">
        <v>22</v>
      </c>
      <c r="D1698" s="510" t="s">
        <v>2758</v>
      </c>
      <c r="E1698" s="513" t="s">
        <v>5533</v>
      </c>
      <c r="F1698" s="51" t="s">
        <v>6070</v>
      </c>
      <c r="G1698" s="51"/>
      <c r="H1698" s="510" t="s">
        <v>3084</v>
      </c>
      <c r="I1698" s="510" t="s">
        <v>60</v>
      </c>
      <c r="J1698" s="510" t="s">
        <v>6535</v>
      </c>
      <c r="K1698" s="510" t="s">
        <v>5830</v>
      </c>
      <c r="L1698" s="510" t="s">
        <v>31</v>
      </c>
      <c r="M1698" s="51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0" t="s">
        <v>349</v>
      </c>
      <c r="Z1698" s="510" t="s">
        <v>22</v>
      </c>
      <c r="AA1698" s="510" t="s">
        <v>22</v>
      </c>
      <c r="AB1698" s="510"/>
      <c r="AC1698" s="510"/>
    </row>
    <row r="1699" spans="1:29" ht="15" customHeight="1">
      <c r="A1699" s="510" t="s">
        <v>1244</v>
      </c>
      <c r="B1699" s="510"/>
      <c r="C1699" s="510" t="s">
        <v>22</v>
      </c>
      <c r="D1699" s="510" t="s">
        <v>2758</v>
      </c>
      <c r="E1699" s="513" t="s">
        <v>5533</v>
      </c>
      <c r="F1699" s="51" t="s">
        <v>6071</v>
      </c>
      <c r="G1699" s="51"/>
      <c r="H1699" s="510" t="s">
        <v>3084</v>
      </c>
      <c r="I1699" s="510" t="s">
        <v>60</v>
      </c>
      <c r="J1699" s="510" t="s">
        <v>6535</v>
      </c>
      <c r="K1699" s="510" t="s">
        <v>5830</v>
      </c>
      <c r="L1699" s="510" t="s">
        <v>31</v>
      </c>
      <c r="M1699" s="51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0" t="s">
        <v>349</v>
      </c>
      <c r="Z1699" s="510" t="s">
        <v>22</v>
      </c>
      <c r="AA1699" s="510" t="s">
        <v>22</v>
      </c>
      <c r="AB1699" s="510"/>
      <c r="AC1699" s="510"/>
    </row>
    <row r="1700" spans="1:29" ht="15" customHeight="1">
      <c r="A1700" s="510" t="s">
        <v>1244</v>
      </c>
      <c r="B1700" s="510"/>
      <c r="C1700" s="510" t="s">
        <v>22</v>
      </c>
      <c r="D1700" s="510" t="s">
        <v>2758</v>
      </c>
      <c r="E1700" s="513" t="s">
        <v>5533</v>
      </c>
      <c r="F1700" s="51" t="s">
        <v>6072</v>
      </c>
      <c r="G1700" s="51"/>
      <c r="H1700" s="510" t="s">
        <v>3084</v>
      </c>
      <c r="I1700" s="510" t="s">
        <v>60</v>
      </c>
      <c r="J1700" s="510" t="s">
        <v>6536</v>
      </c>
      <c r="K1700" s="510" t="s">
        <v>5832</v>
      </c>
      <c r="L1700" s="510" t="s">
        <v>31</v>
      </c>
      <c r="M1700" s="51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0" t="s">
        <v>349</v>
      </c>
      <c r="Z1700" s="510" t="s">
        <v>22</v>
      </c>
      <c r="AA1700" s="510" t="s">
        <v>22</v>
      </c>
      <c r="AB1700" s="510"/>
      <c r="AC1700" s="510"/>
    </row>
    <row r="1701" spans="1:29" ht="15" customHeight="1">
      <c r="A1701" s="510" t="s">
        <v>1244</v>
      </c>
      <c r="B1701" s="510"/>
      <c r="C1701" s="510" t="s">
        <v>22</v>
      </c>
      <c r="D1701" s="510" t="s">
        <v>2758</v>
      </c>
      <c r="E1701" s="513" t="s">
        <v>5533</v>
      </c>
      <c r="F1701" s="51" t="s">
        <v>6073</v>
      </c>
      <c r="G1701" s="51"/>
      <c r="H1701" s="510" t="s">
        <v>3084</v>
      </c>
      <c r="I1701" s="510" t="s">
        <v>60</v>
      </c>
      <c r="J1701" s="510" t="s">
        <v>6536</v>
      </c>
      <c r="K1701" s="510" t="s">
        <v>5832</v>
      </c>
      <c r="L1701" s="510" t="s">
        <v>31</v>
      </c>
      <c r="M1701" s="51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0" t="s">
        <v>349</v>
      </c>
      <c r="Z1701" s="510" t="s">
        <v>22</v>
      </c>
      <c r="AA1701" s="510" t="s">
        <v>22</v>
      </c>
      <c r="AB1701" s="510"/>
      <c r="AC1701" s="510"/>
    </row>
    <row r="1702" spans="1:29" ht="15" customHeight="1">
      <c r="A1702" s="510" t="s">
        <v>1244</v>
      </c>
      <c r="B1702" s="510"/>
      <c r="C1702" s="510" t="s">
        <v>22</v>
      </c>
      <c r="D1702" s="510" t="s">
        <v>2758</v>
      </c>
      <c r="E1702" s="513" t="s">
        <v>5533</v>
      </c>
      <c r="F1702" s="51" t="s">
        <v>6074</v>
      </c>
      <c r="G1702" s="51"/>
      <c r="H1702" s="510" t="s">
        <v>3084</v>
      </c>
      <c r="I1702" s="510" t="s">
        <v>60</v>
      </c>
      <c r="J1702" s="510" t="s">
        <v>3684</v>
      </c>
      <c r="K1702" s="510" t="s">
        <v>5820</v>
      </c>
      <c r="L1702" s="510" t="s">
        <v>31</v>
      </c>
      <c r="M1702" s="51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0" t="s">
        <v>349</v>
      </c>
      <c r="Z1702" s="510" t="s">
        <v>22</v>
      </c>
      <c r="AA1702" s="510" t="s">
        <v>22</v>
      </c>
      <c r="AB1702" s="510"/>
      <c r="AC1702" s="510"/>
    </row>
    <row r="1703" spans="1:29" ht="15" customHeight="1">
      <c r="A1703" s="510" t="s">
        <v>1244</v>
      </c>
      <c r="B1703" s="510"/>
      <c r="C1703" s="510" t="s">
        <v>22</v>
      </c>
      <c r="D1703" s="510" t="s">
        <v>2758</v>
      </c>
      <c r="E1703" s="513" t="s">
        <v>5533</v>
      </c>
      <c r="F1703" s="51" t="s">
        <v>6075</v>
      </c>
      <c r="G1703" s="51"/>
      <c r="H1703" s="510" t="s">
        <v>3084</v>
      </c>
      <c r="I1703" s="510" t="s">
        <v>60</v>
      </c>
      <c r="J1703" s="510" t="s">
        <v>3684</v>
      </c>
      <c r="K1703" s="510" t="s">
        <v>5820</v>
      </c>
      <c r="L1703" s="510" t="s">
        <v>31</v>
      </c>
      <c r="M1703" s="51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0" t="s">
        <v>349</v>
      </c>
      <c r="Z1703" s="510" t="s">
        <v>22</v>
      </c>
      <c r="AA1703" s="510" t="s">
        <v>22</v>
      </c>
      <c r="AB1703" s="510"/>
      <c r="AC1703" s="510"/>
    </row>
    <row r="1704" spans="1:29" ht="15" customHeight="1">
      <c r="A1704" s="510" t="s">
        <v>1244</v>
      </c>
      <c r="B1704" s="510"/>
      <c r="C1704" s="510" t="s">
        <v>22</v>
      </c>
      <c r="D1704" s="510" t="s">
        <v>2758</v>
      </c>
      <c r="E1704" s="513" t="s">
        <v>5533</v>
      </c>
      <c r="F1704" s="51" t="s">
        <v>6076</v>
      </c>
      <c r="G1704" s="51"/>
      <c r="H1704" s="510" t="s">
        <v>3084</v>
      </c>
      <c r="I1704" s="510" t="s">
        <v>60</v>
      </c>
      <c r="J1704" s="510" t="s">
        <v>6538</v>
      </c>
      <c r="K1704" s="510" t="s">
        <v>6537</v>
      </c>
      <c r="L1704" s="510" t="s">
        <v>31</v>
      </c>
      <c r="M1704" s="51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0" t="s">
        <v>349</v>
      </c>
      <c r="Z1704" s="510" t="s">
        <v>22</v>
      </c>
      <c r="AA1704" s="510" t="s">
        <v>22</v>
      </c>
      <c r="AB1704" s="510"/>
      <c r="AC1704" s="510"/>
    </row>
    <row r="1705" spans="1:29" ht="15" customHeight="1">
      <c r="A1705" s="510" t="s">
        <v>1244</v>
      </c>
      <c r="B1705" s="510"/>
      <c r="C1705" s="510"/>
      <c r="D1705" s="510"/>
      <c r="E1705" s="513" t="s">
        <v>5533</v>
      </c>
      <c r="F1705" s="51" t="s">
        <v>6077</v>
      </c>
      <c r="G1705" s="51"/>
      <c r="H1705" s="510" t="s">
        <v>3084</v>
      </c>
      <c r="I1705" s="510"/>
      <c r="J1705" s="510"/>
      <c r="K1705" s="510"/>
      <c r="L1705" s="510"/>
      <c r="M1705" s="51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0" t="s">
        <v>22</v>
      </c>
      <c r="Z1705" s="510" t="s">
        <v>22</v>
      </c>
      <c r="AA1705" s="510" t="s">
        <v>22</v>
      </c>
      <c r="AB1705" s="510" t="s">
        <v>5949</v>
      </c>
      <c r="AC1705" s="510"/>
    </row>
    <row r="1706" spans="1:29" ht="15" customHeight="1">
      <c r="A1706" s="510" t="s">
        <v>1244</v>
      </c>
      <c r="B1706" s="510"/>
      <c r="C1706" s="510"/>
      <c r="D1706" s="510"/>
      <c r="E1706" s="513" t="s">
        <v>5533</v>
      </c>
      <c r="F1706" s="51" t="s">
        <v>6078</v>
      </c>
      <c r="G1706" s="51"/>
      <c r="H1706" s="510" t="s">
        <v>3084</v>
      </c>
      <c r="I1706" s="510"/>
      <c r="J1706" s="510"/>
      <c r="K1706" s="510"/>
      <c r="L1706" s="510"/>
      <c r="M1706" s="51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0" t="s">
        <v>22</v>
      </c>
      <c r="Z1706" s="510" t="s">
        <v>22</v>
      </c>
      <c r="AA1706" s="510" t="s">
        <v>22</v>
      </c>
      <c r="AB1706" s="510" t="s">
        <v>5949</v>
      </c>
      <c r="AC1706" s="510"/>
    </row>
    <row r="1707" spans="1:29" ht="15" customHeight="1">
      <c r="A1707" s="510" t="s">
        <v>1244</v>
      </c>
      <c r="B1707" s="510"/>
      <c r="C1707" s="510"/>
      <c r="D1707" s="510"/>
      <c r="E1707" s="513" t="s">
        <v>5533</v>
      </c>
      <c r="F1707" s="51" t="s">
        <v>6079</v>
      </c>
      <c r="G1707" s="51"/>
      <c r="H1707" s="510" t="s">
        <v>3084</v>
      </c>
      <c r="I1707" s="510"/>
      <c r="J1707" s="510"/>
      <c r="K1707" s="510"/>
      <c r="L1707" s="510"/>
      <c r="M1707" s="51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0" t="s">
        <v>22</v>
      </c>
      <c r="Z1707" s="510" t="s">
        <v>22</v>
      </c>
      <c r="AA1707" s="510" t="s">
        <v>22</v>
      </c>
      <c r="AB1707" s="510" t="s">
        <v>5949</v>
      </c>
      <c r="AC1707" s="510"/>
    </row>
    <row r="1708" spans="1:29" ht="15" customHeight="1">
      <c r="A1708" s="510" t="s">
        <v>1244</v>
      </c>
      <c r="B1708" s="510"/>
      <c r="C1708" s="510"/>
      <c r="D1708" s="510"/>
      <c r="E1708" s="513" t="s">
        <v>5533</v>
      </c>
      <c r="F1708" s="51" t="s">
        <v>6080</v>
      </c>
      <c r="G1708" s="51"/>
      <c r="H1708" s="510" t="s">
        <v>3084</v>
      </c>
      <c r="I1708" s="510"/>
      <c r="J1708" s="510"/>
      <c r="K1708" s="510"/>
      <c r="L1708" s="510"/>
      <c r="M1708" s="51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0" t="s">
        <v>22</v>
      </c>
      <c r="Z1708" s="510" t="s">
        <v>22</v>
      </c>
      <c r="AA1708" s="510" t="s">
        <v>22</v>
      </c>
      <c r="AB1708" s="510" t="s">
        <v>5949</v>
      </c>
      <c r="AC1708" s="510"/>
    </row>
    <row r="1709" spans="1:29" ht="15" customHeight="1">
      <c r="A1709" s="510" t="s">
        <v>1244</v>
      </c>
      <c r="B1709" s="510"/>
      <c r="C1709" s="510"/>
      <c r="D1709" s="510"/>
      <c r="E1709" s="513" t="s">
        <v>5533</v>
      </c>
      <c r="F1709" s="51" t="s">
        <v>6081</v>
      </c>
      <c r="G1709" s="51"/>
      <c r="H1709" s="510" t="s">
        <v>3084</v>
      </c>
      <c r="I1709" s="510"/>
      <c r="J1709" s="510"/>
      <c r="K1709" s="510"/>
      <c r="L1709" s="510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0" t="s">
        <v>22</v>
      </c>
      <c r="Z1709" s="510" t="s">
        <v>22</v>
      </c>
      <c r="AA1709" s="510" t="s">
        <v>22</v>
      </c>
      <c r="AB1709" s="510" t="s">
        <v>5949</v>
      </c>
      <c r="AC1709" s="510"/>
    </row>
    <row r="1710" spans="1:29" ht="15" customHeight="1">
      <c r="A1710" s="510" t="s">
        <v>1244</v>
      </c>
      <c r="B1710" s="510"/>
      <c r="C1710" s="510"/>
      <c r="D1710" s="510"/>
      <c r="E1710" s="513" t="s">
        <v>5533</v>
      </c>
      <c r="F1710" s="51" t="s">
        <v>6082</v>
      </c>
      <c r="G1710" s="51"/>
      <c r="H1710" s="510" t="s">
        <v>3084</v>
      </c>
      <c r="I1710" s="510"/>
      <c r="J1710" s="510"/>
      <c r="K1710" s="510"/>
      <c r="L1710" s="510"/>
      <c r="M1710" s="51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0" t="s">
        <v>22</v>
      </c>
      <c r="Z1710" s="510" t="s">
        <v>22</v>
      </c>
      <c r="AA1710" s="510" t="s">
        <v>22</v>
      </c>
      <c r="AB1710" s="510" t="s">
        <v>5949</v>
      </c>
      <c r="AC1710" s="510"/>
    </row>
    <row r="1711" spans="1:29" ht="15" customHeight="1">
      <c r="A1711" s="510" t="s">
        <v>1244</v>
      </c>
      <c r="B1711" s="510" t="s">
        <v>6569</v>
      </c>
      <c r="C1711" s="510" t="s">
        <v>22</v>
      </c>
      <c r="D1711" s="510" t="s">
        <v>2758</v>
      </c>
      <c r="E1711" s="513" t="s">
        <v>5533</v>
      </c>
      <c r="F1711" s="51" t="s">
        <v>6083</v>
      </c>
      <c r="G1711" s="51"/>
      <c r="H1711" s="510" t="s">
        <v>3084</v>
      </c>
      <c r="I1711" s="510" t="s">
        <v>21</v>
      </c>
      <c r="J1711" s="510" t="s">
        <v>1025</v>
      </c>
      <c r="K1711" s="510"/>
      <c r="L1711" s="510" t="s">
        <v>5368</v>
      </c>
      <c r="M1711" s="51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0" t="s">
        <v>27</v>
      </c>
      <c r="Z1711" s="510" t="s">
        <v>27</v>
      </c>
      <c r="AA1711" s="510" t="s">
        <v>27</v>
      </c>
      <c r="AB1711" s="510" t="s">
        <v>2477</v>
      </c>
      <c r="AC1711" s="510" t="s">
        <v>6575</v>
      </c>
    </row>
    <row r="1712" spans="1:29" ht="15" customHeight="1">
      <c r="A1712" s="510" t="s">
        <v>1244</v>
      </c>
      <c r="B1712" s="510" t="s">
        <v>6572</v>
      </c>
      <c r="C1712" s="510" t="s">
        <v>27</v>
      </c>
      <c r="D1712" s="510" t="s">
        <v>2758</v>
      </c>
      <c r="E1712" s="513" t="s">
        <v>5533</v>
      </c>
      <c r="F1712" s="51" t="s">
        <v>6084</v>
      </c>
      <c r="G1712" s="51"/>
      <c r="H1712" s="510" t="s">
        <v>3084</v>
      </c>
      <c r="I1712" s="510" t="s">
        <v>21</v>
      </c>
      <c r="J1712" s="510" t="s">
        <v>362</v>
      </c>
      <c r="K1712" s="510"/>
      <c r="L1712" s="510" t="s">
        <v>5368</v>
      </c>
      <c r="M1712" s="51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0" t="s">
        <v>27</v>
      </c>
      <c r="Z1712" s="510" t="s">
        <v>27</v>
      </c>
      <c r="AA1712" s="510" t="s">
        <v>27</v>
      </c>
      <c r="AB1712" s="510"/>
      <c r="AC1712" s="510" t="s">
        <v>6669</v>
      </c>
    </row>
    <row r="1713" spans="1:29" ht="15" customHeight="1">
      <c r="A1713" s="510" t="s">
        <v>1244</v>
      </c>
      <c r="B1713" s="510" t="s">
        <v>6570</v>
      </c>
      <c r="C1713" s="510" t="s">
        <v>22</v>
      </c>
      <c r="D1713" s="510" t="s">
        <v>2758</v>
      </c>
      <c r="E1713" s="513" t="s">
        <v>5533</v>
      </c>
      <c r="F1713" s="51" t="s">
        <v>6085</v>
      </c>
      <c r="G1713" s="51"/>
      <c r="H1713" s="510" t="s">
        <v>3084</v>
      </c>
      <c r="I1713" s="510" t="s">
        <v>21</v>
      </c>
      <c r="J1713" s="510" t="s">
        <v>1025</v>
      </c>
      <c r="K1713" s="510"/>
      <c r="L1713" s="510" t="s">
        <v>5368</v>
      </c>
      <c r="M1713" s="51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0" t="s">
        <v>27</v>
      </c>
      <c r="Z1713" s="510" t="s">
        <v>27</v>
      </c>
      <c r="AA1713" s="510" t="s">
        <v>27</v>
      </c>
      <c r="AB1713" s="510" t="s">
        <v>2473</v>
      </c>
      <c r="AC1713" s="510" t="s">
        <v>6574</v>
      </c>
    </row>
    <row r="1714" spans="1:29" ht="15" customHeight="1">
      <c r="A1714" s="510" t="s">
        <v>1244</v>
      </c>
      <c r="B1714" s="510" t="s">
        <v>6571</v>
      </c>
      <c r="C1714" s="510" t="s">
        <v>27</v>
      </c>
      <c r="D1714" s="510" t="s">
        <v>2758</v>
      </c>
      <c r="E1714" s="513" t="s">
        <v>5533</v>
      </c>
      <c r="F1714" s="51" t="s">
        <v>6086</v>
      </c>
      <c r="G1714" s="51"/>
      <c r="H1714" s="510" t="s">
        <v>3084</v>
      </c>
      <c r="I1714" s="510" t="s">
        <v>21</v>
      </c>
      <c r="J1714" s="510" t="s">
        <v>1025</v>
      </c>
      <c r="K1714" s="510" t="s">
        <v>206</v>
      </c>
      <c r="L1714" s="510" t="s">
        <v>5368</v>
      </c>
      <c r="M1714" s="51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0" t="s">
        <v>27</v>
      </c>
      <c r="Z1714" s="510" t="s">
        <v>27</v>
      </c>
      <c r="AA1714" s="510" t="s">
        <v>27</v>
      </c>
      <c r="AB1714" s="510"/>
      <c r="AC1714" s="510" t="s">
        <v>6669</v>
      </c>
    </row>
    <row r="1715" spans="1:29" ht="15" customHeight="1">
      <c r="A1715" s="510" t="s">
        <v>1244</v>
      </c>
      <c r="B1715" s="510" t="s">
        <v>6568</v>
      </c>
      <c r="C1715" s="510" t="s">
        <v>27</v>
      </c>
      <c r="D1715" s="510" t="s">
        <v>2758</v>
      </c>
      <c r="E1715" s="513" t="s">
        <v>5533</v>
      </c>
      <c r="F1715" s="51" t="s">
        <v>6087</v>
      </c>
      <c r="G1715" s="51"/>
      <c r="H1715" s="510" t="s">
        <v>3084</v>
      </c>
      <c r="I1715" s="510" t="s">
        <v>21</v>
      </c>
      <c r="J1715" s="510" t="s">
        <v>4787</v>
      </c>
      <c r="K1715" s="510"/>
      <c r="L1715" s="510" t="s">
        <v>5368</v>
      </c>
      <c r="M1715" s="51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0" t="s">
        <v>27</v>
      </c>
      <c r="Z1715" s="510" t="s">
        <v>27</v>
      </c>
      <c r="AA1715" s="510" t="s">
        <v>27</v>
      </c>
      <c r="AB1715" s="510" t="s">
        <v>2473</v>
      </c>
      <c r="AC1715" s="510" t="s">
        <v>6574</v>
      </c>
    </row>
    <row r="1716" spans="1:29" ht="15" customHeight="1">
      <c r="A1716" s="510" t="s">
        <v>1244</v>
      </c>
      <c r="B1716" s="510" t="s">
        <v>6566</v>
      </c>
      <c r="C1716" s="510" t="s">
        <v>27</v>
      </c>
      <c r="D1716" s="510" t="s">
        <v>2758</v>
      </c>
      <c r="E1716" s="513" t="s">
        <v>5533</v>
      </c>
      <c r="F1716" s="51" t="s">
        <v>6088</v>
      </c>
      <c r="G1716" s="51"/>
      <c r="H1716" s="510" t="s">
        <v>3084</v>
      </c>
      <c r="I1716" s="510" t="s">
        <v>21</v>
      </c>
      <c r="J1716" s="510" t="s">
        <v>4787</v>
      </c>
      <c r="K1716" s="510" t="s">
        <v>206</v>
      </c>
      <c r="L1716" s="510" t="s">
        <v>5368</v>
      </c>
      <c r="M1716" s="51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0" t="s">
        <v>27</v>
      </c>
      <c r="Z1716" s="510" t="s">
        <v>27</v>
      </c>
      <c r="AA1716" s="510" t="s">
        <v>27</v>
      </c>
      <c r="AB1716" s="510"/>
      <c r="AC1716" s="510" t="s">
        <v>6669</v>
      </c>
    </row>
    <row r="1717" spans="1:29" ht="15" customHeight="1">
      <c r="A1717" s="510" t="s">
        <v>1244</v>
      </c>
      <c r="B1717" s="510" t="s">
        <v>6567</v>
      </c>
      <c r="C1717" s="510" t="s">
        <v>22</v>
      </c>
      <c r="D1717" s="510" t="s">
        <v>2758</v>
      </c>
      <c r="E1717" s="513" t="s">
        <v>5533</v>
      </c>
      <c r="F1717" s="51" t="s">
        <v>6089</v>
      </c>
      <c r="G1717" s="51"/>
      <c r="H1717" s="510" t="s">
        <v>3084</v>
      </c>
      <c r="I1717" s="510" t="s">
        <v>21</v>
      </c>
      <c r="J1717" s="510" t="s">
        <v>4787</v>
      </c>
      <c r="K1717" s="510"/>
      <c r="L1717" s="510" t="s">
        <v>5368</v>
      </c>
      <c r="M1717" s="51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0" t="s">
        <v>27</v>
      </c>
      <c r="Z1717" s="510" t="s">
        <v>27</v>
      </c>
      <c r="AA1717" s="510" t="s">
        <v>27</v>
      </c>
      <c r="AB1717" s="510" t="s">
        <v>2473</v>
      </c>
      <c r="AC1717" s="510" t="s">
        <v>6574</v>
      </c>
    </row>
    <row r="1718" spans="1:29" ht="15" customHeight="1">
      <c r="A1718" s="510" t="s">
        <v>1244</v>
      </c>
      <c r="B1718" s="510"/>
      <c r="C1718" s="510"/>
      <c r="D1718" s="510"/>
      <c r="E1718" s="513" t="s">
        <v>5533</v>
      </c>
      <c r="F1718" s="51" t="s">
        <v>6090</v>
      </c>
      <c r="G1718" s="51"/>
      <c r="H1718" s="510" t="s">
        <v>3084</v>
      </c>
      <c r="I1718" s="510"/>
      <c r="J1718" s="510"/>
      <c r="K1718" s="510"/>
      <c r="L1718" s="510"/>
      <c r="M1718" s="51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0" t="s">
        <v>22</v>
      </c>
      <c r="Z1718" s="510" t="s">
        <v>22</v>
      </c>
      <c r="AA1718" s="510" t="s">
        <v>22</v>
      </c>
      <c r="AB1718" s="510" t="s">
        <v>5949</v>
      </c>
      <c r="AC1718" s="510"/>
    </row>
    <row r="1719" spans="1:29" ht="15" customHeight="1">
      <c r="A1719" s="510" t="s">
        <v>1244</v>
      </c>
      <c r="B1719" s="510"/>
      <c r="C1719" s="510"/>
      <c r="D1719" s="510"/>
      <c r="E1719" s="513" t="s">
        <v>5533</v>
      </c>
      <c r="F1719" s="51" t="s">
        <v>6091</v>
      </c>
      <c r="G1719" s="51"/>
      <c r="H1719" s="510" t="s">
        <v>3084</v>
      </c>
      <c r="I1719" s="510"/>
      <c r="J1719" s="510"/>
      <c r="K1719" s="510"/>
      <c r="L1719" s="510"/>
      <c r="M1719" s="51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0" t="s">
        <v>22</v>
      </c>
      <c r="Z1719" s="510" t="s">
        <v>22</v>
      </c>
      <c r="AA1719" s="510" t="s">
        <v>22</v>
      </c>
      <c r="AB1719" s="510" t="s">
        <v>5949</v>
      </c>
      <c r="AC1719" s="510"/>
    </row>
    <row r="1720" spans="1:29" ht="15" customHeight="1">
      <c r="A1720" s="510" t="s">
        <v>1244</v>
      </c>
      <c r="B1720" s="510"/>
      <c r="C1720" s="510"/>
      <c r="D1720" s="510"/>
      <c r="E1720" s="513" t="s">
        <v>5533</v>
      </c>
      <c r="F1720" s="51" t="s">
        <v>6092</v>
      </c>
      <c r="G1720" s="51"/>
      <c r="H1720" s="510" t="s">
        <v>3084</v>
      </c>
      <c r="I1720" s="510"/>
      <c r="J1720" s="510"/>
      <c r="K1720" s="510"/>
      <c r="L1720" s="510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0" t="s">
        <v>22</v>
      </c>
      <c r="Z1720" s="510" t="s">
        <v>22</v>
      </c>
      <c r="AA1720" s="510" t="s">
        <v>22</v>
      </c>
      <c r="AB1720" s="510" t="s">
        <v>5949</v>
      </c>
      <c r="AC1720" s="510"/>
    </row>
    <row r="1721" spans="1:29" ht="15" customHeight="1">
      <c r="A1721" s="510" t="s">
        <v>1244</v>
      </c>
      <c r="B1721" s="510"/>
      <c r="C1721" s="510"/>
      <c r="D1721" s="510"/>
      <c r="E1721" s="513" t="s">
        <v>5533</v>
      </c>
      <c r="F1721" s="51" t="s">
        <v>6093</v>
      </c>
      <c r="G1721" s="51"/>
      <c r="H1721" s="510" t="s">
        <v>3084</v>
      </c>
      <c r="I1721" s="510"/>
      <c r="J1721" s="510"/>
      <c r="K1721" s="510"/>
      <c r="L1721" s="510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0" t="s">
        <v>22</v>
      </c>
      <c r="Z1721" s="510" t="s">
        <v>22</v>
      </c>
      <c r="AA1721" s="510" t="s">
        <v>22</v>
      </c>
      <c r="AB1721" s="510" t="s">
        <v>5949</v>
      </c>
      <c r="AC1721" s="510"/>
    </row>
    <row r="1722" spans="1:29" ht="15" customHeight="1">
      <c r="A1722" s="510" t="s">
        <v>1244</v>
      </c>
      <c r="B1722" s="510"/>
      <c r="C1722" s="510"/>
      <c r="D1722" s="510"/>
      <c r="E1722" s="513" t="s">
        <v>5533</v>
      </c>
      <c r="F1722" s="51" t="s">
        <v>6094</v>
      </c>
      <c r="G1722" s="51"/>
      <c r="H1722" s="510" t="s">
        <v>3084</v>
      </c>
      <c r="I1722" s="510"/>
      <c r="J1722" s="510"/>
      <c r="K1722" s="510"/>
      <c r="L1722" s="510"/>
      <c r="M1722" s="51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0" t="s">
        <v>22</v>
      </c>
      <c r="Z1722" s="510" t="s">
        <v>22</v>
      </c>
      <c r="AA1722" s="510" t="s">
        <v>22</v>
      </c>
      <c r="AB1722" s="510" t="s">
        <v>5949</v>
      </c>
      <c r="AC1722" s="510"/>
    </row>
    <row r="1723" spans="1:29" ht="15" customHeight="1">
      <c r="A1723" s="510" t="s">
        <v>1244</v>
      </c>
      <c r="B1723" s="510"/>
      <c r="C1723" s="510"/>
      <c r="D1723" s="510"/>
      <c r="E1723" s="513" t="s">
        <v>5533</v>
      </c>
      <c r="F1723" s="51" t="s">
        <v>6095</v>
      </c>
      <c r="G1723" s="51"/>
      <c r="H1723" s="510" t="s">
        <v>3084</v>
      </c>
      <c r="I1723" s="510"/>
      <c r="J1723" s="510"/>
      <c r="K1723" s="510"/>
      <c r="L1723" s="510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0" t="s">
        <v>22</v>
      </c>
      <c r="Z1723" s="510" t="s">
        <v>22</v>
      </c>
      <c r="AA1723" s="510" t="s">
        <v>22</v>
      </c>
      <c r="AB1723" s="510" t="s">
        <v>5949</v>
      </c>
      <c r="AC1723" s="510"/>
    </row>
    <row r="1724" spans="1:29" ht="15" customHeight="1">
      <c r="A1724" s="510" t="s">
        <v>1244</v>
      </c>
      <c r="B1724" s="510"/>
      <c r="C1724" s="510"/>
      <c r="D1724" s="510"/>
      <c r="E1724" s="513" t="s">
        <v>5533</v>
      </c>
      <c r="F1724" s="51" t="s">
        <v>6096</v>
      </c>
      <c r="G1724" s="51"/>
      <c r="H1724" s="510" t="s">
        <v>3084</v>
      </c>
      <c r="I1724" s="510"/>
      <c r="J1724" s="510"/>
      <c r="K1724" s="510"/>
      <c r="L1724" s="510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0" t="s">
        <v>22</v>
      </c>
      <c r="Z1724" s="510" t="s">
        <v>22</v>
      </c>
      <c r="AA1724" s="510" t="s">
        <v>22</v>
      </c>
      <c r="AB1724" s="510" t="s">
        <v>5949</v>
      </c>
      <c r="AC1724" s="510"/>
    </row>
    <row r="1725" spans="1:29" ht="15" customHeight="1">
      <c r="A1725" s="510" t="s">
        <v>1244</v>
      </c>
      <c r="B1725" s="510"/>
      <c r="C1725" s="510"/>
      <c r="D1725" s="510"/>
      <c r="E1725" s="513" t="s">
        <v>5533</v>
      </c>
      <c r="F1725" s="51" t="s">
        <v>6097</v>
      </c>
      <c r="G1725" s="51"/>
      <c r="H1725" s="510" t="s">
        <v>3084</v>
      </c>
      <c r="I1725" s="510"/>
      <c r="J1725" s="510"/>
      <c r="K1725" s="510"/>
      <c r="L1725" s="510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0" t="s">
        <v>22</v>
      </c>
      <c r="Z1725" s="510" t="s">
        <v>22</v>
      </c>
      <c r="AA1725" s="510" t="s">
        <v>22</v>
      </c>
      <c r="AB1725" s="510" t="s">
        <v>5949</v>
      </c>
      <c r="AC1725" s="510"/>
    </row>
    <row r="1726" spans="1:29" ht="63" customHeight="1">
      <c r="A1726" s="510" t="s">
        <v>1244</v>
      </c>
      <c r="B1726" s="510" t="s">
        <v>6408</v>
      </c>
      <c r="C1726" s="510" t="s">
        <v>27</v>
      </c>
      <c r="D1726" s="510" t="s">
        <v>2758</v>
      </c>
      <c r="E1726" s="513" t="s">
        <v>5533</v>
      </c>
      <c r="F1726" s="51" t="s">
        <v>6098</v>
      </c>
      <c r="G1726" s="51"/>
      <c r="H1726" s="510" t="s">
        <v>3084</v>
      </c>
      <c r="I1726" s="510" t="s">
        <v>21</v>
      </c>
      <c r="J1726" s="510" t="s">
        <v>5943</v>
      </c>
      <c r="K1726" s="510" t="s">
        <v>61</v>
      </c>
      <c r="L1726" s="510" t="s">
        <v>31</v>
      </c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0" t="s">
        <v>27</v>
      </c>
      <c r="Z1726" s="510" t="s">
        <v>27</v>
      </c>
      <c r="AA1726" s="510" t="s">
        <v>27</v>
      </c>
      <c r="AB1726" s="510"/>
      <c r="AC1726" s="510" t="s">
        <v>6541</v>
      </c>
    </row>
    <row r="1727" spans="1:29" ht="47.25">
      <c r="A1727" s="510" t="s">
        <v>1244</v>
      </c>
      <c r="B1727" s="510" t="s">
        <v>6410</v>
      </c>
      <c r="C1727" s="510" t="s">
        <v>27</v>
      </c>
      <c r="D1727" s="510" t="s">
        <v>2758</v>
      </c>
      <c r="E1727" s="513" t="s">
        <v>5533</v>
      </c>
      <c r="F1727" s="51" t="s">
        <v>6099</v>
      </c>
      <c r="G1727" s="51"/>
      <c r="H1727" s="510" t="s">
        <v>3084</v>
      </c>
      <c r="I1727" s="510" t="s">
        <v>21</v>
      </c>
      <c r="J1727" s="510" t="s">
        <v>5943</v>
      </c>
      <c r="K1727" s="510" t="s">
        <v>61</v>
      </c>
      <c r="L1727" s="510" t="s">
        <v>31</v>
      </c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0" t="s">
        <v>27</v>
      </c>
      <c r="Z1727" s="510" t="s">
        <v>27</v>
      </c>
      <c r="AA1727" s="510" t="s">
        <v>27</v>
      </c>
      <c r="AB1727" s="510"/>
      <c r="AC1727" s="510" t="s">
        <v>6542</v>
      </c>
    </row>
    <row r="1728" spans="1:29" ht="15" customHeight="1">
      <c r="A1728" s="510" t="s">
        <v>1244</v>
      </c>
      <c r="B1728" s="510" t="s">
        <v>6402</v>
      </c>
      <c r="C1728" s="510" t="s">
        <v>27</v>
      </c>
      <c r="D1728" s="510" t="s">
        <v>2758</v>
      </c>
      <c r="E1728" s="513" t="s">
        <v>5533</v>
      </c>
      <c r="F1728" s="51" t="s">
        <v>6100</v>
      </c>
      <c r="G1728" s="51"/>
      <c r="H1728" s="510" t="s">
        <v>3084</v>
      </c>
      <c r="I1728" s="510" t="s">
        <v>21</v>
      </c>
      <c r="J1728" s="510" t="s">
        <v>4889</v>
      </c>
      <c r="K1728" s="510" t="s">
        <v>6870</v>
      </c>
      <c r="L1728" s="510" t="s">
        <v>5368</v>
      </c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0" t="s">
        <v>27</v>
      </c>
      <c r="Z1728" s="510" t="s">
        <v>27</v>
      </c>
      <c r="AA1728" s="510" t="s">
        <v>27</v>
      </c>
      <c r="AB1728" s="510"/>
      <c r="AC1728" s="510" t="s">
        <v>6669</v>
      </c>
    </row>
    <row r="1729" spans="1:29" ht="47.25">
      <c r="A1729" s="510" t="s">
        <v>1244</v>
      </c>
      <c r="B1729" s="510" t="s">
        <v>6409</v>
      </c>
      <c r="C1729" s="510" t="s">
        <v>27</v>
      </c>
      <c r="D1729" s="510" t="s">
        <v>2758</v>
      </c>
      <c r="E1729" s="513" t="s">
        <v>5533</v>
      </c>
      <c r="F1729" s="51" t="s">
        <v>6101</v>
      </c>
      <c r="G1729" s="51"/>
      <c r="H1729" s="510" t="s">
        <v>3084</v>
      </c>
      <c r="I1729" s="510" t="s">
        <v>21</v>
      </c>
      <c r="J1729" s="510" t="s">
        <v>5943</v>
      </c>
      <c r="K1729" s="510" t="s">
        <v>6534</v>
      </c>
      <c r="L1729" s="510" t="s">
        <v>31</v>
      </c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0" t="s">
        <v>27</v>
      </c>
      <c r="Z1729" s="510" t="s">
        <v>27</v>
      </c>
      <c r="AA1729" s="510" t="s">
        <v>27</v>
      </c>
      <c r="AB1729" s="510"/>
      <c r="AC1729" s="510" t="s">
        <v>6543</v>
      </c>
    </row>
    <row r="1730" spans="1:29" ht="15" customHeight="1">
      <c r="A1730" s="510" t="s">
        <v>1244</v>
      </c>
      <c r="B1730" s="510" t="s">
        <v>6404</v>
      </c>
      <c r="C1730" s="510" t="s">
        <v>27</v>
      </c>
      <c r="D1730" s="510" t="s">
        <v>2758</v>
      </c>
      <c r="E1730" s="513" t="s">
        <v>5533</v>
      </c>
      <c r="F1730" s="51" t="s">
        <v>6102</v>
      </c>
      <c r="G1730" s="51"/>
      <c r="H1730" s="510" t="s">
        <v>3084</v>
      </c>
      <c r="I1730" s="510" t="s">
        <v>21</v>
      </c>
      <c r="J1730" s="510" t="s">
        <v>5943</v>
      </c>
      <c r="K1730" s="510"/>
      <c r="L1730" s="510" t="s">
        <v>31</v>
      </c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0" t="s">
        <v>27</v>
      </c>
      <c r="Z1730" s="510" t="s">
        <v>27</v>
      </c>
      <c r="AA1730" s="510" t="s">
        <v>27</v>
      </c>
      <c r="AB1730" s="510"/>
      <c r="AC1730" s="510" t="s">
        <v>6552</v>
      </c>
    </row>
    <row r="1731" spans="1:29" ht="141.75">
      <c r="A1731" s="510" t="s">
        <v>1244</v>
      </c>
      <c r="B1731" s="510" t="s">
        <v>6403</v>
      </c>
      <c r="C1731" s="510" t="s">
        <v>27</v>
      </c>
      <c r="D1731" s="510" t="s">
        <v>2758</v>
      </c>
      <c r="E1731" s="513" t="s">
        <v>5533</v>
      </c>
      <c r="F1731" s="51" t="s">
        <v>6103</v>
      </c>
      <c r="G1731" s="51"/>
      <c r="H1731" s="510" t="s">
        <v>3084</v>
      </c>
      <c r="I1731" s="510" t="s">
        <v>21</v>
      </c>
      <c r="J1731" s="510" t="s">
        <v>4787</v>
      </c>
      <c r="K1731" s="510" t="s">
        <v>3650</v>
      </c>
      <c r="L1731" s="510" t="s">
        <v>31</v>
      </c>
      <c r="M1731" s="51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0" t="s">
        <v>27</v>
      </c>
      <c r="Z1731" s="510" t="s">
        <v>27</v>
      </c>
      <c r="AA1731" s="510" t="s">
        <v>27</v>
      </c>
      <c r="AB1731" s="510" t="s">
        <v>2479</v>
      </c>
      <c r="AC1731" s="510" t="s">
        <v>6666</v>
      </c>
    </row>
    <row r="1732" spans="1:29" ht="43.5" customHeight="1">
      <c r="A1732" s="510" t="s">
        <v>1244</v>
      </c>
      <c r="B1732" s="510" t="s">
        <v>6405</v>
      </c>
      <c r="C1732" s="510" t="s">
        <v>27</v>
      </c>
      <c r="D1732" s="510" t="s">
        <v>2758</v>
      </c>
      <c r="E1732" s="513" t="s">
        <v>5533</v>
      </c>
      <c r="F1732" s="51" t="s">
        <v>6104</v>
      </c>
      <c r="G1732" s="51"/>
      <c r="H1732" s="510" t="s">
        <v>3084</v>
      </c>
      <c r="I1732" s="510" t="s">
        <v>21</v>
      </c>
      <c r="J1732" s="516" t="s">
        <v>6539</v>
      </c>
      <c r="K1732" s="510" t="s">
        <v>206</v>
      </c>
      <c r="L1732" s="510" t="s">
        <v>31</v>
      </c>
      <c r="M1732" s="51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0" t="s">
        <v>27</v>
      </c>
      <c r="Z1732" s="510" t="s">
        <v>27</v>
      </c>
      <c r="AA1732" s="510" t="s">
        <v>27</v>
      </c>
      <c r="AB1732" s="510"/>
      <c r="AC1732" s="510" t="s">
        <v>6544</v>
      </c>
    </row>
    <row r="1733" spans="1:29" ht="61.5" customHeight="1">
      <c r="A1733" s="510" t="s">
        <v>1244</v>
      </c>
      <c r="B1733" s="510" t="s">
        <v>6406</v>
      </c>
      <c r="C1733" s="510" t="s">
        <v>27</v>
      </c>
      <c r="D1733" s="510" t="s">
        <v>2758</v>
      </c>
      <c r="E1733" s="513" t="s">
        <v>5533</v>
      </c>
      <c r="F1733" s="51" t="s">
        <v>6105</v>
      </c>
      <c r="G1733" s="51"/>
      <c r="H1733" s="510" t="s">
        <v>3084</v>
      </c>
      <c r="I1733" s="510" t="s">
        <v>21</v>
      </c>
      <c r="J1733" s="510" t="s">
        <v>4787</v>
      </c>
      <c r="K1733" s="510" t="s">
        <v>337</v>
      </c>
      <c r="L1733" s="510" t="s">
        <v>31</v>
      </c>
      <c r="M1733" s="51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0" t="s">
        <v>27</v>
      </c>
      <c r="Z1733" s="510" t="s">
        <v>27</v>
      </c>
      <c r="AA1733" s="510" t="s">
        <v>27</v>
      </c>
      <c r="AB1733" s="510"/>
      <c r="AC1733" s="510" t="s">
        <v>6545</v>
      </c>
    </row>
    <row r="1734" spans="1:29" ht="47.25">
      <c r="A1734" s="510" t="s">
        <v>1244</v>
      </c>
      <c r="B1734" s="510" t="s">
        <v>6411</v>
      </c>
      <c r="C1734" s="510" t="s">
        <v>27</v>
      </c>
      <c r="D1734" s="510" t="s">
        <v>2758</v>
      </c>
      <c r="E1734" s="513" t="s">
        <v>5533</v>
      </c>
      <c r="F1734" s="51" t="s">
        <v>6106</v>
      </c>
      <c r="G1734" s="51"/>
      <c r="H1734" s="510" t="s">
        <v>3084</v>
      </c>
      <c r="I1734" s="510" t="s">
        <v>21</v>
      </c>
      <c r="J1734" s="516" t="s">
        <v>6540</v>
      </c>
      <c r="K1734" s="510" t="s">
        <v>3650</v>
      </c>
      <c r="L1734" s="510" t="s">
        <v>31</v>
      </c>
      <c r="M1734" s="51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0" t="s">
        <v>27</v>
      </c>
      <c r="Z1734" s="510" t="s">
        <v>27</v>
      </c>
      <c r="AA1734" s="510" t="s">
        <v>27</v>
      </c>
      <c r="AB1734" s="510"/>
      <c r="AC1734" s="510" t="s">
        <v>6546</v>
      </c>
    </row>
    <row r="1735" spans="1:29" ht="47.25">
      <c r="A1735" s="510" t="s">
        <v>1244</v>
      </c>
      <c r="B1735" s="510" t="s">
        <v>6414</v>
      </c>
      <c r="C1735" s="510" t="s">
        <v>27</v>
      </c>
      <c r="D1735" s="510" t="s">
        <v>2758</v>
      </c>
      <c r="E1735" s="513" t="s">
        <v>5533</v>
      </c>
      <c r="F1735" s="51" t="s">
        <v>6107</v>
      </c>
      <c r="G1735" s="51"/>
      <c r="H1735" s="510" t="s">
        <v>3084</v>
      </c>
      <c r="I1735" s="510" t="s">
        <v>21</v>
      </c>
      <c r="J1735" s="516" t="s">
        <v>6540</v>
      </c>
      <c r="K1735" s="510" t="s">
        <v>206</v>
      </c>
      <c r="L1735" s="510" t="s">
        <v>31</v>
      </c>
      <c r="M1735" s="51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0" t="s">
        <v>27</v>
      </c>
      <c r="Z1735" s="510" t="s">
        <v>27</v>
      </c>
      <c r="AA1735" s="510" t="s">
        <v>27</v>
      </c>
      <c r="AB1735" s="510"/>
      <c r="AC1735" s="510" t="s">
        <v>6547</v>
      </c>
    </row>
    <row r="1736" spans="1:29" ht="47.25">
      <c r="A1736" s="510" t="s">
        <v>1244</v>
      </c>
      <c r="B1736" s="510" t="s">
        <v>6412</v>
      </c>
      <c r="C1736" s="510" t="s">
        <v>27</v>
      </c>
      <c r="D1736" s="510" t="s">
        <v>2758</v>
      </c>
      <c r="E1736" s="513" t="s">
        <v>5533</v>
      </c>
      <c r="F1736" s="51" t="s">
        <v>6108</v>
      </c>
      <c r="G1736" s="51"/>
      <c r="H1736" s="510" t="s">
        <v>3084</v>
      </c>
      <c r="I1736" s="510" t="s">
        <v>21</v>
      </c>
      <c r="J1736" s="510" t="s">
        <v>362</v>
      </c>
      <c r="K1736" s="510" t="s">
        <v>33</v>
      </c>
      <c r="L1736" s="510" t="s">
        <v>31</v>
      </c>
      <c r="M1736" s="51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0" t="s">
        <v>27</v>
      </c>
      <c r="Z1736" s="510" t="s">
        <v>27</v>
      </c>
      <c r="AA1736" s="510" t="s">
        <v>27</v>
      </c>
      <c r="AB1736" s="510"/>
      <c r="AC1736" s="510" t="s">
        <v>6548</v>
      </c>
    </row>
    <row r="1737" spans="1:29" ht="47.25">
      <c r="A1737" s="510" t="s">
        <v>1244</v>
      </c>
      <c r="B1737" s="510" t="s">
        <v>6407</v>
      </c>
      <c r="C1737" s="510" t="s">
        <v>27</v>
      </c>
      <c r="D1737" s="510" t="s">
        <v>2758</v>
      </c>
      <c r="E1737" s="513" t="s">
        <v>5533</v>
      </c>
      <c r="F1737" s="51" t="s">
        <v>6109</v>
      </c>
      <c r="G1737" s="51"/>
      <c r="H1737" s="510" t="s">
        <v>3084</v>
      </c>
      <c r="I1737" s="510" t="s">
        <v>21</v>
      </c>
      <c r="J1737" s="516" t="s">
        <v>6540</v>
      </c>
      <c r="K1737" s="510" t="s">
        <v>337</v>
      </c>
      <c r="L1737" s="510" t="s">
        <v>31</v>
      </c>
      <c r="M1737" s="51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0" t="s">
        <v>27</v>
      </c>
      <c r="Z1737" s="510" t="s">
        <v>27</v>
      </c>
      <c r="AA1737" s="510" t="s">
        <v>27</v>
      </c>
      <c r="AB1737" s="510"/>
      <c r="AC1737" s="510" t="s">
        <v>6549</v>
      </c>
    </row>
    <row r="1738" spans="1:29" ht="47.25">
      <c r="A1738" s="510" t="s">
        <v>1244</v>
      </c>
      <c r="B1738" s="510" t="s">
        <v>6413</v>
      </c>
      <c r="C1738" s="510" t="s">
        <v>27</v>
      </c>
      <c r="D1738" s="510" t="s">
        <v>2758</v>
      </c>
      <c r="E1738" s="513" t="s">
        <v>5533</v>
      </c>
      <c r="F1738" s="51" t="s">
        <v>6110</v>
      </c>
      <c r="G1738" s="51"/>
      <c r="H1738" s="510" t="s">
        <v>3084</v>
      </c>
      <c r="I1738" s="510" t="s">
        <v>21</v>
      </c>
      <c r="J1738" s="510" t="s">
        <v>1025</v>
      </c>
      <c r="K1738" s="510" t="s">
        <v>3650</v>
      </c>
      <c r="L1738" s="510" t="s">
        <v>31</v>
      </c>
      <c r="M1738" s="51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0" t="s">
        <v>27</v>
      </c>
      <c r="Z1738" s="510" t="s">
        <v>27</v>
      </c>
      <c r="AA1738" s="510" t="s">
        <v>27</v>
      </c>
      <c r="AB1738" s="510"/>
      <c r="AC1738" s="510" t="s">
        <v>6550</v>
      </c>
    </row>
    <row r="1739" spans="1:29" ht="94.5">
      <c r="A1739" s="510" t="s">
        <v>1244</v>
      </c>
      <c r="B1739" s="510" t="s">
        <v>6416</v>
      </c>
      <c r="C1739" s="510" t="s">
        <v>27</v>
      </c>
      <c r="D1739" s="510" t="s">
        <v>2758</v>
      </c>
      <c r="E1739" s="513" t="s">
        <v>5533</v>
      </c>
      <c r="F1739" s="51" t="s">
        <v>6111</v>
      </c>
      <c r="G1739" s="51"/>
      <c r="H1739" s="510" t="s">
        <v>3084</v>
      </c>
      <c r="I1739" s="510" t="s">
        <v>21</v>
      </c>
      <c r="J1739" s="510" t="s">
        <v>362</v>
      </c>
      <c r="K1739" s="510" t="s">
        <v>337</v>
      </c>
      <c r="L1739" s="510" t="s">
        <v>31</v>
      </c>
      <c r="M1739" s="51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0" t="s">
        <v>27</v>
      </c>
      <c r="Z1739" s="510" t="s">
        <v>27</v>
      </c>
      <c r="AA1739" s="510" t="s">
        <v>27</v>
      </c>
      <c r="AB1739" s="510"/>
      <c r="AC1739" s="510" t="s">
        <v>6667</v>
      </c>
    </row>
    <row r="1740" spans="1:29" ht="78.75">
      <c r="A1740" s="510" t="s">
        <v>1244</v>
      </c>
      <c r="B1740" s="510" t="s">
        <v>6415</v>
      </c>
      <c r="C1740" s="510" t="s">
        <v>27</v>
      </c>
      <c r="D1740" s="510" t="s">
        <v>2758</v>
      </c>
      <c r="E1740" s="513" t="s">
        <v>5533</v>
      </c>
      <c r="F1740" s="51" t="s">
        <v>6112</v>
      </c>
      <c r="G1740" s="51"/>
      <c r="H1740" s="510" t="s">
        <v>3084</v>
      </c>
      <c r="I1740" s="510" t="s">
        <v>21</v>
      </c>
      <c r="J1740" s="510" t="s">
        <v>83</v>
      </c>
      <c r="K1740" s="510" t="s">
        <v>337</v>
      </c>
      <c r="L1740" s="510" t="s">
        <v>5368</v>
      </c>
      <c r="M1740" s="51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0" t="s">
        <v>27</v>
      </c>
      <c r="Z1740" s="510" t="s">
        <v>27</v>
      </c>
      <c r="AA1740" s="510" t="s">
        <v>27</v>
      </c>
      <c r="AB1740" s="510"/>
      <c r="AC1740" s="510" t="s">
        <v>6670</v>
      </c>
    </row>
    <row r="1741" spans="1:29" ht="15" customHeight="1">
      <c r="A1741" s="510" t="s">
        <v>1244</v>
      </c>
      <c r="B1741" s="510" t="s">
        <v>6573</v>
      </c>
      <c r="C1741" s="510" t="s">
        <v>27</v>
      </c>
      <c r="D1741" s="510" t="s">
        <v>2758</v>
      </c>
      <c r="E1741" s="513" t="s">
        <v>5533</v>
      </c>
      <c r="F1741" s="51" t="s">
        <v>6113</v>
      </c>
      <c r="G1741" s="51"/>
      <c r="H1741" s="510" t="s">
        <v>3084</v>
      </c>
      <c r="I1741" s="510"/>
      <c r="J1741" s="510" t="s">
        <v>83</v>
      </c>
      <c r="K1741" s="510" t="s">
        <v>337</v>
      </c>
      <c r="L1741" s="510" t="s">
        <v>5368</v>
      </c>
      <c r="M1741" s="51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0" t="s">
        <v>27</v>
      </c>
      <c r="Z1741" s="510" t="s">
        <v>27</v>
      </c>
      <c r="AA1741" s="510" t="s">
        <v>27</v>
      </c>
      <c r="AB1741" s="510"/>
      <c r="AC1741" s="510" t="s">
        <v>6668</v>
      </c>
    </row>
    <row r="1742" spans="1:29" ht="31.5">
      <c r="A1742" s="510" t="s">
        <v>1244</v>
      </c>
      <c r="B1742" s="510" t="s">
        <v>6401</v>
      </c>
      <c r="C1742" s="510" t="s">
        <v>27</v>
      </c>
      <c r="D1742" s="510" t="s">
        <v>2758</v>
      </c>
      <c r="E1742" s="513" t="s">
        <v>5533</v>
      </c>
      <c r="F1742" s="51" t="s">
        <v>6114</v>
      </c>
      <c r="G1742" s="51"/>
      <c r="H1742" s="510" t="s">
        <v>3084</v>
      </c>
      <c r="I1742" s="510" t="s">
        <v>21</v>
      </c>
      <c r="J1742" s="510" t="s">
        <v>1025</v>
      </c>
      <c r="K1742" s="510" t="s">
        <v>206</v>
      </c>
      <c r="L1742" s="510" t="s">
        <v>31</v>
      </c>
      <c r="M1742" s="51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0" t="s">
        <v>27</v>
      </c>
      <c r="Z1742" s="510" t="s">
        <v>27</v>
      </c>
      <c r="AA1742" s="510" t="s">
        <v>27</v>
      </c>
      <c r="AB1742" s="510"/>
      <c r="AC1742" s="510" t="s">
        <v>6551</v>
      </c>
    </row>
    <row r="1743" spans="1:29" ht="15" customHeight="1">
      <c r="A1743" s="51"/>
      <c r="B1743" s="51"/>
      <c r="C1743" s="51"/>
      <c r="D1743" s="51"/>
      <c r="E1743" s="51"/>
      <c r="F1743" s="51"/>
      <c r="G1743" s="51"/>
      <c r="H1743" s="51"/>
      <c r="I1743" s="51"/>
      <c r="J1743" s="51"/>
      <c r="K1743" s="51"/>
      <c r="L1743" s="51"/>
      <c r="M1743" s="51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</row>
    <row r="1744" spans="1:29" ht="15" customHeight="1">
      <c r="A1744" s="51"/>
      <c r="B1744" s="51"/>
      <c r="C1744" s="51"/>
      <c r="D1744" s="51"/>
      <c r="E1744" s="51"/>
      <c r="F1744" s="51"/>
      <c r="G1744" s="51"/>
      <c r="H1744" s="51"/>
      <c r="I1744" s="51"/>
      <c r="J1744" s="51"/>
      <c r="K1744" s="51"/>
      <c r="L1744" s="51"/>
      <c r="M1744" s="51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</row>
    <row r="1745" spans="1:29" ht="15" customHeight="1">
      <c r="A1745" s="51"/>
      <c r="B1745" s="51"/>
      <c r="C1745" s="51"/>
      <c r="D1745" s="51"/>
      <c r="E1745" s="51"/>
      <c r="F1745" s="51"/>
      <c r="G1745" s="51"/>
      <c r="H1745" s="51"/>
      <c r="I1745" s="51"/>
      <c r="J1745" s="51"/>
      <c r="K1745" s="51"/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</row>
    <row r="1746" spans="1:29" ht="15" customHeight="1">
      <c r="A1746" s="51"/>
      <c r="B1746" s="51"/>
      <c r="C1746" s="51"/>
      <c r="D1746" s="51"/>
      <c r="E1746" s="51"/>
      <c r="F1746" s="51"/>
      <c r="G1746" s="51"/>
      <c r="H1746" s="51"/>
      <c r="I1746" s="51"/>
      <c r="J1746" s="51"/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</row>
    <row r="1747" spans="1:29" ht="15" customHeight="1">
      <c r="A1747" s="51"/>
      <c r="B1747" s="51"/>
      <c r="C1747" s="51"/>
      <c r="D1747" s="51"/>
      <c r="E1747" s="51"/>
      <c r="F1747" s="51"/>
      <c r="G1747" s="51"/>
      <c r="H1747" s="51"/>
      <c r="I1747" s="51"/>
      <c r="J1747" s="51"/>
      <c r="K1747" s="51"/>
      <c r="L1747" s="51"/>
      <c r="M1747" s="51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</row>
    <row r="1748" spans="1:29" ht="15" customHeight="1">
      <c r="A1748" s="51"/>
      <c r="B1748" s="51"/>
      <c r="C1748" s="51"/>
      <c r="D1748" s="51"/>
      <c r="E1748" s="51"/>
      <c r="F1748" s="51"/>
      <c r="G1748" s="51"/>
      <c r="H1748" s="51"/>
      <c r="I1748" s="51"/>
      <c r="J1748" s="51"/>
      <c r="K1748" s="51"/>
      <c r="L1748" s="51"/>
      <c r="M1748" s="51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</row>
    <row r="1749" spans="1:29" ht="15" customHeight="1">
      <c r="A1749" s="51"/>
      <c r="B1749" s="51"/>
      <c r="C1749" s="51"/>
      <c r="D1749" s="51"/>
      <c r="E1749" s="51"/>
      <c r="F1749" s="51"/>
      <c r="G1749" s="51"/>
      <c r="H1749" s="51"/>
      <c r="I1749" s="51"/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</row>
    <row r="1750" spans="1:29" ht="15" customHeight="1">
      <c r="A1750" s="51"/>
      <c r="B1750" s="51"/>
      <c r="C1750" s="51"/>
      <c r="D1750" s="51"/>
      <c r="E1750" s="51"/>
      <c r="F1750" s="51"/>
      <c r="G1750" s="51"/>
      <c r="H1750" s="51"/>
      <c r="I1750" s="51"/>
      <c r="J1750" s="51"/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</row>
    <row r="1751" spans="1:29" ht="15" customHeight="1">
      <c r="A1751" s="51"/>
      <c r="B1751" s="51"/>
      <c r="C1751" s="51"/>
      <c r="D1751" s="51"/>
      <c r="E1751" s="51"/>
      <c r="F1751" s="51"/>
      <c r="G1751" s="51"/>
      <c r="H1751" s="51"/>
      <c r="I1751" s="51"/>
      <c r="J1751" s="51"/>
      <c r="K1751" s="51"/>
      <c r="L1751" s="51"/>
      <c r="M1751" s="51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</row>
    <row r="1752" spans="1:29" ht="15" customHeight="1">
      <c r="A1752" s="51"/>
      <c r="B1752" s="51"/>
      <c r="C1752" s="51"/>
      <c r="D1752" s="51"/>
      <c r="E1752" s="51"/>
      <c r="F1752" s="51"/>
      <c r="G1752" s="51"/>
      <c r="H1752" s="51"/>
      <c r="I1752" s="51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</row>
    <row r="1753" spans="1:29" ht="15" customHeight="1">
      <c r="A1753" s="51"/>
      <c r="B1753" s="51"/>
      <c r="C1753" s="51"/>
      <c r="D1753" s="51"/>
      <c r="E1753" s="51"/>
      <c r="F1753" s="51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</row>
    <row r="1754" spans="1:29" ht="15" customHeight="1">
      <c r="A1754" s="51"/>
      <c r="B1754" s="51"/>
      <c r="C1754" s="51"/>
      <c r="D1754" s="51"/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</row>
    <row r="1755" spans="1:29" ht="15" customHeight="1">
      <c r="A1755" s="51"/>
      <c r="B1755" s="51"/>
      <c r="C1755" s="51"/>
      <c r="D1755" s="51"/>
      <c r="E1755" s="51"/>
      <c r="F1755" s="51"/>
      <c r="G1755" s="51"/>
      <c r="H1755" s="51"/>
      <c r="I1755" s="51"/>
      <c r="J1755" s="51"/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</row>
    <row r="1756" spans="1:29" ht="15" customHeight="1">
      <c r="A1756" s="51"/>
      <c r="B1756" s="51"/>
      <c r="C1756" s="51"/>
      <c r="D1756" s="51"/>
      <c r="E1756" s="51"/>
      <c r="F1756" s="51"/>
      <c r="G1756" s="51"/>
      <c r="H1756" s="51"/>
      <c r="I1756" s="51"/>
      <c r="J1756" s="51"/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</row>
    <row r="1757" spans="1:29" ht="15" customHeight="1">
      <c r="A1757" s="51"/>
      <c r="B1757" s="51"/>
      <c r="C1757" s="51"/>
      <c r="D1757" s="51"/>
      <c r="E1757" s="51"/>
      <c r="F1757" s="51"/>
      <c r="G1757" s="51"/>
      <c r="H1757" s="51"/>
      <c r="I1757" s="51"/>
      <c r="J1757" s="51"/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</row>
    <row r="1758" spans="1:29" ht="15" customHeight="1">
      <c r="A1758" s="51"/>
      <c r="B1758" s="51"/>
      <c r="C1758" s="51"/>
      <c r="D1758" s="51"/>
      <c r="E1758" s="51"/>
      <c r="F1758" s="51"/>
      <c r="G1758" s="51"/>
      <c r="H1758" s="51"/>
      <c r="I1758" s="51"/>
      <c r="J1758" s="51"/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</row>
    <row r="1759" spans="1:29" ht="15" customHeight="1">
      <c r="A1759" s="51"/>
      <c r="B1759" s="51"/>
      <c r="C1759" s="51"/>
      <c r="D1759" s="51"/>
      <c r="E1759" s="51"/>
      <c r="F1759" s="51"/>
      <c r="G1759" s="51"/>
      <c r="H1759" s="51"/>
      <c r="I1759" s="51"/>
      <c r="J1759" s="51"/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</row>
    <row r="1760" spans="1:29" ht="15" customHeight="1">
      <c r="A1760" s="51"/>
      <c r="B1760" s="51"/>
      <c r="C1760" s="51"/>
      <c r="D1760" s="51"/>
      <c r="E1760" s="51"/>
      <c r="F1760" s="51"/>
      <c r="G1760" s="51"/>
      <c r="H1760" s="51"/>
      <c r="I1760" s="51"/>
      <c r="J1760" s="51"/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</row>
    <row r="1761" spans="1:29" ht="15" customHeight="1">
      <c r="A1761" s="51"/>
      <c r="B1761" s="51"/>
      <c r="C1761" s="51"/>
      <c r="D1761" s="51"/>
      <c r="E1761" s="51"/>
      <c r="F1761" s="51"/>
      <c r="G1761" s="51"/>
      <c r="H1761" s="51"/>
      <c r="I1761" s="51"/>
      <c r="J1761" s="51"/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</row>
    <row r="1762" spans="1:29" ht="15" customHeight="1">
      <c r="A1762" s="51"/>
      <c r="B1762" s="51"/>
      <c r="C1762" s="51"/>
      <c r="D1762" s="51"/>
      <c r="E1762" s="51"/>
      <c r="F1762" s="51"/>
      <c r="G1762" s="51"/>
      <c r="H1762" s="51"/>
      <c r="I1762" s="51"/>
      <c r="J1762" s="51"/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</row>
    <row r="1763" spans="1:29" ht="15" customHeight="1">
      <c r="A1763" s="51"/>
      <c r="B1763" s="51"/>
      <c r="C1763" s="51"/>
      <c r="D1763" s="51"/>
      <c r="E1763" s="51"/>
      <c r="F1763" s="51"/>
      <c r="G1763" s="51"/>
      <c r="H1763" s="51"/>
      <c r="I1763" s="51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</row>
    <row r="1764" spans="1:29" ht="15" customHeight="1">
      <c r="A1764" s="51"/>
      <c r="B1764" s="51"/>
      <c r="C1764" s="51"/>
      <c r="D1764" s="51"/>
      <c r="E1764" s="51"/>
      <c r="F1764" s="51"/>
      <c r="G1764" s="51"/>
      <c r="H1764" s="51"/>
      <c r="I1764" s="51"/>
      <c r="J1764" s="51"/>
      <c r="K1764" s="51"/>
      <c r="L1764" s="51"/>
      <c r="M1764" s="51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</row>
    <row r="1765" spans="1:29" ht="15" customHeight="1">
      <c r="A1765" s="51"/>
      <c r="B1765" s="51"/>
      <c r="C1765" s="51"/>
      <c r="D1765" s="51"/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</row>
    <row r="1766" spans="1:29" ht="15" customHeight="1">
      <c r="A1766" s="51"/>
      <c r="B1766" s="51"/>
      <c r="C1766" s="51"/>
      <c r="D1766" s="51"/>
      <c r="E1766" s="51"/>
      <c r="F1766" s="51"/>
      <c r="G1766" s="51"/>
      <c r="H1766" s="51"/>
      <c r="I1766" s="51"/>
      <c r="J1766" s="51"/>
      <c r="K1766" s="51"/>
      <c r="L1766" s="51"/>
      <c r="M1766" s="51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</row>
    <row r="1767" spans="1:29" ht="15" customHeight="1">
      <c r="A1767" s="51"/>
      <c r="B1767" s="51"/>
      <c r="C1767" s="51"/>
      <c r="D1767" s="51"/>
      <c r="E1767" s="51"/>
      <c r="F1767" s="51"/>
      <c r="G1767" s="51"/>
      <c r="H1767" s="51"/>
      <c r="I1767" s="51"/>
      <c r="J1767" s="51"/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</row>
    <row r="1768" spans="1:29" ht="15" customHeight="1">
      <c r="A1768" s="51"/>
      <c r="B1768" s="51"/>
      <c r="C1768" s="51"/>
      <c r="D1768" s="51"/>
      <c r="E1768" s="51"/>
      <c r="F1768" s="51"/>
      <c r="G1768" s="51"/>
      <c r="H1768" s="51"/>
      <c r="I1768" s="51"/>
      <c r="J1768" s="51"/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</row>
    <row r="1769" spans="1:29" ht="15" customHeight="1">
      <c r="A1769" s="51"/>
      <c r="B1769" s="51"/>
      <c r="C1769" s="51"/>
      <c r="D1769" s="51"/>
      <c r="E1769" s="51"/>
      <c r="F1769" s="51"/>
      <c r="G1769" s="51"/>
      <c r="H1769" s="51"/>
      <c r="I1769" s="51"/>
      <c r="J1769" s="51"/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</row>
    <row r="1770" spans="1:29" ht="15" customHeight="1">
      <c r="A1770" s="51"/>
      <c r="B1770" s="51"/>
      <c r="C1770" s="51"/>
      <c r="D1770" s="51"/>
      <c r="E1770" s="51"/>
      <c r="F1770" s="51"/>
      <c r="G1770" s="51"/>
      <c r="H1770" s="51"/>
      <c r="I1770" s="51"/>
      <c r="J1770" s="51"/>
      <c r="K1770" s="51"/>
      <c r="L1770" s="51"/>
      <c r="M1770" s="51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</row>
    <row r="1771" spans="1:29" ht="15" customHeight="1">
      <c r="A1771" s="51"/>
      <c r="B1771" s="51"/>
      <c r="C1771" s="51"/>
      <c r="D1771" s="51"/>
      <c r="E1771" s="51"/>
      <c r="F1771" s="51"/>
      <c r="G1771" s="51"/>
      <c r="H1771" s="51"/>
      <c r="I1771" s="51"/>
      <c r="J1771" s="51"/>
      <c r="K1771" s="51"/>
      <c r="L1771" s="51"/>
      <c r="M1771" s="51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</row>
    <row r="1772" spans="1:29" ht="15" customHeight="1">
      <c r="A1772" s="51"/>
      <c r="B1772" s="51"/>
      <c r="C1772" s="51"/>
      <c r="D1772" s="51"/>
      <c r="E1772" s="51"/>
      <c r="F1772" s="51"/>
      <c r="G1772" s="51"/>
      <c r="H1772" s="51"/>
      <c r="I1772" s="51"/>
      <c r="J1772" s="51"/>
      <c r="K1772" s="51"/>
      <c r="L1772" s="51"/>
      <c r="M1772" s="51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</row>
    <row r="1773" spans="1:29" ht="15" customHeight="1">
      <c r="A1773" s="51"/>
      <c r="B1773" s="51"/>
      <c r="C1773" s="51"/>
      <c r="D1773" s="51"/>
      <c r="E1773" s="51"/>
      <c r="F1773" s="51"/>
      <c r="G1773" s="51"/>
      <c r="H1773" s="51"/>
      <c r="I1773" s="51"/>
      <c r="J1773" s="51"/>
      <c r="K1773" s="51"/>
      <c r="L1773" s="51"/>
      <c r="M1773" s="51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</row>
    <row r="1774" spans="1:29" ht="15" customHeight="1">
      <c r="A1774" s="51"/>
      <c r="B1774" s="51"/>
      <c r="C1774" s="51"/>
      <c r="D1774" s="51"/>
      <c r="E1774" s="51"/>
      <c r="F1774" s="51"/>
      <c r="G1774" s="51"/>
      <c r="H1774" s="51"/>
      <c r="I1774" s="51"/>
      <c r="J1774" s="51"/>
      <c r="K1774" s="51"/>
      <c r="L1774" s="51"/>
      <c r="M1774" s="51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</row>
    <row r="1775" spans="1:29" ht="15" customHeight="1">
      <c r="A1775" s="51"/>
      <c r="B1775" s="51"/>
      <c r="C1775" s="51"/>
      <c r="D1775" s="51"/>
      <c r="E1775" s="51"/>
      <c r="F1775" s="51"/>
      <c r="G1775" s="51"/>
      <c r="H1775" s="51"/>
      <c r="I1775" s="51"/>
      <c r="J1775" s="51"/>
      <c r="K1775" s="51"/>
      <c r="L1775" s="51"/>
      <c r="M1775" s="51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</row>
    <row r="1776" spans="1:29" ht="15" customHeight="1">
      <c r="A1776" s="51"/>
      <c r="B1776" s="51"/>
      <c r="C1776" s="51"/>
      <c r="D1776" s="51"/>
      <c r="E1776" s="51"/>
      <c r="F1776" s="51"/>
      <c r="G1776" s="51"/>
      <c r="H1776" s="51"/>
      <c r="I1776" s="51"/>
      <c r="J1776" s="51"/>
      <c r="K1776" s="51"/>
      <c r="L1776" s="51"/>
      <c r="M1776" s="51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</row>
    <row r="1777" spans="1:29" ht="15" customHeight="1">
      <c r="A1777" s="51"/>
      <c r="B1777" s="51"/>
      <c r="C1777" s="51"/>
      <c r="D1777" s="51"/>
      <c r="E1777" s="51"/>
      <c r="F1777" s="51"/>
      <c r="G1777" s="51"/>
      <c r="H1777" s="51"/>
      <c r="I1777" s="51"/>
      <c r="J1777" s="51"/>
      <c r="K1777" s="51"/>
      <c r="L1777" s="51"/>
      <c r="M1777" s="51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</row>
    <row r="1778" spans="1:29" ht="15" customHeight="1">
      <c r="A1778" s="51"/>
      <c r="B1778" s="51"/>
      <c r="C1778" s="51"/>
      <c r="D1778" s="51"/>
      <c r="E1778" s="51"/>
      <c r="F1778" s="51"/>
      <c r="G1778" s="51"/>
      <c r="H1778" s="51"/>
      <c r="I1778" s="51"/>
      <c r="J1778" s="51"/>
      <c r="K1778" s="51"/>
      <c r="L1778" s="51"/>
      <c r="M1778" s="51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</row>
    <row r="1779" spans="1:29" ht="15" customHeight="1">
      <c r="A1779" s="51"/>
      <c r="B1779" s="51"/>
      <c r="C1779" s="51"/>
      <c r="D1779" s="51"/>
      <c r="E1779" s="51"/>
      <c r="F1779" s="51"/>
      <c r="G1779" s="51"/>
      <c r="H1779" s="51"/>
      <c r="I1779" s="51"/>
      <c r="J1779" s="51"/>
      <c r="K1779" s="51"/>
      <c r="L1779" s="51"/>
      <c r="M1779" s="51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</row>
    <row r="1780" spans="1:29" ht="15" customHeight="1">
      <c r="A1780" s="51"/>
      <c r="B1780" s="51"/>
      <c r="C1780" s="51"/>
      <c r="D1780" s="51"/>
      <c r="E1780" s="51"/>
      <c r="F1780" s="51"/>
      <c r="G1780" s="51"/>
      <c r="H1780" s="51"/>
      <c r="I1780" s="51"/>
      <c r="J1780" s="51"/>
      <c r="K1780" s="51"/>
      <c r="L1780" s="51"/>
      <c r="M1780" s="51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</row>
    <row r="1781" spans="1:29" ht="15" customHeight="1">
      <c r="A1781" s="51"/>
      <c r="B1781" s="51"/>
      <c r="C1781" s="51"/>
      <c r="D1781" s="51"/>
      <c r="E1781" s="51"/>
      <c r="F1781" s="51"/>
      <c r="G1781" s="51"/>
      <c r="H1781" s="51"/>
      <c r="I1781" s="51"/>
      <c r="J1781" s="51"/>
      <c r="K1781" s="51"/>
      <c r="L1781" s="51"/>
      <c r="M1781" s="51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</row>
    <row r="1782" spans="1:29" ht="17.25" customHeight="1">
      <c r="A1782" s="51"/>
      <c r="B1782" s="51"/>
      <c r="C1782" s="51"/>
      <c r="D1782" s="51"/>
      <c r="E1782" s="51"/>
      <c r="F1782" s="51"/>
      <c r="G1782" s="51"/>
      <c r="H1782" s="51"/>
      <c r="I1782" s="51"/>
      <c r="J1782" s="51"/>
      <c r="K1782" s="51"/>
      <c r="L1782" s="51"/>
      <c r="M1782" s="51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</row>
    <row r="1783" spans="1:29" ht="15" customHeight="1">
      <c r="A1783" s="39" t="s">
        <v>336</v>
      </c>
      <c r="B1783" s="510" t="s">
        <v>5156</v>
      </c>
      <c r="C1783" s="39" t="s">
        <v>22</v>
      </c>
      <c r="D1783" s="73" t="s">
        <v>2758</v>
      </c>
      <c r="E1783" s="39" t="s">
        <v>17</v>
      </c>
      <c r="H1783" s="51" t="s">
        <v>3084</v>
      </c>
      <c r="I1783" s="535" t="s">
        <v>21</v>
      </c>
      <c r="J1783" s="51" t="s">
        <v>362</v>
      </c>
      <c r="K1783" s="53"/>
      <c r="L1783" s="51" t="s">
        <v>6386</v>
      </c>
      <c r="M1783" s="51"/>
      <c r="N1783" s="51"/>
      <c r="O1783" s="51"/>
      <c r="P1783" s="53"/>
      <c r="Q1783" s="53"/>
      <c r="R1783" s="237"/>
      <c r="S1783" s="51"/>
      <c r="T1783" s="223"/>
      <c r="U1783" s="138"/>
      <c r="V1783" s="138"/>
      <c r="W1783" s="223"/>
      <c r="X1783" s="149"/>
      <c r="Y1783" s="51" t="s">
        <v>27</v>
      </c>
      <c r="Z1783" s="51" t="s">
        <v>27</v>
      </c>
      <c r="AA1783" s="51" t="s">
        <v>349</v>
      </c>
      <c r="AB1783" s="51"/>
      <c r="AC1783" s="536" t="s">
        <v>6860</v>
      </c>
    </row>
    <row r="1784" spans="1:29" ht="15" customHeight="1">
      <c r="A1784" s="39" t="s">
        <v>336</v>
      </c>
      <c r="B1784" s="510" t="s">
        <v>2279</v>
      </c>
      <c r="C1784" s="39" t="s">
        <v>22</v>
      </c>
      <c r="D1784" s="73" t="s">
        <v>2758</v>
      </c>
      <c r="E1784" s="39" t="s">
        <v>17</v>
      </c>
      <c r="H1784" s="51" t="s">
        <v>3084</v>
      </c>
      <c r="I1784" s="535" t="s">
        <v>21</v>
      </c>
      <c r="J1784" s="51" t="s">
        <v>362</v>
      </c>
      <c r="K1784" s="53"/>
      <c r="L1784" s="51" t="s">
        <v>6386</v>
      </c>
      <c r="M1784" s="51"/>
      <c r="N1784" s="51"/>
      <c r="O1784" s="51"/>
      <c r="P1784" s="53"/>
      <c r="Q1784" s="53"/>
      <c r="R1784" s="237"/>
      <c r="S1784" s="51"/>
      <c r="T1784" s="223"/>
      <c r="U1784" s="138"/>
      <c r="V1784" s="138"/>
      <c r="W1784" s="223"/>
      <c r="X1784" s="149"/>
      <c r="Y1784" s="51" t="s">
        <v>27</v>
      </c>
      <c r="Z1784" s="51" t="s">
        <v>27</v>
      </c>
      <c r="AA1784" s="51" t="s">
        <v>349</v>
      </c>
      <c r="AB1784" s="51"/>
      <c r="AC1784" s="536" t="s">
        <v>6860</v>
      </c>
    </row>
    <row r="1785" spans="1:29" ht="15" customHeight="1">
      <c r="A1785" s="39" t="s">
        <v>336</v>
      </c>
      <c r="B1785" s="510" t="s">
        <v>5157</v>
      </c>
      <c r="C1785" s="39" t="s">
        <v>22</v>
      </c>
      <c r="D1785" s="73" t="s">
        <v>2758</v>
      </c>
      <c r="E1785" s="39" t="s">
        <v>17</v>
      </c>
      <c r="H1785" s="51" t="s">
        <v>3084</v>
      </c>
      <c r="I1785" s="535" t="s">
        <v>21</v>
      </c>
      <c r="J1785" s="51" t="s">
        <v>876</v>
      </c>
      <c r="K1785" s="53"/>
      <c r="L1785" s="51" t="s">
        <v>6386</v>
      </c>
      <c r="M1785" s="51"/>
      <c r="N1785" s="51"/>
      <c r="O1785" s="51"/>
      <c r="P1785" s="53"/>
      <c r="Q1785" s="53"/>
      <c r="R1785" s="237"/>
      <c r="S1785" s="51"/>
      <c r="T1785" s="223"/>
      <c r="U1785" s="138"/>
      <c r="V1785" s="138"/>
      <c r="W1785" s="223"/>
      <c r="X1785" s="149"/>
      <c r="Y1785" s="51" t="s">
        <v>27</v>
      </c>
      <c r="Z1785" s="51" t="s">
        <v>27</v>
      </c>
      <c r="AA1785" s="51" t="s">
        <v>349</v>
      </c>
      <c r="AB1785" s="51"/>
      <c r="AC1785" s="536" t="s">
        <v>6860</v>
      </c>
    </row>
  </sheetData>
  <sheetProtection formatCells="0" autoFilter="0"/>
  <autoFilter ref="A1:AF1742">
    <filterColumn colId="7">
      <filters>
        <filter val="ICE19"/>
      </filters>
    </filterColumn>
  </autoFilter>
  <dataConsolidate/>
  <phoneticPr fontId="115" type="noConversion"/>
  <conditionalFormatting sqref="Z196:AB200 Y130:AB141 Y143:AB194 Y201:AB221 Y1:AB126 Y943:AB1009 Y1015:AA1015 AA1016:AA1021 Y1016:Z1022 Y597:AB703 Y726:AB744 Y746:AB751 Y864:AB880 Y719:AB724 Y717:AA718 Y753:AB827 Y752:AA752 Y829:AB862 Y828:AA828 AA931:AA934 Y705:AB716 Y1029:AB1056 Y935:AA942 Y231:AB594 AB1425:AB1452 Y1337:AB1338 Y1342:Z1342 AB1342 Y1453:AB1461 AB1462:AB1471 Y1462:Z1471 AA1585:AA1588 AA1584:AB1584 Y1584:Z1588 Y1343:AB1382 Y1387:AB1424 Y1614:AB1614 AB1313:AB1321 AA1462 AB1332:AB1336 Y1620:AB1634 Y1589:AB1606 Z905:Z934 Y908:Y934 AA908:AB930 Y1472:AB1583 AB1652:AB1653 AB1655:AB1656 AB1662 AB1664:AB1665 Y1783:AB1048576 Y1098:Z1312 AA1191:AA1312 Y1195:AA1320 Y1635:AA1782">
    <cfRule type="cellIs" dxfId="264" priority="343" operator="equal">
      <formula>"In progress"</formula>
    </cfRule>
    <cfRule type="cellIs" dxfId="263" priority="344" operator="equal">
      <formula>"No"</formula>
    </cfRule>
    <cfRule type="cellIs" dxfId="262" priority="345" operator="equal">
      <formula>"Yes"</formula>
    </cfRule>
  </conditionalFormatting>
  <conditionalFormatting sqref="Y195:AB195 Y196:Y200">
    <cfRule type="cellIs" dxfId="261" priority="340" operator="equal">
      <formula>"In progress"</formula>
    </cfRule>
    <cfRule type="cellIs" dxfId="260" priority="341" operator="equal">
      <formula>"No"</formula>
    </cfRule>
    <cfRule type="cellIs" dxfId="259" priority="342" operator="equal">
      <formula>"Yes"</formula>
    </cfRule>
  </conditionalFormatting>
  <conditionalFormatting sqref="Y142:AB142">
    <cfRule type="cellIs" dxfId="258" priority="334" operator="equal">
      <formula>"In progress"</formula>
    </cfRule>
    <cfRule type="cellIs" dxfId="257" priority="335" operator="equal">
      <formula>"No"</formula>
    </cfRule>
    <cfRule type="cellIs" dxfId="256" priority="336" operator="equal">
      <formula>"Yes"</formula>
    </cfRule>
  </conditionalFormatting>
  <conditionalFormatting sqref="Y127:AB129">
    <cfRule type="cellIs" dxfId="255" priority="331" operator="equal">
      <formula>"In progress"</formula>
    </cfRule>
    <cfRule type="cellIs" dxfId="254" priority="332" operator="equal">
      <formula>"No"</formula>
    </cfRule>
    <cfRule type="cellIs" dxfId="253" priority="333" operator="equal">
      <formula>"Yes"</formula>
    </cfRule>
  </conditionalFormatting>
  <conditionalFormatting sqref="Y595:AB595">
    <cfRule type="cellIs" dxfId="252" priority="328" operator="equal">
      <formula>"In progress"</formula>
    </cfRule>
    <cfRule type="cellIs" dxfId="251" priority="329" operator="equal">
      <formula>"No"</formula>
    </cfRule>
    <cfRule type="cellIs" dxfId="250" priority="330" operator="equal">
      <formula>"Yes"</formula>
    </cfRule>
  </conditionalFormatting>
  <conditionalFormatting sqref="Y596:AB596">
    <cfRule type="cellIs" dxfId="249" priority="325" operator="equal">
      <formula>"In progress"</formula>
    </cfRule>
    <cfRule type="cellIs" dxfId="248" priority="326" operator="equal">
      <formula>"No"</formula>
    </cfRule>
    <cfRule type="cellIs" dxfId="247" priority="327" operator="equal">
      <formula>"Yes"</formula>
    </cfRule>
  </conditionalFormatting>
  <conditionalFormatting sqref="Y222:AB230">
    <cfRule type="cellIs" dxfId="246" priority="322" operator="equal">
      <formula>"In progress"</formula>
    </cfRule>
    <cfRule type="cellIs" dxfId="245" priority="323" operator="equal">
      <formula>"No"</formula>
    </cfRule>
    <cfRule type="cellIs" dxfId="244" priority="324" operator="equal">
      <formula>"Yes"</formula>
    </cfRule>
  </conditionalFormatting>
  <conditionalFormatting sqref="Y881:AB902 Y906:Y907 AA906:AB907 Y904:AB905 Y903 AA903:AB903">
    <cfRule type="cellIs" dxfId="243" priority="304" operator="equal">
      <formula>"In progress"</formula>
    </cfRule>
    <cfRule type="cellIs" dxfId="242" priority="305" operator="equal">
      <formula>"No"</formula>
    </cfRule>
    <cfRule type="cellIs" dxfId="241" priority="306" operator="equal">
      <formula>"Yes"</formula>
    </cfRule>
  </conditionalFormatting>
  <conditionalFormatting sqref="AA1022 AA1023:AB1028 AB1057:AB1065">
    <cfRule type="cellIs" dxfId="240" priority="295" operator="equal">
      <formula>"In progress"</formula>
    </cfRule>
    <cfRule type="cellIs" dxfId="239" priority="296" operator="equal">
      <formula>"No"</formula>
    </cfRule>
    <cfRule type="cellIs" dxfId="238" priority="297" operator="equal">
      <formula>"Yes"</formula>
    </cfRule>
  </conditionalFormatting>
  <conditionalFormatting sqref="Y1010:AB1010">
    <cfRule type="cellIs" dxfId="237" priority="292" operator="equal">
      <formula>"In progress"</formula>
    </cfRule>
    <cfRule type="cellIs" dxfId="236" priority="293" operator="equal">
      <formula>"No"</formula>
    </cfRule>
    <cfRule type="cellIs" dxfId="235" priority="294" operator="equal">
      <formula>"Yes"</formula>
    </cfRule>
  </conditionalFormatting>
  <conditionalFormatting sqref="Y1011:AB1011">
    <cfRule type="cellIs" dxfId="234" priority="289" operator="equal">
      <formula>"In progress"</formula>
    </cfRule>
    <cfRule type="cellIs" dxfId="233" priority="290" operator="equal">
      <formula>"No"</formula>
    </cfRule>
    <cfRule type="cellIs" dxfId="232" priority="291" operator="equal">
      <formula>"Yes"</formula>
    </cfRule>
  </conditionalFormatting>
  <conditionalFormatting sqref="Y1012:AB1012">
    <cfRule type="cellIs" dxfId="231" priority="286" operator="equal">
      <formula>"In progress"</formula>
    </cfRule>
    <cfRule type="cellIs" dxfId="230" priority="287" operator="equal">
      <formula>"No"</formula>
    </cfRule>
    <cfRule type="cellIs" dxfId="229" priority="288" operator="equal">
      <formula>"Yes"</formula>
    </cfRule>
  </conditionalFormatting>
  <conditionalFormatting sqref="Y1013:AB1013">
    <cfRule type="cellIs" dxfId="228" priority="283" operator="equal">
      <formula>"In progress"</formula>
    </cfRule>
    <cfRule type="cellIs" dxfId="227" priority="284" operator="equal">
      <formula>"No"</formula>
    </cfRule>
    <cfRule type="cellIs" dxfId="226" priority="285" operator="equal">
      <formula>"Yes"</formula>
    </cfRule>
  </conditionalFormatting>
  <conditionalFormatting sqref="Y1014:AB1014">
    <cfRule type="cellIs" dxfId="225" priority="280" operator="equal">
      <formula>"In progress"</formula>
    </cfRule>
    <cfRule type="cellIs" dxfId="224" priority="281" operator="equal">
      <formula>"No"</formula>
    </cfRule>
    <cfRule type="cellIs" dxfId="223" priority="282" operator="equal">
      <formula>"Yes"</formula>
    </cfRule>
  </conditionalFormatting>
  <conditionalFormatting sqref="AB1015:AB1022">
    <cfRule type="cellIs" dxfId="222" priority="277" operator="equal">
      <formula>"In progress"</formula>
    </cfRule>
    <cfRule type="cellIs" dxfId="221" priority="278" operator="equal">
      <formula>"No"</formula>
    </cfRule>
    <cfRule type="cellIs" dxfId="220" priority="279" operator="equal">
      <formula>"Yes"</formula>
    </cfRule>
  </conditionalFormatting>
  <conditionalFormatting sqref="AB726:AB744 AB746:AB751 AB719:AB724 AB753:AB827 AB829:AB862 AB705:AB716 AB943:AB1065 AB1:AB703 AB1313:AB1321 AB1614 AB1620:AB1634 AB1783:AB1048576 AB1332:AB1338 AB1589:AB1606 AB864:AB930 AB1342:AB1584 AB1652:AB1653 AB1655:AB1656 AB1662 AB1664:AB1665">
    <cfRule type="containsText" dxfId="219" priority="273" operator="containsText" text="DEBUG TEST">
      <formula>NOT(ISERROR(SEARCH("DEBUG TEST",AB1)))</formula>
    </cfRule>
    <cfRule type="containsText" dxfId="218" priority="274" operator="containsText" text="TOOL_TEAM_CONFIG">
      <formula>NOT(ISERROR(SEARCH("TOOL_TEAM_CONFIG",AB1)))</formula>
    </cfRule>
    <cfRule type="containsText" dxfId="217" priority="275" operator="containsText" text="NEED DEBUG">
      <formula>NOT(ISERROR(SEARCH("NEED DEBUG",AB1)))</formula>
    </cfRule>
    <cfRule type="containsText" dxfId="216" priority="276" operator="containsText" text="REGULAR TEST">
      <formula>NOT(ISERROR(SEARCH("REGULAR TEST",AB1)))</formula>
    </cfRule>
  </conditionalFormatting>
  <conditionalFormatting sqref="Y1023:Y1028">
    <cfRule type="cellIs" dxfId="215" priority="270" operator="equal">
      <formula>"In progress"</formula>
    </cfRule>
    <cfRule type="cellIs" dxfId="214" priority="271" operator="equal">
      <formula>"No"</formula>
    </cfRule>
    <cfRule type="cellIs" dxfId="213" priority="272" operator="equal">
      <formula>"Yes"</formula>
    </cfRule>
  </conditionalFormatting>
  <conditionalFormatting sqref="Z1023:Z1028">
    <cfRule type="cellIs" dxfId="212" priority="267" operator="equal">
      <formula>"In progress"</formula>
    </cfRule>
    <cfRule type="cellIs" dxfId="211" priority="268" operator="equal">
      <formula>"No"</formula>
    </cfRule>
    <cfRule type="cellIs" dxfId="210" priority="269" operator="equal">
      <formula>"Yes"</formula>
    </cfRule>
  </conditionalFormatting>
  <conditionalFormatting sqref="Z903">
    <cfRule type="cellIs" dxfId="209" priority="264" operator="equal">
      <formula>"In progress"</formula>
    </cfRule>
    <cfRule type="cellIs" dxfId="208" priority="265" operator="equal">
      <formula>"No"</formula>
    </cfRule>
    <cfRule type="cellIs" dxfId="207" priority="266" operator="equal">
      <formula>"Yes"</formula>
    </cfRule>
  </conditionalFormatting>
  <conditionalFormatting sqref="AB903">
    <cfRule type="cellIs" dxfId="206" priority="261" operator="equal">
      <formula>"In progress"</formula>
    </cfRule>
    <cfRule type="cellIs" dxfId="205" priority="262" operator="equal">
      <formula>"No"</formula>
    </cfRule>
    <cfRule type="cellIs" dxfId="204" priority="263" operator="equal">
      <formula>"Yes"</formula>
    </cfRule>
  </conditionalFormatting>
  <conditionalFormatting sqref="Y725:AB725">
    <cfRule type="cellIs" dxfId="203" priority="258" operator="equal">
      <formula>"In progress"</formula>
    </cfRule>
    <cfRule type="cellIs" dxfId="202" priority="259" operator="equal">
      <formula>"No"</formula>
    </cfRule>
    <cfRule type="cellIs" dxfId="201" priority="260" operator="equal">
      <formula>"Yes"</formula>
    </cfRule>
  </conditionalFormatting>
  <conditionalFormatting sqref="AB725">
    <cfRule type="containsText" dxfId="200" priority="254" operator="containsText" text="DEBUG TEST">
      <formula>NOT(ISERROR(SEARCH("DEBUG TEST",AB725)))</formula>
    </cfRule>
    <cfRule type="containsText" dxfId="199" priority="255" operator="containsText" text="TOOL_TEAM_CONFIG">
      <formula>NOT(ISERROR(SEARCH("TOOL_TEAM_CONFIG",AB725)))</formula>
    </cfRule>
    <cfRule type="containsText" dxfId="198" priority="256" operator="containsText" text="NEED DEBUG">
      <formula>NOT(ISERROR(SEARCH("NEED DEBUG",AB725)))</formula>
    </cfRule>
    <cfRule type="containsText" dxfId="197" priority="257" operator="containsText" text="REGULAR TEST">
      <formula>NOT(ISERROR(SEARCH("REGULAR TEST",AB725)))</formula>
    </cfRule>
  </conditionalFormatting>
  <conditionalFormatting sqref="Y745:AB745">
    <cfRule type="cellIs" dxfId="196" priority="251" operator="equal">
      <formula>"In progress"</formula>
    </cfRule>
    <cfRule type="cellIs" dxfId="195" priority="252" operator="equal">
      <formula>"No"</formula>
    </cfRule>
    <cfRule type="cellIs" dxfId="194" priority="253" operator="equal">
      <formula>"Yes"</formula>
    </cfRule>
  </conditionalFormatting>
  <conditionalFormatting sqref="AB745">
    <cfRule type="containsText" dxfId="193" priority="247" operator="containsText" text="DEBUG TEST">
      <formula>NOT(ISERROR(SEARCH("DEBUG TEST",AB745)))</formula>
    </cfRule>
    <cfRule type="containsText" dxfId="192" priority="248" operator="containsText" text="TOOL_TEAM_CONFIG">
      <formula>NOT(ISERROR(SEARCH("TOOL_TEAM_CONFIG",AB745)))</formula>
    </cfRule>
    <cfRule type="containsText" dxfId="191" priority="249" operator="containsText" text="NEED DEBUG">
      <formula>NOT(ISERROR(SEARCH("NEED DEBUG",AB745)))</formula>
    </cfRule>
    <cfRule type="containsText" dxfId="190" priority="250" operator="containsText" text="REGULAR TEST">
      <formula>NOT(ISERROR(SEARCH("REGULAR TEST",AB745)))</formula>
    </cfRule>
  </conditionalFormatting>
  <conditionalFormatting sqref="Y863:AB863">
    <cfRule type="cellIs" dxfId="189" priority="244" operator="equal">
      <formula>"In progress"</formula>
    </cfRule>
    <cfRule type="cellIs" dxfId="188" priority="245" operator="equal">
      <formula>"No"</formula>
    </cfRule>
    <cfRule type="cellIs" dxfId="187" priority="246" operator="equal">
      <formula>"Yes"</formula>
    </cfRule>
  </conditionalFormatting>
  <conditionalFormatting sqref="AB863">
    <cfRule type="containsText" dxfId="186" priority="240" operator="containsText" text="DEBUG TEST">
      <formula>NOT(ISERROR(SEARCH("DEBUG TEST",AB863)))</formula>
    </cfRule>
    <cfRule type="containsText" dxfId="185" priority="241" operator="containsText" text="TOOL_TEAM_CONFIG">
      <formula>NOT(ISERROR(SEARCH("TOOL_TEAM_CONFIG",AB863)))</formula>
    </cfRule>
    <cfRule type="containsText" dxfId="184" priority="242" operator="containsText" text="NEED DEBUG">
      <formula>NOT(ISERROR(SEARCH("NEED DEBUG",AB863)))</formula>
    </cfRule>
    <cfRule type="containsText" dxfId="183" priority="243" operator="containsText" text="REGULAR TEST">
      <formula>NOT(ISERROR(SEARCH("REGULAR TEST",AB863)))</formula>
    </cfRule>
  </conditionalFormatting>
  <conditionalFormatting sqref="AB717 AB935:AB942">
    <cfRule type="containsText" dxfId="182" priority="239" operator="containsText" text="REGULAR TEST">
      <formula>NOT(ISERROR(SEARCH("REGULAR TEST",AB717)))</formula>
    </cfRule>
  </conditionalFormatting>
  <conditionalFormatting sqref="AB717 AB935:AB942">
    <cfRule type="containsText" dxfId="181" priority="235" operator="containsText" text="DEBUG TEST">
      <formula>NOT(ISERROR(SEARCH("DEBUG TEST",AB717)))</formula>
    </cfRule>
  </conditionalFormatting>
  <conditionalFormatting sqref="AB718">
    <cfRule type="containsText" dxfId="180" priority="234" operator="containsText" text="REGULAR TEST">
      <formula>NOT(ISERROR(SEARCH("REGULAR TEST",AB718)))</formula>
    </cfRule>
  </conditionalFormatting>
  <conditionalFormatting sqref="AB718">
    <cfRule type="containsText" dxfId="179" priority="230" operator="containsText" text="DEBUG TEST">
      <formula>NOT(ISERROR(SEARCH("DEBUG TEST",AB718)))</formula>
    </cfRule>
  </conditionalFormatting>
  <conditionalFormatting sqref="AB752">
    <cfRule type="containsText" dxfId="178" priority="229" operator="containsText" text="REGULAR TEST">
      <formula>NOT(ISERROR(SEARCH("REGULAR TEST",AB752)))</formula>
    </cfRule>
  </conditionalFormatting>
  <conditionalFormatting sqref="AB752">
    <cfRule type="containsText" dxfId="177" priority="225" operator="containsText" text="DEBUG TEST">
      <formula>NOT(ISERROR(SEARCH("DEBUG TEST",AB752)))</formula>
    </cfRule>
  </conditionalFormatting>
  <conditionalFormatting sqref="AB828">
    <cfRule type="containsText" dxfId="176" priority="224" operator="containsText" text="REGULAR TEST">
      <formula>NOT(ISERROR(SEARCH("REGULAR TEST",AB828)))</formula>
    </cfRule>
  </conditionalFormatting>
  <conditionalFormatting sqref="AB828">
    <cfRule type="containsText" dxfId="175" priority="220" operator="containsText" text="DEBUG TEST">
      <formula>NOT(ISERROR(SEARCH("DEBUG TEST",AB828)))</formula>
    </cfRule>
  </conditionalFormatting>
  <conditionalFormatting sqref="AB931:AB934">
    <cfRule type="containsText" dxfId="174" priority="219" operator="containsText" text="REGULAR TEST">
      <formula>NOT(ISERROR(SEARCH("REGULAR TEST",AB931)))</formula>
    </cfRule>
  </conditionalFormatting>
  <conditionalFormatting sqref="AB931:AB934">
    <cfRule type="containsText" dxfId="173" priority="215" operator="containsText" text="DEBUG TEST">
      <formula>NOT(ISERROR(SEARCH("DEBUG TEST",AB931)))</formula>
    </cfRule>
  </conditionalFormatting>
  <conditionalFormatting sqref="Y704:AB704">
    <cfRule type="cellIs" dxfId="172" priority="212" operator="equal">
      <formula>"In progress"</formula>
    </cfRule>
    <cfRule type="cellIs" dxfId="171" priority="213" operator="equal">
      <formula>"No"</formula>
    </cfRule>
    <cfRule type="cellIs" dxfId="170" priority="214" operator="equal">
      <formula>"Yes"</formula>
    </cfRule>
  </conditionalFormatting>
  <conditionalFormatting sqref="AB704">
    <cfRule type="containsText" dxfId="169" priority="208" operator="containsText" text="DEBUG TEST">
      <formula>NOT(ISERROR(SEARCH("DEBUG TEST",AB704)))</formula>
    </cfRule>
    <cfRule type="containsText" dxfId="168" priority="209" operator="containsText" text="TOOL_TEAM_CONFIG">
      <formula>NOT(ISERROR(SEARCH("TOOL_TEAM_CONFIG",AB704)))</formula>
    </cfRule>
    <cfRule type="containsText" dxfId="167" priority="210" operator="containsText" text="NEED DEBUG">
      <formula>NOT(ISERROR(SEARCH("NEED DEBUG",AB704)))</formula>
    </cfRule>
    <cfRule type="containsText" dxfId="166" priority="211" operator="containsText" text="REGULAR TEST">
      <formula>NOT(ISERROR(SEARCH("REGULAR TEST",AB704)))</formula>
    </cfRule>
  </conditionalFormatting>
  <conditionalFormatting sqref="Y1057:AA1065">
    <cfRule type="cellIs" dxfId="165" priority="205" operator="equal">
      <formula>"In progress"</formula>
    </cfRule>
    <cfRule type="cellIs" dxfId="164" priority="206" operator="equal">
      <formula>"No"</formula>
    </cfRule>
    <cfRule type="cellIs" dxfId="163" priority="207" operator="equal">
      <formula>"Yes"</formula>
    </cfRule>
  </conditionalFormatting>
  <conditionalFormatting sqref="Y1321:AA1321 AA1332:AA1334">
    <cfRule type="cellIs" dxfId="162" priority="199" operator="equal">
      <formula>"In progress"</formula>
    </cfRule>
    <cfRule type="cellIs" dxfId="161" priority="200" operator="equal">
      <formula>"No"</formula>
    </cfRule>
    <cfRule type="cellIs" dxfId="160" priority="201" operator="equal">
      <formula>"Yes"</formula>
    </cfRule>
  </conditionalFormatting>
  <conditionalFormatting sqref="AB1383:AB1386 Y1425:AA1452">
    <cfRule type="cellIs" dxfId="159" priority="176" operator="equal">
      <formula>"In progress"</formula>
    </cfRule>
    <cfRule type="cellIs" dxfId="158" priority="177" operator="equal">
      <formula>"No"</formula>
    </cfRule>
    <cfRule type="cellIs" dxfId="157" priority="178" operator="equal">
      <formula>"Yes"</formula>
    </cfRule>
  </conditionalFormatting>
  <conditionalFormatting sqref="Y1066:AA1086 Y1088:AA1097">
    <cfRule type="cellIs" dxfId="156" priority="166" operator="equal">
      <formula>"In progress"</formula>
    </cfRule>
    <cfRule type="cellIs" dxfId="155" priority="167" operator="equal">
      <formula>"No"</formula>
    </cfRule>
    <cfRule type="cellIs" dxfId="154" priority="168" operator="equal">
      <formula>"Yes"</formula>
    </cfRule>
  </conditionalFormatting>
  <conditionalFormatting sqref="AA1098:AA1130 AA1132:AA1153">
    <cfRule type="cellIs" dxfId="153" priority="163" operator="equal">
      <formula>"In progress"</formula>
    </cfRule>
    <cfRule type="cellIs" dxfId="152" priority="164" operator="equal">
      <formula>"No"</formula>
    </cfRule>
    <cfRule type="cellIs" dxfId="151" priority="165" operator="equal">
      <formula>"Yes"</formula>
    </cfRule>
  </conditionalFormatting>
  <conditionalFormatting sqref="AB1066:AB1086 AB1195:AB1202 AB1088:AB1130 AB1132:AB1149 AB1204:AB1312">
    <cfRule type="containsText" dxfId="150" priority="157" operator="containsText" text="Recalibration needed">
      <formula>NOT(ISERROR(SEARCH("Recalibration needed",AB1066)))</formula>
    </cfRule>
    <cfRule type="containsText" dxfId="149" priority="158" operator="containsText" text="debug test">
      <formula>NOT(ISERROR(SEARCH("debug test",AB1066)))</formula>
    </cfRule>
    <cfRule type="containsText" dxfId="148" priority="159" operator="containsText" text="TOOL_TEAM_CONFIG">
      <formula>NOT(ISERROR(SEARCH("TOOL_TEAM_CONFIG",AB1066)))</formula>
    </cfRule>
    <cfRule type="containsText" dxfId="147" priority="160" operator="containsText" text="DEBUG Needed">
      <formula>NOT(ISERROR(SEARCH("DEBUG Needed",AB1066)))</formula>
    </cfRule>
    <cfRule type="containsText" dxfId="146" priority="161" operator="containsText" text="Dry Run Required">
      <formula>NOT(ISERROR(SEARCH("Dry Run Required",AB1066)))</formula>
    </cfRule>
    <cfRule type="containsText" dxfId="145" priority="162" operator="containsText" text="REGULAR TEST">
      <formula>NOT(ISERROR(SEARCH("REGULAR TEST",AB1066)))</formula>
    </cfRule>
  </conditionalFormatting>
  <conditionalFormatting sqref="AB1150:AB1153">
    <cfRule type="containsText" dxfId="144" priority="151" operator="containsText" text="Recalibration needed">
      <formula>NOT(ISERROR(SEARCH("Recalibration needed",AB1150)))</formula>
    </cfRule>
    <cfRule type="containsText" dxfId="143" priority="152" operator="containsText" text="debug test">
      <formula>NOT(ISERROR(SEARCH("debug test",AB1150)))</formula>
    </cfRule>
    <cfRule type="containsText" dxfId="142" priority="153" operator="containsText" text="TOOL_TEAM_CONFIG">
      <formula>NOT(ISERROR(SEARCH("TOOL_TEAM_CONFIG",AB1150)))</formula>
    </cfRule>
    <cfRule type="containsText" dxfId="141" priority="154" operator="containsText" text="DEBUG Needed">
      <formula>NOT(ISERROR(SEARCH("DEBUG Needed",AB1150)))</formula>
    </cfRule>
    <cfRule type="containsText" dxfId="140" priority="155" operator="containsText" text="Dry Run Required">
      <formula>NOT(ISERROR(SEARCH("Dry Run Required",AB1150)))</formula>
    </cfRule>
    <cfRule type="containsText" dxfId="139" priority="156" operator="containsText" text="REGULAR TEST">
      <formula>NOT(ISERROR(SEARCH("REGULAR TEST",AB1150)))</formula>
    </cfRule>
  </conditionalFormatting>
  <conditionalFormatting sqref="AB1585:AB1588">
    <cfRule type="cellIs" dxfId="138" priority="135" operator="equal">
      <formula>"In progress"</formula>
    </cfRule>
    <cfRule type="cellIs" dxfId="137" priority="136" operator="equal">
      <formula>"No"</formula>
    </cfRule>
    <cfRule type="cellIs" dxfId="136" priority="137" operator="equal">
      <formula>"Yes"</formula>
    </cfRule>
  </conditionalFormatting>
  <conditionalFormatting sqref="AB1585:AB1588">
    <cfRule type="containsText" dxfId="135" priority="131" operator="containsText" text="DEBUG TEST">
      <formula>NOT(ISERROR(SEARCH("DEBUG TEST",AB1585)))</formula>
    </cfRule>
    <cfRule type="containsText" dxfId="134" priority="132" operator="containsText" text="TOOL_TEAM_CONFIG">
      <formula>NOT(ISERROR(SEARCH("TOOL_TEAM_CONFIG",AB1585)))</formula>
    </cfRule>
    <cfRule type="containsText" dxfId="133" priority="133" operator="containsText" text="NEED DEBUG">
      <formula>NOT(ISERROR(SEARCH("NEED DEBUG",AB1585)))</formula>
    </cfRule>
    <cfRule type="containsText" dxfId="132" priority="134" operator="containsText" text="REGULAR TEST">
      <formula>NOT(ISERROR(SEARCH("REGULAR TEST",AB1585)))</formula>
    </cfRule>
  </conditionalFormatting>
  <conditionalFormatting sqref="Y1607:AB1613">
    <cfRule type="cellIs" dxfId="131" priority="128" operator="equal">
      <formula>"In progress"</formula>
    </cfRule>
    <cfRule type="cellIs" dxfId="130" priority="129" operator="equal">
      <formula>"No"</formula>
    </cfRule>
    <cfRule type="cellIs" dxfId="129" priority="130" operator="equal">
      <formula>"Yes"</formula>
    </cfRule>
  </conditionalFormatting>
  <conditionalFormatting sqref="AB1607:AB1613">
    <cfRule type="containsText" dxfId="128" priority="124" operator="containsText" text="DEBUG TEST">
      <formula>NOT(ISERROR(SEARCH("DEBUG TEST",AB1607)))</formula>
    </cfRule>
    <cfRule type="containsText" dxfId="127" priority="125" operator="containsText" text="TOOL_TEAM_CONFIG">
      <formula>NOT(ISERROR(SEARCH("TOOL_TEAM_CONFIG",AB1607)))</formula>
    </cfRule>
    <cfRule type="containsText" dxfId="126" priority="126" operator="containsText" text="NEED DEBUG">
      <formula>NOT(ISERROR(SEARCH("NEED DEBUG",AB1607)))</formula>
    </cfRule>
    <cfRule type="containsText" dxfId="125" priority="127" operator="containsText" text="REGULAR TEST">
      <formula>NOT(ISERROR(SEARCH("REGULAR TEST",AB1607)))</formula>
    </cfRule>
  </conditionalFormatting>
  <conditionalFormatting sqref="N1615:Q1619">
    <cfRule type="cellIs" dxfId="124" priority="121" operator="equal">
      <formula>"In progress"</formula>
    </cfRule>
    <cfRule type="cellIs" dxfId="123" priority="122" operator="equal">
      <formula>"No"</formula>
    </cfRule>
    <cfRule type="cellIs" dxfId="122" priority="123" operator="equal">
      <formula>"Yes"</formula>
    </cfRule>
  </conditionalFormatting>
  <conditionalFormatting sqref="Q1615:Q1619">
    <cfRule type="containsText" dxfId="121" priority="117" operator="containsText" text="DEBUG TEST">
      <formula>NOT(ISERROR(SEARCH("DEBUG TEST",Q1615)))</formula>
    </cfRule>
    <cfRule type="containsText" dxfId="120" priority="118" operator="containsText" text="TOOL_TEAM_CONFIG">
      <formula>NOT(ISERROR(SEARCH("TOOL_TEAM_CONFIG",Q1615)))</formula>
    </cfRule>
    <cfRule type="containsText" dxfId="119" priority="119" operator="containsText" text="NEED DEBUG">
      <formula>NOT(ISERROR(SEARCH("NEED DEBUG",Q1615)))</formula>
    </cfRule>
    <cfRule type="containsText" dxfId="118" priority="120" operator="containsText" text="REGULAR TEST">
      <formula>NOT(ISERROR(SEARCH("REGULAR TEST",Q1615)))</formula>
    </cfRule>
  </conditionalFormatting>
  <conditionalFormatting sqref="Y1615:AB1619">
    <cfRule type="cellIs" dxfId="117" priority="114" operator="equal">
      <formula>"In progress"</formula>
    </cfRule>
    <cfRule type="cellIs" dxfId="116" priority="115" operator="equal">
      <formula>"No"</formula>
    </cfRule>
    <cfRule type="cellIs" dxfId="115" priority="116" operator="equal">
      <formula>"Yes"</formula>
    </cfRule>
  </conditionalFormatting>
  <conditionalFormatting sqref="AB1615:AB1619">
    <cfRule type="containsText" dxfId="114" priority="110" operator="containsText" text="DEBUG TEST">
      <formula>NOT(ISERROR(SEARCH("DEBUG TEST",AB1615)))</formula>
    </cfRule>
    <cfRule type="containsText" dxfId="113" priority="111" operator="containsText" text="TOOL_TEAM_CONFIG">
      <formula>NOT(ISERROR(SEARCH("TOOL_TEAM_CONFIG",AB1615)))</formula>
    </cfRule>
    <cfRule type="containsText" dxfId="112" priority="112" operator="containsText" text="NEED DEBUG">
      <formula>NOT(ISERROR(SEARCH("NEED DEBUG",AB1615)))</formula>
    </cfRule>
    <cfRule type="containsText" dxfId="111" priority="113" operator="containsText" text="REGULAR TEST">
      <formula>NOT(ISERROR(SEARCH("REGULAR TEST",AB1615)))</formula>
    </cfRule>
  </conditionalFormatting>
  <conditionalFormatting sqref="Y1322:AA1331">
    <cfRule type="cellIs" dxfId="110" priority="101" operator="equal">
      <formula>"In progress"</formula>
    </cfRule>
    <cfRule type="cellIs" dxfId="109" priority="102" operator="equal">
      <formula>"No"</formula>
    </cfRule>
    <cfRule type="cellIs" dxfId="108" priority="103" operator="equal">
      <formula>"Yes"</formula>
    </cfRule>
  </conditionalFormatting>
  <conditionalFormatting sqref="AB1322:AB1324 AB1326:AB1331">
    <cfRule type="cellIs" dxfId="107" priority="98" operator="equal">
      <formula>"In progress"</formula>
    </cfRule>
    <cfRule type="cellIs" dxfId="106" priority="99" operator="equal">
      <formula>"No"</formula>
    </cfRule>
    <cfRule type="cellIs" dxfId="105" priority="100" operator="equal">
      <formula>"Yes"</formula>
    </cfRule>
  </conditionalFormatting>
  <conditionalFormatting sqref="AB1322:AB1324 AB1326:AB1331">
    <cfRule type="containsText" dxfId="104" priority="94" operator="containsText" text="DEBUG TEST">
      <formula>NOT(ISERROR(SEARCH("DEBUG TEST",AB1322)))</formula>
    </cfRule>
    <cfRule type="containsText" dxfId="103" priority="95" operator="containsText" text="TOOL_TEAM_CONFIG">
      <formula>NOT(ISERROR(SEARCH("TOOL_TEAM_CONFIG",AB1322)))</formula>
    </cfRule>
    <cfRule type="containsText" dxfId="102" priority="96" operator="containsText" text="NEED DEBUG">
      <formula>NOT(ISERROR(SEARCH("NEED DEBUG",AB1322)))</formula>
    </cfRule>
    <cfRule type="containsText" dxfId="101" priority="97" operator="containsText" text="REGULAR TEST">
      <formula>NOT(ISERROR(SEARCH("REGULAR TEST",AB1322)))</formula>
    </cfRule>
  </conditionalFormatting>
  <conditionalFormatting sqref="AB1325">
    <cfRule type="cellIs" dxfId="100" priority="91" operator="equal">
      <formula>"In progress"</formula>
    </cfRule>
    <cfRule type="cellIs" dxfId="99" priority="92" operator="equal">
      <formula>"No"</formula>
    </cfRule>
    <cfRule type="cellIs" dxfId="98" priority="93" operator="equal">
      <formula>"Yes"</formula>
    </cfRule>
  </conditionalFormatting>
  <conditionalFormatting sqref="AB1325">
    <cfRule type="containsText" dxfId="97" priority="87" operator="containsText" text="DEBUG TEST">
      <formula>NOT(ISERROR(SEARCH("DEBUG TEST",AB1325)))</formula>
    </cfRule>
    <cfRule type="containsText" dxfId="96" priority="88" operator="containsText" text="TOOL_TEAM_CONFIG">
      <formula>NOT(ISERROR(SEARCH("TOOL_TEAM_CONFIG",AB1325)))</formula>
    </cfRule>
    <cfRule type="containsText" dxfId="95" priority="89" operator="containsText" text="NEED DEBUG">
      <formula>NOT(ISERROR(SEARCH("NEED DEBUG",AB1325)))</formula>
    </cfRule>
    <cfRule type="containsText" dxfId="94" priority="90" operator="containsText" text="REGULAR TEST">
      <formula>NOT(ISERROR(SEARCH("REGULAR TEST",AB1325)))</formula>
    </cfRule>
  </conditionalFormatting>
  <conditionalFormatting sqref="AA1154:AA1180 AA1187:AA1189 AA1182:AA1185">
    <cfRule type="cellIs" dxfId="93" priority="81" operator="equal">
      <formula>"In progress"</formula>
    </cfRule>
    <cfRule type="cellIs" dxfId="92" priority="82" operator="equal">
      <formula>"No"</formula>
    </cfRule>
    <cfRule type="cellIs" dxfId="91" priority="83" operator="equal">
      <formula>"Yes"</formula>
    </cfRule>
  </conditionalFormatting>
  <conditionalFormatting sqref="AB1154:AB1161 AB1173:AB1175 AB1183:AB1202">
    <cfRule type="containsText" dxfId="90" priority="75" operator="containsText" text="Recalibration needed">
      <formula>NOT(ISERROR(SEARCH("Recalibration needed",AB1154)))</formula>
    </cfRule>
    <cfRule type="containsText" dxfId="89" priority="76" operator="containsText" text="debug test">
      <formula>NOT(ISERROR(SEARCH("debug test",AB1154)))</formula>
    </cfRule>
    <cfRule type="containsText" dxfId="88" priority="77" operator="containsText" text="TOOL_TEAM_CONFIG">
      <formula>NOT(ISERROR(SEARCH("TOOL_TEAM_CONFIG",AB1154)))</formula>
    </cfRule>
    <cfRule type="containsText" dxfId="87" priority="78" operator="containsText" text="DEBUG Needed">
      <formula>NOT(ISERROR(SEARCH("DEBUG Needed",AB1154)))</formula>
    </cfRule>
    <cfRule type="containsText" dxfId="86" priority="79" operator="containsText" text="Dry Run Required">
      <formula>NOT(ISERROR(SEARCH("Dry Run Required",AB1154)))</formula>
    </cfRule>
    <cfRule type="containsText" dxfId="85" priority="80" operator="containsText" text="REGULAR TEST">
      <formula>NOT(ISERROR(SEARCH("REGULAR TEST",AB1154)))</formula>
    </cfRule>
  </conditionalFormatting>
  <conditionalFormatting sqref="Y1087:AA1087">
    <cfRule type="cellIs" dxfId="84" priority="72" operator="equal">
      <formula>"In progress"</formula>
    </cfRule>
    <cfRule type="cellIs" dxfId="83" priority="73" operator="equal">
      <formula>"No"</formula>
    </cfRule>
    <cfRule type="cellIs" dxfId="82" priority="74" operator="equal">
      <formula>"Yes"</formula>
    </cfRule>
  </conditionalFormatting>
  <conditionalFormatting sqref="AB1087">
    <cfRule type="containsText" dxfId="81" priority="66" operator="containsText" text="Recalibration needed">
      <formula>NOT(ISERROR(SEARCH("Recalibration needed",AB1087)))</formula>
    </cfRule>
    <cfRule type="containsText" dxfId="80" priority="67" operator="containsText" text="debug test">
      <formula>NOT(ISERROR(SEARCH("debug test",AB1087)))</formula>
    </cfRule>
    <cfRule type="containsText" dxfId="79" priority="68" operator="containsText" text="TOOL_TEAM_CONFIG">
      <formula>NOT(ISERROR(SEARCH("TOOL_TEAM_CONFIG",AB1087)))</formula>
    </cfRule>
    <cfRule type="containsText" dxfId="78" priority="69" operator="containsText" text="DEBUG Needed">
      <formula>NOT(ISERROR(SEARCH("DEBUG Needed",AB1087)))</formula>
    </cfRule>
    <cfRule type="containsText" dxfId="77" priority="70" operator="containsText" text="Dry Run Required">
      <formula>NOT(ISERROR(SEARCH("Dry Run Required",AB1087)))</formula>
    </cfRule>
    <cfRule type="containsText" dxfId="76" priority="71" operator="containsText" text="REGULAR TEST">
      <formula>NOT(ISERROR(SEARCH("REGULAR TEST",AB1087)))</formula>
    </cfRule>
  </conditionalFormatting>
  <conditionalFormatting sqref="AB1694:AB1695">
    <cfRule type="cellIs" dxfId="75" priority="63" operator="equal">
      <formula>"In progress"</formula>
    </cfRule>
    <cfRule type="cellIs" dxfId="74" priority="64" operator="equal">
      <formula>"No"</formula>
    </cfRule>
    <cfRule type="cellIs" dxfId="73" priority="65" operator="equal">
      <formula>"Yes"</formula>
    </cfRule>
  </conditionalFormatting>
  <conditionalFormatting sqref="AB1694:AB1695">
    <cfRule type="containsText" dxfId="72" priority="59" operator="containsText" text="DEBUG TEST">
      <formula>NOT(ISERROR(SEARCH("DEBUG TEST",AB1694)))</formula>
    </cfRule>
    <cfRule type="containsText" dxfId="71" priority="60" operator="containsText" text="TOOL_TEAM_CONFIG">
      <formula>NOT(ISERROR(SEARCH("TOOL_TEAM_CONFIG",AB1694)))</formula>
    </cfRule>
    <cfRule type="containsText" dxfId="70" priority="61" operator="containsText" text="NEED DEBUG">
      <formula>NOT(ISERROR(SEARCH("NEED DEBUG",AB1694)))</formula>
    </cfRule>
    <cfRule type="containsText" dxfId="69" priority="62" operator="containsText" text="REGULAR TEST">
      <formula>NOT(ISERROR(SEARCH("REGULAR TEST",AB1694)))</formula>
    </cfRule>
  </conditionalFormatting>
  <conditionalFormatting sqref="AB1163:AB1172">
    <cfRule type="cellIs" dxfId="68" priority="56" operator="equal">
      <formula>"In progress"</formula>
    </cfRule>
    <cfRule type="cellIs" dxfId="67" priority="57" operator="equal">
      <formula>"No"</formula>
    </cfRule>
    <cfRule type="cellIs" dxfId="66" priority="58" operator="equal">
      <formula>"Yes"</formula>
    </cfRule>
  </conditionalFormatting>
  <conditionalFormatting sqref="AB1163:AB1172">
    <cfRule type="containsText" dxfId="65" priority="52" operator="containsText" text="DEBUG TEST">
      <formula>NOT(ISERROR(SEARCH("DEBUG TEST",AB1163)))</formula>
    </cfRule>
    <cfRule type="containsText" dxfId="64" priority="53" operator="containsText" text="TOOL_TEAM_CONFIG">
      <formula>NOT(ISERROR(SEARCH("TOOL_TEAM_CONFIG",AB1163)))</formula>
    </cfRule>
    <cfRule type="containsText" dxfId="63" priority="54" operator="containsText" text="NEED DEBUG">
      <formula>NOT(ISERROR(SEARCH("NEED DEBUG",AB1163)))</formula>
    </cfRule>
    <cfRule type="containsText" dxfId="62" priority="55" operator="containsText" text="REGULAR TEST">
      <formula>NOT(ISERROR(SEARCH("REGULAR TEST",AB1163)))</formula>
    </cfRule>
  </conditionalFormatting>
  <conditionalFormatting sqref="AB1176:AB1180">
    <cfRule type="cellIs" dxfId="61" priority="46" operator="equal">
      <formula>"In progress"</formula>
    </cfRule>
    <cfRule type="cellIs" dxfId="60" priority="47" operator="equal">
      <formula>"No"</formula>
    </cfRule>
    <cfRule type="cellIs" dxfId="59" priority="48" operator="equal">
      <formula>"Yes"</formula>
    </cfRule>
  </conditionalFormatting>
  <conditionalFormatting sqref="AB1176:AB1180">
    <cfRule type="containsText" dxfId="58" priority="42" operator="containsText" text="DEBUG TEST">
      <formula>NOT(ISERROR(SEARCH("DEBUG TEST",AB1176)))</formula>
    </cfRule>
    <cfRule type="containsText" dxfId="57" priority="43" operator="containsText" text="TOOL_TEAM_CONFIG">
      <formula>NOT(ISERROR(SEARCH("TOOL_TEAM_CONFIG",AB1176)))</formula>
    </cfRule>
    <cfRule type="containsText" dxfId="56" priority="44" operator="containsText" text="NEED DEBUG">
      <formula>NOT(ISERROR(SEARCH("NEED DEBUG",AB1176)))</formula>
    </cfRule>
    <cfRule type="containsText" dxfId="55" priority="45" operator="containsText" text="REGULAR TEST">
      <formula>NOT(ISERROR(SEARCH("REGULAR TEST",AB1176)))</formula>
    </cfRule>
  </conditionalFormatting>
  <conditionalFormatting sqref="AB1203">
    <cfRule type="cellIs" dxfId="54" priority="39" operator="equal">
      <formula>"In progress"</formula>
    </cfRule>
    <cfRule type="cellIs" dxfId="53" priority="40" operator="equal">
      <formula>"No"</formula>
    </cfRule>
    <cfRule type="cellIs" dxfId="52" priority="41" operator="equal">
      <formula>"Yes"</formula>
    </cfRule>
  </conditionalFormatting>
  <conditionalFormatting sqref="AB1203">
    <cfRule type="containsText" dxfId="51" priority="35" operator="containsText" text="DEBUG TEST">
      <formula>NOT(ISERROR(SEARCH("DEBUG TEST",AB1203)))</formula>
    </cfRule>
    <cfRule type="containsText" dxfId="50" priority="36" operator="containsText" text="TOOL_TEAM_CONFIG">
      <formula>NOT(ISERROR(SEARCH("TOOL_TEAM_CONFIG",AB1203)))</formula>
    </cfRule>
    <cfRule type="containsText" dxfId="49" priority="37" operator="containsText" text="NEED DEBUG">
      <formula>NOT(ISERROR(SEARCH("NEED DEBUG",AB1203)))</formula>
    </cfRule>
    <cfRule type="containsText" dxfId="48" priority="38" operator="containsText" text="REGULAR TEST">
      <formula>NOT(ISERROR(SEARCH("REGULAR TEST",AB1203)))</formula>
    </cfRule>
  </conditionalFormatting>
  <conditionalFormatting sqref="AA1190">
    <cfRule type="cellIs" dxfId="47" priority="32" operator="equal">
      <formula>"In progress"</formula>
    </cfRule>
    <cfRule type="cellIs" dxfId="46" priority="33" operator="equal">
      <formula>"No"</formula>
    </cfRule>
    <cfRule type="cellIs" dxfId="45" priority="34" operator="equal">
      <formula>"Yes"</formula>
    </cfRule>
  </conditionalFormatting>
  <conditionalFormatting sqref="AB1162">
    <cfRule type="containsText" dxfId="44" priority="26" operator="containsText" text="Recalibration needed">
      <formula>NOT(ISERROR(SEARCH("Recalibration needed",AB1162)))</formula>
    </cfRule>
    <cfRule type="containsText" dxfId="43" priority="27" operator="containsText" text="debug test">
      <formula>NOT(ISERROR(SEARCH("debug test",AB1162)))</formula>
    </cfRule>
    <cfRule type="containsText" dxfId="42" priority="28" operator="containsText" text="TOOL_TEAM_CONFIG">
      <formula>NOT(ISERROR(SEARCH("TOOL_TEAM_CONFIG",AB1162)))</formula>
    </cfRule>
    <cfRule type="containsText" dxfId="41" priority="29" operator="containsText" text="DEBUG Needed">
      <formula>NOT(ISERROR(SEARCH("DEBUG Needed",AB1162)))</formula>
    </cfRule>
    <cfRule type="containsText" dxfId="40" priority="30" operator="containsText" text="Dry Run Required">
      <formula>NOT(ISERROR(SEARCH("Dry Run Required",AB1162)))</formula>
    </cfRule>
    <cfRule type="containsText" dxfId="39" priority="31" operator="containsText" text="REGULAR TEST">
      <formula>NOT(ISERROR(SEARCH("REGULAR TEST",AB1162)))</formula>
    </cfRule>
  </conditionalFormatting>
  <conditionalFormatting sqref="AB1131">
    <cfRule type="cellIs" dxfId="38" priority="23" operator="equal">
      <formula>"In progress"</formula>
    </cfRule>
    <cfRule type="cellIs" dxfId="37" priority="24" operator="equal">
      <formula>"No"</formula>
    </cfRule>
    <cfRule type="cellIs" dxfId="36" priority="25" operator="equal">
      <formula>"Yes"</formula>
    </cfRule>
  </conditionalFormatting>
  <conditionalFormatting sqref="AB1131">
    <cfRule type="containsText" dxfId="35" priority="19" operator="containsText" text="DEBUG TEST">
      <formula>NOT(ISERROR(SEARCH("DEBUG TEST",AB1131)))</formula>
    </cfRule>
    <cfRule type="containsText" dxfId="34" priority="20" operator="containsText" text="TOOL_TEAM_CONFIG">
      <formula>NOT(ISERROR(SEARCH("TOOL_TEAM_CONFIG",AB1131)))</formula>
    </cfRule>
    <cfRule type="containsText" dxfId="33" priority="21" operator="containsText" text="NEED DEBUG">
      <formula>NOT(ISERROR(SEARCH("NEED DEBUG",AB1131)))</formula>
    </cfRule>
    <cfRule type="containsText" dxfId="32" priority="22" operator="containsText" text="REGULAR TEST">
      <formula>NOT(ISERROR(SEARCH("REGULAR TEST",AB1131)))</formula>
    </cfRule>
  </conditionalFormatting>
  <conditionalFormatting sqref="AA1131">
    <cfRule type="cellIs" dxfId="31" priority="16" operator="equal">
      <formula>"In progress"</formula>
    </cfRule>
    <cfRule type="cellIs" dxfId="30" priority="17" operator="equal">
      <formula>"No"</formula>
    </cfRule>
    <cfRule type="cellIs" dxfId="29" priority="18" operator="equal">
      <formula>"Yes"</formula>
    </cfRule>
  </conditionalFormatting>
  <conditionalFormatting sqref="AA1186">
    <cfRule type="cellIs" dxfId="28" priority="13" operator="equal">
      <formula>"In progress"</formula>
    </cfRule>
    <cfRule type="cellIs" dxfId="27" priority="14" operator="equal">
      <formula>"No"</formula>
    </cfRule>
    <cfRule type="cellIs" dxfId="26" priority="15" operator="equal">
      <formula>"Yes"</formula>
    </cfRule>
  </conditionalFormatting>
  <conditionalFormatting sqref="AA1181">
    <cfRule type="cellIs" dxfId="25" priority="7" operator="equal">
      <formula>"In progress"</formula>
    </cfRule>
    <cfRule type="cellIs" dxfId="24" priority="8" operator="equal">
      <formula>"No"</formula>
    </cfRule>
    <cfRule type="cellIs" dxfId="23" priority="9" operator="equal">
      <formula>"Yes"</formula>
    </cfRule>
  </conditionalFormatting>
  <conditionalFormatting sqref="AB1182">
    <cfRule type="cellIs" dxfId="22" priority="4" operator="equal">
      <formula>"In progress"</formula>
    </cfRule>
    <cfRule type="cellIs" dxfId="21" priority="5" operator="equal">
      <formula>"No"</formula>
    </cfRule>
    <cfRule type="cellIs" dxfId="20" priority="6" operator="equal">
      <formula>"Yes"</formula>
    </cfRule>
  </conditionalFormatting>
  <conditionalFormatting sqref="AB1181">
    <cfRule type="cellIs" dxfId="19" priority="1" operator="equal">
      <formula>"In progress"</formula>
    </cfRule>
    <cfRule type="cellIs" dxfId="18" priority="2" operator="equal">
      <formula>"No"</formula>
    </cfRule>
    <cfRule type="cellIs" dxfId="17" priority="3" operator="equal">
      <formula>"Yes"</formula>
    </cfRule>
  </conditionalFormatting>
  <dataValidations count="3">
    <dataValidation type="whole" operator="greaterThan" allowBlank="1" showInputMessage="1" showErrorMessage="1" sqref="U524:W524 U578:W578 U530:W564 U568:W568 U580:W580 U585:W587 U582:W582 U526:W526 U1015:W1031 U3:W505 U507:W521 U1337:W1382 U1453:U1510 U1512:U1048576 U597:W1009 V1387:W1048576 U1033:W1331">
      <formula1>0</formula1>
    </dataValidation>
    <dataValidation type="date" allowBlank="1" showInputMessage="1" showErrorMessage="1" sqref="X1337:X1382 M1615:M1619 X1387:X1048576 X2:X1331">
      <formula1>43038</formula1>
      <formula2>44926</formula2>
    </dataValidation>
    <dataValidation type="list" allowBlank="1" showInputMessage="1" showErrorMessage="1" sqref="I1066:I1159 I1184:I1202 I1169:I1173 I1204:I1312 O1108:O1312 M1098:M1312 H1066:H1312">
      <formula1>#REF!</formula1>
    </dataValidation>
  </dataValidations>
  <pageMargins left="0.69930555555555596" right="0.69930555555555596" top="0.75" bottom="0.75" header="0.3" footer="0.3"/>
  <pageSetup orientation="portrait" r:id="rId1"/>
  <customProperties>
    <customPr name="Guid" r:id="rId2"/>
  </customProperties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36" operator="containsText" id="{6B537D09-FCD5-46E7-ADDB-D9ED545E1631}">
            <xm:f>NOT(ISERROR(SEARCH('\Users\xiaoga7x\Desktop\[PCIE_new.xlsx]VALUE'!#REF!,AB717)))</xm:f>
            <xm:f>'\Users\xiaoga7x\Desktop\[PCIE_new.xlsx]VALUE'!#REF!</xm:f>
            <x14:dxf>
              <fill>
                <patternFill patternType="solid">
                  <bgColor rgb="FFFF0000"/>
                </patternFill>
              </fill>
            </x14:dxf>
          </x14:cfRule>
          <x14:cfRule type="containsText" priority="237" operator="containsText" id="{E49F3C9E-E05C-4026-ACDE-94036BFA9286}">
            <xm:f>NOT(ISERROR(SEARCH('\Users\xiaoga7x\Desktop\[PCIE_new.xlsx]VALUE'!#REF!,AB717)))</xm:f>
            <xm:f>'\Users\xiaoga7x\Desktop\[PCIE_new.xlsx]VALUE'!#REF!</xm:f>
            <x14:dxf>
              <fill>
                <patternFill patternType="solid">
                  <bgColor rgb="FFFFFF00"/>
                </patternFill>
              </fill>
            </x14:dxf>
          </x14:cfRule>
          <x14:cfRule type="containsText" priority="238" operator="containsText" id="{A4CA3D4C-D139-4570-A53F-16020B3057E4}">
            <xm:f>NOT(ISERROR(SEARCH('\Users\xiaoga7x\Desktop\[PCIE_new.xlsx]VALUE'!#REF!,AB717)))</xm:f>
            <xm:f>'\Users\xiaoga7x\Desktop\[PCIE_new.xlsx]VALUE'!#REF!</xm:f>
            <x14:dxf>
              <fill>
                <patternFill patternType="solid">
                  <bgColor rgb="FFFFC000"/>
                </patternFill>
              </fill>
            </x14:dxf>
          </x14:cfRule>
          <xm:sqref>AB717</xm:sqref>
        </x14:conditionalFormatting>
        <x14:conditionalFormatting xmlns:xm="http://schemas.microsoft.com/office/excel/2006/main">
          <x14:cfRule type="containsText" priority="231" operator="containsText" id="{DC9E56D9-CC59-4A81-86C7-16B8939EECD6}">
            <xm:f>NOT(ISERROR(SEARCH('\Users\xiaoga7x\Desktop\[PCIE_new.xlsx]VALUE'!#REF!,AB718)))</xm:f>
            <xm:f>'\Users\xiaoga7x\Desktop\[PCIE_new.xlsx]VALUE'!#REF!</xm:f>
            <x14:dxf>
              <fill>
                <patternFill patternType="solid">
                  <bgColor rgb="FFFF0000"/>
                </patternFill>
              </fill>
            </x14:dxf>
          </x14:cfRule>
          <x14:cfRule type="containsText" priority="232" operator="containsText" id="{4AB61BC1-BCB5-434D-8ACA-45AC81821FAD}">
            <xm:f>NOT(ISERROR(SEARCH('\Users\xiaoga7x\Desktop\[PCIE_new.xlsx]VALUE'!#REF!,AB718)))</xm:f>
            <xm:f>'\Users\xiaoga7x\Desktop\[PCIE_new.xlsx]VALUE'!#REF!</xm:f>
            <x14:dxf>
              <fill>
                <patternFill patternType="solid">
                  <bgColor rgb="FFFFFF00"/>
                </patternFill>
              </fill>
            </x14:dxf>
          </x14:cfRule>
          <x14:cfRule type="containsText" priority="233" operator="containsText" id="{3A5D743E-A252-4BEB-A4AB-97BDFEE29EAF}">
            <xm:f>NOT(ISERROR(SEARCH('\Users\xiaoga7x\Desktop\[PCIE_new.xlsx]VALUE'!#REF!,AB718)))</xm:f>
            <xm:f>'\Users\xiaoga7x\Desktop\[PCIE_new.xlsx]VALUE'!#REF!</xm:f>
            <x14:dxf>
              <fill>
                <patternFill patternType="solid">
                  <bgColor rgb="FFFFC000"/>
                </patternFill>
              </fill>
            </x14:dxf>
          </x14:cfRule>
          <xm:sqref>AB718 AB935:AB942</xm:sqref>
        </x14:conditionalFormatting>
        <x14:conditionalFormatting xmlns:xm="http://schemas.microsoft.com/office/excel/2006/main">
          <x14:cfRule type="containsText" priority="226" operator="containsText" id="{8E1F6285-03D5-4766-9384-E1D745A44811}">
            <xm:f>NOT(ISERROR(SEARCH('\Users\xiaoga7x\Desktop\[PCIE_new.xlsx]VALUE'!#REF!,AB752)))</xm:f>
            <xm:f>'\Users\xiaoga7x\Desktop\[PCIE_new.xlsx]VALUE'!#REF!</xm:f>
            <x14:dxf>
              <fill>
                <patternFill patternType="solid">
                  <bgColor rgb="FFFF0000"/>
                </patternFill>
              </fill>
            </x14:dxf>
          </x14:cfRule>
          <x14:cfRule type="containsText" priority="227" operator="containsText" id="{0F4E2BDB-8114-42D5-8987-D821DCE465FA}">
            <xm:f>NOT(ISERROR(SEARCH('\Users\xiaoga7x\Desktop\[PCIE_new.xlsx]VALUE'!#REF!,AB752)))</xm:f>
            <xm:f>'\Users\xiaoga7x\Desktop\[PCIE_new.xlsx]VALUE'!#REF!</xm:f>
            <x14:dxf>
              <fill>
                <patternFill patternType="solid">
                  <bgColor rgb="FFFFFF00"/>
                </patternFill>
              </fill>
            </x14:dxf>
          </x14:cfRule>
          <x14:cfRule type="containsText" priority="228" operator="containsText" id="{85A09687-EBF2-42A5-BB24-99CAA51D5765}">
            <xm:f>NOT(ISERROR(SEARCH('\Users\xiaoga7x\Desktop\[PCIE_new.xlsx]VALUE'!#REF!,AB752)))</xm:f>
            <xm:f>'\Users\xiaoga7x\Desktop\[PCIE_new.xlsx]VALUE'!#REF!</xm:f>
            <x14:dxf>
              <fill>
                <patternFill patternType="solid">
                  <bgColor rgb="FFFFC000"/>
                </patternFill>
              </fill>
            </x14:dxf>
          </x14:cfRule>
          <xm:sqref>AB752</xm:sqref>
        </x14:conditionalFormatting>
        <x14:conditionalFormatting xmlns:xm="http://schemas.microsoft.com/office/excel/2006/main">
          <x14:cfRule type="containsText" priority="221" operator="containsText" id="{24633D84-0B40-460D-AC5F-38C30FBDD752}">
            <xm:f>NOT(ISERROR(SEARCH('\Users\xiaoga7x\Desktop\[PCIE_new.xlsx]VALUE'!#REF!,AB828)))</xm:f>
            <xm:f>'\Users\xiaoga7x\Desktop\[PCIE_new.xlsx]VALUE'!#REF!</xm:f>
            <x14:dxf>
              <fill>
                <patternFill patternType="solid">
                  <bgColor rgb="FFFF0000"/>
                </patternFill>
              </fill>
            </x14:dxf>
          </x14:cfRule>
          <x14:cfRule type="containsText" priority="222" operator="containsText" id="{F9CC8619-AFA4-4C4D-9B49-DA0447E777ED}">
            <xm:f>NOT(ISERROR(SEARCH('\Users\xiaoga7x\Desktop\[PCIE_new.xlsx]VALUE'!#REF!,AB828)))</xm:f>
            <xm:f>'\Users\xiaoga7x\Desktop\[PCIE_new.xlsx]VALUE'!#REF!</xm:f>
            <x14:dxf>
              <fill>
                <patternFill patternType="solid">
                  <bgColor rgb="FFFFFF00"/>
                </patternFill>
              </fill>
            </x14:dxf>
          </x14:cfRule>
          <x14:cfRule type="containsText" priority="223" operator="containsText" id="{2DFEEF85-D2CD-4C90-B6C3-745A33101CA0}">
            <xm:f>NOT(ISERROR(SEARCH('\Users\xiaoga7x\Desktop\[PCIE_new.xlsx]VALUE'!#REF!,AB828)))</xm:f>
            <xm:f>'\Users\xiaoga7x\Desktop\[PCIE_new.xlsx]VALUE'!#REF!</xm:f>
            <x14:dxf>
              <fill>
                <patternFill patternType="solid">
                  <bgColor rgb="FFFFC000"/>
                </patternFill>
              </fill>
            </x14:dxf>
          </x14:cfRule>
          <xm:sqref>AB828</xm:sqref>
        </x14:conditionalFormatting>
        <x14:conditionalFormatting xmlns:xm="http://schemas.microsoft.com/office/excel/2006/main">
          <x14:cfRule type="containsText" priority="216" operator="containsText" id="{C3AE4DE1-53BB-47E9-921C-0C5533C66387}">
            <xm:f>NOT(ISERROR(SEARCH('\Users\xiaoga7x\Desktop\[PCIE_new.xlsx]VALUE'!#REF!,AB931)))</xm:f>
            <xm:f>'\Users\xiaoga7x\Desktop\[PCIE_new.xlsx]VALUE'!#REF!</xm:f>
            <x14:dxf>
              <fill>
                <patternFill patternType="solid">
                  <bgColor rgb="FFFF0000"/>
                </patternFill>
              </fill>
            </x14:dxf>
          </x14:cfRule>
          <x14:cfRule type="containsText" priority="217" operator="containsText" id="{B36A62CD-5BEF-4470-AF8E-06B8AC298707}">
            <xm:f>NOT(ISERROR(SEARCH('\Users\xiaoga7x\Desktop\[PCIE_new.xlsx]VALUE'!#REF!,AB931)))</xm:f>
            <xm:f>'\Users\xiaoga7x\Desktop\[PCIE_new.xlsx]VALUE'!#REF!</xm:f>
            <x14:dxf>
              <fill>
                <patternFill patternType="solid">
                  <bgColor rgb="FFFFFF00"/>
                </patternFill>
              </fill>
            </x14:dxf>
          </x14:cfRule>
          <x14:cfRule type="containsText" priority="218" operator="containsText" id="{522DB36C-1866-4098-AD60-B0637870751E}">
            <xm:f>NOT(ISERROR(SEARCH('\Users\xiaoga7x\Desktop\[PCIE_new.xlsx]VALUE'!#REF!,AB931)))</xm:f>
            <xm:f>'\Users\xiaoga7x\Desktop\[PCIE_new.xlsx]VALUE'!#REF!</xm:f>
            <x14:dxf>
              <fill>
                <patternFill patternType="solid">
                  <bgColor rgb="FFFFC000"/>
                </patternFill>
              </fill>
            </x14:dxf>
          </x14:cfRule>
          <xm:sqref>AB931:AB934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5">
        <x14:dataValidation type="list" allowBlank="1" showInputMessage="1" showErrorMessage="1">
          <x14:formula1>
            <xm:f>Values!$I$5:$I$6</xm:f>
          </x14:formula1>
          <xm:sqref>I1337:I1382 I935:I1065 I1419:I1421 I2:I880 I1160:I1168 I1313:I1321 I1174:I1183 I1203 I1329 I1423:I1048576</xm:sqref>
        </x14:dataValidation>
        <x14:dataValidation type="list" allowBlank="1" showInputMessage="1" showErrorMessage="1">
          <x14:formula1>
            <xm:f>Values!$K$5:$K$6</xm:f>
          </x14:formula1>
          <xm:sqref>Z1023:Z1028 M2:N880 M935:N1065 M1337:N1382 M1523:N1523 M1572:N1614 M1313:N1331 M1425:N1515 M1525:N1565 M1620:N1048576 C1:C1048576</xm:sqref>
        </x14:dataValidation>
        <x14:dataValidation type="list" allowBlank="1" showInputMessage="1" showErrorMessage="1">
          <x14:formula1>
            <xm:f>Values!$K$5:$K$7</xm:f>
          </x14:formula1>
          <xm:sqref>AA1029:AA1030 Z903 Z935:Z1022 Z2:Z880 Z1029:Z1065 AA1057:AA1065 Z1453:Z1515 Z1160:Z1165 Z1174:AA1174 Y1337:Z1382 N1615:O1619 AA1387:AA1419 AA1462 Y1313:AA1321 AA1620:AA1634 AA1607 AA1332:AA1334 AB1181:AB1182 Y1:Y1065 Z1071:AA1071 AA1131 AA1160:AA1168 AA1191 Z1177:AA1183 Y1743:Z1048576 Y1453:Y1725 Z1518:Z1725</xm:sqref>
        </x14:dataValidation>
        <x14:dataValidation type="list" allowBlank="1" showInputMessage="1" showErrorMessage="1">
          <x14:formula1>
            <xm:f>Values!$K$5:$K$8</xm:f>
          </x14:formula1>
          <xm:sqref>AA1031:AA1056 P1615:P1619 AA1072:AA1086 AA1422:AA1424 AA1154:AA1159 Z1166:Z1168 AA1453:AA1461 AA1335:AA1383 AA1322:AA1331 Z1176:AA1176 Z1203:AA1203 AA1463:AA1606 AA1608:AA1619 AA1:AA1028 Y1143:AA1143 AA1171:AA1172 AA1169 Y1726:Z1742 AA1635:AA1048576</xm:sqref>
        </x14:dataValidation>
        <x14:dataValidation type="list" allowBlank="1" showInputMessage="1" showErrorMessage="1">
          <x14:formula1>
            <xm:f>Values!$G$5:$G$10</xm:f>
          </x14:formula1>
          <xm:sqref>H2:H880 H935:H1065 H1337:H1382 H1313:H1331 H1425:H1514 H1520:H1048576</xm:sqref>
        </x14:dataValidation>
        <x14:dataValidation type="list" allowBlank="1" showInputMessage="1" showErrorMessage="1">
          <x14:formula1>
            <xm:f>[2]Values!#REF!</xm:f>
          </x14:formula1>
          <xm:sqref>Z881:Z902 H881:I934 Z904:Z934 M881:N934</xm:sqref>
        </x14:dataValidation>
        <x14:dataValidation type="list" allowBlank="1" showInputMessage="1" showErrorMessage="1">
          <x14:formula1>
            <xm:f>Values!$U$5:$U$7</xm:f>
          </x14:formula1>
          <xm:sqref>O1337:O1382 O1313:O1331 O1425:O1614 O1:O1065 O1620:O1048576</xm:sqref>
        </x14:dataValidation>
        <x14:dataValidation type="list" allowBlank="1" showInputMessage="1" showErrorMessage="1">
          <x14:formula1>
            <xm:f>Values!$C$5:$C$12</xm:f>
          </x14:formula1>
          <xm:sqref>A1337:A1382 A1425:A1048576 A2:A1331</xm:sqref>
        </x14:dataValidation>
        <x14:dataValidation type="list" allowBlank="1" showInputMessage="1" showErrorMessage="1">
          <x14:formula1>
            <xm:f>[3]Values!#REF!</xm:f>
          </x14:formula1>
          <xm:sqref>Z1516:Z1517 M1566:N1571 H1515:H1519 M1516:N1522 I1422 M1524:N1524 AA1420:AA1421 M1387:O1424 H1387:H1424 Y1387:Z1452 AA1425:AA1452 A1387:A1424 I1387:I1418</xm:sqref>
        </x14:dataValidation>
        <x14:dataValidation type="list" allowBlank="1" showInputMessage="1" showErrorMessage="1">
          <x14:formula1>
            <xm:f>[1]DropList!#REF!</xm:f>
          </x14:formula1>
          <xm:sqref>M1066:M1097 O1066:O1107 Z1144:Z1159 AA1184:AA1190 AA1144:AA1153 Z1072:Z1142 AA1173 Z1175:AA1175 AA1132:AA1142 Z1066:AA1070 Y1066:Y1142 Z1169:Z1173 AA1170 Z1184:Z1202 AA1192:AA1202 AA1087:AA1130 Z1204:AA1312 Y1144:Y1312</xm:sqref>
        </x14:dataValidation>
        <x14:dataValidation type="list" allowBlank="1" showInputMessage="1" showErrorMessage="1">
          <x14:formula1>
            <xm:f>Values!$Q$5:$Q$12</xm:f>
          </x14:formula1>
          <xm:sqref>Q1615:Q1619 AB1332:AB1048576 AB2:AB1180 AB1183:AB1321</xm:sqref>
        </x14:dataValidation>
        <x14:dataValidation type="list" allowBlank="1" showInputMessage="1" showErrorMessage="1">
          <x14:formula1>
            <xm:f>Values!$S$5:$S$12</xm:f>
          </x14:formula1>
          <xm:sqref>D1327 D1329:D1048576 D2:D1325</xm:sqref>
        </x14:dataValidation>
        <x14:dataValidation type="list" allowBlank="1" showInputMessage="1" showErrorMessage="1">
          <x14:formula1>
            <xm:f>[1]Values!#REF!</xm:f>
          </x14:formula1>
          <xm:sqref>AB1322:AB1331 Y1322:Z1331 I1330:I1331 D1328 D1326 I1322:I1328</xm:sqref>
        </x14:dataValidation>
        <x14:dataValidation type="list" allowBlank="1" showInputMessage="1" showErrorMessage="1">
          <x14:formula1>
            <xm:f>Values!$W$5:$W$7</xm:f>
          </x14:formula1>
          <xm:sqref>E1:E1048576</xm:sqref>
        </x14:dataValidation>
        <x14:dataValidation type="list" allowBlank="1" showInputMessage="1" showErrorMessage="1">
          <x14:formula1>
            <xm:f>Values!$M$5:$M$16</xm:f>
          </x14:formula1>
          <xm:sqref>L2:L1048576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9"/>
  <sheetViews>
    <sheetView workbookViewId="0">
      <selection activeCell="C28" sqref="C28"/>
    </sheetView>
  </sheetViews>
  <sheetFormatPr defaultRowHeight="15"/>
  <cols>
    <col min="1" max="1" width="31.85546875" customWidth="1"/>
    <col min="2" max="2" width="25.140625" style="551" customWidth="1"/>
    <col min="5" max="5" width="32.85546875" customWidth="1"/>
    <col min="6" max="6" width="19.42578125" style="551" bestFit="1" customWidth="1"/>
  </cols>
  <sheetData>
    <row r="1" spans="1:2">
      <c r="A1" s="554" t="s">
        <v>9</v>
      </c>
      <c r="B1" s="553" t="s">
        <v>2755</v>
      </c>
    </row>
    <row r="2" spans="1:2">
      <c r="A2" s="554" t="s">
        <v>2478</v>
      </c>
      <c r="B2" s="553" t="s">
        <v>27</v>
      </c>
    </row>
    <row r="3" spans="1:2">
      <c r="A3" s="554" t="s">
        <v>6</v>
      </c>
      <c r="B3" s="553" t="s">
        <v>21</v>
      </c>
    </row>
    <row r="5" spans="1:2">
      <c r="A5" s="163" t="s">
        <v>2750</v>
      </c>
      <c r="B5" s="551" t="s">
        <v>7151</v>
      </c>
    </row>
    <row r="6" spans="1:2">
      <c r="A6" s="164" t="s">
        <v>61</v>
      </c>
      <c r="B6" s="552">
        <v>12</v>
      </c>
    </row>
    <row r="7" spans="1:2">
      <c r="A7" s="242" t="s">
        <v>209</v>
      </c>
      <c r="B7" s="552">
        <v>6</v>
      </c>
    </row>
    <row r="8" spans="1:2">
      <c r="A8" s="242" t="s">
        <v>223</v>
      </c>
      <c r="B8" s="552">
        <v>1</v>
      </c>
    </row>
    <row r="9" spans="1:2">
      <c r="A9" s="242" t="s">
        <v>83</v>
      </c>
      <c r="B9" s="552">
        <v>3</v>
      </c>
    </row>
    <row r="10" spans="1:2">
      <c r="A10" s="242" t="s">
        <v>5943</v>
      </c>
      <c r="B10" s="552">
        <v>2</v>
      </c>
    </row>
    <row r="11" spans="1:2">
      <c r="A11" s="164" t="s">
        <v>6752</v>
      </c>
      <c r="B11" s="552">
        <v>5</v>
      </c>
    </row>
    <row r="12" spans="1:2">
      <c r="A12" s="242" t="s">
        <v>209</v>
      </c>
      <c r="B12" s="552">
        <v>3</v>
      </c>
    </row>
    <row r="13" spans="1:2">
      <c r="A13" s="242" t="s">
        <v>223</v>
      </c>
      <c r="B13" s="552">
        <v>2</v>
      </c>
    </row>
    <row r="14" spans="1:2">
      <c r="A14" s="164" t="s">
        <v>337</v>
      </c>
      <c r="B14" s="552">
        <v>25</v>
      </c>
    </row>
    <row r="15" spans="1:2">
      <c r="A15" s="555" t="s">
        <v>362</v>
      </c>
      <c r="B15" s="556">
        <v>3</v>
      </c>
    </row>
    <row r="16" spans="1:2">
      <c r="A16" s="555" t="s">
        <v>7149</v>
      </c>
      <c r="B16" s="556">
        <v>1</v>
      </c>
    </row>
    <row r="17" spans="1:2">
      <c r="A17" s="555" t="s">
        <v>223</v>
      </c>
      <c r="B17" s="556">
        <v>3</v>
      </c>
    </row>
    <row r="18" spans="1:2">
      <c r="A18" s="555" t="s">
        <v>37</v>
      </c>
      <c r="B18" s="556">
        <v>7</v>
      </c>
    </row>
    <row r="19" spans="1:2">
      <c r="A19" s="242" t="s">
        <v>3645</v>
      </c>
      <c r="B19" s="552">
        <v>3</v>
      </c>
    </row>
    <row r="20" spans="1:2">
      <c r="A20" s="555" t="s">
        <v>83</v>
      </c>
      <c r="B20" s="556">
        <v>4</v>
      </c>
    </row>
    <row r="21" spans="1:2">
      <c r="A21" s="555" t="s">
        <v>4787</v>
      </c>
      <c r="B21" s="556">
        <v>1</v>
      </c>
    </row>
    <row r="22" spans="1:2">
      <c r="A22" s="555" t="s">
        <v>876</v>
      </c>
      <c r="B22" s="556">
        <v>3</v>
      </c>
    </row>
    <row r="23" spans="1:2">
      <c r="A23" s="164" t="s">
        <v>6870</v>
      </c>
      <c r="B23" s="552">
        <v>1</v>
      </c>
    </row>
    <row r="24" spans="1:2">
      <c r="A24" s="555" t="s">
        <v>4889</v>
      </c>
      <c r="B24" s="556">
        <v>1</v>
      </c>
    </row>
    <row r="25" spans="1:2">
      <c r="A25" s="164" t="s">
        <v>3650</v>
      </c>
      <c r="B25" s="552">
        <v>10</v>
      </c>
    </row>
    <row r="26" spans="1:2">
      <c r="A26" s="555" t="s">
        <v>7149</v>
      </c>
      <c r="B26" s="556">
        <v>1</v>
      </c>
    </row>
    <row r="27" spans="1:2">
      <c r="A27" s="555" t="s">
        <v>204</v>
      </c>
      <c r="B27" s="556">
        <v>3</v>
      </c>
    </row>
    <row r="28" spans="1:2">
      <c r="A28" s="242" t="s">
        <v>3645</v>
      </c>
      <c r="B28" s="552">
        <v>3</v>
      </c>
    </row>
    <row r="29" spans="1:2">
      <c r="A29" s="555" t="s">
        <v>4787</v>
      </c>
      <c r="B29" s="556">
        <v>2</v>
      </c>
    </row>
    <row r="30" spans="1:2">
      <c r="A30" s="242" t="s">
        <v>876</v>
      </c>
      <c r="B30" s="552">
        <v>1</v>
      </c>
    </row>
    <row r="31" spans="1:2">
      <c r="A31" s="164" t="s">
        <v>6534</v>
      </c>
      <c r="B31" s="552">
        <v>1</v>
      </c>
    </row>
    <row r="32" spans="1:2">
      <c r="A32" s="242" t="s">
        <v>5943</v>
      </c>
      <c r="B32" s="552">
        <v>1</v>
      </c>
    </row>
    <row r="33" spans="1:6">
      <c r="A33" s="164" t="s">
        <v>7147</v>
      </c>
      <c r="B33" s="552">
        <v>1</v>
      </c>
    </row>
    <row r="34" spans="1:6">
      <c r="A34" s="242" t="s">
        <v>209</v>
      </c>
      <c r="B34" s="552">
        <v>1</v>
      </c>
    </row>
    <row r="35" spans="1:6">
      <c r="A35" s="164" t="s">
        <v>7148</v>
      </c>
      <c r="B35" s="552">
        <v>4</v>
      </c>
    </row>
    <row r="36" spans="1:6">
      <c r="A36" s="242" t="s">
        <v>209</v>
      </c>
      <c r="B36" s="552">
        <v>4</v>
      </c>
    </row>
    <row r="37" spans="1:6">
      <c r="A37" s="164" t="s">
        <v>6892</v>
      </c>
      <c r="B37" s="552">
        <v>3</v>
      </c>
    </row>
    <row r="38" spans="1:6">
      <c r="A38" s="242" t="s">
        <v>209</v>
      </c>
      <c r="B38" s="552">
        <v>3</v>
      </c>
    </row>
    <row r="39" spans="1:6">
      <c r="A39" s="164" t="s">
        <v>206</v>
      </c>
      <c r="B39" s="552">
        <v>14</v>
      </c>
    </row>
    <row r="40" spans="1:6">
      <c r="A40" s="242" t="s">
        <v>7149</v>
      </c>
      <c r="B40" s="552">
        <v>1</v>
      </c>
    </row>
    <row r="41" spans="1:6">
      <c r="A41" s="555" t="s">
        <v>204</v>
      </c>
      <c r="B41" s="556">
        <v>6</v>
      </c>
      <c r="F41"/>
    </row>
    <row r="42" spans="1:6">
      <c r="A42" s="242" t="s">
        <v>3645</v>
      </c>
      <c r="B42" s="552">
        <v>4</v>
      </c>
      <c r="F42"/>
    </row>
    <row r="43" spans="1:6">
      <c r="A43" s="242" t="s">
        <v>7150</v>
      </c>
      <c r="B43" s="552">
        <v>1</v>
      </c>
      <c r="F43"/>
    </row>
    <row r="44" spans="1:6">
      <c r="A44" s="242" t="s">
        <v>4787</v>
      </c>
      <c r="B44" s="552">
        <v>1</v>
      </c>
      <c r="F44"/>
    </row>
    <row r="45" spans="1:6">
      <c r="A45" s="242" t="s">
        <v>876</v>
      </c>
      <c r="B45" s="552">
        <v>1</v>
      </c>
      <c r="F45"/>
    </row>
    <row r="46" spans="1:6">
      <c r="A46" s="164" t="s">
        <v>26</v>
      </c>
      <c r="B46" s="552">
        <v>11</v>
      </c>
      <c r="F46"/>
    </row>
    <row r="47" spans="1:6">
      <c r="A47" s="242" t="s">
        <v>24</v>
      </c>
      <c r="B47" s="552">
        <v>6</v>
      </c>
      <c r="F47"/>
    </row>
    <row r="48" spans="1:6" s="559" customFormat="1">
      <c r="A48" s="557" t="s">
        <v>209</v>
      </c>
      <c r="B48" s="558">
        <v>5</v>
      </c>
    </row>
    <row r="49" spans="1:6">
      <c r="A49" s="164" t="s">
        <v>236</v>
      </c>
      <c r="B49" s="552">
        <v>1</v>
      </c>
      <c r="F49"/>
    </row>
    <row r="50" spans="1:6">
      <c r="A50" s="555" t="s">
        <v>209</v>
      </c>
      <c r="B50" s="556">
        <v>1</v>
      </c>
      <c r="F50"/>
    </row>
    <row r="51" spans="1:6">
      <c r="A51" s="164" t="s">
        <v>33</v>
      </c>
      <c r="B51" s="552">
        <v>6</v>
      </c>
      <c r="F51"/>
    </row>
    <row r="52" spans="1:6">
      <c r="A52" s="242" t="s">
        <v>24</v>
      </c>
      <c r="B52" s="552">
        <v>1</v>
      </c>
      <c r="F52"/>
    </row>
    <row r="53" spans="1:6" s="559" customFormat="1">
      <c r="A53" s="555" t="s">
        <v>362</v>
      </c>
      <c r="B53" s="556">
        <v>4</v>
      </c>
    </row>
    <row r="54" spans="1:6">
      <c r="A54" s="242" t="s">
        <v>83</v>
      </c>
      <c r="B54" s="552">
        <v>1</v>
      </c>
      <c r="F54"/>
    </row>
    <row r="55" spans="1:6">
      <c r="A55" s="164" t="s">
        <v>2751</v>
      </c>
      <c r="B55" s="552">
        <v>94</v>
      </c>
      <c r="F55"/>
    </row>
    <row r="56" spans="1:6">
      <c r="F56"/>
    </row>
    <row r="57" spans="1:6">
      <c r="F57"/>
    </row>
    <row r="58" spans="1:6">
      <c r="F58"/>
    </row>
    <row r="59" spans="1:6">
      <c r="F59"/>
    </row>
    <row r="60" spans="1:6">
      <c r="A60" s="163" t="s">
        <v>9</v>
      </c>
      <c r="B60" t="s">
        <v>2755</v>
      </c>
      <c r="F60"/>
    </row>
    <row r="61" spans="1:6">
      <c r="A61" s="163" t="s">
        <v>2478</v>
      </c>
      <c r="B61" t="s">
        <v>27</v>
      </c>
      <c r="F61"/>
    </row>
    <row r="62" spans="1:6">
      <c r="A62" s="163" t="s">
        <v>6</v>
      </c>
      <c r="B62" t="s">
        <v>60</v>
      </c>
      <c r="F62"/>
    </row>
    <row r="63" spans="1:6">
      <c r="F63"/>
    </row>
    <row r="64" spans="1:6">
      <c r="A64" s="163" t="s">
        <v>2750</v>
      </c>
      <c r="B64" s="551" t="s">
        <v>7151</v>
      </c>
      <c r="F64"/>
    </row>
    <row r="65" spans="1:6">
      <c r="A65" s="164" t="s">
        <v>337</v>
      </c>
      <c r="B65" s="552">
        <v>1</v>
      </c>
      <c r="F65"/>
    </row>
    <row r="66" spans="1:6">
      <c r="A66" s="242" t="s">
        <v>37</v>
      </c>
      <c r="B66" s="552">
        <v>1</v>
      </c>
      <c r="F66"/>
    </row>
    <row r="67" spans="1:6">
      <c r="A67" s="164" t="s">
        <v>6381</v>
      </c>
      <c r="B67" s="552">
        <v>3</v>
      </c>
      <c r="F67"/>
    </row>
    <row r="68" spans="1:6">
      <c r="A68" s="242" t="s">
        <v>3671</v>
      </c>
      <c r="B68" s="552">
        <v>2</v>
      </c>
      <c r="F68"/>
    </row>
    <row r="69" spans="1:6">
      <c r="A69" s="242" t="s">
        <v>5730</v>
      </c>
      <c r="B69" s="552">
        <v>1</v>
      </c>
      <c r="F69"/>
    </row>
    <row r="70" spans="1:6">
      <c r="A70" s="164" t="s">
        <v>5854</v>
      </c>
      <c r="B70" s="552">
        <v>2</v>
      </c>
      <c r="F70"/>
    </row>
    <row r="71" spans="1:6">
      <c r="A71" s="242" t="s">
        <v>5855</v>
      </c>
      <c r="B71" s="552">
        <v>2</v>
      </c>
      <c r="F71"/>
    </row>
    <row r="72" spans="1:6">
      <c r="A72" s="164" t="s">
        <v>5859</v>
      </c>
      <c r="B72" s="552">
        <v>2</v>
      </c>
      <c r="F72"/>
    </row>
    <row r="73" spans="1:6">
      <c r="A73" s="242" t="s">
        <v>5730</v>
      </c>
      <c r="B73" s="552">
        <v>2</v>
      </c>
      <c r="F73"/>
    </row>
    <row r="74" spans="1:6">
      <c r="A74" s="164" t="s">
        <v>3663</v>
      </c>
      <c r="B74" s="552">
        <v>1</v>
      </c>
      <c r="F74"/>
    </row>
    <row r="75" spans="1:6">
      <c r="A75" s="242" t="s">
        <v>3671</v>
      </c>
      <c r="B75" s="552">
        <v>1</v>
      </c>
      <c r="F75"/>
    </row>
    <row r="76" spans="1:6">
      <c r="A76" s="164" t="s">
        <v>4426</v>
      </c>
      <c r="B76" s="552">
        <v>1</v>
      </c>
      <c r="F76"/>
    </row>
    <row r="77" spans="1:6">
      <c r="A77" s="242" t="s">
        <v>2485</v>
      </c>
      <c r="B77" s="552">
        <v>1</v>
      </c>
      <c r="F77"/>
    </row>
    <row r="78" spans="1:6">
      <c r="A78" s="164" t="s">
        <v>6927</v>
      </c>
      <c r="B78" s="552">
        <v>3</v>
      </c>
      <c r="F78"/>
    </row>
    <row r="79" spans="1:6">
      <c r="A79" s="242" t="s">
        <v>1588</v>
      </c>
      <c r="B79" s="552">
        <v>3</v>
      </c>
      <c r="F79"/>
    </row>
    <row r="80" spans="1:6">
      <c r="A80" s="164" t="s">
        <v>6257</v>
      </c>
      <c r="B80" s="552">
        <v>1</v>
      </c>
      <c r="F80"/>
    </row>
    <row r="81" spans="1:6">
      <c r="A81" s="242" t="s">
        <v>2501</v>
      </c>
      <c r="B81" s="552">
        <v>1</v>
      </c>
      <c r="F81"/>
    </row>
    <row r="82" spans="1:6">
      <c r="A82" s="164" t="s">
        <v>4445</v>
      </c>
      <c r="B82" s="552">
        <v>1</v>
      </c>
      <c r="F82"/>
    </row>
    <row r="83" spans="1:6">
      <c r="A83" s="242" t="s">
        <v>2501</v>
      </c>
      <c r="B83" s="552">
        <v>1</v>
      </c>
      <c r="F83"/>
    </row>
    <row r="84" spans="1:6">
      <c r="A84" s="164" t="s">
        <v>5952</v>
      </c>
      <c r="B84" s="552">
        <v>7</v>
      </c>
      <c r="F84"/>
    </row>
    <row r="85" spans="1:6">
      <c r="A85" s="555" t="s">
        <v>3686</v>
      </c>
      <c r="B85" s="556">
        <v>6</v>
      </c>
      <c r="F85"/>
    </row>
    <row r="86" spans="1:6">
      <c r="A86" s="242" t="s">
        <v>5730</v>
      </c>
      <c r="B86" s="552">
        <v>1</v>
      </c>
      <c r="F86"/>
    </row>
    <row r="87" spans="1:6">
      <c r="A87" s="164" t="s">
        <v>5939</v>
      </c>
      <c r="B87" s="552">
        <v>1</v>
      </c>
      <c r="F87"/>
    </row>
    <row r="88" spans="1:6">
      <c r="A88" s="242" t="s">
        <v>3670</v>
      </c>
      <c r="B88" s="552">
        <v>1</v>
      </c>
      <c r="F88"/>
    </row>
    <row r="89" spans="1:6">
      <c r="A89" s="164" t="s">
        <v>2651</v>
      </c>
      <c r="B89" s="552">
        <v>9</v>
      </c>
      <c r="F89"/>
    </row>
    <row r="90" spans="1:6">
      <c r="A90" s="555" t="s">
        <v>6858</v>
      </c>
      <c r="B90" s="556">
        <v>1</v>
      </c>
      <c r="F90"/>
    </row>
    <row r="91" spans="1:6">
      <c r="A91" s="555" t="s">
        <v>3686</v>
      </c>
      <c r="B91" s="556">
        <v>2</v>
      </c>
      <c r="F91"/>
    </row>
    <row r="92" spans="1:6">
      <c r="A92" s="555" t="s">
        <v>2486</v>
      </c>
      <c r="B92" s="556">
        <v>6</v>
      </c>
      <c r="F92"/>
    </row>
    <row r="93" spans="1:6">
      <c r="A93" s="164" t="s">
        <v>4427</v>
      </c>
      <c r="B93" s="552">
        <v>7</v>
      </c>
      <c r="F93"/>
    </row>
    <row r="94" spans="1:6">
      <c r="A94" s="555" t="s">
        <v>2484</v>
      </c>
      <c r="B94" s="556">
        <v>7</v>
      </c>
      <c r="F94"/>
    </row>
    <row r="95" spans="1:6">
      <c r="A95" s="164" t="s">
        <v>5972</v>
      </c>
      <c r="B95" s="552">
        <v>1</v>
      </c>
      <c r="F95"/>
    </row>
    <row r="96" spans="1:6">
      <c r="A96" s="242" t="s">
        <v>3668</v>
      </c>
      <c r="B96" s="552">
        <v>1</v>
      </c>
      <c r="F96"/>
    </row>
    <row r="97" spans="1:6">
      <c r="A97" s="164" t="s">
        <v>3665</v>
      </c>
      <c r="B97" s="552">
        <v>1</v>
      </c>
      <c r="F97"/>
    </row>
    <row r="98" spans="1:6">
      <c r="A98" s="242" t="s">
        <v>3668</v>
      </c>
      <c r="B98" s="552">
        <v>1</v>
      </c>
      <c r="F98"/>
    </row>
    <row r="99" spans="1:6">
      <c r="A99" s="164" t="s">
        <v>2751</v>
      </c>
      <c r="B99" s="552">
        <v>41</v>
      </c>
      <c r="F99"/>
    </row>
    <row r="100" spans="1:6">
      <c r="F100"/>
    </row>
    <row r="101" spans="1:6">
      <c r="F101"/>
    </row>
    <row r="102" spans="1:6">
      <c r="F102"/>
    </row>
    <row r="103" spans="1:6">
      <c r="F103"/>
    </row>
    <row r="104" spans="1:6">
      <c r="F104"/>
    </row>
    <row r="105" spans="1:6">
      <c r="F105"/>
    </row>
    <row r="106" spans="1:6">
      <c r="F106"/>
    </row>
    <row r="107" spans="1:6">
      <c r="F107"/>
    </row>
    <row r="108" spans="1:6">
      <c r="F108"/>
    </row>
    <row r="109" spans="1:6">
      <c r="F109"/>
    </row>
    <row r="110" spans="1:6">
      <c r="F110"/>
    </row>
    <row r="111" spans="1:6">
      <c r="F111"/>
    </row>
    <row r="112" spans="1:6">
      <c r="F112"/>
    </row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</sheetData>
  <pageMargins left="0.7" right="0.7" top="0.75" bottom="0.75" header="0.3" footer="0.3"/>
  <customProperties>
    <customPr name="Guid" r:id="rId3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4:W17"/>
  <sheetViews>
    <sheetView topLeftCell="G1" workbookViewId="0">
      <selection activeCell="M4" sqref="M4"/>
    </sheetView>
  </sheetViews>
  <sheetFormatPr defaultColWidth="9" defaultRowHeight="15"/>
  <cols>
    <col min="1" max="1" width="15.140625" customWidth="1"/>
    <col min="5" max="5" width="11.85546875" customWidth="1"/>
    <col min="17" max="17" width="21.85546875" customWidth="1"/>
  </cols>
  <sheetData>
    <row r="4" spans="1:23">
      <c r="A4" s="1" t="s">
        <v>1219</v>
      </c>
      <c r="C4" s="1" t="s">
        <v>1216</v>
      </c>
      <c r="E4" s="1" t="s">
        <v>1217</v>
      </c>
      <c r="G4" s="1" t="s">
        <v>5</v>
      </c>
      <c r="I4" s="1" t="s">
        <v>6</v>
      </c>
      <c r="K4" s="1" t="s">
        <v>1334</v>
      </c>
      <c r="M4" s="1" t="s">
        <v>1335</v>
      </c>
      <c r="O4" s="1" t="s">
        <v>1336</v>
      </c>
      <c r="Q4" s="1" t="s">
        <v>2472</v>
      </c>
      <c r="S4" s="165" t="s">
        <v>11</v>
      </c>
      <c r="U4" s="166" t="s">
        <v>2765</v>
      </c>
      <c r="W4" s="165" t="s">
        <v>5532</v>
      </c>
    </row>
    <row r="5" spans="1:23">
      <c r="A5" s="2" t="s">
        <v>1229</v>
      </c>
      <c r="C5" s="2" t="s">
        <v>364</v>
      </c>
      <c r="E5" s="2" t="s">
        <v>1228</v>
      </c>
      <c r="G5" s="2" t="s">
        <v>20</v>
      </c>
      <c r="I5" s="2" t="s">
        <v>21</v>
      </c>
      <c r="K5" s="2" t="s">
        <v>27</v>
      </c>
      <c r="M5" s="2" t="s">
        <v>23</v>
      </c>
      <c r="O5" s="2" t="s">
        <v>24</v>
      </c>
      <c r="Q5" s="2" t="s">
        <v>2473</v>
      </c>
      <c r="S5" s="166" t="s">
        <v>2658</v>
      </c>
      <c r="U5" s="166" t="s">
        <v>2227</v>
      </c>
      <c r="W5" s="2" t="s">
        <v>17</v>
      </c>
    </row>
    <row r="6" spans="1:23">
      <c r="A6" s="2" t="s">
        <v>1282</v>
      </c>
      <c r="C6" s="2" t="s">
        <v>336</v>
      </c>
      <c r="E6" s="2" t="s">
        <v>1234</v>
      </c>
      <c r="G6" s="2" t="s">
        <v>3084</v>
      </c>
      <c r="I6" s="2" t="s">
        <v>60</v>
      </c>
      <c r="K6" s="2" t="s">
        <v>22</v>
      </c>
      <c r="M6" s="2" t="s">
        <v>31</v>
      </c>
      <c r="O6" s="2" t="s">
        <v>362</v>
      </c>
      <c r="Q6" s="2" t="s">
        <v>2474</v>
      </c>
      <c r="S6" s="166" t="s">
        <v>2758</v>
      </c>
      <c r="U6" s="166" t="s">
        <v>3638</v>
      </c>
      <c r="W6" s="2" t="s">
        <v>5533</v>
      </c>
    </row>
    <row r="7" spans="1:23">
      <c r="A7" s="2" t="s">
        <v>1233</v>
      </c>
      <c r="C7" s="2" t="s">
        <v>1244</v>
      </c>
      <c r="E7" s="2" t="s">
        <v>1235</v>
      </c>
      <c r="G7" s="2" t="s">
        <v>104</v>
      </c>
      <c r="I7" s="2"/>
      <c r="K7" s="2" t="s">
        <v>349</v>
      </c>
      <c r="M7" s="2" t="s">
        <v>211</v>
      </c>
      <c r="O7" s="2" t="s">
        <v>209</v>
      </c>
      <c r="Q7" s="2" t="s">
        <v>2021</v>
      </c>
      <c r="S7" s="166" t="s">
        <v>2759</v>
      </c>
      <c r="U7" s="166" t="s">
        <v>3639</v>
      </c>
      <c r="W7" s="2" t="s">
        <v>601</v>
      </c>
    </row>
    <row r="8" spans="1:23">
      <c r="A8" s="2" t="s">
        <v>1285</v>
      </c>
      <c r="C8" s="2" t="s">
        <v>203</v>
      </c>
      <c r="E8" s="2" t="s">
        <v>1236</v>
      </c>
      <c r="G8" s="2" t="s">
        <v>599</v>
      </c>
      <c r="I8" s="2"/>
      <c r="K8" s="2" t="s">
        <v>2021</v>
      </c>
      <c r="M8" s="2" t="s">
        <v>2351</v>
      </c>
      <c r="O8" s="2" t="s">
        <v>204</v>
      </c>
      <c r="Q8" s="2" t="s">
        <v>2475</v>
      </c>
      <c r="S8" s="166" t="s">
        <v>2760</v>
      </c>
    </row>
    <row r="9" spans="1:23">
      <c r="C9" s="2" t="s">
        <v>0</v>
      </c>
      <c r="E9" s="2" t="s">
        <v>1237</v>
      </c>
      <c r="G9" s="2" t="s">
        <v>96</v>
      </c>
      <c r="I9" s="2"/>
      <c r="M9" s="2" t="s">
        <v>97</v>
      </c>
      <c r="O9" s="2" t="s">
        <v>223</v>
      </c>
      <c r="Q9" s="2" t="s">
        <v>2476</v>
      </c>
      <c r="S9" s="166" t="s">
        <v>25</v>
      </c>
    </row>
    <row r="10" spans="1:23">
      <c r="C10" s="2" t="s">
        <v>3640</v>
      </c>
      <c r="E10" s="2" t="s">
        <v>1238</v>
      </c>
      <c r="G10" s="2" t="s">
        <v>2228</v>
      </c>
      <c r="M10" s="2" t="s">
        <v>6385</v>
      </c>
      <c r="O10" s="2" t="s">
        <v>37</v>
      </c>
      <c r="Q10" s="2" t="s">
        <v>2477</v>
      </c>
      <c r="S10" s="166" t="s">
        <v>2761</v>
      </c>
    </row>
    <row r="11" spans="1:23">
      <c r="C11" s="2" t="s">
        <v>3641</v>
      </c>
      <c r="E11" s="2" t="s">
        <v>1267</v>
      </c>
      <c r="M11" s="2" t="s">
        <v>6386</v>
      </c>
      <c r="O11" s="2" t="s">
        <v>1025</v>
      </c>
      <c r="Q11" s="2" t="s">
        <v>2479</v>
      </c>
      <c r="S11" s="166" t="s">
        <v>2893</v>
      </c>
    </row>
    <row r="12" spans="1:23">
      <c r="C12" s="2" t="s">
        <v>1245</v>
      </c>
      <c r="E12" s="2" t="s">
        <v>1268</v>
      </c>
      <c r="M12" s="2" t="s">
        <v>1795</v>
      </c>
      <c r="O12" s="2" t="s">
        <v>1337</v>
      </c>
      <c r="Q12" s="2" t="s">
        <v>5949</v>
      </c>
      <c r="S12" s="166" t="s">
        <v>2894</v>
      </c>
    </row>
    <row r="13" spans="1:23">
      <c r="E13" s="2" t="s">
        <v>1338</v>
      </c>
      <c r="M13" s="2" t="s">
        <v>4187</v>
      </c>
      <c r="O13" s="2" t="s">
        <v>83</v>
      </c>
    </row>
    <row r="14" spans="1:23">
      <c r="E14" s="2" t="s">
        <v>1339</v>
      </c>
      <c r="M14" s="2" t="s">
        <v>4188</v>
      </c>
      <c r="O14" s="2" t="s">
        <v>32</v>
      </c>
    </row>
    <row r="15" spans="1:23">
      <c r="E15" s="330" t="s">
        <v>5460</v>
      </c>
      <c r="M15" s="2" t="s">
        <v>4464</v>
      </c>
      <c r="O15" s="2" t="s">
        <v>876</v>
      </c>
    </row>
    <row r="16" spans="1:23">
      <c r="E16" s="330" t="s">
        <v>1242</v>
      </c>
      <c r="M16" s="2" t="s">
        <v>5368</v>
      </c>
      <c r="O16" s="2" t="s">
        <v>2259</v>
      </c>
    </row>
    <row r="17" spans="5:15">
      <c r="E17" s="2" t="s">
        <v>1243</v>
      </c>
      <c r="O17" s="2" t="s">
        <v>2260</v>
      </c>
    </row>
  </sheetData>
  <sheetProtection password="C71F" sheet="1" objects="1" scenarios="1"/>
  <sortState ref="O5:O15">
    <sortCondition ref="O5"/>
  </sortState>
  <phoneticPr fontId="131" type="noConversion"/>
  <pageMargins left="0.69930555555555596" right="0.69930555555555596" top="0.75" bottom="0.75" header="0.3" footer="0.3"/>
  <customProperties>
    <customPr name="Gu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"/>
  <sheetViews>
    <sheetView workbookViewId="0">
      <selection activeCell="C1" sqref="C1"/>
    </sheetView>
  </sheetViews>
  <sheetFormatPr defaultRowHeight="15"/>
  <cols>
    <col min="2" max="2" width="14" customWidth="1"/>
    <col min="3" max="3" width="18" customWidth="1"/>
    <col min="4" max="4" width="12.42578125" customWidth="1"/>
    <col min="5" max="5" width="11.5703125" customWidth="1"/>
    <col min="7" max="7" width="10.5703125" customWidth="1"/>
    <col min="8" max="8" width="9.42578125" customWidth="1"/>
    <col min="9" max="9" width="13.42578125" customWidth="1"/>
    <col min="10" max="10" width="17.85546875" customWidth="1"/>
    <col min="11" max="11" width="13.42578125" customWidth="1"/>
    <col min="12" max="12" width="10.5703125" customWidth="1"/>
    <col min="15" max="15" width="10.5703125" customWidth="1"/>
    <col min="16" max="16" width="17.5703125" customWidth="1"/>
    <col min="17" max="17" width="12.140625" customWidth="1"/>
    <col min="18" max="18" width="13.85546875" customWidth="1"/>
    <col min="19" max="19" width="9.5703125" customWidth="1"/>
    <col min="20" max="20" width="15.42578125" customWidth="1"/>
    <col min="23" max="23" width="15.42578125" customWidth="1"/>
    <col min="24" max="24" width="13.5703125" customWidth="1"/>
    <col min="25" max="25" width="9.5703125" customWidth="1"/>
    <col min="26" max="26" width="10" customWidth="1"/>
    <col min="27" max="27" width="13.85546875" customWidth="1"/>
    <col min="28" max="28" width="12.42578125" customWidth="1"/>
    <col min="29" max="29" width="12.5703125" customWidth="1"/>
  </cols>
  <sheetData>
    <row r="1" spans="1:29">
      <c r="A1" t="s">
        <v>1216</v>
      </c>
      <c r="B1" t="s">
        <v>1</v>
      </c>
      <c r="C1" t="s">
        <v>2757</v>
      </c>
      <c r="D1" t="s">
        <v>11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2762</v>
      </c>
      <c r="K1" t="s">
        <v>2763</v>
      </c>
      <c r="L1" t="s">
        <v>9</v>
      </c>
      <c r="M1" t="s">
        <v>7</v>
      </c>
      <c r="N1" t="s">
        <v>8</v>
      </c>
      <c r="O1" t="s">
        <v>2764</v>
      </c>
      <c r="P1" t="s">
        <v>2748</v>
      </c>
      <c r="Q1" t="s">
        <v>2257</v>
      </c>
      <c r="R1" t="s">
        <v>2480</v>
      </c>
      <c r="S1" t="s">
        <v>10</v>
      </c>
      <c r="T1" t="s">
        <v>2022</v>
      </c>
      <c r="U1" t="s">
        <v>2023</v>
      </c>
      <c r="V1" t="s">
        <v>2352</v>
      </c>
      <c r="W1" t="s">
        <v>2353</v>
      </c>
      <c r="X1" t="s">
        <v>12</v>
      </c>
      <c r="Y1" t="s">
        <v>13</v>
      </c>
      <c r="Z1" t="s">
        <v>14</v>
      </c>
      <c r="AA1" t="s">
        <v>2478</v>
      </c>
      <c r="AB1" t="s">
        <v>2892</v>
      </c>
      <c r="AC1" t="s">
        <v>15</v>
      </c>
    </row>
    <row r="2" spans="1:29">
      <c r="A2" t="s">
        <v>203</v>
      </c>
      <c r="B2" t="s">
        <v>4950</v>
      </c>
      <c r="C2" t="s">
        <v>27</v>
      </c>
      <c r="D2" t="s">
        <v>5165</v>
      </c>
      <c r="E2" t="s">
        <v>17</v>
      </c>
      <c r="F2">
        <v>3648225</v>
      </c>
      <c r="G2" t="s">
        <v>4682</v>
      </c>
      <c r="H2" t="s">
        <v>3084</v>
      </c>
      <c r="I2" t="s">
        <v>21</v>
      </c>
      <c r="J2" t="s">
        <v>204</v>
      </c>
      <c r="K2" t="s">
        <v>206</v>
      </c>
      <c r="L2" t="s">
        <v>4188</v>
      </c>
      <c r="M2" t="s">
        <v>22</v>
      </c>
      <c r="N2" t="s">
        <v>27</v>
      </c>
      <c r="O2" t="s">
        <v>22</v>
      </c>
      <c r="P2" t="s">
        <v>4465</v>
      </c>
      <c r="Q2" t="s">
        <v>4951</v>
      </c>
      <c r="R2" t="s">
        <v>5190</v>
      </c>
      <c r="S2" t="s">
        <v>4480</v>
      </c>
      <c r="T2">
        <v>17310533824</v>
      </c>
      <c r="U2" t="s">
        <v>4952</v>
      </c>
      <c r="X2" s="333">
        <v>43372</v>
      </c>
      <c r="Y2" t="s">
        <v>27</v>
      </c>
      <c r="Z2" t="s">
        <v>27</v>
      </c>
      <c r="AA2" t="s">
        <v>27</v>
      </c>
      <c r="AB2" t="s">
        <v>2887</v>
      </c>
    </row>
    <row r="3" spans="1:29">
      <c r="A3" t="s">
        <v>203</v>
      </c>
      <c r="B3" t="s">
        <v>4479</v>
      </c>
      <c r="C3" t="s">
        <v>27</v>
      </c>
      <c r="D3" t="s">
        <v>4220</v>
      </c>
      <c r="E3" t="s">
        <v>17</v>
      </c>
      <c r="F3">
        <v>3648512</v>
      </c>
      <c r="G3" t="s">
        <v>4681</v>
      </c>
      <c r="H3" t="s">
        <v>3084</v>
      </c>
      <c r="I3" t="s">
        <v>21</v>
      </c>
      <c r="J3" t="s">
        <v>209</v>
      </c>
      <c r="K3" t="s">
        <v>236</v>
      </c>
      <c r="L3" t="s">
        <v>4188</v>
      </c>
      <c r="M3" t="s">
        <v>22</v>
      </c>
      <c r="N3" t="s">
        <v>22</v>
      </c>
      <c r="O3" t="s">
        <v>22</v>
      </c>
      <c r="P3" t="s">
        <v>4465</v>
      </c>
      <c r="Q3" t="s">
        <v>4946</v>
      </c>
      <c r="R3" t="s">
        <v>5189</v>
      </c>
      <c r="S3" t="s">
        <v>4947</v>
      </c>
      <c r="T3" t="s">
        <v>4948</v>
      </c>
      <c r="U3" t="s">
        <v>4949</v>
      </c>
      <c r="Y3" t="s">
        <v>27</v>
      </c>
      <c r="Z3" t="s">
        <v>27</v>
      </c>
      <c r="AA3" t="s">
        <v>27</v>
      </c>
      <c r="AB3" t="s">
        <v>2887</v>
      </c>
    </row>
    <row r="4" spans="1:29">
      <c r="A4" t="s">
        <v>203</v>
      </c>
      <c r="B4" t="s">
        <v>4477</v>
      </c>
      <c r="C4" t="s">
        <v>27</v>
      </c>
      <c r="D4" t="s">
        <v>4220</v>
      </c>
      <c r="E4" t="s">
        <v>17</v>
      </c>
      <c r="F4">
        <v>3648299</v>
      </c>
      <c r="G4" t="s">
        <v>4680</v>
      </c>
      <c r="H4" t="s">
        <v>3084</v>
      </c>
      <c r="I4" t="s">
        <v>21</v>
      </c>
      <c r="J4" t="s">
        <v>204</v>
      </c>
      <c r="K4" t="s">
        <v>3650</v>
      </c>
      <c r="L4" t="s">
        <v>4188</v>
      </c>
      <c r="M4" t="s">
        <v>22</v>
      </c>
      <c r="N4" t="s">
        <v>27</v>
      </c>
      <c r="O4" t="s">
        <v>22</v>
      </c>
      <c r="P4" t="s">
        <v>4465</v>
      </c>
      <c r="Q4" t="s">
        <v>4942</v>
      </c>
      <c r="R4" t="s">
        <v>5186</v>
      </c>
      <c r="S4" t="s">
        <v>4943</v>
      </c>
      <c r="T4">
        <v>18911124236</v>
      </c>
      <c r="U4" t="s">
        <v>4944</v>
      </c>
      <c r="Y4" t="s">
        <v>27</v>
      </c>
      <c r="Z4" t="s">
        <v>27</v>
      </c>
      <c r="AA4" t="s">
        <v>27</v>
      </c>
      <c r="AB4" t="s">
        <v>2887</v>
      </c>
    </row>
    <row r="5" spans="1:29">
      <c r="A5" t="s">
        <v>203</v>
      </c>
      <c r="B5" t="s">
        <v>4473</v>
      </c>
      <c r="C5" t="s">
        <v>27</v>
      </c>
      <c r="D5" t="s">
        <v>5165</v>
      </c>
      <c r="E5" t="s">
        <v>17</v>
      </c>
      <c r="F5">
        <v>3648284</v>
      </c>
      <c r="G5" t="s">
        <v>4679</v>
      </c>
      <c r="H5" t="s">
        <v>3084</v>
      </c>
      <c r="I5" t="s">
        <v>21</v>
      </c>
      <c r="J5" t="s">
        <v>204</v>
      </c>
      <c r="K5" t="s">
        <v>206</v>
      </c>
      <c r="L5" t="s">
        <v>4188</v>
      </c>
      <c r="M5" t="s">
        <v>22</v>
      </c>
      <c r="N5" t="s">
        <v>27</v>
      </c>
      <c r="O5" t="s">
        <v>22</v>
      </c>
      <c r="P5" t="s">
        <v>4465</v>
      </c>
      <c r="Q5" t="s">
        <v>4937</v>
      </c>
      <c r="R5" t="s">
        <v>5181</v>
      </c>
      <c r="S5" t="s">
        <v>4474</v>
      </c>
      <c r="T5">
        <v>18911175664</v>
      </c>
      <c r="U5" t="s">
        <v>4938</v>
      </c>
      <c r="X5" s="333">
        <v>43372</v>
      </c>
      <c r="Y5" t="s">
        <v>27</v>
      </c>
      <c r="Z5" t="s">
        <v>27</v>
      </c>
      <c r="AA5" t="s">
        <v>27</v>
      </c>
      <c r="AB5" t="s">
        <v>2887</v>
      </c>
    </row>
    <row r="6" spans="1:29">
      <c r="A6" t="s">
        <v>203</v>
      </c>
      <c r="B6" t="s">
        <v>4468</v>
      </c>
      <c r="C6" t="s">
        <v>27</v>
      </c>
      <c r="D6" t="s">
        <v>4220</v>
      </c>
      <c r="E6" t="s">
        <v>17</v>
      </c>
      <c r="F6">
        <v>3648334</v>
      </c>
      <c r="G6" t="s">
        <v>4678</v>
      </c>
      <c r="H6" t="s">
        <v>3084</v>
      </c>
      <c r="I6" t="s">
        <v>21</v>
      </c>
      <c r="J6" t="s">
        <v>223</v>
      </c>
      <c r="K6" t="s">
        <v>33</v>
      </c>
      <c r="L6" t="s">
        <v>4188</v>
      </c>
      <c r="M6" t="s">
        <v>22</v>
      </c>
      <c r="N6" t="s">
        <v>22</v>
      </c>
      <c r="O6" t="s">
        <v>22</v>
      </c>
      <c r="P6" t="s">
        <v>4465</v>
      </c>
      <c r="Q6" t="s">
        <v>4934</v>
      </c>
      <c r="R6" t="s">
        <v>5178</v>
      </c>
      <c r="S6" t="s">
        <v>4469</v>
      </c>
      <c r="T6" t="s">
        <v>4470</v>
      </c>
      <c r="U6" t="s">
        <v>4935</v>
      </c>
      <c r="Y6" t="s">
        <v>27</v>
      </c>
      <c r="Z6" t="s">
        <v>27</v>
      </c>
      <c r="AA6" t="s">
        <v>27</v>
      </c>
      <c r="AB6" t="s">
        <v>2887</v>
      </c>
    </row>
    <row r="7" spans="1:29">
      <c r="A7" t="s">
        <v>203</v>
      </c>
      <c r="B7" t="s">
        <v>4930</v>
      </c>
      <c r="C7" t="s">
        <v>27</v>
      </c>
      <c r="D7" t="s">
        <v>4220</v>
      </c>
      <c r="E7" t="s">
        <v>17</v>
      </c>
      <c r="F7">
        <v>3648372</v>
      </c>
      <c r="G7" t="s">
        <v>4677</v>
      </c>
      <c r="H7" t="s">
        <v>3084</v>
      </c>
      <c r="I7" t="s">
        <v>21</v>
      </c>
      <c r="J7" t="s">
        <v>209</v>
      </c>
      <c r="K7" t="s">
        <v>26</v>
      </c>
      <c r="L7" t="s">
        <v>4188</v>
      </c>
      <c r="M7" t="s">
        <v>22</v>
      </c>
      <c r="N7" t="s">
        <v>22</v>
      </c>
      <c r="O7" t="s">
        <v>22</v>
      </c>
      <c r="P7" t="s">
        <v>4465</v>
      </c>
      <c r="Q7" t="s">
        <v>4931</v>
      </c>
      <c r="R7" t="s">
        <v>5174</v>
      </c>
      <c r="S7" t="s">
        <v>5175</v>
      </c>
      <c r="T7" t="s">
        <v>4466</v>
      </c>
      <c r="U7" t="s">
        <v>4932</v>
      </c>
      <c r="Y7" t="s">
        <v>27</v>
      </c>
      <c r="Z7" t="s">
        <v>27</v>
      </c>
      <c r="AA7" t="s">
        <v>27</v>
      </c>
      <c r="AB7" t="s">
        <v>2887</v>
      </c>
    </row>
    <row r="8" spans="1:29">
      <c r="A8" t="s">
        <v>364</v>
      </c>
      <c r="B8" t="s">
        <v>4578</v>
      </c>
      <c r="C8" t="s">
        <v>27</v>
      </c>
      <c r="D8" t="s">
        <v>2658</v>
      </c>
      <c r="E8" t="s">
        <v>17</v>
      </c>
      <c r="F8" t="s">
        <v>4580</v>
      </c>
      <c r="G8" t="s">
        <v>4581</v>
      </c>
      <c r="H8" t="s">
        <v>3084</v>
      </c>
      <c r="I8" t="s">
        <v>21</v>
      </c>
      <c r="J8" t="s">
        <v>2259</v>
      </c>
      <c r="K8" t="s">
        <v>337</v>
      </c>
      <c r="L8" t="s">
        <v>4188</v>
      </c>
      <c r="M8" t="s">
        <v>22</v>
      </c>
      <c r="N8" t="s">
        <v>22</v>
      </c>
      <c r="O8" t="s">
        <v>3639</v>
      </c>
      <c r="P8" t="s">
        <v>4546</v>
      </c>
      <c r="Q8" t="s">
        <v>4583</v>
      </c>
      <c r="R8" t="s">
        <v>4584</v>
      </c>
      <c r="S8" t="s">
        <v>4587</v>
      </c>
      <c r="T8" t="s">
        <v>4589</v>
      </c>
      <c r="U8">
        <v>440152226574</v>
      </c>
      <c r="Y8" t="s">
        <v>27</v>
      </c>
      <c r="Z8" t="s">
        <v>27</v>
      </c>
      <c r="AA8" t="s">
        <v>27</v>
      </c>
    </row>
    <row r="9" spans="1:29">
      <c r="A9" t="s">
        <v>364</v>
      </c>
      <c r="B9" t="s">
        <v>4577</v>
      </c>
      <c r="C9" t="s">
        <v>27</v>
      </c>
      <c r="D9" t="s">
        <v>2658</v>
      </c>
      <c r="E9" t="s">
        <v>17</v>
      </c>
      <c r="F9" t="s">
        <v>4579</v>
      </c>
      <c r="G9" t="s">
        <v>4581</v>
      </c>
      <c r="H9" t="s">
        <v>3084</v>
      </c>
      <c r="I9" t="s">
        <v>21</v>
      </c>
      <c r="J9" t="s">
        <v>2259</v>
      </c>
      <c r="K9" t="s">
        <v>33</v>
      </c>
      <c r="L9" t="s">
        <v>4188</v>
      </c>
      <c r="M9" t="s">
        <v>22</v>
      </c>
      <c r="N9" t="s">
        <v>22</v>
      </c>
      <c r="O9" t="s">
        <v>3639</v>
      </c>
      <c r="P9" t="s">
        <v>4546</v>
      </c>
      <c r="Q9" t="s">
        <v>4582</v>
      </c>
      <c r="R9" t="s">
        <v>4585</v>
      </c>
      <c r="S9" t="s">
        <v>4586</v>
      </c>
      <c r="T9" t="s">
        <v>4588</v>
      </c>
      <c r="U9">
        <v>440152236906</v>
      </c>
      <c r="Y9" t="s">
        <v>27</v>
      </c>
      <c r="Z9" t="s">
        <v>27</v>
      </c>
      <c r="AA9" t="s">
        <v>27</v>
      </c>
    </row>
    <row r="10" spans="1:29">
      <c r="A10" t="s">
        <v>364</v>
      </c>
      <c r="B10" t="s">
        <v>451</v>
      </c>
      <c r="C10" t="s">
        <v>27</v>
      </c>
      <c r="D10" t="s">
        <v>2658</v>
      </c>
      <c r="E10" t="s">
        <v>17</v>
      </c>
      <c r="F10" t="s">
        <v>1711</v>
      </c>
      <c r="G10" t="s">
        <v>1749</v>
      </c>
      <c r="H10" t="s">
        <v>3084</v>
      </c>
      <c r="I10" t="s">
        <v>21</v>
      </c>
      <c r="J10" t="s">
        <v>3677</v>
      </c>
      <c r="K10" t="s">
        <v>337</v>
      </c>
      <c r="L10" t="s">
        <v>4188</v>
      </c>
      <c r="M10" t="s">
        <v>22</v>
      </c>
      <c r="N10" t="s">
        <v>22</v>
      </c>
      <c r="O10" t="s">
        <v>3639</v>
      </c>
      <c r="P10" t="s">
        <v>4545</v>
      </c>
      <c r="Q10" t="s">
        <v>4548</v>
      </c>
      <c r="R10" t="s">
        <v>4555</v>
      </c>
      <c r="S10" t="s">
        <v>4552</v>
      </c>
      <c r="T10">
        <v>491755812732</v>
      </c>
      <c r="U10">
        <v>440152236947</v>
      </c>
      <c r="X10" s="333">
        <v>43194</v>
      </c>
      <c r="Y10" t="s">
        <v>27</v>
      </c>
      <c r="Z10" t="s">
        <v>27</v>
      </c>
      <c r="AA10" t="s">
        <v>27</v>
      </c>
      <c r="AC10" t="s">
        <v>4635</v>
      </c>
    </row>
    <row r="11" spans="1:29">
      <c r="A11" t="s">
        <v>364</v>
      </c>
      <c r="B11" t="s">
        <v>419</v>
      </c>
      <c r="C11" t="s">
        <v>27</v>
      </c>
      <c r="D11" t="s">
        <v>2759</v>
      </c>
      <c r="E11" t="s">
        <v>17</v>
      </c>
      <c r="F11" t="s">
        <v>1709</v>
      </c>
      <c r="G11" t="s">
        <v>1754</v>
      </c>
      <c r="H11" t="s">
        <v>3084</v>
      </c>
      <c r="I11" t="s">
        <v>21</v>
      </c>
      <c r="J11" t="s">
        <v>2259</v>
      </c>
      <c r="K11" t="s">
        <v>337</v>
      </c>
      <c r="L11" t="s">
        <v>4188</v>
      </c>
      <c r="M11" t="s">
        <v>22</v>
      </c>
      <c r="N11" t="s">
        <v>22</v>
      </c>
      <c r="O11" t="s">
        <v>3639</v>
      </c>
      <c r="P11" t="s">
        <v>4545</v>
      </c>
      <c r="Q11" t="s">
        <v>4547</v>
      </c>
      <c r="R11" t="s">
        <v>4550</v>
      </c>
      <c r="S11" t="s">
        <v>4551</v>
      </c>
      <c r="T11" t="s">
        <v>4590</v>
      </c>
      <c r="U11">
        <v>440152236952</v>
      </c>
      <c r="X11" s="333">
        <v>43194</v>
      </c>
      <c r="Y11" t="s">
        <v>27</v>
      </c>
      <c r="Z11" t="s">
        <v>27</v>
      </c>
      <c r="AA11" t="s">
        <v>27</v>
      </c>
      <c r="AC11" t="s">
        <v>4635</v>
      </c>
    </row>
    <row r="12" spans="1:29">
      <c r="A12" t="s">
        <v>364</v>
      </c>
      <c r="B12" t="s">
        <v>409</v>
      </c>
      <c r="C12" t="s">
        <v>27</v>
      </c>
      <c r="D12" t="s">
        <v>2658</v>
      </c>
      <c r="E12" t="s">
        <v>17</v>
      </c>
      <c r="F12" t="s">
        <v>1699</v>
      </c>
      <c r="G12" t="s">
        <v>1758</v>
      </c>
      <c r="H12" t="s">
        <v>3084</v>
      </c>
      <c r="I12" t="s">
        <v>21</v>
      </c>
      <c r="J12" t="s">
        <v>2259</v>
      </c>
      <c r="K12" t="s">
        <v>61</v>
      </c>
      <c r="L12" t="s">
        <v>4188</v>
      </c>
      <c r="M12" t="s">
        <v>22</v>
      </c>
      <c r="N12" t="s">
        <v>22</v>
      </c>
      <c r="O12" t="s">
        <v>3639</v>
      </c>
      <c r="P12" t="s">
        <v>4492</v>
      </c>
      <c r="Q12" t="s">
        <v>2720</v>
      </c>
      <c r="R12" t="s">
        <v>4493</v>
      </c>
      <c r="S12" t="s">
        <v>4494</v>
      </c>
      <c r="T12" t="s">
        <v>4554</v>
      </c>
      <c r="U12">
        <v>440152236943</v>
      </c>
      <c r="X12" s="333">
        <v>43194</v>
      </c>
      <c r="Y12" t="s">
        <v>27</v>
      </c>
      <c r="Z12" t="s">
        <v>27</v>
      </c>
      <c r="AA12" t="s">
        <v>27</v>
      </c>
      <c r="AC12" t="s">
        <v>4635</v>
      </c>
    </row>
    <row r="13" spans="1:29">
      <c r="A13" t="s">
        <v>421</v>
      </c>
      <c r="B13" t="s">
        <v>5391</v>
      </c>
      <c r="C13" t="s">
        <v>22</v>
      </c>
      <c r="D13" t="s">
        <v>2658</v>
      </c>
      <c r="E13" t="s">
        <v>17</v>
      </c>
      <c r="F13">
        <v>4079825</v>
      </c>
      <c r="H13" t="s">
        <v>3084</v>
      </c>
      <c r="I13" t="s">
        <v>21</v>
      </c>
      <c r="J13" t="s">
        <v>3675</v>
      </c>
      <c r="L13" t="s">
        <v>4188</v>
      </c>
      <c r="M13" t="s">
        <v>22</v>
      </c>
      <c r="N13" t="s">
        <v>22</v>
      </c>
      <c r="O13" t="s">
        <v>22</v>
      </c>
    </row>
    <row r="14" spans="1:29">
      <c r="A14" t="s">
        <v>421</v>
      </c>
      <c r="B14" t="s">
        <v>5384</v>
      </c>
      <c r="C14" t="s">
        <v>22</v>
      </c>
      <c r="D14" t="s">
        <v>2658</v>
      </c>
      <c r="E14" t="s">
        <v>17</v>
      </c>
      <c r="F14">
        <v>3647760</v>
      </c>
      <c r="H14" t="s">
        <v>3084</v>
      </c>
      <c r="I14" t="s">
        <v>21</v>
      </c>
      <c r="J14" t="s">
        <v>3675</v>
      </c>
      <c r="L14" t="s">
        <v>4188</v>
      </c>
      <c r="M14" t="s">
        <v>22</v>
      </c>
      <c r="N14" t="s">
        <v>22</v>
      </c>
      <c r="O14" t="s">
        <v>22</v>
      </c>
    </row>
    <row r="15" spans="1:29">
      <c r="A15" t="s">
        <v>421</v>
      </c>
      <c r="B15" t="s">
        <v>5383</v>
      </c>
      <c r="C15" t="s">
        <v>22</v>
      </c>
      <c r="D15" t="s">
        <v>2658</v>
      </c>
      <c r="E15" t="s">
        <v>17</v>
      </c>
      <c r="F15">
        <v>3648283</v>
      </c>
      <c r="H15" t="s">
        <v>3084</v>
      </c>
      <c r="I15" t="s">
        <v>21</v>
      </c>
      <c r="J15" t="s">
        <v>3675</v>
      </c>
      <c r="L15" t="s">
        <v>4188</v>
      </c>
      <c r="M15" t="s">
        <v>22</v>
      </c>
      <c r="N15" t="s">
        <v>22</v>
      </c>
      <c r="O15" t="s">
        <v>22</v>
      </c>
    </row>
    <row r="16" spans="1:29">
      <c r="A16" t="s">
        <v>421</v>
      </c>
      <c r="B16" t="s">
        <v>5382</v>
      </c>
      <c r="C16" t="s">
        <v>22</v>
      </c>
      <c r="D16" t="s">
        <v>2658</v>
      </c>
      <c r="E16" t="s">
        <v>17</v>
      </c>
      <c r="F16">
        <v>3647897</v>
      </c>
      <c r="H16" t="s">
        <v>3084</v>
      </c>
      <c r="I16" t="s">
        <v>21</v>
      </c>
      <c r="J16" t="s">
        <v>3675</v>
      </c>
      <c r="L16" t="s">
        <v>4188</v>
      </c>
      <c r="M16" t="s">
        <v>22</v>
      </c>
      <c r="N16" t="s">
        <v>22</v>
      </c>
      <c r="O16" t="s">
        <v>22</v>
      </c>
    </row>
  </sheetData>
  <pageMargins left="0.7" right="0.7" top="0.75" bottom="0.75" header="0.3" footer="0.3"/>
  <customProperties>
    <customPr name="Guid" r:id="rId1"/>
  </customPropertie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6"/>
  <sheetViews>
    <sheetView workbookViewId="0">
      <selection activeCell="N29" sqref="N29"/>
    </sheetView>
  </sheetViews>
  <sheetFormatPr defaultRowHeight="15"/>
  <cols>
    <col min="1" max="1" width="20" customWidth="1"/>
    <col min="2" max="2" width="16.28515625" customWidth="1"/>
    <col min="3" max="3" width="9.5703125" customWidth="1"/>
    <col min="4" max="4" width="12.5703125" customWidth="1"/>
    <col min="5" max="5" width="10.5703125" customWidth="1"/>
    <col min="6" max="6" width="11" customWidth="1"/>
    <col min="7" max="7" width="10.5703125" customWidth="1"/>
    <col min="8" max="8" width="14.42578125" customWidth="1"/>
    <col min="9" max="9" width="13.5703125" customWidth="1"/>
    <col min="10" max="10" width="14.28515625" customWidth="1"/>
    <col min="11" max="11" width="10.5703125" customWidth="1"/>
    <col min="12" max="12" width="9.85546875" customWidth="1"/>
    <col min="13" max="13" width="7.42578125" customWidth="1"/>
    <col min="14" max="14" width="7.28515625" customWidth="1"/>
    <col min="15" max="15" width="5.28515625" customWidth="1"/>
    <col min="16" max="16" width="7.28515625" customWidth="1"/>
    <col min="17" max="17" width="12.5703125" customWidth="1"/>
    <col min="18" max="18" width="10.28515625" customWidth="1"/>
    <col min="19" max="19" width="7.140625" customWidth="1"/>
    <col min="20" max="20" width="8.140625" customWidth="1"/>
    <col min="21" max="21" width="15.42578125" customWidth="1"/>
    <col min="22" max="22" width="9.7109375" customWidth="1"/>
    <col min="23" max="23" width="12" bestFit="1" customWidth="1"/>
    <col min="24" max="24" width="9.5703125" bestFit="1" customWidth="1"/>
    <col min="25" max="25" width="9.42578125" bestFit="1" customWidth="1"/>
    <col min="26" max="26" width="11.42578125" bestFit="1" customWidth="1"/>
    <col min="27" max="27" width="17.42578125" bestFit="1" customWidth="1"/>
    <col min="28" max="28" width="14.28515625" customWidth="1"/>
    <col min="29" max="29" width="10.42578125" customWidth="1"/>
    <col min="30" max="30" width="11.28515625" customWidth="1"/>
    <col min="31" max="31" width="10.42578125" customWidth="1"/>
    <col min="32" max="32" width="11.42578125" bestFit="1" customWidth="1"/>
    <col min="33" max="33" width="6.140625" customWidth="1"/>
    <col min="34" max="34" width="9" bestFit="1" customWidth="1"/>
    <col min="35" max="35" width="7" customWidth="1"/>
    <col min="36" max="36" width="6.85546875" customWidth="1"/>
    <col min="37" max="37" width="6" customWidth="1"/>
    <col min="38" max="38" width="9.85546875" bestFit="1" customWidth="1"/>
    <col min="39" max="39" width="9" bestFit="1" customWidth="1"/>
    <col min="40" max="40" width="4.140625" customWidth="1"/>
    <col min="41" max="41" width="8.140625" customWidth="1"/>
    <col min="42" max="42" width="7" customWidth="1"/>
    <col min="43" max="43" width="11.85546875" bestFit="1" customWidth="1"/>
    <col min="44" max="44" width="6.85546875" customWidth="1"/>
    <col min="45" max="45" width="9.140625" bestFit="1" customWidth="1"/>
    <col min="46" max="46" width="10.85546875" bestFit="1" customWidth="1"/>
  </cols>
  <sheetData>
    <row r="1" spans="1:21">
      <c r="A1" s="163" t="s">
        <v>5</v>
      </c>
      <c r="B1" t="s">
        <v>3084</v>
      </c>
    </row>
    <row r="2" spans="1:21">
      <c r="A2" s="163" t="s">
        <v>2478</v>
      </c>
      <c r="B2" t="s">
        <v>27</v>
      </c>
    </row>
    <row r="4" spans="1:21" ht="15.75" thickBot="1">
      <c r="A4" s="163" t="s">
        <v>2753</v>
      </c>
      <c r="B4" s="163" t="s">
        <v>2752</v>
      </c>
    </row>
    <row r="5" spans="1:21">
      <c r="B5" t="s">
        <v>3672</v>
      </c>
      <c r="C5" t="s">
        <v>7142</v>
      </c>
      <c r="D5" s="320" t="s">
        <v>21</v>
      </c>
      <c r="E5" s="323"/>
      <c r="F5" s="323"/>
      <c r="G5" s="323"/>
      <c r="H5" s="323"/>
      <c r="I5" s="323"/>
      <c r="J5" s="323"/>
      <c r="K5" s="321"/>
      <c r="L5" s="322" t="s">
        <v>5161</v>
      </c>
      <c r="M5" s="320" t="s">
        <v>60</v>
      </c>
      <c r="N5" s="323"/>
      <c r="O5" s="323"/>
      <c r="P5" s="323"/>
      <c r="Q5" s="323"/>
      <c r="R5" s="323"/>
      <c r="S5" s="321"/>
      <c r="T5" s="322" t="s">
        <v>5162</v>
      </c>
      <c r="U5" s="198" t="s">
        <v>2751</v>
      </c>
    </row>
    <row r="6" spans="1:21">
      <c r="A6" s="163" t="s">
        <v>2750</v>
      </c>
      <c r="B6" t="s">
        <v>5368</v>
      </c>
      <c r="D6" t="s">
        <v>5368</v>
      </c>
      <c r="E6" s="198" t="s">
        <v>31</v>
      </c>
      <c r="F6" t="s">
        <v>4188</v>
      </c>
      <c r="G6" t="s">
        <v>4464</v>
      </c>
      <c r="H6" t="s">
        <v>6385</v>
      </c>
      <c r="I6" t="s">
        <v>6657</v>
      </c>
      <c r="J6" t="s">
        <v>6695</v>
      </c>
      <c r="K6" t="s">
        <v>6820</v>
      </c>
      <c r="L6" s="540"/>
      <c r="M6" t="s">
        <v>5368</v>
      </c>
      <c r="N6" s="198" t="s">
        <v>31</v>
      </c>
      <c r="O6" t="s">
        <v>4188</v>
      </c>
      <c r="P6" t="s">
        <v>4464</v>
      </c>
      <c r="Q6" t="s">
        <v>6385</v>
      </c>
      <c r="R6" t="s">
        <v>6657</v>
      </c>
      <c r="S6" t="s">
        <v>6820</v>
      </c>
      <c r="T6" s="540"/>
      <c r="U6" s="541"/>
    </row>
    <row r="7" spans="1:21">
      <c r="A7" s="542" t="s">
        <v>0</v>
      </c>
      <c r="B7" s="543"/>
      <c r="C7" s="543"/>
      <c r="D7" s="543">
        <v>11</v>
      </c>
      <c r="E7" s="544">
        <v>2</v>
      </c>
      <c r="F7" s="543"/>
      <c r="G7" s="543">
        <v>17</v>
      </c>
      <c r="H7" s="543">
        <v>11</v>
      </c>
      <c r="I7" s="543"/>
      <c r="J7" s="543"/>
      <c r="K7" s="543"/>
      <c r="L7" s="544">
        <v>41</v>
      </c>
      <c r="M7" s="543">
        <v>8</v>
      </c>
      <c r="N7" s="543">
        <v>10</v>
      </c>
      <c r="O7" s="543"/>
      <c r="P7" s="543">
        <v>21</v>
      </c>
      <c r="Q7" s="543">
        <v>7</v>
      </c>
      <c r="R7" s="543"/>
      <c r="S7" s="543"/>
      <c r="T7" s="544">
        <v>46</v>
      </c>
      <c r="U7" s="544">
        <v>87</v>
      </c>
    </row>
    <row r="8" spans="1:21">
      <c r="A8" s="542" t="s">
        <v>203</v>
      </c>
      <c r="B8" s="543"/>
      <c r="C8" s="543"/>
      <c r="D8" s="543"/>
      <c r="E8" s="545">
        <v>19</v>
      </c>
      <c r="F8" s="543">
        <v>2</v>
      </c>
      <c r="G8" s="543">
        <v>48</v>
      </c>
      <c r="H8" s="543"/>
      <c r="I8" s="543">
        <v>8</v>
      </c>
      <c r="J8" s="546">
        <v>6</v>
      </c>
      <c r="K8" s="546">
        <v>3</v>
      </c>
      <c r="L8" s="544">
        <v>86</v>
      </c>
      <c r="M8" s="543"/>
      <c r="N8" s="546">
        <v>11</v>
      </c>
      <c r="O8" s="543">
        <v>1</v>
      </c>
      <c r="P8" s="543">
        <v>33</v>
      </c>
      <c r="Q8" s="543"/>
      <c r="R8" s="543">
        <v>1</v>
      </c>
      <c r="S8" s="546">
        <v>8</v>
      </c>
      <c r="T8" s="544">
        <v>54</v>
      </c>
      <c r="U8" s="544">
        <v>140</v>
      </c>
    </row>
    <row r="9" spans="1:21">
      <c r="A9" s="542" t="s">
        <v>336</v>
      </c>
      <c r="B9" s="543"/>
      <c r="C9" s="543"/>
      <c r="D9" s="543">
        <v>13</v>
      </c>
      <c r="E9" s="544">
        <v>12</v>
      </c>
      <c r="F9" s="543"/>
      <c r="G9" s="543">
        <v>35</v>
      </c>
      <c r="H9" s="543">
        <v>1</v>
      </c>
      <c r="I9" s="543"/>
      <c r="J9" s="543"/>
      <c r="K9" s="543"/>
      <c r="L9" s="544">
        <v>61</v>
      </c>
      <c r="M9" s="543"/>
      <c r="N9" s="543"/>
      <c r="O9" s="543"/>
      <c r="P9" s="543">
        <v>17</v>
      </c>
      <c r="Q9" s="543"/>
      <c r="R9" s="543"/>
      <c r="S9" s="543"/>
      <c r="T9" s="544">
        <v>17</v>
      </c>
      <c r="U9" s="544">
        <v>78</v>
      </c>
    </row>
    <row r="10" spans="1:21">
      <c r="A10" s="542" t="s">
        <v>364</v>
      </c>
      <c r="B10" s="543"/>
      <c r="C10" s="543"/>
      <c r="D10" s="543"/>
      <c r="E10" s="544"/>
      <c r="F10" s="543"/>
      <c r="G10" s="543">
        <v>21</v>
      </c>
      <c r="H10" s="543">
        <v>3</v>
      </c>
      <c r="I10" s="543"/>
      <c r="J10" s="543"/>
      <c r="K10" s="543"/>
      <c r="L10" s="544">
        <v>24</v>
      </c>
      <c r="M10" s="543"/>
      <c r="N10" s="543">
        <v>2</v>
      </c>
      <c r="O10" s="543"/>
      <c r="P10" s="543"/>
      <c r="Q10" s="543"/>
      <c r="R10" s="543"/>
      <c r="S10" s="543"/>
      <c r="T10" s="544">
        <v>2</v>
      </c>
      <c r="U10" s="544">
        <v>26</v>
      </c>
    </row>
    <row r="11" spans="1:21">
      <c r="A11" s="542" t="s">
        <v>1244</v>
      </c>
      <c r="B11" s="543">
        <v>1</v>
      </c>
      <c r="C11" s="543">
        <v>1</v>
      </c>
      <c r="D11" s="543">
        <v>9</v>
      </c>
      <c r="E11" s="544">
        <v>14</v>
      </c>
      <c r="F11" s="543"/>
      <c r="G11" s="543">
        <v>28</v>
      </c>
      <c r="H11" s="543">
        <v>5</v>
      </c>
      <c r="I11" s="543"/>
      <c r="J11" s="543"/>
      <c r="K11" s="543"/>
      <c r="L11" s="544">
        <v>56</v>
      </c>
      <c r="M11" s="543"/>
      <c r="N11" s="543"/>
      <c r="O11" s="543"/>
      <c r="P11" s="543">
        <v>15</v>
      </c>
      <c r="Q11" s="543"/>
      <c r="R11" s="543"/>
      <c r="S11" s="543"/>
      <c r="T11" s="544">
        <v>15</v>
      </c>
      <c r="U11" s="544">
        <v>72</v>
      </c>
    </row>
    <row r="12" spans="1:21">
      <c r="A12" s="542" t="s">
        <v>2751</v>
      </c>
      <c r="B12" s="543">
        <v>1</v>
      </c>
      <c r="C12" s="543">
        <v>1</v>
      </c>
      <c r="D12" s="543">
        <v>33</v>
      </c>
      <c r="E12" s="544">
        <v>47</v>
      </c>
      <c r="F12" s="543">
        <v>2</v>
      </c>
      <c r="G12" s="543">
        <v>149</v>
      </c>
      <c r="H12" s="543">
        <v>20</v>
      </c>
      <c r="I12" s="543">
        <v>8</v>
      </c>
      <c r="J12" s="543">
        <v>6</v>
      </c>
      <c r="K12" s="543">
        <v>3</v>
      </c>
      <c r="L12" s="544">
        <v>268</v>
      </c>
      <c r="M12" s="543">
        <v>8</v>
      </c>
      <c r="N12" s="543">
        <v>23</v>
      </c>
      <c r="O12" s="543">
        <v>1</v>
      </c>
      <c r="P12" s="543">
        <v>86</v>
      </c>
      <c r="Q12" s="543">
        <v>7</v>
      </c>
      <c r="R12" s="543">
        <v>1</v>
      </c>
      <c r="S12" s="543">
        <v>8</v>
      </c>
      <c r="T12" s="544">
        <v>134</v>
      </c>
      <c r="U12" s="544">
        <v>403</v>
      </c>
    </row>
    <row r="15" spans="1:21">
      <c r="A15" s="164"/>
      <c r="B15" s="193"/>
      <c r="C15" s="193"/>
      <c r="D15" s="193"/>
      <c r="E15" s="193"/>
      <c r="F15" s="193"/>
      <c r="G15" s="216"/>
      <c r="H15" s="216"/>
      <c r="I15" s="197"/>
      <c r="J15" s="193"/>
      <c r="K15" s="193"/>
    </row>
    <row r="16" spans="1:21">
      <c r="A16" s="217" t="s">
        <v>3681</v>
      </c>
    </row>
    <row r="17" spans="1:4">
      <c r="A17" s="163" t="s">
        <v>5</v>
      </c>
      <c r="B17" t="s">
        <v>20</v>
      </c>
    </row>
    <row r="18" spans="1:4">
      <c r="A18" s="163" t="s">
        <v>2257</v>
      </c>
      <c r="B18" t="s">
        <v>2755</v>
      </c>
    </row>
    <row r="19" spans="1:4">
      <c r="A19" s="163" t="s">
        <v>2478</v>
      </c>
      <c r="B19" t="s">
        <v>27</v>
      </c>
    </row>
    <row r="21" spans="1:4">
      <c r="A21" s="163" t="s">
        <v>2754</v>
      </c>
      <c r="B21" s="163" t="s">
        <v>2752</v>
      </c>
    </row>
    <row r="22" spans="1:4">
      <c r="A22" s="163" t="s">
        <v>2750</v>
      </c>
      <c r="B22" t="s">
        <v>21</v>
      </c>
      <c r="C22" t="s">
        <v>60</v>
      </c>
      <c r="D22" t="s">
        <v>2751</v>
      </c>
    </row>
    <row r="23" spans="1:4">
      <c r="A23" s="164" t="s">
        <v>0</v>
      </c>
      <c r="B23" s="194">
        <v>34</v>
      </c>
      <c r="C23" s="194">
        <v>92</v>
      </c>
      <c r="D23" s="194">
        <v>126</v>
      </c>
    </row>
    <row r="24" spans="1:4">
      <c r="A24" s="164" t="s">
        <v>203</v>
      </c>
      <c r="B24" s="194">
        <v>1</v>
      </c>
      <c r="C24" s="194"/>
      <c r="D24" s="194">
        <v>1</v>
      </c>
    </row>
    <row r="25" spans="1:4">
      <c r="A25" s="164" t="s">
        <v>336</v>
      </c>
      <c r="B25" s="194">
        <v>6</v>
      </c>
      <c r="C25" s="194">
        <v>13</v>
      </c>
      <c r="D25" s="194">
        <v>19</v>
      </c>
    </row>
    <row r="26" spans="1:4">
      <c r="A26" s="164" t="s">
        <v>364</v>
      </c>
      <c r="B26" s="194">
        <v>33</v>
      </c>
      <c r="C26" s="194"/>
      <c r="D26" s="194">
        <v>33</v>
      </c>
    </row>
    <row r="27" spans="1:4">
      <c r="A27" s="164" t="s">
        <v>2751</v>
      </c>
      <c r="B27" s="194">
        <v>74</v>
      </c>
      <c r="C27" s="194">
        <v>105</v>
      </c>
      <c r="D27" s="194">
        <v>179</v>
      </c>
    </row>
    <row r="28" spans="1:4">
      <c r="A28" s="164"/>
      <c r="B28" s="194"/>
      <c r="C28" s="194"/>
      <c r="D28" s="194"/>
    </row>
    <row r="29" spans="1:4">
      <c r="A29" s="164"/>
      <c r="B29" s="194"/>
      <c r="C29" s="194"/>
      <c r="D29" s="194"/>
    </row>
    <row r="30" spans="1:4">
      <c r="A30" s="164"/>
      <c r="B30" s="194"/>
      <c r="C30" s="194"/>
      <c r="D30" s="194"/>
    </row>
    <row r="31" spans="1:4">
      <c r="A31" s="218" t="s">
        <v>3682</v>
      </c>
    </row>
    <row r="33" spans="1:13">
      <c r="A33" s="163" t="s">
        <v>5</v>
      </c>
      <c r="B33" t="s">
        <v>20</v>
      </c>
    </row>
    <row r="34" spans="1:13">
      <c r="A34" s="163" t="s">
        <v>6</v>
      </c>
      <c r="B34" t="s">
        <v>21</v>
      </c>
    </row>
    <row r="35" spans="1:13">
      <c r="A35" s="163" t="s">
        <v>2478</v>
      </c>
      <c r="B35" t="s">
        <v>27</v>
      </c>
    </row>
    <row r="37" spans="1:13">
      <c r="A37" s="163" t="s">
        <v>2753</v>
      </c>
      <c r="B37" s="163" t="s">
        <v>2752</v>
      </c>
    </row>
    <row r="38" spans="1:13">
      <c r="A38" s="163" t="s">
        <v>2750</v>
      </c>
      <c r="B38" t="s">
        <v>61</v>
      </c>
      <c r="C38" t="s">
        <v>337</v>
      </c>
      <c r="D38" t="s">
        <v>2659</v>
      </c>
      <c r="E38" t="s">
        <v>3650</v>
      </c>
      <c r="F38" t="s">
        <v>38</v>
      </c>
      <c r="G38" t="s">
        <v>206</v>
      </c>
      <c r="H38" t="s">
        <v>26</v>
      </c>
      <c r="I38" t="s">
        <v>236</v>
      </c>
      <c r="J38" t="s">
        <v>33</v>
      </c>
      <c r="K38" t="s">
        <v>3672</v>
      </c>
      <c r="L38" t="s">
        <v>4302</v>
      </c>
      <c r="M38" t="s">
        <v>2751</v>
      </c>
    </row>
    <row r="39" spans="1:13">
      <c r="A39" s="164" t="s">
        <v>24</v>
      </c>
      <c r="B39" s="194"/>
      <c r="C39" s="194"/>
      <c r="D39" s="194"/>
      <c r="E39" s="194"/>
      <c r="F39" s="194"/>
      <c r="G39" s="194"/>
      <c r="H39" s="220">
        <v>31</v>
      </c>
      <c r="I39" s="194"/>
      <c r="J39" s="194"/>
      <c r="K39" s="194"/>
      <c r="L39" s="194"/>
      <c r="M39" s="194">
        <v>31</v>
      </c>
    </row>
    <row r="40" spans="1:13">
      <c r="A40" s="164" t="s">
        <v>1587</v>
      </c>
      <c r="B40" s="194"/>
      <c r="C40" s="194"/>
      <c r="D40" s="194"/>
      <c r="E40" s="194">
        <v>4</v>
      </c>
      <c r="F40" s="194"/>
      <c r="G40" s="194">
        <v>4</v>
      </c>
      <c r="H40" s="194"/>
      <c r="I40" s="194"/>
      <c r="J40" s="194"/>
      <c r="K40" s="194"/>
      <c r="L40" s="194"/>
      <c r="M40" s="194">
        <v>8</v>
      </c>
    </row>
    <row r="41" spans="1:13">
      <c r="A41" s="164" t="s">
        <v>209</v>
      </c>
      <c r="B41" s="221">
        <v>9</v>
      </c>
      <c r="C41" s="194"/>
      <c r="D41" s="194"/>
      <c r="E41" s="194"/>
      <c r="F41" s="194"/>
      <c r="G41" s="194"/>
      <c r="H41" s="221">
        <v>39</v>
      </c>
      <c r="I41" s="221">
        <v>14</v>
      </c>
      <c r="J41" s="194"/>
      <c r="K41" s="194"/>
      <c r="L41" s="194"/>
      <c r="M41" s="194">
        <v>62</v>
      </c>
    </row>
    <row r="42" spans="1:13">
      <c r="A42" s="164" t="s">
        <v>204</v>
      </c>
      <c r="B42" s="194"/>
      <c r="C42" s="194"/>
      <c r="D42" s="194"/>
      <c r="E42" s="221">
        <v>21</v>
      </c>
      <c r="F42" s="194"/>
      <c r="G42" s="221">
        <v>25</v>
      </c>
      <c r="H42" s="194"/>
      <c r="I42" s="194"/>
      <c r="J42" s="194"/>
      <c r="K42" s="194"/>
      <c r="L42" s="194"/>
      <c r="M42" s="194">
        <v>46</v>
      </c>
    </row>
    <row r="43" spans="1:13">
      <c r="A43" s="164" t="s">
        <v>223</v>
      </c>
      <c r="B43" s="194"/>
      <c r="C43" s="220">
        <v>3</v>
      </c>
      <c r="D43" s="194"/>
      <c r="E43" s="194"/>
      <c r="F43" s="194"/>
      <c r="G43" s="194"/>
      <c r="H43" s="194"/>
      <c r="I43" s="194"/>
      <c r="J43" s="220">
        <v>5</v>
      </c>
      <c r="K43" s="194"/>
      <c r="L43" s="194">
        <v>1</v>
      </c>
      <c r="M43" s="194">
        <v>9</v>
      </c>
    </row>
    <row r="44" spans="1:13">
      <c r="A44" s="164" t="s">
        <v>2259</v>
      </c>
      <c r="B44" s="220">
        <v>7</v>
      </c>
      <c r="C44" s="220">
        <v>12</v>
      </c>
      <c r="D44" s="194"/>
      <c r="E44" s="194"/>
      <c r="F44" s="194"/>
      <c r="G44" s="194"/>
      <c r="H44" s="194"/>
      <c r="I44" s="194"/>
      <c r="J44" s="220">
        <v>14</v>
      </c>
      <c r="K44" s="194"/>
      <c r="L44" s="194"/>
      <c r="M44" s="194">
        <v>33</v>
      </c>
    </row>
    <row r="45" spans="1:13">
      <c r="A45" s="164" t="s">
        <v>3645</v>
      </c>
      <c r="B45" s="194"/>
      <c r="C45" s="194"/>
      <c r="D45" s="194"/>
      <c r="E45" s="221">
        <v>20</v>
      </c>
      <c r="F45" s="194"/>
      <c r="G45" s="221">
        <v>18</v>
      </c>
      <c r="H45" s="194"/>
      <c r="I45" s="194"/>
      <c r="J45" s="194"/>
      <c r="K45" s="194"/>
      <c r="L45" s="194"/>
      <c r="M45" s="194">
        <v>38</v>
      </c>
    </row>
    <row r="46" spans="1:13">
      <c r="A46" s="164" t="s">
        <v>876</v>
      </c>
      <c r="B46" s="194"/>
      <c r="C46" s="194">
        <v>1</v>
      </c>
      <c r="D46" s="221"/>
      <c r="E46" s="221">
        <v>32</v>
      </c>
      <c r="F46" s="194"/>
      <c r="G46" s="221">
        <v>7</v>
      </c>
      <c r="H46" s="194"/>
      <c r="I46" s="194"/>
      <c r="J46" s="194"/>
      <c r="K46" s="194"/>
      <c r="L46" s="194"/>
      <c r="M46" s="194">
        <v>40</v>
      </c>
    </row>
    <row r="47" spans="1:13">
      <c r="A47" s="164" t="s">
        <v>3672</v>
      </c>
      <c r="B47" s="194"/>
      <c r="C47" s="194">
        <v>1</v>
      </c>
      <c r="D47" s="194"/>
      <c r="E47" s="194"/>
      <c r="F47" s="194"/>
      <c r="G47" s="194"/>
      <c r="H47" s="194"/>
      <c r="I47" s="194"/>
      <c r="J47" s="194"/>
      <c r="K47" s="194"/>
      <c r="L47" s="194"/>
      <c r="M47" s="194">
        <v>1</v>
      </c>
    </row>
    <row r="48" spans="1:13">
      <c r="A48" s="164" t="s">
        <v>3669</v>
      </c>
      <c r="B48" s="194"/>
      <c r="C48" s="194"/>
      <c r="D48" s="194"/>
      <c r="E48" s="194"/>
      <c r="F48" s="194"/>
      <c r="G48" s="194"/>
      <c r="H48" s="220">
        <v>3</v>
      </c>
      <c r="I48" s="194"/>
      <c r="J48" s="194"/>
      <c r="K48" s="194"/>
      <c r="L48" s="194"/>
      <c r="M48" s="194">
        <v>3</v>
      </c>
    </row>
    <row r="49" spans="1:14">
      <c r="A49" s="164" t="s">
        <v>3678</v>
      </c>
      <c r="B49" s="194"/>
      <c r="C49" s="194"/>
      <c r="D49" s="194"/>
      <c r="E49" s="194"/>
      <c r="F49" s="194"/>
      <c r="G49" s="194"/>
      <c r="H49" s="194">
        <v>1</v>
      </c>
      <c r="I49" s="194"/>
      <c r="J49" s="194"/>
      <c r="K49" s="194"/>
      <c r="L49" s="194"/>
      <c r="M49" s="194">
        <v>1</v>
      </c>
    </row>
    <row r="50" spans="1:14">
      <c r="A50" s="242" t="s">
        <v>2758</v>
      </c>
      <c r="B50" s="194"/>
      <c r="C50" s="194"/>
      <c r="D50" s="194"/>
      <c r="E50" s="194"/>
      <c r="F50" s="194"/>
      <c r="G50" s="194"/>
      <c r="H50" s="194">
        <v>1</v>
      </c>
      <c r="I50" s="194"/>
      <c r="J50" s="194"/>
      <c r="K50" s="194"/>
      <c r="L50" s="194"/>
      <c r="M50" s="194">
        <v>1</v>
      </c>
      <c r="N50" s="194"/>
    </row>
    <row r="51" spans="1:14">
      <c r="A51" s="164" t="s">
        <v>3677</v>
      </c>
      <c r="B51" s="220">
        <v>5</v>
      </c>
      <c r="C51" s="220">
        <v>10</v>
      </c>
      <c r="D51" s="194"/>
      <c r="E51" s="194"/>
      <c r="F51" s="194">
        <v>1</v>
      </c>
      <c r="G51" s="194"/>
      <c r="H51" s="194"/>
      <c r="I51" s="194"/>
      <c r="J51" s="220">
        <v>11</v>
      </c>
      <c r="K51" s="194"/>
      <c r="L51" s="194"/>
      <c r="M51" s="194">
        <v>27</v>
      </c>
      <c r="N51" s="194"/>
    </row>
    <row r="52" spans="1:14">
      <c r="A52" s="164" t="s">
        <v>3674</v>
      </c>
      <c r="B52" s="194"/>
      <c r="C52" s="221">
        <v>19</v>
      </c>
      <c r="D52" s="221">
        <v>2</v>
      </c>
      <c r="E52" s="194">
        <v>5</v>
      </c>
      <c r="F52" s="194"/>
      <c r="G52" s="194"/>
      <c r="H52" s="194"/>
      <c r="I52" s="194"/>
      <c r="J52" s="221">
        <v>4</v>
      </c>
      <c r="K52" s="194"/>
      <c r="L52" s="194"/>
      <c r="M52" s="194">
        <v>30</v>
      </c>
      <c r="N52" s="194"/>
    </row>
    <row r="53" spans="1:14">
      <c r="A53" s="164" t="s">
        <v>3675</v>
      </c>
      <c r="B53" s="221">
        <v>4</v>
      </c>
      <c r="C53" s="221">
        <v>31</v>
      </c>
      <c r="D53" s="221">
        <v>4</v>
      </c>
      <c r="E53" s="194">
        <v>6</v>
      </c>
      <c r="F53" s="194"/>
      <c r="G53" s="194"/>
      <c r="H53" s="194"/>
      <c r="I53" s="194"/>
      <c r="J53" s="194">
        <v>2</v>
      </c>
      <c r="K53" s="194"/>
      <c r="L53" s="194"/>
      <c r="M53" s="194">
        <v>47</v>
      </c>
      <c r="N53" s="194"/>
    </row>
    <row r="54" spans="1:14">
      <c r="A54" s="164" t="s">
        <v>2227</v>
      </c>
      <c r="B54" s="194"/>
      <c r="C54" s="194"/>
      <c r="D54" s="194"/>
      <c r="E54" s="194"/>
      <c r="F54" s="194"/>
      <c r="G54" s="194"/>
      <c r="H54" s="194"/>
      <c r="I54" s="194"/>
      <c r="J54" s="194"/>
      <c r="K54" s="194">
        <v>2</v>
      </c>
      <c r="L54" s="194"/>
      <c r="M54" s="194">
        <v>2</v>
      </c>
      <c r="N54" s="194"/>
    </row>
    <row r="55" spans="1:14">
      <c r="A55" s="164" t="s">
        <v>2751</v>
      </c>
      <c r="B55" s="194">
        <v>25</v>
      </c>
      <c r="C55" s="194">
        <v>77</v>
      </c>
      <c r="D55" s="194">
        <v>6</v>
      </c>
      <c r="E55" s="194">
        <v>88</v>
      </c>
      <c r="F55" s="194">
        <v>1</v>
      </c>
      <c r="G55" s="194">
        <v>54</v>
      </c>
      <c r="H55" s="194">
        <v>74</v>
      </c>
      <c r="I55" s="194">
        <v>14</v>
      </c>
      <c r="J55" s="194">
        <v>36</v>
      </c>
      <c r="K55" s="194">
        <v>2</v>
      </c>
      <c r="L55" s="194">
        <v>1</v>
      </c>
      <c r="M55" s="194">
        <v>378</v>
      </c>
      <c r="N55" s="194"/>
    </row>
    <row r="56" spans="1:14">
      <c r="M56" s="194"/>
      <c r="N56" s="194"/>
    </row>
    <row r="57" spans="1:14">
      <c r="M57" s="194"/>
      <c r="N57" s="194"/>
    </row>
    <row r="58" spans="1:14">
      <c r="M58" s="194"/>
      <c r="N58" s="194"/>
    </row>
    <row r="59" spans="1:14">
      <c r="M59" s="194"/>
      <c r="N59" s="194"/>
    </row>
    <row r="60" spans="1:14">
      <c r="M60" s="194"/>
      <c r="N60" s="194"/>
    </row>
    <row r="61" spans="1:14">
      <c r="M61" s="194"/>
      <c r="N61" s="194"/>
    </row>
    <row r="62" spans="1:14">
      <c r="M62" s="194"/>
      <c r="N62" s="194"/>
    </row>
    <row r="63" spans="1:14">
      <c r="M63" s="194"/>
      <c r="N63" s="194"/>
    </row>
    <row r="64" spans="1:14">
      <c r="M64" s="194"/>
      <c r="N64" s="194"/>
    </row>
    <row r="65" spans="1:14">
      <c r="M65" s="194"/>
      <c r="N65" s="194"/>
    </row>
    <row r="66" spans="1:14">
      <c r="M66" s="194"/>
      <c r="N66" s="194"/>
    </row>
    <row r="67" spans="1:14">
      <c r="M67" s="194"/>
      <c r="N67" s="194"/>
    </row>
    <row r="68" spans="1:14">
      <c r="M68" s="194"/>
      <c r="N68" s="194"/>
    </row>
    <row r="69" spans="1:14">
      <c r="M69" s="194"/>
      <c r="N69" s="194"/>
    </row>
    <row r="70" spans="1:14">
      <c r="M70" s="194"/>
      <c r="N70" s="194"/>
    </row>
    <row r="71" spans="1:14">
      <c r="M71" s="194"/>
      <c r="N71" s="194"/>
    </row>
    <row r="72" spans="1:14">
      <c r="M72" s="194"/>
      <c r="N72" s="194"/>
    </row>
    <row r="73" spans="1:14">
      <c r="M73" s="194"/>
      <c r="N73" s="194"/>
    </row>
    <row r="74" spans="1:14">
      <c r="M74" s="194"/>
      <c r="N74" s="194"/>
    </row>
    <row r="75" spans="1:14">
      <c r="M75" s="194"/>
      <c r="N75" s="194"/>
    </row>
    <row r="76" spans="1:14">
      <c r="M76" s="194"/>
      <c r="N76" s="194"/>
    </row>
    <row r="77" spans="1:14">
      <c r="M77" s="194"/>
      <c r="N77" s="194"/>
    </row>
    <row r="78" spans="1:14">
      <c r="M78" s="194"/>
      <c r="N78" s="194"/>
    </row>
    <row r="79" spans="1:14">
      <c r="M79" s="194"/>
      <c r="N79" s="194"/>
    </row>
    <row r="80" spans="1:14">
      <c r="A80" s="219" t="s">
        <v>3683</v>
      </c>
      <c r="B80" s="194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</row>
    <row r="81" spans="1:30"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</row>
    <row r="82" spans="1:30">
      <c r="A82" s="163" t="s">
        <v>6</v>
      </c>
      <c r="B82" t="s">
        <v>60</v>
      </c>
    </row>
    <row r="83" spans="1:30">
      <c r="A83" s="163" t="s">
        <v>5</v>
      </c>
      <c r="B83" t="s">
        <v>20</v>
      </c>
    </row>
    <row r="84" spans="1:30">
      <c r="A84" s="163" t="s">
        <v>2478</v>
      </c>
      <c r="B84" t="s">
        <v>27</v>
      </c>
    </row>
    <row r="86" spans="1:30">
      <c r="A86" s="163" t="s">
        <v>2753</v>
      </c>
      <c r="B86" s="163" t="s">
        <v>2752</v>
      </c>
    </row>
    <row r="87" spans="1:30">
      <c r="A87" s="163" t="s">
        <v>2750</v>
      </c>
      <c r="B87" t="s">
        <v>3668</v>
      </c>
      <c r="C87" t="s">
        <v>3769</v>
      </c>
      <c r="D87" t="s">
        <v>2484</v>
      </c>
      <c r="E87" t="s">
        <v>2487</v>
      </c>
      <c r="F87" t="s">
        <v>2486</v>
      </c>
      <c r="G87" t="s">
        <v>2501</v>
      </c>
      <c r="H87" t="s">
        <v>1588</v>
      </c>
      <c r="I87" t="s">
        <v>2485</v>
      </c>
      <c r="J87" t="s">
        <v>2558</v>
      </c>
      <c r="K87" t="s">
        <v>3670</v>
      </c>
      <c r="L87" t="s">
        <v>3201</v>
      </c>
      <c r="M87" t="s">
        <v>3671</v>
      </c>
      <c r="N87" t="s">
        <v>3645</v>
      </c>
      <c r="O87" t="s">
        <v>876</v>
      </c>
      <c r="P87" t="s">
        <v>3672</v>
      </c>
      <c r="Q87" t="s">
        <v>3679</v>
      </c>
      <c r="R87" t="s">
        <v>3680</v>
      </c>
      <c r="S87" t="s">
        <v>3674</v>
      </c>
      <c r="T87" t="s">
        <v>3675</v>
      </c>
      <c r="U87" t="s">
        <v>3676</v>
      </c>
      <c r="V87" t="s">
        <v>3686</v>
      </c>
      <c r="W87" t="s">
        <v>3687</v>
      </c>
      <c r="X87" t="s">
        <v>3684</v>
      </c>
      <c r="Y87" t="s">
        <v>3696</v>
      </c>
      <c r="Z87" t="s">
        <v>3780</v>
      </c>
      <c r="AA87" t="s">
        <v>3834</v>
      </c>
      <c r="AB87" t="s">
        <v>3923</v>
      </c>
      <c r="AC87" t="s">
        <v>5415</v>
      </c>
      <c r="AD87" t="s">
        <v>2751</v>
      </c>
    </row>
    <row r="88" spans="1:30">
      <c r="A88" s="164" t="s">
        <v>337</v>
      </c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O88" s="194"/>
      <c r="P88" s="194"/>
      <c r="Q88" s="194"/>
      <c r="R88" s="194"/>
      <c r="S88" s="194">
        <v>3</v>
      </c>
      <c r="T88" s="194"/>
      <c r="U88" s="194"/>
      <c r="V88" s="194"/>
      <c r="W88" s="194"/>
      <c r="X88" s="194">
        <v>1</v>
      </c>
      <c r="Y88" s="194"/>
      <c r="Z88" s="194"/>
      <c r="AA88" s="194"/>
      <c r="AB88" s="194"/>
      <c r="AC88" s="194"/>
      <c r="AD88" s="194">
        <v>4</v>
      </c>
    </row>
    <row r="89" spans="1:30">
      <c r="A89" s="164" t="s">
        <v>2378</v>
      </c>
      <c r="B89" s="194"/>
      <c r="C89" s="194"/>
      <c r="D89" s="194"/>
      <c r="E89" s="194"/>
      <c r="F89" s="194"/>
      <c r="G89" s="194"/>
      <c r="H89" s="194"/>
      <c r="I89" s="194"/>
      <c r="J89" s="194">
        <v>8</v>
      </c>
      <c r="K89" s="194"/>
      <c r="L89" s="194"/>
      <c r="M89" s="194"/>
      <c r="N89" s="194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4"/>
      <c r="Z89" s="194"/>
      <c r="AA89" s="194"/>
      <c r="AB89" s="194"/>
      <c r="AC89" s="194"/>
      <c r="AD89" s="194">
        <v>8</v>
      </c>
    </row>
    <row r="90" spans="1:30">
      <c r="A90" s="164" t="s">
        <v>2429</v>
      </c>
      <c r="B90" s="194"/>
      <c r="C90" s="194"/>
      <c r="D90" s="194"/>
      <c r="E90" s="194"/>
      <c r="F90" s="194"/>
      <c r="G90" s="194"/>
      <c r="H90" s="194"/>
      <c r="I90" s="194">
        <v>17</v>
      </c>
      <c r="J90" s="194"/>
      <c r="K90" s="194"/>
      <c r="L90" s="194"/>
      <c r="M90" s="194"/>
      <c r="N90" s="194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4"/>
      <c r="Z90" s="194"/>
      <c r="AA90" s="194"/>
      <c r="AB90" s="194"/>
      <c r="AC90" s="194"/>
      <c r="AD90" s="194">
        <v>17</v>
      </c>
    </row>
    <row r="91" spans="1:30">
      <c r="A91" s="164" t="s">
        <v>3663</v>
      </c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>
        <v>7</v>
      </c>
      <c r="N91" s="194"/>
      <c r="O91" s="194"/>
      <c r="P91" s="194"/>
      <c r="Q91" s="194"/>
      <c r="R91" s="194">
        <v>24</v>
      </c>
      <c r="S91" s="194"/>
      <c r="T91" s="194"/>
      <c r="U91" s="194">
        <v>1</v>
      </c>
      <c r="V91" s="194">
        <v>1</v>
      </c>
      <c r="W91" s="194"/>
      <c r="X91" s="194"/>
      <c r="Y91" s="194">
        <v>3</v>
      </c>
      <c r="Z91" s="194"/>
      <c r="AA91" s="194"/>
      <c r="AB91" s="194"/>
      <c r="AC91" s="194"/>
      <c r="AD91" s="194">
        <v>36</v>
      </c>
    </row>
    <row r="92" spans="1:30">
      <c r="A92" s="164" t="s">
        <v>3664</v>
      </c>
      <c r="B92" s="194"/>
      <c r="C92" s="194"/>
      <c r="D92" s="194"/>
      <c r="E92" s="194"/>
      <c r="F92" s="194"/>
      <c r="G92" s="194"/>
      <c r="H92" s="194"/>
      <c r="I92" s="194"/>
      <c r="J92" s="194"/>
      <c r="K92" s="194">
        <v>6</v>
      </c>
      <c r="L92" s="194">
        <v>18</v>
      </c>
      <c r="M92" s="194"/>
      <c r="N92" s="194"/>
      <c r="O92" s="194"/>
      <c r="P92" s="194"/>
      <c r="Q92" s="194">
        <v>14</v>
      </c>
      <c r="R92" s="194"/>
      <c r="S92" s="194"/>
      <c r="T92" s="194"/>
      <c r="U92" s="194"/>
      <c r="V92" s="194"/>
      <c r="W92" s="194"/>
      <c r="X92" s="194"/>
      <c r="Y92" s="194"/>
      <c r="Z92" s="194"/>
      <c r="AA92" s="194"/>
      <c r="AB92" s="194"/>
      <c r="AC92" s="194"/>
      <c r="AD92" s="194">
        <v>38</v>
      </c>
    </row>
    <row r="93" spans="1:30">
      <c r="A93" s="164" t="s">
        <v>3650</v>
      </c>
      <c r="B93" s="194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>
        <v>1</v>
      </c>
      <c r="O93" s="194">
        <v>6</v>
      </c>
      <c r="P93" s="194"/>
      <c r="Q93" s="194"/>
      <c r="R93" s="194"/>
      <c r="S93" s="194"/>
      <c r="T93" s="194">
        <v>1</v>
      </c>
      <c r="U93" s="194"/>
      <c r="V93" s="194"/>
      <c r="W93" s="194"/>
      <c r="X93" s="194"/>
      <c r="Y93" s="194"/>
      <c r="Z93" s="194"/>
      <c r="AA93" s="194"/>
      <c r="AB93" s="194"/>
      <c r="AC93" s="194"/>
      <c r="AD93" s="194">
        <v>8</v>
      </c>
    </row>
    <row r="94" spans="1:30">
      <c r="A94" s="242" t="s">
        <v>2761</v>
      </c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O94" s="194">
        <v>1</v>
      </c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>
        <v>1</v>
      </c>
    </row>
    <row r="95" spans="1:30">
      <c r="A95" s="242" t="s">
        <v>2893</v>
      </c>
      <c r="B95" s="194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>
        <v>1</v>
      </c>
      <c r="O95" s="194">
        <v>5</v>
      </c>
      <c r="P95" s="194"/>
      <c r="Q95" s="194"/>
      <c r="R95" s="194"/>
      <c r="S95" s="194"/>
      <c r="T95" s="194">
        <v>1</v>
      </c>
      <c r="U95" s="194"/>
      <c r="V95" s="194"/>
      <c r="W95" s="194"/>
      <c r="X95" s="194"/>
      <c r="Y95" s="194"/>
      <c r="Z95" s="194"/>
      <c r="AA95" s="194"/>
      <c r="AB95" s="194"/>
      <c r="AC95" s="194"/>
      <c r="AD95" s="194">
        <v>7</v>
      </c>
    </row>
    <row r="96" spans="1:30">
      <c r="A96" s="164" t="s">
        <v>2654</v>
      </c>
      <c r="B96" s="194"/>
      <c r="C96" s="194"/>
      <c r="D96" s="194"/>
      <c r="E96" s="194"/>
      <c r="F96" s="194"/>
      <c r="G96" s="194">
        <v>2</v>
      </c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>
        <v>2</v>
      </c>
    </row>
    <row r="97" spans="1:30">
      <c r="A97" s="164" t="s">
        <v>2649</v>
      </c>
      <c r="B97" s="194"/>
      <c r="C97" s="194"/>
      <c r="D97" s="194"/>
      <c r="E97" s="194"/>
      <c r="F97" s="194"/>
      <c r="G97" s="194">
        <v>32</v>
      </c>
      <c r="H97" s="194"/>
      <c r="I97" s="194"/>
      <c r="J97" s="194"/>
      <c r="K97" s="194"/>
      <c r="L97" s="194"/>
      <c r="M97" s="194"/>
      <c r="N97" s="194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4"/>
      <c r="Z97" s="194"/>
      <c r="AA97" s="194"/>
      <c r="AB97" s="194">
        <v>4</v>
      </c>
      <c r="AC97" s="194"/>
      <c r="AD97" s="194">
        <v>36</v>
      </c>
    </row>
    <row r="98" spans="1:30">
      <c r="A98" s="164" t="s">
        <v>2364</v>
      </c>
      <c r="B98" s="194"/>
      <c r="C98" s="194"/>
      <c r="D98" s="194"/>
      <c r="E98" s="194"/>
      <c r="F98" s="194"/>
      <c r="G98" s="194"/>
      <c r="H98" s="194">
        <v>9</v>
      </c>
      <c r="I98" s="194"/>
      <c r="J98" s="194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>
        <v>1</v>
      </c>
      <c r="Y98" s="194"/>
      <c r="Z98" s="194"/>
      <c r="AA98" s="194"/>
      <c r="AB98" s="194"/>
      <c r="AC98" s="194"/>
      <c r="AD98" s="194">
        <v>10</v>
      </c>
    </row>
    <row r="99" spans="1:30">
      <c r="A99" s="164" t="s">
        <v>4445</v>
      </c>
      <c r="B99" s="194"/>
      <c r="C99" s="194"/>
      <c r="D99" s="194"/>
      <c r="E99" s="194"/>
      <c r="F99" s="194"/>
      <c r="G99" s="194">
        <v>2</v>
      </c>
      <c r="H99" s="194"/>
      <c r="I99" s="194"/>
      <c r="J99" s="194"/>
      <c r="K99" s="194"/>
      <c r="L99" s="194"/>
      <c r="M99" s="194"/>
      <c r="N99" s="194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4"/>
      <c r="Z99" s="194"/>
      <c r="AA99" s="194"/>
      <c r="AB99" s="194"/>
      <c r="AC99" s="194"/>
      <c r="AD99" s="194">
        <v>2</v>
      </c>
    </row>
    <row r="100" spans="1:30">
      <c r="A100" s="164" t="s">
        <v>2650</v>
      </c>
      <c r="B100" s="194"/>
      <c r="C100" s="194"/>
      <c r="D100" s="194"/>
      <c r="E100" s="194">
        <v>35</v>
      </c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>
        <v>35</v>
      </c>
    </row>
    <row r="101" spans="1:30">
      <c r="A101" s="164" t="s">
        <v>2390</v>
      </c>
      <c r="B101" s="194"/>
      <c r="C101" s="194"/>
      <c r="D101" s="194">
        <v>1</v>
      </c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4"/>
      <c r="Z101" s="194"/>
      <c r="AA101" s="194">
        <v>3</v>
      </c>
      <c r="AB101" s="194"/>
      <c r="AC101" s="194"/>
      <c r="AD101" s="194">
        <v>4</v>
      </c>
    </row>
    <row r="102" spans="1:30">
      <c r="A102" s="164" t="s">
        <v>2358</v>
      </c>
      <c r="B102" s="194"/>
      <c r="C102" s="194"/>
      <c r="D102" s="194"/>
      <c r="E102" s="194"/>
      <c r="F102" s="194">
        <v>20</v>
      </c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>
        <v>20</v>
      </c>
    </row>
    <row r="103" spans="1:30">
      <c r="A103" s="164" t="s">
        <v>2651</v>
      </c>
      <c r="B103" s="194"/>
      <c r="C103" s="194"/>
      <c r="D103" s="194"/>
      <c r="E103" s="194"/>
      <c r="F103" s="194">
        <v>21</v>
      </c>
      <c r="G103" s="194"/>
      <c r="H103" s="194"/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4"/>
      <c r="Z103" s="194"/>
      <c r="AA103" s="194"/>
      <c r="AB103" s="194"/>
      <c r="AC103" s="194"/>
      <c r="AD103" s="194">
        <v>21</v>
      </c>
    </row>
    <row r="104" spans="1:30">
      <c r="A104" s="164" t="s">
        <v>3666</v>
      </c>
      <c r="B104" s="194">
        <v>10</v>
      </c>
      <c r="C104" s="194"/>
      <c r="D104" s="194"/>
      <c r="E104" s="194"/>
      <c r="F104" s="194"/>
      <c r="G104" s="194"/>
      <c r="H104" s="194"/>
      <c r="I104" s="194"/>
      <c r="J104" s="194"/>
      <c r="K104" s="194">
        <v>2</v>
      </c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>
        <v>12</v>
      </c>
    </row>
    <row r="105" spans="1:30">
      <c r="A105" s="164" t="s">
        <v>3665</v>
      </c>
      <c r="B105" s="194">
        <v>14</v>
      </c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4"/>
      <c r="Z105" s="194"/>
      <c r="AA105" s="194"/>
      <c r="AB105" s="194"/>
      <c r="AC105" s="194"/>
      <c r="AD105" s="194">
        <v>14</v>
      </c>
    </row>
    <row r="106" spans="1:30">
      <c r="A106" s="164" t="s">
        <v>3672</v>
      </c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>
        <v>5</v>
      </c>
      <c r="Q106" s="194"/>
      <c r="R106" s="194"/>
      <c r="S106" s="194"/>
      <c r="T106" s="194"/>
      <c r="U106" s="194"/>
      <c r="V106" s="194"/>
      <c r="W106" s="194">
        <v>1</v>
      </c>
      <c r="X106" s="194"/>
      <c r="Y106" s="194"/>
      <c r="Z106" s="194"/>
      <c r="AA106" s="194"/>
      <c r="AB106" s="194"/>
      <c r="AC106" s="194"/>
      <c r="AD106" s="194">
        <v>6</v>
      </c>
    </row>
    <row r="107" spans="1:30">
      <c r="A107" s="164" t="s">
        <v>3739</v>
      </c>
      <c r="B107" s="194"/>
      <c r="C107" s="194">
        <v>8</v>
      </c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>
        <v>15</v>
      </c>
      <c r="Y107" s="194"/>
      <c r="Z107" s="194"/>
      <c r="AA107" s="194"/>
      <c r="AB107" s="194"/>
      <c r="AC107" s="194"/>
      <c r="AD107" s="194">
        <v>23</v>
      </c>
    </row>
    <row r="108" spans="1:30">
      <c r="A108" s="242" t="s">
        <v>2658</v>
      </c>
      <c r="B108" s="194"/>
      <c r="C108" s="194">
        <v>8</v>
      </c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>
        <v>14</v>
      </c>
      <c r="Y108" s="194"/>
      <c r="Z108" s="194"/>
      <c r="AA108" s="194"/>
      <c r="AB108" s="194"/>
      <c r="AC108" s="194"/>
      <c r="AD108" s="194">
        <v>22</v>
      </c>
    </row>
    <row r="109" spans="1:30">
      <c r="A109" s="242" t="s">
        <v>3672</v>
      </c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>
        <v>1</v>
      </c>
      <c r="Y109" s="194"/>
      <c r="Z109" s="194"/>
      <c r="AA109" s="194"/>
      <c r="AB109" s="194"/>
      <c r="AC109" s="194"/>
      <c r="AD109" s="194">
        <v>1</v>
      </c>
    </row>
    <row r="110" spans="1:30">
      <c r="A110" s="164" t="s">
        <v>3781</v>
      </c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>
        <v>8</v>
      </c>
      <c r="AA110" s="194"/>
      <c r="AB110" s="194"/>
      <c r="AC110" s="194">
        <v>1</v>
      </c>
      <c r="AD110" s="194">
        <v>9</v>
      </c>
    </row>
    <row r="111" spans="1:30">
      <c r="A111" s="242" t="s">
        <v>2658</v>
      </c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4"/>
      <c r="Z111" s="194">
        <v>8</v>
      </c>
      <c r="AA111" s="194"/>
      <c r="AB111" s="194"/>
      <c r="AC111" s="194">
        <v>1</v>
      </c>
      <c r="AD111" s="194">
        <v>9</v>
      </c>
    </row>
    <row r="112" spans="1:30">
      <c r="A112" s="164" t="s">
        <v>4427</v>
      </c>
      <c r="B112" s="194"/>
      <c r="C112" s="194"/>
      <c r="D112" s="194">
        <v>24</v>
      </c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>
        <v>2</v>
      </c>
      <c r="AB112" s="194"/>
      <c r="AC112" s="194"/>
      <c r="AD112" s="194">
        <v>26</v>
      </c>
    </row>
    <row r="113" spans="1:30">
      <c r="A113" s="242" t="s">
        <v>2658</v>
      </c>
      <c r="B113" s="194"/>
      <c r="C113" s="194"/>
      <c r="D113" s="194">
        <v>8</v>
      </c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4"/>
      <c r="Z113" s="194"/>
      <c r="AA113" s="194">
        <v>2</v>
      </c>
      <c r="AB113" s="194"/>
      <c r="AC113" s="194"/>
      <c r="AD113" s="194">
        <v>10</v>
      </c>
    </row>
    <row r="114" spans="1:30">
      <c r="A114" s="242" t="s">
        <v>2893</v>
      </c>
      <c r="B114" s="194"/>
      <c r="C114" s="194"/>
      <c r="D114" s="194">
        <v>14</v>
      </c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>
        <v>14</v>
      </c>
    </row>
    <row r="115" spans="1:30">
      <c r="A115" s="242" t="s">
        <v>4443</v>
      </c>
      <c r="B115" s="194"/>
      <c r="C115" s="194"/>
      <c r="D115" s="194">
        <v>2</v>
      </c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4"/>
      <c r="Z115" s="194"/>
      <c r="AA115" s="194"/>
      <c r="AB115" s="194"/>
      <c r="AC115" s="194"/>
      <c r="AD115" s="194">
        <v>2</v>
      </c>
    </row>
    <row r="116" spans="1:30">
      <c r="A116" s="164" t="s">
        <v>4426</v>
      </c>
      <c r="B116" s="194"/>
      <c r="C116" s="194"/>
      <c r="D116" s="194"/>
      <c r="E116" s="194"/>
      <c r="F116" s="194"/>
      <c r="G116" s="194"/>
      <c r="H116" s="194"/>
      <c r="I116" s="194">
        <v>19</v>
      </c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>
        <v>19</v>
      </c>
    </row>
    <row r="117" spans="1:30">
      <c r="A117" s="242" t="s">
        <v>2658</v>
      </c>
      <c r="B117" s="194"/>
      <c r="C117" s="194"/>
      <c r="D117" s="194"/>
      <c r="E117" s="194"/>
      <c r="F117" s="194"/>
      <c r="G117" s="194"/>
      <c r="H117" s="194"/>
      <c r="I117" s="194">
        <v>8</v>
      </c>
      <c r="J117" s="194"/>
      <c r="K117" s="194"/>
      <c r="L117" s="194"/>
      <c r="M117" s="194"/>
      <c r="N117" s="194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4"/>
      <c r="Z117" s="194"/>
      <c r="AA117" s="194"/>
      <c r="AB117" s="194"/>
      <c r="AC117" s="194"/>
      <c r="AD117" s="194">
        <v>8</v>
      </c>
    </row>
    <row r="118" spans="1:30">
      <c r="A118" s="242" t="s">
        <v>2893</v>
      </c>
      <c r="B118" s="194"/>
      <c r="C118" s="194"/>
      <c r="D118" s="194"/>
      <c r="E118" s="194"/>
      <c r="F118" s="194"/>
      <c r="G118" s="194"/>
      <c r="H118" s="194"/>
      <c r="I118" s="194">
        <v>9</v>
      </c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>
        <v>9</v>
      </c>
    </row>
    <row r="119" spans="1:30">
      <c r="A119" s="242" t="s">
        <v>4443</v>
      </c>
      <c r="B119" s="194"/>
      <c r="C119" s="194"/>
      <c r="D119" s="194"/>
      <c r="E119" s="194"/>
      <c r="F119" s="194"/>
      <c r="G119" s="194"/>
      <c r="H119" s="194"/>
      <c r="I119" s="194">
        <v>2</v>
      </c>
      <c r="J119" s="194"/>
      <c r="K119" s="194"/>
      <c r="L119" s="194"/>
      <c r="M119" s="194"/>
      <c r="N119" s="194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4"/>
      <c r="Z119" s="194"/>
      <c r="AA119" s="194"/>
      <c r="AB119" s="194"/>
      <c r="AC119" s="194"/>
      <c r="AD119" s="194">
        <v>2</v>
      </c>
    </row>
    <row r="120" spans="1:30">
      <c r="A120" s="164" t="s">
        <v>4264</v>
      </c>
      <c r="B120" s="194"/>
      <c r="C120" s="194"/>
      <c r="D120" s="194"/>
      <c r="E120" s="194"/>
      <c r="F120" s="194">
        <v>2</v>
      </c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>
        <v>2</v>
      </c>
    </row>
    <row r="121" spans="1:30">
      <c r="A121" s="242" t="s">
        <v>4443</v>
      </c>
      <c r="B121" s="194"/>
      <c r="C121" s="194"/>
      <c r="D121" s="194"/>
      <c r="E121" s="194"/>
      <c r="F121" s="194">
        <v>2</v>
      </c>
      <c r="G121" s="194"/>
      <c r="H121" s="194"/>
      <c r="I121" s="194"/>
      <c r="J121" s="194"/>
      <c r="K121" s="194"/>
      <c r="L121" s="194"/>
      <c r="M121" s="194"/>
      <c r="N121" s="194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4"/>
      <c r="Z121" s="194"/>
      <c r="AA121" s="194"/>
      <c r="AB121" s="194"/>
      <c r="AC121" s="194"/>
      <c r="AD121" s="194">
        <v>2</v>
      </c>
    </row>
    <row r="122" spans="1:30">
      <c r="A122" s="164" t="s">
        <v>4331</v>
      </c>
      <c r="B122" s="194"/>
      <c r="C122" s="194"/>
      <c r="D122" s="194"/>
      <c r="E122" s="194"/>
      <c r="F122" s="194"/>
      <c r="G122" s="194">
        <v>4</v>
      </c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>
        <v>4</v>
      </c>
    </row>
    <row r="123" spans="1:30">
      <c r="A123" s="242" t="s">
        <v>4443</v>
      </c>
      <c r="B123" s="194"/>
      <c r="C123" s="194"/>
      <c r="D123" s="194"/>
      <c r="E123" s="194"/>
      <c r="F123" s="194"/>
      <c r="G123" s="194">
        <v>4</v>
      </c>
      <c r="H123" s="194"/>
      <c r="I123" s="194"/>
      <c r="J123" s="194"/>
      <c r="K123" s="194"/>
      <c r="L123" s="194"/>
      <c r="M123" s="194"/>
      <c r="N123" s="194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4"/>
      <c r="Z123" s="194"/>
      <c r="AA123" s="194"/>
      <c r="AB123" s="194"/>
      <c r="AC123" s="194"/>
      <c r="AD123" s="194">
        <v>4</v>
      </c>
    </row>
    <row r="124" spans="1:30">
      <c r="A124" s="164" t="s">
        <v>5151</v>
      </c>
      <c r="B124" s="194"/>
      <c r="C124" s="194"/>
      <c r="D124" s="194"/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>
        <v>7</v>
      </c>
      <c r="Y124" s="194"/>
      <c r="Z124" s="194"/>
      <c r="AA124" s="194"/>
      <c r="AB124" s="194"/>
      <c r="AC124" s="194"/>
      <c r="AD124" s="194">
        <v>7</v>
      </c>
    </row>
    <row r="125" spans="1:30">
      <c r="A125" s="242" t="s">
        <v>2893</v>
      </c>
      <c r="B125" s="194"/>
      <c r="C125" s="194"/>
      <c r="D125" s="194"/>
      <c r="E125" s="194"/>
      <c r="F125" s="194"/>
      <c r="G125" s="194"/>
      <c r="H125" s="194"/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>
        <v>7</v>
      </c>
      <c r="Y125" s="194"/>
      <c r="Z125" s="194"/>
      <c r="AA125" s="194"/>
      <c r="AB125" s="194"/>
      <c r="AC125" s="194"/>
      <c r="AD125" s="194">
        <v>7</v>
      </c>
    </row>
    <row r="126" spans="1:30">
      <c r="A126" s="164" t="s">
        <v>2751</v>
      </c>
      <c r="B126" s="194">
        <v>24</v>
      </c>
      <c r="C126" s="194">
        <v>8</v>
      </c>
      <c r="D126" s="194">
        <v>25</v>
      </c>
      <c r="E126" s="194">
        <v>35</v>
      </c>
      <c r="F126" s="194">
        <v>43</v>
      </c>
      <c r="G126" s="194">
        <v>40</v>
      </c>
      <c r="H126" s="194">
        <v>9</v>
      </c>
      <c r="I126" s="194">
        <v>36</v>
      </c>
      <c r="J126" s="194">
        <v>8</v>
      </c>
      <c r="K126" s="194">
        <v>8</v>
      </c>
      <c r="L126" s="194">
        <v>18</v>
      </c>
      <c r="M126" s="194">
        <v>7</v>
      </c>
      <c r="N126" s="194">
        <v>1</v>
      </c>
      <c r="O126" s="194">
        <v>6</v>
      </c>
      <c r="P126" s="194">
        <v>5</v>
      </c>
      <c r="Q126" s="194">
        <v>14</v>
      </c>
      <c r="R126" s="194">
        <v>24</v>
      </c>
      <c r="S126" s="194">
        <v>3</v>
      </c>
      <c r="T126" s="194">
        <v>1</v>
      </c>
      <c r="U126" s="194">
        <v>1</v>
      </c>
      <c r="V126" s="194">
        <v>1</v>
      </c>
      <c r="W126" s="194">
        <v>1</v>
      </c>
      <c r="X126" s="194">
        <v>24</v>
      </c>
      <c r="Y126" s="194">
        <v>3</v>
      </c>
      <c r="Z126" s="194">
        <v>8</v>
      </c>
      <c r="AA126" s="194">
        <v>5</v>
      </c>
      <c r="AB126" s="194">
        <v>4</v>
      </c>
      <c r="AC126" s="194">
        <v>1</v>
      </c>
      <c r="AD126" s="194">
        <v>363</v>
      </c>
    </row>
  </sheetData>
  <sheetProtection autoFilter="0"/>
  <phoneticPr fontId="131" type="noConversion"/>
  <pageMargins left="0.7" right="0.7" top="0.75" bottom="0.75" header="0.3" footer="0.3"/>
  <pageSetup paperSize="9" orientation="portrait" r:id="rId5"/>
  <customProperties>
    <customPr name="Guid" r:id="rId6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B20" sqref="B20"/>
    </sheetView>
  </sheetViews>
  <sheetFormatPr defaultRowHeight="15"/>
  <cols>
    <col min="1" max="1" width="20" customWidth="1"/>
    <col min="2" max="2" width="16.28515625" bestFit="1" customWidth="1"/>
    <col min="3" max="3" width="10.7109375" bestFit="1" customWidth="1"/>
    <col min="4" max="4" width="8.28515625" bestFit="1" customWidth="1"/>
    <col min="5" max="6" width="7.28515625" bestFit="1" customWidth="1"/>
    <col min="7" max="7" width="5.42578125" bestFit="1" customWidth="1"/>
    <col min="8" max="8" width="25" bestFit="1" customWidth="1"/>
    <col min="9" max="9" width="26.140625" bestFit="1" customWidth="1"/>
  </cols>
  <sheetData>
    <row r="1" spans="1:7">
      <c r="A1" s="163" t="s">
        <v>5</v>
      </c>
      <c r="B1" t="s">
        <v>3084</v>
      </c>
    </row>
    <row r="3" spans="1:7">
      <c r="A3" s="163" t="s">
        <v>2753</v>
      </c>
      <c r="B3" s="163" t="s">
        <v>2752</v>
      </c>
    </row>
    <row r="4" spans="1:7">
      <c r="A4" s="163" t="s">
        <v>2750</v>
      </c>
      <c r="B4" t="s">
        <v>5758</v>
      </c>
      <c r="C4" t="s">
        <v>349</v>
      </c>
      <c r="D4" t="s">
        <v>5759</v>
      </c>
      <c r="E4" t="s">
        <v>2021</v>
      </c>
      <c r="F4" t="s">
        <v>3672</v>
      </c>
      <c r="G4" t="s">
        <v>1248</v>
      </c>
    </row>
    <row r="5" spans="1:7">
      <c r="A5" s="164" t="s">
        <v>0</v>
      </c>
      <c r="B5" s="197">
        <v>87</v>
      </c>
      <c r="C5" s="197">
        <v>2</v>
      </c>
      <c r="D5" s="197">
        <v>13</v>
      </c>
      <c r="E5" s="197"/>
      <c r="F5" s="197"/>
      <c r="G5" s="197">
        <v>102</v>
      </c>
    </row>
    <row r="6" spans="1:7">
      <c r="A6" s="164" t="s">
        <v>203</v>
      </c>
      <c r="B6" s="197">
        <v>140</v>
      </c>
      <c r="C6" s="197">
        <v>17</v>
      </c>
      <c r="D6" s="197">
        <v>10</v>
      </c>
      <c r="E6" s="197">
        <v>10</v>
      </c>
      <c r="F6" s="197"/>
      <c r="G6" s="197">
        <v>177</v>
      </c>
    </row>
    <row r="7" spans="1:7">
      <c r="A7" s="242" t="s">
        <v>60</v>
      </c>
      <c r="B7" s="197">
        <v>54</v>
      </c>
      <c r="C7" s="197">
        <v>13</v>
      </c>
      <c r="D7" s="197">
        <v>2</v>
      </c>
      <c r="E7" s="197">
        <v>1</v>
      </c>
      <c r="F7" s="197"/>
      <c r="G7" s="197">
        <v>70</v>
      </c>
    </row>
    <row r="8" spans="1:7">
      <c r="A8" s="242" t="s">
        <v>21</v>
      </c>
      <c r="B8" s="197">
        <v>86</v>
      </c>
      <c r="C8" s="197">
        <v>4</v>
      </c>
      <c r="D8" s="197">
        <v>1</v>
      </c>
      <c r="E8" s="197">
        <v>1</v>
      </c>
      <c r="F8" s="197"/>
      <c r="G8" s="197">
        <v>92</v>
      </c>
    </row>
    <row r="9" spans="1:7">
      <c r="A9" s="242" t="s">
        <v>3672</v>
      </c>
      <c r="B9" s="197"/>
      <c r="C9" s="197"/>
      <c r="D9" s="197">
        <v>7</v>
      </c>
      <c r="E9" s="197">
        <v>8</v>
      </c>
      <c r="F9" s="197"/>
      <c r="G9" s="197">
        <v>15</v>
      </c>
    </row>
    <row r="10" spans="1:7">
      <c r="A10" s="164" t="s">
        <v>336</v>
      </c>
      <c r="B10" s="197">
        <v>78</v>
      </c>
      <c r="C10" s="197">
        <v>5</v>
      </c>
      <c r="D10" s="197">
        <v>45</v>
      </c>
      <c r="E10" s="197">
        <v>5</v>
      </c>
      <c r="F10" s="197"/>
      <c r="G10" s="197">
        <v>133</v>
      </c>
    </row>
    <row r="11" spans="1:7">
      <c r="A11" s="164" t="s">
        <v>364</v>
      </c>
      <c r="B11" s="197">
        <v>26</v>
      </c>
      <c r="C11" s="197"/>
      <c r="D11" s="197">
        <v>21</v>
      </c>
      <c r="E11" s="197">
        <v>1</v>
      </c>
      <c r="F11" s="197"/>
      <c r="G11" s="197">
        <v>48</v>
      </c>
    </row>
    <row r="12" spans="1:7">
      <c r="A12" s="164" t="s">
        <v>1244</v>
      </c>
      <c r="B12" s="197">
        <v>72</v>
      </c>
      <c r="C12" s="197"/>
      <c r="D12" s="197">
        <v>32</v>
      </c>
      <c r="E12" s="197"/>
      <c r="F12" s="197"/>
      <c r="G12" s="197">
        <v>104</v>
      </c>
    </row>
    <row r="13" spans="1:7">
      <c r="A13" s="164" t="s">
        <v>1248</v>
      </c>
      <c r="B13" s="197">
        <v>403</v>
      </c>
      <c r="C13" s="197">
        <v>24</v>
      </c>
      <c r="D13" s="197">
        <v>121</v>
      </c>
      <c r="E13" s="197">
        <v>16</v>
      </c>
      <c r="F13" s="197"/>
      <c r="G13" s="197">
        <v>564</v>
      </c>
    </row>
  </sheetData>
  <pageMargins left="0.7" right="0.7" top="0.75" bottom="0.75" header="0.3" footer="0.3"/>
  <customProperties>
    <customPr name="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G14" sqref="G14"/>
    </sheetView>
  </sheetViews>
  <sheetFormatPr defaultRowHeight="15"/>
  <cols>
    <col min="6" max="6" width="10.5703125" bestFit="1" customWidth="1"/>
    <col min="9" max="9" width="11.5703125" customWidth="1"/>
    <col min="10" max="10" width="16.85546875" customWidth="1"/>
    <col min="11" max="11" width="17.140625" customWidth="1"/>
    <col min="12" max="13" width="8.5703125" bestFit="1" customWidth="1"/>
  </cols>
  <sheetData>
    <row r="1" spans="1:13" ht="120.75" thickBot="1">
      <c r="A1" s="308"/>
      <c r="B1" s="309" t="s">
        <v>4905</v>
      </c>
      <c r="C1" s="310" t="s">
        <v>1228</v>
      </c>
      <c r="D1" s="309" t="s">
        <v>4906</v>
      </c>
      <c r="E1" s="310" t="s">
        <v>4907</v>
      </c>
      <c r="F1" s="310" t="s">
        <v>4908</v>
      </c>
      <c r="G1" s="310" t="s">
        <v>1236</v>
      </c>
      <c r="H1" s="310" t="s">
        <v>1237</v>
      </c>
      <c r="I1" s="310" t="s">
        <v>1238</v>
      </c>
      <c r="J1" s="310" t="s">
        <v>4909</v>
      </c>
      <c r="K1" s="309" t="s">
        <v>4910</v>
      </c>
      <c r="L1" s="309" t="s">
        <v>4911</v>
      </c>
      <c r="M1" s="309" t="s">
        <v>4912</v>
      </c>
    </row>
    <row r="2" spans="1:13" ht="30.75" thickBot="1">
      <c r="A2" s="311" t="s">
        <v>336</v>
      </c>
      <c r="B2" s="312" t="s">
        <v>4913</v>
      </c>
      <c r="C2" s="313">
        <v>12</v>
      </c>
      <c r="D2" s="314">
        <v>0</v>
      </c>
      <c r="E2" s="313">
        <v>4</v>
      </c>
      <c r="F2" s="313">
        <v>20</v>
      </c>
      <c r="G2" s="313">
        <v>0</v>
      </c>
      <c r="H2" s="313">
        <v>0</v>
      </c>
      <c r="I2" s="313">
        <v>50</v>
      </c>
      <c r="J2" s="313">
        <v>0</v>
      </c>
      <c r="K2" s="314">
        <v>4</v>
      </c>
      <c r="L2" s="312">
        <v>0</v>
      </c>
      <c r="M2" s="312"/>
    </row>
    <row r="3" spans="1:13" ht="30.75" thickBot="1">
      <c r="A3" s="311" t="s">
        <v>1244</v>
      </c>
      <c r="B3" s="312" t="s">
        <v>4914</v>
      </c>
      <c r="C3" s="315"/>
      <c r="D3" s="312"/>
      <c r="E3" s="315"/>
      <c r="F3" s="315"/>
      <c r="G3" s="315"/>
      <c r="H3" s="315"/>
      <c r="I3" s="315"/>
      <c r="J3" s="315"/>
      <c r="K3" s="312"/>
      <c r="L3" s="312"/>
      <c r="M3" s="312"/>
    </row>
    <row r="4" spans="1:13" ht="15.75" thickBot="1">
      <c r="A4" s="311" t="s">
        <v>364</v>
      </c>
      <c r="B4" s="312" t="s">
        <v>4915</v>
      </c>
      <c r="C4" s="315"/>
      <c r="D4" s="312"/>
      <c r="E4" s="315"/>
      <c r="F4" s="315"/>
      <c r="G4" s="315"/>
      <c r="H4" s="315"/>
      <c r="I4" s="315"/>
      <c r="J4" s="315"/>
      <c r="K4" s="312"/>
      <c r="L4" s="312"/>
      <c r="M4" s="312"/>
    </row>
    <row r="5" spans="1:13" ht="45.75" thickBot="1">
      <c r="A5" s="311" t="s">
        <v>203</v>
      </c>
      <c r="B5" s="312" t="s">
        <v>4916</v>
      </c>
      <c r="C5" s="315">
        <v>0</v>
      </c>
      <c r="D5" s="312" t="s">
        <v>5134</v>
      </c>
      <c r="E5" s="315">
        <v>19</v>
      </c>
      <c r="F5" s="312" t="s">
        <v>5133</v>
      </c>
      <c r="G5" s="315">
        <v>0</v>
      </c>
      <c r="H5" s="315">
        <v>32</v>
      </c>
      <c r="I5" s="315">
        <v>44</v>
      </c>
      <c r="J5" s="315">
        <v>0</v>
      </c>
      <c r="K5" s="312">
        <v>6</v>
      </c>
      <c r="L5" s="312">
        <v>0</v>
      </c>
      <c r="M5" s="312"/>
    </row>
    <row r="6" spans="1:13" ht="15.75" thickBot="1">
      <c r="A6" s="311" t="s">
        <v>0</v>
      </c>
      <c r="B6" s="312" t="s">
        <v>4917</v>
      </c>
      <c r="C6" s="315">
        <v>0</v>
      </c>
      <c r="D6" s="312">
        <v>3</v>
      </c>
      <c r="E6" s="315">
        <v>13</v>
      </c>
      <c r="F6" s="315">
        <v>0</v>
      </c>
      <c r="G6" s="315">
        <v>0</v>
      </c>
      <c r="H6" s="315">
        <v>72</v>
      </c>
      <c r="I6" s="315">
        <v>40</v>
      </c>
      <c r="J6" s="315">
        <v>15</v>
      </c>
      <c r="K6" s="312">
        <v>0</v>
      </c>
      <c r="L6" s="312">
        <v>0</v>
      </c>
      <c r="M6" s="312"/>
    </row>
    <row r="7" spans="1:13" ht="15.75" thickBot="1">
      <c r="A7" s="311" t="s">
        <v>1248</v>
      </c>
      <c r="B7" s="316"/>
      <c r="C7" s="317"/>
      <c r="D7" s="316"/>
      <c r="E7" s="317"/>
      <c r="F7" s="317"/>
      <c r="G7" s="317"/>
      <c r="H7" s="317"/>
      <c r="I7" s="317"/>
      <c r="J7" s="317"/>
      <c r="K7" s="316"/>
      <c r="L7" s="316"/>
      <c r="M7" s="316"/>
    </row>
  </sheetData>
  <pageMargins left="0.7" right="0.7" top="0.75" bottom="0.75" header="0.3" footer="0.3"/>
  <customProperties>
    <customPr name="Gu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2949"/>
  <sheetViews>
    <sheetView topLeftCell="G858" zoomScale="86" zoomScaleNormal="86" workbookViewId="0">
      <pane ySplit="7140"/>
      <selection activeCell="T878" sqref="S878:T878"/>
      <selection pane="bottomLeft" activeCell="W4" sqref="W4"/>
    </sheetView>
  </sheetViews>
  <sheetFormatPr defaultColWidth="9" defaultRowHeight="15"/>
  <cols>
    <col min="2" max="2" width="9.140625" customWidth="1"/>
    <col min="5" max="5" width="11.140625" customWidth="1"/>
    <col min="8" max="8" width="12" customWidth="1"/>
    <col min="10" max="10" width="10.140625" customWidth="1"/>
    <col min="14" max="14" width="12.85546875" style="3" customWidth="1"/>
    <col min="15" max="15" width="11.85546875" style="3" customWidth="1"/>
    <col min="16" max="16" width="9.85546875" style="3" customWidth="1"/>
    <col min="17" max="17" width="19.140625" style="3" customWidth="1"/>
    <col min="18" max="18" width="9.85546875" style="3" customWidth="1"/>
    <col min="19" max="19" width="13.140625" style="3" customWidth="1"/>
    <col min="20" max="20" width="13.85546875" style="3" customWidth="1"/>
    <col min="21" max="21" width="17.140625" style="3" customWidth="1"/>
    <col min="22" max="22" width="47.140625" style="277" customWidth="1"/>
    <col min="23" max="23" width="49.42578125" style="3" customWidth="1"/>
    <col min="24" max="24" width="14.85546875" style="3" customWidth="1"/>
    <col min="25" max="25" width="15.85546875" style="3" customWidth="1"/>
  </cols>
  <sheetData>
    <row r="1" spans="1:25">
      <c r="N1" s="25" t="s">
        <v>1216</v>
      </c>
      <c r="O1" s="25" t="s">
        <v>1217</v>
      </c>
      <c r="P1" s="25" t="s">
        <v>1218</v>
      </c>
      <c r="Q1" s="25" t="s">
        <v>1219</v>
      </c>
      <c r="R1" s="25" t="s">
        <v>1220</v>
      </c>
      <c r="S1" s="25" t="s">
        <v>1221</v>
      </c>
      <c r="T1" s="25" t="s">
        <v>1222</v>
      </c>
      <c r="U1" s="25" t="s">
        <v>1223</v>
      </c>
      <c r="V1" s="256" t="s">
        <v>1224</v>
      </c>
      <c r="W1" s="25" t="s">
        <v>1225</v>
      </c>
      <c r="X1" s="25" t="s">
        <v>1226</v>
      </c>
      <c r="Y1" s="25" t="s">
        <v>1227</v>
      </c>
    </row>
    <row r="2" spans="1:25">
      <c r="N2" s="26" t="s">
        <v>0</v>
      </c>
      <c r="O2" s="26" t="s">
        <v>1228</v>
      </c>
      <c r="P2" s="26">
        <v>176</v>
      </c>
      <c r="Q2" s="26" t="s">
        <v>1229</v>
      </c>
      <c r="R2" s="26" t="s">
        <v>364</v>
      </c>
      <c r="S2" s="29">
        <v>43153</v>
      </c>
      <c r="T2" s="29">
        <v>43153</v>
      </c>
      <c r="U2" s="26" t="s">
        <v>1230</v>
      </c>
      <c r="V2" s="257"/>
      <c r="W2" s="26" t="s">
        <v>1231</v>
      </c>
      <c r="X2" s="3">
        <f>IF(OR(Q2="Stock to Rack",Q2="From Stock"),-P2,IF(OR(Q2="Rack to Stock",Q2="To Stock"),P2))</f>
        <v>176</v>
      </c>
      <c r="Y2" s="3" t="b">
        <f>IF(Q2="Rack to Stock",-P2,IF(Q2="Stock to Rack",P2))</f>
        <v>0</v>
      </c>
    </row>
    <row r="3" spans="1:25">
      <c r="A3" s="4" t="s">
        <v>1232</v>
      </c>
      <c r="N3" s="26" t="s">
        <v>0</v>
      </c>
      <c r="O3" s="26" t="s">
        <v>1228</v>
      </c>
      <c r="P3" s="26">
        <v>116</v>
      </c>
      <c r="Q3" s="26" t="s">
        <v>1233</v>
      </c>
      <c r="R3" s="26" t="s">
        <v>0</v>
      </c>
      <c r="S3" s="29">
        <v>43153</v>
      </c>
      <c r="T3" s="29">
        <v>43153</v>
      </c>
      <c r="U3" s="26" t="s">
        <v>1230</v>
      </c>
      <c r="V3" s="257"/>
      <c r="W3" s="26" t="s">
        <v>1231</v>
      </c>
      <c r="X3" s="3">
        <f t="shared" ref="X3:X68" si="0">IF(OR(Q3="Stock to Rack",Q3="From Stock"),-P3,IF(OR(Q3="Rack to Stock",Q3="To Stock"),P3))</f>
        <v>-116</v>
      </c>
      <c r="Y3" s="3">
        <f t="shared" ref="Y3:Y68" si="1">IF(Q3="Rack to Stock",-P3,IF(Q3="Stock to Rack",P3))</f>
        <v>116</v>
      </c>
    </row>
    <row r="4" spans="1:25">
      <c r="A4" s="5"/>
      <c r="B4" s="6" t="s">
        <v>1228</v>
      </c>
      <c r="C4" s="6" t="s">
        <v>1234</v>
      </c>
      <c r="D4" s="6" t="s">
        <v>1235</v>
      </c>
      <c r="E4" s="6" t="s">
        <v>1236</v>
      </c>
      <c r="F4" s="6" t="s">
        <v>1237</v>
      </c>
      <c r="G4" s="6" t="s">
        <v>1238</v>
      </c>
      <c r="H4" s="6" t="s">
        <v>1239</v>
      </c>
      <c r="I4" s="6" t="s">
        <v>1240</v>
      </c>
      <c r="J4" s="6" t="s">
        <v>1241</v>
      </c>
      <c r="K4" s="6" t="s">
        <v>5460</v>
      </c>
      <c r="L4" s="6" t="s">
        <v>1243</v>
      </c>
      <c r="N4" s="26" t="s">
        <v>0</v>
      </c>
      <c r="O4" s="26" t="s">
        <v>1234</v>
      </c>
      <c r="P4" s="26">
        <v>158</v>
      </c>
      <c r="Q4" s="26" t="s">
        <v>1229</v>
      </c>
      <c r="R4" s="26" t="s">
        <v>364</v>
      </c>
      <c r="S4" s="29">
        <v>43153</v>
      </c>
      <c r="T4" s="29">
        <v>43153</v>
      </c>
      <c r="U4" s="26" t="s">
        <v>1230</v>
      </c>
      <c r="V4" s="257"/>
      <c r="W4" s="26" t="s">
        <v>1231</v>
      </c>
      <c r="X4" s="3">
        <f t="shared" si="0"/>
        <v>158</v>
      </c>
      <c r="Y4" s="3" t="b">
        <f t="shared" si="1"/>
        <v>0</v>
      </c>
    </row>
    <row r="5" spans="1:25">
      <c r="A5" s="7" t="s">
        <v>336</v>
      </c>
      <c r="B5" s="8">
        <f>SUMIFS($X:$X,$O:$O,"Congatec",$N:$N,"Hillsboro")</f>
        <v>21</v>
      </c>
      <c r="C5" s="8">
        <f>SUMIFS($X:$X,$O:$O,"HILB",$N:$N,"Hillsboro")</f>
        <v>20</v>
      </c>
      <c r="D5" s="8">
        <f>SUMIFS($X:$X,$O:$O,"Reset",$N:$N,"Hillsboro")</f>
        <v>45</v>
      </c>
      <c r="E5" s="8">
        <f>SUMIFS($X:$X,$O:$O,"Interposer",$N:$N,"Hillsboro")</f>
        <v>23</v>
      </c>
      <c r="F5" s="8">
        <f>SUMIFS($X:$X,$O:$O,"Antenna",$N:$N,"Hillsboro")</f>
        <v>39</v>
      </c>
      <c r="G5" s="8">
        <f>SUMIFS($X:$X,$O:$O,"Power",$N:$N,"Hillsboro")</f>
        <v>84</v>
      </c>
      <c r="H5" s="8">
        <f>SUMIFS($X:$X,$O:$O,"DUT ICE18",$N:$N,"Hillsboro")</f>
        <v>12</v>
      </c>
      <c r="I5" s="8">
        <f>SUMIFS($X:$X,$O:$O,"DUT IBIS",$N:$N,"Hillsboro")</f>
        <v>-19</v>
      </c>
      <c r="J5" s="8">
        <f>SUMIFS($X:$X,$O:$O,"DUT ICE19",$N:$N,"Hillsboro")</f>
        <v>29</v>
      </c>
      <c r="K5" s="8">
        <f>SUMIFS($X:$X,$O:$O,"Black Ray",$N:$N,"Hillsboro")</f>
        <v>25</v>
      </c>
      <c r="L5" s="8">
        <f>SUMIFS($X:$X,$O:$O,"Carrier",$N:$N,"Hillsboro")</f>
        <v>0</v>
      </c>
      <c r="N5" s="26" t="s">
        <v>0</v>
      </c>
      <c r="O5" s="26" t="s">
        <v>1234</v>
      </c>
      <c r="P5" s="26">
        <v>116</v>
      </c>
      <c r="Q5" s="26" t="s">
        <v>1233</v>
      </c>
      <c r="R5" s="26" t="s">
        <v>0</v>
      </c>
      <c r="S5" s="29">
        <v>43153</v>
      </c>
      <c r="T5" s="29">
        <v>43153</v>
      </c>
      <c r="U5" s="26" t="s">
        <v>1230</v>
      </c>
      <c r="V5" s="257"/>
      <c r="W5" s="26" t="s">
        <v>1231</v>
      </c>
      <c r="X5" s="3">
        <f t="shared" si="0"/>
        <v>-116</v>
      </c>
      <c r="Y5" s="3">
        <f t="shared" si="1"/>
        <v>116</v>
      </c>
    </row>
    <row r="6" spans="1:25">
      <c r="A6" s="7" t="s">
        <v>1244</v>
      </c>
      <c r="B6" s="8">
        <f>SUMIFS($X:$X,$O:$O,"Congatec",$N:$N,"San Diego")</f>
        <v>15</v>
      </c>
      <c r="C6" s="8">
        <f>SUMIFS($X:$X,$O:$O,"HILB",$N:$N,"San Diego")</f>
        <v>0</v>
      </c>
      <c r="D6" s="8">
        <f>SUMIFS($X:$X,$O:$O,"Reset",$N:$N,"San Diego")</f>
        <v>0</v>
      </c>
      <c r="E6" s="8">
        <f>SUMIFS($X:$X,$O:$O,"Interposer",$N:$N,"San Diego")</f>
        <v>0</v>
      </c>
      <c r="F6" s="8">
        <f>SUMIFS($X:$X,$O:$O,"Antenna",$N:$N,"San Diego")</f>
        <v>15</v>
      </c>
      <c r="G6" s="8">
        <f>SUMIFS($X:$X,$O:$O,"Power",$N:$N,"San Diego")</f>
        <v>26</v>
      </c>
      <c r="H6" s="8">
        <f>SUMIFS($X:$X,$O:$O,"DUT ICE18",$N:$N,"San Diego")</f>
        <v>0</v>
      </c>
      <c r="I6" s="8">
        <f>SUMIFS($X:$X,$O:$O,"DUT IBIS",$N:$N,"San Diego")</f>
        <v>0</v>
      </c>
      <c r="J6" s="8">
        <f>SUMIFS($X:$X,$O:$O,"DUT ICE19",$N:$N,"San Diego")</f>
        <v>2</v>
      </c>
      <c r="K6" s="8">
        <f>SUMIFS($X:$X,$O:$O,"Black Ray",$N:$N,"San Diego")</f>
        <v>0</v>
      </c>
      <c r="L6" s="8">
        <f>SUMIFS($X:$X,$O:$O,"Carrier",$N:$N,"San Diego")</f>
        <v>49</v>
      </c>
      <c r="N6" s="26" t="s">
        <v>0</v>
      </c>
      <c r="O6" s="26" t="s">
        <v>1238</v>
      </c>
      <c r="P6" s="26">
        <v>168</v>
      </c>
      <c r="Q6" s="26" t="s">
        <v>1229</v>
      </c>
      <c r="R6" s="26" t="s">
        <v>364</v>
      </c>
      <c r="S6" s="29">
        <v>43153</v>
      </c>
      <c r="T6" s="29">
        <v>43153</v>
      </c>
      <c r="U6" s="26" t="s">
        <v>1230</v>
      </c>
      <c r="V6" s="257"/>
      <c r="W6" s="26" t="s">
        <v>1231</v>
      </c>
      <c r="X6" s="3">
        <f t="shared" si="0"/>
        <v>168</v>
      </c>
      <c r="Y6" s="3" t="b">
        <f t="shared" si="1"/>
        <v>0</v>
      </c>
    </row>
    <row r="7" spans="1:25">
      <c r="A7" s="7" t="s">
        <v>364</v>
      </c>
      <c r="B7" s="8">
        <f>SUMIFS($X:$X,$O:$O,"Congatec",$N:$N,"Munich")</f>
        <v>23</v>
      </c>
      <c r="C7" s="8">
        <f>SUMIFS($X:$X,$O:$O,"HILB",$N:$N,"Munich")</f>
        <v>8</v>
      </c>
      <c r="D7" s="8">
        <f>SUMIFS($X:$X,$O:$O,"Reset",$N:$N,"Munich")</f>
        <v>42</v>
      </c>
      <c r="E7" s="8">
        <f>SUMIFS($X:$X,$O:$O,"Interposer",$N:$N,"Munich")</f>
        <v>37</v>
      </c>
      <c r="F7" s="8">
        <f>SUMIFS($X:$X,$O:$O,"Antenna",$N:$N,"Munich")</f>
        <v>102</v>
      </c>
      <c r="G7" s="8">
        <f>SUMIFS($X:$X,$O:$O,"Power",$N:$N,"Munich")</f>
        <v>371</v>
      </c>
      <c r="H7" s="8">
        <f>SUMIFS($X:$X,$O:$O,"DUT ICE18",$N:$N,"Munich")</f>
        <v>10</v>
      </c>
      <c r="I7" s="8">
        <f>SUMIFS($X:$X,$O:$O,"DUT IBIS",$N:$N,"Munich")</f>
        <v>0</v>
      </c>
      <c r="J7" s="8">
        <f>SUMIFS($X:$X,$O:$O,"DUT ICE19",$N:$N,"Munich")</f>
        <v>7</v>
      </c>
      <c r="K7" s="8">
        <f>SUMIFS($X:$X,$O:$O,"Black Ray",$N:$N,"Munich")</f>
        <v>11</v>
      </c>
      <c r="L7" s="8">
        <f>SUMIFS($X:$X,$O:$O,"Carrier",$N:$N,"Munich")</f>
        <v>11</v>
      </c>
      <c r="N7" s="26" t="s">
        <v>0</v>
      </c>
      <c r="O7" s="26" t="s">
        <v>1238</v>
      </c>
      <c r="P7" s="26">
        <v>116</v>
      </c>
      <c r="Q7" s="26" t="s">
        <v>1233</v>
      </c>
      <c r="R7" s="26" t="s">
        <v>0</v>
      </c>
      <c r="S7" s="29">
        <v>43153</v>
      </c>
      <c r="T7" s="29">
        <v>43153</v>
      </c>
      <c r="U7" s="26" t="s">
        <v>1230</v>
      </c>
      <c r="V7" s="257"/>
      <c r="W7" s="26" t="s">
        <v>1231</v>
      </c>
      <c r="X7" s="3">
        <f t="shared" si="0"/>
        <v>-116</v>
      </c>
      <c r="Y7" s="3">
        <f t="shared" si="1"/>
        <v>116</v>
      </c>
    </row>
    <row r="8" spans="1:25">
      <c r="A8" s="7" t="s">
        <v>203</v>
      </c>
      <c r="B8" s="8">
        <f>SUMIFS($X:$X,$O:$O,"Congatec",$N:$N,"Beijing")</f>
        <v>16</v>
      </c>
      <c r="C8" s="8">
        <f>SUMIFS($X:$X,$O:$O,"HILB",$N:$N,"Beijing")</f>
        <v>15</v>
      </c>
      <c r="D8" s="8">
        <f>SUMIFS($X:$X,$O:$O,"Reset",$N:$N,"Beijing")</f>
        <v>20</v>
      </c>
      <c r="E8" s="8">
        <f>SUMIFS($X:$X,$O:$O,"Interposer",$N:$N,"Beijing")</f>
        <v>15</v>
      </c>
      <c r="F8" s="8">
        <f>SUMIFS($X:$X,$O:$O,"Antenna",$N:$N,"Beijing")</f>
        <v>98</v>
      </c>
      <c r="G8" s="8">
        <f>SUMIFS($X:$X,$O:$O,"Power",$N:$N,"Beijing")</f>
        <v>104</v>
      </c>
      <c r="H8" s="8">
        <f>SUMIFS($X:$X,$O:$O,"DUT ICE18",$N:$N,"Beijing")</f>
        <v>3</v>
      </c>
      <c r="I8" s="8">
        <f>SUMIFS($X:$X,$O:$O,"DUT IBIS",$N:$N,"Beijing")</f>
        <v>0</v>
      </c>
      <c r="J8" s="8">
        <f>SUMIFS($X:$X,$O:$O,"DUT ICE19",$N:$N,"Beijing")</f>
        <v>12</v>
      </c>
      <c r="K8" s="8">
        <f>SUMIFS($X:$X,$O:$O,"Black Ray",$N:$N,"Beijing")</f>
        <v>10</v>
      </c>
      <c r="L8" s="8">
        <f>SUMIFS($X:$X,$O:$O,"Carrier",$N:$N,"Beijing")</f>
        <v>0</v>
      </c>
      <c r="N8" s="26" t="s">
        <v>0</v>
      </c>
      <c r="O8" s="26" t="s">
        <v>1237</v>
      </c>
      <c r="P8" s="26">
        <v>309</v>
      </c>
      <c r="Q8" s="26" t="s">
        <v>1229</v>
      </c>
      <c r="R8" s="26" t="s">
        <v>364</v>
      </c>
      <c r="S8" s="29">
        <v>43153</v>
      </c>
      <c r="T8" s="29">
        <v>43153</v>
      </c>
      <c r="U8" s="26" t="s">
        <v>1230</v>
      </c>
      <c r="V8" s="257"/>
      <c r="W8" s="26" t="s">
        <v>1231</v>
      </c>
      <c r="X8" s="3">
        <f t="shared" si="0"/>
        <v>309</v>
      </c>
      <c r="Y8" s="3" t="b">
        <f t="shared" si="1"/>
        <v>0</v>
      </c>
    </row>
    <row r="9" spans="1:25">
      <c r="A9" s="7" t="s">
        <v>0</v>
      </c>
      <c r="B9" s="8">
        <f>SUMIFS($X:$X,$O:$O,"Congatec",$N:$N,"Bangalore")</f>
        <v>35</v>
      </c>
      <c r="C9" s="8">
        <f>SUMIFS($X:$X,$O:$O,"HILB",$N:$N,"Bangalore")</f>
        <v>38</v>
      </c>
      <c r="D9" s="8">
        <f>SUMIFS($X:$X,$O:$O,"Reset",$N:$N,"Bangalore")</f>
        <v>0</v>
      </c>
      <c r="E9" s="8">
        <f>SUMIFS($X:$X,$O:$O,"Interposer",$N:$N,"Bangalore")</f>
        <v>0</v>
      </c>
      <c r="F9" s="8">
        <f>SUMIFS($X:$X,$O:$O,"Antenna",$N:$N,"Bangalore")</f>
        <v>65</v>
      </c>
      <c r="G9" s="8">
        <f>SUMIFS($X:$X,$O:$O,"Power",$N:$N,"Bangalore")</f>
        <v>73</v>
      </c>
      <c r="H9" s="8">
        <f>SUMIFS($X:$X,$O:$O,"DUT ICE18",$N:$N,"Bangalore")</f>
        <v>128</v>
      </c>
      <c r="I9" s="8">
        <f>SUMIFS($X:$X,$O:$O,"DUT IBIS",$N:$N,"Bangalore")</f>
        <v>59</v>
      </c>
      <c r="J9" s="8">
        <f>SUMIFS($X:$X,$O:$O,"DUT ICE19",$N:$N,"Bangalore")</f>
        <v>11</v>
      </c>
      <c r="K9" s="8">
        <f>SUMIFS($X:$X,$O:$O,"Black Ray",$N:$N,"Bangalore")</f>
        <v>0</v>
      </c>
      <c r="L9" s="8">
        <f>SUMIFS($X:$X,$O:$O,"Carrier",$N:$N,"Bangalore")</f>
        <v>4</v>
      </c>
      <c r="M9" t="s">
        <v>5771</v>
      </c>
      <c r="N9" s="26" t="s">
        <v>0</v>
      </c>
      <c r="O9" s="26" t="s">
        <v>1237</v>
      </c>
      <c r="P9" s="26">
        <v>232</v>
      </c>
      <c r="Q9" s="26" t="s">
        <v>1233</v>
      </c>
      <c r="R9" s="26" t="s">
        <v>0</v>
      </c>
      <c r="S9" s="29">
        <v>43153</v>
      </c>
      <c r="T9" s="29">
        <v>43153</v>
      </c>
      <c r="U9" s="26" t="s">
        <v>1230</v>
      </c>
      <c r="V9" s="257"/>
      <c r="W9" s="26" t="s">
        <v>1231</v>
      </c>
      <c r="X9" s="3">
        <f t="shared" si="0"/>
        <v>-232</v>
      </c>
      <c r="Y9" s="3">
        <f t="shared" si="1"/>
        <v>232</v>
      </c>
    </row>
    <row r="10" spans="1:25">
      <c r="A10" s="7" t="s">
        <v>1245</v>
      </c>
      <c r="B10" s="8">
        <f>SUMIFS($X:$X,$O:$O,"Congatec",$N:$N,"Other")</f>
        <v>0</v>
      </c>
      <c r="C10" s="8">
        <f>SUMIFS($X:$X,$O:$O,"HILB",$N:$N,"Other")</f>
        <v>0</v>
      </c>
      <c r="D10" s="8">
        <f>SUMIFS($X:$X,$O:$O,"Reset",$N:$N,"Other")</f>
        <v>0</v>
      </c>
      <c r="E10" s="8">
        <f>SUMIFS($X:$X,$O:$O,"Interposer",$N:$N,"Other")</f>
        <v>0</v>
      </c>
      <c r="F10" s="8">
        <f>SUMIFS($X:$X,$O:$O,"Antenna",$N:$N,"Other")</f>
        <v>0</v>
      </c>
      <c r="G10" s="8">
        <f>SUMIFS($X:$X,$O:$O,"Power",$N:$N,"Other")</f>
        <v>0</v>
      </c>
      <c r="H10" s="8">
        <f>SUMIFS($X:$X,$O:$O,"DUT ICE18",$N:$N,"Other")</f>
        <v>0</v>
      </c>
      <c r="I10" s="8">
        <f>SUMIFS($X:$X,$O:$O,"DUT IBIS",$N:$N,"Other")</f>
        <v>0</v>
      </c>
      <c r="J10" s="8">
        <f>SUMIFS($X:$X,$O:$O,"DUT ICE19",$N:$N,"Other")</f>
        <v>0</v>
      </c>
      <c r="K10" s="8">
        <f>SUMIFS($X:$X,$O:$O,"Black Ray",$N:$N,"Other")</f>
        <v>0</v>
      </c>
      <c r="L10" s="8">
        <f>SUMIFS($X:$X,$O:$O,"Carrier",$N:$N,"Other")</f>
        <v>0</v>
      </c>
      <c r="N10" s="26" t="s">
        <v>0</v>
      </c>
      <c r="O10" s="26" t="s">
        <v>1235</v>
      </c>
      <c r="P10" s="26">
        <v>141</v>
      </c>
      <c r="Q10" s="26" t="s">
        <v>1229</v>
      </c>
      <c r="R10" s="26" t="s">
        <v>364</v>
      </c>
      <c r="S10" s="29">
        <v>43153</v>
      </c>
      <c r="T10" s="29">
        <v>43153</v>
      </c>
      <c r="U10" s="26" t="s">
        <v>1230</v>
      </c>
      <c r="V10" s="257"/>
      <c r="W10" s="26" t="s">
        <v>1231</v>
      </c>
      <c r="X10" s="3">
        <f t="shared" si="0"/>
        <v>141</v>
      </c>
      <c r="Y10" s="3" t="b">
        <f t="shared" si="1"/>
        <v>0</v>
      </c>
    </row>
    <row r="11" spans="1:25">
      <c r="N11" s="26" t="s">
        <v>0</v>
      </c>
      <c r="O11" s="26" t="s">
        <v>1235</v>
      </c>
      <c r="P11" s="26">
        <v>110</v>
      </c>
      <c r="Q11" s="26" t="s">
        <v>1233</v>
      </c>
      <c r="R11" s="26" t="s">
        <v>0</v>
      </c>
      <c r="S11" s="29">
        <v>43153</v>
      </c>
      <c r="T11" s="29">
        <v>43153</v>
      </c>
      <c r="U11" s="26" t="s">
        <v>1230</v>
      </c>
      <c r="V11" s="257"/>
      <c r="W11" s="26" t="s">
        <v>1231</v>
      </c>
      <c r="X11" s="3">
        <f t="shared" si="0"/>
        <v>-110</v>
      </c>
      <c r="Y11" s="3">
        <f t="shared" si="1"/>
        <v>110</v>
      </c>
    </row>
    <row r="12" spans="1:25">
      <c r="A12" s="4" t="s">
        <v>1246</v>
      </c>
      <c r="N12" s="26" t="s">
        <v>0</v>
      </c>
      <c r="O12" s="26" t="s">
        <v>1236</v>
      </c>
      <c r="P12" s="26">
        <v>83</v>
      </c>
      <c r="Q12" s="26" t="s">
        <v>1229</v>
      </c>
      <c r="R12" s="26" t="s">
        <v>364</v>
      </c>
      <c r="S12" s="29">
        <v>43153</v>
      </c>
      <c r="T12" s="29">
        <v>43153</v>
      </c>
      <c r="U12" s="26" t="s">
        <v>1230</v>
      </c>
      <c r="V12" s="257"/>
      <c r="W12" s="26" t="s">
        <v>1231</v>
      </c>
      <c r="X12" s="3">
        <f t="shared" si="0"/>
        <v>83</v>
      </c>
      <c r="Y12" s="3" t="b">
        <f t="shared" si="1"/>
        <v>0</v>
      </c>
    </row>
    <row r="13" spans="1:25">
      <c r="A13" s="5"/>
      <c r="B13" s="6" t="s">
        <v>1228</v>
      </c>
      <c r="C13" s="6" t="s">
        <v>1234</v>
      </c>
      <c r="D13" s="6" t="s">
        <v>1235</v>
      </c>
      <c r="E13" s="6" t="s">
        <v>1236</v>
      </c>
      <c r="F13" s="6" t="s">
        <v>1237</v>
      </c>
      <c r="G13" s="6" t="s">
        <v>1238</v>
      </c>
      <c r="H13" s="6" t="s">
        <v>1239</v>
      </c>
      <c r="I13" s="6" t="s">
        <v>1240</v>
      </c>
      <c r="J13" s="6" t="s">
        <v>1241</v>
      </c>
      <c r="K13" s="6" t="s">
        <v>5460</v>
      </c>
      <c r="L13" s="6" t="s">
        <v>1243</v>
      </c>
      <c r="N13" s="26" t="s">
        <v>0</v>
      </c>
      <c r="O13" s="26" t="s">
        <v>1236</v>
      </c>
      <c r="P13" s="26">
        <v>83</v>
      </c>
      <c r="Q13" s="26" t="s">
        <v>1233</v>
      </c>
      <c r="R13" s="26" t="s">
        <v>0</v>
      </c>
      <c r="S13" s="29">
        <v>43153</v>
      </c>
      <c r="T13" s="29">
        <v>43153</v>
      </c>
      <c r="U13" s="26" t="s">
        <v>1230</v>
      </c>
      <c r="V13" s="257"/>
      <c r="W13" s="26" t="s">
        <v>1231</v>
      </c>
      <c r="X13" s="3">
        <f t="shared" si="0"/>
        <v>-83</v>
      </c>
      <c r="Y13" s="3">
        <f t="shared" si="1"/>
        <v>83</v>
      </c>
    </row>
    <row r="14" spans="1:25">
      <c r="A14" s="7" t="s">
        <v>336</v>
      </c>
      <c r="B14" s="9">
        <f>SUMIFS($Y:$Y,$O:$O,"Congatec",$N:$N,"Hillsboro")</f>
        <v>287</v>
      </c>
      <c r="C14" s="9">
        <f>SUMIFS($Y:$Y,$O:$O,"HILB",$N:$N,"Hillsboro")</f>
        <v>286</v>
      </c>
      <c r="D14" s="9">
        <f>SUMIFS($Y:$Y,$O:$O,"Reset",$N:$N,"Hillsboro")</f>
        <v>339</v>
      </c>
      <c r="E14" s="9">
        <f>SUMIFS($Y:$Y,$O:$O,"Interposer",$N:$N,"Hillsboro")</f>
        <v>236</v>
      </c>
      <c r="F14" s="9">
        <f>SUMIFS($Y:$Y,$O:$O,"Antenna",$N:$N,"Hillsboro")</f>
        <v>848</v>
      </c>
      <c r="G14" s="9">
        <f>SUMIFS($Y:$Y,$O:$O,"Power",$N:$N,"Hillsboro")</f>
        <v>289</v>
      </c>
      <c r="H14" s="9">
        <f>SUMIFS($Y:$Y,$O:$O,"DUT ICE18",$N:$N,"Hillsboro")</f>
        <v>149</v>
      </c>
      <c r="I14" s="9">
        <f>SUMIFS($Y:$Y,$O:$O,"DUT IBIS",$N:$N,"Hillsboro")</f>
        <v>61</v>
      </c>
      <c r="J14" s="9">
        <f>SUMIFS($Y:$Y,$O:$O,"DUT ICE19",$N:$N,"Hillsboro")</f>
        <v>42</v>
      </c>
      <c r="K14" s="9">
        <f>SUMIFS($Y:$Y,$O:$O,"Black Ray",$N:$N,"Hillsboro")</f>
        <v>0</v>
      </c>
      <c r="L14" s="9">
        <f>SUMIFS($Y:$Y,$O:$O,"Power",$N:$N,"Hillsboro")</f>
        <v>289</v>
      </c>
      <c r="N14" s="26" t="s">
        <v>0</v>
      </c>
      <c r="O14" s="26" t="s">
        <v>1243</v>
      </c>
      <c r="P14" s="26">
        <v>83</v>
      </c>
      <c r="Q14" s="26" t="s">
        <v>1229</v>
      </c>
      <c r="R14" s="26" t="s">
        <v>364</v>
      </c>
      <c r="S14" s="29">
        <v>43153</v>
      </c>
      <c r="T14" s="29">
        <v>43153</v>
      </c>
      <c r="U14" s="26" t="s">
        <v>1230</v>
      </c>
      <c r="V14" s="257"/>
      <c r="W14" s="26" t="s">
        <v>1231</v>
      </c>
      <c r="X14" s="3">
        <f t="shared" si="0"/>
        <v>83</v>
      </c>
      <c r="Y14" s="3" t="b">
        <f t="shared" si="1"/>
        <v>0</v>
      </c>
    </row>
    <row r="15" spans="1:25">
      <c r="A15" s="7" t="s">
        <v>1244</v>
      </c>
      <c r="B15" s="9">
        <f>SUMIFS($Y:$Y,$O:$O,"Congatec",$N:$N,"San Diego")</f>
        <v>200</v>
      </c>
      <c r="C15" s="9">
        <f>SUMIFS($Y:$Y,$O:$O,"HILB",$N:$N,"San Diego")</f>
        <v>200</v>
      </c>
      <c r="D15" s="9">
        <f>SUMIFS($Y:$Y,$O:$O,"Reset",$N:$N,"San Diego")</f>
        <v>153</v>
      </c>
      <c r="E15" s="9">
        <f>SUMIFS($Y:$Y,$O:$O,"Interposer",$N:$N,"San Diego")</f>
        <v>143</v>
      </c>
      <c r="F15" s="9">
        <f>SUMIFS($Y:$Y,$O:$O,"Antenna",$N:$N,"San Diego")</f>
        <v>400</v>
      </c>
      <c r="G15" s="9">
        <f>SUMIFS($Y:$Y,$O:$O,"Power",$N:$N,"San Diego")</f>
        <v>155</v>
      </c>
      <c r="H15" s="9">
        <f>SUMIFS($Y:$Y,$O:$O,"DUT ICE18",$N:$N,"San Diego")</f>
        <v>84</v>
      </c>
      <c r="I15" s="9">
        <f>SUMIFS($Y:$Y,$O:$O,"DUT IBIS",$N:$N,"San Diego")</f>
        <v>41</v>
      </c>
      <c r="J15" s="9">
        <f>SUMIFS($Y:$Y,$O:$O,"DUT ICE19",$N:$N,"San Diego")</f>
        <v>34</v>
      </c>
      <c r="K15" s="9">
        <f>SUMIFS($Y:$Y,$O:$O,"Black Ray",$N:$N,"San Diego")</f>
        <v>0</v>
      </c>
      <c r="L15" s="9">
        <f>SUMIFS($Y:$Y,$O:$O,"Carrier",$N:$N,"San Diego")</f>
        <v>76</v>
      </c>
      <c r="N15" s="26" t="s">
        <v>0</v>
      </c>
      <c r="O15" s="26" t="s">
        <v>1243</v>
      </c>
      <c r="P15" s="26">
        <v>83</v>
      </c>
      <c r="Q15" s="26" t="s">
        <v>1233</v>
      </c>
      <c r="R15" s="26" t="s">
        <v>0</v>
      </c>
      <c r="S15" s="29">
        <v>43153</v>
      </c>
      <c r="T15" s="29">
        <v>43153</v>
      </c>
      <c r="U15" s="26" t="s">
        <v>1230</v>
      </c>
      <c r="V15" s="257"/>
      <c r="W15" s="26" t="s">
        <v>1231</v>
      </c>
      <c r="X15" s="3">
        <f t="shared" si="0"/>
        <v>-83</v>
      </c>
      <c r="Y15" s="3">
        <f t="shared" si="1"/>
        <v>83</v>
      </c>
    </row>
    <row r="16" spans="1:25">
      <c r="A16" s="7" t="s">
        <v>364</v>
      </c>
      <c r="B16" s="9">
        <f>SUMIFS($Y:$Y,$O:$O,"Congatec",$N:$N,"Munich")</f>
        <v>166</v>
      </c>
      <c r="C16" s="9">
        <f>SUMIFS($Y:$Y,$O:$O,"HILB",$N:$N,"Munich")</f>
        <v>158</v>
      </c>
      <c r="D16" s="9">
        <f>SUMIFS($Y:$Y,$O:$O,"Reset",$N:$N,"Munich")</f>
        <v>169</v>
      </c>
      <c r="E16" s="9">
        <f>SUMIFS($Y:$Y,$O:$O,"Interposer",$N:$N,"Munich")</f>
        <v>93</v>
      </c>
      <c r="F16" s="9">
        <f>SUMIFS($Y:$Y,$O:$O,"Antenna",$N:$N,"Munich")</f>
        <v>324</v>
      </c>
      <c r="G16" s="9">
        <f>SUMIFS($Y:$Y,$O:$O,"Power",$N:$N,"Munich")</f>
        <v>159</v>
      </c>
      <c r="H16" s="9">
        <f>SUMIFS($Y:$Y,$O:$O,"DUT ICE18",$N:$N,"Munich")</f>
        <v>77</v>
      </c>
      <c r="I16" s="9">
        <f>SUMIFS($Y:$Y,$O:$O,"DUT IBIS",$N:$N,"Munich")</f>
        <v>42</v>
      </c>
      <c r="J16" s="9">
        <f>SUMIFS($Y:$Y,$O:$O,"DUT ICE19",$N:$N,"Munich")</f>
        <v>2</v>
      </c>
      <c r="K16" s="9">
        <f>SUMIFS($Y:$Y,$O:$O,"Black Ray",$N:$N,"Munich")</f>
        <v>0</v>
      </c>
      <c r="L16" s="9">
        <f>SUMIFS($Y:$Y,$O:$O,"Carrier",$N:$N,"Munich")</f>
        <v>73</v>
      </c>
      <c r="N16" s="26" t="s">
        <v>1244</v>
      </c>
      <c r="O16" s="26" t="s">
        <v>1228</v>
      </c>
      <c r="P16" s="26">
        <v>95</v>
      </c>
      <c r="Q16" s="26" t="s">
        <v>1229</v>
      </c>
      <c r="R16" s="26" t="s">
        <v>364</v>
      </c>
      <c r="S16" s="29">
        <v>43153</v>
      </c>
      <c r="T16" s="29">
        <v>43153</v>
      </c>
      <c r="U16" s="26" t="s">
        <v>1247</v>
      </c>
      <c r="V16" s="257"/>
      <c r="W16" s="26" t="s">
        <v>1231</v>
      </c>
      <c r="X16" s="3">
        <f t="shared" si="0"/>
        <v>95</v>
      </c>
      <c r="Y16" s="3" t="b">
        <f t="shared" si="1"/>
        <v>0</v>
      </c>
    </row>
    <row r="17" spans="1:31">
      <c r="A17" s="7" t="s">
        <v>203</v>
      </c>
      <c r="B17" s="9">
        <f>SUMIFS($Y:$Y,$O:$O,"Congatec",$N:$N,"Beijing")</f>
        <v>527</v>
      </c>
      <c r="C17" s="9">
        <f>SUMIFS($Y:$Y,$O:$O,"HILB",$N:$N,"Beijing")</f>
        <v>452</v>
      </c>
      <c r="D17" s="9">
        <f>SUMIFS($Y:$Y,$O:$O,"Reset",$N:$N,"Beijing")</f>
        <v>618</v>
      </c>
      <c r="E17" s="9">
        <f>SUMIFS($Y:$Y,$O:$O,"Interposer",$N:$N,"Beijing")</f>
        <v>438</v>
      </c>
      <c r="F17" s="9">
        <f>SUMIFS($Y:$Y,$O:$O,"Antenna",$N:$N,"Beijing")</f>
        <v>945</v>
      </c>
      <c r="G17" s="9">
        <f>SUMIFS($Y:$Y,$O:$O,"Power",$N:$N,"Beijing")</f>
        <v>454</v>
      </c>
      <c r="H17" s="9">
        <f>SUMIFS($Y:$Y,$O:$O,"DUT ICE18",$N:$N,"Beijing")</f>
        <v>421</v>
      </c>
      <c r="I17" s="9">
        <f>SUMIFS($Y:$Y,$O:$O,"DUT IBIS",$N:$N,"Beijing")</f>
        <v>70</v>
      </c>
      <c r="J17" s="9">
        <f>SUMIFS($Y:$Y,$O:$O,"DUT ICE19",$N:$N,"Beijing")</f>
        <v>138</v>
      </c>
      <c r="K17" s="9">
        <f>SUMIFS($Y:$Y,$O:$O,"Black Ray",$N:$N,"Beijing")</f>
        <v>0</v>
      </c>
      <c r="L17" s="9">
        <f>SUMIFS($Y:$Y,$O:$O,"Carrier",$N:$N,"Beijing")</f>
        <v>310</v>
      </c>
      <c r="N17" s="26" t="s">
        <v>1244</v>
      </c>
      <c r="O17" s="26" t="s">
        <v>1228</v>
      </c>
      <c r="P17" s="26">
        <v>85</v>
      </c>
      <c r="Q17" s="26" t="s">
        <v>1233</v>
      </c>
      <c r="R17" s="26" t="s">
        <v>0</v>
      </c>
      <c r="S17" s="29">
        <v>43153</v>
      </c>
      <c r="T17" s="29">
        <v>43153</v>
      </c>
      <c r="U17" s="26" t="s">
        <v>1247</v>
      </c>
      <c r="V17" s="257"/>
      <c r="W17" s="26" t="s">
        <v>1231</v>
      </c>
      <c r="X17" s="3">
        <f t="shared" si="0"/>
        <v>-85</v>
      </c>
      <c r="Y17" s="3">
        <f t="shared" si="1"/>
        <v>85</v>
      </c>
    </row>
    <row r="18" spans="1:31">
      <c r="A18" s="7" t="s">
        <v>0</v>
      </c>
      <c r="B18" s="9">
        <f>SUMIFS($Y:$Y,$O:$O,"Congatec",$N:$N,"Bangalore")</f>
        <v>246</v>
      </c>
      <c r="C18" s="9">
        <f>SUMIFS($Y:$Y,$O:$O,"HILB",$N:$N,"Bangalore")</f>
        <v>268</v>
      </c>
      <c r="D18" s="9">
        <f>SUMIFS($Y:$Y,$O:$O,"Reset",$N:$N,"Bangalore")</f>
        <v>256</v>
      </c>
      <c r="E18" s="9">
        <f>SUMIFS($Y:$Y,$O:$O,"Interposer",$N:$N,"Bangalore")</f>
        <v>208</v>
      </c>
      <c r="F18" s="9">
        <f>SUMIFS($Y:$Y,$O:$O,"Antenna",$N:$N,"Bangalore")</f>
        <v>540</v>
      </c>
      <c r="G18" s="9">
        <f>SUMIFS($Y:$Y,$O:$O,"Power",$N:$N,"Bangalore")</f>
        <v>245</v>
      </c>
      <c r="H18" s="9">
        <f>SUMIFS($Y:$Y,$O:$O,"DUT ICE18",$N:$N,"Bangalore")</f>
        <v>159</v>
      </c>
      <c r="I18" s="9">
        <f>SUMIFS($Y:$Y,$O:$O,"DUT IBIS",$N:$N,"Bangalore")</f>
        <v>40</v>
      </c>
      <c r="J18" s="9">
        <f>SUMIFS($Y:$Y,$O:$O,"DUT ICE19",$N:$N,"Bangalore")</f>
        <v>51</v>
      </c>
      <c r="K18" s="9">
        <f>SUMIFS($Y:$Y,$O:$O,"Black Ray",$N:$N,"Bangalore")</f>
        <v>0</v>
      </c>
      <c r="L18" s="9">
        <f>SUMIFS($Y:$Y,$O:$O,"Carrier",$N:$N,"Bangalore")</f>
        <v>79</v>
      </c>
      <c r="M18" s="27"/>
      <c r="N18" s="26" t="s">
        <v>1244</v>
      </c>
      <c r="O18" s="26" t="s">
        <v>1234</v>
      </c>
      <c r="P18" s="26">
        <v>101</v>
      </c>
      <c r="Q18" s="26" t="s">
        <v>1229</v>
      </c>
      <c r="R18" s="26" t="s">
        <v>364</v>
      </c>
      <c r="S18" s="29">
        <v>43153</v>
      </c>
      <c r="T18" s="29">
        <v>43153</v>
      </c>
      <c r="U18" s="26" t="s">
        <v>1247</v>
      </c>
      <c r="V18" s="258"/>
      <c r="W18" s="26" t="s">
        <v>1231</v>
      </c>
      <c r="X18" s="3">
        <f t="shared" si="0"/>
        <v>101</v>
      </c>
      <c r="Y18" s="3" t="b">
        <f t="shared" si="1"/>
        <v>0</v>
      </c>
      <c r="Z18" s="27"/>
      <c r="AA18" s="27"/>
      <c r="AB18" s="27"/>
      <c r="AC18" s="27"/>
      <c r="AD18" s="27"/>
      <c r="AE18" s="27"/>
    </row>
    <row r="19" spans="1:31">
      <c r="A19" s="10" t="s">
        <v>1245</v>
      </c>
      <c r="B19" s="9">
        <f>SUMIFS($Y:$Y,$O:$O,"Congatec",$N:$N,"Other")</f>
        <v>44</v>
      </c>
      <c r="C19" s="9">
        <f>SUMIFS($Y:$Y,$O:$O,"HILB",$N:$N,"Other")</f>
        <v>41</v>
      </c>
      <c r="D19" s="9">
        <f>SUMIFS($Y:$Y,$O:$O,"Reset",$N:$N,"Other")</f>
        <v>41</v>
      </c>
      <c r="E19" s="9">
        <f>SUMIFS($Y:$Y,$O:$O,"Interposer",$N:$N,"Other")</f>
        <v>32</v>
      </c>
      <c r="F19" s="9">
        <f>SUMIFS($Y:$Y,$O:$O,"Antenna",$N:$N,"Other")</f>
        <v>102</v>
      </c>
      <c r="G19" s="9">
        <f>SUMIFS($Y:$Y,$O:$O,"Power",$N:$N,"Other")</f>
        <v>41</v>
      </c>
      <c r="H19" s="9">
        <f>SUMIFS($Y:$Y,$O:$O,"DUT ICE18",$N:$N,"Other")</f>
        <v>32</v>
      </c>
      <c r="I19" s="9">
        <f>SUMIFS($Y:$Y,$O:$O,"DUT IBIS",$N:$N,"Other")</f>
        <v>9</v>
      </c>
      <c r="J19" s="9">
        <f>SUMIFS($Y:$Y,$O:$O,"DUT ICE19",$N:$N,"Other")</f>
        <v>0</v>
      </c>
      <c r="K19" s="9">
        <f>SUMIFS($Y:$Y,$O:$O,"Black Ray",$N:$N,"Other")</f>
        <v>0</v>
      </c>
      <c r="L19" s="9">
        <f>SUMIFS($Y:$Y,$O:$O,"Carrier",$N:$N,"Other")</f>
        <v>0</v>
      </c>
      <c r="N19" s="26" t="s">
        <v>1244</v>
      </c>
      <c r="O19" s="26" t="s">
        <v>1234</v>
      </c>
      <c r="P19" s="26">
        <v>85</v>
      </c>
      <c r="Q19" s="26" t="s">
        <v>1233</v>
      </c>
      <c r="R19" s="26" t="s">
        <v>0</v>
      </c>
      <c r="S19" s="29">
        <v>43153</v>
      </c>
      <c r="T19" s="29">
        <v>43153</v>
      </c>
      <c r="U19" s="26" t="s">
        <v>1247</v>
      </c>
      <c r="V19" s="257"/>
      <c r="W19" s="26" t="s">
        <v>1231</v>
      </c>
      <c r="X19" s="3">
        <f t="shared" si="0"/>
        <v>-85</v>
      </c>
      <c r="Y19" s="3">
        <f t="shared" si="1"/>
        <v>85</v>
      </c>
    </row>
    <row r="20" spans="1:31">
      <c r="A20" s="10" t="s">
        <v>1248</v>
      </c>
      <c r="B20" s="11">
        <f>SUM(B14:B19)</f>
        <v>1470</v>
      </c>
      <c r="C20" s="11">
        <f t="shared" ref="C20:L20" si="2">SUM(C14:C19)</f>
        <v>1405</v>
      </c>
      <c r="D20" s="11">
        <f t="shared" si="2"/>
        <v>1576</v>
      </c>
      <c r="E20" s="11">
        <f t="shared" si="2"/>
        <v>1150</v>
      </c>
      <c r="F20" s="11">
        <f t="shared" si="2"/>
        <v>3159</v>
      </c>
      <c r="G20" s="11">
        <f t="shared" si="2"/>
        <v>1343</v>
      </c>
      <c r="H20" s="11">
        <f t="shared" si="2"/>
        <v>922</v>
      </c>
      <c r="I20" s="11">
        <f t="shared" si="2"/>
        <v>263</v>
      </c>
      <c r="J20" s="11">
        <f t="shared" si="2"/>
        <v>267</v>
      </c>
      <c r="K20" s="11">
        <f t="shared" si="2"/>
        <v>0</v>
      </c>
      <c r="L20" s="11">
        <f t="shared" si="2"/>
        <v>827</v>
      </c>
      <c r="N20" s="26" t="s">
        <v>1244</v>
      </c>
      <c r="O20" s="26" t="s">
        <v>1238</v>
      </c>
      <c r="P20" s="26">
        <v>114</v>
      </c>
      <c r="Q20" s="26" t="s">
        <v>1229</v>
      </c>
      <c r="R20" s="26" t="s">
        <v>364</v>
      </c>
      <c r="S20" s="29">
        <v>43153</v>
      </c>
      <c r="T20" s="29">
        <v>43153</v>
      </c>
      <c r="U20" s="26" t="s">
        <v>1247</v>
      </c>
      <c r="V20" s="257"/>
      <c r="W20" s="26" t="s">
        <v>1231</v>
      </c>
      <c r="X20" s="3">
        <f t="shared" si="0"/>
        <v>114</v>
      </c>
      <c r="Y20" s="3" t="b">
        <f t="shared" si="1"/>
        <v>0</v>
      </c>
    </row>
    <row r="21" spans="1:31">
      <c r="A21" s="12" t="s">
        <v>1249</v>
      </c>
      <c r="N21" s="26" t="s">
        <v>1244</v>
      </c>
      <c r="O21" s="26" t="s">
        <v>1238</v>
      </c>
      <c r="P21" s="26">
        <v>85</v>
      </c>
      <c r="Q21" s="26" t="s">
        <v>1233</v>
      </c>
      <c r="R21" s="26" t="s">
        <v>0</v>
      </c>
      <c r="S21" s="29">
        <v>43153</v>
      </c>
      <c r="T21" s="29">
        <v>43153</v>
      </c>
      <c r="U21" s="26" t="s">
        <v>1247</v>
      </c>
      <c r="V21" s="257"/>
      <c r="W21" s="26" t="s">
        <v>1231</v>
      </c>
      <c r="X21" s="3">
        <f t="shared" si="0"/>
        <v>-85</v>
      </c>
      <c r="Y21" s="3">
        <f t="shared" si="1"/>
        <v>85</v>
      </c>
    </row>
    <row r="22" spans="1:31">
      <c r="A22" s="13"/>
      <c r="B22" s="13" t="s">
        <v>1250</v>
      </c>
      <c r="C22" s="13" t="s">
        <v>1251</v>
      </c>
      <c r="D22" s="13" t="s">
        <v>1252</v>
      </c>
      <c r="E22" s="13" t="s">
        <v>1253</v>
      </c>
      <c r="F22" s="13" t="s">
        <v>1254</v>
      </c>
      <c r="G22" s="13" t="s">
        <v>1255</v>
      </c>
      <c r="H22" s="14" t="s">
        <v>1256</v>
      </c>
      <c r="I22" s="14" t="s">
        <v>1257</v>
      </c>
      <c r="J22" s="14" t="s">
        <v>1258</v>
      </c>
      <c r="K22" s="14" t="s">
        <v>1259</v>
      </c>
      <c r="N22" s="26" t="s">
        <v>1244</v>
      </c>
      <c r="O22" s="26" t="s">
        <v>1237</v>
      </c>
      <c r="P22" s="26">
        <v>180</v>
      </c>
      <c r="Q22" s="26" t="s">
        <v>1229</v>
      </c>
      <c r="R22" s="26" t="s">
        <v>364</v>
      </c>
      <c r="S22" s="29">
        <v>43153</v>
      </c>
      <c r="T22" s="29">
        <v>43153</v>
      </c>
      <c r="U22" s="26" t="s">
        <v>1247</v>
      </c>
      <c r="V22" s="257"/>
      <c r="W22" s="26" t="s">
        <v>1231</v>
      </c>
      <c r="X22" s="3">
        <f t="shared" si="0"/>
        <v>180</v>
      </c>
      <c r="Y22" s="3" t="b">
        <f t="shared" si="1"/>
        <v>0</v>
      </c>
    </row>
    <row r="23" spans="1:31">
      <c r="A23" s="15" t="s">
        <v>336</v>
      </c>
      <c r="B23" s="16">
        <v>132</v>
      </c>
      <c r="C23" s="16">
        <v>61</v>
      </c>
      <c r="D23" s="16">
        <v>23</v>
      </c>
      <c r="E23" s="16">
        <v>14</v>
      </c>
      <c r="F23" s="16">
        <v>0</v>
      </c>
      <c r="G23" s="16">
        <v>0</v>
      </c>
      <c r="H23" s="16">
        <v>0</v>
      </c>
      <c r="I23" s="16">
        <v>15</v>
      </c>
      <c r="J23" s="16">
        <v>0</v>
      </c>
      <c r="K23" s="16">
        <v>0</v>
      </c>
      <c r="N23" s="26" t="s">
        <v>1244</v>
      </c>
      <c r="O23" s="26" t="s">
        <v>1237</v>
      </c>
      <c r="P23" s="26">
        <v>170</v>
      </c>
      <c r="Q23" s="26" t="s">
        <v>1233</v>
      </c>
      <c r="R23" s="26" t="s">
        <v>0</v>
      </c>
      <c r="S23" s="29">
        <v>43153</v>
      </c>
      <c r="T23" s="29">
        <v>43153</v>
      </c>
      <c r="U23" s="26" t="s">
        <v>1247</v>
      </c>
      <c r="V23" s="257"/>
      <c r="W23" s="26" t="s">
        <v>1231</v>
      </c>
      <c r="X23" s="3">
        <f t="shared" si="0"/>
        <v>-170</v>
      </c>
      <c r="Y23" s="3">
        <f t="shared" si="1"/>
        <v>170</v>
      </c>
    </row>
    <row r="24" spans="1:31">
      <c r="A24" s="15" t="s">
        <v>1244</v>
      </c>
      <c r="B24" s="16">
        <v>80</v>
      </c>
      <c r="C24" s="16">
        <v>42</v>
      </c>
      <c r="D24" s="16">
        <v>6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N24" s="26" t="s">
        <v>1244</v>
      </c>
      <c r="O24" s="26" t="s">
        <v>1235</v>
      </c>
      <c r="P24" s="26">
        <v>78</v>
      </c>
      <c r="Q24" s="26" t="s">
        <v>1229</v>
      </c>
      <c r="R24" s="26" t="s">
        <v>364</v>
      </c>
      <c r="S24" s="29">
        <v>43153</v>
      </c>
      <c r="T24" s="29">
        <v>43153</v>
      </c>
      <c r="U24" s="26" t="s">
        <v>1247</v>
      </c>
      <c r="V24" s="257"/>
      <c r="W24" s="26" t="s">
        <v>1231</v>
      </c>
      <c r="X24" s="3">
        <f t="shared" si="0"/>
        <v>78</v>
      </c>
      <c r="Y24" s="3" t="b">
        <f t="shared" si="1"/>
        <v>0</v>
      </c>
    </row>
    <row r="25" spans="1:31">
      <c r="A25" s="15" t="s">
        <v>364</v>
      </c>
      <c r="B25" s="16">
        <v>73</v>
      </c>
      <c r="C25" s="16">
        <v>42</v>
      </c>
      <c r="D25" s="16">
        <v>8</v>
      </c>
      <c r="E25" s="16">
        <v>22</v>
      </c>
      <c r="F25" s="16">
        <v>0</v>
      </c>
      <c r="G25" s="16">
        <v>5</v>
      </c>
      <c r="H25" s="16">
        <v>0</v>
      </c>
      <c r="I25" s="16">
        <v>0</v>
      </c>
      <c r="J25" s="16">
        <v>0</v>
      </c>
      <c r="K25" s="16">
        <v>0</v>
      </c>
      <c r="N25" s="26" t="s">
        <v>1244</v>
      </c>
      <c r="O25" s="26" t="s">
        <v>1235</v>
      </c>
      <c r="P25" s="26">
        <v>73</v>
      </c>
      <c r="Q25" s="26" t="s">
        <v>1233</v>
      </c>
      <c r="R25" s="26" t="s">
        <v>0</v>
      </c>
      <c r="S25" s="29">
        <v>43153</v>
      </c>
      <c r="T25" s="29">
        <v>43153</v>
      </c>
      <c r="U25" s="26" t="s">
        <v>1247</v>
      </c>
      <c r="V25" s="257"/>
      <c r="W25" s="26" t="s">
        <v>1231</v>
      </c>
      <c r="X25" s="3">
        <f t="shared" si="0"/>
        <v>-73</v>
      </c>
      <c r="Y25" s="3">
        <f t="shared" si="1"/>
        <v>73</v>
      </c>
    </row>
    <row r="26" spans="1:31">
      <c r="A26" s="15" t="s">
        <v>203</v>
      </c>
      <c r="B26" s="16">
        <v>382</v>
      </c>
      <c r="C26" s="16">
        <v>69</v>
      </c>
      <c r="N26" s="26" t="s">
        <v>1244</v>
      </c>
      <c r="O26" s="26" t="s">
        <v>1236</v>
      </c>
      <c r="P26" s="26">
        <v>56</v>
      </c>
      <c r="Q26" s="26" t="s">
        <v>1229</v>
      </c>
      <c r="R26" s="26" t="s">
        <v>364</v>
      </c>
      <c r="S26" s="29">
        <v>43153</v>
      </c>
      <c r="T26" s="29">
        <v>43153</v>
      </c>
      <c r="U26" s="26" t="s">
        <v>1247</v>
      </c>
      <c r="V26" s="257"/>
      <c r="W26" s="26" t="s">
        <v>1231</v>
      </c>
      <c r="X26" s="3">
        <f t="shared" ref="X26:X27" si="3">IF(OR(Q26="Stock to Rack",Q26="From Stock"),-P26,IF(OR(Q26="Rack to Stock",Q26="To Stock"),P26))</f>
        <v>56</v>
      </c>
      <c r="Y26" s="3" t="b">
        <f t="shared" ref="Y26:Y27" si="4">IF(Q26="Rack to Stock",-P26,IF(Q26="Stock to Rack",P26))</f>
        <v>0</v>
      </c>
    </row>
    <row r="27" spans="1:31">
      <c r="A27" s="15" t="s">
        <v>0</v>
      </c>
      <c r="B27" s="16">
        <v>193</v>
      </c>
      <c r="C27" s="16">
        <v>35</v>
      </c>
      <c r="D27" s="16">
        <v>5</v>
      </c>
      <c r="E27" s="16">
        <v>3</v>
      </c>
      <c r="F27" s="16">
        <v>7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N27" s="26" t="s">
        <v>1244</v>
      </c>
      <c r="O27" s="26" t="s">
        <v>1236</v>
      </c>
      <c r="P27" s="26">
        <v>52</v>
      </c>
      <c r="Q27" s="26" t="s">
        <v>1233</v>
      </c>
      <c r="R27" s="26" t="s">
        <v>0</v>
      </c>
      <c r="S27" s="29">
        <v>43153</v>
      </c>
      <c r="T27" s="29">
        <v>43153</v>
      </c>
      <c r="U27" s="26" t="s">
        <v>1247</v>
      </c>
      <c r="V27" s="257"/>
      <c r="W27" s="26" t="s">
        <v>1231</v>
      </c>
      <c r="X27" s="3">
        <f t="shared" si="3"/>
        <v>-52</v>
      </c>
      <c r="Y27" s="3">
        <f t="shared" si="4"/>
        <v>52</v>
      </c>
    </row>
    <row r="28" spans="1:31">
      <c r="A28" s="15" t="s">
        <v>1245</v>
      </c>
      <c r="B28" s="16">
        <v>45</v>
      </c>
      <c r="C28" s="16">
        <v>27</v>
      </c>
      <c r="D28" s="16"/>
      <c r="E28" s="16"/>
      <c r="N28" s="26" t="s">
        <v>1244</v>
      </c>
      <c r="O28" s="26" t="s">
        <v>1243</v>
      </c>
      <c r="P28" s="26">
        <v>42</v>
      </c>
      <c r="Q28" s="26" t="s">
        <v>1229</v>
      </c>
      <c r="R28" s="26" t="s">
        <v>364</v>
      </c>
      <c r="S28" s="29">
        <v>43153</v>
      </c>
      <c r="T28" s="29">
        <v>43153</v>
      </c>
      <c r="U28" s="26" t="s">
        <v>1247</v>
      </c>
      <c r="V28" s="257"/>
      <c r="W28" s="26" t="s">
        <v>1231</v>
      </c>
      <c r="X28" s="3">
        <f t="shared" si="0"/>
        <v>42</v>
      </c>
      <c r="Y28" s="3" t="b">
        <f t="shared" si="1"/>
        <v>0</v>
      </c>
    </row>
    <row r="29" spans="1:31">
      <c r="A29" s="15" t="s">
        <v>1248</v>
      </c>
      <c r="B29" s="17">
        <f>SUM(B23:B28)</f>
        <v>905</v>
      </c>
      <c r="C29" s="18">
        <f>SUM(C23:C28)</f>
        <v>276</v>
      </c>
      <c r="D29" s="18">
        <f t="shared" ref="D29:E29" si="5">SUM(D23:D28)</f>
        <v>42</v>
      </c>
      <c r="E29" s="18">
        <f t="shared" si="5"/>
        <v>39</v>
      </c>
      <c r="N29" s="26" t="s">
        <v>1244</v>
      </c>
      <c r="O29" s="26" t="s">
        <v>1243</v>
      </c>
      <c r="P29" s="26">
        <v>42</v>
      </c>
      <c r="Q29" s="26" t="s">
        <v>1233</v>
      </c>
      <c r="R29" s="26" t="s">
        <v>0</v>
      </c>
      <c r="S29" s="29">
        <v>43153</v>
      </c>
      <c r="T29" s="29">
        <v>43153</v>
      </c>
      <c r="U29" s="26" t="s">
        <v>1247</v>
      </c>
      <c r="V29" s="257"/>
      <c r="W29" s="26" t="s">
        <v>1231</v>
      </c>
      <c r="X29" s="3">
        <f t="shared" si="0"/>
        <v>-42</v>
      </c>
      <c r="Y29" s="3">
        <f t="shared" si="1"/>
        <v>42</v>
      </c>
    </row>
    <row r="30" spans="1:31">
      <c r="N30" s="26" t="s">
        <v>336</v>
      </c>
      <c r="O30" s="26" t="s">
        <v>1228</v>
      </c>
      <c r="P30" s="26">
        <v>179</v>
      </c>
      <c r="Q30" s="26" t="s">
        <v>1229</v>
      </c>
      <c r="R30" s="26" t="s">
        <v>364</v>
      </c>
      <c r="S30" s="29">
        <v>43153</v>
      </c>
      <c r="T30" s="29">
        <v>43157</v>
      </c>
      <c r="U30" s="26" t="s">
        <v>1260</v>
      </c>
      <c r="V30" s="257"/>
      <c r="W30" s="26" t="s">
        <v>1231</v>
      </c>
      <c r="X30" s="3">
        <f t="shared" si="0"/>
        <v>179</v>
      </c>
      <c r="Y30" s="3" t="b">
        <f t="shared" si="1"/>
        <v>0</v>
      </c>
    </row>
    <row r="31" spans="1:31">
      <c r="A31" s="12" t="s">
        <v>1261</v>
      </c>
      <c r="N31" s="26" t="s">
        <v>336</v>
      </c>
      <c r="O31" s="26" t="s">
        <v>1228</v>
      </c>
      <c r="P31" s="26">
        <v>151</v>
      </c>
      <c r="Q31" s="26" t="s">
        <v>1233</v>
      </c>
      <c r="R31" s="26" t="s">
        <v>0</v>
      </c>
      <c r="S31" s="29">
        <v>43153</v>
      </c>
      <c r="T31" s="29">
        <v>43157</v>
      </c>
      <c r="U31" s="26" t="s">
        <v>1260</v>
      </c>
      <c r="V31" s="257"/>
      <c r="W31" s="26" t="s">
        <v>1231</v>
      </c>
      <c r="X31" s="3">
        <f t="shared" si="0"/>
        <v>-151</v>
      </c>
      <c r="Y31" s="3">
        <f t="shared" si="1"/>
        <v>151</v>
      </c>
    </row>
    <row r="32" spans="1:31">
      <c r="A32" s="19"/>
      <c r="B32" s="20" t="s">
        <v>1228</v>
      </c>
      <c r="C32" s="20" t="s">
        <v>1234</v>
      </c>
      <c r="D32" s="20" t="s">
        <v>1235</v>
      </c>
      <c r="E32" s="20" t="s">
        <v>1236</v>
      </c>
      <c r="F32" s="20" t="s">
        <v>1237</v>
      </c>
      <c r="G32" s="20" t="s">
        <v>1238</v>
      </c>
      <c r="H32" s="20" t="s">
        <v>1239</v>
      </c>
      <c r="I32" s="20" t="s">
        <v>1240</v>
      </c>
      <c r="J32" s="20" t="s">
        <v>1241</v>
      </c>
      <c r="K32" s="20" t="s">
        <v>5460</v>
      </c>
      <c r="L32" s="20" t="s">
        <v>1243</v>
      </c>
      <c r="N32" s="26" t="s">
        <v>336</v>
      </c>
      <c r="O32" s="26" t="s">
        <v>1234</v>
      </c>
      <c r="P32" s="26">
        <v>169</v>
      </c>
      <c r="Q32" s="26" t="s">
        <v>1229</v>
      </c>
      <c r="R32" s="26" t="s">
        <v>364</v>
      </c>
      <c r="S32" s="29">
        <v>43153</v>
      </c>
      <c r="T32" s="29">
        <v>43157</v>
      </c>
      <c r="U32" s="26" t="s">
        <v>1260</v>
      </c>
      <c r="V32" s="258"/>
      <c r="W32" s="26" t="s">
        <v>1231</v>
      </c>
      <c r="X32" s="3">
        <f t="shared" si="0"/>
        <v>169</v>
      </c>
      <c r="Y32" s="3" t="b">
        <f t="shared" si="1"/>
        <v>0</v>
      </c>
    </row>
    <row r="33" spans="1:25">
      <c r="A33" s="21" t="s">
        <v>336</v>
      </c>
      <c r="B33">
        <f>SUM($B23:$G23)-SUM(B5,B14)</f>
        <v>-78</v>
      </c>
      <c r="C33">
        <f>SUM($B23:$K23)-SUM(C5,C14)</f>
        <v>-61</v>
      </c>
      <c r="D33">
        <f>SUM($B23:$K23)-SUM(D5,D14)</f>
        <v>-139</v>
      </c>
      <c r="E33">
        <f>SUM(B23,D23,F23:G23)-SUM(E5,E14)</f>
        <v>-104</v>
      </c>
      <c r="F33">
        <f>2*SUM($B23:$K23)-SUM(F5,F14)</f>
        <v>-397</v>
      </c>
      <c r="G33">
        <f>SUM($B23:$K23)-SUM(G5,G14)</f>
        <v>-128</v>
      </c>
      <c r="H33">
        <f>SUM(B23,H23)-SUM(H5,H14)</f>
        <v>-29</v>
      </c>
      <c r="I33">
        <f>SUM(C23)-SUM(I5,I14)</f>
        <v>19</v>
      </c>
      <c r="J33">
        <f>SUM(F23,K23)-SUM(J5,J14)</f>
        <v>-71</v>
      </c>
      <c r="K33">
        <f>SUM($H23:$K23)-SUM(K5,K14)</f>
        <v>-10</v>
      </c>
      <c r="L33">
        <f>SUM($B23:$K23)-SUM(L5,L14)</f>
        <v>-44</v>
      </c>
      <c r="N33" s="26" t="s">
        <v>336</v>
      </c>
      <c r="O33" s="26" t="s">
        <v>1234</v>
      </c>
      <c r="P33" s="26">
        <v>151</v>
      </c>
      <c r="Q33" s="26" t="s">
        <v>1233</v>
      </c>
      <c r="R33" s="26" t="s">
        <v>0</v>
      </c>
      <c r="S33" s="29">
        <v>43153</v>
      </c>
      <c r="T33" s="29">
        <v>43157</v>
      </c>
      <c r="U33" s="26" t="s">
        <v>1260</v>
      </c>
      <c r="V33" s="257"/>
      <c r="W33" s="26" t="s">
        <v>1231</v>
      </c>
      <c r="X33" s="3">
        <f t="shared" si="0"/>
        <v>-151</v>
      </c>
      <c r="Y33" s="3">
        <f t="shared" si="1"/>
        <v>151</v>
      </c>
    </row>
    <row r="34" spans="1:25">
      <c r="A34" s="21" t="s">
        <v>1244</v>
      </c>
      <c r="B34">
        <f>SUM($B24:$G24)-SUM(B6,B15)</f>
        <v>-87</v>
      </c>
      <c r="C34">
        <f>SUM($B24:$K24)-SUM(C6,C15)</f>
        <v>-72</v>
      </c>
      <c r="D34">
        <f>SUM($B24:$K24)-SUM(D6,D15)</f>
        <v>-25</v>
      </c>
      <c r="E34">
        <f>SUM(B24,D24,F24:G24)-SUM(E6,E15)</f>
        <v>-57</v>
      </c>
      <c r="F34">
        <f>2*SUM($B24:$K24)-SUM(F6,F15)</f>
        <v>-159</v>
      </c>
      <c r="G34">
        <f>SUM($B24:$K24)-SUM(G6,G15)</f>
        <v>-53</v>
      </c>
      <c r="H34">
        <f>SUM(B24,H24)-SUM(H6,H15)</f>
        <v>-4</v>
      </c>
      <c r="I34">
        <f>SUM(C24)-SUM(I6,I15)</f>
        <v>1</v>
      </c>
      <c r="J34">
        <f>SUM(F24,K24)-SUM(J6,J15)</f>
        <v>-36</v>
      </c>
      <c r="K34">
        <f>SUM($H24:$K24)-SUM(K6,K15)</f>
        <v>0</v>
      </c>
      <c r="L34">
        <f>SUM($B24:$K24)-SUM(L6,L15)</f>
        <v>3</v>
      </c>
      <c r="N34" s="26" t="s">
        <v>336</v>
      </c>
      <c r="O34" s="26" t="s">
        <v>1238</v>
      </c>
      <c r="P34" s="26">
        <v>174</v>
      </c>
      <c r="Q34" s="26" t="s">
        <v>1229</v>
      </c>
      <c r="R34" s="26" t="s">
        <v>364</v>
      </c>
      <c r="S34" s="29">
        <v>43153</v>
      </c>
      <c r="T34" s="29">
        <v>43157</v>
      </c>
      <c r="U34" s="26" t="s">
        <v>1260</v>
      </c>
      <c r="V34" s="257"/>
      <c r="W34" s="26" t="s">
        <v>1231</v>
      </c>
      <c r="X34" s="3">
        <f t="shared" si="0"/>
        <v>174</v>
      </c>
      <c r="Y34" s="3" t="b">
        <f t="shared" si="1"/>
        <v>0</v>
      </c>
    </row>
    <row r="35" spans="1:25">
      <c r="A35" s="21" t="s">
        <v>364</v>
      </c>
      <c r="B35">
        <f t="shared" ref="B35:B38" si="6">SUM($B25:$G25)-SUM(B7,B16)</f>
        <v>-39</v>
      </c>
      <c r="C35">
        <f t="shared" ref="C35:D35" si="7">SUM($B25:$K25)-SUM(C7,C16)</f>
        <v>-16</v>
      </c>
      <c r="D35">
        <f t="shared" si="7"/>
        <v>-61</v>
      </c>
      <c r="E35">
        <f t="shared" ref="E35:E38" si="8">SUM(B25,D25,F25:G25)-SUM(E7,E16)</f>
        <v>-44</v>
      </c>
      <c r="F35">
        <f t="shared" ref="F35:F38" si="9">2*SUM($B25:$K25)-SUM(F7,F16)</f>
        <v>-126</v>
      </c>
      <c r="G35">
        <f t="shared" ref="G35:G38" si="10">SUM($B25:$K25)-SUM(G7,G16)</f>
        <v>-380</v>
      </c>
      <c r="H35">
        <f t="shared" ref="H35:H36" si="11">SUM(B25,H25)-SUM(H7,H16)</f>
        <v>-14</v>
      </c>
      <c r="I35">
        <f t="shared" ref="I35:I36" si="12">SUM(C25)-SUM(I7,I16)</f>
        <v>0</v>
      </c>
      <c r="J35">
        <f t="shared" ref="J35:J36" si="13">SUM(F25,K25)-SUM(J7,J16)</f>
        <v>-9</v>
      </c>
      <c r="K35">
        <f t="shared" ref="K35:K38" si="14">SUM($H25:$K25)-SUM(K7,K16)</f>
        <v>-11</v>
      </c>
      <c r="L35">
        <f t="shared" ref="L35:L38" si="15">SUM($B25:$K25)-SUM(L7,L16)</f>
        <v>66</v>
      </c>
      <c r="N35" s="26" t="s">
        <v>336</v>
      </c>
      <c r="O35" s="26" t="s">
        <v>1238</v>
      </c>
      <c r="P35" s="26">
        <v>166</v>
      </c>
      <c r="Q35" s="26" t="s">
        <v>1233</v>
      </c>
      <c r="R35" s="26" t="s">
        <v>0</v>
      </c>
      <c r="S35" s="29">
        <v>43153</v>
      </c>
      <c r="T35" s="29">
        <v>43157</v>
      </c>
      <c r="U35" s="26" t="s">
        <v>1260</v>
      </c>
      <c r="V35" s="257"/>
      <c r="W35" s="26" t="s">
        <v>1231</v>
      </c>
      <c r="X35" s="3">
        <f t="shared" si="0"/>
        <v>-166</v>
      </c>
      <c r="Y35" s="3">
        <f t="shared" si="1"/>
        <v>166</v>
      </c>
    </row>
    <row r="36" spans="1:25">
      <c r="A36" s="21" t="s">
        <v>203</v>
      </c>
      <c r="B36">
        <f t="shared" si="6"/>
        <v>-92</v>
      </c>
      <c r="C36">
        <f t="shared" ref="C36:D36" si="16">SUM($B26:$K26)-SUM(C8,C17)</f>
        <v>-16</v>
      </c>
      <c r="D36">
        <f t="shared" si="16"/>
        <v>-187</v>
      </c>
      <c r="E36">
        <f t="shared" si="8"/>
        <v>-71</v>
      </c>
      <c r="F36">
        <f t="shared" si="9"/>
        <v>-141</v>
      </c>
      <c r="G36">
        <f t="shared" si="10"/>
        <v>-107</v>
      </c>
      <c r="H36">
        <f t="shared" si="11"/>
        <v>-42</v>
      </c>
      <c r="I36">
        <f t="shared" si="12"/>
        <v>-1</v>
      </c>
      <c r="J36">
        <f t="shared" si="13"/>
        <v>-150</v>
      </c>
      <c r="K36">
        <f t="shared" si="14"/>
        <v>-10</v>
      </c>
      <c r="L36">
        <f t="shared" si="15"/>
        <v>141</v>
      </c>
      <c r="N36" s="26" t="s">
        <v>336</v>
      </c>
      <c r="O36" s="26" t="s">
        <v>1237</v>
      </c>
      <c r="P36" s="26">
        <v>317</v>
      </c>
      <c r="Q36" s="26" t="s">
        <v>1229</v>
      </c>
      <c r="R36" s="26" t="s">
        <v>364</v>
      </c>
      <c r="S36" s="29">
        <v>43153</v>
      </c>
      <c r="T36" s="29">
        <v>43157</v>
      </c>
      <c r="U36" s="26" t="s">
        <v>1260</v>
      </c>
      <c r="V36" s="257"/>
      <c r="W36" s="26" t="s">
        <v>1231</v>
      </c>
      <c r="X36" s="3">
        <f t="shared" si="0"/>
        <v>317</v>
      </c>
      <c r="Y36" s="3" t="b">
        <f t="shared" si="1"/>
        <v>0</v>
      </c>
    </row>
    <row r="37" spans="1:25">
      <c r="A37" s="21" t="s">
        <v>0</v>
      </c>
      <c r="B37">
        <f t="shared" si="6"/>
        <v>-38</v>
      </c>
      <c r="C37">
        <f t="shared" ref="C37:D37" si="17">SUM($B27:$K27)-SUM(C9,C18)</f>
        <v>-63</v>
      </c>
      <c r="D37">
        <f t="shared" si="17"/>
        <v>-13</v>
      </c>
      <c r="E37">
        <f t="shared" si="8"/>
        <v>-3</v>
      </c>
      <c r="F37">
        <f t="shared" si="9"/>
        <v>-119</v>
      </c>
      <c r="G37">
        <f t="shared" si="10"/>
        <v>-75</v>
      </c>
      <c r="H37">
        <f t="shared" ref="H37:H38" si="18">SUM(B27,H27)-SUM(H9,H18)</f>
        <v>-94</v>
      </c>
      <c r="I37">
        <f t="shared" ref="I37:I38" si="19">SUM(C27)-SUM(I9,I18)</f>
        <v>-64</v>
      </c>
      <c r="J37">
        <f t="shared" ref="J37:J38" si="20">SUM(F27,K27)-SUM(J9,J18)</f>
        <v>-55</v>
      </c>
      <c r="K37">
        <f t="shared" si="14"/>
        <v>0</v>
      </c>
      <c r="L37">
        <f t="shared" si="15"/>
        <v>160</v>
      </c>
      <c r="N37" s="26" t="s">
        <v>336</v>
      </c>
      <c r="O37" s="26" t="s">
        <v>1237</v>
      </c>
      <c r="P37" s="26">
        <v>302</v>
      </c>
      <c r="Q37" s="26" t="s">
        <v>1233</v>
      </c>
      <c r="R37" s="26" t="s">
        <v>0</v>
      </c>
      <c r="S37" s="29">
        <v>43153</v>
      </c>
      <c r="T37" s="29">
        <v>43157</v>
      </c>
      <c r="U37" s="26" t="s">
        <v>1260</v>
      </c>
      <c r="V37" s="257"/>
      <c r="W37" s="26" t="s">
        <v>1231</v>
      </c>
      <c r="X37" s="3">
        <f t="shared" si="0"/>
        <v>-302</v>
      </c>
      <c r="Y37" s="3">
        <f t="shared" si="1"/>
        <v>302</v>
      </c>
    </row>
    <row r="38" spans="1:25">
      <c r="A38" s="21" t="s">
        <v>1245</v>
      </c>
      <c r="B38">
        <f t="shared" si="6"/>
        <v>28</v>
      </c>
      <c r="C38">
        <f t="shared" ref="C38:D38" si="21">SUM($B28:$K28)-SUM(C10,C19)</f>
        <v>31</v>
      </c>
      <c r="D38">
        <f t="shared" si="21"/>
        <v>31</v>
      </c>
      <c r="E38">
        <f t="shared" si="8"/>
        <v>13</v>
      </c>
      <c r="F38">
        <f t="shared" si="9"/>
        <v>42</v>
      </c>
      <c r="G38">
        <f t="shared" si="10"/>
        <v>31</v>
      </c>
      <c r="H38">
        <f t="shared" si="18"/>
        <v>13</v>
      </c>
      <c r="I38">
        <f t="shared" si="19"/>
        <v>18</v>
      </c>
      <c r="J38">
        <f t="shared" si="20"/>
        <v>0</v>
      </c>
      <c r="K38">
        <f t="shared" si="14"/>
        <v>0</v>
      </c>
      <c r="L38">
        <f t="shared" si="15"/>
        <v>72</v>
      </c>
      <c r="N38" s="26" t="s">
        <v>336</v>
      </c>
      <c r="O38" s="26" t="s">
        <v>1235</v>
      </c>
      <c r="P38" s="26">
        <v>171</v>
      </c>
      <c r="Q38" s="26" t="s">
        <v>1229</v>
      </c>
      <c r="R38" s="26" t="s">
        <v>364</v>
      </c>
      <c r="S38" s="29">
        <v>43153</v>
      </c>
      <c r="T38" s="29">
        <v>43157</v>
      </c>
      <c r="U38" s="26" t="s">
        <v>1260</v>
      </c>
      <c r="V38" s="257"/>
      <c r="W38" s="26" t="s">
        <v>1231</v>
      </c>
      <c r="X38" s="3">
        <f t="shared" si="0"/>
        <v>171</v>
      </c>
      <c r="Y38" s="3" t="b">
        <f t="shared" si="1"/>
        <v>0</v>
      </c>
    </row>
    <row r="39" spans="1:25">
      <c r="A39" s="21" t="s">
        <v>1248</v>
      </c>
      <c r="B39" s="4">
        <f>SUM(B33:B38)</f>
        <v>-306</v>
      </c>
      <c r="C39" s="4">
        <f t="shared" ref="C39:L39" si="22">SUM(C33:C38)</f>
        <v>-197</v>
      </c>
      <c r="D39" s="4">
        <f t="shared" si="22"/>
        <v>-394</v>
      </c>
      <c r="E39" s="4">
        <f t="shared" si="22"/>
        <v>-266</v>
      </c>
      <c r="F39" s="4">
        <f t="shared" si="22"/>
        <v>-900</v>
      </c>
      <c r="G39" s="4">
        <f t="shared" si="22"/>
        <v>-712</v>
      </c>
      <c r="H39" s="4">
        <f t="shared" si="22"/>
        <v>-170</v>
      </c>
      <c r="I39" s="4">
        <f t="shared" si="22"/>
        <v>-27</v>
      </c>
      <c r="J39" s="4">
        <f t="shared" si="22"/>
        <v>-321</v>
      </c>
      <c r="K39" s="4">
        <f t="shared" si="22"/>
        <v>-31</v>
      </c>
      <c r="L39" s="4">
        <f t="shared" si="22"/>
        <v>398</v>
      </c>
      <c r="N39" s="26" t="s">
        <v>336</v>
      </c>
      <c r="O39" s="26" t="s">
        <v>1235</v>
      </c>
      <c r="P39" s="26">
        <v>151</v>
      </c>
      <c r="Q39" s="26" t="s">
        <v>1233</v>
      </c>
      <c r="R39" s="26" t="s">
        <v>0</v>
      </c>
      <c r="S39" s="29">
        <v>43153</v>
      </c>
      <c r="T39" s="29">
        <v>43157</v>
      </c>
      <c r="U39" s="26" t="s">
        <v>1260</v>
      </c>
      <c r="V39" s="257"/>
      <c r="W39" s="26" t="s">
        <v>1231</v>
      </c>
      <c r="X39" s="3">
        <f t="shared" si="0"/>
        <v>-151</v>
      </c>
      <c r="Y39" s="3">
        <f t="shared" si="1"/>
        <v>151</v>
      </c>
    </row>
    <row r="40" spans="1:25">
      <c r="N40" s="26" t="s">
        <v>336</v>
      </c>
      <c r="O40" s="26" t="s">
        <v>1236</v>
      </c>
      <c r="P40" s="26">
        <v>122</v>
      </c>
      <c r="Q40" s="26" t="s">
        <v>1229</v>
      </c>
      <c r="R40" s="26" t="s">
        <v>364</v>
      </c>
      <c r="S40" s="29">
        <v>43153</v>
      </c>
      <c r="T40" s="29">
        <v>43157</v>
      </c>
      <c r="U40" s="26" t="s">
        <v>1260</v>
      </c>
      <c r="V40" s="257"/>
      <c r="W40" s="26" t="s">
        <v>1231</v>
      </c>
      <c r="X40" s="3">
        <f t="shared" si="0"/>
        <v>122</v>
      </c>
      <c r="Y40" s="3" t="b">
        <f t="shared" si="1"/>
        <v>0</v>
      </c>
    </row>
    <row r="41" spans="1:25">
      <c r="A41" s="12" t="s">
        <v>1262</v>
      </c>
      <c r="N41" s="26" t="s">
        <v>336</v>
      </c>
      <c r="O41" s="26" t="s">
        <v>1236</v>
      </c>
      <c r="P41" s="26">
        <v>122</v>
      </c>
      <c r="Q41" s="26" t="s">
        <v>1233</v>
      </c>
      <c r="R41" s="26" t="s">
        <v>0</v>
      </c>
      <c r="S41" s="29">
        <v>43153</v>
      </c>
      <c r="T41" s="29">
        <v>43157</v>
      </c>
      <c r="U41" s="26" t="s">
        <v>1260</v>
      </c>
      <c r="V41" s="257"/>
      <c r="W41" s="26" t="s">
        <v>1231</v>
      </c>
      <c r="X41" s="3">
        <f t="shared" si="0"/>
        <v>-122</v>
      </c>
      <c r="Y41" s="3">
        <f t="shared" si="1"/>
        <v>122</v>
      </c>
    </row>
    <row r="42" spans="1:25">
      <c r="A42" s="22"/>
      <c r="B42" s="23" t="s">
        <v>20</v>
      </c>
      <c r="C42" s="23" t="s">
        <v>96</v>
      </c>
      <c r="D42" s="23"/>
      <c r="E42" s="23"/>
      <c r="F42" s="23"/>
      <c r="G42" s="23"/>
      <c r="H42" s="23"/>
      <c r="I42" s="23"/>
      <c r="J42" s="23"/>
      <c r="K42" s="23"/>
      <c r="L42" s="23"/>
      <c r="N42" s="26" t="s">
        <v>336</v>
      </c>
      <c r="O42" s="26" t="s">
        <v>1243</v>
      </c>
      <c r="P42" s="26">
        <v>100</v>
      </c>
      <c r="Q42" s="26" t="s">
        <v>1229</v>
      </c>
      <c r="R42" s="26" t="s">
        <v>364</v>
      </c>
      <c r="S42" s="29">
        <v>43153</v>
      </c>
      <c r="T42" s="29">
        <v>43157</v>
      </c>
      <c r="U42" s="26" t="s">
        <v>1260</v>
      </c>
      <c r="V42" s="257"/>
      <c r="W42" s="26" t="s">
        <v>1231</v>
      </c>
      <c r="X42" s="3">
        <f t="shared" si="0"/>
        <v>100</v>
      </c>
      <c r="Y42" s="3" t="b">
        <f t="shared" si="1"/>
        <v>0</v>
      </c>
    </row>
    <row r="43" spans="1:25">
      <c r="A43" s="24" t="s">
        <v>336</v>
      </c>
      <c r="B43">
        <f>B23-SUM(H14)</f>
        <v>-17</v>
      </c>
      <c r="C43">
        <f>C23-I14</f>
        <v>0</v>
      </c>
      <c r="N43" s="26" t="s">
        <v>336</v>
      </c>
      <c r="O43" s="26" t="s">
        <v>1243</v>
      </c>
      <c r="P43" s="26">
        <v>92</v>
      </c>
      <c r="Q43" s="26" t="s">
        <v>1233</v>
      </c>
      <c r="R43" s="26" t="s">
        <v>0</v>
      </c>
      <c r="S43" s="29">
        <v>43153</v>
      </c>
      <c r="T43" s="29">
        <v>43157</v>
      </c>
      <c r="U43" s="26" t="s">
        <v>1260</v>
      </c>
      <c r="V43" s="257"/>
      <c r="W43" s="26" t="s">
        <v>1231</v>
      </c>
      <c r="X43" s="3">
        <f t="shared" si="0"/>
        <v>-92</v>
      </c>
      <c r="Y43" s="3">
        <f t="shared" si="1"/>
        <v>92</v>
      </c>
    </row>
    <row r="44" spans="1:25">
      <c r="A44" s="24" t="s">
        <v>1244</v>
      </c>
      <c r="B44">
        <f t="shared" ref="B44:B48" si="23">B24-SUM(H15)</f>
        <v>-4</v>
      </c>
      <c r="C44">
        <f t="shared" ref="C44:C48" si="24">C24-I15</f>
        <v>1</v>
      </c>
      <c r="N44" s="26" t="s">
        <v>203</v>
      </c>
      <c r="O44" s="26" t="s">
        <v>1228</v>
      </c>
      <c r="P44" s="26">
        <v>321</v>
      </c>
      <c r="Q44" s="26" t="s">
        <v>1229</v>
      </c>
      <c r="R44" s="26" t="s">
        <v>364</v>
      </c>
      <c r="S44" s="29">
        <v>43153</v>
      </c>
      <c r="T44" s="29">
        <v>43157</v>
      </c>
      <c r="U44" s="26" t="s">
        <v>1260</v>
      </c>
      <c r="V44" s="257"/>
      <c r="W44" s="26" t="s">
        <v>1231</v>
      </c>
      <c r="X44" s="3">
        <f t="shared" si="0"/>
        <v>321</v>
      </c>
      <c r="Y44" s="3" t="b">
        <f t="shared" si="1"/>
        <v>0</v>
      </c>
    </row>
    <row r="45" spans="1:25">
      <c r="A45" s="24" t="s">
        <v>364</v>
      </c>
      <c r="B45">
        <f t="shared" si="23"/>
        <v>-4</v>
      </c>
      <c r="C45">
        <f t="shared" si="24"/>
        <v>0</v>
      </c>
      <c r="N45" s="26" t="s">
        <v>203</v>
      </c>
      <c r="O45" s="26" t="s">
        <v>1228</v>
      </c>
      <c r="P45" s="26">
        <v>303</v>
      </c>
      <c r="Q45" s="26" t="s">
        <v>1233</v>
      </c>
      <c r="R45" s="26" t="s">
        <v>0</v>
      </c>
      <c r="S45" s="29">
        <v>43153</v>
      </c>
      <c r="T45" s="29">
        <v>43157</v>
      </c>
      <c r="U45" s="26" t="s">
        <v>1260</v>
      </c>
      <c r="V45" s="257"/>
      <c r="W45" s="26" t="s">
        <v>1231</v>
      </c>
      <c r="X45" s="3">
        <f t="shared" si="0"/>
        <v>-303</v>
      </c>
      <c r="Y45" s="3">
        <f t="shared" si="1"/>
        <v>303</v>
      </c>
    </row>
    <row r="46" spans="1:25">
      <c r="A46" s="24" t="s">
        <v>203</v>
      </c>
      <c r="B46">
        <f t="shared" si="23"/>
        <v>-39</v>
      </c>
      <c r="C46">
        <f t="shared" si="24"/>
        <v>-1</v>
      </c>
      <c r="N46" s="26" t="s">
        <v>203</v>
      </c>
      <c r="O46" s="26" t="s">
        <v>1234</v>
      </c>
      <c r="P46" s="26">
        <v>252</v>
      </c>
      <c r="Q46" s="26" t="s">
        <v>1229</v>
      </c>
      <c r="R46" s="26" t="s">
        <v>364</v>
      </c>
      <c r="S46" s="29">
        <v>43153</v>
      </c>
      <c r="T46" s="29">
        <v>43157</v>
      </c>
      <c r="U46" s="26" t="s">
        <v>1260</v>
      </c>
      <c r="V46" s="258"/>
      <c r="W46" s="26" t="s">
        <v>1231</v>
      </c>
      <c r="X46" s="3">
        <f t="shared" si="0"/>
        <v>252</v>
      </c>
      <c r="Y46" s="3" t="b">
        <f t="shared" si="1"/>
        <v>0</v>
      </c>
    </row>
    <row r="47" spans="1:25">
      <c r="A47" s="24" t="s">
        <v>0</v>
      </c>
      <c r="B47">
        <f t="shared" si="23"/>
        <v>34</v>
      </c>
      <c r="C47">
        <f t="shared" si="24"/>
        <v>-5</v>
      </c>
      <c r="N47" s="26" t="s">
        <v>203</v>
      </c>
      <c r="O47" s="26" t="s">
        <v>1234</v>
      </c>
      <c r="P47" s="26">
        <v>233</v>
      </c>
      <c r="Q47" s="26" t="s">
        <v>1233</v>
      </c>
      <c r="R47" s="26" t="s">
        <v>0</v>
      </c>
      <c r="S47" s="29">
        <v>43153</v>
      </c>
      <c r="T47" s="29">
        <v>43157</v>
      </c>
      <c r="U47" s="26" t="s">
        <v>1260</v>
      </c>
      <c r="V47" s="257"/>
      <c r="W47" s="26" t="s">
        <v>1231</v>
      </c>
      <c r="X47" s="3">
        <f t="shared" si="0"/>
        <v>-233</v>
      </c>
      <c r="Y47" s="3">
        <f t="shared" si="1"/>
        <v>233</v>
      </c>
    </row>
    <row r="48" spans="1:25">
      <c r="A48" s="24" t="s">
        <v>1245</v>
      </c>
      <c r="B48">
        <f t="shared" si="23"/>
        <v>13</v>
      </c>
      <c r="C48">
        <f t="shared" si="24"/>
        <v>18</v>
      </c>
      <c r="N48" s="26" t="s">
        <v>203</v>
      </c>
      <c r="O48" s="26" t="s">
        <v>1238</v>
      </c>
      <c r="P48" s="26">
        <v>258</v>
      </c>
      <c r="Q48" s="26" t="s">
        <v>1229</v>
      </c>
      <c r="R48" s="26" t="s">
        <v>364</v>
      </c>
      <c r="S48" s="29">
        <v>43153</v>
      </c>
      <c r="T48" s="29">
        <v>43157</v>
      </c>
      <c r="U48" s="26" t="s">
        <v>1260</v>
      </c>
      <c r="V48" s="257"/>
      <c r="W48" s="26" t="s">
        <v>1231</v>
      </c>
      <c r="X48" s="3">
        <f t="shared" si="0"/>
        <v>258</v>
      </c>
      <c r="Y48" s="3" t="b">
        <f t="shared" si="1"/>
        <v>0</v>
      </c>
    </row>
    <row r="49" spans="1:25">
      <c r="A49" s="24" t="s">
        <v>1248</v>
      </c>
      <c r="B49" s="4">
        <f>SUM(B43:B48)</f>
        <v>-17</v>
      </c>
      <c r="C49" s="4">
        <f t="shared" ref="C49" si="25">SUM(C43:C48)</f>
        <v>13</v>
      </c>
      <c r="D49" s="4"/>
      <c r="E49" s="4"/>
      <c r="F49" s="4"/>
      <c r="G49" s="4"/>
      <c r="H49" s="4"/>
      <c r="I49" s="4"/>
      <c r="J49" s="4"/>
      <c r="K49" s="4"/>
      <c r="L49" s="4"/>
      <c r="N49" s="26" t="s">
        <v>203</v>
      </c>
      <c r="O49" s="26" t="s">
        <v>1238</v>
      </c>
      <c r="P49" s="26">
        <v>233</v>
      </c>
      <c r="Q49" s="26" t="s">
        <v>1233</v>
      </c>
      <c r="R49" s="26" t="s">
        <v>0</v>
      </c>
      <c r="S49" s="29">
        <v>43153</v>
      </c>
      <c r="T49" s="29">
        <v>43157</v>
      </c>
      <c r="U49" s="26" t="s">
        <v>1260</v>
      </c>
      <c r="V49" s="257"/>
      <c r="W49" s="26" t="s">
        <v>1231</v>
      </c>
      <c r="X49" s="3">
        <f t="shared" si="0"/>
        <v>-233</v>
      </c>
      <c r="Y49" s="3">
        <f t="shared" si="1"/>
        <v>233</v>
      </c>
    </row>
    <row r="50" spans="1:25">
      <c r="N50" s="26" t="s">
        <v>203</v>
      </c>
      <c r="O50" s="26" t="s">
        <v>1237</v>
      </c>
      <c r="P50" s="26">
        <v>495</v>
      </c>
      <c r="Q50" s="26" t="s">
        <v>1229</v>
      </c>
      <c r="R50" s="26" t="s">
        <v>364</v>
      </c>
      <c r="S50" s="29">
        <v>43153</v>
      </c>
      <c r="T50" s="29">
        <v>43157</v>
      </c>
      <c r="U50" s="26" t="s">
        <v>1260</v>
      </c>
      <c r="V50" s="257"/>
      <c r="W50" s="26" t="s">
        <v>1231</v>
      </c>
      <c r="X50" s="3">
        <f t="shared" si="0"/>
        <v>495</v>
      </c>
      <c r="Y50" s="3" t="b">
        <f t="shared" si="1"/>
        <v>0</v>
      </c>
    </row>
    <row r="51" spans="1:25">
      <c r="N51" s="26" t="s">
        <v>203</v>
      </c>
      <c r="O51" s="26" t="s">
        <v>1237</v>
      </c>
      <c r="P51" s="26">
        <v>466</v>
      </c>
      <c r="Q51" s="26" t="s">
        <v>1233</v>
      </c>
      <c r="R51" s="26" t="s">
        <v>0</v>
      </c>
      <c r="S51" s="29">
        <v>43153</v>
      </c>
      <c r="T51" s="29">
        <v>43157</v>
      </c>
      <c r="U51" s="26" t="s">
        <v>1260</v>
      </c>
      <c r="V51" s="257"/>
      <c r="W51" s="26" t="s">
        <v>1231</v>
      </c>
      <c r="X51" s="3">
        <f t="shared" si="0"/>
        <v>-466</v>
      </c>
      <c r="Y51" s="3">
        <f t="shared" si="1"/>
        <v>466</v>
      </c>
    </row>
    <row r="52" spans="1:25">
      <c r="N52" s="26" t="s">
        <v>203</v>
      </c>
      <c r="O52" s="26" t="s">
        <v>1235</v>
      </c>
      <c r="P52" s="26">
        <v>288</v>
      </c>
      <c r="Q52" s="26" t="s">
        <v>1229</v>
      </c>
      <c r="R52" s="26" t="s">
        <v>364</v>
      </c>
      <c r="S52" s="29">
        <v>43153</v>
      </c>
      <c r="T52" s="29">
        <v>43157</v>
      </c>
      <c r="U52" s="26" t="s">
        <v>1260</v>
      </c>
      <c r="V52" s="257"/>
      <c r="W52" s="26" t="s">
        <v>1231</v>
      </c>
      <c r="X52" s="3">
        <f t="shared" si="0"/>
        <v>288</v>
      </c>
      <c r="Y52" s="3" t="b">
        <f t="shared" si="1"/>
        <v>0</v>
      </c>
    </row>
    <row r="53" spans="1:25">
      <c r="N53" s="26" t="s">
        <v>203</v>
      </c>
      <c r="O53" s="26" t="s">
        <v>1235</v>
      </c>
      <c r="P53" s="26">
        <v>226</v>
      </c>
      <c r="Q53" s="26" t="s">
        <v>1233</v>
      </c>
      <c r="R53" s="26" t="s">
        <v>0</v>
      </c>
      <c r="S53" s="29">
        <v>43153</v>
      </c>
      <c r="T53" s="29">
        <v>43157</v>
      </c>
      <c r="U53" s="26" t="s">
        <v>1260</v>
      </c>
      <c r="V53" s="257"/>
      <c r="W53" s="26" t="s">
        <v>1231</v>
      </c>
      <c r="X53" s="3">
        <f t="shared" si="0"/>
        <v>-226</v>
      </c>
      <c r="Y53" s="3">
        <f t="shared" si="1"/>
        <v>226</v>
      </c>
    </row>
    <row r="54" spans="1:25">
      <c r="N54" s="26" t="s">
        <v>203</v>
      </c>
      <c r="O54" s="26" t="s">
        <v>1236</v>
      </c>
      <c r="P54" s="26">
        <v>226</v>
      </c>
      <c r="Q54" s="26" t="s">
        <v>1229</v>
      </c>
      <c r="R54" s="26" t="s">
        <v>364</v>
      </c>
      <c r="S54" s="29">
        <v>43153</v>
      </c>
      <c r="T54" s="29">
        <v>43157</v>
      </c>
      <c r="U54" s="26" t="s">
        <v>1260</v>
      </c>
      <c r="V54" s="257"/>
      <c r="W54" s="26" t="s">
        <v>1231</v>
      </c>
      <c r="X54" s="3">
        <f t="shared" si="0"/>
        <v>226</v>
      </c>
      <c r="Y54" s="3" t="b">
        <f t="shared" si="1"/>
        <v>0</v>
      </c>
    </row>
    <row r="55" spans="1:25">
      <c r="N55" s="26" t="s">
        <v>203</v>
      </c>
      <c r="O55" s="26" t="s">
        <v>1236</v>
      </c>
      <c r="P55" s="26">
        <v>226</v>
      </c>
      <c r="Q55" s="26" t="s">
        <v>1233</v>
      </c>
      <c r="R55" s="26" t="s">
        <v>0</v>
      </c>
      <c r="S55" s="29">
        <v>43153</v>
      </c>
      <c r="T55" s="29">
        <v>43157</v>
      </c>
      <c r="U55" s="26" t="s">
        <v>1260</v>
      </c>
      <c r="V55" s="257"/>
      <c r="W55" s="26" t="s">
        <v>1231</v>
      </c>
      <c r="X55" s="3">
        <f t="shared" si="0"/>
        <v>-226</v>
      </c>
      <c r="Y55" s="3">
        <f t="shared" si="1"/>
        <v>226</v>
      </c>
    </row>
    <row r="56" spans="1:25">
      <c r="N56" s="26" t="s">
        <v>203</v>
      </c>
      <c r="O56" s="26" t="s">
        <v>1243</v>
      </c>
      <c r="P56" s="26">
        <v>230</v>
      </c>
      <c r="Q56" s="26" t="s">
        <v>1229</v>
      </c>
      <c r="R56" s="26" t="s">
        <v>364</v>
      </c>
      <c r="S56" s="29">
        <v>43153</v>
      </c>
      <c r="T56" s="29">
        <v>43157</v>
      </c>
      <c r="U56" s="26" t="s">
        <v>1260</v>
      </c>
      <c r="V56" s="257"/>
      <c r="W56" s="26" t="s">
        <v>1231</v>
      </c>
      <c r="X56" s="3">
        <f t="shared" si="0"/>
        <v>230</v>
      </c>
      <c r="Y56" s="3" t="b">
        <f t="shared" si="1"/>
        <v>0</v>
      </c>
    </row>
    <row r="57" spans="1:25">
      <c r="N57" s="26" t="s">
        <v>203</v>
      </c>
      <c r="O57" s="26" t="s">
        <v>1243</v>
      </c>
      <c r="P57" s="26">
        <v>226</v>
      </c>
      <c r="Q57" s="26" t="s">
        <v>1233</v>
      </c>
      <c r="R57" s="26" t="s">
        <v>0</v>
      </c>
      <c r="S57" s="29">
        <v>43153</v>
      </c>
      <c r="T57" s="29">
        <v>43157</v>
      </c>
      <c r="U57" s="26" t="s">
        <v>1260</v>
      </c>
      <c r="V57" s="257"/>
      <c r="W57" s="26" t="s">
        <v>1231</v>
      </c>
      <c r="X57" s="3">
        <f t="shared" si="0"/>
        <v>-226</v>
      </c>
      <c r="Y57" s="3">
        <f t="shared" si="1"/>
        <v>226</v>
      </c>
    </row>
    <row r="58" spans="1:25">
      <c r="N58" s="28" t="s">
        <v>203</v>
      </c>
      <c r="O58" s="28" t="s">
        <v>1236</v>
      </c>
      <c r="P58" s="28">
        <v>20</v>
      </c>
      <c r="Q58" s="28" t="s">
        <v>1229</v>
      </c>
      <c r="R58" s="28" t="s">
        <v>364</v>
      </c>
      <c r="S58" s="30">
        <v>43157</v>
      </c>
      <c r="T58" s="30">
        <v>43165</v>
      </c>
      <c r="U58" s="28" t="s">
        <v>1263</v>
      </c>
      <c r="V58" s="259" t="s">
        <v>1264</v>
      </c>
      <c r="W58" s="28" t="s">
        <v>1265</v>
      </c>
      <c r="X58" s="3">
        <f t="shared" si="0"/>
        <v>20</v>
      </c>
      <c r="Y58" s="3" t="b">
        <f t="shared" si="1"/>
        <v>0</v>
      </c>
    </row>
    <row r="59" spans="1:25">
      <c r="N59" s="26" t="s">
        <v>364</v>
      </c>
      <c r="O59" s="26" t="s">
        <v>1228</v>
      </c>
      <c r="P59" s="26">
        <v>153</v>
      </c>
      <c r="Q59" s="26" t="s">
        <v>1229</v>
      </c>
      <c r="R59" s="26" t="s">
        <v>364</v>
      </c>
      <c r="S59" s="29">
        <v>43153</v>
      </c>
      <c r="T59" s="29">
        <v>43157</v>
      </c>
      <c r="U59" s="26" t="s">
        <v>1266</v>
      </c>
      <c r="V59" s="257"/>
      <c r="W59" s="26" t="s">
        <v>1231</v>
      </c>
      <c r="X59" s="3">
        <f t="shared" si="0"/>
        <v>153</v>
      </c>
      <c r="Y59" s="3" t="b">
        <f t="shared" si="1"/>
        <v>0</v>
      </c>
    </row>
    <row r="60" spans="1:25">
      <c r="N60" s="26" t="s">
        <v>364</v>
      </c>
      <c r="O60" s="26" t="s">
        <v>1228</v>
      </c>
      <c r="P60" s="26">
        <v>153</v>
      </c>
      <c r="Q60" s="26" t="s">
        <v>1233</v>
      </c>
      <c r="R60" s="26" t="s">
        <v>0</v>
      </c>
      <c r="S60" s="29">
        <v>43153</v>
      </c>
      <c r="T60" s="29">
        <v>43157</v>
      </c>
      <c r="U60" s="26" t="s">
        <v>1266</v>
      </c>
      <c r="V60" s="257"/>
      <c r="W60" s="26" t="s">
        <v>1231</v>
      </c>
      <c r="X60" s="3">
        <f t="shared" si="0"/>
        <v>-153</v>
      </c>
      <c r="Y60" s="3">
        <f t="shared" si="1"/>
        <v>153</v>
      </c>
    </row>
    <row r="61" spans="1:25">
      <c r="N61" s="26" t="s">
        <v>364</v>
      </c>
      <c r="O61" s="26" t="s">
        <v>1234</v>
      </c>
      <c r="P61" s="26">
        <v>155</v>
      </c>
      <c r="Q61" s="26" t="s">
        <v>1229</v>
      </c>
      <c r="R61" s="26" t="s">
        <v>364</v>
      </c>
      <c r="S61" s="29">
        <v>43153</v>
      </c>
      <c r="T61" s="29">
        <v>43157</v>
      </c>
      <c r="U61" s="26" t="s">
        <v>1266</v>
      </c>
      <c r="V61" s="258"/>
      <c r="W61" s="26" t="s">
        <v>1231</v>
      </c>
      <c r="X61" s="3">
        <f t="shared" si="0"/>
        <v>155</v>
      </c>
      <c r="Y61" s="3" t="b">
        <f t="shared" si="1"/>
        <v>0</v>
      </c>
    </row>
    <row r="62" spans="1:25">
      <c r="N62" s="26" t="s">
        <v>364</v>
      </c>
      <c r="O62" s="26" t="s">
        <v>1234</v>
      </c>
      <c r="P62" s="26">
        <v>146</v>
      </c>
      <c r="Q62" s="26" t="s">
        <v>1233</v>
      </c>
      <c r="R62" s="26" t="s">
        <v>0</v>
      </c>
      <c r="S62" s="29">
        <v>43153</v>
      </c>
      <c r="T62" s="29">
        <v>43157</v>
      </c>
      <c r="U62" s="26" t="s">
        <v>1266</v>
      </c>
      <c r="V62" s="257"/>
      <c r="W62" s="26" t="s">
        <v>1231</v>
      </c>
      <c r="X62" s="3">
        <f t="shared" si="0"/>
        <v>-146</v>
      </c>
      <c r="Y62" s="3">
        <f t="shared" si="1"/>
        <v>146</v>
      </c>
    </row>
    <row r="63" spans="1:25">
      <c r="N63" s="26" t="s">
        <v>364</v>
      </c>
      <c r="O63" s="26" t="s">
        <v>1238</v>
      </c>
      <c r="P63" s="26">
        <v>235</v>
      </c>
      <c r="Q63" s="26" t="s">
        <v>1229</v>
      </c>
      <c r="R63" s="26" t="s">
        <v>364</v>
      </c>
      <c r="S63" s="29">
        <v>43153</v>
      </c>
      <c r="T63" s="29">
        <v>43157</v>
      </c>
      <c r="U63" s="26" t="s">
        <v>1266</v>
      </c>
      <c r="V63" s="257"/>
      <c r="W63" s="26" t="s">
        <v>1231</v>
      </c>
      <c r="X63" s="3">
        <f t="shared" si="0"/>
        <v>235</v>
      </c>
      <c r="Y63" s="3" t="b">
        <f t="shared" si="1"/>
        <v>0</v>
      </c>
    </row>
    <row r="64" spans="1:25">
      <c r="N64" s="26" t="s">
        <v>364</v>
      </c>
      <c r="O64" s="26" t="s">
        <v>1238</v>
      </c>
      <c r="P64" s="26">
        <v>146</v>
      </c>
      <c r="Q64" s="26" t="s">
        <v>1233</v>
      </c>
      <c r="R64" s="26" t="s">
        <v>0</v>
      </c>
      <c r="S64" s="29">
        <v>43153</v>
      </c>
      <c r="T64" s="29">
        <v>43157</v>
      </c>
      <c r="U64" s="26" t="s">
        <v>1266</v>
      </c>
      <c r="V64" s="257"/>
      <c r="W64" s="26" t="s">
        <v>1231</v>
      </c>
      <c r="X64" s="3">
        <f t="shared" si="0"/>
        <v>-146</v>
      </c>
      <c r="Y64" s="3">
        <f t="shared" si="1"/>
        <v>146</v>
      </c>
    </row>
    <row r="65" spans="14:25">
      <c r="N65" s="26" t="s">
        <v>364</v>
      </c>
      <c r="O65" s="26" t="s">
        <v>1237</v>
      </c>
      <c r="P65" s="26">
        <v>452</v>
      </c>
      <c r="Q65" s="26" t="s">
        <v>1229</v>
      </c>
      <c r="R65" s="26" t="s">
        <v>364</v>
      </c>
      <c r="S65" s="29">
        <v>43153</v>
      </c>
      <c r="T65" s="29">
        <v>43157</v>
      </c>
      <c r="U65" s="26" t="s">
        <v>1266</v>
      </c>
      <c r="V65" s="257"/>
      <c r="W65" s="26" t="s">
        <v>1231</v>
      </c>
      <c r="X65" s="3">
        <f t="shared" si="0"/>
        <v>452</v>
      </c>
      <c r="Y65" s="3" t="b">
        <f t="shared" si="1"/>
        <v>0</v>
      </c>
    </row>
    <row r="66" spans="14:25">
      <c r="N66" s="26" t="s">
        <v>364</v>
      </c>
      <c r="O66" s="26" t="s">
        <v>1237</v>
      </c>
      <c r="P66" s="26">
        <v>302</v>
      </c>
      <c r="Q66" s="26" t="s">
        <v>1233</v>
      </c>
      <c r="R66" s="26" t="s">
        <v>0</v>
      </c>
      <c r="S66" s="29">
        <v>43153</v>
      </c>
      <c r="T66" s="29">
        <v>43157</v>
      </c>
      <c r="U66" s="26" t="s">
        <v>1266</v>
      </c>
      <c r="V66" s="257"/>
      <c r="W66" s="26" t="s">
        <v>1231</v>
      </c>
      <c r="X66" s="3">
        <f t="shared" si="0"/>
        <v>-302</v>
      </c>
      <c r="Y66" s="3">
        <f t="shared" si="1"/>
        <v>302</v>
      </c>
    </row>
    <row r="67" spans="14:25">
      <c r="N67" s="26" t="s">
        <v>364</v>
      </c>
      <c r="O67" s="26" t="s">
        <v>1235</v>
      </c>
      <c r="P67" s="26">
        <v>143</v>
      </c>
      <c r="Q67" s="26" t="s">
        <v>1229</v>
      </c>
      <c r="R67" s="26" t="s">
        <v>364</v>
      </c>
      <c r="S67" s="29">
        <v>43153</v>
      </c>
      <c r="T67" s="29">
        <v>43157</v>
      </c>
      <c r="U67" s="26" t="s">
        <v>1266</v>
      </c>
      <c r="V67" s="257"/>
      <c r="W67" s="26" t="s">
        <v>1231</v>
      </c>
      <c r="X67" s="3">
        <f t="shared" si="0"/>
        <v>143</v>
      </c>
      <c r="Y67" s="3" t="b">
        <f t="shared" si="1"/>
        <v>0</v>
      </c>
    </row>
    <row r="68" spans="14:25">
      <c r="N68" s="26" t="s">
        <v>364</v>
      </c>
      <c r="O68" s="26" t="s">
        <v>1235</v>
      </c>
      <c r="P68" s="26">
        <v>143</v>
      </c>
      <c r="Q68" s="26" t="s">
        <v>1233</v>
      </c>
      <c r="R68" s="26" t="s">
        <v>0</v>
      </c>
      <c r="S68" s="29">
        <v>43153</v>
      </c>
      <c r="T68" s="29">
        <v>43157</v>
      </c>
      <c r="U68" s="26" t="s">
        <v>1266</v>
      </c>
      <c r="V68" s="257"/>
      <c r="W68" s="26" t="s">
        <v>1231</v>
      </c>
      <c r="X68" s="3">
        <f t="shared" si="0"/>
        <v>-143</v>
      </c>
      <c r="Y68" s="3">
        <f t="shared" si="1"/>
        <v>143</v>
      </c>
    </row>
    <row r="69" spans="14:25">
      <c r="N69" s="26" t="s">
        <v>364</v>
      </c>
      <c r="O69" s="26" t="s">
        <v>1236</v>
      </c>
      <c r="P69" s="26">
        <v>88</v>
      </c>
      <c r="Q69" s="26" t="s">
        <v>1229</v>
      </c>
      <c r="R69" s="26" t="s">
        <v>364</v>
      </c>
      <c r="S69" s="29">
        <v>43153</v>
      </c>
      <c r="T69" s="29">
        <v>43157</v>
      </c>
      <c r="U69" s="26" t="s">
        <v>1266</v>
      </c>
      <c r="V69" s="257"/>
      <c r="W69" s="26" t="s">
        <v>1231</v>
      </c>
      <c r="X69" s="3">
        <f t="shared" ref="X69:X129" si="26">IF(OR(Q69="Stock to Rack",Q69="From Stock"),-P69,IF(OR(Q69="Rack to Stock",Q69="To Stock"),P69))</f>
        <v>88</v>
      </c>
      <c r="Y69" s="3" t="b">
        <f t="shared" ref="Y69:Y129" si="27">IF(Q69="Rack to Stock",-P69,IF(Q69="Stock to Rack",P69))</f>
        <v>0</v>
      </c>
    </row>
    <row r="70" spans="14:25">
      <c r="N70" s="26" t="s">
        <v>364</v>
      </c>
      <c r="O70" s="26" t="s">
        <v>1236</v>
      </c>
      <c r="P70" s="26">
        <v>73</v>
      </c>
      <c r="Q70" s="26" t="s">
        <v>1233</v>
      </c>
      <c r="R70" s="26" t="s">
        <v>0</v>
      </c>
      <c r="S70" s="29">
        <v>43153</v>
      </c>
      <c r="T70" s="29">
        <v>43157</v>
      </c>
      <c r="U70" s="26" t="s">
        <v>1266</v>
      </c>
      <c r="V70" s="257"/>
      <c r="W70" s="26" t="s">
        <v>1231</v>
      </c>
      <c r="X70" s="3">
        <f t="shared" si="26"/>
        <v>-73</v>
      </c>
      <c r="Y70" s="3">
        <f t="shared" si="27"/>
        <v>73</v>
      </c>
    </row>
    <row r="71" spans="14:25">
      <c r="N71" s="26" t="s">
        <v>364</v>
      </c>
      <c r="O71" s="26" t="s">
        <v>1243</v>
      </c>
      <c r="P71" s="26">
        <v>84</v>
      </c>
      <c r="Q71" s="26" t="s">
        <v>1229</v>
      </c>
      <c r="R71" s="26" t="s">
        <v>364</v>
      </c>
      <c r="S71" s="29">
        <v>43153</v>
      </c>
      <c r="T71" s="29">
        <v>43157</v>
      </c>
      <c r="U71" s="26" t="s">
        <v>1266</v>
      </c>
      <c r="V71" s="257"/>
      <c r="W71" s="26" t="s">
        <v>1231</v>
      </c>
      <c r="X71" s="3">
        <f t="shared" si="26"/>
        <v>84</v>
      </c>
      <c r="Y71" s="3" t="b">
        <f t="shared" si="27"/>
        <v>0</v>
      </c>
    </row>
    <row r="72" spans="14:25">
      <c r="N72" s="26" t="s">
        <v>364</v>
      </c>
      <c r="O72" s="26" t="s">
        <v>1243</v>
      </c>
      <c r="P72" s="26">
        <v>73</v>
      </c>
      <c r="Q72" s="26" t="s">
        <v>1233</v>
      </c>
      <c r="R72" s="26" t="s">
        <v>0</v>
      </c>
      <c r="S72" s="29">
        <v>43153</v>
      </c>
      <c r="T72" s="29">
        <v>43157</v>
      </c>
      <c r="U72" s="26" t="s">
        <v>1266</v>
      </c>
      <c r="V72" s="257"/>
      <c r="W72" s="26" t="s">
        <v>1231</v>
      </c>
      <c r="X72" s="3">
        <f t="shared" si="26"/>
        <v>-73</v>
      </c>
      <c r="Y72" s="3">
        <f t="shared" si="27"/>
        <v>73</v>
      </c>
    </row>
    <row r="73" spans="14:25">
      <c r="N73" s="26" t="s">
        <v>0</v>
      </c>
      <c r="O73" s="26" t="s">
        <v>1267</v>
      </c>
      <c r="P73" s="26">
        <v>82</v>
      </c>
      <c r="Q73" s="26" t="s">
        <v>1229</v>
      </c>
      <c r="R73" s="26" t="s">
        <v>0</v>
      </c>
      <c r="S73" s="29">
        <v>43158</v>
      </c>
      <c r="T73" s="29">
        <v>43158</v>
      </c>
      <c r="U73" s="26" t="s">
        <v>1263</v>
      </c>
      <c r="V73" s="257"/>
      <c r="W73" s="26" t="s">
        <v>1231</v>
      </c>
      <c r="X73" s="3">
        <f t="shared" si="26"/>
        <v>82</v>
      </c>
      <c r="Y73" s="3" t="b">
        <f t="shared" si="27"/>
        <v>0</v>
      </c>
    </row>
    <row r="74" spans="14:25">
      <c r="N74" s="26" t="s">
        <v>0</v>
      </c>
      <c r="O74" s="26" t="s">
        <v>1267</v>
      </c>
      <c r="P74" s="26">
        <v>78</v>
      </c>
      <c r="Q74" s="26" t="s">
        <v>1233</v>
      </c>
      <c r="R74" s="26" t="s">
        <v>0</v>
      </c>
      <c r="S74" s="29">
        <v>43158</v>
      </c>
      <c r="T74" s="29">
        <v>43158</v>
      </c>
      <c r="U74" s="26" t="s">
        <v>1263</v>
      </c>
      <c r="V74" s="257"/>
      <c r="W74" s="26" t="s">
        <v>1231</v>
      </c>
      <c r="X74" s="3">
        <f t="shared" si="26"/>
        <v>-78</v>
      </c>
      <c r="Y74" s="3">
        <f t="shared" si="27"/>
        <v>78</v>
      </c>
    </row>
    <row r="75" spans="14:25">
      <c r="N75" s="26" t="s">
        <v>0</v>
      </c>
      <c r="O75" s="26" t="s">
        <v>1268</v>
      </c>
      <c r="P75" s="26">
        <v>30</v>
      </c>
      <c r="Q75" s="26" t="s">
        <v>1229</v>
      </c>
      <c r="R75" s="26" t="s">
        <v>0</v>
      </c>
      <c r="S75" s="29">
        <v>43158</v>
      </c>
      <c r="T75" s="29">
        <v>43158</v>
      </c>
      <c r="U75" s="26" t="s">
        <v>1263</v>
      </c>
      <c r="V75" s="257"/>
      <c r="W75" s="26" t="s">
        <v>1231</v>
      </c>
      <c r="X75" s="3">
        <f t="shared" si="26"/>
        <v>30</v>
      </c>
      <c r="Y75" s="3" t="b">
        <f t="shared" si="27"/>
        <v>0</v>
      </c>
    </row>
    <row r="76" spans="14:25">
      <c r="N76" s="26" t="s">
        <v>0</v>
      </c>
      <c r="O76" s="26" t="s">
        <v>1268</v>
      </c>
      <c r="P76" s="26">
        <v>30</v>
      </c>
      <c r="Q76" s="26" t="s">
        <v>1233</v>
      </c>
      <c r="R76" s="26" t="s">
        <v>0</v>
      </c>
      <c r="S76" s="29">
        <v>43158</v>
      </c>
      <c r="T76" s="29">
        <v>43158</v>
      </c>
      <c r="U76" s="26" t="s">
        <v>1263</v>
      </c>
      <c r="V76" s="257"/>
      <c r="W76" s="26" t="s">
        <v>1231</v>
      </c>
      <c r="X76" s="3">
        <f t="shared" si="26"/>
        <v>-30</v>
      </c>
      <c r="Y76" s="3">
        <f t="shared" si="27"/>
        <v>30</v>
      </c>
    </row>
    <row r="77" spans="14:25">
      <c r="N77" s="26" t="s">
        <v>336</v>
      </c>
      <c r="O77" s="26" t="s">
        <v>1267</v>
      </c>
      <c r="P77" s="26">
        <v>115</v>
      </c>
      <c r="Q77" s="26" t="s">
        <v>1229</v>
      </c>
      <c r="R77" s="26" t="s">
        <v>0</v>
      </c>
      <c r="S77" s="29">
        <v>43158</v>
      </c>
      <c r="T77" s="29">
        <v>43158</v>
      </c>
      <c r="U77" s="26" t="s">
        <v>1263</v>
      </c>
      <c r="V77" s="257"/>
      <c r="W77" s="26" t="s">
        <v>1231</v>
      </c>
      <c r="X77" s="3">
        <f t="shared" si="26"/>
        <v>115</v>
      </c>
      <c r="Y77" s="3" t="b">
        <f t="shared" si="27"/>
        <v>0</v>
      </c>
    </row>
    <row r="78" spans="14:25">
      <c r="N78" s="26" t="s">
        <v>336</v>
      </c>
      <c r="O78" s="26" t="s">
        <v>1267</v>
      </c>
      <c r="P78" s="26">
        <v>70</v>
      </c>
      <c r="Q78" s="26" t="s">
        <v>1233</v>
      </c>
      <c r="R78" s="26" t="s">
        <v>0</v>
      </c>
      <c r="S78" s="29">
        <v>43158</v>
      </c>
      <c r="T78" s="29">
        <v>43158</v>
      </c>
      <c r="U78" s="26" t="s">
        <v>1263</v>
      </c>
      <c r="V78" s="257"/>
      <c r="W78" s="26" t="s">
        <v>1231</v>
      </c>
      <c r="X78" s="3">
        <f t="shared" si="26"/>
        <v>-70</v>
      </c>
      <c r="Y78" s="3">
        <f t="shared" si="27"/>
        <v>70</v>
      </c>
    </row>
    <row r="79" spans="14:25">
      <c r="N79" s="26" t="s">
        <v>336</v>
      </c>
      <c r="O79" s="26" t="s">
        <v>1268</v>
      </c>
      <c r="P79" s="26">
        <v>42</v>
      </c>
      <c r="Q79" s="26" t="s">
        <v>1229</v>
      </c>
      <c r="R79" s="26" t="s">
        <v>0</v>
      </c>
      <c r="S79" s="29">
        <v>43158</v>
      </c>
      <c r="T79" s="29">
        <v>43158</v>
      </c>
      <c r="U79" s="26" t="s">
        <v>1263</v>
      </c>
      <c r="V79" s="257"/>
      <c r="W79" s="26" t="s">
        <v>1231</v>
      </c>
      <c r="X79" s="3">
        <f t="shared" si="26"/>
        <v>42</v>
      </c>
      <c r="Y79" s="3" t="b">
        <f t="shared" si="27"/>
        <v>0</v>
      </c>
    </row>
    <row r="80" spans="14:25">
      <c r="N80" s="26" t="s">
        <v>336</v>
      </c>
      <c r="O80" s="26" t="s">
        <v>1268</v>
      </c>
      <c r="P80" s="26">
        <v>42</v>
      </c>
      <c r="Q80" s="26" t="s">
        <v>1233</v>
      </c>
      <c r="R80" s="26" t="s">
        <v>0</v>
      </c>
      <c r="S80" s="29">
        <v>43158</v>
      </c>
      <c r="T80" s="29">
        <v>43158</v>
      </c>
      <c r="U80" s="26" t="s">
        <v>1263</v>
      </c>
      <c r="V80" s="257"/>
      <c r="W80" s="26" t="s">
        <v>1231</v>
      </c>
      <c r="X80" s="3">
        <f t="shared" si="26"/>
        <v>-42</v>
      </c>
      <c r="Y80" s="3">
        <f t="shared" si="27"/>
        <v>42</v>
      </c>
    </row>
    <row r="81" spans="14:25">
      <c r="N81" s="26" t="s">
        <v>1244</v>
      </c>
      <c r="O81" s="26" t="s">
        <v>1267</v>
      </c>
      <c r="P81" s="26">
        <v>81</v>
      </c>
      <c r="Q81" s="26" t="s">
        <v>1229</v>
      </c>
      <c r="R81" s="26" t="s">
        <v>0</v>
      </c>
      <c r="S81" s="29">
        <v>43158</v>
      </c>
      <c r="T81" s="29">
        <v>43158</v>
      </c>
      <c r="U81" s="26" t="s">
        <v>1263</v>
      </c>
      <c r="V81" s="257"/>
      <c r="W81" s="26" t="s">
        <v>1231</v>
      </c>
      <c r="X81" s="3">
        <f t="shared" si="26"/>
        <v>81</v>
      </c>
      <c r="Y81" s="3" t="b">
        <f t="shared" si="27"/>
        <v>0</v>
      </c>
    </row>
    <row r="82" spans="14:25">
      <c r="N82" s="26" t="s">
        <v>1244</v>
      </c>
      <c r="O82" s="26" t="s">
        <v>1267</v>
      </c>
      <c r="P82" s="26">
        <v>40</v>
      </c>
      <c r="Q82" s="26" t="s">
        <v>1233</v>
      </c>
      <c r="R82" s="26" t="s">
        <v>0</v>
      </c>
      <c r="S82" s="29">
        <v>43158</v>
      </c>
      <c r="T82" s="29">
        <v>43158</v>
      </c>
      <c r="U82" s="26" t="s">
        <v>1263</v>
      </c>
      <c r="V82" s="257"/>
      <c r="W82" s="26" t="s">
        <v>1231</v>
      </c>
      <c r="X82" s="3">
        <f t="shared" si="26"/>
        <v>-40</v>
      </c>
      <c r="Y82" s="3">
        <f t="shared" si="27"/>
        <v>40</v>
      </c>
    </row>
    <row r="83" spans="14:25">
      <c r="N83" s="26" t="s">
        <v>1244</v>
      </c>
      <c r="O83" s="26" t="s">
        <v>1268</v>
      </c>
      <c r="P83" s="26">
        <v>43</v>
      </c>
      <c r="Q83" s="26" t="s">
        <v>1229</v>
      </c>
      <c r="R83" s="26" t="s">
        <v>0</v>
      </c>
      <c r="S83" s="29">
        <v>43158</v>
      </c>
      <c r="T83" s="29">
        <v>43158</v>
      </c>
      <c r="U83" s="26" t="s">
        <v>1263</v>
      </c>
      <c r="V83" s="257"/>
      <c r="W83" s="26" t="s">
        <v>1231</v>
      </c>
      <c r="X83" s="3">
        <f t="shared" si="26"/>
        <v>43</v>
      </c>
      <c r="Y83" s="3" t="b">
        <f t="shared" si="27"/>
        <v>0</v>
      </c>
    </row>
    <row r="84" spans="14:25">
      <c r="N84" s="26" t="s">
        <v>1244</v>
      </c>
      <c r="O84" s="26" t="s">
        <v>1268</v>
      </c>
      <c r="P84" s="26">
        <v>33</v>
      </c>
      <c r="Q84" s="26" t="s">
        <v>1233</v>
      </c>
      <c r="R84" s="26" t="s">
        <v>0</v>
      </c>
      <c r="S84" s="29">
        <v>43158</v>
      </c>
      <c r="T84" s="29">
        <v>43158</v>
      </c>
      <c r="U84" s="26" t="s">
        <v>1263</v>
      </c>
      <c r="V84" s="257"/>
      <c r="W84" s="26" t="s">
        <v>1231</v>
      </c>
      <c r="X84" s="3">
        <f t="shared" si="26"/>
        <v>-33</v>
      </c>
      <c r="Y84" s="3">
        <f t="shared" si="27"/>
        <v>33</v>
      </c>
    </row>
    <row r="85" spans="14:25">
      <c r="N85" s="26" t="s">
        <v>336</v>
      </c>
      <c r="O85" s="26" t="s">
        <v>1242</v>
      </c>
      <c r="P85" s="26">
        <v>15</v>
      </c>
      <c r="Q85" s="26" t="s">
        <v>1229</v>
      </c>
      <c r="R85" s="26" t="s">
        <v>0</v>
      </c>
      <c r="S85" s="29">
        <v>43158</v>
      </c>
      <c r="T85" s="29">
        <v>43158</v>
      </c>
      <c r="U85" s="26" t="s">
        <v>1263</v>
      </c>
      <c r="V85" s="257"/>
      <c r="W85" s="26" t="s">
        <v>1231</v>
      </c>
      <c r="X85" s="3">
        <f t="shared" si="26"/>
        <v>15</v>
      </c>
      <c r="Y85" s="3" t="b">
        <f t="shared" si="27"/>
        <v>0</v>
      </c>
    </row>
    <row r="86" spans="14:25">
      <c r="N86" s="26" t="s">
        <v>336</v>
      </c>
      <c r="O86" s="26" t="s">
        <v>1242</v>
      </c>
      <c r="P86" s="26">
        <v>15</v>
      </c>
      <c r="Q86" s="26" t="s">
        <v>1233</v>
      </c>
      <c r="R86" s="26" t="s">
        <v>336</v>
      </c>
      <c r="S86" s="29">
        <v>43158</v>
      </c>
      <c r="T86" s="29">
        <v>43158</v>
      </c>
      <c r="U86" s="26" t="s">
        <v>1263</v>
      </c>
      <c r="V86" s="257"/>
      <c r="W86" s="26" t="s">
        <v>1231</v>
      </c>
      <c r="X86" s="3">
        <f t="shared" si="26"/>
        <v>-15</v>
      </c>
      <c r="Y86" s="3">
        <f t="shared" si="27"/>
        <v>15</v>
      </c>
    </row>
    <row r="87" spans="14:25">
      <c r="N87" s="26" t="s">
        <v>1244</v>
      </c>
      <c r="O87" s="26" t="s">
        <v>1242</v>
      </c>
      <c r="P87" s="26">
        <v>14</v>
      </c>
      <c r="Q87" s="26" t="s">
        <v>1229</v>
      </c>
      <c r="R87" s="26" t="s">
        <v>0</v>
      </c>
      <c r="S87" s="29">
        <v>43158</v>
      </c>
      <c r="T87" s="29">
        <v>43158</v>
      </c>
      <c r="U87" s="26" t="s">
        <v>1263</v>
      </c>
      <c r="V87" s="257"/>
      <c r="W87" s="26" t="s">
        <v>1231</v>
      </c>
      <c r="X87" s="3">
        <f t="shared" si="26"/>
        <v>14</v>
      </c>
      <c r="Y87" s="3" t="b">
        <f t="shared" si="27"/>
        <v>0</v>
      </c>
    </row>
    <row r="88" spans="14:25">
      <c r="N88" s="26" t="s">
        <v>1244</v>
      </c>
      <c r="O88" s="26" t="s">
        <v>1242</v>
      </c>
      <c r="P88" s="26">
        <v>14</v>
      </c>
      <c r="Q88" s="26" t="s">
        <v>1233</v>
      </c>
      <c r="R88" s="26" t="s">
        <v>336</v>
      </c>
      <c r="S88" s="29">
        <v>43158</v>
      </c>
      <c r="T88" s="29">
        <v>43158</v>
      </c>
      <c r="U88" s="26" t="s">
        <v>1263</v>
      </c>
      <c r="V88" s="257"/>
      <c r="W88" s="26" t="s">
        <v>1231</v>
      </c>
      <c r="X88" s="3">
        <f t="shared" si="26"/>
        <v>-14</v>
      </c>
      <c r="Y88" s="3">
        <f t="shared" si="27"/>
        <v>14</v>
      </c>
    </row>
    <row r="89" spans="14:25">
      <c r="N89" s="26" t="s">
        <v>364</v>
      </c>
      <c r="O89" s="26" t="s">
        <v>1267</v>
      </c>
      <c r="P89" s="26">
        <v>79</v>
      </c>
      <c r="Q89" s="26" t="s">
        <v>1229</v>
      </c>
      <c r="R89" s="26" t="s">
        <v>0</v>
      </c>
      <c r="S89" s="29">
        <v>43158</v>
      </c>
      <c r="T89" s="29">
        <v>43158</v>
      </c>
      <c r="U89" s="26" t="s">
        <v>1263</v>
      </c>
      <c r="V89" s="257"/>
      <c r="W89" s="26" t="s">
        <v>1231</v>
      </c>
      <c r="X89" s="3">
        <f t="shared" si="26"/>
        <v>79</v>
      </c>
      <c r="Y89" s="3" t="b">
        <f t="shared" si="27"/>
        <v>0</v>
      </c>
    </row>
    <row r="90" spans="14:25">
      <c r="N90" s="26" t="s">
        <v>364</v>
      </c>
      <c r="O90" s="26" t="s">
        <v>1267</v>
      </c>
      <c r="P90" s="26">
        <v>66</v>
      </c>
      <c r="Q90" s="26" t="s">
        <v>1233</v>
      </c>
      <c r="R90" s="26" t="s">
        <v>0</v>
      </c>
      <c r="S90" s="29">
        <v>43158</v>
      </c>
      <c r="T90" s="29">
        <v>43158</v>
      </c>
      <c r="U90" s="26" t="s">
        <v>1263</v>
      </c>
      <c r="V90" s="257"/>
      <c r="W90" s="26" t="s">
        <v>1231</v>
      </c>
      <c r="X90" s="3">
        <f t="shared" si="26"/>
        <v>-66</v>
      </c>
      <c r="Y90" s="3">
        <f t="shared" si="27"/>
        <v>66</v>
      </c>
    </row>
    <row r="91" spans="14:25">
      <c r="N91" s="26" t="s">
        <v>364</v>
      </c>
      <c r="O91" s="26" t="s">
        <v>1268</v>
      </c>
      <c r="P91" s="26">
        <v>42</v>
      </c>
      <c r="Q91" s="26" t="s">
        <v>1229</v>
      </c>
      <c r="R91" s="26" t="s">
        <v>0</v>
      </c>
      <c r="S91" s="29">
        <v>43158</v>
      </c>
      <c r="T91" s="29">
        <v>43158</v>
      </c>
      <c r="U91" s="26" t="s">
        <v>1263</v>
      </c>
      <c r="V91" s="257"/>
      <c r="W91" s="26" t="s">
        <v>1231</v>
      </c>
      <c r="X91" s="3">
        <f t="shared" si="26"/>
        <v>42</v>
      </c>
      <c r="Y91" s="3" t="b">
        <f t="shared" si="27"/>
        <v>0</v>
      </c>
    </row>
    <row r="92" spans="14:25">
      <c r="N92" s="26" t="s">
        <v>364</v>
      </c>
      <c r="O92" s="26" t="s">
        <v>1268</v>
      </c>
      <c r="P92" s="26">
        <v>42</v>
      </c>
      <c r="Q92" s="26" t="s">
        <v>1233</v>
      </c>
      <c r="R92" s="26" t="s">
        <v>0</v>
      </c>
      <c r="S92" s="29">
        <v>43158</v>
      </c>
      <c r="T92" s="29">
        <v>43158</v>
      </c>
      <c r="U92" s="26" t="s">
        <v>1263</v>
      </c>
      <c r="V92" s="257"/>
      <c r="W92" s="26" t="s">
        <v>1231</v>
      </c>
      <c r="X92" s="3">
        <f t="shared" si="26"/>
        <v>-42</v>
      </c>
      <c r="Y92" s="3">
        <f t="shared" si="27"/>
        <v>42</v>
      </c>
    </row>
    <row r="93" spans="14:25">
      <c r="N93" s="26" t="s">
        <v>1245</v>
      </c>
      <c r="O93" s="26" t="s">
        <v>1228</v>
      </c>
      <c r="P93" s="26">
        <v>9</v>
      </c>
      <c r="Q93" s="26" t="s">
        <v>1229</v>
      </c>
      <c r="R93" s="26" t="s">
        <v>364</v>
      </c>
      <c r="S93" s="29">
        <v>43158</v>
      </c>
      <c r="T93" s="29">
        <v>43158</v>
      </c>
      <c r="U93" s="26" t="s">
        <v>1263</v>
      </c>
      <c r="V93" s="257"/>
      <c r="W93" s="26" t="s">
        <v>1269</v>
      </c>
      <c r="X93" s="3">
        <f t="shared" si="26"/>
        <v>9</v>
      </c>
      <c r="Y93" s="3" t="b">
        <f t="shared" si="27"/>
        <v>0</v>
      </c>
    </row>
    <row r="94" spans="14:25">
      <c r="N94" s="26" t="s">
        <v>1245</v>
      </c>
      <c r="O94" s="26" t="s">
        <v>1228</v>
      </c>
      <c r="P94" s="26">
        <v>9</v>
      </c>
      <c r="Q94" s="26" t="s">
        <v>1233</v>
      </c>
      <c r="R94" s="26" t="s">
        <v>364</v>
      </c>
      <c r="S94" s="29">
        <v>43158</v>
      </c>
      <c r="T94" s="29">
        <v>43158</v>
      </c>
      <c r="U94" s="26" t="s">
        <v>1263</v>
      </c>
      <c r="V94" s="257"/>
      <c r="W94" s="26" t="s">
        <v>1269</v>
      </c>
      <c r="X94" s="3">
        <f t="shared" si="26"/>
        <v>-9</v>
      </c>
      <c r="Y94" s="3">
        <f t="shared" si="27"/>
        <v>9</v>
      </c>
    </row>
    <row r="95" spans="14:25">
      <c r="N95" s="26" t="s">
        <v>203</v>
      </c>
      <c r="O95" s="26" t="s">
        <v>1267</v>
      </c>
      <c r="P95" s="26">
        <v>375</v>
      </c>
      <c r="Q95" s="26" t="s">
        <v>1229</v>
      </c>
      <c r="R95" s="26" t="s">
        <v>0</v>
      </c>
      <c r="S95" s="29">
        <v>43158</v>
      </c>
      <c r="T95" s="29">
        <v>43158</v>
      </c>
      <c r="U95" s="26" t="s">
        <v>1263</v>
      </c>
      <c r="V95" s="257"/>
      <c r="W95" s="26" t="s">
        <v>1231</v>
      </c>
      <c r="X95" s="3">
        <f t="shared" si="26"/>
        <v>375</v>
      </c>
      <c r="Y95" s="3" t="b">
        <f t="shared" si="27"/>
        <v>0</v>
      </c>
    </row>
    <row r="96" spans="14:25">
      <c r="N96" s="26" t="s">
        <v>203</v>
      </c>
      <c r="O96" s="26" t="s">
        <v>1267</v>
      </c>
      <c r="P96" s="26">
        <v>233</v>
      </c>
      <c r="Q96" s="26" t="s">
        <v>1233</v>
      </c>
      <c r="R96" s="26" t="s">
        <v>0</v>
      </c>
      <c r="S96" s="29">
        <v>43158</v>
      </c>
      <c r="T96" s="29">
        <v>43158</v>
      </c>
      <c r="U96" s="26" t="s">
        <v>1263</v>
      </c>
      <c r="V96" s="257"/>
      <c r="W96" s="26" t="s">
        <v>1231</v>
      </c>
      <c r="X96" s="3">
        <f t="shared" si="26"/>
        <v>-233</v>
      </c>
      <c r="Y96" s="3">
        <f t="shared" si="27"/>
        <v>233</v>
      </c>
    </row>
    <row r="97" spans="14:25">
      <c r="N97" s="26" t="s">
        <v>203</v>
      </c>
      <c r="O97" s="26" t="s">
        <v>1268</v>
      </c>
      <c r="P97" s="26">
        <v>70</v>
      </c>
      <c r="Q97" s="26" t="s">
        <v>1229</v>
      </c>
      <c r="R97" s="26" t="s">
        <v>0</v>
      </c>
      <c r="S97" s="29">
        <v>43158</v>
      </c>
      <c r="T97" s="29">
        <v>43158</v>
      </c>
      <c r="U97" s="26" t="s">
        <v>1263</v>
      </c>
      <c r="V97" s="257"/>
      <c r="W97" s="26" t="s">
        <v>1231</v>
      </c>
      <c r="X97" s="3">
        <f t="shared" si="26"/>
        <v>70</v>
      </c>
      <c r="Y97" s="3" t="b">
        <f t="shared" si="27"/>
        <v>0</v>
      </c>
    </row>
    <row r="98" spans="14:25">
      <c r="N98" s="26" t="s">
        <v>203</v>
      </c>
      <c r="O98" s="26" t="s">
        <v>1268</v>
      </c>
      <c r="P98" s="26">
        <v>70</v>
      </c>
      <c r="Q98" s="26" t="s">
        <v>1233</v>
      </c>
      <c r="R98" s="26" t="s">
        <v>0</v>
      </c>
      <c r="S98" s="29">
        <v>43158</v>
      </c>
      <c r="T98" s="29">
        <v>43158</v>
      </c>
      <c r="U98" s="26" t="s">
        <v>1263</v>
      </c>
      <c r="V98" s="257"/>
      <c r="W98" s="26" t="s">
        <v>1231</v>
      </c>
      <c r="X98" s="3">
        <f t="shared" si="26"/>
        <v>-70</v>
      </c>
      <c r="Y98" s="3">
        <f t="shared" si="27"/>
        <v>70</v>
      </c>
    </row>
    <row r="99" spans="14:25">
      <c r="N99" s="26" t="s">
        <v>1245</v>
      </c>
      <c r="O99" s="26" t="s">
        <v>1228</v>
      </c>
      <c r="P99" s="26">
        <v>32</v>
      </c>
      <c r="Q99" s="26" t="s">
        <v>1229</v>
      </c>
      <c r="R99" s="26" t="s">
        <v>364</v>
      </c>
      <c r="S99" s="29">
        <v>43158</v>
      </c>
      <c r="T99" s="29">
        <v>43158</v>
      </c>
      <c r="U99" s="26" t="s">
        <v>1263</v>
      </c>
      <c r="V99" s="257"/>
      <c r="W99" s="26" t="s">
        <v>1270</v>
      </c>
      <c r="X99" s="3">
        <f t="shared" si="26"/>
        <v>32</v>
      </c>
      <c r="Y99" s="3" t="b">
        <f t="shared" si="27"/>
        <v>0</v>
      </c>
    </row>
    <row r="100" spans="14:25">
      <c r="N100" s="26" t="s">
        <v>1245</v>
      </c>
      <c r="O100" s="26" t="s">
        <v>1228</v>
      </c>
      <c r="P100" s="26">
        <v>32</v>
      </c>
      <c r="Q100" s="26" t="s">
        <v>1233</v>
      </c>
      <c r="R100" s="26" t="s">
        <v>364</v>
      </c>
      <c r="S100" s="29">
        <v>43158</v>
      </c>
      <c r="T100" s="29">
        <v>43158</v>
      </c>
      <c r="U100" s="26" t="s">
        <v>1263</v>
      </c>
      <c r="V100" s="257"/>
      <c r="W100" s="26" t="s">
        <v>1270</v>
      </c>
      <c r="X100" s="3">
        <f t="shared" si="26"/>
        <v>-32</v>
      </c>
      <c r="Y100" s="3">
        <f t="shared" si="27"/>
        <v>32</v>
      </c>
    </row>
    <row r="101" spans="14:25">
      <c r="N101" s="26" t="s">
        <v>1245</v>
      </c>
      <c r="O101" s="26" t="s">
        <v>1234</v>
      </c>
      <c r="P101" s="26">
        <v>32</v>
      </c>
      <c r="Q101" s="26" t="s">
        <v>1229</v>
      </c>
      <c r="R101" s="26" t="s">
        <v>364</v>
      </c>
      <c r="S101" s="29">
        <v>43158</v>
      </c>
      <c r="T101" s="29">
        <v>43158</v>
      </c>
      <c r="U101" s="26" t="s">
        <v>1263</v>
      </c>
      <c r="V101" s="257"/>
      <c r="W101" s="26" t="s">
        <v>1270</v>
      </c>
      <c r="X101" s="3">
        <f t="shared" si="26"/>
        <v>32</v>
      </c>
      <c r="Y101" s="3" t="b">
        <f t="shared" si="27"/>
        <v>0</v>
      </c>
    </row>
    <row r="102" spans="14:25">
      <c r="N102" s="26" t="s">
        <v>1245</v>
      </c>
      <c r="O102" s="26" t="s">
        <v>1234</v>
      </c>
      <c r="P102" s="26">
        <v>32</v>
      </c>
      <c r="Q102" s="26" t="s">
        <v>1233</v>
      </c>
      <c r="R102" s="26" t="s">
        <v>364</v>
      </c>
      <c r="S102" s="29">
        <v>43158</v>
      </c>
      <c r="T102" s="29">
        <v>43158</v>
      </c>
      <c r="U102" s="26" t="s">
        <v>1263</v>
      </c>
      <c r="V102" s="257"/>
      <c r="W102" s="26" t="s">
        <v>1270</v>
      </c>
      <c r="X102" s="3">
        <f t="shared" si="26"/>
        <v>-32</v>
      </c>
      <c r="Y102" s="3">
        <f t="shared" si="27"/>
        <v>32</v>
      </c>
    </row>
    <row r="103" spans="14:25">
      <c r="N103" s="26" t="s">
        <v>1245</v>
      </c>
      <c r="O103" s="26" t="s">
        <v>1236</v>
      </c>
      <c r="P103" s="26">
        <v>32</v>
      </c>
      <c r="Q103" s="26" t="s">
        <v>1229</v>
      </c>
      <c r="R103" s="26" t="s">
        <v>364</v>
      </c>
      <c r="S103" s="29">
        <v>43158</v>
      </c>
      <c r="T103" s="29">
        <v>43158</v>
      </c>
      <c r="U103" s="26" t="s">
        <v>1263</v>
      </c>
      <c r="V103" s="257"/>
      <c r="W103" s="26" t="s">
        <v>1270</v>
      </c>
      <c r="X103" s="3">
        <f t="shared" si="26"/>
        <v>32</v>
      </c>
      <c r="Y103" s="3" t="b">
        <f t="shared" si="27"/>
        <v>0</v>
      </c>
    </row>
    <row r="104" spans="14:25">
      <c r="N104" s="26" t="s">
        <v>1245</v>
      </c>
      <c r="O104" s="26" t="s">
        <v>1236</v>
      </c>
      <c r="P104" s="26">
        <v>32</v>
      </c>
      <c r="Q104" s="26" t="s">
        <v>1233</v>
      </c>
      <c r="R104" s="26" t="s">
        <v>364</v>
      </c>
      <c r="S104" s="29">
        <v>43158</v>
      </c>
      <c r="T104" s="29">
        <v>43158</v>
      </c>
      <c r="U104" s="26" t="s">
        <v>1263</v>
      </c>
      <c r="V104" s="257"/>
      <c r="W104" s="26" t="s">
        <v>1270</v>
      </c>
      <c r="X104" s="3">
        <f t="shared" si="26"/>
        <v>-32</v>
      </c>
      <c r="Y104" s="3">
        <f t="shared" si="27"/>
        <v>32</v>
      </c>
    </row>
    <row r="105" spans="14:25">
      <c r="N105" s="26" t="s">
        <v>1245</v>
      </c>
      <c r="O105" s="26" t="s">
        <v>1267</v>
      </c>
      <c r="P105" s="26">
        <v>32</v>
      </c>
      <c r="Q105" s="26" t="s">
        <v>1229</v>
      </c>
      <c r="R105" s="26" t="s">
        <v>364</v>
      </c>
      <c r="S105" s="29">
        <v>43158</v>
      </c>
      <c r="T105" s="29">
        <v>43158</v>
      </c>
      <c r="U105" s="26" t="s">
        <v>1263</v>
      </c>
      <c r="V105" s="257"/>
      <c r="W105" s="26" t="s">
        <v>1270</v>
      </c>
      <c r="X105" s="3">
        <f t="shared" si="26"/>
        <v>32</v>
      </c>
      <c r="Y105" s="3" t="b">
        <f t="shared" si="27"/>
        <v>0</v>
      </c>
    </row>
    <row r="106" spans="14:25">
      <c r="N106" s="26" t="s">
        <v>1245</v>
      </c>
      <c r="O106" s="26" t="s">
        <v>1267</v>
      </c>
      <c r="P106" s="26">
        <v>32</v>
      </c>
      <c r="Q106" s="26" t="s">
        <v>1233</v>
      </c>
      <c r="R106" s="26" t="s">
        <v>364</v>
      </c>
      <c r="S106" s="29">
        <v>43158</v>
      </c>
      <c r="T106" s="29">
        <v>43158</v>
      </c>
      <c r="U106" s="26" t="s">
        <v>1263</v>
      </c>
      <c r="V106" s="257"/>
      <c r="W106" s="26" t="s">
        <v>1270</v>
      </c>
      <c r="X106" s="3">
        <f t="shared" si="26"/>
        <v>-32</v>
      </c>
      <c r="Y106" s="3">
        <f t="shared" si="27"/>
        <v>32</v>
      </c>
    </row>
    <row r="107" spans="14:25">
      <c r="N107" s="26" t="s">
        <v>1245</v>
      </c>
      <c r="O107" s="26" t="s">
        <v>1238</v>
      </c>
      <c r="P107" s="26">
        <v>32</v>
      </c>
      <c r="Q107" s="26" t="s">
        <v>1229</v>
      </c>
      <c r="R107" s="26" t="s">
        <v>364</v>
      </c>
      <c r="S107" s="29">
        <v>43158</v>
      </c>
      <c r="T107" s="29">
        <v>43158</v>
      </c>
      <c r="U107" s="26" t="s">
        <v>1263</v>
      </c>
      <c r="V107" s="257"/>
      <c r="W107" s="26" t="s">
        <v>1270</v>
      </c>
      <c r="X107" s="3">
        <f t="shared" si="26"/>
        <v>32</v>
      </c>
      <c r="Y107" s="3" t="b">
        <f t="shared" si="27"/>
        <v>0</v>
      </c>
    </row>
    <row r="108" spans="14:25">
      <c r="N108" s="26" t="s">
        <v>1245</v>
      </c>
      <c r="O108" s="26" t="s">
        <v>1238</v>
      </c>
      <c r="P108" s="26">
        <v>32</v>
      </c>
      <c r="Q108" s="26" t="s">
        <v>1233</v>
      </c>
      <c r="R108" s="26" t="s">
        <v>364</v>
      </c>
      <c r="S108" s="29">
        <v>43158</v>
      </c>
      <c r="T108" s="29">
        <v>43158</v>
      </c>
      <c r="U108" s="26" t="s">
        <v>1263</v>
      </c>
      <c r="V108" s="257"/>
      <c r="W108" s="26" t="s">
        <v>1270</v>
      </c>
      <c r="X108" s="3">
        <f t="shared" si="26"/>
        <v>-32</v>
      </c>
      <c r="Y108" s="3">
        <f t="shared" si="27"/>
        <v>32</v>
      </c>
    </row>
    <row r="109" spans="14:25">
      <c r="N109" s="26" t="s">
        <v>1245</v>
      </c>
      <c r="O109" s="26" t="s">
        <v>1237</v>
      </c>
      <c r="P109" s="26">
        <v>64</v>
      </c>
      <c r="Q109" s="26" t="s">
        <v>1229</v>
      </c>
      <c r="R109" s="26" t="s">
        <v>364</v>
      </c>
      <c r="S109" s="29">
        <v>43158</v>
      </c>
      <c r="T109" s="29">
        <v>43158</v>
      </c>
      <c r="U109" s="26" t="s">
        <v>1263</v>
      </c>
      <c r="V109" s="257"/>
      <c r="W109" s="26" t="s">
        <v>1270</v>
      </c>
      <c r="X109" s="3">
        <f t="shared" si="26"/>
        <v>64</v>
      </c>
      <c r="Y109" s="3" t="b">
        <f t="shared" si="27"/>
        <v>0</v>
      </c>
    </row>
    <row r="110" spans="14:25">
      <c r="N110" s="26" t="s">
        <v>1245</v>
      </c>
      <c r="O110" s="26" t="s">
        <v>1237</v>
      </c>
      <c r="P110" s="26">
        <v>64</v>
      </c>
      <c r="Q110" s="26" t="s">
        <v>1233</v>
      </c>
      <c r="R110" s="26" t="s">
        <v>364</v>
      </c>
      <c r="S110" s="29">
        <v>43158</v>
      </c>
      <c r="T110" s="29">
        <v>43158</v>
      </c>
      <c r="U110" s="26" t="s">
        <v>1263</v>
      </c>
      <c r="V110" s="257"/>
      <c r="W110" s="26" t="s">
        <v>1270</v>
      </c>
      <c r="X110" s="3">
        <f t="shared" si="26"/>
        <v>-64</v>
      </c>
      <c r="Y110" s="3">
        <f t="shared" si="27"/>
        <v>64</v>
      </c>
    </row>
    <row r="111" spans="14:25">
      <c r="N111" s="26" t="s">
        <v>1245</v>
      </c>
      <c r="O111" s="26" t="s">
        <v>1235</v>
      </c>
      <c r="P111" s="26">
        <v>32</v>
      </c>
      <c r="Q111" s="26" t="s">
        <v>1229</v>
      </c>
      <c r="R111" s="26" t="s">
        <v>364</v>
      </c>
      <c r="S111" s="29">
        <v>43158</v>
      </c>
      <c r="T111" s="29">
        <v>43158</v>
      </c>
      <c r="U111" s="26" t="s">
        <v>1263</v>
      </c>
      <c r="V111" s="257"/>
      <c r="W111" s="26" t="s">
        <v>1270</v>
      </c>
      <c r="X111" s="3">
        <f t="shared" si="26"/>
        <v>32</v>
      </c>
      <c r="Y111" s="3" t="b">
        <f t="shared" si="27"/>
        <v>0</v>
      </c>
    </row>
    <row r="112" spans="14:25">
      <c r="N112" s="26" t="s">
        <v>1245</v>
      </c>
      <c r="O112" s="26" t="s">
        <v>1235</v>
      </c>
      <c r="P112" s="26">
        <v>32</v>
      </c>
      <c r="Q112" s="26" t="s">
        <v>1233</v>
      </c>
      <c r="R112" s="26" t="s">
        <v>364</v>
      </c>
      <c r="S112" s="29">
        <v>43158</v>
      </c>
      <c r="T112" s="29">
        <v>43158</v>
      </c>
      <c r="U112" s="26" t="s">
        <v>1263</v>
      </c>
      <c r="V112" s="257"/>
      <c r="W112" s="26" t="s">
        <v>1270</v>
      </c>
      <c r="X112" s="3">
        <f t="shared" si="26"/>
        <v>-32</v>
      </c>
      <c r="Y112" s="3">
        <f t="shared" si="27"/>
        <v>32</v>
      </c>
    </row>
    <row r="113" spans="14:25">
      <c r="N113" s="26" t="s">
        <v>1245</v>
      </c>
      <c r="O113" s="26" t="s">
        <v>1268</v>
      </c>
      <c r="P113" s="26">
        <v>9</v>
      </c>
      <c r="Q113" s="26" t="s">
        <v>1229</v>
      </c>
      <c r="R113" s="26" t="s">
        <v>364</v>
      </c>
      <c r="S113" s="29">
        <v>43158</v>
      </c>
      <c r="T113" s="29">
        <v>43158</v>
      </c>
      <c r="U113" s="26" t="s">
        <v>1263</v>
      </c>
      <c r="V113" s="257"/>
      <c r="W113" s="26" t="s">
        <v>1269</v>
      </c>
      <c r="X113" s="3">
        <f t="shared" si="26"/>
        <v>9</v>
      </c>
      <c r="Y113" s="3" t="b">
        <f t="shared" si="27"/>
        <v>0</v>
      </c>
    </row>
    <row r="114" spans="14:25">
      <c r="N114" s="26" t="s">
        <v>1245</v>
      </c>
      <c r="O114" s="26" t="s">
        <v>1268</v>
      </c>
      <c r="P114" s="26">
        <v>9</v>
      </c>
      <c r="Q114" s="26" t="s">
        <v>1233</v>
      </c>
      <c r="R114" s="26" t="s">
        <v>364</v>
      </c>
      <c r="S114" s="29">
        <v>43158</v>
      </c>
      <c r="T114" s="29">
        <v>43158</v>
      </c>
      <c r="U114" s="26" t="s">
        <v>1263</v>
      </c>
      <c r="V114" s="257"/>
      <c r="W114" s="26" t="s">
        <v>1269</v>
      </c>
      <c r="X114" s="3">
        <f t="shared" si="26"/>
        <v>-9</v>
      </c>
      <c r="Y114" s="3">
        <f t="shared" si="27"/>
        <v>9</v>
      </c>
    </row>
    <row r="115" spans="14:25">
      <c r="N115" s="26" t="s">
        <v>1245</v>
      </c>
      <c r="O115" s="26" t="s">
        <v>1235</v>
      </c>
      <c r="P115" s="26">
        <v>9</v>
      </c>
      <c r="Q115" s="26" t="s">
        <v>1229</v>
      </c>
      <c r="R115" s="26" t="s">
        <v>364</v>
      </c>
      <c r="S115" s="29">
        <v>43158</v>
      </c>
      <c r="T115" s="29">
        <v>43158</v>
      </c>
      <c r="U115" s="26" t="s">
        <v>1263</v>
      </c>
      <c r="V115" s="257"/>
      <c r="W115" s="26" t="s">
        <v>1269</v>
      </c>
      <c r="X115" s="3">
        <f t="shared" si="26"/>
        <v>9</v>
      </c>
      <c r="Y115" s="3" t="b">
        <f t="shared" si="27"/>
        <v>0</v>
      </c>
    </row>
    <row r="116" spans="14:25">
      <c r="N116" s="26" t="s">
        <v>1245</v>
      </c>
      <c r="O116" s="26" t="s">
        <v>1235</v>
      </c>
      <c r="P116" s="26">
        <v>9</v>
      </c>
      <c r="Q116" s="26" t="s">
        <v>1233</v>
      </c>
      <c r="R116" s="26" t="s">
        <v>364</v>
      </c>
      <c r="S116" s="29">
        <v>43158</v>
      </c>
      <c r="T116" s="29">
        <v>43158</v>
      </c>
      <c r="U116" s="26" t="s">
        <v>1263</v>
      </c>
      <c r="V116" s="257"/>
      <c r="W116" s="26" t="s">
        <v>1269</v>
      </c>
      <c r="X116" s="3">
        <f t="shared" si="26"/>
        <v>-9</v>
      </c>
      <c r="Y116" s="3">
        <f t="shared" si="27"/>
        <v>9</v>
      </c>
    </row>
    <row r="117" spans="14:25">
      <c r="N117" s="26" t="s">
        <v>1245</v>
      </c>
      <c r="O117" s="26" t="s">
        <v>1234</v>
      </c>
      <c r="P117" s="26">
        <v>9</v>
      </c>
      <c r="Q117" s="26" t="s">
        <v>1229</v>
      </c>
      <c r="R117" s="26" t="s">
        <v>364</v>
      </c>
      <c r="S117" s="29">
        <v>43158</v>
      </c>
      <c r="T117" s="29">
        <v>43158</v>
      </c>
      <c r="U117" s="26" t="s">
        <v>1263</v>
      </c>
      <c r="V117" s="257"/>
      <c r="W117" s="26" t="s">
        <v>1269</v>
      </c>
      <c r="X117" s="3">
        <f t="shared" si="26"/>
        <v>9</v>
      </c>
      <c r="Y117" s="3" t="b">
        <f t="shared" si="27"/>
        <v>0</v>
      </c>
    </row>
    <row r="118" spans="14:25">
      <c r="N118" s="26" t="s">
        <v>1245</v>
      </c>
      <c r="O118" s="26" t="s">
        <v>1234</v>
      </c>
      <c r="P118" s="26">
        <v>9</v>
      </c>
      <c r="Q118" s="26" t="s">
        <v>1233</v>
      </c>
      <c r="R118" s="26" t="s">
        <v>364</v>
      </c>
      <c r="S118" s="29">
        <v>43158</v>
      </c>
      <c r="T118" s="29">
        <v>43158</v>
      </c>
      <c r="U118" s="26" t="s">
        <v>1263</v>
      </c>
      <c r="V118" s="257"/>
      <c r="W118" s="26" t="s">
        <v>1269</v>
      </c>
      <c r="X118" s="3">
        <f t="shared" si="26"/>
        <v>-9</v>
      </c>
      <c r="Y118" s="3">
        <f t="shared" si="27"/>
        <v>9</v>
      </c>
    </row>
    <row r="119" spans="14:25">
      <c r="N119" s="26" t="s">
        <v>1245</v>
      </c>
      <c r="O119" s="26" t="s">
        <v>1238</v>
      </c>
      <c r="P119" s="26">
        <v>9</v>
      </c>
      <c r="Q119" s="26" t="s">
        <v>1229</v>
      </c>
      <c r="R119" s="26" t="s">
        <v>364</v>
      </c>
      <c r="S119" s="29">
        <v>43158</v>
      </c>
      <c r="T119" s="29">
        <v>43158</v>
      </c>
      <c r="U119" s="26" t="s">
        <v>1263</v>
      </c>
      <c r="V119" s="257"/>
      <c r="W119" s="26" t="s">
        <v>1269</v>
      </c>
      <c r="X119" s="3">
        <f t="shared" si="26"/>
        <v>9</v>
      </c>
      <c r="Y119" s="3" t="b">
        <f t="shared" si="27"/>
        <v>0</v>
      </c>
    </row>
    <row r="120" spans="14:25">
      <c r="N120" s="26" t="s">
        <v>1245</v>
      </c>
      <c r="O120" s="26" t="s">
        <v>1238</v>
      </c>
      <c r="P120" s="26">
        <v>9</v>
      </c>
      <c r="Q120" s="26" t="s">
        <v>1233</v>
      </c>
      <c r="R120" s="26" t="s">
        <v>364</v>
      </c>
      <c r="S120" s="29">
        <v>43158</v>
      </c>
      <c r="T120" s="29">
        <v>43158</v>
      </c>
      <c r="U120" s="26" t="s">
        <v>1263</v>
      </c>
      <c r="V120" s="257"/>
      <c r="W120" s="26" t="s">
        <v>1269</v>
      </c>
      <c r="X120" s="3">
        <f t="shared" si="26"/>
        <v>-9</v>
      </c>
      <c r="Y120" s="3">
        <f t="shared" si="27"/>
        <v>9</v>
      </c>
    </row>
    <row r="121" spans="14:25">
      <c r="N121" s="26" t="s">
        <v>1245</v>
      </c>
      <c r="O121" s="26" t="s">
        <v>1237</v>
      </c>
      <c r="P121" s="26">
        <v>18</v>
      </c>
      <c r="Q121" s="26" t="s">
        <v>1229</v>
      </c>
      <c r="R121" s="26" t="s">
        <v>364</v>
      </c>
      <c r="S121" s="29">
        <v>43158</v>
      </c>
      <c r="T121" s="29">
        <v>43158</v>
      </c>
      <c r="U121" s="26" t="s">
        <v>1263</v>
      </c>
      <c r="V121" s="257"/>
      <c r="W121" s="26" t="s">
        <v>1269</v>
      </c>
      <c r="X121" s="3">
        <f t="shared" si="26"/>
        <v>18</v>
      </c>
      <c r="Y121" s="3" t="b">
        <f t="shared" si="27"/>
        <v>0</v>
      </c>
    </row>
    <row r="122" spans="14:25">
      <c r="N122" s="26" t="s">
        <v>1245</v>
      </c>
      <c r="O122" s="26" t="s">
        <v>1237</v>
      </c>
      <c r="P122" s="26">
        <v>18</v>
      </c>
      <c r="Q122" s="26" t="s">
        <v>1233</v>
      </c>
      <c r="R122" s="26" t="s">
        <v>364</v>
      </c>
      <c r="S122" s="29">
        <v>43158</v>
      </c>
      <c r="T122" s="29">
        <v>43158</v>
      </c>
      <c r="U122" s="26" t="s">
        <v>1263</v>
      </c>
      <c r="V122" s="257"/>
      <c r="W122" s="26" t="s">
        <v>1269</v>
      </c>
      <c r="X122" s="3">
        <f t="shared" si="26"/>
        <v>-18</v>
      </c>
      <c r="Y122" s="3">
        <f t="shared" si="27"/>
        <v>18</v>
      </c>
    </row>
    <row r="123" spans="14:25">
      <c r="N123" s="28" t="s">
        <v>336</v>
      </c>
      <c r="O123" s="28" t="s">
        <v>1236</v>
      </c>
      <c r="P123" s="28">
        <v>25</v>
      </c>
      <c r="Q123" s="28" t="s">
        <v>1229</v>
      </c>
      <c r="R123" s="28" t="s">
        <v>364</v>
      </c>
      <c r="S123" s="30">
        <v>43160</v>
      </c>
      <c r="T123" s="30">
        <v>43166</v>
      </c>
      <c r="U123" s="28" t="s">
        <v>1263</v>
      </c>
      <c r="V123" s="259" t="s">
        <v>1271</v>
      </c>
      <c r="W123" s="28" t="s">
        <v>1272</v>
      </c>
      <c r="X123" s="3">
        <f t="shared" si="26"/>
        <v>25</v>
      </c>
      <c r="Y123" s="3" t="b">
        <f t="shared" si="27"/>
        <v>0</v>
      </c>
    </row>
    <row r="124" spans="14:25">
      <c r="N124" s="28" t="s">
        <v>1244</v>
      </c>
      <c r="O124" s="28" t="s">
        <v>1236</v>
      </c>
      <c r="P124" s="28">
        <v>15</v>
      </c>
      <c r="Q124" s="28" t="s">
        <v>1229</v>
      </c>
      <c r="R124" s="28" t="s">
        <v>364</v>
      </c>
      <c r="S124" s="30">
        <v>43160</v>
      </c>
      <c r="T124" s="30">
        <v>43166</v>
      </c>
      <c r="U124" s="28" t="s">
        <v>1263</v>
      </c>
      <c r="V124" s="259" t="s">
        <v>1273</v>
      </c>
      <c r="W124" s="28" t="s">
        <v>1272</v>
      </c>
      <c r="X124" s="3">
        <f t="shared" si="26"/>
        <v>15</v>
      </c>
      <c r="Y124" s="3" t="b">
        <f t="shared" si="27"/>
        <v>0</v>
      </c>
    </row>
    <row r="125" spans="14:25">
      <c r="N125" s="28" t="s">
        <v>203</v>
      </c>
      <c r="O125" s="28" t="s">
        <v>1236</v>
      </c>
      <c r="P125" s="28">
        <v>35</v>
      </c>
      <c r="Q125" s="28" t="s">
        <v>1229</v>
      </c>
      <c r="R125" s="28" t="s">
        <v>364</v>
      </c>
      <c r="S125" s="30">
        <v>43160</v>
      </c>
      <c r="T125" s="30">
        <v>43167</v>
      </c>
      <c r="U125" s="28" t="s">
        <v>1263</v>
      </c>
      <c r="V125" s="259" t="s">
        <v>1274</v>
      </c>
      <c r="W125" s="28" t="s">
        <v>1272</v>
      </c>
      <c r="X125" s="3">
        <f t="shared" si="26"/>
        <v>35</v>
      </c>
      <c r="Y125" s="3" t="b">
        <f t="shared" si="27"/>
        <v>0</v>
      </c>
    </row>
    <row r="126" spans="14:25">
      <c r="N126" s="26" t="s">
        <v>0</v>
      </c>
      <c r="O126" s="26" t="s">
        <v>1267</v>
      </c>
      <c r="P126" s="26">
        <v>45</v>
      </c>
      <c r="Q126" s="26" t="s">
        <v>1229</v>
      </c>
      <c r="R126" s="26" t="s">
        <v>0</v>
      </c>
      <c r="S126" s="29">
        <v>43157</v>
      </c>
      <c r="T126" s="29">
        <v>43157</v>
      </c>
      <c r="U126" s="26" t="s">
        <v>1275</v>
      </c>
      <c r="V126" s="257"/>
      <c r="W126" s="26" t="s">
        <v>1276</v>
      </c>
      <c r="X126" s="3">
        <f t="shared" si="26"/>
        <v>45</v>
      </c>
      <c r="Y126" s="3" t="b">
        <f t="shared" si="27"/>
        <v>0</v>
      </c>
    </row>
    <row r="127" spans="14:25">
      <c r="N127" s="26" t="s">
        <v>0</v>
      </c>
      <c r="O127" s="26" t="s">
        <v>1228</v>
      </c>
      <c r="P127" s="26">
        <v>5</v>
      </c>
      <c r="Q127" s="26" t="s">
        <v>1233</v>
      </c>
      <c r="R127" s="26" t="s">
        <v>0</v>
      </c>
      <c r="S127" s="29">
        <v>43158</v>
      </c>
      <c r="T127" s="29">
        <v>43158</v>
      </c>
      <c r="U127" s="26" t="s">
        <v>1275</v>
      </c>
      <c r="V127" s="257"/>
      <c r="W127" s="26" t="s">
        <v>1277</v>
      </c>
      <c r="X127" s="3">
        <f t="shared" si="26"/>
        <v>-5</v>
      </c>
      <c r="Y127" s="3">
        <f t="shared" si="27"/>
        <v>5</v>
      </c>
    </row>
    <row r="128" spans="14:25">
      <c r="N128" s="26" t="s">
        <v>0</v>
      </c>
      <c r="O128" s="26" t="s">
        <v>1238</v>
      </c>
      <c r="P128" s="26">
        <v>5</v>
      </c>
      <c r="Q128" s="26" t="s">
        <v>1233</v>
      </c>
      <c r="R128" s="26" t="s">
        <v>0</v>
      </c>
      <c r="S128" s="29">
        <v>43158</v>
      </c>
      <c r="T128" s="29">
        <v>43158</v>
      </c>
      <c r="U128" s="26" t="s">
        <v>1275</v>
      </c>
      <c r="V128" s="257"/>
      <c r="W128" s="26" t="s">
        <v>1278</v>
      </c>
      <c r="X128" s="3">
        <f t="shared" si="26"/>
        <v>-5</v>
      </c>
      <c r="Y128" s="3">
        <f t="shared" si="27"/>
        <v>5</v>
      </c>
    </row>
    <row r="129" spans="14:25">
      <c r="N129" s="26" t="s">
        <v>0</v>
      </c>
      <c r="O129" s="26" t="s">
        <v>1267</v>
      </c>
      <c r="P129" s="26">
        <v>4</v>
      </c>
      <c r="Q129" s="26" t="s">
        <v>1233</v>
      </c>
      <c r="R129" s="26" t="s">
        <v>0</v>
      </c>
      <c r="S129" s="29">
        <v>43158</v>
      </c>
      <c r="T129" s="29">
        <v>43158</v>
      </c>
      <c r="U129" s="26" t="s">
        <v>1275</v>
      </c>
      <c r="V129" s="257"/>
      <c r="W129" s="26" t="s">
        <v>1279</v>
      </c>
      <c r="X129" s="3">
        <f t="shared" si="26"/>
        <v>-4</v>
      </c>
      <c r="Y129" s="3">
        <f t="shared" si="27"/>
        <v>4</v>
      </c>
    </row>
    <row r="130" spans="14:25">
      <c r="N130" s="26" t="s">
        <v>0</v>
      </c>
      <c r="O130" s="26" t="s">
        <v>1268</v>
      </c>
      <c r="P130" s="26">
        <v>4</v>
      </c>
      <c r="Q130" s="26" t="s">
        <v>1229</v>
      </c>
      <c r="R130" s="26" t="s">
        <v>0</v>
      </c>
      <c r="S130" s="26"/>
      <c r="T130" s="26"/>
      <c r="U130" s="26" t="s">
        <v>1275</v>
      </c>
      <c r="V130" s="257" t="s">
        <v>1280</v>
      </c>
      <c r="W130" s="26" t="s">
        <v>1281</v>
      </c>
      <c r="X130" s="3">
        <f t="shared" ref="X130:X193" si="28">IF(OR(Q130="Stock to Rack",Q130="From Stock"),-P130,IF(OR(Q130="Rack to Stock",Q130="To Stock"),P130))</f>
        <v>4</v>
      </c>
      <c r="Y130" s="3" t="b">
        <f t="shared" ref="Y130:Y193" si="29">IF(Q130="Rack to Stock",-P130,IF(Q130="Stock to Rack",P130))</f>
        <v>0</v>
      </c>
    </row>
    <row r="131" spans="14:25">
      <c r="N131" s="26" t="s">
        <v>0</v>
      </c>
      <c r="O131" s="26" t="s">
        <v>1268</v>
      </c>
      <c r="P131" s="26">
        <v>4</v>
      </c>
      <c r="Q131" s="26" t="s">
        <v>1233</v>
      </c>
      <c r="R131" s="26" t="s">
        <v>0</v>
      </c>
      <c r="S131" s="26"/>
      <c r="T131" s="26"/>
      <c r="U131" s="26" t="s">
        <v>1275</v>
      </c>
      <c r="V131" s="257" t="s">
        <v>1280</v>
      </c>
      <c r="W131" s="26" t="s">
        <v>1281</v>
      </c>
      <c r="X131" s="3">
        <f t="shared" si="28"/>
        <v>-4</v>
      </c>
      <c r="Y131" s="3">
        <f t="shared" si="29"/>
        <v>4</v>
      </c>
    </row>
    <row r="132" spans="14:25">
      <c r="N132" s="26" t="s">
        <v>364</v>
      </c>
      <c r="O132" s="26" t="s">
        <v>1237</v>
      </c>
      <c r="P132" s="26">
        <v>20</v>
      </c>
      <c r="Q132" s="26" t="s">
        <v>1282</v>
      </c>
      <c r="R132" s="26" t="s">
        <v>1245</v>
      </c>
      <c r="S132" s="29">
        <v>43160</v>
      </c>
      <c r="T132" s="29">
        <v>43160</v>
      </c>
      <c r="U132" s="26" t="s">
        <v>1283</v>
      </c>
      <c r="V132" s="257"/>
      <c r="W132" s="26" t="s">
        <v>1284</v>
      </c>
      <c r="X132" s="3">
        <f t="shared" si="28"/>
        <v>-20</v>
      </c>
      <c r="Y132" s="3" t="b">
        <f t="shared" si="29"/>
        <v>0</v>
      </c>
    </row>
    <row r="133" spans="14:25">
      <c r="N133" s="26" t="s">
        <v>1245</v>
      </c>
      <c r="O133" s="26" t="s">
        <v>1237</v>
      </c>
      <c r="P133" s="26">
        <v>20</v>
      </c>
      <c r="Q133" s="26" t="s">
        <v>1229</v>
      </c>
      <c r="R133" s="26" t="s">
        <v>1245</v>
      </c>
      <c r="S133" s="29">
        <v>43160</v>
      </c>
      <c r="T133" s="29">
        <v>43160</v>
      </c>
      <c r="U133" s="26" t="s">
        <v>1283</v>
      </c>
      <c r="V133" s="257"/>
      <c r="W133" s="26" t="s">
        <v>1284</v>
      </c>
      <c r="X133" s="3">
        <f t="shared" si="28"/>
        <v>20</v>
      </c>
      <c r="Y133" s="3" t="b">
        <f t="shared" si="29"/>
        <v>0</v>
      </c>
    </row>
    <row r="134" spans="14:25">
      <c r="N134" s="26" t="s">
        <v>1245</v>
      </c>
      <c r="O134" s="26" t="s">
        <v>1237</v>
      </c>
      <c r="P134" s="26">
        <v>20</v>
      </c>
      <c r="Q134" s="26" t="s">
        <v>1233</v>
      </c>
      <c r="R134" s="26" t="s">
        <v>1245</v>
      </c>
      <c r="S134" s="29">
        <v>43160</v>
      </c>
      <c r="T134" s="29">
        <v>43160</v>
      </c>
      <c r="U134" s="26" t="s">
        <v>1283</v>
      </c>
      <c r="V134" s="257"/>
      <c r="W134" s="26" t="s">
        <v>1284</v>
      </c>
      <c r="X134" s="3">
        <f t="shared" si="28"/>
        <v>-20</v>
      </c>
      <c r="Y134" s="3">
        <f t="shared" si="29"/>
        <v>20</v>
      </c>
    </row>
    <row r="135" spans="14:25">
      <c r="N135" s="26" t="s">
        <v>364</v>
      </c>
      <c r="O135" s="26" t="s">
        <v>1228</v>
      </c>
      <c r="P135" s="26">
        <v>3</v>
      </c>
      <c r="Q135" s="26" t="s">
        <v>1285</v>
      </c>
      <c r="R135" s="26" t="s">
        <v>364</v>
      </c>
      <c r="S135" s="29">
        <v>43161</v>
      </c>
      <c r="T135" s="29">
        <v>43161</v>
      </c>
      <c r="U135" s="26" t="s">
        <v>1263</v>
      </c>
      <c r="V135" s="257" t="s">
        <v>1286</v>
      </c>
      <c r="W135" s="26" t="s">
        <v>1287</v>
      </c>
      <c r="X135" s="3">
        <f t="shared" si="28"/>
        <v>3</v>
      </c>
      <c r="Y135" s="3">
        <f t="shared" si="29"/>
        <v>-3</v>
      </c>
    </row>
    <row r="136" spans="14:25">
      <c r="N136" s="28" t="s">
        <v>364</v>
      </c>
      <c r="O136" s="28" t="s">
        <v>1228</v>
      </c>
      <c r="P136" s="28">
        <v>3</v>
      </c>
      <c r="Q136" s="28" t="s">
        <v>1282</v>
      </c>
      <c r="R136" s="28" t="s">
        <v>1245</v>
      </c>
      <c r="S136" s="30">
        <v>43161</v>
      </c>
      <c r="T136" s="30">
        <v>43161</v>
      </c>
      <c r="U136" s="28" t="s">
        <v>1263</v>
      </c>
      <c r="V136" s="257" t="s">
        <v>1286</v>
      </c>
      <c r="W136" s="28" t="s">
        <v>1287</v>
      </c>
      <c r="X136" s="3">
        <f t="shared" si="28"/>
        <v>-3</v>
      </c>
      <c r="Y136" s="3" t="b">
        <f t="shared" si="29"/>
        <v>0</v>
      </c>
    </row>
    <row r="137" spans="14:25">
      <c r="N137" s="28" t="s">
        <v>1245</v>
      </c>
      <c r="O137" s="28" t="s">
        <v>1228</v>
      </c>
      <c r="P137" s="28">
        <v>3</v>
      </c>
      <c r="Q137" s="28" t="s">
        <v>1229</v>
      </c>
      <c r="R137" s="28" t="s">
        <v>1245</v>
      </c>
      <c r="S137" s="30">
        <v>43166</v>
      </c>
      <c r="T137" s="30">
        <v>43178</v>
      </c>
      <c r="U137" s="28" t="s">
        <v>1263</v>
      </c>
      <c r="V137" s="257" t="s">
        <v>1286</v>
      </c>
      <c r="W137" s="28" t="s">
        <v>1287</v>
      </c>
      <c r="X137" s="3">
        <f t="shared" si="28"/>
        <v>3</v>
      </c>
      <c r="Y137" s="3" t="b">
        <f t="shared" si="29"/>
        <v>0</v>
      </c>
    </row>
    <row r="138" spans="14:25">
      <c r="N138" s="59" t="s">
        <v>1245</v>
      </c>
      <c r="O138" s="59" t="s">
        <v>1228</v>
      </c>
      <c r="P138" s="59">
        <v>3</v>
      </c>
      <c r="Q138" s="59" t="s">
        <v>1233</v>
      </c>
      <c r="R138" s="59" t="s">
        <v>1245</v>
      </c>
      <c r="S138" s="60">
        <v>43166</v>
      </c>
      <c r="T138" s="60">
        <v>43178</v>
      </c>
      <c r="U138" s="59"/>
      <c r="V138" s="260" t="s">
        <v>1286</v>
      </c>
      <c r="W138" s="59" t="s">
        <v>1287</v>
      </c>
      <c r="X138" s="3">
        <f t="shared" si="28"/>
        <v>-3</v>
      </c>
      <c r="Y138" s="3">
        <f t="shared" si="29"/>
        <v>3</v>
      </c>
    </row>
    <row r="139" spans="14:25">
      <c r="N139" s="26" t="s">
        <v>0</v>
      </c>
      <c r="O139" s="26" t="s">
        <v>1234</v>
      </c>
      <c r="P139" s="26">
        <v>2</v>
      </c>
      <c r="Q139" s="26" t="s">
        <v>1233</v>
      </c>
      <c r="R139" s="26" t="s">
        <v>0</v>
      </c>
      <c r="S139" s="29">
        <v>43160</v>
      </c>
      <c r="T139" s="29">
        <v>43160</v>
      </c>
      <c r="U139" s="26" t="s">
        <v>1275</v>
      </c>
      <c r="V139" s="257"/>
      <c r="W139" s="26" t="s">
        <v>1288</v>
      </c>
      <c r="X139" s="3">
        <f t="shared" si="28"/>
        <v>-2</v>
      </c>
      <c r="Y139" s="3">
        <f t="shared" si="29"/>
        <v>2</v>
      </c>
    </row>
    <row r="140" spans="14:25">
      <c r="N140" s="26" t="s">
        <v>0</v>
      </c>
      <c r="O140" s="26" t="s">
        <v>1235</v>
      </c>
      <c r="P140" s="26">
        <v>1</v>
      </c>
      <c r="Q140" s="26" t="s">
        <v>1233</v>
      </c>
      <c r="R140" s="26" t="s">
        <v>0</v>
      </c>
      <c r="S140" s="29">
        <v>43160</v>
      </c>
      <c r="T140" s="29">
        <v>43160</v>
      </c>
      <c r="U140" s="26" t="s">
        <v>1275</v>
      </c>
      <c r="V140" s="257"/>
      <c r="W140" s="26" t="s">
        <v>1288</v>
      </c>
      <c r="X140" s="3">
        <f t="shared" si="28"/>
        <v>-1</v>
      </c>
      <c r="Y140" s="3">
        <f t="shared" si="29"/>
        <v>1</v>
      </c>
    </row>
    <row r="141" spans="14:25">
      <c r="N141" s="26" t="s">
        <v>0</v>
      </c>
      <c r="O141" s="26" t="s">
        <v>1238</v>
      </c>
      <c r="P141" s="26">
        <v>2</v>
      </c>
      <c r="Q141" s="26" t="s">
        <v>1233</v>
      </c>
      <c r="R141" s="26" t="s">
        <v>0</v>
      </c>
      <c r="S141" s="29">
        <v>43160</v>
      </c>
      <c r="T141" s="29">
        <v>43160</v>
      </c>
      <c r="U141" s="26" t="s">
        <v>1275</v>
      </c>
      <c r="V141" s="257"/>
      <c r="W141" s="26" t="s">
        <v>1288</v>
      </c>
      <c r="X141" s="3">
        <f t="shared" si="28"/>
        <v>-2</v>
      </c>
      <c r="Y141" s="3">
        <f t="shared" si="29"/>
        <v>2</v>
      </c>
    </row>
    <row r="142" spans="14:25">
      <c r="N142" s="26" t="s">
        <v>0</v>
      </c>
      <c r="O142" s="26" t="s">
        <v>1237</v>
      </c>
      <c r="P142" s="26">
        <v>2</v>
      </c>
      <c r="Q142" s="26" t="s">
        <v>1233</v>
      </c>
      <c r="R142" s="26" t="s">
        <v>0</v>
      </c>
      <c r="S142" s="29">
        <v>43160</v>
      </c>
      <c r="T142" s="29">
        <v>43160</v>
      </c>
      <c r="U142" s="26" t="s">
        <v>1275</v>
      </c>
      <c r="V142" s="257"/>
      <c r="W142" s="26" t="s">
        <v>1288</v>
      </c>
      <c r="X142" s="3">
        <f t="shared" si="28"/>
        <v>-2</v>
      </c>
      <c r="Y142" s="3">
        <f t="shared" si="29"/>
        <v>2</v>
      </c>
    </row>
    <row r="143" spans="14:25">
      <c r="N143" s="26" t="s">
        <v>0</v>
      </c>
      <c r="O143" s="26" t="s">
        <v>1236</v>
      </c>
      <c r="P143" s="26">
        <v>25</v>
      </c>
      <c r="Q143" s="26" t="s">
        <v>1229</v>
      </c>
      <c r="R143" s="26" t="s">
        <v>0</v>
      </c>
      <c r="S143" s="29">
        <v>43157</v>
      </c>
      <c r="T143" s="29">
        <v>43163</v>
      </c>
      <c r="U143" s="26" t="s">
        <v>1275</v>
      </c>
      <c r="V143" s="257" t="s">
        <v>1289</v>
      </c>
      <c r="W143" s="26" t="s">
        <v>1290</v>
      </c>
      <c r="X143" s="3">
        <f t="shared" si="28"/>
        <v>25</v>
      </c>
      <c r="Y143" s="3" t="b">
        <f t="shared" si="29"/>
        <v>0</v>
      </c>
    </row>
    <row r="144" spans="14:25">
      <c r="N144" s="26" t="s">
        <v>0</v>
      </c>
      <c r="O144" s="26" t="s">
        <v>1236</v>
      </c>
      <c r="P144" s="26">
        <v>7</v>
      </c>
      <c r="Q144" s="26" t="s">
        <v>1233</v>
      </c>
      <c r="R144" s="26" t="s">
        <v>0</v>
      </c>
      <c r="S144" s="29">
        <v>43163</v>
      </c>
      <c r="T144" s="29">
        <v>43163</v>
      </c>
      <c r="U144" s="26" t="s">
        <v>1275</v>
      </c>
      <c r="V144" s="261"/>
      <c r="W144" s="29" t="s">
        <v>1291</v>
      </c>
      <c r="X144" s="3">
        <f t="shared" si="28"/>
        <v>-7</v>
      </c>
      <c r="Y144" s="3">
        <f t="shared" si="29"/>
        <v>7</v>
      </c>
    </row>
    <row r="145" spans="14:25">
      <c r="N145" s="26" t="s">
        <v>0</v>
      </c>
      <c r="O145" s="26" t="s">
        <v>1235</v>
      </c>
      <c r="P145" s="26">
        <v>7</v>
      </c>
      <c r="Q145" s="26" t="s">
        <v>1233</v>
      </c>
      <c r="R145" s="26" t="s">
        <v>0</v>
      </c>
      <c r="S145" s="29">
        <v>43163</v>
      </c>
      <c r="T145" s="29">
        <v>43163</v>
      </c>
      <c r="U145" s="26" t="s">
        <v>1275</v>
      </c>
      <c r="V145" s="261"/>
      <c r="W145" s="29" t="s">
        <v>1291</v>
      </c>
      <c r="X145" s="3">
        <f t="shared" si="28"/>
        <v>-7</v>
      </c>
      <c r="Y145" s="3">
        <f t="shared" si="29"/>
        <v>7</v>
      </c>
    </row>
    <row r="146" spans="14:25">
      <c r="N146" s="26" t="s">
        <v>0</v>
      </c>
      <c r="O146" s="26" t="s">
        <v>1267</v>
      </c>
      <c r="P146" s="26">
        <v>7</v>
      </c>
      <c r="Q146" s="26" t="s">
        <v>1233</v>
      </c>
      <c r="R146" s="26" t="s">
        <v>0</v>
      </c>
      <c r="S146" s="29">
        <v>43163</v>
      </c>
      <c r="T146" s="29">
        <v>43163</v>
      </c>
      <c r="U146" s="26" t="s">
        <v>1275</v>
      </c>
      <c r="V146" s="261"/>
      <c r="W146" s="29" t="s">
        <v>1291</v>
      </c>
      <c r="X146" s="3">
        <f t="shared" si="28"/>
        <v>-7</v>
      </c>
      <c r="Y146" s="3">
        <f t="shared" si="29"/>
        <v>7</v>
      </c>
    </row>
    <row r="147" spans="14:25">
      <c r="N147" s="26" t="s">
        <v>0</v>
      </c>
      <c r="O147" s="26" t="s">
        <v>1238</v>
      </c>
      <c r="P147" s="26">
        <v>4</v>
      </c>
      <c r="Q147" s="26" t="s">
        <v>1233</v>
      </c>
      <c r="R147" s="26" t="s">
        <v>0</v>
      </c>
      <c r="S147" s="29">
        <v>43163</v>
      </c>
      <c r="T147" s="29">
        <v>43163</v>
      </c>
      <c r="U147" s="26" t="s">
        <v>1275</v>
      </c>
      <c r="V147" s="261"/>
      <c r="W147" s="29" t="s">
        <v>1291</v>
      </c>
      <c r="X147" s="3">
        <f t="shared" si="28"/>
        <v>-4</v>
      </c>
      <c r="Y147" s="3">
        <f t="shared" si="29"/>
        <v>4</v>
      </c>
    </row>
    <row r="148" spans="14:25">
      <c r="N148" s="26" t="s">
        <v>0</v>
      </c>
      <c r="O148" s="26" t="s">
        <v>1228</v>
      </c>
      <c r="P148" s="26">
        <v>7</v>
      </c>
      <c r="Q148" s="26" t="s">
        <v>1233</v>
      </c>
      <c r="R148" s="26" t="s">
        <v>0</v>
      </c>
      <c r="S148" s="29">
        <v>43163</v>
      </c>
      <c r="T148" s="29">
        <v>43163</v>
      </c>
      <c r="U148" s="26" t="s">
        <v>1275</v>
      </c>
      <c r="V148" s="261" t="s">
        <v>1292</v>
      </c>
      <c r="W148" s="29" t="s">
        <v>1291</v>
      </c>
      <c r="X148" s="3">
        <f t="shared" si="28"/>
        <v>-7</v>
      </c>
      <c r="Y148" s="3">
        <f t="shared" si="29"/>
        <v>7</v>
      </c>
    </row>
    <row r="149" spans="14:25">
      <c r="N149" s="26" t="s">
        <v>0</v>
      </c>
      <c r="O149" s="26" t="s">
        <v>1237</v>
      </c>
      <c r="P149" s="26">
        <v>14</v>
      </c>
      <c r="Q149" s="26" t="s">
        <v>1233</v>
      </c>
      <c r="R149" s="26" t="s">
        <v>0</v>
      </c>
      <c r="S149" s="29">
        <v>43163</v>
      </c>
      <c r="T149" s="29">
        <v>43163</v>
      </c>
      <c r="U149" s="26" t="s">
        <v>1275</v>
      </c>
      <c r="V149" s="261"/>
      <c r="W149" s="29" t="s">
        <v>1291</v>
      </c>
      <c r="X149" s="3">
        <f t="shared" si="28"/>
        <v>-14</v>
      </c>
      <c r="Y149" s="3">
        <f t="shared" si="29"/>
        <v>14</v>
      </c>
    </row>
    <row r="150" spans="14:25">
      <c r="N150" s="26" t="s">
        <v>0</v>
      </c>
      <c r="O150" s="26" t="s">
        <v>1234</v>
      </c>
      <c r="P150" s="26">
        <v>7</v>
      </c>
      <c r="Q150" s="26" t="s">
        <v>1233</v>
      </c>
      <c r="R150" s="26" t="s">
        <v>0</v>
      </c>
      <c r="S150" s="29">
        <v>43163</v>
      </c>
      <c r="T150" s="29">
        <v>43163</v>
      </c>
      <c r="U150" s="26" t="s">
        <v>1275</v>
      </c>
      <c r="V150" s="261"/>
      <c r="W150" s="29" t="s">
        <v>1291</v>
      </c>
      <c r="X150" s="3">
        <f t="shared" si="28"/>
        <v>-7</v>
      </c>
      <c r="Y150" s="3">
        <f t="shared" si="29"/>
        <v>7</v>
      </c>
    </row>
    <row r="151" spans="14:25">
      <c r="N151" s="26" t="s">
        <v>0</v>
      </c>
      <c r="O151" s="26" t="s">
        <v>1228</v>
      </c>
      <c r="P151" s="26">
        <v>13</v>
      </c>
      <c r="Q151" s="26" t="s">
        <v>1233</v>
      </c>
      <c r="R151" s="26" t="s">
        <v>0</v>
      </c>
      <c r="S151" s="29">
        <v>43163</v>
      </c>
      <c r="T151" s="29">
        <v>43163</v>
      </c>
      <c r="U151" s="26" t="s">
        <v>1275</v>
      </c>
      <c r="V151" s="261" t="s">
        <v>1293</v>
      </c>
      <c r="W151" s="29" t="s">
        <v>1291</v>
      </c>
      <c r="X151" s="3">
        <f t="shared" si="28"/>
        <v>-13</v>
      </c>
      <c r="Y151" s="3">
        <f t="shared" si="29"/>
        <v>13</v>
      </c>
    </row>
    <row r="152" spans="14:25">
      <c r="N152" s="28" t="s">
        <v>0</v>
      </c>
      <c r="O152" s="28" t="s">
        <v>1234</v>
      </c>
      <c r="P152" s="28">
        <v>13</v>
      </c>
      <c r="Q152" s="28" t="s">
        <v>1233</v>
      </c>
      <c r="R152" s="28" t="s">
        <v>0</v>
      </c>
      <c r="S152" s="30">
        <v>43164</v>
      </c>
      <c r="T152" s="30">
        <v>43164</v>
      </c>
      <c r="U152" s="28" t="s">
        <v>1275</v>
      </c>
      <c r="V152" s="262"/>
      <c r="W152" s="30" t="s">
        <v>1291</v>
      </c>
      <c r="X152" s="3">
        <f t="shared" si="28"/>
        <v>-13</v>
      </c>
      <c r="Y152" s="3">
        <f t="shared" si="29"/>
        <v>13</v>
      </c>
    </row>
    <row r="153" spans="14:25">
      <c r="N153" s="28" t="s">
        <v>0</v>
      </c>
      <c r="O153" s="28" t="s">
        <v>1236</v>
      </c>
      <c r="P153" s="28">
        <v>13</v>
      </c>
      <c r="Q153" s="28" t="s">
        <v>1233</v>
      </c>
      <c r="R153" s="28" t="s">
        <v>0</v>
      </c>
      <c r="S153" s="30">
        <v>43164</v>
      </c>
      <c r="T153" s="30">
        <v>43164</v>
      </c>
      <c r="U153" s="28" t="s">
        <v>1275</v>
      </c>
      <c r="V153" s="262"/>
      <c r="W153" s="30" t="s">
        <v>1291</v>
      </c>
      <c r="X153" s="3">
        <f t="shared" si="28"/>
        <v>-13</v>
      </c>
      <c r="Y153" s="3">
        <f t="shared" si="29"/>
        <v>13</v>
      </c>
    </row>
    <row r="154" spans="14:25">
      <c r="N154" s="28" t="s">
        <v>0</v>
      </c>
      <c r="O154" s="28" t="s">
        <v>1235</v>
      </c>
      <c r="P154" s="28">
        <v>13</v>
      </c>
      <c r="Q154" s="28" t="s">
        <v>1233</v>
      </c>
      <c r="R154" s="28" t="s">
        <v>0</v>
      </c>
      <c r="S154" s="30">
        <v>43164</v>
      </c>
      <c r="T154" s="30">
        <v>43164</v>
      </c>
      <c r="U154" s="28" t="s">
        <v>1275</v>
      </c>
      <c r="V154" s="262"/>
      <c r="W154" s="30" t="s">
        <v>1291</v>
      </c>
      <c r="X154" s="3">
        <f t="shared" si="28"/>
        <v>-13</v>
      </c>
      <c r="Y154" s="3">
        <f t="shared" si="29"/>
        <v>13</v>
      </c>
    </row>
    <row r="155" spans="14:25">
      <c r="N155" s="28" t="s">
        <v>0</v>
      </c>
      <c r="O155" s="28" t="s">
        <v>1237</v>
      </c>
      <c r="P155" s="28">
        <v>26</v>
      </c>
      <c r="Q155" s="28" t="s">
        <v>1233</v>
      </c>
      <c r="R155" s="28" t="s">
        <v>0</v>
      </c>
      <c r="S155" s="30">
        <v>43164</v>
      </c>
      <c r="T155" s="30">
        <v>43164</v>
      </c>
      <c r="U155" s="28" t="s">
        <v>1275</v>
      </c>
      <c r="V155" s="262"/>
      <c r="W155" s="30" t="s">
        <v>1291</v>
      </c>
      <c r="X155" s="3">
        <f t="shared" si="28"/>
        <v>-26</v>
      </c>
      <c r="Y155" s="3">
        <f t="shared" si="29"/>
        <v>26</v>
      </c>
    </row>
    <row r="156" spans="14:25">
      <c r="N156" s="28" t="s">
        <v>0</v>
      </c>
      <c r="O156" s="28" t="s">
        <v>1267</v>
      </c>
      <c r="P156" s="28">
        <v>13</v>
      </c>
      <c r="Q156" s="28" t="s">
        <v>1233</v>
      </c>
      <c r="R156" s="28" t="s">
        <v>0</v>
      </c>
      <c r="S156" s="30">
        <v>43164</v>
      </c>
      <c r="T156" s="30">
        <v>43164</v>
      </c>
      <c r="U156" s="28" t="s">
        <v>1275</v>
      </c>
      <c r="V156" s="262"/>
      <c r="W156" s="30" t="s">
        <v>1291</v>
      </c>
      <c r="X156" s="3">
        <f t="shared" si="28"/>
        <v>-13</v>
      </c>
      <c r="Y156" s="3">
        <f t="shared" si="29"/>
        <v>13</v>
      </c>
    </row>
    <row r="157" spans="14:25">
      <c r="N157" s="28" t="s">
        <v>0</v>
      </c>
      <c r="O157" s="28" t="s">
        <v>1268</v>
      </c>
      <c r="P157" s="28">
        <v>30</v>
      </c>
      <c r="Q157" s="28" t="s">
        <v>1229</v>
      </c>
      <c r="R157" s="28" t="s">
        <v>0</v>
      </c>
      <c r="S157" s="30">
        <v>43165</v>
      </c>
      <c r="T157" s="30">
        <v>43165</v>
      </c>
      <c r="U157" s="28" t="s">
        <v>1275</v>
      </c>
      <c r="V157" s="259"/>
      <c r="W157" s="28" t="s">
        <v>1294</v>
      </c>
      <c r="X157" s="3">
        <f t="shared" si="28"/>
        <v>30</v>
      </c>
      <c r="Y157" s="3" t="b">
        <f t="shared" si="29"/>
        <v>0</v>
      </c>
    </row>
    <row r="158" spans="14:25">
      <c r="N158" s="28" t="s">
        <v>203</v>
      </c>
      <c r="O158" s="28" t="s">
        <v>1234</v>
      </c>
      <c r="P158" s="28">
        <v>10</v>
      </c>
      <c r="Q158" s="28" t="s">
        <v>1233</v>
      </c>
      <c r="R158" s="28" t="s">
        <v>203</v>
      </c>
      <c r="S158" s="30">
        <v>43166</v>
      </c>
      <c r="T158" s="30">
        <v>43166</v>
      </c>
      <c r="U158" s="28" t="s">
        <v>1295</v>
      </c>
      <c r="V158" s="259"/>
      <c r="W158" s="28" t="s">
        <v>96</v>
      </c>
      <c r="X158" s="3">
        <f t="shared" si="28"/>
        <v>-10</v>
      </c>
      <c r="Y158" s="3">
        <f t="shared" si="29"/>
        <v>10</v>
      </c>
    </row>
    <row r="159" spans="14:25">
      <c r="N159" s="28" t="s">
        <v>203</v>
      </c>
      <c r="O159" s="28" t="s">
        <v>1235</v>
      </c>
      <c r="P159" s="28">
        <v>28</v>
      </c>
      <c r="Q159" s="28" t="s">
        <v>1233</v>
      </c>
      <c r="R159" s="28" t="s">
        <v>203</v>
      </c>
      <c r="S159" s="30">
        <v>43166</v>
      </c>
      <c r="T159" s="30">
        <v>43166</v>
      </c>
      <c r="U159" s="28" t="s">
        <v>1295</v>
      </c>
      <c r="V159" s="259"/>
      <c r="W159" s="28" t="s">
        <v>1296</v>
      </c>
      <c r="X159" s="3">
        <f t="shared" si="28"/>
        <v>-28</v>
      </c>
      <c r="Y159" s="3">
        <f t="shared" si="29"/>
        <v>28</v>
      </c>
    </row>
    <row r="160" spans="14:25">
      <c r="N160" s="28" t="s">
        <v>203</v>
      </c>
      <c r="O160" s="28" t="s">
        <v>1236</v>
      </c>
      <c r="P160" s="28">
        <v>20</v>
      </c>
      <c r="Q160" s="28" t="s">
        <v>1233</v>
      </c>
      <c r="R160" s="28" t="s">
        <v>203</v>
      </c>
      <c r="S160" s="30">
        <v>43166</v>
      </c>
      <c r="T160" s="30">
        <v>43166</v>
      </c>
      <c r="U160" s="28" t="s">
        <v>1295</v>
      </c>
      <c r="V160" s="259"/>
      <c r="W160" s="28" t="s">
        <v>1296</v>
      </c>
      <c r="X160" s="3">
        <f t="shared" si="28"/>
        <v>-20</v>
      </c>
      <c r="Y160" s="3">
        <f t="shared" si="29"/>
        <v>20</v>
      </c>
    </row>
    <row r="161" spans="14:25">
      <c r="N161" s="28" t="s">
        <v>203</v>
      </c>
      <c r="O161" s="28" t="s">
        <v>1237</v>
      </c>
      <c r="P161" s="28">
        <v>9</v>
      </c>
      <c r="Q161" s="28" t="s">
        <v>1233</v>
      </c>
      <c r="R161" s="28" t="s">
        <v>203</v>
      </c>
      <c r="S161" s="30">
        <v>43166</v>
      </c>
      <c r="T161" s="30">
        <v>43166</v>
      </c>
      <c r="U161" s="28" t="s">
        <v>1295</v>
      </c>
      <c r="V161" s="259"/>
      <c r="W161" s="28" t="s">
        <v>1296</v>
      </c>
      <c r="X161" s="3">
        <f t="shared" si="28"/>
        <v>-9</v>
      </c>
      <c r="Y161" s="3">
        <f t="shared" si="29"/>
        <v>9</v>
      </c>
    </row>
    <row r="162" spans="14:25">
      <c r="N162" s="28" t="s">
        <v>203</v>
      </c>
      <c r="O162" s="28" t="s">
        <v>1238</v>
      </c>
      <c r="P162" s="28">
        <v>21</v>
      </c>
      <c r="Q162" s="28" t="s">
        <v>1233</v>
      </c>
      <c r="R162" s="28" t="s">
        <v>203</v>
      </c>
      <c r="S162" s="30">
        <v>43166</v>
      </c>
      <c r="T162" s="30">
        <v>43166</v>
      </c>
      <c r="U162" s="28" t="s">
        <v>1295</v>
      </c>
      <c r="V162" s="259"/>
      <c r="W162" s="28" t="s">
        <v>1296</v>
      </c>
      <c r="X162" s="3">
        <f t="shared" si="28"/>
        <v>-21</v>
      </c>
      <c r="Y162" s="3">
        <f t="shared" si="29"/>
        <v>21</v>
      </c>
    </row>
    <row r="163" spans="14:25">
      <c r="N163" s="28" t="s">
        <v>203</v>
      </c>
      <c r="O163" s="28" t="s">
        <v>1243</v>
      </c>
      <c r="P163" s="28">
        <v>2</v>
      </c>
      <c r="Q163" s="28" t="s">
        <v>1233</v>
      </c>
      <c r="R163" s="28" t="s">
        <v>203</v>
      </c>
      <c r="S163" s="30">
        <v>43166</v>
      </c>
      <c r="T163" s="30">
        <v>43166</v>
      </c>
      <c r="U163" s="28" t="s">
        <v>1295</v>
      </c>
      <c r="V163" s="259"/>
      <c r="W163" s="28" t="s">
        <v>1296</v>
      </c>
      <c r="X163" s="3">
        <f t="shared" si="28"/>
        <v>-2</v>
      </c>
      <c r="Y163" s="3">
        <f t="shared" si="29"/>
        <v>2</v>
      </c>
    </row>
    <row r="164" spans="14:25">
      <c r="N164" s="28" t="s">
        <v>203</v>
      </c>
      <c r="O164" s="28" t="s">
        <v>1228</v>
      </c>
      <c r="P164" s="28">
        <v>8</v>
      </c>
      <c r="Q164" s="28" t="s">
        <v>1233</v>
      </c>
      <c r="R164" s="28" t="s">
        <v>203</v>
      </c>
      <c r="S164" s="30">
        <v>43166</v>
      </c>
      <c r="T164" s="30">
        <v>43166</v>
      </c>
      <c r="U164" s="28" t="s">
        <v>1295</v>
      </c>
      <c r="V164" s="263" t="s">
        <v>1297</v>
      </c>
      <c r="W164" s="28" t="s">
        <v>1296</v>
      </c>
      <c r="X164" s="3">
        <f t="shared" si="28"/>
        <v>-8</v>
      </c>
      <c r="Y164" s="3">
        <f t="shared" si="29"/>
        <v>8</v>
      </c>
    </row>
    <row r="165" spans="14:25">
      <c r="N165" s="28" t="s">
        <v>203</v>
      </c>
      <c r="O165" s="28" t="s">
        <v>1267</v>
      </c>
      <c r="P165" s="28">
        <v>20</v>
      </c>
      <c r="Q165" s="28" t="s">
        <v>1233</v>
      </c>
      <c r="R165" s="28" t="s">
        <v>203</v>
      </c>
      <c r="S165" s="30">
        <v>43166</v>
      </c>
      <c r="T165" s="30">
        <v>43166</v>
      </c>
      <c r="U165" s="28" t="s">
        <v>1295</v>
      </c>
      <c r="V165" s="259"/>
      <c r="W165" s="28" t="s">
        <v>1296</v>
      </c>
      <c r="X165" s="3">
        <f t="shared" si="28"/>
        <v>-20</v>
      </c>
      <c r="Y165" s="3">
        <f t="shared" si="29"/>
        <v>20</v>
      </c>
    </row>
    <row r="166" spans="14:25">
      <c r="N166" s="28" t="s">
        <v>203</v>
      </c>
      <c r="O166" s="28" t="s">
        <v>1228</v>
      </c>
      <c r="P166" s="28">
        <v>40</v>
      </c>
      <c r="Q166" s="28" t="s">
        <v>1229</v>
      </c>
      <c r="R166" s="28" t="s">
        <v>364</v>
      </c>
      <c r="S166" s="30">
        <v>43166</v>
      </c>
      <c r="T166" s="30">
        <v>43173</v>
      </c>
      <c r="U166" s="28" t="s">
        <v>1263</v>
      </c>
      <c r="V166" s="259" t="s">
        <v>1298</v>
      </c>
      <c r="W166" s="28" t="s">
        <v>1299</v>
      </c>
      <c r="X166" s="3">
        <f t="shared" si="28"/>
        <v>40</v>
      </c>
      <c r="Y166" s="3" t="b">
        <f t="shared" si="29"/>
        <v>0</v>
      </c>
    </row>
    <row r="167" spans="14:25">
      <c r="N167" s="59" t="s">
        <v>1244</v>
      </c>
      <c r="O167" s="59" t="s">
        <v>1228</v>
      </c>
      <c r="P167" s="59">
        <v>10</v>
      </c>
      <c r="Q167" s="59" t="s">
        <v>1229</v>
      </c>
      <c r="R167" s="59" t="s">
        <v>364</v>
      </c>
      <c r="S167" s="60">
        <v>43166</v>
      </c>
      <c r="T167" s="60">
        <v>43174</v>
      </c>
      <c r="U167" s="59" t="s">
        <v>1263</v>
      </c>
      <c r="V167" s="264" t="s">
        <v>1300</v>
      </c>
      <c r="W167" s="59" t="s">
        <v>1796</v>
      </c>
      <c r="X167" s="3">
        <f t="shared" si="28"/>
        <v>10</v>
      </c>
      <c r="Y167" s="3" t="b">
        <f t="shared" si="29"/>
        <v>0</v>
      </c>
    </row>
    <row r="168" spans="14:25">
      <c r="N168" s="28" t="s">
        <v>203</v>
      </c>
      <c r="O168" s="28" t="s">
        <v>1235</v>
      </c>
      <c r="P168" s="28">
        <v>50</v>
      </c>
      <c r="Q168" s="28" t="s">
        <v>1229</v>
      </c>
      <c r="R168" s="28" t="s">
        <v>364</v>
      </c>
      <c r="S168" s="30">
        <v>43166</v>
      </c>
      <c r="T168" s="30">
        <v>43173</v>
      </c>
      <c r="U168" s="28" t="s">
        <v>1295</v>
      </c>
      <c r="V168" s="259" t="s">
        <v>1298</v>
      </c>
      <c r="W168" s="28" t="s">
        <v>1301</v>
      </c>
      <c r="X168" s="3">
        <f t="shared" si="28"/>
        <v>50</v>
      </c>
      <c r="Y168" s="3" t="b">
        <f t="shared" si="29"/>
        <v>0</v>
      </c>
    </row>
    <row r="169" spans="14:25">
      <c r="N169" s="59" t="s">
        <v>1244</v>
      </c>
      <c r="O169" s="59" t="s">
        <v>1235</v>
      </c>
      <c r="P169" s="59">
        <v>20</v>
      </c>
      <c r="Q169" s="59" t="s">
        <v>1229</v>
      </c>
      <c r="R169" s="59" t="s">
        <v>364</v>
      </c>
      <c r="S169" s="60">
        <v>43166</v>
      </c>
      <c r="T169" s="60">
        <v>43175</v>
      </c>
      <c r="U169" s="59" t="s">
        <v>1263</v>
      </c>
      <c r="V169" s="264" t="s">
        <v>1300</v>
      </c>
      <c r="W169" s="59" t="s">
        <v>1301</v>
      </c>
      <c r="X169" s="3">
        <f t="shared" si="28"/>
        <v>20</v>
      </c>
      <c r="Y169" s="3" t="b">
        <f t="shared" si="29"/>
        <v>0</v>
      </c>
    </row>
    <row r="170" spans="14:25">
      <c r="N170" s="30" t="s">
        <v>0</v>
      </c>
      <c r="O170" s="28" t="s">
        <v>1235</v>
      </c>
      <c r="P170" s="28">
        <v>50</v>
      </c>
      <c r="Q170" s="30" t="s">
        <v>1229</v>
      </c>
      <c r="R170" s="30" t="s">
        <v>364</v>
      </c>
      <c r="S170" s="30">
        <v>43166</v>
      </c>
      <c r="T170" s="30">
        <v>43175</v>
      </c>
      <c r="U170" s="30" t="s">
        <v>1263</v>
      </c>
      <c r="V170" s="262" t="s">
        <v>1302</v>
      </c>
      <c r="W170" s="30" t="s">
        <v>1301</v>
      </c>
      <c r="X170" s="3">
        <f t="shared" si="28"/>
        <v>50</v>
      </c>
      <c r="Y170" s="3" t="b">
        <f t="shared" si="29"/>
        <v>0</v>
      </c>
    </row>
    <row r="171" spans="14:25">
      <c r="N171" s="30" t="s">
        <v>364</v>
      </c>
      <c r="O171" s="30" t="s">
        <v>1237</v>
      </c>
      <c r="P171" s="28">
        <v>6</v>
      </c>
      <c r="Q171" s="30" t="s">
        <v>1282</v>
      </c>
      <c r="R171" s="30" t="s">
        <v>1245</v>
      </c>
      <c r="S171" s="30">
        <v>43166</v>
      </c>
      <c r="T171" s="30"/>
      <c r="U171" s="30" t="s">
        <v>1283</v>
      </c>
      <c r="V171" s="262" t="s">
        <v>1303</v>
      </c>
      <c r="W171" s="30" t="s">
        <v>1287</v>
      </c>
      <c r="X171" s="3">
        <f t="shared" si="28"/>
        <v>-6</v>
      </c>
      <c r="Y171" s="3" t="b">
        <f t="shared" si="29"/>
        <v>0</v>
      </c>
    </row>
    <row r="172" spans="14:25">
      <c r="N172" s="31" t="s">
        <v>1245</v>
      </c>
      <c r="O172" s="31" t="s">
        <v>1237</v>
      </c>
      <c r="P172" s="31">
        <v>6</v>
      </c>
      <c r="Q172" s="31"/>
      <c r="R172" s="31" t="s">
        <v>1245</v>
      </c>
      <c r="S172" s="32">
        <v>43166</v>
      </c>
      <c r="T172" s="31"/>
      <c r="U172" s="31" t="s">
        <v>1283</v>
      </c>
      <c r="V172" s="265" t="s">
        <v>1303</v>
      </c>
      <c r="W172" s="31" t="s">
        <v>1287</v>
      </c>
      <c r="X172" s="3" t="b">
        <f t="shared" si="28"/>
        <v>0</v>
      </c>
      <c r="Y172" s="3" t="b">
        <f t="shared" si="29"/>
        <v>0</v>
      </c>
    </row>
    <row r="173" spans="14:25">
      <c r="N173" s="30" t="s">
        <v>364</v>
      </c>
      <c r="O173" s="30" t="s">
        <v>1235</v>
      </c>
      <c r="P173" s="28">
        <v>3</v>
      </c>
      <c r="Q173" s="30" t="s">
        <v>1282</v>
      </c>
      <c r="R173" s="30" t="s">
        <v>1245</v>
      </c>
      <c r="S173" s="30">
        <v>43166</v>
      </c>
      <c r="T173" s="30"/>
      <c r="U173" s="30" t="s">
        <v>1283</v>
      </c>
      <c r="V173" s="262" t="s">
        <v>1303</v>
      </c>
      <c r="W173" s="30" t="s">
        <v>1287</v>
      </c>
      <c r="X173" s="3">
        <f t="shared" si="28"/>
        <v>-3</v>
      </c>
      <c r="Y173" s="3" t="b">
        <f t="shared" si="29"/>
        <v>0</v>
      </c>
    </row>
    <row r="174" spans="14:25">
      <c r="N174" s="31" t="s">
        <v>1245</v>
      </c>
      <c r="O174" s="31" t="s">
        <v>1235</v>
      </c>
      <c r="P174" s="31">
        <v>3</v>
      </c>
      <c r="Q174" s="31"/>
      <c r="R174" s="31" t="s">
        <v>1245</v>
      </c>
      <c r="S174" s="32">
        <v>43166</v>
      </c>
      <c r="T174" s="31"/>
      <c r="U174" s="31" t="s">
        <v>1283</v>
      </c>
      <c r="V174" s="265" t="s">
        <v>1303</v>
      </c>
      <c r="W174" s="31" t="s">
        <v>1287</v>
      </c>
      <c r="X174" s="3" t="b">
        <f t="shared" si="28"/>
        <v>0</v>
      </c>
      <c r="Y174" s="3" t="b">
        <f t="shared" si="29"/>
        <v>0</v>
      </c>
    </row>
    <row r="175" spans="14:25">
      <c r="N175" s="28" t="s">
        <v>364</v>
      </c>
      <c r="O175" s="28" t="s">
        <v>1234</v>
      </c>
      <c r="P175" s="28">
        <v>3</v>
      </c>
      <c r="Q175" s="28" t="s">
        <v>1285</v>
      </c>
      <c r="R175" s="28" t="s">
        <v>364</v>
      </c>
      <c r="S175" s="30">
        <v>43197</v>
      </c>
      <c r="T175" s="30"/>
      <c r="U175" s="28" t="s">
        <v>1283</v>
      </c>
      <c r="V175" s="259" t="s">
        <v>1303</v>
      </c>
      <c r="W175" s="28" t="s">
        <v>1287</v>
      </c>
      <c r="X175" s="3">
        <f t="shared" si="28"/>
        <v>3</v>
      </c>
      <c r="Y175" s="3">
        <f t="shared" si="29"/>
        <v>-3</v>
      </c>
    </row>
    <row r="176" spans="14:25">
      <c r="N176" s="28" t="s">
        <v>364</v>
      </c>
      <c r="O176" s="28" t="s">
        <v>1234</v>
      </c>
      <c r="P176" s="28">
        <v>3</v>
      </c>
      <c r="Q176" s="28" t="s">
        <v>1282</v>
      </c>
      <c r="R176" s="28" t="s">
        <v>1245</v>
      </c>
      <c r="S176" s="30">
        <v>43197</v>
      </c>
      <c r="T176" s="30"/>
      <c r="U176" s="28" t="s">
        <v>1283</v>
      </c>
      <c r="V176" s="259" t="s">
        <v>1303</v>
      </c>
      <c r="W176" s="28" t="s">
        <v>1287</v>
      </c>
      <c r="X176" s="3">
        <f t="shared" si="28"/>
        <v>-3</v>
      </c>
      <c r="Y176" s="3" t="b">
        <f t="shared" si="29"/>
        <v>0</v>
      </c>
    </row>
    <row r="177" spans="14:25">
      <c r="N177" s="31" t="s">
        <v>1245</v>
      </c>
      <c r="O177" s="31" t="s">
        <v>1234</v>
      </c>
      <c r="P177" s="31">
        <v>3</v>
      </c>
      <c r="Q177" s="31"/>
      <c r="R177" s="31" t="s">
        <v>1245</v>
      </c>
      <c r="S177" s="32">
        <v>43197</v>
      </c>
      <c r="T177" s="31"/>
      <c r="U177" s="31" t="s">
        <v>1283</v>
      </c>
      <c r="V177" s="265" t="s">
        <v>1303</v>
      </c>
      <c r="W177" s="31" t="s">
        <v>1287</v>
      </c>
      <c r="X177" s="3" t="b">
        <f t="shared" si="28"/>
        <v>0</v>
      </c>
      <c r="Y177" s="3" t="b">
        <f t="shared" si="29"/>
        <v>0</v>
      </c>
    </row>
    <row r="178" spans="14:25">
      <c r="N178" s="28" t="s">
        <v>364</v>
      </c>
      <c r="O178" s="28" t="s">
        <v>1267</v>
      </c>
      <c r="P178" s="28">
        <v>3</v>
      </c>
      <c r="Q178" s="28" t="s">
        <v>1282</v>
      </c>
      <c r="R178" s="28" t="s">
        <v>1245</v>
      </c>
      <c r="S178" s="30">
        <v>43197</v>
      </c>
      <c r="T178" s="30"/>
      <c r="U178" s="28" t="s">
        <v>1283</v>
      </c>
      <c r="V178" s="259"/>
      <c r="W178" s="28" t="s">
        <v>1287</v>
      </c>
      <c r="X178" s="3">
        <f t="shared" si="28"/>
        <v>-3</v>
      </c>
      <c r="Y178" s="3" t="b">
        <f t="shared" si="29"/>
        <v>0</v>
      </c>
    </row>
    <row r="179" spans="14:25">
      <c r="N179" s="31" t="s">
        <v>1245</v>
      </c>
      <c r="O179" s="31" t="s">
        <v>1267</v>
      </c>
      <c r="P179" s="31">
        <v>3</v>
      </c>
      <c r="Q179" s="31"/>
      <c r="R179" s="31" t="s">
        <v>1245</v>
      </c>
      <c r="S179" s="32">
        <v>43197</v>
      </c>
      <c r="T179" s="32"/>
      <c r="U179" s="31" t="s">
        <v>1283</v>
      </c>
      <c r="V179" s="265"/>
      <c r="W179" s="31" t="s">
        <v>1287</v>
      </c>
      <c r="X179" s="3" t="b">
        <f t="shared" si="28"/>
        <v>0</v>
      </c>
      <c r="Y179" s="3" t="b">
        <f t="shared" si="29"/>
        <v>0</v>
      </c>
    </row>
    <row r="180" spans="14:25">
      <c r="N180" s="28" t="s">
        <v>364</v>
      </c>
      <c r="O180" s="28" t="s">
        <v>1236</v>
      </c>
      <c r="P180" s="28">
        <v>3</v>
      </c>
      <c r="Q180" s="28" t="s">
        <v>1282</v>
      </c>
      <c r="R180" s="28" t="s">
        <v>1245</v>
      </c>
      <c r="S180" s="30">
        <v>43197</v>
      </c>
      <c r="T180" s="30"/>
      <c r="U180" s="28" t="s">
        <v>1283</v>
      </c>
      <c r="V180" s="259"/>
      <c r="W180" s="28" t="s">
        <v>1287</v>
      </c>
      <c r="X180" s="3">
        <f t="shared" si="28"/>
        <v>-3</v>
      </c>
      <c r="Y180" s="3" t="b">
        <f t="shared" si="29"/>
        <v>0</v>
      </c>
    </row>
    <row r="181" spans="14:25">
      <c r="N181" s="31" t="s">
        <v>1245</v>
      </c>
      <c r="O181" s="31" t="s">
        <v>1236</v>
      </c>
      <c r="P181" s="31">
        <v>3</v>
      </c>
      <c r="Q181" s="31"/>
      <c r="R181" s="31" t="s">
        <v>1245</v>
      </c>
      <c r="S181" s="32">
        <v>43197</v>
      </c>
      <c r="T181" s="32"/>
      <c r="U181" s="31" t="s">
        <v>1283</v>
      </c>
      <c r="V181" s="265"/>
      <c r="W181" s="31" t="s">
        <v>1287</v>
      </c>
      <c r="X181" s="3" t="b">
        <f t="shared" si="28"/>
        <v>0</v>
      </c>
      <c r="Y181" s="3" t="b">
        <f t="shared" si="29"/>
        <v>0</v>
      </c>
    </row>
    <row r="182" spans="14:25">
      <c r="N182" s="28" t="s">
        <v>364</v>
      </c>
      <c r="O182" s="28" t="s">
        <v>1238</v>
      </c>
      <c r="P182" s="28">
        <v>3</v>
      </c>
      <c r="Q182" s="28" t="s">
        <v>1282</v>
      </c>
      <c r="R182" s="28" t="s">
        <v>1245</v>
      </c>
      <c r="S182" s="30">
        <v>43197</v>
      </c>
      <c r="T182" s="30"/>
      <c r="U182" s="28" t="s">
        <v>1283</v>
      </c>
      <c r="V182" s="259" t="s">
        <v>1303</v>
      </c>
      <c r="W182" s="28" t="s">
        <v>1287</v>
      </c>
      <c r="X182" s="3">
        <f t="shared" si="28"/>
        <v>-3</v>
      </c>
      <c r="Y182" s="3" t="b">
        <f t="shared" si="29"/>
        <v>0</v>
      </c>
    </row>
    <row r="183" spans="14:25">
      <c r="N183" s="31" t="s">
        <v>1245</v>
      </c>
      <c r="O183" s="31" t="s">
        <v>1238</v>
      </c>
      <c r="P183" s="31">
        <v>3</v>
      </c>
      <c r="Q183" s="31"/>
      <c r="R183" s="31" t="s">
        <v>1245</v>
      </c>
      <c r="S183" s="32">
        <v>43197</v>
      </c>
      <c r="T183" s="32"/>
      <c r="U183" s="31" t="s">
        <v>1283</v>
      </c>
      <c r="V183" s="265" t="s">
        <v>1303</v>
      </c>
      <c r="W183" s="31" t="s">
        <v>1287</v>
      </c>
      <c r="X183" s="3" t="b">
        <f t="shared" si="28"/>
        <v>0</v>
      </c>
      <c r="Y183" s="3" t="b">
        <f t="shared" si="29"/>
        <v>0</v>
      </c>
    </row>
    <row r="184" spans="14:25">
      <c r="N184" s="28" t="s">
        <v>0</v>
      </c>
      <c r="O184" s="28" t="s">
        <v>1236</v>
      </c>
      <c r="P184" s="28">
        <v>7</v>
      </c>
      <c r="Q184" s="28" t="s">
        <v>1229</v>
      </c>
      <c r="R184" s="28" t="s">
        <v>364</v>
      </c>
      <c r="S184" s="30">
        <v>43167</v>
      </c>
      <c r="T184" s="30">
        <v>43175</v>
      </c>
      <c r="U184" s="28" t="s">
        <v>1263</v>
      </c>
      <c r="V184" s="259" t="s">
        <v>1304</v>
      </c>
      <c r="W184" s="28" t="s">
        <v>1305</v>
      </c>
      <c r="X184" s="3">
        <f t="shared" si="28"/>
        <v>7</v>
      </c>
      <c r="Y184" s="3" t="b">
        <f t="shared" si="29"/>
        <v>0</v>
      </c>
    </row>
    <row r="185" spans="14:25">
      <c r="N185" s="28" t="s">
        <v>203</v>
      </c>
      <c r="O185" s="28" t="s">
        <v>1234</v>
      </c>
      <c r="P185" s="28">
        <v>7</v>
      </c>
      <c r="Q185" s="28" t="s">
        <v>1233</v>
      </c>
      <c r="R185" s="28" t="s">
        <v>203</v>
      </c>
      <c r="S185" s="30">
        <v>43167</v>
      </c>
      <c r="T185" s="30"/>
      <c r="U185" s="28" t="s">
        <v>1295</v>
      </c>
      <c r="V185" s="259"/>
      <c r="W185" s="28" t="s">
        <v>1296</v>
      </c>
      <c r="X185" s="3">
        <f t="shared" si="28"/>
        <v>-7</v>
      </c>
      <c r="Y185" s="3">
        <f t="shared" si="29"/>
        <v>7</v>
      </c>
    </row>
    <row r="186" spans="14:25">
      <c r="N186" s="28" t="s">
        <v>203</v>
      </c>
      <c r="O186" s="28" t="s">
        <v>1267</v>
      </c>
      <c r="P186" s="28">
        <v>15</v>
      </c>
      <c r="Q186" s="28" t="s">
        <v>1233</v>
      </c>
      <c r="R186" s="28" t="s">
        <v>203</v>
      </c>
      <c r="S186" s="30">
        <v>43167</v>
      </c>
      <c r="T186" s="30"/>
      <c r="U186" s="28" t="s">
        <v>1295</v>
      </c>
      <c r="V186" s="259"/>
      <c r="W186" s="28" t="s">
        <v>1296</v>
      </c>
      <c r="X186" s="3">
        <f t="shared" si="28"/>
        <v>-15</v>
      </c>
      <c r="Y186" s="3">
        <f t="shared" si="29"/>
        <v>15</v>
      </c>
    </row>
    <row r="187" spans="14:25">
      <c r="N187" s="28" t="s">
        <v>203</v>
      </c>
      <c r="O187" s="28" t="s">
        <v>1267</v>
      </c>
      <c r="P187" s="28">
        <v>3</v>
      </c>
      <c r="Q187" s="28" t="s">
        <v>1233</v>
      </c>
      <c r="R187" s="28" t="s">
        <v>203</v>
      </c>
      <c r="S187" s="30">
        <v>43168</v>
      </c>
      <c r="T187" s="30"/>
      <c r="U187" s="28" t="s">
        <v>1295</v>
      </c>
      <c r="V187" s="259"/>
      <c r="W187" s="28" t="s">
        <v>1296</v>
      </c>
      <c r="X187" s="3">
        <f t="shared" si="28"/>
        <v>-3</v>
      </c>
      <c r="Y187" s="3">
        <f t="shared" si="29"/>
        <v>3</v>
      </c>
    </row>
    <row r="188" spans="14:25">
      <c r="N188" s="26" t="s">
        <v>0</v>
      </c>
      <c r="O188" s="26" t="s">
        <v>1228</v>
      </c>
      <c r="P188" s="26">
        <v>10</v>
      </c>
      <c r="Q188" s="26" t="s">
        <v>1233</v>
      </c>
      <c r="R188" s="26" t="s">
        <v>0</v>
      </c>
      <c r="S188" s="29">
        <v>43168</v>
      </c>
      <c r="T188" s="29">
        <v>43168</v>
      </c>
      <c r="U188" s="26" t="s">
        <v>1275</v>
      </c>
      <c r="V188" s="257" t="s">
        <v>1306</v>
      </c>
      <c r="W188" s="26" t="s">
        <v>1296</v>
      </c>
      <c r="X188" s="3">
        <f t="shared" si="28"/>
        <v>-10</v>
      </c>
      <c r="Y188" s="3">
        <f t="shared" si="29"/>
        <v>10</v>
      </c>
    </row>
    <row r="189" spans="14:25">
      <c r="N189" s="26" t="s">
        <v>0</v>
      </c>
      <c r="O189" s="26" t="s">
        <v>1234</v>
      </c>
      <c r="P189" s="26">
        <v>10</v>
      </c>
      <c r="Q189" s="26" t="s">
        <v>1233</v>
      </c>
      <c r="R189" s="26" t="s">
        <v>0</v>
      </c>
      <c r="S189" s="29">
        <v>43168</v>
      </c>
      <c r="T189" s="29">
        <v>43168</v>
      </c>
      <c r="U189" s="26" t="s">
        <v>1275</v>
      </c>
      <c r="V189" s="257"/>
      <c r="W189" s="26" t="s">
        <v>1296</v>
      </c>
      <c r="X189" s="3">
        <f t="shared" si="28"/>
        <v>-10</v>
      </c>
      <c r="Y189" s="3">
        <f t="shared" si="29"/>
        <v>10</v>
      </c>
    </row>
    <row r="190" spans="14:25">
      <c r="N190" s="26" t="s">
        <v>0</v>
      </c>
      <c r="O190" s="26" t="s">
        <v>1235</v>
      </c>
      <c r="P190" s="26">
        <v>10</v>
      </c>
      <c r="Q190" s="26" t="s">
        <v>1233</v>
      </c>
      <c r="R190" s="26" t="s">
        <v>0</v>
      </c>
      <c r="S190" s="29">
        <v>43168</v>
      </c>
      <c r="T190" s="29">
        <v>43168</v>
      </c>
      <c r="U190" s="26" t="s">
        <v>1275</v>
      </c>
      <c r="V190" s="257"/>
      <c r="W190" s="26" t="s">
        <v>1296</v>
      </c>
      <c r="X190" s="3">
        <f t="shared" si="28"/>
        <v>-10</v>
      </c>
      <c r="Y190" s="3">
        <f t="shared" si="29"/>
        <v>10</v>
      </c>
    </row>
    <row r="191" spans="14:25">
      <c r="N191" s="26" t="s">
        <v>0</v>
      </c>
      <c r="O191" s="26" t="s">
        <v>1236</v>
      </c>
      <c r="P191" s="26">
        <v>7</v>
      </c>
      <c r="Q191" s="26" t="s">
        <v>1233</v>
      </c>
      <c r="R191" s="26" t="s">
        <v>0</v>
      </c>
      <c r="S191" s="29">
        <v>43168</v>
      </c>
      <c r="T191" s="29">
        <v>43168</v>
      </c>
      <c r="U191" s="26" t="s">
        <v>1275</v>
      </c>
      <c r="V191" s="257"/>
      <c r="W191" s="26" t="s">
        <v>1296</v>
      </c>
      <c r="X191" s="3">
        <f t="shared" si="28"/>
        <v>-7</v>
      </c>
      <c r="Y191" s="3">
        <f t="shared" si="29"/>
        <v>7</v>
      </c>
    </row>
    <row r="192" spans="14:25">
      <c r="N192" s="26" t="s">
        <v>0</v>
      </c>
      <c r="O192" s="26" t="s">
        <v>1237</v>
      </c>
      <c r="P192" s="26">
        <v>20</v>
      </c>
      <c r="Q192" s="26" t="s">
        <v>1233</v>
      </c>
      <c r="R192" s="26" t="s">
        <v>0</v>
      </c>
      <c r="S192" s="29">
        <v>43168</v>
      </c>
      <c r="T192" s="29">
        <v>43168</v>
      </c>
      <c r="U192" s="26" t="s">
        <v>1275</v>
      </c>
      <c r="V192" s="257"/>
      <c r="W192" s="26" t="s">
        <v>1296</v>
      </c>
      <c r="X192" s="3">
        <f t="shared" si="28"/>
        <v>-20</v>
      </c>
      <c r="Y192" s="3">
        <f t="shared" si="29"/>
        <v>20</v>
      </c>
    </row>
    <row r="193" spans="14:25">
      <c r="N193" s="26" t="s">
        <v>0</v>
      </c>
      <c r="O193" s="26" t="s">
        <v>1238</v>
      </c>
      <c r="P193" s="26">
        <v>10</v>
      </c>
      <c r="Q193" s="26" t="s">
        <v>1233</v>
      </c>
      <c r="R193" s="26" t="s">
        <v>0</v>
      </c>
      <c r="S193" s="29">
        <v>43168</v>
      </c>
      <c r="T193" s="29">
        <v>43168</v>
      </c>
      <c r="U193" s="26" t="s">
        <v>1275</v>
      </c>
      <c r="V193" s="257"/>
      <c r="W193" s="26" t="s">
        <v>1296</v>
      </c>
      <c r="X193" s="3">
        <f t="shared" si="28"/>
        <v>-10</v>
      </c>
      <c r="Y193" s="3">
        <f t="shared" si="29"/>
        <v>10</v>
      </c>
    </row>
    <row r="194" spans="14:25">
      <c r="N194" s="26" t="s">
        <v>0</v>
      </c>
      <c r="O194" s="26" t="s">
        <v>1267</v>
      </c>
      <c r="P194" s="26">
        <v>10</v>
      </c>
      <c r="Q194" s="26" t="s">
        <v>1233</v>
      </c>
      <c r="R194" s="26" t="s">
        <v>0</v>
      </c>
      <c r="S194" s="29">
        <v>43168</v>
      </c>
      <c r="T194" s="29">
        <v>43168</v>
      </c>
      <c r="U194" s="26" t="s">
        <v>1275</v>
      </c>
      <c r="V194" s="257"/>
      <c r="W194" s="26" t="s">
        <v>1296</v>
      </c>
      <c r="X194" s="3">
        <f t="shared" ref="X194:X250" si="30">IF(OR(Q194="Stock to Rack",Q194="From Stock"),-P194,IF(OR(Q194="Rack to Stock",Q194="To Stock"),P194))</f>
        <v>-10</v>
      </c>
      <c r="Y194" s="3">
        <f t="shared" ref="Y194:Y250" si="31">IF(Q194="Rack to Stock",-P194,IF(Q194="Stock to Rack",P194))</f>
        <v>10</v>
      </c>
    </row>
    <row r="195" spans="14:25">
      <c r="N195" s="26" t="s">
        <v>0</v>
      </c>
      <c r="O195" s="26" t="s">
        <v>1228</v>
      </c>
      <c r="P195" s="26">
        <v>1</v>
      </c>
      <c r="Q195" s="26" t="s">
        <v>1233</v>
      </c>
      <c r="R195" s="26" t="s">
        <v>0</v>
      </c>
      <c r="S195" s="29">
        <v>43168</v>
      </c>
      <c r="T195" s="29">
        <v>43168</v>
      </c>
      <c r="U195" s="26" t="s">
        <v>1275</v>
      </c>
      <c r="V195" s="257" t="s">
        <v>1307</v>
      </c>
      <c r="W195" s="26" t="s">
        <v>1308</v>
      </c>
      <c r="X195" s="3">
        <f t="shared" si="30"/>
        <v>-1</v>
      </c>
      <c r="Y195" s="3">
        <f t="shared" si="31"/>
        <v>1</v>
      </c>
    </row>
    <row r="196" spans="14:25">
      <c r="N196" s="26" t="s">
        <v>0</v>
      </c>
      <c r="O196" s="26" t="s">
        <v>1238</v>
      </c>
      <c r="P196" s="26">
        <v>1</v>
      </c>
      <c r="Q196" s="26" t="s">
        <v>1233</v>
      </c>
      <c r="R196" s="26" t="s">
        <v>0</v>
      </c>
      <c r="S196" s="29">
        <v>43168</v>
      </c>
      <c r="T196" s="29">
        <v>43168</v>
      </c>
      <c r="U196" s="26" t="s">
        <v>1275</v>
      </c>
      <c r="V196" s="257"/>
      <c r="W196" s="26" t="s">
        <v>1308</v>
      </c>
      <c r="X196" s="3">
        <f t="shared" si="30"/>
        <v>-1</v>
      </c>
      <c r="Y196" s="3">
        <f t="shared" si="31"/>
        <v>1</v>
      </c>
    </row>
    <row r="197" spans="14:25">
      <c r="N197" s="26" t="s">
        <v>0</v>
      </c>
      <c r="O197" s="26" t="s">
        <v>1236</v>
      </c>
      <c r="P197" s="26">
        <v>2</v>
      </c>
      <c r="Q197" s="26" t="s">
        <v>1229</v>
      </c>
      <c r="R197" s="26" t="s">
        <v>1245</v>
      </c>
      <c r="S197" s="29">
        <v>43159</v>
      </c>
      <c r="T197" s="29"/>
      <c r="U197" s="26" t="s">
        <v>1263</v>
      </c>
      <c r="V197" s="257"/>
      <c r="W197" s="26" t="s">
        <v>1309</v>
      </c>
      <c r="X197" s="3">
        <f t="shared" si="30"/>
        <v>2</v>
      </c>
      <c r="Y197" s="3" t="b">
        <f t="shared" si="31"/>
        <v>0</v>
      </c>
    </row>
    <row r="198" spans="14:25">
      <c r="N198" s="31" t="s">
        <v>364</v>
      </c>
      <c r="O198" s="31" t="s">
        <v>1228</v>
      </c>
      <c r="P198" s="31">
        <v>9</v>
      </c>
      <c r="Q198" s="31"/>
      <c r="R198" s="31" t="s">
        <v>364</v>
      </c>
      <c r="S198" s="32">
        <v>43168</v>
      </c>
      <c r="T198" s="32"/>
      <c r="U198" s="31" t="s">
        <v>1263</v>
      </c>
      <c r="V198" s="266" t="s">
        <v>38</v>
      </c>
      <c r="W198" s="31" t="s">
        <v>1310</v>
      </c>
      <c r="X198" s="3" t="b">
        <f t="shared" si="30"/>
        <v>0</v>
      </c>
      <c r="Y198" s="3" t="b">
        <f t="shared" si="31"/>
        <v>0</v>
      </c>
    </row>
    <row r="199" spans="14:25">
      <c r="N199" s="28" t="s">
        <v>0</v>
      </c>
      <c r="O199" s="28" t="s">
        <v>1228</v>
      </c>
      <c r="P199" s="28">
        <v>40</v>
      </c>
      <c r="Q199" s="28" t="s">
        <v>1229</v>
      </c>
      <c r="R199" s="28" t="s">
        <v>364</v>
      </c>
      <c r="S199" s="30">
        <v>43168</v>
      </c>
      <c r="T199" s="30">
        <v>43178</v>
      </c>
      <c r="U199" s="28" t="s">
        <v>1263</v>
      </c>
      <c r="V199" s="259" t="s">
        <v>1311</v>
      </c>
      <c r="W199" s="28" t="s">
        <v>1310</v>
      </c>
      <c r="X199" s="3">
        <f t="shared" si="30"/>
        <v>40</v>
      </c>
      <c r="Y199" s="3" t="b">
        <f t="shared" si="31"/>
        <v>0</v>
      </c>
    </row>
    <row r="200" spans="14:25">
      <c r="N200" s="59" t="s">
        <v>336</v>
      </c>
      <c r="O200" s="59" t="s">
        <v>1228</v>
      </c>
      <c r="P200" s="59">
        <v>40</v>
      </c>
      <c r="Q200" s="59" t="s">
        <v>1229</v>
      </c>
      <c r="R200" s="59" t="s">
        <v>364</v>
      </c>
      <c r="S200" s="60">
        <v>43168</v>
      </c>
      <c r="T200" s="60">
        <v>43178</v>
      </c>
      <c r="U200" s="59" t="s">
        <v>1263</v>
      </c>
      <c r="V200" s="264" t="s">
        <v>1312</v>
      </c>
      <c r="W200" s="59" t="s">
        <v>1310</v>
      </c>
      <c r="X200" s="3">
        <f t="shared" si="30"/>
        <v>40</v>
      </c>
      <c r="Y200" s="3" t="b">
        <f t="shared" si="31"/>
        <v>0</v>
      </c>
    </row>
    <row r="201" spans="14:25">
      <c r="N201" s="59" t="s">
        <v>203</v>
      </c>
      <c r="O201" s="59" t="s">
        <v>1228</v>
      </c>
      <c r="P201" s="59">
        <v>40</v>
      </c>
      <c r="Q201" s="59" t="s">
        <v>1229</v>
      </c>
      <c r="R201" s="59" t="s">
        <v>364</v>
      </c>
      <c r="S201" s="60">
        <v>43168</v>
      </c>
      <c r="T201" s="60">
        <v>43178</v>
      </c>
      <c r="U201" s="59" t="s">
        <v>1295</v>
      </c>
      <c r="V201" s="267" t="s">
        <v>1681</v>
      </c>
      <c r="W201" s="59" t="s">
        <v>1310</v>
      </c>
      <c r="X201" s="3">
        <f t="shared" si="30"/>
        <v>40</v>
      </c>
      <c r="Y201" s="3" t="b">
        <f t="shared" si="31"/>
        <v>0</v>
      </c>
    </row>
    <row r="202" spans="14:25">
      <c r="N202" s="59" t="s">
        <v>1244</v>
      </c>
      <c r="O202" s="59" t="s">
        <v>1228</v>
      </c>
      <c r="P202" s="59">
        <v>21</v>
      </c>
      <c r="Q202" s="59" t="s">
        <v>1229</v>
      </c>
      <c r="R202" s="59" t="s">
        <v>364</v>
      </c>
      <c r="S202" s="60">
        <v>43168</v>
      </c>
      <c r="T202" s="60">
        <v>43175</v>
      </c>
      <c r="U202" s="59" t="s">
        <v>1263</v>
      </c>
      <c r="V202" s="264" t="s">
        <v>1313</v>
      </c>
      <c r="W202" s="59" t="s">
        <v>1310</v>
      </c>
      <c r="X202" s="3">
        <f t="shared" si="30"/>
        <v>21</v>
      </c>
      <c r="Y202" s="3" t="b">
        <f t="shared" si="31"/>
        <v>0</v>
      </c>
    </row>
    <row r="203" spans="14:25">
      <c r="N203" s="28" t="s">
        <v>203</v>
      </c>
      <c r="O203" s="28" t="s">
        <v>1267</v>
      </c>
      <c r="P203" s="28">
        <v>1</v>
      </c>
      <c r="Q203" s="28" t="s">
        <v>1233</v>
      </c>
      <c r="R203" s="28" t="s">
        <v>203</v>
      </c>
      <c r="S203" s="30">
        <v>43169</v>
      </c>
      <c r="T203" s="30"/>
      <c r="U203" s="28" t="s">
        <v>1295</v>
      </c>
      <c r="V203" s="259"/>
      <c r="W203" s="28"/>
      <c r="X203" s="3">
        <f t="shared" si="30"/>
        <v>-1</v>
      </c>
      <c r="Y203" s="3">
        <f t="shared" si="31"/>
        <v>1</v>
      </c>
    </row>
    <row r="204" spans="14:25" ht="45">
      <c r="N204" s="28" t="s">
        <v>203</v>
      </c>
      <c r="O204" s="28" t="s">
        <v>1228</v>
      </c>
      <c r="P204" s="28">
        <v>5</v>
      </c>
      <c r="Q204" s="28" t="s">
        <v>1233</v>
      </c>
      <c r="R204" s="28" t="s">
        <v>203</v>
      </c>
      <c r="S204" s="30">
        <v>43171</v>
      </c>
      <c r="T204" s="30"/>
      <c r="U204" s="28" t="s">
        <v>1295</v>
      </c>
      <c r="V204" s="268" t="s">
        <v>1314</v>
      </c>
      <c r="W204" s="28"/>
      <c r="X204" s="3">
        <f t="shared" si="30"/>
        <v>-5</v>
      </c>
      <c r="Y204" s="3">
        <f t="shared" si="31"/>
        <v>5</v>
      </c>
    </row>
    <row r="205" spans="14:25">
      <c r="N205" s="28" t="s">
        <v>0</v>
      </c>
      <c r="O205" s="28" t="s">
        <v>1228</v>
      </c>
      <c r="P205" s="28">
        <v>2</v>
      </c>
      <c r="Q205" s="28" t="s">
        <v>1233</v>
      </c>
      <c r="R205" s="28" t="s">
        <v>0</v>
      </c>
      <c r="S205" s="30">
        <v>43171</v>
      </c>
      <c r="T205" s="30">
        <v>43171</v>
      </c>
      <c r="U205" s="28" t="s">
        <v>1275</v>
      </c>
      <c r="V205" s="259"/>
      <c r="W205" s="28" t="s">
        <v>1315</v>
      </c>
      <c r="X205" s="3">
        <f t="shared" si="30"/>
        <v>-2</v>
      </c>
      <c r="Y205" s="3">
        <f t="shared" si="31"/>
        <v>2</v>
      </c>
    </row>
    <row r="206" spans="14:25">
      <c r="N206" s="28" t="s">
        <v>0</v>
      </c>
      <c r="O206" s="28" t="s">
        <v>1234</v>
      </c>
      <c r="P206" s="28">
        <v>2</v>
      </c>
      <c r="Q206" s="28" t="s">
        <v>1233</v>
      </c>
      <c r="R206" s="28" t="s">
        <v>0</v>
      </c>
      <c r="S206" s="30">
        <v>43171</v>
      </c>
      <c r="T206" s="30">
        <v>43171</v>
      </c>
      <c r="U206" s="28" t="s">
        <v>1275</v>
      </c>
      <c r="V206" s="259"/>
      <c r="W206" s="28" t="s">
        <v>1315</v>
      </c>
      <c r="X206" s="3">
        <f t="shared" si="30"/>
        <v>-2</v>
      </c>
      <c r="Y206" s="3">
        <f t="shared" si="31"/>
        <v>2</v>
      </c>
    </row>
    <row r="207" spans="14:25">
      <c r="N207" s="28" t="s">
        <v>0</v>
      </c>
      <c r="O207" s="28" t="s">
        <v>1235</v>
      </c>
      <c r="P207" s="28">
        <v>2</v>
      </c>
      <c r="Q207" s="28" t="s">
        <v>1233</v>
      </c>
      <c r="R207" s="28" t="s">
        <v>0</v>
      </c>
      <c r="S207" s="30">
        <v>43171</v>
      </c>
      <c r="T207" s="30">
        <v>43171</v>
      </c>
      <c r="U207" s="28" t="s">
        <v>1275</v>
      </c>
      <c r="V207" s="259"/>
      <c r="W207" s="28" t="s">
        <v>1315</v>
      </c>
      <c r="X207" s="3">
        <f t="shared" si="30"/>
        <v>-2</v>
      </c>
      <c r="Y207" s="3">
        <f t="shared" si="31"/>
        <v>2</v>
      </c>
    </row>
    <row r="208" spans="14:25">
      <c r="N208" s="28" t="s">
        <v>0</v>
      </c>
      <c r="O208" s="28" t="s">
        <v>1238</v>
      </c>
      <c r="P208" s="28">
        <v>2</v>
      </c>
      <c r="Q208" s="28" t="s">
        <v>1233</v>
      </c>
      <c r="R208" s="28" t="s">
        <v>0</v>
      </c>
      <c r="S208" s="30">
        <v>43171</v>
      </c>
      <c r="T208" s="30">
        <v>43171</v>
      </c>
      <c r="U208" s="28" t="s">
        <v>1275</v>
      </c>
      <c r="V208" s="259"/>
      <c r="W208" s="28" t="s">
        <v>1315</v>
      </c>
      <c r="X208" s="3">
        <f t="shared" si="30"/>
        <v>-2</v>
      </c>
      <c r="Y208" s="3">
        <f t="shared" si="31"/>
        <v>2</v>
      </c>
    </row>
    <row r="209" spans="14:25">
      <c r="N209" s="28" t="s">
        <v>0</v>
      </c>
      <c r="O209" s="28" t="s">
        <v>1237</v>
      </c>
      <c r="P209" s="28">
        <v>4</v>
      </c>
      <c r="Q209" s="28" t="s">
        <v>1233</v>
      </c>
      <c r="R209" s="28" t="s">
        <v>0</v>
      </c>
      <c r="S209" s="30">
        <v>43171</v>
      </c>
      <c r="T209" s="30">
        <v>43171</v>
      </c>
      <c r="U209" s="28" t="s">
        <v>1275</v>
      </c>
      <c r="V209" s="259"/>
      <c r="W209" s="28" t="s">
        <v>1315</v>
      </c>
      <c r="X209" s="3">
        <f t="shared" si="30"/>
        <v>-4</v>
      </c>
      <c r="Y209" s="3">
        <f t="shared" si="31"/>
        <v>4</v>
      </c>
    </row>
    <row r="210" spans="14:25">
      <c r="N210" s="28" t="s">
        <v>0</v>
      </c>
      <c r="O210" s="28" t="s">
        <v>1236</v>
      </c>
      <c r="P210" s="28">
        <v>2</v>
      </c>
      <c r="Q210" s="28" t="s">
        <v>1233</v>
      </c>
      <c r="R210" s="28" t="s">
        <v>0</v>
      </c>
      <c r="S210" s="30">
        <v>43171</v>
      </c>
      <c r="T210" s="30">
        <v>43171</v>
      </c>
      <c r="U210" s="28" t="s">
        <v>1275</v>
      </c>
      <c r="V210" s="259"/>
      <c r="W210" s="28" t="s">
        <v>1315</v>
      </c>
      <c r="X210" s="3">
        <f t="shared" si="30"/>
        <v>-2</v>
      </c>
      <c r="Y210" s="3">
        <f t="shared" si="31"/>
        <v>2</v>
      </c>
    </row>
    <row r="211" spans="14:25">
      <c r="N211" s="28" t="s">
        <v>364</v>
      </c>
      <c r="O211" s="28" t="s">
        <v>1234</v>
      </c>
      <c r="P211" s="28">
        <v>2</v>
      </c>
      <c r="Q211" s="28" t="s">
        <v>1282</v>
      </c>
      <c r="R211" s="28" t="s">
        <v>1245</v>
      </c>
      <c r="S211" s="30">
        <v>43171</v>
      </c>
      <c r="T211" s="28"/>
      <c r="U211" s="28" t="s">
        <v>1283</v>
      </c>
      <c r="V211" s="259"/>
      <c r="W211" s="26" t="s">
        <v>1316</v>
      </c>
      <c r="X211" s="3">
        <f t="shared" si="30"/>
        <v>-2</v>
      </c>
      <c r="Y211" s="3" t="b">
        <f t="shared" si="31"/>
        <v>0</v>
      </c>
    </row>
    <row r="212" spans="14:25">
      <c r="N212" s="28" t="s">
        <v>364</v>
      </c>
      <c r="O212" s="28" t="s">
        <v>1238</v>
      </c>
      <c r="P212" s="28">
        <v>2</v>
      </c>
      <c r="Q212" s="28" t="s">
        <v>1282</v>
      </c>
      <c r="R212" s="28" t="s">
        <v>1245</v>
      </c>
      <c r="S212" s="30">
        <v>43171</v>
      </c>
      <c r="T212" s="28"/>
      <c r="U212" s="28" t="s">
        <v>1283</v>
      </c>
      <c r="V212" s="259"/>
      <c r="W212" s="26" t="s">
        <v>1316</v>
      </c>
      <c r="X212" s="3">
        <f t="shared" si="30"/>
        <v>-2</v>
      </c>
      <c r="Y212" s="3" t="b">
        <f t="shared" si="31"/>
        <v>0</v>
      </c>
    </row>
    <row r="213" spans="14:25">
      <c r="N213" s="31" t="s">
        <v>1245</v>
      </c>
      <c r="O213" s="31" t="s">
        <v>1234</v>
      </c>
      <c r="P213" s="31">
        <v>2</v>
      </c>
      <c r="Q213" s="31"/>
      <c r="R213" s="31" t="s">
        <v>1245</v>
      </c>
      <c r="S213" s="32">
        <v>43171</v>
      </c>
      <c r="T213" s="31"/>
      <c r="U213" s="31" t="s">
        <v>1283</v>
      </c>
      <c r="V213" s="265"/>
      <c r="W213" s="31" t="s">
        <v>1316</v>
      </c>
      <c r="X213" s="3" t="b">
        <f t="shared" si="30"/>
        <v>0</v>
      </c>
      <c r="Y213" s="3" t="b">
        <f t="shared" si="31"/>
        <v>0</v>
      </c>
    </row>
    <row r="214" spans="14:25">
      <c r="N214" s="31" t="s">
        <v>1245</v>
      </c>
      <c r="O214" s="31" t="s">
        <v>1238</v>
      </c>
      <c r="P214" s="31">
        <v>2</v>
      </c>
      <c r="Q214" s="31"/>
      <c r="R214" s="31" t="s">
        <v>1245</v>
      </c>
      <c r="S214" s="32">
        <v>43171</v>
      </c>
      <c r="T214" s="31"/>
      <c r="U214" s="31" t="s">
        <v>1283</v>
      </c>
      <c r="V214" s="265"/>
      <c r="W214" s="31" t="s">
        <v>1316</v>
      </c>
      <c r="X214" s="3" t="b">
        <f t="shared" si="30"/>
        <v>0</v>
      </c>
      <c r="Y214" s="3" t="b">
        <f t="shared" si="31"/>
        <v>0</v>
      </c>
    </row>
    <row r="215" spans="14:25">
      <c r="N215" s="28" t="s">
        <v>0</v>
      </c>
      <c r="O215" s="28" t="s">
        <v>1268</v>
      </c>
      <c r="P215" s="28">
        <v>9</v>
      </c>
      <c r="Q215" s="28" t="s">
        <v>1229</v>
      </c>
      <c r="R215" s="28" t="s">
        <v>364</v>
      </c>
      <c r="S215" s="30">
        <v>43172</v>
      </c>
      <c r="T215" s="30">
        <v>43172</v>
      </c>
      <c r="U215" s="28" t="s">
        <v>1275</v>
      </c>
      <c r="V215" s="259" t="s">
        <v>1317</v>
      </c>
      <c r="W215" s="28" t="s">
        <v>1318</v>
      </c>
      <c r="X215" s="3">
        <f t="shared" si="30"/>
        <v>9</v>
      </c>
      <c r="Y215" s="3" t="b">
        <f t="shared" si="31"/>
        <v>0</v>
      </c>
    </row>
    <row r="216" spans="14:25">
      <c r="N216" s="28" t="s">
        <v>364</v>
      </c>
      <c r="O216" s="28" t="s">
        <v>1237</v>
      </c>
      <c r="P216" s="28">
        <v>22</v>
      </c>
      <c r="Q216" s="28" t="s">
        <v>1233</v>
      </c>
      <c r="R216" s="28" t="s">
        <v>364</v>
      </c>
      <c r="S216" s="30">
        <v>43172</v>
      </c>
      <c r="T216" s="28"/>
      <c r="U216" s="28" t="s">
        <v>1283</v>
      </c>
      <c r="V216" s="259"/>
      <c r="W216" s="28" t="s">
        <v>1319</v>
      </c>
      <c r="X216" s="3">
        <f t="shared" si="30"/>
        <v>-22</v>
      </c>
      <c r="Y216" s="3">
        <f t="shared" si="31"/>
        <v>22</v>
      </c>
    </row>
    <row r="217" spans="14:25">
      <c r="N217" s="28" t="s">
        <v>203</v>
      </c>
      <c r="O217" s="28" t="s">
        <v>1237</v>
      </c>
      <c r="P217" s="28">
        <v>50</v>
      </c>
      <c r="Q217" s="28" t="s">
        <v>1229</v>
      </c>
      <c r="R217" s="28" t="s">
        <v>203</v>
      </c>
      <c r="S217" s="30">
        <v>43172</v>
      </c>
      <c r="T217" s="28"/>
      <c r="U217" s="28" t="s">
        <v>1295</v>
      </c>
      <c r="V217" s="259"/>
      <c r="W217" s="28"/>
      <c r="X217" s="3">
        <f t="shared" si="30"/>
        <v>50</v>
      </c>
      <c r="Y217" s="3" t="b">
        <f t="shared" si="31"/>
        <v>0</v>
      </c>
    </row>
    <row r="218" spans="14:25">
      <c r="N218" s="28" t="s">
        <v>203</v>
      </c>
      <c r="O218" s="28" t="s">
        <v>1267</v>
      </c>
      <c r="P218" s="28">
        <v>3</v>
      </c>
      <c r="Q218" s="28" t="s">
        <v>1233</v>
      </c>
      <c r="R218" s="28" t="s">
        <v>203</v>
      </c>
      <c r="S218" s="30">
        <v>43172</v>
      </c>
      <c r="T218" s="28"/>
      <c r="U218" s="28" t="s">
        <v>1295</v>
      </c>
      <c r="V218" s="259"/>
      <c r="W218" s="28"/>
      <c r="X218" s="3">
        <f t="shared" si="30"/>
        <v>-3</v>
      </c>
      <c r="Y218" s="3">
        <f t="shared" si="31"/>
        <v>3</v>
      </c>
    </row>
    <row r="219" spans="14:25">
      <c r="N219" s="28" t="s">
        <v>364</v>
      </c>
      <c r="O219" s="28" t="s">
        <v>1228</v>
      </c>
      <c r="P219" s="28">
        <v>2</v>
      </c>
      <c r="Q219" s="28" t="s">
        <v>1233</v>
      </c>
      <c r="R219" s="35" t="s">
        <v>364</v>
      </c>
      <c r="S219" s="36">
        <v>43172</v>
      </c>
      <c r="T219" s="35"/>
      <c r="U219" s="35" t="s">
        <v>1283</v>
      </c>
      <c r="V219" s="269"/>
      <c r="W219" s="28" t="s">
        <v>1320</v>
      </c>
      <c r="X219" s="3">
        <f t="shared" si="30"/>
        <v>-2</v>
      </c>
      <c r="Y219" s="3">
        <f t="shared" si="31"/>
        <v>2</v>
      </c>
    </row>
    <row r="220" spans="14:25" ht="30">
      <c r="N220" s="33" t="s">
        <v>364</v>
      </c>
      <c r="O220" s="33" t="s">
        <v>1228</v>
      </c>
      <c r="P220" s="33"/>
      <c r="Q220" s="33" t="s">
        <v>1229</v>
      </c>
      <c r="R220" s="33" t="s">
        <v>1245</v>
      </c>
      <c r="S220" s="37">
        <v>43172</v>
      </c>
      <c r="T220" s="33"/>
      <c r="U220" s="33" t="s">
        <v>1283</v>
      </c>
      <c r="V220" s="270" t="s">
        <v>1321</v>
      </c>
      <c r="W220" s="33" t="s">
        <v>1322</v>
      </c>
      <c r="X220" s="3">
        <f t="shared" si="30"/>
        <v>0</v>
      </c>
      <c r="Y220" s="3" t="b">
        <f t="shared" si="31"/>
        <v>0</v>
      </c>
    </row>
    <row r="221" spans="14:25">
      <c r="N221" s="28" t="s">
        <v>364</v>
      </c>
      <c r="O221" s="28" t="s">
        <v>1234</v>
      </c>
      <c r="P221" s="28">
        <v>2</v>
      </c>
      <c r="Q221" s="28" t="s">
        <v>1233</v>
      </c>
      <c r="R221" s="28" t="s">
        <v>364</v>
      </c>
      <c r="S221" s="30">
        <v>43172</v>
      </c>
      <c r="T221" s="28"/>
      <c r="U221" s="28" t="s">
        <v>1283</v>
      </c>
      <c r="V221" s="259"/>
      <c r="W221" s="28" t="s">
        <v>1320</v>
      </c>
      <c r="X221" s="3">
        <f t="shared" si="30"/>
        <v>-2</v>
      </c>
      <c r="Y221" s="3">
        <f t="shared" si="31"/>
        <v>2</v>
      </c>
    </row>
    <row r="222" spans="14:25">
      <c r="N222" s="59" t="s">
        <v>336</v>
      </c>
      <c r="O222" s="59" t="s">
        <v>1234</v>
      </c>
      <c r="P222" s="59">
        <v>10</v>
      </c>
      <c r="Q222" s="59" t="s">
        <v>1229</v>
      </c>
      <c r="R222" s="59" t="s">
        <v>364</v>
      </c>
      <c r="S222" s="60">
        <v>43173</v>
      </c>
      <c r="T222" s="60">
        <v>43186</v>
      </c>
      <c r="U222" s="59" t="s">
        <v>1283</v>
      </c>
      <c r="V222" s="264" t="s">
        <v>1323</v>
      </c>
      <c r="W222" s="59"/>
      <c r="X222" s="3">
        <f t="shared" si="30"/>
        <v>10</v>
      </c>
      <c r="Y222" s="3" t="b">
        <f t="shared" si="31"/>
        <v>0</v>
      </c>
    </row>
    <row r="223" spans="14:25">
      <c r="N223" s="59" t="s">
        <v>203</v>
      </c>
      <c r="O223" s="59" t="s">
        <v>1234</v>
      </c>
      <c r="P223" s="59">
        <v>55</v>
      </c>
      <c r="Q223" s="59" t="s">
        <v>1229</v>
      </c>
      <c r="R223" s="59" t="s">
        <v>364</v>
      </c>
      <c r="S223" s="60">
        <v>43173</v>
      </c>
      <c r="T223" s="60">
        <v>43179</v>
      </c>
      <c r="U223" s="59" t="s">
        <v>1263</v>
      </c>
      <c r="V223" s="264" t="s">
        <v>1324</v>
      </c>
      <c r="W223" s="59"/>
      <c r="X223" s="3">
        <f t="shared" si="30"/>
        <v>55</v>
      </c>
      <c r="Y223" s="3" t="b">
        <f t="shared" si="31"/>
        <v>0</v>
      </c>
    </row>
    <row r="224" spans="14:25">
      <c r="N224" s="28" t="s">
        <v>0</v>
      </c>
      <c r="O224" s="28" t="s">
        <v>1234</v>
      </c>
      <c r="P224" s="28">
        <v>25</v>
      </c>
      <c r="Q224" s="28" t="s">
        <v>1229</v>
      </c>
      <c r="R224" s="28" t="s">
        <v>364</v>
      </c>
      <c r="S224" s="30">
        <v>43173</v>
      </c>
      <c r="T224" s="30">
        <v>43178</v>
      </c>
      <c r="U224" s="28" t="s">
        <v>1283</v>
      </c>
      <c r="V224" s="259" t="s">
        <v>1325</v>
      </c>
      <c r="W224" s="28"/>
      <c r="X224" s="3">
        <f t="shared" si="30"/>
        <v>25</v>
      </c>
      <c r="Y224" s="3" t="b">
        <f t="shared" si="31"/>
        <v>0</v>
      </c>
    </row>
    <row r="225" spans="14:25">
      <c r="N225" s="59" t="s">
        <v>1244</v>
      </c>
      <c r="O225" s="59" t="s">
        <v>1234</v>
      </c>
      <c r="P225" s="59">
        <v>5</v>
      </c>
      <c r="Q225" s="59" t="s">
        <v>1229</v>
      </c>
      <c r="R225" s="59" t="s">
        <v>364</v>
      </c>
      <c r="S225" s="60">
        <v>43173</v>
      </c>
      <c r="T225" s="59"/>
      <c r="U225" s="59" t="s">
        <v>1283</v>
      </c>
      <c r="V225" s="264" t="s">
        <v>1326</v>
      </c>
      <c r="W225" s="59"/>
      <c r="X225" s="3">
        <f t="shared" si="30"/>
        <v>5</v>
      </c>
      <c r="Y225" s="3" t="b">
        <f t="shared" si="31"/>
        <v>0</v>
      </c>
    </row>
    <row r="226" spans="14:25">
      <c r="N226" s="31" t="s">
        <v>364</v>
      </c>
      <c r="O226" s="31" t="s">
        <v>1234</v>
      </c>
      <c r="P226" s="31">
        <v>7</v>
      </c>
      <c r="Q226" s="31"/>
      <c r="R226" s="31" t="s">
        <v>364</v>
      </c>
      <c r="S226" s="32">
        <v>43173</v>
      </c>
      <c r="T226" s="32"/>
      <c r="U226" s="31" t="s">
        <v>1283</v>
      </c>
      <c r="V226" s="265"/>
      <c r="W226" s="31"/>
      <c r="X226" s="3" t="b">
        <f t="shared" si="30"/>
        <v>0</v>
      </c>
      <c r="Y226" s="3" t="b">
        <f t="shared" si="31"/>
        <v>0</v>
      </c>
    </row>
    <row r="227" spans="14:25">
      <c r="N227" s="59" t="s">
        <v>1244</v>
      </c>
      <c r="O227" s="59" t="s">
        <v>1228</v>
      </c>
      <c r="P227" s="59">
        <v>2</v>
      </c>
      <c r="Q227" s="59" t="s">
        <v>1285</v>
      </c>
      <c r="R227" s="59" t="s">
        <v>1244</v>
      </c>
      <c r="S227" s="60"/>
      <c r="T227" s="60"/>
      <c r="U227" s="59" t="s">
        <v>1247</v>
      </c>
      <c r="V227" s="264" t="s">
        <v>1327</v>
      </c>
      <c r="W227" s="59"/>
      <c r="X227" s="3">
        <f t="shared" si="30"/>
        <v>2</v>
      </c>
      <c r="Y227" s="3">
        <f t="shared" si="31"/>
        <v>-2</v>
      </c>
    </row>
    <row r="228" spans="14:25">
      <c r="N228" s="59" t="s">
        <v>1244</v>
      </c>
      <c r="O228" s="59" t="s">
        <v>1228</v>
      </c>
      <c r="P228" s="59">
        <v>21</v>
      </c>
      <c r="Q228" s="59" t="s">
        <v>1233</v>
      </c>
      <c r="R228" s="59" t="s">
        <v>1244</v>
      </c>
      <c r="S228" s="60">
        <v>43186</v>
      </c>
      <c r="T228" s="60">
        <v>43186</v>
      </c>
      <c r="U228" s="59" t="s">
        <v>1247</v>
      </c>
      <c r="V228" s="264"/>
      <c r="W228" s="61" t="s">
        <v>1797</v>
      </c>
      <c r="X228" s="3">
        <f t="shared" si="30"/>
        <v>-21</v>
      </c>
      <c r="Y228" s="3">
        <f t="shared" si="31"/>
        <v>21</v>
      </c>
    </row>
    <row r="229" spans="14:25">
      <c r="N229" s="59" t="s">
        <v>1244</v>
      </c>
      <c r="O229" s="59" t="s">
        <v>1234</v>
      </c>
      <c r="P229" s="59">
        <v>20</v>
      </c>
      <c r="Q229" s="59" t="s">
        <v>1233</v>
      </c>
      <c r="R229" s="59" t="s">
        <v>1244</v>
      </c>
      <c r="S229" s="60">
        <v>43186</v>
      </c>
      <c r="T229" s="60">
        <v>43186</v>
      </c>
      <c r="U229" s="59" t="s">
        <v>1247</v>
      </c>
      <c r="V229" s="264"/>
      <c r="W229" s="61" t="s">
        <v>1797</v>
      </c>
      <c r="X229" s="3">
        <f t="shared" si="30"/>
        <v>-20</v>
      </c>
      <c r="Y229" s="3">
        <f t="shared" si="31"/>
        <v>20</v>
      </c>
    </row>
    <row r="230" spans="14:25">
      <c r="N230" s="59" t="s">
        <v>1244</v>
      </c>
      <c r="O230" s="59" t="s">
        <v>1234</v>
      </c>
      <c r="P230" s="59">
        <v>3</v>
      </c>
      <c r="Q230" s="59" t="s">
        <v>1285</v>
      </c>
      <c r="R230" s="59" t="s">
        <v>1244</v>
      </c>
      <c r="S230" s="60">
        <v>43186</v>
      </c>
      <c r="T230" s="60">
        <v>43186</v>
      </c>
      <c r="U230" s="59" t="s">
        <v>1247</v>
      </c>
      <c r="V230" s="264" t="s">
        <v>1328</v>
      </c>
      <c r="W230" s="61"/>
      <c r="X230" s="3">
        <f t="shared" si="30"/>
        <v>3</v>
      </c>
      <c r="Y230" s="3">
        <f t="shared" si="31"/>
        <v>-3</v>
      </c>
    </row>
    <row r="231" spans="14:25">
      <c r="N231" s="59" t="s">
        <v>1244</v>
      </c>
      <c r="O231" s="59" t="s">
        <v>1235</v>
      </c>
      <c r="P231" s="59">
        <v>21</v>
      </c>
      <c r="Q231" s="59" t="s">
        <v>1233</v>
      </c>
      <c r="R231" s="59" t="s">
        <v>1244</v>
      </c>
      <c r="S231" s="60">
        <v>43186</v>
      </c>
      <c r="T231" s="60">
        <v>43186</v>
      </c>
      <c r="U231" s="59" t="s">
        <v>1247</v>
      </c>
      <c r="V231" s="264"/>
      <c r="W231" s="61" t="s">
        <v>1797</v>
      </c>
      <c r="X231" s="3">
        <f t="shared" si="30"/>
        <v>-21</v>
      </c>
      <c r="Y231" s="3">
        <f t="shared" si="31"/>
        <v>21</v>
      </c>
    </row>
    <row r="232" spans="14:25">
      <c r="N232" s="59" t="s">
        <v>1244</v>
      </c>
      <c r="O232" s="59" t="s">
        <v>1235</v>
      </c>
      <c r="P232" s="59">
        <v>8</v>
      </c>
      <c r="Q232" s="59" t="s">
        <v>1229</v>
      </c>
      <c r="R232" s="59" t="s">
        <v>1244</v>
      </c>
      <c r="S232" s="60">
        <v>43186</v>
      </c>
      <c r="T232" s="60">
        <v>43186</v>
      </c>
      <c r="U232" s="59" t="s">
        <v>1247</v>
      </c>
      <c r="V232" s="264"/>
      <c r="W232" s="61" t="s">
        <v>1798</v>
      </c>
      <c r="X232" s="3">
        <f t="shared" si="30"/>
        <v>8</v>
      </c>
      <c r="Y232" s="3" t="b">
        <f t="shared" si="31"/>
        <v>0</v>
      </c>
    </row>
    <row r="233" spans="14:25">
      <c r="N233" s="59" t="s">
        <v>1244</v>
      </c>
      <c r="O233" s="59" t="s">
        <v>1236</v>
      </c>
      <c r="P233" s="59">
        <v>21</v>
      </c>
      <c r="Q233" s="59" t="s">
        <v>1233</v>
      </c>
      <c r="R233" s="59" t="s">
        <v>1244</v>
      </c>
      <c r="S233" s="60">
        <v>43186</v>
      </c>
      <c r="T233" s="60">
        <v>43186</v>
      </c>
      <c r="U233" s="59" t="s">
        <v>1247</v>
      </c>
      <c r="V233" s="264"/>
      <c r="W233" s="61" t="s">
        <v>1797</v>
      </c>
      <c r="X233" s="3">
        <f t="shared" si="30"/>
        <v>-21</v>
      </c>
      <c r="Y233" s="3">
        <f t="shared" si="31"/>
        <v>21</v>
      </c>
    </row>
    <row r="234" spans="14:25">
      <c r="N234" s="59" t="s">
        <v>1244</v>
      </c>
      <c r="O234" s="59" t="s">
        <v>1236</v>
      </c>
      <c r="P234" s="59">
        <v>15</v>
      </c>
      <c r="Q234" s="59" t="s">
        <v>1229</v>
      </c>
      <c r="R234" s="59" t="s">
        <v>364</v>
      </c>
      <c r="S234" s="60">
        <v>43172</v>
      </c>
      <c r="T234" s="60">
        <v>43186</v>
      </c>
      <c r="U234" s="59" t="s">
        <v>1247</v>
      </c>
      <c r="V234" s="264"/>
      <c r="W234" s="59"/>
      <c r="X234" s="3">
        <f t="shared" si="30"/>
        <v>15</v>
      </c>
      <c r="Y234" s="3" t="b">
        <f t="shared" si="31"/>
        <v>0</v>
      </c>
    </row>
    <row r="235" spans="14:25">
      <c r="N235" s="59" t="s">
        <v>1244</v>
      </c>
      <c r="O235" s="59" t="s">
        <v>1236</v>
      </c>
      <c r="P235" s="59">
        <v>2</v>
      </c>
      <c r="Q235" s="59" t="s">
        <v>1285</v>
      </c>
      <c r="R235" s="59" t="s">
        <v>1244</v>
      </c>
      <c r="S235" s="60">
        <v>43186</v>
      </c>
      <c r="T235" s="60">
        <v>43186</v>
      </c>
      <c r="U235" s="59" t="s">
        <v>1247</v>
      </c>
      <c r="V235" s="264" t="s">
        <v>104</v>
      </c>
      <c r="W235" s="59"/>
      <c r="X235" s="3">
        <f t="shared" si="30"/>
        <v>2</v>
      </c>
      <c r="Y235" s="3">
        <f t="shared" si="31"/>
        <v>-2</v>
      </c>
    </row>
    <row r="236" spans="14:25">
      <c r="N236" s="59" t="s">
        <v>1244</v>
      </c>
      <c r="O236" s="59" t="s">
        <v>1236</v>
      </c>
      <c r="P236" s="59">
        <v>11</v>
      </c>
      <c r="Q236" s="59" t="s">
        <v>1233</v>
      </c>
      <c r="R236" s="59" t="s">
        <v>1244</v>
      </c>
      <c r="S236" s="60">
        <v>43186</v>
      </c>
      <c r="T236" s="60">
        <v>43186</v>
      </c>
      <c r="U236" s="59" t="s">
        <v>1247</v>
      </c>
      <c r="V236" s="264" t="s">
        <v>1329</v>
      </c>
      <c r="W236" s="61" t="s">
        <v>1798</v>
      </c>
      <c r="X236" s="3">
        <f t="shared" si="30"/>
        <v>-11</v>
      </c>
      <c r="Y236" s="3">
        <f t="shared" si="31"/>
        <v>11</v>
      </c>
    </row>
    <row r="237" spans="14:25">
      <c r="N237" s="59" t="s">
        <v>1244</v>
      </c>
      <c r="O237" s="59" t="s">
        <v>1237</v>
      </c>
      <c r="P237" s="59">
        <v>42</v>
      </c>
      <c r="Q237" s="59" t="s">
        <v>1233</v>
      </c>
      <c r="R237" s="59" t="s">
        <v>1244</v>
      </c>
      <c r="S237" s="60">
        <v>43186</v>
      </c>
      <c r="T237" s="60">
        <v>43186</v>
      </c>
      <c r="U237" s="59" t="s">
        <v>1247</v>
      </c>
      <c r="V237" s="264"/>
      <c r="W237" s="61" t="s">
        <v>1797</v>
      </c>
      <c r="X237" s="3">
        <f t="shared" si="30"/>
        <v>-42</v>
      </c>
      <c r="Y237" s="3">
        <f t="shared" si="31"/>
        <v>42</v>
      </c>
    </row>
    <row r="238" spans="14:25">
      <c r="N238" s="59" t="s">
        <v>1244</v>
      </c>
      <c r="O238" s="59" t="s">
        <v>1238</v>
      </c>
      <c r="P238" s="59">
        <v>21</v>
      </c>
      <c r="Q238" s="59" t="s">
        <v>1233</v>
      </c>
      <c r="R238" s="59" t="s">
        <v>1244</v>
      </c>
      <c r="S238" s="60">
        <v>43186</v>
      </c>
      <c r="T238" s="60">
        <v>43186</v>
      </c>
      <c r="U238" s="59"/>
      <c r="V238" s="264"/>
      <c r="W238" s="61" t="s">
        <v>1797</v>
      </c>
      <c r="X238" s="3">
        <f t="shared" si="30"/>
        <v>-21</v>
      </c>
      <c r="Y238" s="3">
        <f t="shared" si="31"/>
        <v>21</v>
      </c>
    </row>
    <row r="239" spans="14:25">
      <c r="N239" s="59" t="s">
        <v>1244</v>
      </c>
      <c r="O239" s="59" t="s">
        <v>1238</v>
      </c>
      <c r="P239" s="59">
        <v>12</v>
      </c>
      <c r="Q239" s="59" t="s">
        <v>1285</v>
      </c>
      <c r="R239" s="59" t="s">
        <v>1244</v>
      </c>
      <c r="S239" s="60">
        <v>43186</v>
      </c>
      <c r="T239" s="60">
        <v>43186</v>
      </c>
      <c r="U239" s="59"/>
      <c r="V239" s="264" t="s">
        <v>1330</v>
      </c>
      <c r="W239" s="59"/>
      <c r="X239" s="3">
        <f t="shared" si="30"/>
        <v>12</v>
      </c>
      <c r="Y239" s="3">
        <f t="shared" si="31"/>
        <v>-12</v>
      </c>
    </row>
    <row r="240" spans="14:25">
      <c r="N240" s="59" t="s">
        <v>1244</v>
      </c>
      <c r="O240" s="59" t="s">
        <v>1267</v>
      </c>
      <c r="P240" s="59">
        <v>21</v>
      </c>
      <c r="Q240" s="59" t="s">
        <v>1233</v>
      </c>
      <c r="R240" s="59" t="s">
        <v>1244</v>
      </c>
      <c r="S240" s="60">
        <v>43186</v>
      </c>
      <c r="T240" s="60">
        <v>43186</v>
      </c>
      <c r="U240" s="59"/>
      <c r="V240" s="264"/>
      <c r="W240" s="61" t="s">
        <v>1797</v>
      </c>
      <c r="X240" s="3">
        <f t="shared" si="30"/>
        <v>-21</v>
      </c>
      <c r="Y240" s="3">
        <f t="shared" si="31"/>
        <v>21</v>
      </c>
    </row>
    <row r="241" spans="14:25">
      <c r="N241" s="28" t="s">
        <v>203</v>
      </c>
      <c r="O241" s="28" t="s">
        <v>1235</v>
      </c>
      <c r="P241" s="28">
        <v>17</v>
      </c>
      <c r="Q241" s="28" t="s">
        <v>1233</v>
      </c>
      <c r="R241" s="28" t="s">
        <v>203</v>
      </c>
      <c r="S241" s="30">
        <v>43173</v>
      </c>
      <c r="T241" s="30"/>
      <c r="U241" s="28" t="s">
        <v>1331</v>
      </c>
      <c r="V241" s="259"/>
      <c r="W241" s="28"/>
      <c r="X241" s="3">
        <f t="shared" si="30"/>
        <v>-17</v>
      </c>
      <c r="Y241" s="3">
        <f t="shared" si="31"/>
        <v>17</v>
      </c>
    </row>
    <row r="242" spans="14:25">
      <c r="N242" s="28" t="s">
        <v>203</v>
      </c>
      <c r="O242" s="28" t="s">
        <v>1237</v>
      </c>
      <c r="P242" s="28">
        <v>20</v>
      </c>
      <c r="Q242" s="28" t="s">
        <v>1233</v>
      </c>
      <c r="R242" s="28" t="s">
        <v>203</v>
      </c>
      <c r="S242" s="30">
        <v>43173</v>
      </c>
      <c r="T242" s="30"/>
      <c r="U242" s="28" t="s">
        <v>1331</v>
      </c>
      <c r="V242" s="259"/>
      <c r="W242" s="28"/>
      <c r="X242" s="3">
        <f t="shared" si="30"/>
        <v>-20</v>
      </c>
      <c r="Y242" s="3">
        <f t="shared" si="31"/>
        <v>20</v>
      </c>
    </row>
    <row r="243" spans="14:25">
      <c r="N243" s="28" t="s">
        <v>203</v>
      </c>
      <c r="O243" s="28" t="s">
        <v>1238</v>
      </c>
      <c r="P243" s="28">
        <v>2</v>
      </c>
      <c r="Q243" s="28" t="s">
        <v>1233</v>
      </c>
      <c r="R243" s="28" t="s">
        <v>203</v>
      </c>
      <c r="S243" s="30">
        <v>43173</v>
      </c>
      <c r="T243" s="30"/>
      <c r="U243" s="28" t="s">
        <v>1331</v>
      </c>
      <c r="V243" s="259"/>
      <c r="W243" s="28"/>
      <c r="X243" s="3">
        <f t="shared" si="30"/>
        <v>-2</v>
      </c>
      <c r="Y243" s="3">
        <f t="shared" si="31"/>
        <v>2</v>
      </c>
    </row>
    <row r="244" spans="14:25">
      <c r="N244" s="28" t="s">
        <v>203</v>
      </c>
      <c r="O244" s="28" t="s">
        <v>1228</v>
      </c>
      <c r="P244" s="28">
        <v>16</v>
      </c>
      <c r="Q244" s="28" t="s">
        <v>1233</v>
      </c>
      <c r="R244" s="28" t="s">
        <v>203</v>
      </c>
      <c r="S244" s="30">
        <v>43174</v>
      </c>
      <c r="T244" s="30"/>
      <c r="U244" s="28" t="s">
        <v>1331</v>
      </c>
      <c r="V244" s="259" t="s">
        <v>1332</v>
      </c>
      <c r="W244" s="28"/>
      <c r="X244" s="3">
        <f t="shared" si="30"/>
        <v>-16</v>
      </c>
      <c r="Y244" s="3">
        <f t="shared" si="31"/>
        <v>16</v>
      </c>
    </row>
    <row r="245" spans="14:25">
      <c r="N245" s="28" t="s">
        <v>0</v>
      </c>
      <c r="O245" s="28" t="s">
        <v>1236</v>
      </c>
      <c r="P245" s="28">
        <v>2</v>
      </c>
      <c r="Q245" s="28" t="s">
        <v>1229</v>
      </c>
      <c r="R245" s="28" t="s">
        <v>0</v>
      </c>
      <c r="S245" s="30">
        <v>43174</v>
      </c>
      <c r="T245" s="28"/>
      <c r="U245" s="28" t="s">
        <v>1275</v>
      </c>
      <c r="V245" s="259"/>
      <c r="W245" s="28" t="s">
        <v>1309</v>
      </c>
      <c r="X245" s="3">
        <f t="shared" si="30"/>
        <v>2</v>
      </c>
      <c r="Y245" s="3" t="b">
        <f t="shared" si="31"/>
        <v>0</v>
      </c>
    </row>
    <row r="246" spans="14:25">
      <c r="N246" s="28" t="s">
        <v>0</v>
      </c>
      <c r="O246" s="28" t="s">
        <v>1235</v>
      </c>
      <c r="P246" s="28">
        <v>16</v>
      </c>
      <c r="Q246" s="28" t="s">
        <v>1229</v>
      </c>
      <c r="R246" s="28" t="s">
        <v>0</v>
      </c>
      <c r="S246" s="30">
        <v>43174</v>
      </c>
      <c r="T246" s="28"/>
      <c r="U246" s="28" t="s">
        <v>1275</v>
      </c>
      <c r="V246" s="259"/>
      <c r="W246" s="28" t="s">
        <v>1309</v>
      </c>
      <c r="X246" s="3">
        <f t="shared" si="30"/>
        <v>16</v>
      </c>
      <c r="Y246" s="3" t="b">
        <f t="shared" si="31"/>
        <v>0</v>
      </c>
    </row>
    <row r="247" spans="14:25">
      <c r="N247" s="28" t="s">
        <v>0</v>
      </c>
      <c r="O247" s="28" t="s">
        <v>1267</v>
      </c>
      <c r="P247" s="28">
        <v>27</v>
      </c>
      <c r="Q247" s="28" t="s">
        <v>1229</v>
      </c>
      <c r="R247" s="28" t="s">
        <v>0</v>
      </c>
      <c r="S247" s="30">
        <v>43174</v>
      </c>
      <c r="T247" s="28"/>
      <c r="U247" s="28" t="s">
        <v>1275</v>
      </c>
      <c r="V247" s="259"/>
      <c r="W247" s="28" t="s">
        <v>1309</v>
      </c>
      <c r="X247" s="3">
        <f t="shared" si="30"/>
        <v>27</v>
      </c>
      <c r="Y247" s="3" t="b">
        <f t="shared" si="31"/>
        <v>0</v>
      </c>
    </row>
    <row r="248" spans="14:25">
      <c r="N248" s="28" t="s">
        <v>203</v>
      </c>
      <c r="O248" s="28" t="s">
        <v>1228</v>
      </c>
      <c r="P248" s="28">
        <v>24</v>
      </c>
      <c r="Q248" s="28" t="s">
        <v>1233</v>
      </c>
      <c r="R248" s="28" t="s">
        <v>203</v>
      </c>
      <c r="S248" s="30"/>
      <c r="T248" s="30"/>
      <c r="U248" s="28" t="s">
        <v>1295</v>
      </c>
      <c r="V248" s="259" t="s">
        <v>1333</v>
      </c>
      <c r="W248" s="28"/>
      <c r="X248" s="3">
        <f t="shared" si="30"/>
        <v>-24</v>
      </c>
      <c r="Y248" s="3">
        <f t="shared" si="31"/>
        <v>24</v>
      </c>
    </row>
    <row r="249" spans="14:25">
      <c r="N249" s="28" t="s">
        <v>0</v>
      </c>
      <c r="O249" s="28" t="s">
        <v>1237</v>
      </c>
      <c r="P249" s="28">
        <v>9</v>
      </c>
      <c r="Q249" s="28" t="s">
        <v>1282</v>
      </c>
      <c r="R249" s="28" t="s">
        <v>0</v>
      </c>
      <c r="S249" s="30">
        <v>43176</v>
      </c>
      <c r="T249" s="30">
        <v>43176</v>
      </c>
      <c r="U249" s="28" t="s">
        <v>1275</v>
      </c>
      <c r="V249" s="259"/>
      <c r="W249" s="28" t="s">
        <v>1309</v>
      </c>
      <c r="X249" s="3">
        <f t="shared" si="30"/>
        <v>-9</v>
      </c>
      <c r="Y249" s="3" t="b">
        <f t="shared" si="31"/>
        <v>0</v>
      </c>
    </row>
    <row r="250" spans="14:25">
      <c r="N250" s="28" t="s">
        <v>0</v>
      </c>
      <c r="O250" s="28" t="s">
        <v>1228</v>
      </c>
      <c r="P250" s="28">
        <v>2</v>
      </c>
      <c r="Q250" s="28" t="s">
        <v>1282</v>
      </c>
      <c r="R250" s="28" t="s">
        <v>0</v>
      </c>
      <c r="S250" s="30">
        <v>43176</v>
      </c>
      <c r="T250" s="30">
        <v>43176</v>
      </c>
      <c r="U250" s="28" t="s">
        <v>1275</v>
      </c>
      <c r="V250" s="259"/>
      <c r="W250" s="28" t="s">
        <v>1309</v>
      </c>
      <c r="X250" s="3">
        <f t="shared" si="30"/>
        <v>-2</v>
      </c>
      <c r="Y250" s="3" t="b">
        <f t="shared" si="31"/>
        <v>0</v>
      </c>
    </row>
    <row r="251" spans="14:25">
      <c r="N251" s="59" t="s">
        <v>203</v>
      </c>
      <c r="O251" s="59" t="s">
        <v>1234</v>
      </c>
      <c r="P251" s="59">
        <v>2</v>
      </c>
      <c r="Q251" s="59" t="s">
        <v>1233</v>
      </c>
      <c r="R251" s="59" t="s">
        <v>203</v>
      </c>
      <c r="S251" s="60">
        <v>43176</v>
      </c>
      <c r="T251" s="60"/>
      <c r="U251" s="59" t="s">
        <v>1295</v>
      </c>
      <c r="V251" s="264"/>
      <c r="W251" s="59"/>
      <c r="X251" s="3">
        <f t="shared" ref="X251:X308" si="32">IF(OR(Q251="Stock to Rack",Q251="From Stock"),-P251,IF(OR(Q251="Rack to Stock",Q251="To Stock"),P251))</f>
        <v>-2</v>
      </c>
      <c r="Y251" s="3">
        <f t="shared" ref="Y251:Y308" si="33">IF(Q251="Rack to Stock",-P251,IF(Q251="Stock to Rack",P251))</f>
        <v>2</v>
      </c>
    </row>
    <row r="252" spans="14:25">
      <c r="N252" s="59" t="s">
        <v>203</v>
      </c>
      <c r="O252" s="59" t="s">
        <v>1236</v>
      </c>
      <c r="P252" s="59">
        <v>2</v>
      </c>
      <c r="Q252" s="59" t="s">
        <v>1233</v>
      </c>
      <c r="R252" s="59" t="s">
        <v>203</v>
      </c>
      <c r="S252" s="60">
        <v>43176</v>
      </c>
      <c r="T252" s="60"/>
      <c r="U252" s="59" t="s">
        <v>1295</v>
      </c>
      <c r="V252" s="264"/>
      <c r="W252" s="59"/>
      <c r="X252" s="3">
        <f t="shared" si="32"/>
        <v>-2</v>
      </c>
      <c r="Y252" s="3">
        <f t="shared" si="33"/>
        <v>2</v>
      </c>
    </row>
    <row r="253" spans="14:25">
      <c r="N253" s="59" t="s">
        <v>203</v>
      </c>
      <c r="O253" s="59" t="s">
        <v>1267</v>
      </c>
      <c r="P253" s="59">
        <v>4</v>
      </c>
      <c r="Q253" s="59" t="s">
        <v>1233</v>
      </c>
      <c r="R253" s="59" t="s">
        <v>203</v>
      </c>
      <c r="S253" s="60">
        <v>43176</v>
      </c>
      <c r="T253" s="60"/>
      <c r="U253" s="59" t="s">
        <v>1295</v>
      </c>
      <c r="V253" s="264"/>
      <c r="W253" s="59"/>
      <c r="X253" s="3">
        <f t="shared" si="32"/>
        <v>-4</v>
      </c>
      <c r="Y253" s="3">
        <f t="shared" si="33"/>
        <v>4</v>
      </c>
    </row>
    <row r="254" spans="14:25">
      <c r="N254" s="59" t="s">
        <v>203</v>
      </c>
      <c r="O254" s="59" t="s">
        <v>1243</v>
      </c>
      <c r="P254" s="59">
        <v>14</v>
      </c>
      <c r="Q254" s="59" t="s">
        <v>1229</v>
      </c>
      <c r="R254" s="59" t="s">
        <v>203</v>
      </c>
      <c r="S254" s="60">
        <v>43176</v>
      </c>
      <c r="T254" s="60"/>
      <c r="U254" s="59" t="s">
        <v>1295</v>
      </c>
      <c r="V254" s="264"/>
      <c r="W254" s="59"/>
      <c r="X254" s="3">
        <f t="shared" si="32"/>
        <v>14</v>
      </c>
      <c r="Y254" s="3" t="b">
        <f t="shared" si="33"/>
        <v>0</v>
      </c>
    </row>
    <row r="255" spans="14:25">
      <c r="N255" s="59" t="s">
        <v>203</v>
      </c>
      <c r="O255" s="59" t="s">
        <v>1228</v>
      </c>
      <c r="P255" s="59">
        <v>5</v>
      </c>
      <c r="Q255" s="59" t="s">
        <v>1233</v>
      </c>
      <c r="R255" s="59" t="s">
        <v>203</v>
      </c>
      <c r="S255" s="60">
        <v>43177</v>
      </c>
      <c r="T255" s="60"/>
      <c r="U255" s="59" t="s">
        <v>1295</v>
      </c>
      <c r="V255" s="264"/>
      <c r="W255" s="59" t="s">
        <v>1465</v>
      </c>
      <c r="X255" s="3">
        <f t="shared" si="32"/>
        <v>-5</v>
      </c>
      <c r="Y255" s="3">
        <f t="shared" si="33"/>
        <v>5</v>
      </c>
    </row>
    <row r="256" spans="14:25">
      <c r="N256" s="59" t="s">
        <v>0</v>
      </c>
      <c r="O256" s="59" t="s">
        <v>1236</v>
      </c>
      <c r="P256" s="59">
        <v>33</v>
      </c>
      <c r="Q256" s="59" t="s">
        <v>1229</v>
      </c>
      <c r="R256" s="60" t="s">
        <v>0</v>
      </c>
      <c r="S256" s="60">
        <v>43179</v>
      </c>
      <c r="T256" s="60">
        <v>43179</v>
      </c>
      <c r="U256" s="59" t="s">
        <v>1275</v>
      </c>
      <c r="V256" s="264" t="s">
        <v>1683</v>
      </c>
      <c r="W256" s="59"/>
      <c r="X256" s="3">
        <f t="shared" si="32"/>
        <v>33</v>
      </c>
      <c r="Y256" s="3" t="b">
        <f t="shared" si="33"/>
        <v>0</v>
      </c>
    </row>
    <row r="257" spans="14:25">
      <c r="N257" s="59" t="s">
        <v>203</v>
      </c>
      <c r="O257" s="59" t="s">
        <v>1234</v>
      </c>
      <c r="P257" s="59">
        <v>10</v>
      </c>
      <c r="Q257" s="59" t="s">
        <v>1233</v>
      </c>
      <c r="R257" s="59" t="s">
        <v>203</v>
      </c>
      <c r="S257" s="60">
        <v>43179</v>
      </c>
      <c r="T257" s="59"/>
      <c r="U257" s="59" t="s">
        <v>1295</v>
      </c>
      <c r="V257" s="264"/>
      <c r="W257" s="59" t="s">
        <v>1465</v>
      </c>
      <c r="X257" s="3">
        <f t="shared" si="32"/>
        <v>-10</v>
      </c>
      <c r="Y257" s="3">
        <f t="shared" si="33"/>
        <v>10</v>
      </c>
    </row>
    <row r="258" spans="14:25">
      <c r="N258" s="59" t="s">
        <v>203</v>
      </c>
      <c r="O258" s="59" t="s">
        <v>1228</v>
      </c>
      <c r="P258" s="59">
        <v>7</v>
      </c>
      <c r="Q258" s="59" t="s">
        <v>1229</v>
      </c>
      <c r="R258" s="59" t="s">
        <v>203</v>
      </c>
      <c r="S258" s="60">
        <v>43179</v>
      </c>
      <c r="T258" s="59"/>
      <c r="U258" s="86" t="s">
        <v>1295</v>
      </c>
      <c r="V258" s="264" t="s">
        <v>1686</v>
      </c>
      <c r="W258" s="59"/>
      <c r="X258" s="3">
        <f t="shared" si="32"/>
        <v>7</v>
      </c>
      <c r="Y258" s="3" t="b">
        <f t="shared" si="33"/>
        <v>0</v>
      </c>
    </row>
    <row r="259" spans="14:25">
      <c r="N259" s="59" t="s">
        <v>203</v>
      </c>
      <c r="O259" s="59" t="s">
        <v>1234</v>
      </c>
      <c r="P259" s="59">
        <v>7</v>
      </c>
      <c r="Q259" s="59" t="s">
        <v>1229</v>
      </c>
      <c r="R259" s="59" t="s">
        <v>203</v>
      </c>
      <c r="S259" s="60">
        <v>43179</v>
      </c>
      <c r="T259" s="59"/>
      <c r="U259" s="86" t="s">
        <v>1295</v>
      </c>
      <c r="V259" s="264"/>
      <c r="W259" s="59"/>
      <c r="X259" s="3">
        <f t="shared" si="32"/>
        <v>7</v>
      </c>
      <c r="Y259" s="3" t="b">
        <f t="shared" si="33"/>
        <v>0</v>
      </c>
    </row>
    <row r="260" spans="14:25">
      <c r="N260" s="59" t="s">
        <v>203</v>
      </c>
      <c r="O260" s="59" t="s">
        <v>1236</v>
      </c>
      <c r="P260" s="59">
        <v>7</v>
      </c>
      <c r="Q260" s="59" t="s">
        <v>1229</v>
      </c>
      <c r="R260" s="59" t="s">
        <v>203</v>
      </c>
      <c r="S260" s="60">
        <v>43179</v>
      </c>
      <c r="T260" s="59"/>
      <c r="U260" s="86" t="s">
        <v>1295</v>
      </c>
      <c r="V260" s="264"/>
      <c r="W260" s="59"/>
      <c r="X260" s="3">
        <f t="shared" si="32"/>
        <v>7</v>
      </c>
      <c r="Y260" s="3" t="b">
        <f t="shared" si="33"/>
        <v>0</v>
      </c>
    </row>
    <row r="261" spans="14:25">
      <c r="N261" s="59" t="s">
        <v>203</v>
      </c>
      <c r="O261" s="59" t="s">
        <v>1243</v>
      </c>
      <c r="P261" s="59">
        <v>4</v>
      </c>
      <c r="Q261" s="59" t="s">
        <v>1229</v>
      </c>
      <c r="R261" s="59" t="s">
        <v>203</v>
      </c>
      <c r="S261" s="60">
        <v>43179</v>
      </c>
      <c r="T261" s="59"/>
      <c r="U261" s="86" t="s">
        <v>1295</v>
      </c>
      <c r="V261" s="264"/>
      <c r="W261" s="59"/>
      <c r="X261" s="3">
        <f t="shared" si="32"/>
        <v>4</v>
      </c>
      <c r="Y261" s="3" t="b">
        <f t="shared" si="33"/>
        <v>0</v>
      </c>
    </row>
    <row r="262" spans="14:25">
      <c r="N262" s="88" t="s">
        <v>1244</v>
      </c>
      <c r="O262" s="88" t="s">
        <v>1234</v>
      </c>
      <c r="P262" s="89">
        <v>3</v>
      </c>
      <c r="Q262" s="88" t="s">
        <v>1285</v>
      </c>
      <c r="R262" s="89" t="s">
        <v>1244</v>
      </c>
      <c r="S262" s="60">
        <v>43181</v>
      </c>
      <c r="T262" s="60">
        <v>43181</v>
      </c>
      <c r="U262" s="88" t="s">
        <v>1247</v>
      </c>
      <c r="V262" s="267" t="s">
        <v>1794</v>
      </c>
      <c r="W262" s="59"/>
      <c r="X262" s="3">
        <f t="shared" si="32"/>
        <v>3</v>
      </c>
      <c r="Y262" s="3">
        <f t="shared" si="33"/>
        <v>-3</v>
      </c>
    </row>
    <row r="263" spans="14:25">
      <c r="N263" s="88" t="s">
        <v>1244</v>
      </c>
      <c r="O263" s="88" t="s">
        <v>1236</v>
      </c>
      <c r="P263" s="89">
        <v>4</v>
      </c>
      <c r="Q263" s="88" t="s">
        <v>1285</v>
      </c>
      <c r="R263" s="89" t="s">
        <v>1244</v>
      </c>
      <c r="S263" s="60">
        <v>43181</v>
      </c>
      <c r="T263" s="60">
        <v>43181</v>
      </c>
      <c r="U263" s="88" t="s">
        <v>1247</v>
      </c>
      <c r="V263" s="267" t="s">
        <v>1794</v>
      </c>
      <c r="W263" s="59"/>
      <c r="X263" s="3">
        <f t="shared" si="32"/>
        <v>4</v>
      </c>
      <c r="Y263" s="3">
        <f t="shared" si="33"/>
        <v>-4</v>
      </c>
    </row>
    <row r="264" spans="14:25">
      <c r="N264" s="88" t="s">
        <v>1244</v>
      </c>
      <c r="O264" s="88" t="s">
        <v>1228</v>
      </c>
      <c r="P264" s="89">
        <v>4</v>
      </c>
      <c r="Q264" s="88" t="s">
        <v>1285</v>
      </c>
      <c r="R264" s="89" t="s">
        <v>1244</v>
      </c>
      <c r="S264" s="60">
        <v>43181</v>
      </c>
      <c r="T264" s="60">
        <v>43181</v>
      </c>
      <c r="U264" s="88" t="s">
        <v>1247</v>
      </c>
      <c r="V264" s="267" t="s">
        <v>1794</v>
      </c>
      <c r="W264" s="59"/>
      <c r="X264" s="3">
        <f t="shared" si="32"/>
        <v>4</v>
      </c>
      <c r="Y264" s="3">
        <f t="shared" si="33"/>
        <v>-4</v>
      </c>
    </row>
    <row r="265" spans="14:25">
      <c r="N265" s="88" t="s">
        <v>1244</v>
      </c>
      <c r="O265" s="88" t="s">
        <v>1228</v>
      </c>
      <c r="P265" s="89">
        <v>8</v>
      </c>
      <c r="Q265" s="88" t="s">
        <v>1233</v>
      </c>
      <c r="R265" s="89" t="s">
        <v>1244</v>
      </c>
      <c r="S265" s="60">
        <v>43181</v>
      </c>
      <c r="T265" s="60">
        <v>43181</v>
      </c>
      <c r="U265" s="88" t="s">
        <v>1247</v>
      </c>
      <c r="V265" s="264"/>
      <c r="W265" s="61" t="s">
        <v>96</v>
      </c>
      <c r="X265" s="3">
        <f t="shared" si="32"/>
        <v>-8</v>
      </c>
      <c r="Y265" s="3">
        <f t="shared" si="33"/>
        <v>8</v>
      </c>
    </row>
    <row r="266" spans="14:25">
      <c r="N266" s="88" t="s">
        <v>1244</v>
      </c>
      <c r="O266" s="88" t="s">
        <v>1228</v>
      </c>
      <c r="P266" s="89">
        <v>7</v>
      </c>
      <c r="Q266" s="88" t="s">
        <v>1233</v>
      </c>
      <c r="R266" s="89" t="s">
        <v>1244</v>
      </c>
      <c r="S266" s="90">
        <v>43186</v>
      </c>
      <c r="T266" s="90">
        <v>43186</v>
      </c>
      <c r="U266" s="88" t="s">
        <v>1247</v>
      </c>
      <c r="V266" s="264"/>
      <c r="W266" s="61" t="s">
        <v>1797</v>
      </c>
      <c r="X266" s="3">
        <f t="shared" si="32"/>
        <v>-7</v>
      </c>
      <c r="Y266" s="3">
        <f t="shared" si="33"/>
        <v>7</v>
      </c>
    </row>
    <row r="267" spans="14:25">
      <c r="N267" s="88" t="s">
        <v>1244</v>
      </c>
      <c r="O267" s="88" t="s">
        <v>1234</v>
      </c>
      <c r="P267" s="89">
        <v>7</v>
      </c>
      <c r="Q267" s="88" t="s">
        <v>1233</v>
      </c>
      <c r="R267" s="89" t="s">
        <v>1244</v>
      </c>
      <c r="S267" s="90">
        <v>43186</v>
      </c>
      <c r="T267" s="90">
        <v>43186</v>
      </c>
      <c r="U267" s="88" t="s">
        <v>1247</v>
      </c>
      <c r="V267" s="264"/>
      <c r="W267" s="61" t="s">
        <v>1797</v>
      </c>
      <c r="X267" s="3">
        <f t="shared" si="32"/>
        <v>-7</v>
      </c>
      <c r="Y267" s="3">
        <f t="shared" si="33"/>
        <v>7</v>
      </c>
    </row>
    <row r="268" spans="14:25">
      <c r="N268" s="88" t="s">
        <v>1244</v>
      </c>
      <c r="O268" s="88" t="s">
        <v>1236</v>
      </c>
      <c r="P268" s="89">
        <v>7</v>
      </c>
      <c r="Q268" s="88" t="s">
        <v>1233</v>
      </c>
      <c r="R268" s="89" t="s">
        <v>1244</v>
      </c>
      <c r="S268" s="90">
        <v>43186</v>
      </c>
      <c r="T268" s="90">
        <v>43186</v>
      </c>
      <c r="U268" s="88" t="s">
        <v>1247</v>
      </c>
      <c r="V268" s="264"/>
      <c r="W268" s="61" t="s">
        <v>1797</v>
      </c>
      <c r="X268" s="3">
        <f t="shared" si="32"/>
        <v>-7</v>
      </c>
      <c r="Y268" s="3">
        <f t="shared" si="33"/>
        <v>7</v>
      </c>
    </row>
    <row r="269" spans="14:25">
      <c r="N269" s="88" t="s">
        <v>1244</v>
      </c>
      <c r="O269" s="88" t="s">
        <v>1238</v>
      </c>
      <c r="P269" s="89">
        <v>7</v>
      </c>
      <c r="Q269" s="88" t="s">
        <v>1233</v>
      </c>
      <c r="R269" s="89" t="s">
        <v>1244</v>
      </c>
      <c r="S269" s="90">
        <v>43186</v>
      </c>
      <c r="T269" s="90">
        <v>43186</v>
      </c>
      <c r="U269" s="88" t="s">
        <v>1247</v>
      </c>
      <c r="V269" s="264"/>
      <c r="W269" s="61" t="s">
        <v>1797</v>
      </c>
      <c r="X269" s="3">
        <f t="shared" si="32"/>
        <v>-7</v>
      </c>
      <c r="Y269" s="3">
        <f t="shared" si="33"/>
        <v>7</v>
      </c>
    </row>
    <row r="270" spans="14:25">
      <c r="N270" s="88" t="s">
        <v>1244</v>
      </c>
      <c r="O270" s="88" t="s">
        <v>1235</v>
      </c>
      <c r="P270" s="89">
        <v>7</v>
      </c>
      <c r="Q270" s="88" t="s">
        <v>1233</v>
      </c>
      <c r="R270" s="89" t="s">
        <v>1244</v>
      </c>
      <c r="S270" s="90">
        <v>43186</v>
      </c>
      <c r="T270" s="90">
        <v>43186</v>
      </c>
      <c r="U270" s="88" t="s">
        <v>1247</v>
      </c>
      <c r="V270" s="264"/>
      <c r="W270" s="61" t="s">
        <v>1797</v>
      </c>
      <c r="X270" s="3">
        <f t="shared" si="32"/>
        <v>-7</v>
      </c>
      <c r="Y270" s="3">
        <f t="shared" si="33"/>
        <v>7</v>
      </c>
    </row>
    <row r="271" spans="14:25">
      <c r="N271" s="59" t="s">
        <v>0</v>
      </c>
      <c r="O271" s="59" t="s">
        <v>1228</v>
      </c>
      <c r="P271" s="59">
        <v>4</v>
      </c>
      <c r="Q271" s="59" t="s">
        <v>1285</v>
      </c>
      <c r="R271" s="59" t="s">
        <v>0</v>
      </c>
      <c r="S271" s="60">
        <v>43182</v>
      </c>
      <c r="T271" s="60">
        <v>43182</v>
      </c>
      <c r="U271" s="59" t="s">
        <v>1275</v>
      </c>
      <c r="V271" s="264" t="s">
        <v>1793</v>
      </c>
      <c r="W271" s="59" t="s">
        <v>1794</v>
      </c>
      <c r="X271" s="3">
        <f t="shared" si="32"/>
        <v>4</v>
      </c>
      <c r="Y271" s="3">
        <f t="shared" si="33"/>
        <v>-4</v>
      </c>
    </row>
    <row r="272" spans="14:25">
      <c r="N272" s="59" t="s">
        <v>203</v>
      </c>
      <c r="O272" s="59" t="s">
        <v>1237</v>
      </c>
      <c r="P272" s="59">
        <v>200</v>
      </c>
      <c r="Q272" s="59" t="s">
        <v>1229</v>
      </c>
      <c r="R272" s="59" t="s">
        <v>203</v>
      </c>
      <c r="S272" s="60"/>
      <c r="T272" s="60"/>
      <c r="U272" s="59" t="s">
        <v>1331</v>
      </c>
      <c r="V272" s="264"/>
      <c r="W272" s="59"/>
      <c r="X272" s="3">
        <f t="shared" si="32"/>
        <v>200</v>
      </c>
      <c r="Y272" s="3" t="b">
        <f t="shared" si="33"/>
        <v>0</v>
      </c>
    </row>
    <row r="273" spans="14:25">
      <c r="N273" s="59" t="s">
        <v>1244</v>
      </c>
      <c r="O273" s="59" t="s">
        <v>1267</v>
      </c>
      <c r="P273" s="59">
        <v>7</v>
      </c>
      <c r="Q273" s="59" t="s">
        <v>1233</v>
      </c>
      <c r="R273" s="59" t="s">
        <v>1244</v>
      </c>
      <c r="S273" s="90">
        <v>43186</v>
      </c>
      <c r="T273" s="90">
        <v>43186</v>
      </c>
      <c r="U273" s="61" t="s">
        <v>1247</v>
      </c>
      <c r="V273" s="264"/>
      <c r="W273" s="61" t="s">
        <v>1797</v>
      </c>
      <c r="X273" s="3">
        <f t="shared" si="32"/>
        <v>-7</v>
      </c>
      <c r="Y273" s="3">
        <f t="shared" si="33"/>
        <v>7</v>
      </c>
    </row>
    <row r="274" spans="14:25">
      <c r="N274" s="59" t="s">
        <v>1244</v>
      </c>
      <c r="O274" s="59" t="s">
        <v>1237</v>
      </c>
      <c r="P274" s="59">
        <v>14</v>
      </c>
      <c r="Q274" s="59" t="s">
        <v>1233</v>
      </c>
      <c r="R274" s="59" t="s">
        <v>1244</v>
      </c>
      <c r="S274" s="90">
        <v>43186</v>
      </c>
      <c r="T274" s="90">
        <v>43186</v>
      </c>
      <c r="U274" s="61" t="s">
        <v>1247</v>
      </c>
      <c r="V274" s="264"/>
      <c r="W274" s="61" t="s">
        <v>1797</v>
      </c>
      <c r="X274" s="3">
        <f t="shared" si="32"/>
        <v>-14</v>
      </c>
      <c r="Y274" s="3">
        <f t="shared" si="33"/>
        <v>14</v>
      </c>
    </row>
    <row r="275" spans="14:25">
      <c r="N275" s="34" t="s">
        <v>336</v>
      </c>
      <c r="O275" s="34" t="s">
        <v>1237</v>
      </c>
      <c r="P275" s="34">
        <v>56</v>
      </c>
      <c r="Q275" s="34" t="s">
        <v>1229</v>
      </c>
      <c r="R275" s="34" t="s">
        <v>336</v>
      </c>
      <c r="S275" s="38">
        <v>43185</v>
      </c>
      <c r="T275" s="38">
        <v>43186</v>
      </c>
      <c r="U275" s="34" t="s">
        <v>1260</v>
      </c>
      <c r="V275" s="255"/>
      <c r="W275" s="34"/>
      <c r="X275" s="3">
        <f t="shared" si="32"/>
        <v>56</v>
      </c>
      <c r="Y275" s="3" t="b">
        <f t="shared" si="33"/>
        <v>0</v>
      </c>
    </row>
    <row r="276" spans="14:25">
      <c r="N276" s="34" t="s">
        <v>336</v>
      </c>
      <c r="O276" s="34" t="s">
        <v>1238</v>
      </c>
      <c r="P276" s="34">
        <v>249</v>
      </c>
      <c r="Q276" s="34" t="s">
        <v>1229</v>
      </c>
      <c r="R276" s="34" t="s">
        <v>336</v>
      </c>
      <c r="S276" s="38">
        <v>43177</v>
      </c>
      <c r="T276" s="38">
        <v>43186</v>
      </c>
      <c r="U276" s="34" t="s">
        <v>1799</v>
      </c>
      <c r="V276" s="271" t="s">
        <v>1894</v>
      </c>
      <c r="W276" s="34"/>
      <c r="X276" s="3">
        <f t="shared" si="32"/>
        <v>249</v>
      </c>
      <c r="Y276" s="3" t="b">
        <f t="shared" si="33"/>
        <v>0</v>
      </c>
    </row>
    <row r="277" spans="14:25">
      <c r="N277" s="34" t="s">
        <v>336</v>
      </c>
      <c r="O277" s="34" t="s">
        <v>1234</v>
      </c>
      <c r="P277" s="34">
        <v>9</v>
      </c>
      <c r="Q277" s="96" t="s">
        <v>1885</v>
      </c>
      <c r="R277" s="96" t="s">
        <v>336</v>
      </c>
      <c r="S277" s="38">
        <v>43179</v>
      </c>
      <c r="T277" s="38">
        <v>43179</v>
      </c>
      <c r="U277" s="96" t="s">
        <v>1260</v>
      </c>
      <c r="V277" s="271" t="s">
        <v>1886</v>
      </c>
      <c r="W277" s="34"/>
      <c r="X277" s="3">
        <f t="shared" si="32"/>
        <v>9</v>
      </c>
      <c r="Y277" s="3">
        <f t="shared" si="33"/>
        <v>-9</v>
      </c>
    </row>
    <row r="278" spans="14:25">
      <c r="N278" s="34" t="s">
        <v>336</v>
      </c>
      <c r="O278" s="34" t="s">
        <v>1228</v>
      </c>
      <c r="P278" s="34">
        <v>9</v>
      </c>
      <c r="Q278" s="96" t="s">
        <v>1885</v>
      </c>
      <c r="R278" s="96" t="s">
        <v>336</v>
      </c>
      <c r="S278" s="38">
        <v>43179</v>
      </c>
      <c r="T278" s="38">
        <f>$S$277</f>
        <v>43179</v>
      </c>
      <c r="U278" s="96" t="s">
        <v>1260</v>
      </c>
      <c r="V278" s="271" t="s">
        <v>1886</v>
      </c>
      <c r="W278" s="34"/>
      <c r="X278" s="3">
        <f t="shared" si="32"/>
        <v>9</v>
      </c>
      <c r="Y278" s="3">
        <f t="shared" si="33"/>
        <v>-9</v>
      </c>
    </row>
    <row r="279" spans="14:25">
      <c r="N279" s="96" t="s">
        <v>336</v>
      </c>
      <c r="O279" s="96" t="s">
        <v>1238</v>
      </c>
      <c r="P279" s="34">
        <v>9</v>
      </c>
      <c r="Q279" s="96" t="s">
        <v>1885</v>
      </c>
      <c r="R279" s="96" t="s">
        <v>336</v>
      </c>
      <c r="S279" s="38">
        <v>43179</v>
      </c>
      <c r="T279" s="38">
        <v>43179</v>
      </c>
      <c r="U279" s="96" t="s">
        <v>1260</v>
      </c>
      <c r="V279" s="271" t="s">
        <v>1886</v>
      </c>
      <c r="W279" s="34"/>
      <c r="X279" s="3">
        <f t="shared" si="32"/>
        <v>9</v>
      </c>
      <c r="Y279" s="3">
        <f t="shared" si="33"/>
        <v>-9</v>
      </c>
    </row>
    <row r="280" spans="14:25">
      <c r="N280" s="96" t="s">
        <v>336</v>
      </c>
      <c r="O280" s="96" t="s">
        <v>1236</v>
      </c>
      <c r="P280" s="34">
        <v>9</v>
      </c>
      <c r="Q280" s="96" t="s">
        <v>1885</v>
      </c>
      <c r="R280" s="96" t="s">
        <v>336</v>
      </c>
      <c r="S280" s="38">
        <v>43179</v>
      </c>
      <c r="T280" s="38">
        <v>43179</v>
      </c>
      <c r="U280" s="96" t="s">
        <v>1260</v>
      </c>
      <c r="V280" s="271" t="s">
        <v>1886</v>
      </c>
      <c r="W280" s="34"/>
      <c r="X280" s="3">
        <f t="shared" si="32"/>
        <v>9</v>
      </c>
      <c r="Y280" s="3">
        <f t="shared" si="33"/>
        <v>-9</v>
      </c>
    </row>
    <row r="281" spans="14:25">
      <c r="N281" s="34" t="s">
        <v>336</v>
      </c>
      <c r="O281" s="96" t="s">
        <v>1234</v>
      </c>
      <c r="P281" s="34">
        <v>9</v>
      </c>
      <c r="Q281" s="96" t="s">
        <v>1233</v>
      </c>
      <c r="R281" s="96" t="s">
        <v>336</v>
      </c>
      <c r="S281" s="38">
        <v>43181</v>
      </c>
      <c r="T281" s="38">
        <v>43181</v>
      </c>
      <c r="U281" s="96" t="s">
        <v>1260</v>
      </c>
      <c r="V281" s="271" t="s">
        <v>1887</v>
      </c>
      <c r="W281" s="34"/>
      <c r="X281" s="3">
        <f t="shared" si="32"/>
        <v>-9</v>
      </c>
      <c r="Y281" s="3">
        <f t="shared" si="33"/>
        <v>9</v>
      </c>
    </row>
    <row r="282" spans="14:25">
      <c r="N282" s="34" t="s">
        <v>336</v>
      </c>
      <c r="O282" s="34" t="s">
        <v>1228</v>
      </c>
      <c r="P282" s="34">
        <v>9</v>
      </c>
      <c r="Q282" s="96" t="s">
        <v>1233</v>
      </c>
      <c r="R282" s="96" t="s">
        <v>336</v>
      </c>
      <c r="S282" s="38">
        <v>43181</v>
      </c>
      <c r="T282" s="38">
        <v>43181</v>
      </c>
      <c r="U282" s="96" t="s">
        <v>1260</v>
      </c>
      <c r="V282" s="271" t="s">
        <v>1887</v>
      </c>
      <c r="W282" s="34"/>
      <c r="X282" s="3">
        <f t="shared" si="32"/>
        <v>-9</v>
      </c>
      <c r="Y282" s="3">
        <f t="shared" si="33"/>
        <v>9</v>
      </c>
    </row>
    <row r="283" spans="14:25">
      <c r="N283" s="96" t="s">
        <v>336</v>
      </c>
      <c r="O283" s="96" t="s">
        <v>1236</v>
      </c>
      <c r="P283" s="34">
        <v>9</v>
      </c>
      <c r="Q283" s="96" t="s">
        <v>1233</v>
      </c>
      <c r="R283" s="96" t="s">
        <v>336</v>
      </c>
      <c r="S283" s="38">
        <v>43181</v>
      </c>
      <c r="T283" s="38">
        <v>43184</v>
      </c>
      <c r="U283" s="96" t="s">
        <v>1260</v>
      </c>
      <c r="V283" s="271" t="s">
        <v>1887</v>
      </c>
      <c r="W283" s="34"/>
      <c r="X283" s="3">
        <f t="shared" si="32"/>
        <v>-9</v>
      </c>
      <c r="Y283" s="3">
        <f t="shared" si="33"/>
        <v>9</v>
      </c>
    </row>
    <row r="284" spans="14:25">
      <c r="N284" s="96" t="s">
        <v>336</v>
      </c>
      <c r="O284" s="96" t="s">
        <v>1238</v>
      </c>
      <c r="P284" s="34">
        <v>9</v>
      </c>
      <c r="Q284" s="96" t="s">
        <v>1233</v>
      </c>
      <c r="R284" s="96" t="s">
        <v>336</v>
      </c>
      <c r="S284" s="38">
        <v>43181</v>
      </c>
      <c r="T284" s="38">
        <v>43184</v>
      </c>
      <c r="U284" s="96" t="s">
        <v>1260</v>
      </c>
      <c r="V284" s="271" t="s">
        <v>1887</v>
      </c>
      <c r="W284" s="34"/>
      <c r="X284" s="3">
        <f t="shared" si="32"/>
        <v>-9</v>
      </c>
      <c r="Y284" s="3">
        <f t="shared" si="33"/>
        <v>9</v>
      </c>
    </row>
    <row r="285" spans="14:25">
      <c r="N285" s="34" t="s">
        <v>336</v>
      </c>
      <c r="O285" s="34" t="s">
        <v>1243</v>
      </c>
      <c r="P285" s="34">
        <v>9</v>
      </c>
      <c r="Q285" s="96" t="s">
        <v>1885</v>
      </c>
      <c r="R285" s="96" t="s">
        <v>336</v>
      </c>
      <c r="S285" s="38">
        <v>43181</v>
      </c>
      <c r="T285" s="38">
        <v>43184</v>
      </c>
      <c r="U285" s="96" t="s">
        <v>1260</v>
      </c>
      <c r="V285" s="271" t="s">
        <v>1888</v>
      </c>
      <c r="W285" s="34"/>
      <c r="X285" s="3">
        <f t="shared" si="32"/>
        <v>9</v>
      </c>
      <c r="Y285" s="3">
        <f t="shared" si="33"/>
        <v>-9</v>
      </c>
    </row>
    <row r="286" spans="14:25">
      <c r="N286" s="34" t="s">
        <v>336</v>
      </c>
      <c r="O286" s="96" t="s">
        <v>1243</v>
      </c>
      <c r="P286" s="34">
        <v>9</v>
      </c>
      <c r="Q286" s="96" t="s">
        <v>1233</v>
      </c>
      <c r="R286" s="96" t="s">
        <v>336</v>
      </c>
      <c r="S286" s="38">
        <v>43181</v>
      </c>
      <c r="T286" s="38">
        <v>43184</v>
      </c>
      <c r="U286" s="96" t="s">
        <v>1260</v>
      </c>
      <c r="V286" s="271" t="s">
        <v>1889</v>
      </c>
      <c r="W286" s="34"/>
      <c r="X286" s="3">
        <f t="shared" si="32"/>
        <v>-9</v>
      </c>
      <c r="Y286" s="3">
        <f t="shared" si="33"/>
        <v>9</v>
      </c>
    </row>
    <row r="287" spans="14:25">
      <c r="N287" s="96" t="s">
        <v>336</v>
      </c>
      <c r="O287" s="96" t="s">
        <v>1267</v>
      </c>
      <c r="P287" s="34">
        <v>9</v>
      </c>
      <c r="Q287" s="96" t="s">
        <v>1233</v>
      </c>
      <c r="R287" s="96" t="s">
        <v>336</v>
      </c>
      <c r="S287" s="38">
        <v>43181</v>
      </c>
      <c r="T287" s="38">
        <v>43184</v>
      </c>
      <c r="U287" s="96" t="s">
        <v>1890</v>
      </c>
      <c r="V287" s="271" t="s">
        <v>1891</v>
      </c>
      <c r="W287" s="34"/>
      <c r="X287" s="3">
        <f t="shared" si="32"/>
        <v>-9</v>
      </c>
      <c r="Y287" s="3">
        <f t="shared" si="33"/>
        <v>9</v>
      </c>
    </row>
    <row r="288" spans="14:25">
      <c r="N288" s="96" t="s">
        <v>336</v>
      </c>
      <c r="O288" s="96" t="s">
        <v>1243</v>
      </c>
      <c r="P288" s="34">
        <v>8</v>
      </c>
      <c r="Q288" s="96" t="s">
        <v>1233</v>
      </c>
      <c r="R288" s="96" t="s">
        <v>336</v>
      </c>
      <c r="S288" s="38">
        <v>43165</v>
      </c>
      <c r="T288" s="38">
        <v>43172</v>
      </c>
      <c r="U288" s="96" t="s">
        <v>1260</v>
      </c>
      <c r="V288" s="255"/>
      <c r="W288" s="34"/>
      <c r="X288" s="3">
        <f t="shared" si="32"/>
        <v>-8</v>
      </c>
      <c r="Y288" s="3">
        <f t="shared" si="33"/>
        <v>8</v>
      </c>
    </row>
    <row r="289" spans="14:25">
      <c r="N289" s="96" t="s">
        <v>336</v>
      </c>
      <c r="O289" s="96" t="s">
        <v>1236</v>
      </c>
      <c r="P289" s="34">
        <v>8</v>
      </c>
      <c r="Q289" s="96" t="s">
        <v>1233</v>
      </c>
      <c r="R289" s="96" t="s">
        <v>336</v>
      </c>
      <c r="S289" s="38">
        <v>43165</v>
      </c>
      <c r="T289" s="38">
        <v>43172</v>
      </c>
      <c r="U289" s="96" t="s">
        <v>1890</v>
      </c>
      <c r="V289" s="271" t="s">
        <v>1893</v>
      </c>
      <c r="W289" s="34"/>
      <c r="X289" s="3">
        <f t="shared" si="32"/>
        <v>-8</v>
      </c>
      <c r="Y289" s="3">
        <f t="shared" si="33"/>
        <v>8</v>
      </c>
    </row>
    <row r="290" spans="14:25">
      <c r="N290" s="34" t="s">
        <v>336</v>
      </c>
      <c r="O290" s="34" t="s">
        <v>1228</v>
      </c>
      <c r="P290" s="34">
        <v>8</v>
      </c>
      <c r="Q290" s="96" t="s">
        <v>1233</v>
      </c>
      <c r="R290" s="96" t="s">
        <v>336</v>
      </c>
      <c r="S290" s="38">
        <v>43165</v>
      </c>
      <c r="T290" s="38">
        <v>43172</v>
      </c>
      <c r="U290" s="96" t="s">
        <v>1892</v>
      </c>
      <c r="V290" s="255"/>
      <c r="W290" s="34"/>
      <c r="X290" s="3">
        <f t="shared" si="32"/>
        <v>-8</v>
      </c>
      <c r="Y290" s="3">
        <f t="shared" si="33"/>
        <v>8</v>
      </c>
    </row>
    <row r="291" spans="14:25">
      <c r="N291" s="34" t="s">
        <v>336</v>
      </c>
      <c r="O291" s="34" t="s">
        <v>1234</v>
      </c>
      <c r="P291" s="34">
        <v>8</v>
      </c>
      <c r="Q291" s="96" t="s">
        <v>1233</v>
      </c>
      <c r="R291" s="96" t="s">
        <v>336</v>
      </c>
      <c r="S291" s="38">
        <v>43165</v>
      </c>
      <c r="T291" s="38">
        <v>43172</v>
      </c>
      <c r="U291" s="96" t="s">
        <v>1890</v>
      </c>
      <c r="V291" s="255"/>
      <c r="W291" s="34"/>
      <c r="X291" s="3">
        <f t="shared" si="32"/>
        <v>-8</v>
      </c>
      <c r="Y291" s="3">
        <f t="shared" si="33"/>
        <v>8</v>
      </c>
    </row>
    <row r="292" spans="14:25">
      <c r="N292" s="34" t="s">
        <v>336</v>
      </c>
      <c r="O292" s="34" t="s">
        <v>1238</v>
      </c>
      <c r="P292" s="34">
        <v>8</v>
      </c>
      <c r="Q292" s="96" t="s">
        <v>1233</v>
      </c>
      <c r="R292" s="96" t="s">
        <v>336</v>
      </c>
      <c r="S292" s="38">
        <v>43165</v>
      </c>
      <c r="T292" s="38">
        <v>43172</v>
      </c>
      <c r="U292" s="96" t="s">
        <v>1890</v>
      </c>
      <c r="V292" s="255"/>
      <c r="W292" s="34"/>
      <c r="X292" s="3">
        <f t="shared" si="32"/>
        <v>-8</v>
      </c>
      <c r="Y292" s="3">
        <f t="shared" si="33"/>
        <v>8</v>
      </c>
    </row>
    <row r="293" spans="14:25">
      <c r="N293" s="34" t="s">
        <v>336</v>
      </c>
      <c r="O293" s="34" t="s">
        <v>1267</v>
      </c>
      <c r="P293" s="34">
        <v>8</v>
      </c>
      <c r="Q293" s="96" t="s">
        <v>1233</v>
      </c>
      <c r="R293" s="96" t="s">
        <v>336</v>
      </c>
      <c r="S293" s="38">
        <v>43165</v>
      </c>
      <c r="T293" s="38">
        <v>43172</v>
      </c>
      <c r="U293" s="96" t="s">
        <v>1890</v>
      </c>
      <c r="V293" s="255"/>
      <c r="W293" s="34"/>
      <c r="X293" s="3">
        <f t="shared" si="32"/>
        <v>-8</v>
      </c>
      <c r="Y293" s="3">
        <f t="shared" si="33"/>
        <v>8</v>
      </c>
    </row>
    <row r="294" spans="14:25">
      <c r="N294" s="96" t="s">
        <v>336</v>
      </c>
      <c r="O294" s="34" t="s">
        <v>1235</v>
      </c>
      <c r="P294" s="34">
        <v>8</v>
      </c>
      <c r="Q294" s="96" t="s">
        <v>1233</v>
      </c>
      <c r="R294" s="96" t="s">
        <v>336</v>
      </c>
      <c r="S294" s="38">
        <v>43165</v>
      </c>
      <c r="T294" s="38">
        <v>43172</v>
      </c>
      <c r="U294" s="96" t="s">
        <v>1892</v>
      </c>
      <c r="V294" s="255"/>
      <c r="W294" s="34"/>
      <c r="X294" s="3">
        <f t="shared" si="32"/>
        <v>-8</v>
      </c>
      <c r="Y294" s="3">
        <f t="shared" si="33"/>
        <v>8</v>
      </c>
    </row>
    <row r="295" spans="14:25">
      <c r="N295" s="96" t="s">
        <v>336</v>
      </c>
      <c r="O295" s="96" t="s">
        <v>1235</v>
      </c>
      <c r="P295" s="34">
        <v>9</v>
      </c>
      <c r="Q295" s="96" t="s">
        <v>1233</v>
      </c>
      <c r="R295" s="96" t="s">
        <v>336</v>
      </c>
      <c r="S295" s="38">
        <v>43165</v>
      </c>
      <c r="T295" s="38">
        <v>43172</v>
      </c>
      <c r="U295" s="96" t="s">
        <v>1892</v>
      </c>
      <c r="V295" s="255"/>
      <c r="W295" s="34"/>
      <c r="X295" s="3">
        <f t="shared" si="32"/>
        <v>-9</v>
      </c>
      <c r="Y295" s="3">
        <f t="shared" si="33"/>
        <v>9</v>
      </c>
    </row>
    <row r="296" spans="14:25">
      <c r="N296" s="34" t="s">
        <v>336</v>
      </c>
      <c r="O296" s="34" t="s">
        <v>1237</v>
      </c>
      <c r="P296" s="34">
        <v>34</v>
      </c>
      <c r="Q296" s="96" t="s">
        <v>1233</v>
      </c>
      <c r="R296" s="96" t="s">
        <v>336</v>
      </c>
      <c r="S296" s="38">
        <v>43165</v>
      </c>
      <c r="T296" s="38">
        <v>43184</v>
      </c>
      <c r="U296" s="96" t="s">
        <v>1892</v>
      </c>
      <c r="V296" s="255"/>
      <c r="W296" s="34"/>
      <c r="X296" s="3">
        <f t="shared" si="32"/>
        <v>-34</v>
      </c>
      <c r="Y296" s="3">
        <f t="shared" si="33"/>
        <v>34</v>
      </c>
    </row>
    <row r="297" spans="14:25">
      <c r="N297" s="34" t="s">
        <v>336</v>
      </c>
      <c r="O297" s="34" t="s">
        <v>1236</v>
      </c>
      <c r="P297" s="34">
        <v>17</v>
      </c>
      <c r="Q297" s="96" t="s">
        <v>1282</v>
      </c>
      <c r="R297" s="96" t="s">
        <v>336</v>
      </c>
      <c r="S297" s="38">
        <v>43178</v>
      </c>
      <c r="T297" s="38">
        <v>43186</v>
      </c>
      <c r="U297" s="96" t="s">
        <v>1895</v>
      </c>
      <c r="V297" s="271" t="s">
        <v>1896</v>
      </c>
      <c r="W297" s="34"/>
      <c r="X297" s="3">
        <f t="shared" si="32"/>
        <v>-17</v>
      </c>
      <c r="Y297" s="3" t="b">
        <f t="shared" si="33"/>
        <v>0</v>
      </c>
    </row>
    <row r="298" spans="14:25">
      <c r="N298" s="59" t="s">
        <v>0</v>
      </c>
      <c r="O298" s="59" t="s">
        <v>1237</v>
      </c>
      <c r="P298" s="59">
        <v>60</v>
      </c>
      <c r="Q298" s="59" t="s">
        <v>1229</v>
      </c>
      <c r="R298" s="59" t="s">
        <v>0</v>
      </c>
      <c r="S298" s="60">
        <v>43187</v>
      </c>
      <c r="T298" s="60">
        <v>43187</v>
      </c>
      <c r="U298" s="59" t="s">
        <v>1275</v>
      </c>
      <c r="V298" s="264"/>
      <c r="W298" s="59"/>
      <c r="X298" s="3">
        <f t="shared" si="32"/>
        <v>60</v>
      </c>
      <c r="Y298" s="3" t="b">
        <f t="shared" si="33"/>
        <v>0</v>
      </c>
    </row>
    <row r="299" spans="14:25">
      <c r="N299" s="59" t="s">
        <v>0</v>
      </c>
      <c r="O299" s="59" t="s">
        <v>1228</v>
      </c>
      <c r="P299" s="59">
        <v>25</v>
      </c>
      <c r="Q299" s="59" t="s">
        <v>1233</v>
      </c>
      <c r="R299" s="59" t="s">
        <v>0</v>
      </c>
      <c r="S299" s="60">
        <v>43187</v>
      </c>
      <c r="T299" s="60">
        <v>43187</v>
      </c>
      <c r="U299" s="59" t="s">
        <v>1275</v>
      </c>
      <c r="V299" s="264" t="s">
        <v>1907</v>
      </c>
      <c r="W299" s="59"/>
      <c r="X299" s="3">
        <f t="shared" si="32"/>
        <v>-25</v>
      </c>
      <c r="Y299" s="3">
        <f t="shared" si="33"/>
        <v>25</v>
      </c>
    </row>
    <row r="300" spans="14:25">
      <c r="N300" s="59" t="s">
        <v>0</v>
      </c>
      <c r="O300" s="59" t="s">
        <v>1234</v>
      </c>
      <c r="P300" s="59">
        <v>25</v>
      </c>
      <c r="Q300" s="59" t="s">
        <v>1233</v>
      </c>
      <c r="R300" s="59" t="s">
        <v>0</v>
      </c>
      <c r="S300" s="60">
        <v>43187</v>
      </c>
      <c r="T300" s="60">
        <v>43187</v>
      </c>
      <c r="U300" s="59" t="s">
        <v>1275</v>
      </c>
      <c r="V300" s="264"/>
      <c r="W300" s="59"/>
      <c r="X300" s="3">
        <f t="shared" si="32"/>
        <v>-25</v>
      </c>
      <c r="Y300" s="3">
        <f t="shared" si="33"/>
        <v>25</v>
      </c>
    </row>
    <row r="301" spans="14:25">
      <c r="N301" s="59" t="s">
        <v>0</v>
      </c>
      <c r="O301" s="59" t="s">
        <v>1235</v>
      </c>
      <c r="P301" s="59">
        <v>25</v>
      </c>
      <c r="Q301" s="59" t="s">
        <v>1233</v>
      </c>
      <c r="R301" s="59" t="s">
        <v>0</v>
      </c>
      <c r="S301" s="60">
        <v>43187</v>
      </c>
      <c r="T301" s="60">
        <v>43187</v>
      </c>
      <c r="U301" s="59" t="s">
        <v>1275</v>
      </c>
      <c r="V301" s="264"/>
      <c r="W301" s="59"/>
      <c r="X301" s="3">
        <f t="shared" si="32"/>
        <v>-25</v>
      </c>
      <c r="Y301" s="3">
        <f t="shared" si="33"/>
        <v>25</v>
      </c>
    </row>
    <row r="302" spans="14:25">
      <c r="N302" s="59" t="s">
        <v>0</v>
      </c>
      <c r="O302" s="59" t="s">
        <v>1236</v>
      </c>
      <c r="P302" s="59">
        <v>25</v>
      </c>
      <c r="Q302" s="59" t="s">
        <v>1233</v>
      </c>
      <c r="R302" s="59" t="s">
        <v>0</v>
      </c>
      <c r="S302" s="60">
        <v>43187</v>
      </c>
      <c r="T302" s="60">
        <v>43187</v>
      </c>
      <c r="U302" s="59" t="s">
        <v>1275</v>
      </c>
      <c r="V302" s="264"/>
      <c r="W302" s="59"/>
      <c r="X302" s="3">
        <f t="shared" si="32"/>
        <v>-25</v>
      </c>
      <c r="Y302" s="3">
        <f t="shared" si="33"/>
        <v>25</v>
      </c>
    </row>
    <row r="303" spans="14:25">
      <c r="N303" s="59" t="s">
        <v>0</v>
      </c>
      <c r="O303" s="59" t="s">
        <v>1237</v>
      </c>
      <c r="P303" s="59">
        <v>50</v>
      </c>
      <c r="Q303" s="59" t="s">
        <v>1233</v>
      </c>
      <c r="R303" s="59" t="s">
        <v>0</v>
      </c>
      <c r="S303" s="60">
        <v>43187</v>
      </c>
      <c r="T303" s="60">
        <v>43187</v>
      </c>
      <c r="U303" s="59" t="s">
        <v>1275</v>
      </c>
      <c r="V303" s="264"/>
      <c r="W303" s="59"/>
      <c r="X303" s="3">
        <f t="shared" si="32"/>
        <v>-50</v>
      </c>
      <c r="Y303" s="3">
        <f t="shared" si="33"/>
        <v>50</v>
      </c>
    </row>
    <row r="304" spans="14:25">
      <c r="N304" s="59" t="s">
        <v>0</v>
      </c>
      <c r="O304" s="59" t="s">
        <v>1238</v>
      </c>
      <c r="P304" s="59">
        <v>25</v>
      </c>
      <c r="Q304" s="59" t="s">
        <v>1233</v>
      </c>
      <c r="R304" s="59" t="s">
        <v>0</v>
      </c>
      <c r="S304" s="60">
        <v>43187</v>
      </c>
      <c r="T304" s="60">
        <v>43187</v>
      </c>
      <c r="U304" s="59" t="s">
        <v>1275</v>
      </c>
      <c r="V304" s="264"/>
      <c r="W304" s="59"/>
      <c r="X304" s="3">
        <f t="shared" si="32"/>
        <v>-25</v>
      </c>
      <c r="Y304" s="3">
        <f t="shared" si="33"/>
        <v>25</v>
      </c>
    </row>
    <row r="305" spans="14:25">
      <c r="N305" s="59" t="s">
        <v>0</v>
      </c>
      <c r="O305" s="59" t="s">
        <v>1267</v>
      </c>
      <c r="P305" s="59">
        <v>25</v>
      </c>
      <c r="Q305" s="59" t="s">
        <v>1233</v>
      </c>
      <c r="R305" s="59" t="s">
        <v>0</v>
      </c>
      <c r="S305" s="60">
        <v>43187</v>
      </c>
      <c r="T305" s="60">
        <v>43187</v>
      </c>
      <c r="U305" s="59" t="s">
        <v>1275</v>
      </c>
      <c r="V305" s="264"/>
      <c r="W305" s="59"/>
      <c r="X305" s="3">
        <f t="shared" si="32"/>
        <v>-25</v>
      </c>
      <c r="Y305" s="3">
        <f t="shared" si="33"/>
        <v>25</v>
      </c>
    </row>
    <row r="306" spans="14:25">
      <c r="N306" s="59" t="s">
        <v>0</v>
      </c>
      <c r="O306" s="59" t="s">
        <v>1234</v>
      </c>
      <c r="P306" s="59">
        <v>4</v>
      </c>
      <c r="Q306" s="59" t="s">
        <v>1885</v>
      </c>
      <c r="R306" s="59" t="s">
        <v>0</v>
      </c>
      <c r="S306" s="60">
        <v>43187</v>
      </c>
      <c r="T306" s="60">
        <v>43187</v>
      </c>
      <c r="U306" s="59" t="s">
        <v>1275</v>
      </c>
      <c r="V306" s="264"/>
      <c r="W306" s="59" t="s">
        <v>1908</v>
      </c>
      <c r="X306" s="3">
        <f t="shared" si="32"/>
        <v>4</v>
      </c>
      <c r="Y306" s="3">
        <f t="shared" si="33"/>
        <v>-4</v>
      </c>
    </row>
    <row r="307" spans="14:25">
      <c r="N307" s="59" t="s">
        <v>0</v>
      </c>
      <c r="O307" s="59" t="s">
        <v>1237</v>
      </c>
      <c r="P307" s="59">
        <v>8</v>
      </c>
      <c r="Q307" s="59" t="s">
        <v>1285</v>
      </c>
      <c r="R307" s="59" t="s">
        <v>0</v>
      </c>
      <c r="S307" s="60">
        <v>43187</v>
      </c>
      <c r="T307" s="60">
        <v>43187</v>
      </c>
      <c r="U307" s="59" t="s">
        <v>1275</v>
      </c>
      <c r="V307" s="264"/>
      <c r="W307" s="59" t="s">
        <v>1908</v>
      </c>
      <c r="X307" s="3">
        <f t="shared" si="32"/>
        <v>8</v>
      </c>
      <c r="Y307" s="3">
        <f t="shared" si="33"/>
        <v>-8</v>
      </c>
    </row>
    <row r="308" spans="14:25">
      <c r="N308" s="59" t="s">
        <v>0</v>
      </c>
      <c r="O308" s="59" t="s">
        <v>1236</v>
      </c>
      <c r="P308" s="59">
        <v>4</v>
      </c>
      <c r="Q308" s="59" t="s">
        <v>1885</v>
      </c>
      <c r="R308" s="59" t="s">
        <v>0</v>
      </c>
      <c r="S308" s="60">
        <v>43187</v>
      </c>
      <c r="T308" s="60">
        <v>43187</v>
      </c>
      <c r="U308" s="59" t="s">
        <v>1275</v>
      </c>
      <c r="V308" s="264"/>
      <c r="W308" s="59" t="s">
        <v>1908</v>
      </c>
      <c r="X308" s="3">
        <f t="shared" si="32"/>
        <v>4</v>
      </c>
      <c r="Y308" s="3">
        <f t="shared" si="33"/>
        <v>-4</v>
      </c>
    </row>
    <row r="309" spans="14:25">
      <c r="N309" s="59" t="s">
        <v>0</v>
      </c>
      <c r="O309" s="59" t="s">
        <v>1238</v>
      </c>
      <c r="P309" s="59">
        <v>4</v>
      </c>
      <c r="Q309" s="59" t="s">
        <v>1885</v>
      </c>
      <c r="R309" s="59" t="s">
        <v>0</v>
      </c>
      <c r="S309" s="60">
        <v>43187</v>
      </c>
      <c r="T309" s="60">
        <v>43187</v>
      </c>
      <c r="U309" s="59" t="s">
        <v>1275</v>
      </c>
      <c r="V309" s="264"/>
      <c r="W309" s="59" t="s">
        <v>1908</v>
      </c>
      <c r="X309" s="3">
        <f t="shared" ref="X309:X372" si="34">IF(OR(Q309="Stock to Rack",Q309="From Stock"),-P309,IF(OR(Q309="Rack to Stock",Q309="To Stock"),P309))</f>
        <v>4</v>
      </c>
      <c r="Y309" s="3">
        <f t="shared" ref="Y309:Y372" si="35">IF(Q309="Rack to Stock",-P309,IF(Q309="Stock to Rack",P309))</f>
        <v>-4</v>
      </c>
    </row>
    <row r="310" spans="14:25">
      <c r="N310" s="59" t="s">
        <v>0</v>
      </c>
      <c r="O310" s="59" t="s">
        <v>1339</v>
      </c>
      <c r="P310" s="59">
        <v>4</v>
      </c>
      <c r="Q310" s="59" t="s">
        <v>1885</v>
      </c>
      <c r="R310" s="59" t="s">
        <v>0</v>
      </c>
      <c r="S310" s="60">
        <v>43187</v>
      </c>
      <c r="T310" s="60">
        <v>43187</v>
      </c>
      <c r="U310" s="59" t="s">
        <v>1275</v>
      </c>
      <c r="V310" s="264"/>
      <c r="W310" s="59" t="s">
        <v>1908</v>
      </c>
      <c r="X310" s="3">
        <f t="shared" si="34"/>
        <v>4</v>
      </c>
      <c r="Y310" s="3">
        <f t="shared" si="35"/>
        <v>-4</v>
      </c>
    </row>
    <row r="311" spans="14:25">
      <c r="N311" s="59" t="s">
        <v>0</v>
      </c>
      <c r="O311" s="59" t="s">
        <v>1243</v>
      </c>
      <c r="P311" s="59">
        <v>4</v>
      </c>
      <c r="Q311" s="59" t="s">
        <v>1885</v>
      </c>
      <c r="R311" s="59" t="s">
        <v>0</v>
      </c>
      <c r="S311" s="60">
        <v>43187</v>
      </c>
      <c r="T311" s="60">
        <v>43187</v>
      </c>
      <c r="U311" s="59" t="s">
        <v>1275</v>
      </c>
      <c r="V311" s="264"/>
      <c r="W311" s="59" t="s">
        <v>1908</v>
      </c>
      <c r="X311" s="3">
        <f t="shared" si="34"/>
        <v>4</v>
      </c>
      <c r="Y311" s="3">
        <f t="shared" si="35"/>
        <v>-4</v>
      </c>
    </row>
    <row r="312" spans="14:25">
      <c r="N312" s="34" t="s">
        <v>1244</v>
      </c>
      <c r="O312" s="34" t="s">
        <v>1237</v>
      </c>
      <c r="P312" s="34">
        <v>30</v>
      </c>
      <c r="Q312" s="100" t="s">
        <v>1285</v>
      </c>
      <c r="R312" s="34" t="s">
        <v>1244</v>
      </c>
      <c r="S312" s="38">
        <v>43187</v>
      </c>
      <c r="T312" s="38"/>
      <c r="U312" s="34"/>
      <c r="V312" s="255" t="s">
        <v>1950</v>
      </c>
      <c r="W312" s="34"/>
      <c r="X312" s="3">
        <f t="shared" si="34"/>
        <v>30</v>
      </c>
      <c r="Y312" s="3">
        <f t="shared" si="35"/>
        <v>-30</v>
      </c>
    </row>
    <row r="313" spans="14:25">
      <c r="N313" s="34" t="s">
        <v>1244</v>
      </c>
      <c r="O313" s="34" t="s">
        <v>1237</v>
      </c>
      <c r="P313" s="34">
        <v>18</v>
      </c>
      <c r="Q313" s="34" t="s">
        <v>1229</v>
      </c>
      <c r="R313" s="34" t="s">
        <v>1244</v>
      </c>
      <c r="S313" s="38">
        <v>43187</v>
      </c>
      <c r="T313" s="38"/>
      <c r="U313" s="34"/>
      <c r="V313" s="255" t="s">
        <v>1949</v>
      </c>
      <c r="W313" s="34"/>
      <c r="X313" s="3">
        <f t="shared" si="34"/>
        <v>18</v>
      </c>
      <c r="Y313" s="3" t="b">
        <f t="shared" si="35"/>
        <v>0</v>
      </c>
    </row>
    <row r="314" spans="14:25">
      <c r="N314" s="34" t="s">
        <v>336</v>
      </c>
      <c r="O314" s="34" t="s">
        <v>1243</v>
      </c>
      <c r="P314" s="34">
        <v>9</v>
      </c>
      <c r="Q314" s="34" t="s">
        <v>1229</v>
      </c>
      <c r="R314" s="34" t="s">
        <v>336</v>
      </c>
      <c r="S314" s="38">
        <v>43187</v>
      </c>
      <c r="T314" s="38">
        <v>43187</v>
      </c>
      <c r="U314" s="96" t="s">
        <v>1260</v>
      </c>
      <c r="V314" s="255"/>
      <c r="W314" s="34"/>
      <c r="X314" s="3">
        <f t="shared" si="34"/>
        <v>9</v>
      </c>
      <c r="Y314" s="3" t="b">
        <f t="shared" si="35"/>
        <v>0</v>
      </c>
    </row>
    <row r="315" spans="14:25">
      <c r="N315" s="59" t="s">
        <v>1244</v>
      </c>
      <c r="O315" s="59" t="s">
        <v>1234</v>
      </c>
      <c r="P315" s="59">
        <v>25</v>
      </c>
      <c r="Q315" s="59" t="s">
        <v>1229</v>
      </c>
      <c r="R315" s="59" t="s">
        <v>364</v>
      </c>
      <c r="S315" s="60">
        <v>43188</v>
      </c>
      <c r="T315" s="60">
        <v>43196</v>
      </c>
      <c r="U315" s="59" t="s">
        <v>1263</v>
      </c>
      <c r="V315" s="272" t="s">
        <v>2154</v>
      </c>
      <c r="W315" s="59" t="s">
        <v>2006</v>
      </c>
      <c r="X315" s="3">
        <f t="shared" si="34"/>
        <v>25</v>
      </c>
      <c r="Y315" s="3" t="b">
        <f t="shared" si="35"/>
        <v>0</v>
      </c>
    </row>
    <row r="316" spans="14:25">
      <c r="N316" s="31" t="s">
        <v>336</v>
      </c>
      <c r="O316" s="31" t="s">
        <v>1235</v>
      </c>
      <c r="P316" s="101"/>
      <c r="Q316" s="31"/>
      <c r="R316" s="31" t="s">
        <v>336</v>
      </c>
      <c r="S316" s="32">
        <v>43188</v>
      </c>
      <c r="T316" s="32"/>
      <c r="U316" s="31" t="s">
        <v>1260</v>
      </c>
      <c r="V316" s="265"/>
      <c r="W316" s="31" t="s">
        <v>2007</v>
      </c>
      <c r="X316" s="3" t="b">
        <f t="shared" si="34"/>
        <v>0</v>
      </c>
      <c r="Y316" s="3" t="b">
        <f t="shared" si="35"/>
        <v>0</v>
      </c>
    </row>
    <row r="317" spans="14:25">
      <c r="N317" s="199" t="s">
        <v>336</v>
      </c>
      <c r="O317" s="199" t="s">
        <v>1234</v>
      </c>
      <c r="P317" s="199">
        <v>35</v>
      </c>
      <c r="Q317" s="199" t="s">
        <v>1229</v>
      </c>
      <c r="R317" s="199" t="s">
        <v>364</v>
      </c>
      <c r="S317" s="200">
        <v>43188</v>
      </c>
      <c r="T317" s="200"/>
      <c r="U317" s="199" t="s">
        <v>1263</v>
      </c>
      <c r="V317" s="273" t="s">
        <v>2153</v>
      </c>
      <c r="W317" s="199" t="s">
        <v>2006</v>
      </c>
      <c r="X317" s="3">
        <f t="shared" si="34"/>
        <v>35</v>
      </c>
      <c r="Y317" s="3" t="b">
        <f t="shared" si="35"/>
        <v>0</v>
      </c>
    </row>
    <row r="318" spans="14:25">
      <c r="N318" s="59" t="s">
        <v>203</v>
      </c>
      <c r="O318" s="59" t="s">
        <v>1234</v>
      </c>
      <c r="P318" s="59">
        <v>23</v>
      </c>
      <c r="Q318" s="59" t="s">
        <v>1233</v>
      </c>
      <c r="R318" s="59" t="s">
        <v>203</v>
      </c>
      <c r="S318" s="60">
        <v>43188</v>
      </c>
      <c r="T318" s="60"/>
      <c r="U318" s="59" t="s">
        <v>1331</v>
      </c>
      <c r="V318" s="264"/>
      <c r="W318" s="59"/>
      <c r="X318" s="3">
        <f t="shared" si="34"/>
        <v>-23</v>
      </c>
      <c r="Y318" s="3">
        <f t="shared" si="35"/>
        <v>23</v>
      </c>
    </row>
    <row r="319" spans="14:25">
      <c r="N319" s="59" t="s">
        <v>203</v>
      </c>
      <c r="O319" s="59" t="s">
        <v>1236</v>
      </c>
      <c r="P319" s="59">
        <v>25</v>
      </c>
      <c r="Q319" s="59" t="s">
        <v>1233</v>
      </c>
      <c r="R319" s="59" t="s">
        <v>203</v>
      </c>
      <c r="S319" s="60">
        <v>43188</v>
      </c>
      <c r="T319" s="60"/>
      <c r="U319" s="59" t="s">
        <v>1331</v>
      </c>
      <c r="V319" s="264"/>
      <c r="W319" s="59"/>
      <c r="X319" s="3">
        <f t="shared" si="34"/>
        <v>-25</v>
      </c>
      <c r="Y319" s="3">
        <f t="shared" si="35"/>
        <v>25</v>
      </c>
    </row>
    <row r="320" spans="14:25">
      <c r="N320" s="59" t="s">
        <v>203</v>
      </c>
      <c r="O320" s="59" t="s">
        <v>1267</v>
      </c>
      <c r="P320" s="59">
        <v>8</v>
      </c>
      <c r="Q320" s="59" t="s">
        <v>1233</v>
      </c>
      <c r="R320" s="59" t="s">
        <v>203</v>
      </c>
      <c r="S320" s="60">
        <v>43188</v>
      </c>
      <c r="T320" s="60"/>
      <c r="U320" s="59" t="s">
        <v>1331</v>
      </c>
      <c r="V320" s="264"/>
      <c r="W320" s="59"/>
      <c r="X320" s="3">
        <f t="shared" si="34"/>
        <v>-8</v>
      </c>
      <c r="Y320" s="3">
        <f t="shared" si="35"/>
        <v>8</v>
      </c>
    </row>
    <row r="321" spans="14:25">
      <c r="N321" s="59" t="s">
        <v>203</v>
      </c>
      <c r="O321" s="59" t="s">
        <v>1243</v>
      </c>
      <c r="P321" s="59">
        <v>7</v>
      </c>
      <c r="Q321" s="59" t="s">
        <v>1233</v>
      </c>
      <c r="R321" s="59" t="s">
        <v>203</v>
      </c>
      <c r="S321" s="60">
        <v>43188</v>
      </c>
      <c r="T321" s="60"/>
      <c r="U321" s="59" t="s">
        <v>1331</v>
      </c>
      <c r="V321" s="264"/>
      <c r="W321" s="59"/>
      <c r="X321" s="3">
        <f t="shared" si="34"/>
        <v>-7</v>
      </c>
      <c r="Y321" s="3">
        <f t="shared" si="35"/>
        <v>7</v>
      </c>
    </row>
    <row r="322" spans="14:25">
      <c r="N322" s="59" t="s">
        <v>203</v>
      </c>
      <c r="O322" s="59" t="s">
        <v>1235</v>
      </c>
      <c r="P322" s="59">
        <v>40</v>
      </c>
      <c r="Q322" s="59" t="s">
        <v>1233</v>
      </c>
      <c r="R322" s="59" t="s">
        <v>203</v>
      </c>
      <c r="S322" s="60">
        <v>43188</v>
      </c>
      <c r="T322" s="60"/>
      <c r="U322" s="59" t="s">
        <v>1331</v>
      </c>
      <c r="V322" s="264"/>
      <c r="W322" s="59"/>
      <c r="X322" s="3">
        <f t="shared" si="34"/>
        <v>-40</v>
      </c>
      <c r="Y322" s="3">
        <f t="shared" si="35"/>
        <v>40</v>
      </c>
    </row>
    <row r="323" spans="14:25">
      <c r="N323" s="59" t="s">
        <v>203</v>
      </c>
      <c r="O323" s="59" t="s">
        <v>1237</v>
      </c>
      <c r="P323" s="59">
        <v>36</v>
      </c>
      <c r="Q323" s="59" t="s">
        <v>1233</v>
      </c>
      <c r="R323" s="59" t="s">
        <v>203</v>
      </c>
      <c r="S323" s="60">
        <v>43188</v>
      </c>
      <c r="T323" s="60"/>
      <c r="U323" s="59" t="s">
        <v>1331</v>
      </c>
      <c r="V323" s="264"/>
      <c r="W323" s="59"/>
      <c r="X323" s="3">
        <f t="shared" si="34"/>
        <v>-36</v>
      </c>
      <c r="Y323" s="3">
        <f t="shared" si="35"/>
        <v>36</v>
      </c>
    </row>
    <row r="324" spans="14:25">
      <c r="N324" s="59" t="s">
        <v>203</v>
      </c>
      <c r="O324" s="59" t="s">
        <v>1238</v>
      </c>
      <c r="P324" s="59">
        <v>18</v>
      </c>
      <c r="Q324" s="59" t="s">
        <v>1233</v>
      </c>
      <c r="R324" s="59" t="s">
        <v>203</v>
      </c>
      <c r="S324" s="60">
        <v>43188</v>
      </c>
      <c r="T324" s="60"/>
      <c r="U324" s="59" t="s">
        <v>1331</v>
      </c>
      <c r="V324" s="264"/>
      <c r="W324" s="59"/>
      <c r="X324" s="3">
        <f t="shared" si="34"/>
        <v>-18</v>
      </c>
      <c r="Y324" s="3">
        <f t="shared" si="35"/>
        <v>18</v>
      </c>
    </row>
    <row r="325" spans="14:25">
      <c r="N325" s="59" t="s">
        <v>203</v>
      </c>
      <c r="O325" s="59" t="s">
        <v>1267</v>
      </c>
      <c r="P325" s="59">
        <v>18</v>
      </c>
      <c r="Q325" s="59" t="s">
        <v>1233</v>
      </c>
      <c r="R325" s="59" t="s">
        <v>203</v>
      </c>
      <c r="S325" s="60">
        <v>43188</v>
      </c>
      <c r="T325" s="60"/>
      <c r="U325" s="59" t="s">
        <v>1331</v>
      </c>
      <c r="V325" s="264"/>
      <c r="W325" s="59"/>
      <c r="X325" s="3">
        <f t="shared" si="34"/>
        <v>-18</v>
      </c>
      <c r="Y325" s="3">
        <f t="shared" si="35"/>
        <v>18</v>
      </c>
    </row>
    <row r="326" spans="14:25">
      <c r="N326" s="59" t="s">
        <v>203</v>
      </c>
      <c r="O326" s="59" t="s">
        <v>1243</v>
      </c>
      <c r="P326" s="59">
        <v>11</v>
      </c>
      <c r="Q326" s="59" t="s">
        <v>1233</v>
      </c>
      <c r="R326" s="59" t="s">
        <v>203</v>
      </c>
      <c r="S326" s="60">
        <v>43188</v>
      </c>
      <c r="T326" s="60"/>
      <c r="U326" s="59" t="s">
        <v>1331</v>
      </c>
      <c r="V326" s="264"/>
      <c r="W326" s="59"/>
      <c r="X326" s="3">
        <f t="shared" si="34"/>
        <v>-11</v>
      </c>
      <c r="Y326" s="3">
        <f t="shared" si="35"/>
        <v>11</v>
      </c>
    </row>
    <row r="327" spans="14:25">
      <c r="N327" s="59" t="s">
        <v>203</v>
      </c>
      <c r="O327" s="59" t="s">
        <v>1238</v>
      </c>
      <c r="P327" s="59">
        <v>200</v>
      </c>
      <c r="Q327" s="59" t="s">
        <v>1229</v>
      </c>
      <c r="R327" s="59" t="s">
        <v>203</v>
      </c>
      <c r="S327" s="60">
        <v>43188</v>
      </c>
      <c r="T327" s="60"/>
      <c r="U327" s="59" t="s">
        <v>1331</v>
      </c>
      <c r="V327" s="264"/>
      <c r="W327" s="59"/>
      <c r="X327" s="3">
        <f t="shared" si="34"/>
        <v>200</v>
      </c>
      <c r="Y327" s="3" t="b">
        <f t="shared" si="35"/>
        <v>0</v>
      </c>
    </row>
    <row r="328" spans="14:25">
      <c r="N328" s="59" t="s">
        <v>0</v>
      </c>
      <c r="O328" s="59" t="s">
        <v>1234</v>
      </c>
      <c r="P328" s="59">
        <v>30</v>
      </c>
      <c r="Q328" s="59" t="s">
        <v>1229</v>
      </c>
      <c r="R328" s="59" t="s">
        <v>364</v>
      </c>
      <c r="S328" s="60">
        <v>43192</v>
      </c>
      <c r="T328" s="60">
        <v>43200</v>
      </c>
      <c r="U328" s="59" t="s">
        <v>1263</v>
      </c>
      <c r="V328" s="264" t="s">
        <v>2155</v>
      </c>
      <c r="W328" s="59"/>
      <c r="X328" s="3">
        <f t="shared" si="34"/>
        <v>30</v>
      </c>
      <c r="Y328" s="3" t="b">
        <f t="shared" si="35"/>
        <v>0</v>
      </c>
    </row>
    <row r="329" spans="14:25">
      <c r="N329" s="59" t="s">
        <v>203</v>
      </c>
      <c r="O329" s="59" t="s">
        <v>1234</v>
      </c>
      <c r="P329" s="59">
        <v>30</v>
      </c>
      <c r="Q329" s="59" t="s">
        <v>1229</v>
      </c>
      <c r="R329" s="59" t="s">
        <v>364</v>
      </c>
      <c r="S329" s="60">
        <v>43192</v>
      </c>
      <c r="T329" s="60">
        <v>43200</v>
      </c>
      <c r="U329" s="59" t="s">
        <v>1263</v>
      </c>
      <c r="V329" s="264" t="s">
        <v>2156</v>
      </c>
      <c r="W329" s="59"/>
      <c r="X329" s="3">
        <f t="shared" si="34"/>
        <v>30</v>
      </c>
      <c r="Y329" s="3" t="b">
        <f t="shared" si="35"/>
        <v>0</v>
      </c>
    </row>
    <row r="330" spans="14:25">
      <c r="N330" s="59" t="s">
        <v>203</v>
      </c>
      <c r="O330" s="59" t="s">
        <v>1236</v>
      </c>
      <c r="P330" s="59">
        <v>1</v>
      </c>
      <c r="Q330" s="59" t="s">
        <v>1233</v>
      </c>
      <c r="R330" s="59" t="s">
        <v>203</v>
      </c>
      <c r="S330" s="60">
        <v>43194</v>
      </c>
      <c r="T330" s="60"/>
      <c r="U330" s="107" t="s">
        <v>1331</v>
      </c>
      <c r="V330" s="264"/>
      <c r="W330" s="59"/>
      <c r="X330" s="3">
        <f t="shared" si="34"/>
        <v>-1</v>
      </c>
      <c r="Y330" s="3">
        <f t="shared" si="35"/>
        <v>1</v>
      </c>
    </row>
    <row r="331" spans="14:25">
      <c r="N331" s="59" t="s">
        <v>203</v>
      </c>
      <c r="O331" s="59" t="s">
        <v>1237</v>
      </c>
      <c r="P331" s="59">
        <v>14</v>
      </c>
      <c r="Q331" s="59" t="s">
        <v>1233</v>
      </c>
      <c r="R331" s="59" t="s">
        <v>203</v>
      </c>
      <c r="S331" s="60">
        <v>43194</v>
      </c>
      <c r="T331" s="60"/>
      <c r="U331" s="107" t="s">
        <v>1331</v>
      </c>
      <c r="V331" s="264"/>
      <c r="W331" s="59"/>
      <c r="X331" s="3">
        <f t="shared" si="34"/>
        <v>-14</v>
      </c>
      <c r="Y331" s="3">
        <f t="shared" si="35"/>
        <v>14</v>
      </c>
    </row>
    <row r="332" spans="14:25">
      <c r="N332" s="59" t="s">
        <v>203</v>
      </c>
      <c r="O332" s="59" t="s">
        <v>1267</v>
      </c>
      <c r="P332" s="59">
        <v>10</v>
      </c>
      <c r="Q332" s="59" t="s">
        <v>1233</v>
      </c>
      <c r="R332" s="59" t="s">
        <v>203</v>
      </c>
      <c r="S332" s="60">
        <v>43194</v>
      </c>
      <c r="T332" s="60"/>
      <c r="U332" s="107" t="s">
        <v>1331</v>
      </c>
      <c r="V332" s="264"/>
      <c r="W332" s="59"/>
      <c r="X332" s="3">
        <f t="shared" si="34"/>
        <v>-10</v>
      </c>
      <c r="Y332" s="3">
        <f t="shared" si="35"/>
        <v>10</v>
      </c>
    </row>
    <row r="333" spans="14:25">
      <c r="N333" s="59" t="s">
        <v>203</v>
      </c>
      <c r="O333" s="59" t="s">
        <v>1243</v>
      </c>
      <c r="P333" s="59">
        <v>2</v>
      </c>
      <c r="Q333" s="59" t="s">
        <v>1233</v>
      </c>
      <c r="R333" s="59" t="s">
        <v>203</v>
      </c>
      <c r="S333" s="60">
        <v>43194</v>
      </c>
      <c r="T333" s="60"/>
      <c r="U333" s="107" t="s">
        <v>1331</v>
      </c>
      <c r="V333" s="264"/>
      <c r="W333" s="59"/>
      <c r="X333" s="3">
        <f t="shared" si="34"/>
        <v>-2</v>
      </c>
      <c r="Y333" s="3">
        <f t="shared" si="35"/>
        <v>2</v>
      </c>
    </row>
    <row r="334" spans="14:25">
      <c r="N334" s="59" t="s">
        <v>203</v>
      </c>
      <c r="O334" s="59" t="s">
        <v>1267</v>
      </c>
      <c r="P334" s="59">
        <v>31</v>
      </c>
      <c r="Q334" s="59" t="s">
        <v>1285</v>
      </c>
      <c r="R334" s="59" t="s">
        <v>203</v>
      </c>
      <c r="S334" s="60">
        <v>43194</v>
      </c>
      <c r="T334" s="60"/>
      <c r="U334" s="107" t="s">
        <v>1331</v>
      </c>
      <c r="V334" s="264"/>
      <c r="W334" s="59"/>
      <c r="X334" s="3">
        <f t="shared" si="34"/>
        <v>31</v>
      </c>
      <c r="Y334" s="3">
        <f t="shared" si="35"/>
        <v>-31</v>
      </c>
    </row>
    <row r="335" spans="14:25">
      <c r="N335" s="59" t="s">
        <v>0</v>
      </c>
      <c r="O335" s="59" t="s">
        <v>1228</v>
      </c>
      <c r="P335" s="59">
        <v>6</v>
      </c>
      <c r="Q335" s="59" t="s">
        <v>1233</v>
      </c>
      <c r="R335" s="59" t="s">
        <v>0</v>
      </c>
      <c r="S335" s="60">
        <v>43194</v>
      </c>
      <c r="T335" s="59"/>
      <c r="U335" s="59" t="s">
        <v>1275</v>
      </c>
      <c r="V335" s="264"/>
      <c r="W335" s="59"/>
      <c r="X335" s="3">
        <f t="shared" si="34"/>
        <v>-6</v>
      </c>
      <c r="Y335" s="3">
        <f t="shared" si="35"/>
        <v>6</v>
      </c>
    </row>
    <row r="336" spans="14:25">
      <c r="N336" s="59" t="s">
        <v>0</v>
      </c>
      <c r="O336" s="59" t="s">
        <v>1238</v>
      </c>
      <c r="P336" s="59">
        <v>6</v>
      </c>
      <c r="Q336" s="59" t="s">
        <v>1233</v>
      </c>
      <c r="R336" s="59" t="s">
        <v>0</v>
      </c>
      <c r="S336" s="60">
        <v>43194</v>
      </c>
      <c r="T336" s="59"/>
      <c r="U336" s="59" t="s">
        <v>1275</v>
      </c>
      <c r="V336" s="264"/>
      <c r="W336" s="59"/>
      <c r="X336" s="3">
        <f t="shared" si="34"/>
        <v>-6</v>
      </c>
      <c r="Y336" s="3">
        <f t="shared" si="35"/>
        <v>6</v>
      </c>
    </row>
    <row r="337" spans="14:25">
      <c r="N337" s="59" t="s">
        <v>0</v>
      </c>
      <c r="O337" s="59" t="s">
        <v>1268</v>
      </c>
      <c r="P337" s="59">
        <v>6</v>
      </c>
      <c r="Q337" s="59" t="s">
        <v>1233</v>
      </c>
      <c r="R337" s="59" t="s">
        <v>0</v>
      </c>
      <c r="S337" s="60">
        <v>43194</v>
      </c>
      <c r="T337" s="59"/>
      <c r="U337" s="59" t="s">
        <v>1275</v>
      </c>
      <c r="V337" s="264"/>
      <c r="W337" s="59"/>
      <c r="X337" s="3">
        <f t="shared" si="34"/>
        <v>-6</v>
      </c>
      <c r="Y337" s="3">
        <f t="shared" si="35"/>
        <v>6</v>
      </c>
    </row>
    <row r="338" spans="14:25">
      <c r="N338" s="59" t="s">
        <v>0</v>
      </c>
      <c r="O338" s="59" t="s">
        <v>1235</v>
      </c>
      <c r="P338" s="59">
        <v>6</v>
      </c>
      <c r="Q338" s="59" t="s">
        <v>1233</v>
      </c>
      <c r="R338" s="59" t="s">
        <v>0</v>
      </c>
      <c r="S338" s="60">
        <v>43194</v>
      </c>
      <c r="T338" s="59"/>
      <c r="U338" s="59" t="s">
        <v>1275</v>
      </c>
      <c r="V338" s="264"/>
      <c r="W338" s="59"/>
      <c r="X338" s="3">
        <f t="shared" si="34"/>
        <v>-6</v>
      </c>
      <c r="Y338" s="3">
        <f t="shared" si="35"/>
        <v>6</v>
      </c>
    </row>
    <row r="339" spans="14:25">
      <c r="N339" s="59" t="s">
        <v>0</v>
      </c>
      <c r="O339" s="59" t="s">
        <v>1234</v>
      </c>
      <c r="P339" s="59">
        <v>6</v>
      </c>
      <c r="Q339" s="59" t="s">
        <v>1233</v>
      </c>
      <c r="R339" s="59" t="s">
        <v>0</v>
      </c>
      <c r="S339" s="60">
        <v>43194</v>
      </c>
      <c r="T339" s="59"/>
      <c r="U339" s="59" t="s">
        <v>1275</v>
      </c>
      <c r="V339" s="264"/>
      <c r="W339" s="59"/>
      <c r="X339" s="3">
        <f t="shared" si="34"/>
        <v>-6</v>
      </c>
      <c r="Y339" s="3">
        <f t="shared" si="35"/>
        <v>6</v>
      </c>
    </row>
    <row r="340" spans="14:25">
      <c r="N340" s="59" t="s">
        <v>0</v>
      </c>
      <c r="O340" s="59" t="s">
        <v>1237</v>
      </c>
      <c r="P340" s="59">
        <v>6</v>
      </c>
      <c r="Q340" s="59" t="s">
        <v>1233</v>
      </c>
      <c r="R340" s="59" t="s">
        <v>0</v>
      </c>
      <c r="S340" s="60">
        <v>43194</v>
      </c>
      <c r="T340" s="59"/>
      <c r="U340" s="59" t="s">
        <v>1275</v>
      </c>
      <c r="V340" s="264"/>
      <c r="W340" s="59"/>
      <c r="X340" s="3">
        <f t="shared" si="34"/>
        <v>-6</v>
      </c>
      <c r="Y340" s="3">
        <f t="shared" si="35"/>
        <v>6</v>
      </c>
    </row>
    <row r="341" spans="14:25">
      <c r="N341" s="34" t="s">
        <v>364</v>
      </c>
      <c r="O341" s="34" t="s">
        <v>1228</v>
      </c>
      <c r="P341" s="34">
        <v>1</v>
      </c>
      <c r="Q341" s="34" t="s">
        <v>1233</v>
      </c>
      <c r="R341" s="34" t="s">
        <v>364</v>
      </c>
      <c r="S341" s="38">
        <v>43224</v>
      </c>
      <c r="T341" s="38"/>
      <c r="U341" s="34" t="s">
        <v>2275</v>
      </c>
      <c r="V341" s="255" t="s">
        <v>2276</v>
      </c>
      <c r="W341" s="34" t="s">
        <v>2274</v>
      </c>
      <c r="X341" s="3">
        <f t="shared" si="34"/>
        <v>-1</v>
      </c>
      <c r="Y341" s="3">
        <f t="shared" si="35"/>
        <v>1</v>
      </c>
    </row>
    <row r="342" spans="14:25">
      <c r="N342" s="34" t="s">
        <v>336</v>
      </c>
      <c r="O342" s="34" t="s">
        <v>1228</v>
      </c>
      <c r="P342" s="34">
        <v>2</v>
      </c>
      <c r="Q342" s="34" t="s">
        <v>1233</v>
      </c>
      <c r="R342" s="34" t="s">
        <v>336</v>
      </c>
      <c r="S342" s="38">
        <v>43223</v>
      </c>
      <c r="T342" s="38"/>
      <c r="U342" s="34" t="s">
        <v>1260</v>
      </c>
      <c r="V342" s="255" t="s">
        <v>2278</v>
      </c>
      <c r="W342" s="34"/>
      <c r="X342" s="3">
        <f t="shared" si="34"/>
        <v>-2</v>
      </c>
      <c r="Y342" s="3">
        <f t="shared" si="35"/>
        <v>2</v>
      </c>
    </row>
    <row r="343" spans="14:25">
      <c r="N343" s="34" t="s">
        <v>336</v>
      </c>
      <c r="O343" s="34" t="s">
        <v>1234</v>
      </c>
      <c r="P343" s="34">
        <v>2</v>
      </c>
      <c r="Q343" s="34" t="s">
        <v>1233</v>
      </c>
      <c r="R343" s="34" t="s">
        <v>336</v>
      </c>
      <c r="S343" s="38">
        <v>43223</v>
      </c>
      <c r="T343" s="38"/>
      <c r="U343" s="34" t="s">
        <v>1260</v>
      </c>
      <c r="V343" s="255" t="s">
        <v>2278</v>
      </c>
      <c r="W343" s="34"/>
      <c r="X343" s="3">
        <f t="shared" si="34"/>
        <v>-2</v>
      </c>
      <c r="Y343" s="3">
        <f t="shared" si="35"/>
        <v>2</v>
      </c>
    </row>
    <row r="344" spans="14:25">
      <c r="N344" s="34" t="s">
        <v>336</v>
      </c>
      <c r="O344" s="34" t="s">
        <v>1237</v>
      </c>
      <c r="P344" s="34">
        <v>4</v>
      </c>
      <c r="Q344" s="34" t="s">
        <v>1233</v>
      </c>
      <c r="R344" s="34" t="s">
        <v>336</v>
      </c>
      <c r="S344" s="38">
        <v>43223</v>
      </c>
      <c r="T344" s="38"/>
      <c r="U344" s="34" t="s">
        <v>1260</v>
      </c>
      <c r="V344" s="255" t="s">
        <v>2278</v>
      </c>
      <c r="W344" s="34"/>
      <c r="X344" s="3">
        <f t="shared" si="34"/>
        <v>-4</v>
      </c>
      <c r="Y344" s="3">
        <f t="shared" si="35"/>
        <v>4</v>
      </c>
    </row>
    <row r="345" spans="14:25">
      <c r="N345" s="34" t="s">
        <v>336</v>
      </c>
      <c r="O345" s="34" t="s">
        <v>1236</v>
      </c>
      <c r="P345" s="34">
        <v>2</v>
      </c>
      <c r="Q345" s="34" t="s">
        <v>1233</v>
      </c>
      <c r="R345" s="34" t="s">
        <v>336</v>
      </c>
      <c r="S345" s="38">
        <v>43223</v>
      </c>
      <c r="T345" s="38"/>
      <c r="U345" s="34" t="s">
        <v>1260</v>
      </c>
      <c r="V345" s="255" t="s">
        <v>2278</v>
      </c>
      <c r="W345" s="34"/>
      <c r="X345" s="3">
        <f t="shared" si="34"/>
        <v>-2</v>
      </c>
      <c r="Y345" s="3">
        <f t="shared" si="35"/>
        <v>2</v>
      </c>
    </row>
    <row r="346" spans="14:25">
      <c r="N346" s="34" t="s">
        <v>336</v>
      </c>
      <c r="O346" s="34" t="s">
        <v>1235</v>
      </c>
      <c r="P346" s="34">
        <v>2</v>
      </c>
      <c r="Q346" s="34" t="s">
        <v>1233</v>
      </c>
      <c r="R346" s="34" t="s">
        <v>336</v>
      </c>
      <c r="S346" s="38">
        <v>43223</v>
      </c>
      <c r="T346" s="38"/>
      <c r="U346" s="34" t="s">
        <v>1260</v>
      </c>
      <c r="V346" s="255" t="s">
        <v>2278</v>
      </c>
      <c r="W346" s="34"/>
      <c r="X346" s="3">
        <f t="shared" si="34"/>
        <v>-2</v>
      </c>
      <c r="Y346" s="3">
        <f t="shared" si="35"/>
        <v>2</v>
      </c>
    </row>
    <row r="347" spans="14:25">
      <c r="N347" s="34" t="s">
        <v>336</v>
      </c>
      <c r="O347" s="34" t="s">
        <v>1238</v>
      </c>
      <c r="P347" s="34">
        <v>2</v>
      </c>
      <c r="Q347" s="34" t="s">
        <v>1233</v>
      </c>
      <c r="R347" s="34" t="s">
        <v>336</v>
      </c>
      <c r="S347" s="38">
        <v>43223</v>
      </c>
      <c r="T347" s="38"/>
      <c r="U347" s="34" t="s">
        <v>1260</v>
      </c>
      <c r="V347" s="255" t="s">
        <v>2278</v>
      </c>
      <c r="W347" s="34"/>
      <c r="X347" s="3">
        <f t="shared" si="34"/>
        <v>-2</v>
      </c>
      <c r="Y347" s="3">
        <f t="shared" si="35"/>
        <v>2</v>
      </c>
    </row>
    <row r="348" spans="14:25">
      <c r="N348" s="34" t="s">
        <v>336</v>
      </c>
      <c r="O348" s="34" t="s">
        <v>1243</v>
      </c>
      <c r="P348" s="34">
        <v>2</v>
      </c>
      <c r="Q348" s="34" t="s">
        <v>1233</v>
      </c>
      <c r="R348" s="34" t="s">
        <v>336</v>
      </c>
      <c r="S348" s="38">
        <v>43223</v>
      </c>
      <c r="T348" s="38"/>
      <c r="U348" s="34" t="s">
        <v>1260</v>
      </c>
      <c r="V348" s="255" t="s">
        <v>2278</v>
      </c>
      <c r="W348" s="34"/>
      <c r="X348" s="3">
        <f t="shared" si="34"/>
        <v>-2</v>
      </c>
      <c r="Y348" s="3">
        <f t="shared" si="35"/>
        <v>2</v>
      </c>
    </row>
    <row r="349" spans="14:25">
      <c r="N349" s="34" t="s">
        <v>336</v>
      </c>
      <c r="O349" s="34" t="s">
        <v>1267</v>
      </c>
      <c r="P349" s="34">
        <v>3</v>
      </c>
      <c r="Q349" s="34" t="s">
        <v>1233</v>
      </c>
      <c r="R349" s="34" t="s">
        <v>336</v>
      </c>
      <c r="S349" s="38">
        <v>43223</v>
      </c>
      <c r="T349" s="38"/>
      <c r="U349" s="34" t="s">
        <v>1260</v>
      </c>
      <c r="V349" s="255" t="s">
        <v>2278</v>
      </c>
      <c r="W349" s="34"/>
      <c r="X349" s="3">
        <f t="shared" si="34"/>
        <v>-3</v>
      </c>
      <c r="Y349" s="3">
        <f t="shared" si="35"/>
        <v>3</v>
      </c>
    </row>
    <row r="350" spans="14:25">
      <c r="N350" s="141" t="s">
        <v>1244</v>
      </c>
      <c r="O350" s="34" t="s">
        <v>1235</v>
      </c>
      <c r="P350" s="34">
        <v>8</v>
      </c>
      <c r="Q350" s="34" t="s">
        <v>1233</v>
      </c>
      <c r="R350" s="141" t="s">
        <v>1244</v>
      </c>
      <c r="S350" s="38">
        <v>43225</v>
      </c>
      <c r="T350" s="38"/>
      <c r="U350" s="141" t="s">
        <v>1247</v>
      </c>
      <c r="V350" s="274" t="s">
        <v>2290</v>
      </c>
      <c r="W350" s="34"/>
      <c r="X350" s="3">
        <f t="shared" si="34"/>
        <v>-8</v>
      </c>
      <c r="Y350" s="3">
        <f t="shared" si="35"/>
        <v>8</v>
      </c>
    </row>
    <row r="351" spans="14:25">
      <c r="N351" s="141" t="s">
        <v>1244</v>
      </c>
      <c r="O351" s="34" t="s">
        <v>1238</v>
      </c>
      <c r="P351" s="34">
        <v>8</v>
      </c>
      <c r="Q351" s="34" t="s">
        <v>1233</v>
      </c>
      <c r="R351" s="141" t="s">
        <v>1244</v>
      </c>
      <c r="S351" s="38">
        <v>43225</v>
      </c>
      <c r="T351" s="38"/>
      <c r="U351" s="141" t="s">
        <v>1247</v>
      </c>
      <c r="V351" s="274" t="s">
        <v>2290</v>
      </c>
      <c r="W351" s="34"/>
      <c r="X351" s="3">
        <f t="shared" si="34"/>
        <v>-8</v>
      </c>
      <c r="Y351" s="3">
        <f t="shared" si="35"/>
        <v>8</v>
      </c>
    </row>
    <row r="352" spans="14:25">
      <c r="N352" s="141" t="s">
        <v>1244</v>
      </c>
      <c r="O352" s="34" t="s">
        <v>1234</v>
      </c>
      <c r="P352" s="34">
        <v>8</v>
      </c>
      <c r="Q352" s="34" t="s">
        <v>1233</v>
      </c>
      <c r="R352" s="141" t="s">
        <v>1244</v>
      </c>
      <c r="S352" s="38">
        <v>43225</v>
      </c>
      <c r="T352" s="38"/>
      <c r="U352" s="141" t="s">
        <v>1247</v>
      </c>
      <c r="V352" s="274" t="s">
        <v>2290</v>
      </c>
      <c r="W352" s="34"/>
      <c r="X352" s="3">
        <f t="shared" si="34"/>
        <v>-8</v>
      </c>
      <c r="Y352" s="3">
        <f t="shared" si="35"/>
        <v>8</v>
      </c>
    </row>
    <row r="353" spans="14:25">
      <c r="N353" s="141" t="s">
        <v>1244</v>
      </c>
      <c r="O353" s="34" t="s">
        <v>1228</v>
      </c>
      <c r="P353" s="34">
        <v>8</v>
      </c>
      <c r="Q353" s="34" t="s">
        <v>1233</v>
      </c>
      <c r="R353" s="141" t="s">
        <v>1244</v>
      </c>
      <c r="S353" s="38">
        <v>43225</v>
      </c>
      <c r="T353" s="38"/>
      <c r="U353" s="141" t="s">
        <v>1247</v>
      </c>
      <c r="V353" s="274" t="s">
        <v>2290</v>
      </c>
      <c r="W353" s="34"/>
      <c r="X353" s="3">
        <f t="shared" si="34"/>
        <v>-8</v>
      </c>
      <c r="Y353" s="3">
        <f t="shared" si="35"/>
        <v>8</v>
      </c>
    </row>
    <row r="354" spans="14:25">
      <c r="N354" s="141" t="s">
        <v>1244</v>
      </c>
      <c r="O354" s="34" t="s">
        <v>1237</v>
      </c>
      <c r="P354" s="34">
        <v>16</v>
      </c>
      <c r="Q354" s="34" t="s">
        <v>1233</v>
      </c>
      <c r="R354" s="141" t="s">
        <v>1244</v>
      </c>
      <c r="S354" s="38">
        <v>43225</v>
      </c>
      <c r="T354" s="38"/>
      <c r="U354" s="141" t="s">
        <v>1247</v>
      </c>
      <c r="V354" s="274" t="s">
        <v>2290</v>
      </c>
      <c r="W354" s="34"/>
      <c r="X354" s="3">
        <f t="shared" si="34"/>
        <v>-16</v>
      </c>
      <c r="Y354" s="3">
        <f t="shared" si="35"/>
        <v>16</v>
      </c>
    </row>
    <row r="355" spans="14:25">
      <c r="N355" s="141" t="s">
        <v>1244</v>
      </c>
      <c r="O355" s="34" t="s">
        <v>1238</v>
      </c>
      <c r="P355" s="34">
        <v>8</v>
      </c>
      <c r="Q355" s="34" t="s">
        <v>1233</v>
      </c>
      <c r="R355" s="141" t="s">
        <v>1244</v>
      </c>
      <c r="S355" s="38">
        <v>43225</v>
      </c>
      <c r="T355" s="38"/>
      <c r="U355" s="141" t="s">
        <v>1247</v>
      </c>
      <c r="V355" s="274" t="s">
        <v>2290</v>
      </c>
      <c r="W355" s="34"/>
      <c r="X355" s="3">
        <f t="shared" si="34"/>
        <v>-8</v>
      </c>
      <c r="Y355" s="3">
        <f t="shared" si="35"/>
        <v>8</v>
      </c>
    </row>
    <row r="356" spans="14:25">
      <c r="N356" s="59" t="s">
        <v>0</v>
      </c>
      <c r="O356" s="59" t="s">
        <v>1228</v>
      </c>
      <c r="P356" s="59">
        <v>20</v>
      </c>
      <c r="Q356" s="59" t="s">
        <v>1233</v>
      </c>
      <c r="R356" s="59" t="s">
        <v>0</v>
      </c>
      <c r="S356" s="60">
        <v>43196</v>
      </c>
      <c r="T356" s="59"/>
      <c r="U356" s="59" t="s">
        <v>1275</v>
      </c>
      <c r="V356" s="264" t="s">
        <v>2348</v>
      </c>
      <c r="W356" s="59" t="s">
        <v>2307</v>
      </c>
      <c r="X356" s="3">
        <f t="shared" si="34"/>
        <v>-20</v>
      </c>
      <c r="Y356" s="3">
        <f t="shared" si="35"/>
        <v>20</v>
      </c>
    </row>
    <row r="357" spans="14:25">
      <c r="N357" s="34" t="s">
        <v>0</v>
      </c>
      <c r="O357" s="34" t="s">
        <v>1234</v>
      </c>
      <c r="P357" s="34">
        <v>15</v>
      </c>
      <c r="Q357" s="34" t="s">
        <v>1233</v>
      </c>
      <c r="R357" s="34" t="s">
        <v>0</v>
      </c>
      <c r="S357" s="38">
        <v>43198</v>
      </c>
      <c r="T357" s="38"/>
      <c r="U357" s="34" t="s">
        <v>1230</v>
      </c>
      <c r="V357" s="255"/>
      <c r="W357" s="34"/>
      <c r="X357" s="3">
        <f t="shared" si="34"/>
        <v>-15</v>
      </c>
      <c r="Y357" s="3">
        <f t="shared" si="35"/>
        <v>15</v>
      </c>
    </row>
    <row r="358" spans="14:25">
      <c r="N358" s="34" t="s">
        <v>0</v>
      </c>
      <c r="O358" s="34" t="s">
        <v>1235</v>
      </c>
      <c r="P358" s="34">
        <v>15</v>
      </c>
      <c r="Q358" s="34" t="s">
        <v>1233</v>
      </c>
      <c r="R358" s="34" t="s">
        <v>0</v>
      </c>
      <c r="S358" s="38">
        <v>43198</v>
      </c>
      <c r="T358" s="38"/>
      <c r="U358" s="34" t="s">
        <v>1230</v>
      </c>
      <c r="V358" s="255"/>
      <c r="W358" s="34"/>
      <c r="X358" s="3">
        <f t="shared" si="34"/>
        <v>-15</v>
      </c>
      <c r="Y358" s="3">
        <f t="shared" si="35"/>
        <v>15</v>
      </c>
    </row>
    <row r="359" spans="14:25">
      <c r="N359" s="34" t="s">
        <v>0</v>
      </c>
      <c r="O359" s="34" t="s">
        <v>1236</v>
      </c>
      <c r="P359" s="34">
        <v>15</v>
      </c>
      <c r="Q359" s="34" t="s">
        <v>1233</v>
      </c>
      <c r="R359" s="34" t="s">
        <v>0</v>
      </c>
      <c r="S359" s="38">
        <v>43198</v>
      </c>
      <c r="T359" s="38"/>
      <c r="U359" s="34" t="s">
        <v>1230</v>
      </c>
      <c r="V359" s="255"/>
      <c r="W359" s="34"/>
      <c r="X359" s="3">
        <f t="shared" si="34"/>
        <v>-15</v>
      </c>
      <c r="Y359" s="3">
        <f t="shared" si="35"/>
        <v>15</v>
      </c>
    </row>
    <row r="360" spans="14:25">
      <c r="N360" s="34" t="s">
        <v>0</v>
      </c>
      <c r="O360" s="34" t="s">
        <v>1237</v>
      </c>
      <c r="P360" s="34">
        <v>14</v>
      </c>
      <c r="Q360" s="34" t="s">
        <v>1233</v>
      </c>
      <c r="R360" s="34" t="s">
        <v>0</v>
      </c>
      <c r="S360" s="38">
        <v>43198</v>
      </c>
      <c r="T360" s="38"/>
      <c r="U360" s="34" t="s">
        <v>1230</v>
      </c>
      <c r="V360" s="255"/>
      <c r="W360" s="34"/>
      <c r="X360" s="3">
        <f t="shared" si="34"/>
        <v>-14</v>
      </c>
      <c r="Y360" s="3">
        <f t="shared" si="35"/>
        <v>14</v>
      </c>
    </row>
    <row r="361" spans="14:25">
      <c r="N361" s="34" t="s">
        <v>0</v>
      </c>
      <c r="O361" s="34" t="s">
        <v>1238</v>
      </c>
      <c r="P361" s="34">
        <v>0</v>
      </c>
      <c r="Q361" s="34" t="s">
        <v>1233</v>
      </c>
      <c r="R361" s="34" t="s">
        <v>0</v>
      </c>
      <c r="S361" s="38">
        <v>43198</v>
      </c>
      <c r="T361" s="38"/>
      <c r="U361" s="34" t="s">
        <v>1230</v>
      </c>
      <c r="V361" s="255"/>
      <c r="W361" s="34"/>
      <c r="X361" s="3">
        <f t="shared" si="34"/>
        <v>0</v>
      </c>
      <c r="Y361" s="3">
        <f t="shared" si="35"/>
        <v>0</v>
      </c>
    </row>
    <row r="362" spans="14:25">
      <c r="N362" s="34" t="s">
        <v>0</v>
      </c>
      <c r="O362" s="34" t="s">
        <v>1267</v>
      </c>
      <c r="P362" s="34">
        <v>15</v>
      </c>
      <c r="Q362" s="34" t="s">
        <v>1233</v>
      </c>
      <c r="R362" s="34" t="s">
        <v>0</v>
      </c>
      <c r="S362" s="38">
        <v>43198</v>
      </c>
      <c r="T362" s="38"/>
      <c r="U362" s="34" t="s">
        <v>1230</v>
      </c>
      <c r="V362" s="255"/>
      <c r="W362" s="34"/>
      <c r="X362" s="3">
        <f t="shared" si="34"/>
        <v>-15</v>
      </c>
      <c r="Y362" s="3">
        <f t="shared" si="35"/>
        <v>15</v>
      </c>
    </row>
    <row r="363" spans="14:25">
      <c r="N363" s="34" t="s">
        <v>0</v>
      </c>
      <c r="O363" s="34" t="s">
        <v>1267</v>
      </c>
      <c r="P363" s="34">
        <v>78</v>
      </c>
      <c r="Q363" s="34" t="s">
        <v>1229</v>
      </c>
      <c r="R363" s="34" t="s">
        <v>0</v>
      </c>
      <c r="S363" s="38">
        <v>43198</v>
      </c>
      <c r="T363" s="38"/>
      <c r="U363" s="34" t="s">
        <v>1230</v>
      </c>
      <c r="V363" s="255" t="s">
        <v>2662</v>
      </c>
      <c r="W363" s="34"/>
      <c r="X363" s="3">
        <f t="shared" si="34"/>
        <v>78</v>
      </c>
      <c r="Y363" s="3" t="b">
        <f t="shared" si="35"/>
        <v>0</v>
      </c>
    </row>
    <row r="364" spans="14:25">
      <c r="N364" s="59" t="s">
        <v>0</v>
      </c>
      <c r="O364" s="59" t="s">
        <v>1236</v>
      </c>
      <c r="P364" s="59">
        <v>15</v>
      </c>
      <c r="Q364" s="59" t="s">
        <v>1229</v>
      </c>
      <c r="R364" s="59" t="s">
        <v>0</v>
      </c>
      <c r="S364" s="60">
        <v>43196</v>
      </c>
      <c r="T364" s="60">
        <v>43208</v>
      </c>
      <c r="U364" s="59" t="s">
        <v>1275</v>
      </c>
      <c r="V364" s="264" t="s">
        <v>2749</v>
      </c>
      <c r="W364" s="59"/>
      <c r="X364" s="3">
        <f t="shared" si="34"/>
        <v>15</v>
      </c>
      <c r="Y364" s="3" t="b">
        <f t="shared" si="35"/>
        <v>0</v>
      </c>
    </row>
    <row r="365" spans="14:25">
      <c r="N365" s="156" t="s">
        <v>0</v>
      </c>
      <c r="O365" s="156" t="s">
        <v>1267</v>
      </c>
      <c r="P365" s="156">
        <v>50</v>
      </c>
      <c r="Q365" s="156" t="s">
        <v>1229</v>
      </c>
      <c r="R365" s="156" t="s">
        <v>0</v>
      </c>
      <c r="S365" s="157">
        <v>43198</v>
      </c>
      <c r="T365" s="157"/>
      <c r="U365" s="156"/>
      <c r="V365" s="275" t="s">
        <v>2663</v>
      </c>
      <c r="W365" s="156"/>
      <c r="X365" s="3">
        <f t="shared" si="34"/>
        <v>50</v>
      </c>
      <c r="Y365" s="3" t="b">
        <f t="shared" si="35"/>
        <v>0</v>
      </c>
    </row>
    <row r="366" spans="14:25">
      <c r="N366" s="34" t="s">
        <v>0</v>
      </c>
      <c r="O366" s="34" t="s">
        <v>1234</v>
      </c>
      <c r="P366" s="34">
        <v>5</v>
      </c>
      <c r="Q366" s="34" t="s">
        <v>1233</v>
      </c>
      <c r="R366" s="34" t="s">
        <v>0</v>
      </c>
      <c r="S366" s="38">
        <v>43202</v>
      </c>
      <c r="T366" s="38"/>
      <c r="U366" s="34" t="s">
        <v>1230</v>
      </c>
      <c r="V366" s="255"/>
      <c r="W366" s="34"/>
      <c r="X366" s="3">
        <f t="shared" si="34"/>
        <v>-5</v>
      </c>
      <c r="Y366" s="3">
        <f t="shared" si="35"/>
        <v>5</v>
      </c>
    </row>
    <row r="367" spans="14:25">
      <c r="N367" s="34" t="s">
        <v>0</v>
      </c>
      <c r="O367" s="34" t="s">
        <v>1235</v>
      </c>
      <c r="P367" s="34">
        <v>5</v>
      </c>
      <c r="Q367" s="34" t="s">
        <v>1233</v>
      </c>
      <c r="R367" s="34" t="s">
        <v>0</v>
      </c>
      <c r="S367" s="38">
        <v>43202</v>
      </c>
      <c r="T367" s="38"/>
      <c r="U367" s="34" t="s">
        <v>1230</v>
      </c>
      <c r="V367" s="255"/>
      <c r="W367" s="34"/>
      <c r="X367" s="3">
        <f t="shared" si="34"/>
        <v>-5</v>
      </c>
      <c r="Y367" s="3">
        <f t="shared" si="35"/>
        <v>5</v>
      </c>
    </row>
    <row r="368" spans="14:25">
      <c r="N368" s="34" t="s">
        <v>0</v>
      </c>
      <c r="O368" s="34" t="s">
        <v>1236</v>
      </c>
      <c r="P368" s="34">
        <v>4</v>
      </c>
      <c r="Q368" s="34" t="s">
        <v>1233</v>
      </c>
      <c r="R368" s="34" t="s">
        <v>0</v>
      </c>
      <c r="S368" s="38">
        <v>43202</v>
      </c>
      <c r="T368" s="38"/>
      <c r="U368" s="34" t="s">
        <v>1230</v>
      </c>
      <c r="V368" s="255"/>
      <c r="W368" s="34"/>
      <c r="X368" s="3">
        <f t="shared" si="34"/>
        <v>-4</v>
      </c>
      <c r="Y368" s="3">
        <f t="shared" si="35"/>
        <v>4</v>
      </c>
    </row>
    <row r="369" spans="14:25">
      <c r="N369" s="34" t="s">
        <v>0</v>
      </c>
      <c r="O369" s="34" t="s">
        <v>1267</v>
      </c>
      <c r="P369" s="34">
        <v>5</v>
      </c>
      <c r="Q369" s="34" t="s">
        <v>1233</v>
      </c>
      <c r="R369" s="34" t="s">
        <v>0</v>
      </c>
      <c r="S369" s="38">
        <v>43202</v>
      </c>
      <c r="T369" s="38"/>
      <c r="U369" s="34" t="s">
        <v>1230</v>
      </c>
      <c r="V369" s="255"/>
      <c r="W369" s="34"/>
      <c r="X369" s="3">
        <f t="shared" si="34"/>
        <v>-5</v>
      </c>
      <c r="Y369" s="3">
        <f t="shared" si="35"/>
        <v>5</v>
      </c>
    </row>
    <row r="370" spans="14:25">
      <c r="N370" s="34" t="s">
        <v>336</v>
      </c>
      <c r="O370" s="34" t="s">
        <v>1228</v>
      </c>
      <c r="P370" s="34">
        <v>3</v>
      </c>
      <c r="Q370" s="34" t="s">
        <v>1233</v>
      </c>
      <c r="R370" s="34" t="s">
        <v>336</v>
      </c>
      <c r="S370" s="38">
        <v>43201</v>
      </c>
      <c r="T370" s="38"/>
      <c r="U370" s="34" t="s">
        <v>1260</v>
      </c>
      <c r="V370" s="255"/>
      <c r="W370" s="34" t="s">
        <v>2684</v>
      </c>
      <c r="X370" s="3">
        <f t="shared" si="34"/>
        <v>-3</v>
      </c>
      <c r="Y370" s="3">
        <f t="shared" si="35"/>
        <v>3</v>
      </c>
    </row>
    <row r="371" spans="14:25">
      <c r="N371" s="34" t="s">
        <v>336</v>
      </c>
      <c r="O371" s="34" t="s">
        <v>1234</v>
      </c>
      <c r="P371" s="34">
        <v>3</v>
      </c>
      <c r="Q371" s="34" t="s">
        <v>1233</v>
      </c>
      <c r="R371" s="34" t="s">
        <v>336</v>
      </c>
      <c r="S371" s="38">
        <v>43201</v>
      </c>
      <c r="T371" s="38"/>
      <c r="U371" s="34" t="s">
        <v>1260</v>
      </c>
      <c r="V371" s="255"/>
      <c r="W371" s="34" t="s">
        <v>2684</v>
      </c>
      <c r="X371" s="3">
        <f t="shared" si="34"/>
        <v>-3</v>
      </c>
      <c r="Y371" s="3">
        <f t="shared" si="35"/>
        <v>3</v>
      </c>
    </row>
    <row r="372" spans="14:25">
      <c r="N372" s="34" t="s">
        <v>336</v>
      </c>
      <c r="O372" s="34" t="s">
        <v>1236</v>
      </c>
      <c r="P372" s="34">
        <v>3</v>
      </c>
      <c r="Q372" s="34" t="s">
        <v>1233</v>
      </c>
      <c r="R372" s="34" t="s">
        <v>336</v>
      </c>
      <c r="S372" s="38">
        <v>43201</v>
      </c>
      <c r="T372" s="38"/>
      <c r="U372" s="34" t="s">
        <v>1260</v>
      </c>
      <c r="V372" s="255"/>
      <c r="W372" s="34" t="s">
        <v>2685</v>
      </c>
      <c r="X372" s="3">
        <f t="shared" si="34"/>
        <v>-3</v>
      </c>
      <c r="Y372" s="3">
        <f t="shared" si="35"/>
        <v>3</v>
      </c>
    </row>
    <row r="373" spans="14:25">
      <c r="N373" s="34" t="s">
        <v>336</v>
      </c>
      <c r="O373" s="34" t="s">
        <v>1243</v>
      </c>
      <c r="P373" s="34">
        <v>3</v>
      </c>
      <c r="Q373" s="34" t="s">
        <v>1233</v>
      </c>
      <c r="R373" s="34" t="s">
        <v>336</v>
      </c>
      <c r="S373" s="38">
        <v>43201</v>
      </c>
      <c r="T373" s="38"/>
      <c r="U373" s="34" t="s">
        <v>1260</v>
      </c>
      <c r="V373" s="255"/>
      <c r="W373" s="34" t="s">
        <v>2684</v>
      </c>
      <c r="X373" s="3">
        <f t="shared" ref="X373:X436" si="36">IF(OR(Q373="Stock to Rack",Q373="From Stock"),-P373,IF(OR(Q373="Rack to Stock",Q373="To Stock"),P373))</f>
        <v>-3</v>
      </c>
      <c r="Y373" s="3">
        <f t="shared" ref="Y373:Y436" si="37">IF(Q373="Rack to Stock",-P373,IF(Q373="Stock to Rack",P373))</f>
        <v>3</v>
      </c>
    </row>
    <row r="374" spans="14:25">
      <c r="N374" s="34" t="s">
        <v>336</v>
      </c>
      <c r="O374" s="34" t="s">
        <v>1238</v>
      </c>
      <c r="P374" s="34">
        <v>3</v>
      </c>
      <c r="Q374" s="34" t="s">
        <v>1233</v>
      </c>
      <c r="R374" s="34" t="s">
        <v>336</v>
      </c>
      <c r="S374" s="38">
        <v>43201</v>
      </c>
      <c r="T374" s="38"/>
      <c r="U374" s="34" t="s">
        <v>1260</v>
      </c>
      <c r="V374" s="255"/>
      <c r="W374" s="34" t="s">
        <v>2684</v>
      </c>
      <c r="X374" s="3">
        <f t="shared" si="36"/>
        <v>-3</v>
      </c>
      <c r="Y374" s="3">
        <f t="shared" si="37"/>
        <v>3</v>
      </c>
    </row>
    <row r="375" spans="14:25">
      <c r="N375" s="34" t="s">
        <v>336</v>
      </c>
      <c r="O375" s="34" t="s">
        <v>1267</v>
      </c>
      <c r="P375" s="34">
        <v>2</v>
      </c>
      <c r="Q375" s="34" t="s">
        <v>1233</v>
      </c>
      <c r="R375" s="34" t="s">
        <v>336</v>
      </c>
      <c r="S375" s="38">
        <v>43201</v>
      </c>
      <c r="T375" s="38"/>
      <c r="U375" s="34" t="s">
        <v>1260</v>
      </c>
      <c r="V375" s="255"/>
      <c r="W375" s="34" t="s">
        <v>2684</v>
      </c>
      <c r="X375" s="3">
        <f t="shared" si="36"/>
        <v>-2</v>
      </c>
      <c r="Y375" s="3">
        <f t="shared" si="37"/>
        <v>2</v>
      </c>
    </row>
    <row r="376" spans="14:25">
      <c r="N376" s="34" t="s">
        <v>336</v>
      </c>
      <c r="O376" s="34" t="s">
        <v>1237</v>
      </c>
      <c r="P376" s="34">
        <v>6</v>
      </c>
      <c r="Q376" s="34" t="s">
        <v>1233</v>
      </c>
      <c r="R376" s="34" t="s">
        <v>336</v>
      </c>
      <c r="S376" s="38">
        <v>43201</v>
      </c>
      <c r="T376" s="38"/>
      <c r="U376" s="34" t="s">
        <v>1260</v>
      </c>
      <c r="V376" s="255"/>
      <c r="W376" s="34" t="s">
        <v>2684</v>
      </c>
      <c r="X376" s="3">
        <f t="shared" si="36"/>
        <v>-6</v>
      </c>
      <c r="Y376" s="3">
        <f t="shared" si="37"/>
        <v>6</v>
      </c>
    </row>
    <row r="377" spans="14:25">
      <c r="N377" s="59" t="s">
        <v>203</v>
      </c>
      <c r="O377" s="59" t="s">
        <v>1236</v>
      </c>
      <c r="P377" s="59">
        <v>14</v>
      </c>
      <c r="Q377" s="59" t="s">
        <v>1233</v>
      </c>
      <c r="R377" s="59" t="s">
        <v>203</v>
      </c>
      <c r="S377" s="60">
        <v>43200</v>
      </c>
      <c r="T377" s="60"/>
      <c r="U377" s="162" t="s">
        <v>2695</v>
      </c>
      <c r="V377" s="264"/>
      <c r="W377" s="59" t="s">
        <v>2684</v>
      </c>
      <c r="X377" s="3">
        <f t="shared" si="36"/>
        <v>-14</v>
      </c>
      <c r="Y377" s="3">
        <f t="shared" si="37"/>
        <v>14</v>
      </c>
    </row>
    <row r="378" spans="14:25">
      <c r="N378" s="59" t="s">
        <v>203</v>
      </c>
      <c r="O378" s="59" t="s">
        <v>1228</v>
      </c>
      <c r="P378" s="59">
        <v>14</v>
      </c>
      <c r="Q378" s="59" t="s">
        <v>1233</v>
      </c>
      <c r="R378" s="59" t="s">
        <v>203</v>
      </c>
      <c r="S378" s="60">
        <v>43203</v>
      </c>
      <c r="T378" s="60"/>
      <c r="U378" s="162" t="s">
        <v>2695</v>
      </c>
      <c r="V378" s="264"/>
      <c r="W378" s="59"/>
      <c r="X378" s="3">
        <f t="shared" si="36"/>
        <v>-14</v>
      </c>
      <c r="Y378" s="3">
        <f t="shared" si="37"/>
        <v>14</v>
      </c>
    </row>
    <row r="379" spans="14:25">
      <c r="N379" s="59" t="s">
        <v>203</v>
      </c>
      <c r="O379" s="59" t="s">
        <v>1234</v>
      </c>
      <c r="P379" s="59">
        <v>14</v>
      </c>
      <c r="Q379" s="59" t="s">
        <v>1233</v>
      </c>
      <c r="R379" s="59" t="s">
        <v>203</v>
      </c>
      <c r="S379" s="60">
        <v>43203</v>
      </c>
      <c r="T379" s="60"/>
      <c r="U379" s="162" t="s">
        <v>2695</v>
      </c>
      <c r="V379" s="264"/>
      <c r="W379" s="59"/>
      <c r="X379" s="3">
        <f t="shared" si="36"/>
        <v>-14</v>
      </c>
      <c r="Y379" s="3">
        <f t="shared" si="37"/>
        <v>14</v>
      </c>
    </row>
    <row r="380" spans="14:25">
      <c r="N380" s="59" t="s">
        <v>203</v>
      </c>
      <c r="O380" s="59" t="s">
        <v>1235</v>
      </c>
      <c r="P380" s="59">
        <v>14</v>
      </c>
      <c r="Q380" s="59" t="s">
        <v>1233</v>
      </c>
      <c r="R380" s="59" t="s">
        <v>203</v>
      </c>
      <c r="S380" s="60">
        <v>43203</v>
      </c>
      <c r="T380" s="60"/>
      <c r="U380" s="162" t="s">
        <v>2695</v>
      </c>
      <c r="V380" s="264"/>
      <c r="W380" s="59"/>
      <c r="X380" s="3">
        <f t="shared" si="36"/>
        <v>-14</v>
      </c>
      <c r="Y380" s="3">
        <f t="shared" si="37"/>
        <v>14</v>
      </c>
    </row>
    <row r="381" spans="14:25">
      <c r="N381" s="59" t="s">
        <v>203</v>
      </c>
      <c r="O381" s="59" t="s">
        <v>1267</v>
      </c>
      <c r="P381" s="59">
        <v>14</v>
      </c>
      <c r="Q381" s="162" t="s">
        <v>1233</v>
      </c>
      <c r="R381" s="59" t="s">
        <v>203</v>
      </c>
      <c r="S381" s="60">
        <v>43203</v>
      </c>
      <c r="T381" s="60"/>
      <c r="U381" s="162" t="s">
        <v>2695</v>
      </c>
      <c r="V381" s="264"/>
      <c r="W381" s="59"/>
      <c r="X381" s="3">
        <f t="shared" si="36"/>
        <v>-14</v>
      </c>
      <c r="Y381" s="3">
        <f t="shared" si="37"/>
        <v>14</v>
      </c>
    </row>
    <row r="382" spans="14:25">
      <c r="N382" s="59" t="s">
        <v>203</v>
      </c>
      <c r="O382" s="59" t="s">
        <v>1237</v>
      </c>
      <c r="P382" s="59">
        <v>28</v>
      </c>
      <c r="Q382" s="59" t="s">
        <v>1233</v>
      </c>
      <c r="R382" s="59" t="s">
        <v>203</v>
      </c>
      <c r="S382" s="60">
        <v>43203</v>
      </c>
      <c r="T382" s="60"/>
      <c r="U382" s="162" t="s">
        <v>2695</v>
      </c>
      <c r="V382" s="264"/>
      <c r="W382" s="59"/>
      <c r="X382" s="3">
        <f t="shared" si="36"/>
        <v>-28</v>
      </c>
      <c r="Y382" s="3">
        <f t="shared" si="37"/>
        <v>28</v>
      </c>
    </row>
    <row r="383" spans="14:25">
      <c r="N383" s="59" t="s">
        <v>0</v>
      </c>
      <c r="O383" s="59" t="s">
        <v>1228</v>
      </c>
      <c r="P383" s="59">
        <v>8</v>
      </c>
      <c r="Q383" s="59" t="s">
        <v>1233</v>
      </c>
      <c r="R383" s="59" t="s">
        <v>0</v>
      </c>
      <c r="S383" s="60">
        <v>43207</v>
      </c>
      <c r="T383" s="59"/>
      <c r="U383" s="59" t="s">
        <v>1275</v>
      </c>
      <c r="V383" s="264" t="s">
        <v>2712</v>
      </c>
      <c r="W383" s="59" t="s">
        <v>2713</v>
      </c>
      <c r="X383" s="3">
        <f t="shared" si="36"/>
        <v>-8</v>
      </c>
      <c r="Y383" s="3">
        <f t="shared" si="37"/>
        <v>8</v>
      </c>
    </row>
    <row r="384" spans="14:25">
      <c r="N384" s="59" t="s">
        <v>0</v>
      </c>
      <c r="O384" s="59" t="s">
        <v>1234</v>
      </c>
      <c r="P384" s="59">
        <v>28</v>
      </c>
      <c r="Q384" s="59" t="s">
        <v>1229</v>
      </c>
      <c r="R384" s="59" t="s">
        <v>0</v>
      </c>
      <c r="S384" s="60">
        <v>43208</v>
      </c>
      <c r="T384" s="59"/>
      <c r="U384" s="59" t="s">
        <v>1275</v>
      </c>
      <c r="V384" s="264"/>
      <c r="W384" s="59" t="s">
        <v>2714</v>
      </c>
      <c r="X384" s="3">
        <f t="shared" si="36"/>
        <v>28</v>
      </c>
      <c r="Y384" s="3" t="b">
        <f t="shared" si="37"/>
        <v>0</v>
      </c>
    </row>
    <row r="385" spans="14:25">
      <c r="N385" s="59" t="s">
        <v>203</v>
      </c>
      <c r="O385" s="59" t="s">
        <v>1267</v>
      </c>
      <c r="P385" s="59">
        <v>77</v>
      </c>
      <c r="Q385" s="59" t="s">
        <v>1233</v>
      </c>
      <c r="R385" s="59" t="s">
        <v>203</v>
      </c>
      <c r="S385" s="60">
        <v>43207</v>
      </c>
      <c r="T385" s="60"/>
      <c r="U385" s="59" t="s">
        <v>1331</v>
      </c>
      <c r="V385" s="264"/>
      <c r="W385" s="59"/>
      <c r="X385" s="3">
        <f t="shared" si="36"/>
        <v>-77</v>
      </c>
      <c r="Y385" s="3">
        <f t="shared" si="37"/>
        <v>77</v>
      </c>
    </row>
    <row r="386" spans="14:25">
      <c r="N386" s="59" t="s">
        <v>203</v>
      </c>
      <c r="O386" s="59" t="s">
        <v>1234</v>
      </c>
      <c r="P386" s="59">
        <v>13</v>
      </c>
      <c r="Q386" s="59" t="s">
        <v>1233</v>
      </c>
      <c r="R386" s="59" t="s">
        <v>203</v>
      </c>
      <c r="S386" s="60">
        <v>43207</v>
      </c>
      <c r="T386" s="60"/>
      <c r="U386" s="59" t="s">
        <v>1331</v>
      </c>
      <c r="V386" s="264"/>
      <c r="W386" s="59"/>
      <c r="X386" s="3">
        <f t="shared" si="36"/>
        <v>-13</v>
      </c>
      <c r="Y386" s="3">
        <f t="shared" si="37"/>
        <v>13</v>
      </c>
    </row>
    <row r="387" spans="14:25">
      <c r="N387" s="59" t="s">
        <v>203</v>
      </c>
      <c r="O387" s="59" t="s">
        <v>1238</v>
      </c>
      <c r="P387" s="59">
        <v>120</v>
      </c>
      <c r="Q387" s="59" t="s">
        <v>1233</v>
      </c>
      <c r="R387" s="59" t="s">
        <v>203</v>
      </c>
      <c r="S387" s="60">
        <v>43207</v>
      </c>
      <c r="T387" s="60"/>
      <c r="U387" s="59" t="s">
        <v>1331</v>
      </c>
      <c r="V387" s="264"/>
      <c r="W387" s="59"/>
      <c r="X387" s="3">
        <f t="shared" si="36"/>
        <v>-120</v>
      </c>
      <c r="Y387" s="3">
        <f t="shared" si="37"/>
        <v>120</v>
      </c>
    </row>
    <row r="388" spans="14:25">
      <c r="N388" s="59" t="s">
        <v>203</v>
      </c>
      <c r="O388" s="59" t="s">
        <v>1236</v>
      </c>
      <c r="P388" s="59">
        <v>40</v>
      </c>
      <c r="Q388" s="59" t="s">
        <v>1229</v>
      </c>
      <c r="R388" s="59" t="s">
        <v>203</v>
      </c>
      <c r="S388" s="60">
        <v>43208</v>
      </c>
      <c r="T388" s="60"/>
      <c r="U388" s="59" t="s">
        <v>1331</v>
      </c>
      <c r="V388" s="264"/>
      <c r="W388" s="59"/>
      <c r="X388" s="3">
        <f t="shared" si="36"/>
        <v>40</v>
      </c>
      <c r="Y388" s="3" t="b">
        <f t="shared" si="37"/>
        <v>0</v>
      </c>
    </row>
    <row r="389" spans="14:25">
      <c r="N389" s="59" t="s">
        <v>203</v>
      </c>
      <c r="O389" s="59" t="s">
        <v>1236</v>
      </c>
      <c r="P389" s="59">
        <v>1</v>
      </c>
      <c r="Q389" s="59" t="s">
        <v>1233</v>
      </c>
      <c r="R389" s="59" t="s">
        <v>203</v>
      </c>
      <c r="S389" s="60">
        <v>43208</v>
      </c>
      <c r="T389" s="60"/>
      <c r="U389" s="59" t="s">
        <v>1331</v>
      </c>
      <c r="V389" s="264"/>
      <c r="W389" s="59"/>
      <c r="X389" s="3">
        <f t="shared" si="36"/>
        <v>-1</v>
      </c>
      <c r="Y389" s="3">
        <f t="shared" si="37"/>
        <v>1</v>
      </c>
    </row>
    <row r="390" spans="14:25">
      <c r="N390" s="59" t="s">
        <v>203</v>
      </c>
      <c r="O390" s="59" t="s">
        <v>1228</v>
      </c>
      <c r="P390" s="59">
        <v>11</v>
      </c>
      <c r="Q390" s="59" t="s">
        <v>1233</v>
      </c>
      <c r="R390" s="59" t="s">
        <v>203</v>
      </c>
      <c r="S390" s="60">
        <v>43208</v>
      </c>
      <c r="T390" s="60"/>
      <c r="U390" s="59" t="s">
        <v>1331</v>
      </c>
      <c r="V390" s="264"/>
      <c r="W390" s="59"/>
      <c r="X390" s="3">
        <f t="shared" si="36"/>
        <v>-11</v>
      </c>
      <c r="Y390" s="3">
        <f t="shared" si="37"/>
        <v>11</v>
      </c>
    </row>
    <row r="391" spans="14:25">
      <c r="N391" s="59" t="s">
        <v>203</v>
      </c>
      <c r="O391" s="59" t="s">
        <v>1243</v>
      </c>
      <c r="P391" s="59">
        <v>50</v>
      </c>
      <c r="Q391" s="59" t="s">
        <v>1229</v>
      </c>
      <c r="R391" s="59" t="s">
        <v>203</v>
      </c>
      <c r="S391" s="60">
        <v>43208</v>
      </c>
      <c r="T391" s="60"/>
      <c r="U391" s="59" t="s">
        <v>1331</v>
      </c>
      <c r="V391" s="264"/>
      <c r="W391" s="59"/>
      <c r="X391" s="3">
        <f t="shared" si="36"/>
        <v>50</v>
      </c>
      <c r="Y391" s="3" t="b">
        <f t="shared" si="37"/>
        <v>0</v>
      </c>
    </row>
    <row r="392" spans="14:25">
      <c r="N392" s="59" t="s">
        <v>203</v>
      </c>
      <c r="O392" s="59" t="s">
        <v>1267</v>
      </c>
      <c r="P392" s="59">
        <v>202</v>
      </c>
      <c r="Q392" s="59" t="s">
        <v>1229</v>
      </c>
      <c r="R392" s="59" t="s">
        <v>203</v>
      </c>
      <c r="S392" s="60">
        <v>43208</v>
      </c>
      <c r="T392" s="60"/>
      <c r="U392" s="59" t="s">
        <v>1331</v>
      </c>
      <c r="V392" s="264"/>
      <c r="W392" s="59"/>
      <c r="X392" s="3">
        <f t="shared" si="36"/>
        <v>202</v>
      </c>
      <c r="Y392" s="3" t="b">
        <f t="shared" si="37"/>
        <v>0</v>
      </c>
    </row>
    <row r="393" spans="14:25">
      <c r="N393" s="59" t="s">
        <v>203</v>
      </c>
      <c r="O393" s="59" t="s">
        <v>1228</v>
      </c>
      <c r="P393" s="59">
        <v>6</v>
      </c>
      <c r="Q393" s="59" t="s">
        <v>1233</v>
      </c>
      <c r="R393" s="59" t="s">
        <v>203</v>
      </c>
      <c r="S393" s="60">
        <v>43208</v>
      </c>
      <c r="T393" s="60"/>
      <c r="U393" s="59" t="s">
        <v>1331</v>
      </c>
      <c r="V393" s="264"/>
      <c r="W393" s="59"/>
      <c r="X393" s="3">
        <f t="shared" si="36"/>
        <v>-6</v>
      </c>
      <c r="Y393" s="3">
        <f t="shared" si="37"/>
        <v>6</v>
      </c>
    </row>
    <row r="394" spans="14:25">
      <c r="N394" s="59" t="s">
        <v>203</v>
      </c>
      <c r="O394" s="59" t="s">
        <v>1234</v>
      </c>
      <c r="P394" s="59">
        <v>4</v>
      </c>
      <c r="Q394" s="59" t="s">
        <v>1233</v>
      </c>
      <c r="R394" s="59" t="s">
        <v>203</v>
      </c>
      <c r="S394" s="60">
        <v>43209</v>
      </c>
      <c r="T394" s="60"/>
      <c r="U394" s="59" t="s">
        <v>1331</v>
      </c>
      <c r="V394" s="264"/>
      <c r="W394" s="59"/>
      <c r="X394" s="3">
        <f t="shared" si="36"/>
        <v>-4</v>
      </c>
      <c r="Y394" s="3">
        <f t="shared" si="37"/>
        <v>4</v>
      </c>
    </row>
    <row r="395" spans="14:25">
      <c r="N395" s="59" t="s">
        <v>203</v>
      </c>
      <c r="O395" s="59" t="s">
        <v>1235</v>
      </c>
      <c r="P395" s="59">
        <v>4</v>
      </c>
      <c r="Q395" s="59" t="s">
        <v>1233</v>
      </c>
      <c r="R395" s="59" t="s">
        <v>203</v>
      </c>
      <c r="S395" s="60">
        <v>43209</v>
      </c>
      <c r="T395" s="60"/>
      <c r="U395" s="59" t="s">
        <v>1331</v>
      </c>
      <c r="V395" s="264"/>
      <c r="W395" s="59"/>
      <c r="X395" s="3">
        <f t="shared" si="36"/>
        <v>-4</v>
      </c>
      <c r="Y395" s="3">
        <f t="shared" si="37"/>
        <v>4</v>
      </c>
    </row>
    <row r="396" spans="14:25">
      <c r="N396" s="59" t="s">
        <v>203</v>
      </c>
      <c r="O396" s="59" t="s">
        <v>1236</v>
      </c>
      <c r="P396" s="59">
        <v>4</v>
      </c>
      <c r="Q396" s="59" t="s">
        <v>1233</v>
      </c>
      <c r="R396" s="59" t="s">
        <v>203</v>
      </c>
      <c r="S396" s="60">
        <v>43209</v>
      </c>
      <c r="T396" s="60"/>
      <c r="U396" s="59" t="s">
        <v>1331</v>
      </c>
      <c r="V396" s="264"/>
      <c r="W396" s="59"/>
      <c r="X396" s="3">
        <f t="shared" si="36"/>
        <v>-4</v>
      </c>
      <c r="Y396" s="3">
        <f t="shared" si="37"/>
        <v>4</v>
      </c>
    </row>
    <row r="397" spans="14:25">
      <c r="N397" s="59" t="s">
        <v>203</v>
      </c>
      <c r="O397" s="59" t="s">
        <v>1237</v>
      </c>
      <c r="P397" s="59">
        <v>8</v>
      </c>
      <c r="Q397" s="59" t="s">
        <v>1233</v>
      </c>
      <c r="R397" s="59" t="s">
        <v>203</v>
      </c>
      <c r="S397" s="60">
        <v>43209</v>
      </c>
      <c r="T397" s="60"/>
      <c r="U397" s="59" t="s">
        <v>1331</v>
      </c>
      <c r="V397" s="264"/>
      <c r="W397" s="59"/>
      <c r="X397" s="3">
        <f t="shared" si="36"/>
        <v>-8</v>
      </c>
      <c r="Y397" s="3">
        <f t="shared" si="37"/>
        <v>8</v>
      </c>
    </row>
    <row r="398" spans="14:25">
      <c r="N398" s="59" t="s">
        <v>203</v>
      </c>
      <c r="O398" s="59" t="s">
        <v>1267</v>
      </c>
      <c r="P398" s="59">
        <v>4</v>
      </c>
      <c r="Q398" s="59" t="s">
        <v>1233</v>
      </c>
      <c r="R398" s="59" t="s">
        <v>203</v>
      </c>
      <c r="S398" s="60">
        <v>43209</v>
      </c>
      <c r="T398" s="60"/>
      <c r="U398" s="59" t="s">
        <v>1331</v>
      </c>
      <c r="V398" s="264"/>
      <c r="W398" s="59"/>
      <c r="X398" s="3">
        <f t="shared" si="36"/>
        <v>-4</v>
      </c>
      <c r="Y398" s="3">
        <f t="shared" si="37"/>
        <v>4</v>
      </c>
    </row>
    <row r="399" spans="14:25">
      <c r="N399" s="59" t="s">
        <v>203</v>
      </c>
      <c r="O399" s="59" t="s">
        <v>1243</v>
      </c>
      <c r="P399" s="59">
        <v>4</v>
      </c>
      <c r="Q399" s="59" t="s">
        <v>1233</v>
      </c>
      <c r="R399" s="59" t="s">
        <v>203</v>
      </c>
      <c r="S399" s="60">
        <v>43209</v>
      </c>
      <c r="T399" s="60"/>
      <c r="U399" s="59" t="s">
        <v>1331</v>
      </c>
      <c r="V399" s="264"/>
      <c r="W399" s="59"/>
      <c r="X399" s="3">
        <f t="shared" si="36"/>
        <v>-4</v>
      </c>
      <c r="Y399" s="3">
        <f t="shared" si="37"/>
        <v>4</v>
      </c>
    </row>
    <row r="400" spans="14:25">
      <c r="N400" s="59" t="s">
        <v>203</v>
      </c>
      <c r="O400" s="59" t="s">
        <v>1235</v>
      </c>
      <c r="P400" s="59">
        <v>5</v>
      </c>
      <c r="Q400" s="59" t="s">
        <v>1233</v>
      </c>
      <c r="R400" s="59" t="s">
        <v>203</v>
      </c>
      <c r="S400" s="60">
        <v>43213</v>
      </c>
      <c r="T400" s="60"/>
      <c r="U400" s="59" t="s">
        <v>1331</v>
      </c>
      <c r="V400" s="264"/>
      <c r="W400" s="59"/>
      <c r="X400" s="3">
        <f t="shared" si="36"/>
        <v>-5</v>
      </c>
      <c r="Y400" s="3">
        <f t="shared" si="37"/>
        <v>5</v>
      </c>
    </row>
    <row r="401" spans="14:25">
      <c r="N401" s="59" t="s">
        <v>203</v>
      </c>
      <c r="O401" s="59" t="s">
        <v>1267</v>
      </c>
      <c r="P401" s="59">
        <v>6</v>
      </c>
      <c r="Q401" s="59" t="s">
        <v>1233</v>
      </c>
      <c r="R401" s="59" t="s">
        <v>203</v>
      </c>
      <c r="S401" s="60">
        <v>43213</v>
      </c>
      <c r="T401" s="60"/>
      <c r="U401" s="59" t="s">
        <v>1331</v>
      </c>
      <c r="V401" s="264"/>
      <c r="W401" s="59"/>
      <c r="X401" s="3">
        <f t="shared" si="36"/>
        <v>-6</v>
      </c>
      <c r="Y401" s="3">
        <f t="shared" si="37"/>
        <v>6</v>
      </c>
    </row>
    <row r="402" spans="14:25">
      <c r="N402" s="59" t="s">
        <v>203</v>
      </c>
      <c r="O402" s="59" t="s">
        <v>1267</v>
      </c>
      <c r="P402" s="59">
        <v>50</v>
      </c>
      <c r="Q402" s="59" t="s">
        <v>1282</v>
      </c>
      <c r="R402" s="59" t="s">
        <v>203</v>
      </c>
      <c r="S402" s="60">
        <v>43215</v>
      </c>
      <c r="T402" s="60"/>
      <c r="U402" s="59" t="s">
        <v>1331</v>
      </c>
      <c r="V402" s="264"/>
      <c r="W402" s="34"/>
      <c r="X402" s="3">
        <f t="shared" si="36"/>
        <v>-50</v>
      </c>
      <c r="Y402" s="3" t="b">
        <f t="shared" si="37"/>
        <v>0</v>
      </c>
    </row>
    <row r="403" spans="14:25">
      <c r="N403" s="59" t="s">
        <v>203</v>
      </c>
      <c r="O403" s="59" t="s">
        <v>1235</v>
      </c>
      <c r="P403" s="59">
        <v>3</v>
      </c>
      <c r="Q403" s="59" t="s">
        <v>1233</v>
      </c>
      <c r="R403" s="59" t="s">
        <v>203</v>
      </c>
      <c r="S403" s="60">
        <v>43215</v>
      </c>
      <c r="T403" s="60"/>
      <c r="U403" s="59" t="s">
        <v>1331</v>
      </c>
      <c r="V403" s="264"/>
      <c r="W403" s="34"/>
      <c r="X403" s="3">
        <f t="shared" si="36"/>
        <v>-3</v>
      </c>
      <c r="Y403" s="3">
        <f t="shared" si="37"/>
        <v>3</v>
      </c>
    </row>
    <row r="404" spans="14:25">
      <c r="N404" s="59" t="s">
        <v>203</v>
      </c>
      <c r="O404" s="59" t="s">
        <v>1228</v>
      </c>
      <c r="P404" s="59">
        <v>12</v>
      </c>
      <c r="Q404" s="59" t="s">
        <v>1233</v>
      </c>
      <c r="R404" s="59" t="s">
        <v>203</v>
      </c>
      <c r="S404" s="60">
        <v>43215</v>
      </c>
      <c r="T404" s="60"/>
      <c r="U404" s="59" t="s">
        <v>1331</v>
      </c>
      <c r="V404" s="264" t="s">
        <v>2891</v>
      </c>
      <c r="W404" s="34"/>
      <c r="X404" s="3">
        <f t="shared" si="36"/>
        <v>-12</v>
      </c>
      <c r="Y404" s="3">
        <f t="shared" si="37"/>
        <v>12</v>
      </c>
    </row>
    <row r="405" spans="14:25">
      <c r="N405" s="59" t="s">
        <v>203</v>
      </c>
      <c r="O405" s="59" t="s">
        <v>1267</v>
      </c>
      <c r="P405" s="59">
        <v>41</v>
      </c>
      <c r="Q405" s="59" t="s">
        <v>1282</v>
      </c>
      <c r="R405" s="59" t="s">
        <v>203</v>
      </c>
      <c r="S405" s="60">
        <v>43216</v>
      </c>
      <c r="T405" s="60"/>
      <c r="U405" s="59" t="s">
        <v>1331</v>
      </c>
      <c r="V405" s="264"/>
      <c r="W405" s="34"/>
      <c r="X405" s="3">
        <f t="shared" si="36"/>
        <v>-41</v>
      </c>
      <c r="Y405" s="3" t="b">
        <f t="shared" si="37"/>
        <v>0</v>
      </c>
    </row>
    <row r="406" spans="14:25">
      <c r="N406" s="59" t="s">
        <v>336</v>
      </c>
      <c r="O406" s="59" t="s">
        <v>1235</v>
      </c>
      <c r="P406" s="59">
        <v>80</v>
      </c>
      <c r="Q406" s="59" t="s">
        <v>1229</v>
      </c>
      <c r="R406" s="59" t="s">
        <v>364</v>
      </c>
      <c r="S406" s="60">
        <v>43216</v>
      </c>
      <c r="T406" s="60"/>
      <c r="U406" s="59" t="s">
        <v>2986</v>
      </c>
      <c r="V406" s="264" t="s">
        <v>2987</v>
      </c>
      <c r="W406" s="201"/>
      <c r="X406" s="3">
        <f t="shared" si="36"/>
        <v>80</v>
      </c>
      <c r="Y406" s="3" t="b">
        <f t="shared" si="37"/>
        <v>0</v>
      </c>
    </row>
    <row r="407" spans="14:25">
      <c r="N407" s="59" t="s">
        <v>1244</v>
      </c>
      <c r="O407" s="59" t="s">
        <v>1235</v>
      </c>
      <c r="P407" s="59">
        <v>60</v>
      </c>
      <c r="Q407" s="59" t="s">
        <v>1229</v>
      </c>
      <c r="R407" s="59" t="s">
        <v>364</v>
      </c>
      <c r="S407" s="90">
        <v>43216</v>
      </c>
      <c r="T407" s="90"/>
      <c r="U407" s="61" t="s">
        <v>2986</v>
      </c>
      <c r="V407" s="264" t="s">
        <v>2988</v>
      </c>
      <c r="W407" s="61"/>
      <c r="X407" s="3">
        <f t="shared" si="36"/>
        <v>60</v>
      </c>
      <c r="Y407" s="3" t="b">
        <f t="shared" si="37"/>
        <v>0</v>
      </c>
    </row>
    <row r="408" spans="14:25">
      <c r="N408" s="59" t="s">
        <v>203</v>
      </c>
      <c r="O408" s="59" t="s">
        <v>1235</v>
      </c>
      <c r="P408" s="59">
        <v>200</v>
      </c>
      <c r="Q408" s="59" t="s">
        <v>1229</v>
      </c>
      <c r="R408" s="59" t="s">
        <v>364</v>
      </c>
      <c r="S408" s="90">
        <v>43216</v>
      </c>
      <c r="T408" s="90">
        <v>43227</v>
      </c>
      <c r="U408" s="61" t="s">
        <v>2986</v>
      </c>
      <c r="V408" s="264" t="s">
        <v>2989</v>
      </c>
      <c r="W408" s="61"/>
      <c r="X408" s="3">
        <f t="shared" si="36"/>
        <v>200</v>
      </c>
      <c r="Y408" s="3" t="b">
        <f t="shared" si="37"/>
        <v>0</v>
      </c>
    </row>
    <row r="409" spans="14:25">
      <c r="N409" s="59" t="s">
        <v>0</v>
      </c>
      <c r="O409" s="59" t="s">
        <v>1235</v>
      </c>
      <c r="P409" s="59">
        <v>60</v>
      </c>
      <c r="Q409" s="59" t="s">
        <v>1229</v>
      </c>
      <c r="R409" s="59" t="s">
        <v>364</v>
      </c>
      <c r="S409" s="90">
        <v>43216</v>
      </c>
      <c r="T409" s="90">
        <v>43223</v>
      </c>
      <c r="U409" s="61" t="s">
        <v>2986</v>
      </c>
      <c r="V409" s="264" t="s">
        <v>2990</v>
      </c>
      <c r="W409" s="61"/>
      <c r="X409" s="3">
        <f t="shared" si="36"/>
        <v>60</v>
      </c>
      <c r="Y409" s="3" t="b">
        <f t="shared" si="37"/>
        <v>0</v>
      </c>
    </row>
    <row r="410" spans="14:25">
      <c r="N410" s="59" t="s">
        <v>364</v>
      </c>
      <c r="O410" s="59" t="s">
        <v>1235</v>
      </c>
      <c r="P410" s="59">
        <v>60</v>
      </c>
      <c r="Q410" s="59" t="s">
        <v>1229</v>
      </c>
      <c r="R410" s="59" t="s">
        <v>364</v>
      </c>
      <c r="S410" s="90">
        <v>43216</v>
      </c>
      <c r="T410" s="90">
        <v>43218</v>
      </c>
      <c r="U410" s="61" t="s">
        <v>2986</v>
      </c>
      <c r="V410" s="264"/>
      <c r="W410" s="61"/>
      <c r="X410" s="3">
        <f t="shared" si="36"/>
        <v>60</v>
      </c>
      <c r="Y410" s="3" t="b">
        <f t="shared" si="37"/>
        <v>0</v>
      </c>
    </row>
    <row r="411" spans="14:25">
      <c r="N411" s="59" t="s">
        <v>203</v>
      </c>
      <c r="O411" s="59" t="s">
        <v>1243</v>
      </c>
      <c r="P411" s="59">
        <v>16</v>
      </c>
      <c r="Q411" s="59" t="s">
        <v>1233</v>
      </c>
      <c r="R411" s="59" t="s">
        <v>203</v>
      </c>
      <c r="S411" s="90">
        <v>43218</v>
      </c>
      <c r="T411" s="90"/>
      <c r="U411" s="61" t="s">
        <v>1331</v>
      </c>
      <c r="V411" s="264"/>
      <c r="W411" s="61"/>
      <c r="X411" s="3">
        <f t="shared" si="36"/>
        <v>-16</v>
      </c>
      <c r="Y411" s="3">
        <f t="shared" si="37"/>
        <v>16</v>
      </c>
    </row>
    <row r="412" spans="14:25">
      <c r="N412" s="59" t="s">
        <v>203</v>
      </c>
      <c r="O412" s="59" t="s">
        <v>1234</v>
      </c>
      <c r="P412" s="59">
        <v>16</v>
      </c>
      <c r="Q412" s="59" t="s">
        <v>1233</v>
      </c>
      <c r="R412" s="59" t="s">
        <v>203</v>
      </c>
      <c r="S412" s="90">
        <v>43218</v>
      </c>
      <c r="T412" s="90"/>
      <c r="U412" s="61" t="s">
        <v>1331</v>
      </c>
      <c r="V412" s="264"/>
      <c r="W412" s="61"/>
      <c r="X412" s="3">
        <f t="shared" si="36"/>
        <v>-16</v>
      </c>
      <c r="Y412" s="3">
        <f t="shared" si="37"/>
        <v>16</v>
      </c>
    </row>
    <row r="413" spans="14:25">
      <c r="N413" s="59" t="s">
        <v>203</v>
      </c>
      <c r="O413" s="59" t="s">
        <v>1235</v>
      </c>
      <c r="P413" s="59">
        <v>21</v>
      </c>
      <c r="Q413" s="59" t="s">
        <v>1233</v>
      </c>
      <c r="R413" s="59" t="s">
        <v>203</v>
      </c>
      <c r="S413" s="90">
        <v>43218</v>
      </c>
      <c r="T413" s="90"/>
      <c r="U413" s="61" t="s">
        <v>1331</v>
      </c>
      <c r="V413" s="264"/>
      <c r="W413" s="61"/>
      <c r="X413" s="3">
        <f t="shared" si="36"/>
        <v>-21</v>
      </c>
      <c r="Y413" s="3">
        <f t="shared" si="37"/>
        <v>21</v>
      </c>
    </row>
    <row r="414" spans="14:25">
      <c r="N414" s="59" t="s">
        <v>203</v>
      </c>
      <c r="O414" s="59" t="s">
        <v>1267</v>
      </c>
      <c r="P414" s="59">
        <v>62</v>
      </c>
      <c r="Q414" s="59" t="s">
        <v>1282</v>
      </c>
      <c r="R414" s="59" t="s">
        <v>203</v>
      </c>
      <c r="S414" s="90">
        <v>43218</v>
      </c>
      <c r="T414" s="90"/>
      <c r="U414" s="61" t="s">
        <v>1331</v>
      </c>
      <c r="V414" s="264"/>
      <c r="W414" s="61"/>
      <c r="X414" s="3">
        <f t="shared" si="36"/>
        <v>-62</v>
      </c>
      <c r="Y414" s="3" t="b">
        <f t="shared" si="37"/>
        <v>0</v>
      </c>
    </row>
    <row r="415" spans="14:25">
      <c r="N415" s="59" t="s">
        <v>203</v>
      </c>
      <c r="O415" s="59" t="s">
        <v>1236</v>
      </c>
      <c r="P415" s="59">
        <v>16</v>
      </c>
      <c r="Q415" s="59" t="s">
        <v>1233</v>
      </c>
      <c r="R415" s="59" t="s">
        <v>203</v>
      </c>
      <c r="S415" s="90">
        <v>43218</v>
      </c>
      <c r="T415" s="90"/>
      <c r="U415" s="61" t="s">
        <v>1331</v>
      </c>
      <c r="V415" s="264"/>
      <c r="W415" s="61"/>
      <c r="X415" s="3">
        <f t="shared" si="36"/>
        <v>-16</v>
      </c>
      <c r="Y415" s="3">
        <f t="shared" si="37"/>
        <v>16</v>
      </c>
    </row>
    <row r="416" spans="14:25">
      <c r="N416" s="59" t="s">
        <v>203</v>
      </c>
      <c r="O416" s="59" t="s">
        <v>1238</v>
      </c>
      <c r="P416" s="59">
        <v>32</v>
      </c>
      <c r="Q416" s="59" t="s">
        <v>1233</v>
      </c>
      <c r="R416" s="59" t="s">
        <v>203</v>
      </c>
      <c r="S416" s="90">
        <v>43218</v>
      </c>
      <c r="T416" s="90"/>
      <c r="U416" s="61" t="s">
        <v>1331</v>
      </c>
      <c r="V416" s="264"/>
      <c r="W416" s="61"/>
      <c r="X416" s="3">
        <f t="shared" si="36"/>
        <v>-32</v>
      </c>
      <c r="Y416" s="3">
        <f t="shared" si="37"/>
        <v>32</v>
      </c>
    </row>
    <row r="417" spans="14:25">
      <c r="N417" s="59" t="s">
        <v>203</v>
      </c>
      <c r="O417" s="59" t="s">
        <v>1238</v>
      </c>
      <c r="P417" s="59">
        <v>12</v>
      </c>
      <c r="Q417" s="59" t="s">
        <v>1233</v>
      </c>
      <c r="R417" s="59" t="s">
        <v>203</v>
      </c>
      <c r="S417" s="90">
        <v>43218</v>
      </c>
      <c r="T417" s="90"/>
      <c r="U417" s="61" t="s">
        <v>1331</v>
      </c>
      <c r="V417" s="264"/>
      <c r="W417" s="61"/>
      <c r="X417" s="3">
        <f t="shared" si="36"/>
        <v>-12</v>
      </c>
      <c r="Y417" s="3">
        <f t="shared" si="37"/>
        <v>12</v>
      </c>
    </row>
    <row r="418" spans="14:25">
      <c r="N418" s="59" t="s">
        <v>203</v>
      </c>
      <c r="O418" s="59" t="s">
        <v>1235</v>
      </c>
      <c r="P418" s="59">
        <v>50</v>
      </c>
      <c r="Q418" s="59" t="s">
        <v>1229</v>
      </c>
      <c r="R418" s="59" t="s">
        <v>203</v>
      </c>
      <c r="S418" s="90">
        <v>43218</v>
      </c>
      <c r="T418" s="90"/>
      <c r="U418" s="61" t="s">
        <v>1331</v>
      </c>
      <c r="V418" s="264"/>
      <c r="W418" s="61"/>
      <c r="X418" s="3">
        <f t="shared" si="36"/>
        <v>50</v>
      </c>
      <c r="Y418" s="3" t="b">
        <f t="shared" si="37"/>
        <v>0</v>
      </c>
    </row>
    <row r="419" spans="14:25">
      <c r="N419" s="59" t="s">
        <v>0</v>
      </c>
      <c r="O419" s="59" t="s">
        <v>1228</v>
      </c>
      <c r="P419" s="59">
        <v>2</v>
      </c>
      <c r="Q419" s="59" t="s">
        <v>1233</v>
      </c>
      <c r="R419" s="59" t="s">
        <v>0</v>
      </c>
      <c r="S419" s="90">
        <v>43222</v>
      </c>
      <c r="T419" s="90">
        <v>43222</v>
      </c>
      <c r="U419" s="61" t="s">
        <v>1275</v>
      </c>
      <c r="V419" s="264"/>
      <c r="W419" s="61" t="s">
        <v>3159</v>
      </c>
      <c r="X419" s="3">
        <f t="shared" si="36"/>
        <v>-2</v>
      </c>
      <c r="Y419" s="3">
        <f t="shared" si="37"/>
        <v>2</v>
      </c>
    </row>
    <row r="420" spans="14:25">
      <c r="N420" s="59" t="s">
        <v>0</v>
      </c>
      <c r="O420" s="59" t="s">
        <v>1234</v>
      </c>
      <c r="P420" s="59">
        <v>2</v>
      </c>
      <c r="Q420" s="59" t="s">
        <v>1233</v>
      </c>
      <c r="R420" s="59" t="s">
        <v>0</v>
      </c>
      <c r="S420" s="90">
        <v>43222</v>
      </c>
      <c r="T420" s="90">
        <v>43222</v>
      </c>
      <c r="U420" s="61" t="s">
        <v>1275</v>
      </c>
      <c r="V420" s="264"/>
      <c r="W420" s="61" t="s">
        <v>3159</v>
      </c>
      <c r="X420" s="3">
        <f t="shared" si="36"/>
        <v>-2</v>
      </c>
      <c r="Y420" s="3">
        <f t="shared" si="37"/>
        <v>2</v>
      </c>
    </row>
    <row r="421" spans="14:25">
      <c r="N421" s="59" t="s">
        <v>0</v>
      </c>
      <c r="O421" s="59" t="s">
        <v>1235</v>
      </c>
      <c r="P421" s="59">
        <v>2</v>
      </c>
      <c r="Q421" s="59" t="s">
        <v>1233</v>
      </c>
      <c r="R421" s="59" t="s">
        <v>0</v>
      </c>
      <c r="S421" s="90">
        <v>43222</v>
      </c>
      <c r="T421" s="90">
        <v>43222</v>
      </c>
      <c r="U421" s="61" t="s">
        <v>1275</v>
      </c>
      <c r="V421" s="264"/>
      <c r="W421" s="61" t="s">
        <v>3159</v>
      </c>
      <c r="X421" s="3">
        <f t="shared" si="36"/>
        <v>-2</v>
      </c>
      <c r="Y421" s="3">
        <f t="shared" si="37"/>
        <v>2</v>
      </c>
    </row>
    <row r="422" spans="14:25">
      <c r="N422" s="59" t="s">
        <v>0</v>
      </c>
      <c r="O422" s="59" t="s">
        <v>1236</v>
      </c>
      <c r="P422" s="59">
        <v>2</v>
      </c>
      <c r="Q422" s="59" t="s">
        <v>1233</v>
      </c>
      <c r="R422" s="59" t="s">
        <v>0</v>
      </c>
      <c r="S422" s="90">
        <v>43222</v>
      </c>
      <c r="T422" s="90">
        <v>43222</v>
      </c>
      <c r="U422" s="61" t="s">
        <v>1275</v>
      </c>
      <c r="V422" s="264"/>
      <c r="W422" s="61" t="s">
        <v>3159</v>
      </c>
      <c r="X422" s="3">
        <f t="shared" si="36"/>
        <v>-2</v>
      </c>
      <c r="Y422" s="3">
        <f t="shared" si="37"/>
        <v>2</v>
      </c>
    </row>
    <row r="423" spans="14:25">
      <c r="N423" s="59" t="s">
        <v>0</v>
      </c>
      <c r="O423" s="59" t="s">
        <v>1237</v>
      </c>
      <c r="P423" s="59">
        <v>4</v>
      </c>
      <c r="Q423" s="59" t="s">
        <v>1233</v>
      </c>
      <c r="R423" s="59" t="s">
        <v>0</v>
      </c>
      <c r="S423" s="90">
        <v>43222</v>
      </c>
      <c r="T423" s="90">
        <v>43222</v>
      </c>
      <c r="U423" s="61" t="s">
        <v>1275</v>
      </c>
      <c r="V423" s="264"/>
      <c r="W423" s="61" t="s">
        <v>3159</v>
      </c>
      <c r="X423" s="3">
        <f t="shared" si="36"/>
        <v>-4</v>
      </c>
      <c r="Y423" s="3">
        <f t="shared" si="37"/>
        <v>4</v>
      </c>
    </row>
    <row r="424" spans="14:25">
      <c r="N424" s="59" t="s">
        <v>0</v>
      </c>
      <c r="O424" s="59" t="s">
        <v>1238</v>
      </c>
      <c r="P424" s="59">
        <v>1</v>
      </c>
      <c r="Q424" s="59" t="s">
        <v>1233</v>
      </c>
      <c r="R424" s="59" t="s">
        <v>0</v>
      </c>
      <c r="S424" s="90">
        <v>43222</v>
      </c>
      <c r="T424" s="90">
        <v>43222</v>
      </c>
      <c r="U424" s="61" t="s">
        <v>1275</v>
      </c>
      <c r="V424" s="264"/>
      <c r="W424" s="61" t="s">
        <v>3159</v>
      </c>
      <c r="X424" s="3">
        <f t="shared" si="36"/>
        <v>-1</v>
      </c>
      <c r="Y424" s="3">
        <f t="shared" si="37"/>
        <v>1</v>
      </c>
    </row>
    <row r="425" spans="14:25">
      <c r="N425" s="59" t="s">
        <v>0</v>
      </c>
      <c r="O425" s="59" t="s">
        <v>1338</v>
      </c>
      <c r="P425" s="59">
        <v>2</v>
      </c>
      <c r="Q425" s="59" t="s">
        <v>1233</v>
      </c>
      <c r="R425" s="59" t="s">
        <v>0</v>
      </c>
      <c r="S425" s="90">
        <v>43222</v>
      </c>
      <c r="T425" s="90">
        <v>43222</v>
      </c>
      <c r="U425" s="61" t="s">
        <v>1275</v>
      </c>
      <c r="V425" s="264"/>
      <c r="W425" s="61" t="s">
        <v>3159</v>
      </c>
      <c r="X425" s="3">
        <f t="shared" si="36"/>
        <v>-2</v>
      </c>
      <c r="Y425" s="3">
        <f t="shared" si="37"/>
        <v>2</v>
      </c>
    </row>
    <row r="426" spans="14:25">
      <c r="N426" s="59" t="s">
        <v>0</v>
      </c>
      <c r="O426" s="59" t="s">
        <v>1237</v>
      </c>
      <c r="P426" s="59">
        <v>150</v>
      </c>
      <c r="Q426" s="59" t="s">
        <v>3160</v>
      </c>
      <c r="R426" s="59" t="s">
        <v>0</v>
      </c>
      <c r="S426" s="90">
        <v>43222</v>
      </c>
      <c r="T426" s="90">
        <v>43222</v>
      </c>
      <c r="U426" s="61" t="s">
        <v>1275</v>
      </c>
      <c r="V426" s="264" t="s">
        <v>3165</v>
      </c>
      <c r="W426" s="61"/>
      <c r="X426" s="3">
        <f t="shared" si="36"/>
        <v>150</v>
      </c>
      <c r="Y426" s="3" t="b">
        <f t="shared" si="37"/>
        <v>0</v>
      </c>
    </row>
    <row r="427" spans="14:25">
      <c r="N427" s="59" t="s">
        <v>0</v>
      </c>
      <c r="O427" s="59" t="s">
        <v>1267</v>
      </c>
      <c r="P427" s="59">
        <v>5</v>
      </c>
      <c r="Q427" s="59" t="s">
        <v>1229</v>
      </c>
      <c r="R427" s="59" t="s">
        <v>0</v>
      </c>
      <c r="S427" s="90">
        <v>43222</v>
      </c>
      <c r="T427" s="90">
        <v>43222</v>
      </c>
      <c r="U427" s="61" t="s">
        <v>1275</v>
      </c>
      <c r="V427" s="264" t="s">
        <v>3162</v>
      </c>
      <c r="W427" s="61" t="s">
        <v>3163</v>
      </c>
      <c r="X427" s="3">
        <f t="shared" si="36"/>
        <v>5</v>
      </c>
      <c r="Y427" s="3" t="b">
        <f t="shared" si="37"/>
        <v>0</v>
      </c>
    </row>
    <row r="428" spans="14:25">
      <c r="N428" s="59" t="s">
        <v>203</v>
      </c>
      <c r="O428" s="59" t="s">
        <v>1267</v>
      </c>
      <c r="P428" s="59">
        <v>6</v>
      </c>
      <c r="Q428" s="59" t="s">
        <v>1233</v>
      </c>
      <c r="R428" s="59" t="s">
        <v>203</v>
      </c>
      <c r="S428" s="90">
        <v>43224</v>
      </c>
      <c r="T428" s="90">
        <v>43224</v>
      </c>
      <c r="U428" s="61" t="s">
        <v>1331</v>
      </c>
      <c r="V428" s="264"/>
      <c r="W428" s="61"/>
      <c r="X428" s="3">
        <f t="shared" si="36"/>
        <v>-6</v>
      </c>
      <c r="Y428" s="3">
        <f t="shared" si="37"/>
        <v>6</v>
      </c>
    </row>
    <row r="429" spans="14:25">
      <c r="N429" s="59" t="s">
        <v>203</v>
      </c>
      <c r="O429" s="59" t="s">
        <v>1235</v>
      </c>
      <c r="P429" s="59">
        <v>9</v>
      </c>
      <c r="Q429" s="59" t="s">
        <v>1233</v>
      </c>
      <c r="R429" s="59" t="s">
        <v>203</v>
      </c>
      <c r="S429" s="90">
        <v>43224</v>
      </c>
      <c r="T429" s="90">
        <v>43224</v>
      </c>
      <c r="U429" s="61" t="s">
        <v>1331</v>
      </c>
      <c r="V429" s="264"/>
      <c r="W429" s="61"/>
      <c r="X429" s="3">
        <f t="shared" si="36"/>
        <v>-9</v>
      </c>
      <c r="Y429" s="3">
        <f t="shared" si="37"/>
        <v>9</v>
      </c>
    </row>
    <row r="430" spans="14:25">
      <c r="N430" s="59" t="s">
        <v>203</v>
      </c>
      <c r="O430" s="59" t="s">
        <v>1238</v>
      </c>
      <c r="P430" s="59">
        <v>1</v>
      </c>
      <c r="Q430" s="59" t="s">
        <v>1233</v>
      </c>
      <c r="R430" s="59" t="s">
        <v>203</v>
      </c>
      <c r="S430" s="90">
        <v>43224</v>
      </c>
      <c r="T430" s="90">
        <v>43224</v>
      </c>
      <c r="U430" s="61" t="s">
        <v>1331</v>
      </c>
      <c r="V430" s="264"/>
      <c r="W430" s="61"/>
      <c r="X430" s="3">
        <f t="shared" si="36"/>
        <v>-1</v>
      </c>
      <c r="Y430" s="3">
        <f t="shared" si="37"/>
        <v>1</v>
      </c>
    </row>
    <row r="431" spans="14:25">
      <c r="N431" s="59" t="s">
        <v>203</v>
      </c>
      <c r="O431" s="59" t="s">
        <v>1243</v>
      </c>
      <c r="P431" s="59">
        <v>1</v>
      </c>
      <c r="Q431" s="59" t="s">
        <v>1233</v>
      </c>
      <c r="R431" s="59" t="s">
        <v>203</v>
      </c>
      <c r="S431" s="90">
        <v>43224</v>
      </c>
      <c r="T431" s="90">
        <v>43224</v>
      </c>
      <c r="U431" s="61" t="s">
        <v>1331</v>
      </c>
      <c r="V431" s="264"/>
      <c r="W431" s="61"/>
      <c r="X431" s="3">
        <f t="shared" si="36"/>
        <v>-1</v>
      </c>
      <c r="Y431" s="3">
        <f t="shared" si="37"/>
        <v>1</v>
      </c>
    </row>
    <row r="432" spans="14:25">
      <c r="N432" s="59" t="s">
        <v>203</v>
      </c>
      <c r="O432" s="59" t="s">
        <v>1228</v>
      </c>
      <c r="P432" s="59">
        <v>4</v>
      </c>
      <c r="Q432" s="59" t="s">
        <v>1233</v>
      </c>
      <c r="R432" s="59" t="s">
        <v>203</v>
      </c>
      <c r="S432" s="90">
        <v>43224</v>
      </c>
      <c r="T432" s="90">
        <v>43224</v>
      </c>
      <c r="U432" s="61" t="s">
        <v>1331</v>
      </c>
      <c r="V432" s="264"/>
      <c r="W432" s="61"/>
      <c r="X432" s="3">
        <f t="shared" si="36"/>
        <v>-4</v>
      </c>
      <c r="Y432" s="3">
        <f t="shared" si="37"/>
        <v>4</v>
      </c>
    </row>
    <row r="433" spans="14:25">
      <c r="N433" s="59" t="s">
        <v>203</v>
      </c>
      <c r="O433" s="59" t="s">
        <v>1234</v>
      </c>
      <c r="P433" s="59">
        <v>4</v>
      </c>
      <c r="Q433" s="59" t="s">
        <v>1233</v>
      </c>
      <c r="R433" s="59" t="s">
        <v>203</v>
      </c>
      <c r="S433" s="90">
        <v>43227</v>
      </c>
      <c r="T433" s="90"/>
      <c r="U433" s="61" t="s">
        <v>1331</v>
      </c>
      <c r="V433" s="264"/>
      <c r="W433" s="61"/>
      <c r="X433" s="3">
        <f t="shared" si="36"/>
        <v>-4</v>
      </c>
      <c r="Y433" s="3">
        <f t="shared" si="37"/>
        <v>4</v>
      </c>
    </row>
    <row r="434" spans="14:25">
      <c r="N434" s="59" t="s">
        <v>203</v>
      </c>
      <c r="O434" s="59" t="s">
        <v>1235</v>
      </c>
      <c r="P434" s="59">
        <v>5</v>
      </c>
      <c r="Q434" s="59" t="s">
        <v>1233</v>
      </c>
      <c r="R434" s="59" t="s">
        <v>203</v>
      </c>
      <c r="S434" s="90">
        <v>43227</v>
      </c>
      <c r="T434" s="90"/>
      <c r="U434" s="61" t="s">
        <v>1331</v>
      </c>
      <c r="V434" s="264"/>
      <c r="W434" s="61"/>
      <c r="X434" s="3">
        <f t="shared" si="36"/>
        <v>-5</v>
      </c>
      <c r="Y434" s="3">
        <f t="shared" si="37"/>
        <v>5</v>
      </c>
    </row>
    <row r="435" spans="14:25">
      <c r="N435" s="59" t="s">
        <v>203</v>
      </c>
      <c r="O435" s="59" t="s">
        <v>1236</v>
      </c>
      <c r="P435" s="59">
        <v>4</v>
      </c>
      <c r="Q435" s="59" t="s">
        <v>1233</v>
      </c>
      <c r="R435" s="59" t="s">
        <v>203</v>
      </c>
      <c r="S435" s="90">
        <v>43227</v>
      </c>
      <c r="T435" s="90"/>
      <c r="U435" s="61" t="s">
        <v>1331</v>
      </c>
      <c r="V435" s="264"/>
      <c r="W435" s="61"/>
      <c r="X435" s="3">
        <f t="shared" si="36"/>
        <v>-4</v>
      </c>
      <c r="Y435" s="3">
        <f t="shared" si="37"/>
        <v>4</v>
      </c>
    </row>
    <row r="436" spans="14:25">
      <c r="N436" s="59" t="s">
        <v>203</v>
      </c>
      <c r="O436" s="59" t="s">
        <v>1237</v>
      </c>
      <c r="P436" s="59">
        <v>4</v>
      </c>
      <c r="Q436" s="59" t="s">
        <v>1233</v>
      </c>
      <c r="R436" s="59" t="s">
        <v>203</v>
      </c>
      <c r="S436" s="90">
        <v>43227</v>
      </c>
      <c r="T436" s="90"/>
      <c r="U436" s="61" t="s">
        <v>1331</v>
      </c>
      <c r="V436" s="264"/>
      <c r="W436" s="61"/>
      <c r="X436" s="3">
        <f t="shared" si="36"/>
        <v>-4</v>
      </c>
      <c r="Y436" s="3">
        <f t="shared" si="37"/>
        <v>4</v>
      </c>
    </row>
    <row r="437" spans="14:25">
      <c r="N437" s="59" t="s">
        <v>203</v>
      </c>
      <c r="O437" s="59" t="s">
        <v>1267</v>
      </c>
      <c r="P437" s="59">
        <v>4</v>
      </c>
      <c r="Q437" s="59" t="s">
        <v>1233</v>
      </c>
      <c r="R437" s="59" t="s">
        <v>203</v>
      </c>
      <c r="S437" s="90">
        <v>43227</v>
      </c>
      <c r="T437" s="90"/>
      <c r="U437" s="61" t="s">
        <v>1331</v>
      </c>
      <c r="V437" s="264"/>
      <c r="W437" s="61"/>
      <c r="X437" s="3">
        <f t="shared" ref="X437:X498" si="38">IF(OR(Q437="Stock to Rack",Q437="From Stock"),-P437,IF(OR(Q437="Rack to Stock",Q437="To Stock"),P437))</f>
        <v>-4</v>
      </c>
      <c r="Y437" s="3">
        <f t="shared" ref="Y437:Y498" si="39">IF(Q437="Rack to Stock",-P437,IF(Q437="Stock to Rack",P437))</f>
        <v>4</v>
      </c>
    </row>
    <row r="438" spans="14:25">
      <c r="N438" s="59" t="s">
        <v>203</v>
      </c>
      <c r="O438" s="59" t="s">
        <v>1243</v>
      </c>
      <c r="P438" s="59">
        <v>4</v>
      </c>
      <c r="Q438" s="59" t="s">
        <v>1233</v>
      </c>
      <c r="R438" s="59" t="s">
        <v>203</v>
      </c>
      <c r="S438" s="90">
        <v>43227</v>
      </c>
      <c r="T438" s="90"/>
      <c r="U438" s="61" t="s">
        <v>1331</v>
      </c>
      <c r="V438" s="264"/>
      <c r="W438" s="61"/>
      <c r="X438" s="3">
        <f t="shared" si="38"/>
        <v>-4</v>
      </c>
      <c r="Y438" s="3">
        <f t="shared" si="39"/>
        <v>4</v>
      </c>
    </row>
    <row r="439" spans="14:25">
      <c r="N439" s="59" t="s">
        <v>0</v>
      </c>
      <c r="O439" s="59" t="s">
        <v>1235</v>
      </c>
      <c r="P439" s="59">
        <v>11</v>
      </c>
      <c r="Q439" s="59" t="s">
        <v>1282</v>
      </c>
      <c r="R439" s="59" t="s">
        <v>0</v>
      </c>
      <c r="S439" s="90">
        <v>43227</v>
      </c>
      <c r="T439" s="90"/>
      <c r="U439" s="61" t="s">
        <v>1263</v>
      </c>
      <c r="V439" s="264"/>
      <c r="W439" s="61" t="s">
        <v>3188</v>
      </c>
      <c r="X439" s="3">
        <f t="shared" si="38"/>
        <v>-11</v>
      </c>
      <c r="Y439" s="3" t="b">
        <f t="shared" si="39"/>
        <v>0</v>
      </c>
    </row>
    <row r="440" spans="14:25">
      <c r="N440" s="59" t="s">
        <v>0</v>
      </c>
      <c r="O440" s="59" t="s">
        <v>1338</v>
      </c>
      <c r="P440" s="59">
        <v>20</v>
      </c>
      <c r="Q440" s="59" t="s">
        <v>1229</v>
      </c>
      <c r="R440" s="59" t="s">
        <v>0</v>
      </c>
      <c r="S440" s="90">
        <v>43227</v>
      </c>
      <c r="T440" s="90">
        <v>43227</v>
      </c>
      <c r="U440" s="61" t="s">
        <v>1275</v>
      </c>
      <c r="V440" s="264" t="s">
        <v>3190</v>
      </c>
      <c r="W440" s="61"/>
      <c r="X440" s="3">
        <f t="shared" si="38"/>
        <v>20</v>
      </c>
      <c r="Y440" s="3" t="b">
        <f t="shared" si="39"/>
        <v>0</v>
      </c>
    </row>
    <row r="441" spans="14:25">
      <c r="N441" s="59" t="s">
        <v>0</v>
      </c>
      <c r="O441" s="59" t="s">
        <v>1338</v>
      </c>
      <c r="P441" s="59">
        <v>2</v>
      </c>
      <c r="Q441" s="59" t="s">
        <v>1229</v>
      </c>
      <c r="R441" s="59" t="s">
        <v>0</v>
      </c>
      <c r="S441" s="90">
        <v>43227</v>
      </c>
      <c r="T441" s="90">
        <v>43227</v>
      </c>
      <c r="U441" s="61" t="s">
        <v>1275</v>
      </c>
      <c r="V441" s="264"/>
      <c r="W441" s="61" t="s">
        <v>3191</v>
      </c>
      <c r="X441" s="3">
        <f t="shared" si="38"/>
        <v>2</v>
      </c>
      <c r="Y441" s="3" t="b">
        <f t="shared" si="39"/>
        <v>0</v>
      </c>
    </row>
    <row r="442" spans="14:25">
      <c r="N442" s="59" t="s">
        <v>203</v>
      </c>
      <c r="O442" s="59" t="s">
        <v>1235</v>
      </c>
      <c r="P442" s="59">
        <v>5</v>
      </c>
      <c r="Q442" s="59" t="s">
        <v>1233</v>
      </c>
      <c r="R442" s="59" t="s">
        <v>203</v>
      </c>
      <c r="S442" s="90">
        <v>43227</v>
      </c>
      <c r="T442" s="90"/>
      <c r="U442" s="61" t="s">
        <v>1331</v>
      </c>
      <c r="V442" s="264"/>
      <c r="W442" s="61"/>
      <c r="X442" s="3">
        <f t="shared" si="38"/>
        <v>-5</v>
      </c>
      <c r="Y442" s="3">
        <f t="shared" si="39"/>
        <v>5</v>
      </c>
    </row>
    <row r="443" spans="14:25">
      <c r="N443" s="59" t="s">
        <v>203</v>
      </c>
      <c r="O443" s="59" t="s">
        <v>1267</v>
      </c>
      <c r="P443" s="59">
        <v>1</v>
      </c>
      <c r="Q443" s="59" t="s">
        <v>1233</v>
      </c>
      <c r="R443" s="59" t="s">
        <v>203</v>
      </c>
      <c r="S443" s="90">
        <v>43227</v>
      </c>
      <c r="T443" s="90"/>
      <c r="U443" s="61" t="s">
        <v>1331</v>
      </c>
      <c r="V443" s="264"/>
      <c r="W443" s="61"/>
      <c r="X443" s="3">
        <f t="shared" si="38"/>
        <v>-1</v>
      </c>
      <c r="Y443" s="3">
        <f t="shared" si="39"/>
        <v>1</v>
      </c>
    </row>
    <row r="444" spans="14:25">
      <c r="N444" s="59" t="s">
        <v>336</v>
      </c>
      <c r="O444" s="59" t="s">
        <v>1234</v>
      </c>
      <c r="P444" s="59">
        <v>5</v>
      </c>
      <c r="Q444" s="59" t="s">
        <v>1282</v>
      </c>
      <c r="R444" s="59" t="s">
        <v>336</v>
      </c>
      <c r="S444" s="90">
        <v>43227</v>
      </c>
      <c r="T444" s="90">
        <v>43227</v>
      </c>
      <c r="U444" s="61" t="s">
        <v>1260</v>
      </c>
      <c r="V444" s="264" t="s">
        <v>3192</v>
      </c>
      <c r="W444" s="61"/>
      <c r="X444" s="3">
        <f t="shared" si="38"/>
        <v>-5</v>
      </c>
      <c r="Y444" s="3" t="b">
        <f t="shared" si="39"/>
        <v>0</v>
      </c>
    </row>
    <row r="445" spans="14:25">
      <c r="N445" s="59" t="s">
        <v>336</v>
      </c>
      <c r="O445" s="59" t="s">
        <v>1228</v>
      </c>
      <c r="P445" s="59">
        <v>19</v>
      </c>
      <c r="Q445" s="59" t="s">
        <v>1233</v>
      </c>
      <c r="R445" s="59" t="s">
        <v>336</v>
      </c>
      <c r="S445" s="90">
        <v>43220</v>
      </c>
      <c r="T445" s="90">
        <v>43220</v>
      </c>
      <c r="U445" s="61" t="s">
        <v>3193</v>
      </c>
      <c r="V445" s="264" t="s">
        <v>3194</v>
      </c>
      <c r="W445" s="61"/>
      <c r="X445" s="3">
        <f t="shared" si="38"/>
        <v>-19</v>
      </c>
      <c r="Y445" s="3">
        <f t="shared" si="39"/>
        <v>19</v>
      </c>
    </row>
    <row r="446" spans="14:25">
      <c r="N446" s="59" t="s">
        <v>336</v>
      </c>
      <c r="O446" s="59" t="s">
        <v>1234</v>
      </c>
      <c r="P446" s="59">
        <v>19</v>
      </c>
      <c r="Q446" s="59" t="s">
        <v>1233</v>
      </c>
      <c r="R446" s="59" t="s">
        <v>336</v>
      </c>
      <c r="S446" s="90">
        <v>43227</v>
      </c>
      <c r="T446" s="90">
        <v>43227</v>
      </c>
      <c r="U446" s="61" t="s">
        <v>3193</v>
      </c>
      <c r="V446" s="264" t="s">
        <v>3195</v>
      </c>
      <c r="W446" s="61"/>
      <c r="X446" s="3">
        <f t="shared" si="38"/>
        <v>-19</v>
      </c>
      <c r="Y446" s="3">
        <f t="shared" si="39"/>
        <v>19</v>
      </c>
    </row>
    <row r="447" spans="14:25">
      <c r="N447" s="59" t="s">
        <v>336</v>
      </c>
      <c r="O447" s="59" t="s">
        <v>1228</v>
      </c>
      <c r="P447" s="59">
        <v>2</v>
      </c>
      <c r="Q447" s="59" t="s">
        <v>1233</v>
      </c>
      <c r="R447" s="59" t="s">
        <v>336</v>
      </c>
      <c r="S447" s="90">
        <v>43227</v>
      </c>
      <c r="T447" s="90">
        <v>43227</v>
      </c>
      <c r="U447" s="61" t="s">
        <v>1260</v>
      </c>
      <c r="V447" s="264" t="s">
        <v>3196</v>
      </c>
      <c r="W447" s="61"/>
      <c r="X447" s="3">
        <f t="shared" si="38"/>
        <v>-2</v>
      </c>
      <c r="Y447" s="3">
        <f t="shared" si="39"/>
        <v>2</v>
      </c>
    </row>
    <row r="448" spans="14:25">
      <c r="N448" s="59" t="s">
        <v>336</v>
      </c>
      <c r="O448" s="59" t="s">
        <v>1234</v>
      </c>
      <c r="P448" s="59">
        <v>2</v>
      </c>
      <c r="Q448" s="59" t="s">
        <v>1233</v>
      </c>
      <c r="R448" s="59" t="s">
        <v>336</v>
      </c>
      <c r="S448" s="90">
        <v>43227</v>
      </c>
      <c r="T448" s="90">
        <v>43227</v>
      </c>
      <c r="U448" s="61" t="s">
        <v>1260</v>
      </c>
      <c r="V448" s="264" t="s">
        <v>3196</v>
      </c>
      <c r="W448" s="61"/>
      <c r="X448" s="3">
        <f t="shared" si="38"/>
        <v>-2</v>
      </c>
      <c r="Y448" s="3">
        <f t="shared" si="39"/>
        <v>2</v>
      </c>
    </row>
    <row r="449" spans="14:25">
      <c r="N449" s="59" t="s">
        <v>336</v>
      </c>
      <c r="O449" s="59" t="s">
        <v>1237</v>
      </c>
      <c r="P449" s="59">
        <v>4</v>
      </c>
      <c r="Q449" s="59" t="s">
        <v>1233</v>
      </c>
      <c r="R449" s="59" t="s">
        <v>336</v>
      </c>
      <c r="S449" s="90">
        <v>43227</v>
      </c>
      <c r="T449" s="90">
        <v>43227</v>
      </c>
      <c r="U449" s="61" t="s">
        <v>1260</v>
      </c>
      <c r="V449" s="264" t="s">
        <v>3196</v>
      </c>
      <c r="W449" s="61"/>
      <c r="X449" s="3">
        <f t="shared" si="38"/>
        <v>-4</v>
      </c>
      <c r="Y449" s="3">
        <f t="shared" si="39"/>
        <v>4</v>
      </c>
    </row>
    <row r="450" spans="14:25">
      <c r="N450" s="59" t="s">
        <v>336</v>
      </c>
      <c r="O450" s="59" t="s">
        <v>1267</v>
      </c>
      <c r="P450" s="59">
        <v>2</v>
      </c>
      <c r="Q450" s="59" t="s">
        <v>1233</v>
      </c>
      <c r="R450" s="59" t="s">
        <v>336</v>
      </c>
      <c r="S450" s="90">
        <v>43227</v>
      </c>
      <c r="T450" s="90">
        <v>43227</v>
      </c>
      <c r="U450" s="61" t="s">
        <v>1260</v>
      </c>
      <c r="V450" s="264" t="s">
        <v>3196</v>
      </c>
      <c r="W450" s="61"/>
      <c r="X450" s="3">
        <f t="shared" si="38"/>
        <v>-2</v>
      </c>
      <c r="Y450" s="3">
        <f t="shared" si="39"/>
        <v>2</v>
      </c>
    </row>
    <row r="451" spans="14:25">
      <c r="N451" s="59" t="s">
        <v>336</v>
      </c>
      <c r="O451" s="59" t="s">
        <v>1236</v>
      </c>
      <c r="P451" s="59">
        <v>2</v>
      </c>
      <c r="Q451" s="59" t="s">
        <v>1233</v>
      </c>
      <c r="R451" s="59" t="s">
        <v>336</v>
      </c>
      <c r="S451" s="90">
        <v>43227</v>
      </c>
      <c r="T451" s="90">
        <v>43227</v>
      </c>
      <c r="U451" s="61" t="s">
        <v>1260</v>
      </c>
      <c r="V451" s="264" t="s">
        <v>3197</v>
      </c>
      <c r="W451" s="61"/>
      <c r="X451" s="3">
        <f t="shared" si="38"/>
        <v>-2</v>
      </c>
      <c r="Y451" s="3">
        <f t="shared" si="39"/>
        <v>2</v>
      </c>
    </row>
    <row r="452" spans="14:25">
      <c r="N452" s="59" t="s">
        <v>336</v>
      </c>
      <c r="O452" s="59" t="s">
        <v>1238</v>
      </c>
      <c r="P452" s="59">
        <v>2</v>
      </c>
      <c r="Q452" s="59" t="s">
        <v>1233</v>
      </c>
      <c r="R452" s="59" t="s">
        <v>336</v>
      </c>
      <c r="S452" s="90">
        <v>43227</v>
      </c>
      <c r="T452" s="90">
        <v>43227</v>
      </c>
      <c r="U452" s="61" t="s">
        <v>1260</v>
      </c>
      <c r="V452" s="264" t="s">
        <v>3196</v>
      </c>
      <c r="W452" s="61"/>
      <c r="X452" s="3">
        <f t="shared" si="38"/>
        <v>-2</v>
      </c>
      <c r="Y452" s="3">
        <f t="shared" si="39"/>
        <v>2</v>
      </c>
    </row>
    <row r="453" spans="14:25">
      <c r="N453" s="59" t="s">
        <v>336</v>
      </c>
      <c r="O453" s="59" t="s">
        <v>1243</v>
      </c>
      <c r="P453" s="59">
        <v>2</v>
      </c>
      <c r="Q453" s="59" t="s">
        <v>1233</v>
      </c>
      <c r="R453" s="59" t="s">
        <v>336</v>
      </c>
      <c r="S453" s="90">
        <v>43227</v>
      </c>
      <c r="T453" s="90">
        <v>43227</v>
      </c>
      <c r="U453" s="61" t="s">
        <v>1260</v>
      </c>
      <c r="V453" s="264" t="s">
        <v>3198</v>
      </c>
      <c r="W453" s="61"/>
      <c r="X453" s="3">
        <f t="shared" si="38"/>
        <v>-2</v>
      </c>
      <c r="Y453" s="3">
        <f t="shared" si="39"/>
        <v>2</v>
      </c>
    </row>
    <row r="454" spans="14:25">
      <c r="N454" s="59" t="s">
        <v>336</v>
      </c>
      <c r="O454" s="59" t="s">
        <v>1237</v>
      </c>
      <c r="P454" s="59">
        <v>19</v>
      </c>
      <c r="Q454" s="59" t="s">
        <v>1233</v>
      </c>
      <c r="R454" s="59" t="s">
        <v>336</v>
      </c>
      <c r="S454" s="90">
        <v>43227</v>
      </c>
      <c r="T454" s="90">
        <v>43227</v>
      </c>
      <c r="U454" s="61" t="s">
        <v>3193</v>
      </c>
      <c r="V454" s="264" t="s">
        <v>3199</v>
      </c>
      <c r="W454" s="61"/>
      <c r="X454" s="3">
        <f t="shared" si="38"/>
        <v>-19</v>
      </c>
      <c r="Y454" s="3">
        <f t="shared" si="39"/>
        <v>19</v>
      </c>
    </row>
    <row r="455" spans="14:25">
      <c r="N455" s="59" t="s">
        <v>336</v>
      </c>
      <c r="O455" s="59" t="s">
        <v>1238</v>
      </c>
      <c r="P455" s="59">
        <v>19</v>
      </c>
      <c r="Q455" s="59" t="s">
        <v>1233</v>
      </c>
      <c r="R455" s="59" t="s">
        <v>336</v>
      </c>
      <c r="S455" s="90">
        <v>43227</v>
      </c>
      <c r="T455" s="90">
        <v>43227</v>
      </c>
      <c r="U455" s="61" t="s">
        <v>3193</v>
      </c>
      <c r="V455" s="264" t="s">
        <v>3200</v>
      </c>
      <c r="W455" s="61"/>
      <c r="X455" s="3">
        <f t="shared" si="38"/>
        <v>-19</v>
      </c>
      <c r="Y455" s="3">
        <f t="shared" si="39"/>
        <v>19</v>
      </c>
    </row>
    <row r="456" spans="14:25">
      <c r="N456" s="59" t="s">
        <v>336</v>
      </c>
      <c r="O456" s="59" t="s">
        <v>1268</v>
      </c>
      <c r="P456" s="59">
        <v>19</v>
      </c>
      <c r="Q456" s="59" t="s">
        <v>1233</v>
      </c>
      <c r="R456" s="59" t="s">
        <v>336</v>
      </c>
      <c r="S456" s="90">
        <v>43227</v>
      </c>
      <c r="T456" s="90">
        <v>43227</v>
      </c>
      <c r="U456" s="61" t="s">
        <v>3193</v>
      </c>
      <c r="V456" s="264" t="s">
        <v>3200</v>
      </c>
      <c r="W456" s="61"/>
      <c r="X456" s="3">
        <f t="shared" si="38"/>
        <v>-19</v>
      </c>
      <c r="Y456" s="3">
        <f t="shared" si="39"/>
        <v>19</v>
      </c>
    </row>
    <row r="457" spans="14:25">
      <c r="N457" s="59" t="s">
        <v>364</v>
      </c>
      <c r="O457" s="59" t="s">
        <v>1238</v>
      </c>
      <c r="P457" s="59">
        <v>300</v>
      </c>
      <c r="Q457" s="59" t="s">
        <v>1229</v>
      </c>
      <c r="R457" s="59" t="s">
        <v>364</v>
      </c>
      <c r="S457" s="90">
        <v>43234</v>
      </c>
      <c r="T457" s="90">
        <v>43231</v>
      </c>
      <c r="U457" s="61" t="s">
        <v>2986</v>
      </c>
      <c r="V457" s="264" t="s">
        <v>3202</v>
      </c>
      <c r="W457" s="61"/>
      <c r="X457" s="3">
        <f t="shared" si="38"/>
        <v>300</v>
      </c>
      <c r="Y457" s="3" t="b">
        <f t="shared" si="39"/>
        <v>0</v>
      </c>
    </row>
    <row r="458" spans="14:25">
      <c r="N458" s="59" t="s">
        <v>364</v>
      </c>
      <c r="O458" s="59" t="s">
        <v>1235</v>
      </c>
      <c r="P458" s="59">
        <v>2</v>
      </c>
      <c r="Q458" s="59" t="s">
        <v>1233</v>
      </c>
      <c r="R458" s="59" t="s">
        <v>364</v>
      </c>
      <c r="S458" s="90">
        <v>43235</v>
      </c>
      <c r="T458" s="90">
        <v>43235</v>
      </c>
      <c r="U458" s="61" t="s">
        <v>2986</v>
      </c>
      <c r="V458" s="264" t="s">
        <v>3203</v>
      </c>
      <c r="W458" s="61"/>
      <c r="X458" s="3">
        <f t="shared" si="38"/>
        <v>-2</v>
      </c>
      <c r="Y458" s="3">
        <f t="shared" si="39"/>
        <v>2</v>
      </c>
    </row>
    <row r="459" spans="14:25">
      <c r="N459" s="59" t="s">
        <v>203</v>
      </c>
      <c r="O459" s="59" t="s">
        <v>1235</v>
      </c>
      <c r="P459" s="59">
        <v>162</v>
      </c>
      <c r="Q459" s="59" t="s">
        <v>1233</v>
      </c>
      <c r="R459" s="59" t="s">
        <v>203</v>
      </c>
      <c r="S459" s="90">
        <v>43241</v>
      </c>
      <c r="T459" s="90"/>
      <c r="U459" s="61" t="s">
        <v>1331</v>
      </c>
      <c r="V459" s="264"/>
      <c r="W459" s="61"/>
      <c r="X459" s="3">
        <f t="shared" si="38"/>
        <v>-162</v>
      </c>
      <c r="Y459" s="3">
        <f t="shared" si="39"/>
        <v>162</v>
      </c>
    </row>
    <row r="460" spans="14:25">
      <c r="N460" s="59" t="s">
        <v>203</v>
      </c>
      <c r="O460" s="59" t="s">
        <v>1267</v>
      </c>
      <c r="P460" s="59">
        <v>6</v>
      </c>
      <c r="Q460" s="59" t="s">
        <v>1233</v>
      </c>
      <c r="R460" s="59" t="s">
        <v>203</v>
      </c>
      <c r="S460" s="90">
        <v>43241</v>
      </c>
      <c r="T460" s="90"/>
      <c r="U460" s="61" t="s">
        <v>1331</v>
      </c>
      <c r="V460" s="264"/>
      <c r="W460" s="61"/>
      <c r="X460" s="3">
        <f t="shared" si="38"/>
        <v>-6</v>
      </c>
      <c r="Y460" s="3">
        <f t="shared" si="39"/>
        <v>6</v>
      </c>
    </row>
    <row r="461" spans="14:25">
      <c r="N461" s="59" t="s">
        <v>203</v>
      </c>
      <c r="O461" s="59" t="s">
        <v>1234</v>
      </c>
      <c r="P461" s="59">
        <v>2</v>
      </c>
      <c r="Q461" s="59" t="s">
        <v>1233</v>
      </c>
      <c r="R461" s="59" t="s">
        <v>203</v>
      </c>
      <c r="S461" s="90">
        <v>43241</v>
      </c>
      <c r="T461" s="90"/>
      <c r="U461" s="61" t="s">
        <v>1331</v>
      </c>
      <c r="V461" s="264"/>
      <c r="W461" s="61"/>
      <c r="X461" s="3">
        <f t="shared" si="38"/>
        <v>-2</v>
      </c>
      <c r="Y461" s="3">
        <f t="shared" si="39"/>
        <v>2</v>
      </c>
    </row>
    <row r="462" spans="14:25">
      <c r="N462" s="59" t="s">
        <v>203</v>
      </c>
      <c r="O462" s="59" t="s">
        <v>1237</v>
      </c>
      <c r="P462" s="59">
        <v>4</v>
      </c>
      <c r="Q462" s="59" t="s">
        <v>1233</v>
      </c>
      <c r="R462" s="59" t="s">
        <v>203</v>
      </c>
      <c r="S462" s="90">
        <v>43241</v>
      </c>
      <c r="T462" s="90"/>
      <c r="U462" s="61" t="s">
        <v>1331</v>
      </c>
      <c r="V462" s="264"/>
      <c r="W462" s="61"/>
      <c r="X462" s="3">
        <f t="shared" si="38"/>
        <v>-4</v>
      </c>
      <c r="Y462" s="3">
        <f t="shared" si="39"/>
        <v>4</v>
      </c>
    </row>
    <row r="463" spans="14:25">
      <c r="N463" s="59" t="s">
        <v>203</v>
      </c>
      <c r="O463" s="59" t="s">
        <v>1238</v>
      </c>
      <c r="P463" s="59">
        <v>3</v>
      </c>
      <c r="Q463" s="59" t="s">
        <v>1233</v>
      </c>
      <c r="R463" s="59" t="s">
        <v>203</v>
      </c>
      <c r="S463" s="90">
        <v>43241</v>
      </c>
      <c r="T463" s="90"/>
      <c r="U463" s="61" t="s">
        <v>1331</v>
      </c>
      <c r="V463" s="264"/>
      <c r="W463" s="61"/>
      <c r="X463" s="3">
        <f t="shared" si="38"/>
        <v>-3</v>
      </c>
      <c r="Y463" s="3">
        <f t="shared" si="39"/>
        <v>3</v>
      </c>
    </row>
    <row r="464" spans="14:25">
      <c r="N464" s="59" t="s">
        <v>203</v>
      </c>
      <c r="O464" s="59" t="s">
        <v>1243</v>
      </c>
      <c r="P464" s="59">
        <v>3</v>
      </c>
      <c r="Q464" s="59" t="s">
        <v>1233</v>
      </c>
      <c r="R464" s="59" t="s">
        <v>203</v>
      </c>
      <c r="S464" s="90">
        <v>43241</v>
      </c>
      <c r="T464" s="90"/>
      <c r="U464" s="61" t="s">
        <v>1331</v>
      </c>
      <c r="V464" s="264"/>
      <c r="W464" s="61"/>
      <c r="X464" s="3">
        <f t="shared" si="38"/>
        <v>-3</v>
      </c>
      <c r="Y464" s="3">
        <f t="shared" si="39"/>
        <v>3</v>
      </c>
    </row>
    <row r="465" spans="14:25">
      <c r="N465" s="59" t="s">
        <v>0</v>
      </c>
      <c r="O465" s="59" t="s">
        <v>1237</v>
      </c>
      <c r="P465" s="59">
        <v>12</v>
      </c>
      <c r="Q465" s="59" t="s">
        <v>1233</v>
      </c>
      <c r="R465" s="59" t="s">
        <v>0</v>
      </c>
      <c r="S465" s="90">
        <v>43241</v>
      </c>
      <c r="T465" s="90">
        <v>43241</v>
      </c>
      <c r="U465" s="61" t="s">
        <v>1275</v>
      </c>
      <c r="V465" s="264" t="s">
        <v>3637</v>
      </c>
      <c r="W465" s="61"/>
      <c r="X465" s="3">
        <f t="shared" si="38"/>
        <v>-12</v>
      </c>
      <c r="Y465" s="3">
        <f t="shared" si="39"/>
        <v>12</v>
      </c>
    </row>
    <row r="466" spans="14:25">
      <c r="N466" s="59" t="s">
        <v>0</v>
      </c>
      <c r="O466" s="59" t="s">
        <v>1238</v>
      </c>
      <c r="P466" s="59">
        <v>150</v>
      </c>
      <c r="Q466" s="59" t="s">
        <v>1229</v>
      </c>
      <c r="R466" s="59" t="s">
        <v>0</v>
      </c>
      <c r="S466" s="90">
        <v>43241</v>
      </c>
      <c r="T466" s="90">
        <v>43241</v>
      </c>
      <c r="U466" s="61" t="s">
        <v>1275</v>
      </c>
      <c r="V466" s="264" t="s">
        <v>3636</v>
      </c>
      <c r="W466" s="61"/>
      <c r="X466" s="3">
        <f t="shared" si="38"/>
        <v>150</v>
      </c>
      <c r="Y466" s="3" t="b">
        <f t="shared" si="39"/>
        <v>0</v>
      </c>
    </row>
    <row r="467" spans="14:25">
      <c r="N467" s="59" t="s">
        <v>0</v>
      </c>
      <c r="O467" s="59" t="s">
        <v>1237</v>
      </c>
      <c r="P467" s="59">
        <v>24</v>
      </c>
      <c r="Q467" s="59" t="s">
        <v>1233</v>
      </c>
      <c r="R467" s="59" t="s">
        <v>0</v>
      </c>
      <c r="S467" s="90">
        <v>43249</v>
      </c>
      <c r="T467" s="90">
        <v>43249</v>
      </c>
      <c r="U467" s="61" t="s">
        <v>1275</v>
      </c>
      <c r="V467" s="264" t="s">
        <v>3649</v>
      </c>
      <c r="W467" s="61"/>
      <c r="X467" s="3">
        <f t="shared" si="38"/>
        <v>-24</v>
      </c>
      <c r="Y467" s="3">
        <f t="shared" si="39"/>
        <v>24</v>
      </c>
    </row>
    <row r="468" spans="14:25">
      <c r="N468" s="59" t="s">
        <v>0</v>
      </c>
      <c r="O468" s="59" t="s">
        <v>1237</v>
      </c>
      <c r="P468" s="59">
        <v>42</v>
      </c>
      <c r="Q468" s="59" t="s">
        <v>1233</v>
      </c>
      <c r="R468" s="59" t="s">
        <v>0</v>
      </c>
      <c r="S468" s="90">
        <v>43249</v>
      </c>
      <c r="T468" s="90">
        <v>43249</v>
      </c>
      <c r="U468" s="61" t="s">
        <v>1275</v>
      </c>
      <c r="V468" s="264" t="s">
        <v>3649</v>
      </c>
      <c r="W468" s="61"/>
      <c r="X468" s="3">
        <f t="shared" si="38"/>
        <v>-42</v>
      </c>
      <c r="Y468" s="3">
        <f t="shared" si="39"/>
        <v>42</v>
      </c>
    </row>
    <row r="469" spans="14:25">
      <c r="N469" s="59" t="s">
        <v>0</v>
      </c>
      <c r="O469" s="59" t="s">
        <v>1237</v>
      </c>
      <c r="P469" s="59">
        <v>20</v>
      </c>
      <c r="Q469" s="59" t="s">
        <v>1233</v>
      </c>
      <c r="R469" s="59" t="s">
        <v>0</v>
      </c>
      <c r="S469" s="90">
        <v>43249</v>
      </c>
      <c r="T469" s="90">
        <v>43249</v>
      </c>
      <c r="U469" s="61" t="s">
        <v>1275</v>
      </c>
      <c r="V469" s="264" t="s">
        <v>3648</v>
      </c>
      <c r="W469" s="61"/>
      <c r="X469" s="3">
        <f t="shared" si="38"/>
        <v>-20</v>
      </c>
      <c r="Y469" s="3">
        <f t="shared" si="39"/>
        <v>20</v>
      </c>
    </row>
    <row r="470" spans="14:25">
      <c r="N470" s="59" t="s">
        <v>0</v>
      </c>
      <c r="O470" s="59" t="s">
        <v>1237</v>
      </c>
      <c r="P470" s="59">
        <v>6</v>
      </c>
      <c r="Q470" s="59" t="s">
        <v>1233</v>
      </c>
      <c r="R470" s="59" t="s">
        <v>0</v>
      </c>
      <c r="S470" s="90">
        <v>43249</v>
      </c>
      <c r="T470" s="90">
        <v>43249</v>
      </c>
      <c r="U470" s="61" t="s">
        <v>1275</v>
      </c>
      <c r="V470" s="264" t="s">
        <v>3637</v>
      </c>
      <c r="W470" s="61"/>
      <c r="X470" s="3">
        <f t="shared" si="38"/>
        <v>-6</v>
      </c>
      <c r="Y470" s="3">
        <f t="shared" si="39"/>
        <v>6</v>
      </c>
    </row>
    <row r="471" spans="14:25">
      <c r="N471" s="59" t="s">
        <v>203</v>
      </c>
      <c r="O471" s="59" t="s">
        <v>1237</v>
      </c>
      <c r="P471" s="59">
        <v>112</v>
      </c>
      <c r="Q471" s="59" t="s">
        <v>1233</v>
      </c>
      <c r="R471" s="59" t="s">
        <v>203</v>
      </c>
      <c r="S471" s="90">
        <v>43250</v>
      </c>
      <c r="T471" s="90"/>
      <c r="U471" s="61" t="s">
        <v>1331</v>
      </c>
      <c r="V471" s="264"/>
      <c r="W471" s="61"/>
      <c r="X471" s="3">
        <f t="shared" si="38"/>
        <v>-112</v>
      </c>
      <c r="Y471" s="3">
        <f t="shared" si="39"/>
        <v>112</v>
      </c>
    </row>
    <row r="472" spans="14:25">
      <c r="N472" s="59" t="s">
        <v>203</v>
      </c>
      <c r="O472" s="59" t="s">
        <v>1235</v>
      </c>
      <c r="P472" s="59">
        <v>4</v>
      </c>
      <c r="Q472" s="59" t="s">
        <v>1233</v>
      </c>
      <c r="R472" s="59" t="s">
        <v>203</v>
      </c>
      <c r="S472" s="90">
        <v>43250</v>
      </c>
      <c r="T472" s="90"/>
      <c r="U472" s="61" t="s">
        <v>1331</v>
      </c>
      <c r="V472" s="264"/>
      <c r="W472" s="61"/>
      <c r="X472" s="3">
        <f t="shared" si="38"/>
        <v>-4</v>
      </c>
      <c r="Y472" s="3">
        <f t="shared" si="39"/>
        <v>4</v>
      </c>
    </row>
    <row r="473" spans="14:25">
      <c r="N473" s="59" t="s">
        <v>203</v>
      </c>
      <c r="O473" s="59" t="s">
        <v>1267</v>
      </c>
      <c r="P473" s="59">
        <v>6</v>
      </c>
      <c r="Q473" s="59" t="s">
        <v>1233</v>
      </c>
      <c r="R473" s="59" t="s">
        <v>203</v>
      </c>
      <c r="S473" s="90">
        <v>43250</v>
      </c>
      <c r="T473" s="90"/>
      <c r="U473" s="61" t="s">
        <v>1331</v>
      </c>
      <c r="V473" s="264"/>
      <c r="W473" s="61"/>
      <c r="X473" s="3">
        <f t="shared" si="38"/>
        <v>-6</v>
      </c>
      <c r="Y473" s="3">
        <f t="shared" si="39"/>
        <v>6</v>
      </c>
    </row>
    <row r="474" spans="14:25">
      <c r="N474" s="59" t="s">
        <v>203</v>
      </c>
      <c r="O474" s="59" t="s">
        <v>1238</v>
      </c>
      <c r="P474" s="59">
        <v>2</v>
      </c>
      <c r="Q474" s="59" t="s">
        <v>1233</v>
      </c>
      <c r="R474" s="59" t="s">
        <v>203</v>
      </c>
      <c r="S474" s="90">
        <v>43250</v>
      </c>
      <c r="T474" s="90"/>
      <c r="U474" s="61" t="s">
        <v>1331</v>
      </c>
      <c r="V474" s="264"/>
      <c r="W474" s="61"/>
      <c r="X474" s="3">
        <f t="shared" si="38"/>
        <v>-2</v>
      </c>
      <c r="Y474" s="3">
        <f t="shared" si="39"/>
        <v>2</v>
      </c>
    </row>
    <row r="475" spans="14:25">
      <c r="N475" s="59" t="s">
        <v>0</v>
      </c>
      <c r="O475" s="59" t="s">
        <v>1234</v>
      </c>
      <c r="P475" s="59">
        <v>1</v>
      </c>
      <c r="Q475" s="59" t="s">
        <v>1233</v>
      </c>
      <c r="R475" s="59" t="s">
        <v>0</v>
      </c>
      <c r="S475" s="90">
        <v>43252</v>
      </c>
      <c r="T475" s="90">
        <v>43252</v>
      </c>
      <c r="U475" s="61" t="s">
        <v>1275</v>
      </c>
      <c r="V475" s="264"/>
      <c r="W475" s="61"/>
      <c r="X475" s="3">
        <f t="shared" si="38"/>
        <v>-1</v>
      </c>
      <c r="Y475" s="3">
        <f t="shared" si="39"/>
        <v>1</v>
      </c>
    </row>
    <row r="476" spans="14:25">
      <c r="N476" s="59" t="s">
        <v>0</v>
      </c>
      <c r="O476" s="59" t="s">
        <v>1234</v>
      </c>
      <c r="P476" s="59">
        <v>5</v>
      </c>
      <c r="Q476" s="59" t="s">
        <v>1282</v>
      </c>
      <c r="R476" s="59" t="s">
        <v>0</v>
      </c>
      <c r="S476" s="90">
        <v>43252</v>
      </c>
      <c r="T476" s="90">
        <v>43252</v>
      </c>
      <c r="U476" s="61" t="s">
        <v>1275</v>
      </c>
      <c r="V476" s="264"/>
      <c r="W476" s="61"/>
      <c r="X476" s="3">
        <f t="shared" si="38"/>
        <v>-5</v>
      </c>
      <c r="Y476" s="3" t="b">
        <f t="shared" si="39"/>
        <v>0</v>
      </c>
    </row>
    <row r="477" spans="14:25">
      <c r="N477" s="59" t="s">
        <v>0</v>
      </c>
      <c r="O477" s="59" t="s">
        <v>1236</v>
      </c>
      <c r="P477" s="59">
        <v>2</v>
      </c>
      <c r="Q477" s="59" t="s">
        <v>1233</v>
      </c>
      <c r="R477" s="59" t="s">
        <v>0</v>
      </c>
      <c r="S477" s="90">
        <v>43252</v>
      </c>
      <c r="T477" s="90">
        <v>43252</v>
      </c>
      <c r="U477" s="61" t="s">
        <v>1275</v>
      </c>
      <c r="V477" s="264" t="s">
        <v>3673</v>
      </c>
      <c r="W477" s="61"/>
      <c r="X477" s="3">
        <f t="shared" si="38"/>
        <v>-2</v>
      </c>
      <c r="Y477" s="3">
        <f t="shared" si="39"/>
        <v>2</v>
      </c>
    </row>
    <row r="478" spans="14:25">
      <c r="N478" s="59" t="s">
        <v>0</v>
      </c>
      <c r="O478" s="59" t="s">
        <v>1267</v>
      </c>
      <c r="P478" s="59">
        <v>2</v>
      </c>
      <c r="Q478" s="59" t="s">
        <v>1233</v>
      </c>
      <c r="R478" s="59" t="s">
        <v>0</v>
      </c>
      <c r="S478" s="90">
        <v>43252</v>
      </c>
      <c r="T478" s="90">
        <v>43252</v>
      </c>
      <c r="U478" s="61" t="s">
        <v>1275</v>
      </c>
      <c r="V478" s="264" t="s">
        <v>3673</v>
      </c>
      <c r="W478" s="61"/>
      <c r="X478" s="3">
        <f t="shared" si="38"/>
        <v>-2</v>
      </c>
      <c r="Y478" s="3">
        <f t="shared" si="39"/>
        <v>2</v>
      </c>
    </row>
    <row r="479" spans="14:25">
      <c r="N479" s="59" t="s">
        <v>203</v>
      </c>
      <c r="O479" s="59" t="s">
        <v>1237</v>
      </c>
      <c r="P479" s="59">
        <v>200</v>
      </c>
      <c r="Q479" s="59" t="s">
        <v>1229</v>
      </c>
      <c r="R479" s="59" t="s">
        <v>203</v>
      </c>
      <c r="S479" s="90">
        <v>43257</v>
      </c>
      <c r="T479" s="90"/>
      <c r="U479" s="61" t="s">
        <v>1331</v>
      </c>
      <c r="V479" s="264"/>
      <c r="W479" s="61"/>
      <c r="X479" s="3">
        <f t="shared" si="38"/>
        <v>200</v>
      </c>
      <c r="Y479" s="3" t="b">
        <f t="shared" si="39"/>
        <v>0</v>
      </c>
    </row>
    <row r="480" spans="14:25">
      <c r="N480" s="59" t="s">
        <v>203</v>
      </c>
      <c r="O480" s="59" t="s">
        <v>1237</v>
      </c>
      <c r="P480" s="59">
        <v>68</v>
      </c>
      <c r="Q480" s="59" t="s">
        <v>1233</v>
      </c>
      <c r="R480" s="59" t="s">
        <v>203</v>
      </c>
      <c r="S480" s="90">
        <v>43257</v>
      </c>
      <c r="T480" s="90"/>
      <c r="U480" s="61" t="s">
        <v>1331</v>
      </c>
      <c r="V480" s="264"/>
      <c r="W480" s="61"/>
      <c r="X480" s="3">
        <f t="shared" si="38"/>
        <v>-68</v>
      </c>
      <c r="Y480" s="3">
        <f t="shared" si="39"/>
        <v>68</v>
      </c>
    </row>
    <row r="481" spans="13:25">
      <c r="N481" s="59" t="s">
        <v>203</v>
      </c>
      <c r="O481" s="59" t="s">
        <v>1234</v>
      </c>
      <c r="P481" s="59">
        <v>3</v>
      </c>
      <c r="Q481" s="59" t="s">
        <v>1233</v>
      </c>
      <c r="R481" s="59" t="s">
        <v>203</v>
      </c>
      <c r="S481" s="90">
        <v>43257</v>
      </c>
      <c r="T481" s="90"/>
      <c r="U481" s="61" t="s">
        <v>1331</v>
      </c>
      <c r="V481" s="264"/>
      <c r="W481" s="61"/>
      <c r="X481" s="3">
        <f t="shared" si="38"/>
        <v>-3</v>
      </c>
      <c r="Y481" s="3">
        <f t="shared" si="39"/>
        <v>3</v>
      </c>
    </row>
    <row r="482" spans="13:25">
      <c r="N482" s="59" t="s">
        <v>203</v>
      </c>
      <c r="O482" s="59" t="s">
        <v>1235</v>
      </c>
      <c r="P482" s="59">
        <v>7</v>
      </c>
      <c r="Q482" s="59" t="s">
        <v>1233</v>
      </c>
      <c r="R482" s="59" t="s">
        <v>203</v>
      </c>
      <c r="S482" s="90">
        <v>43257</v>
      </c>
      <c r="T482" s="90"/>
      <c r="U482" s="61" t="s">
        <v>1331</v>
      </c>
      <c r="V482" s="264"/>
      <c r="W482" s="61"/>
      <c r="X482" s="3">
        <f t="shared" si="38"/>
        <v>-7</v>
      </c>
      <c r="Y482" s="3">
        <f t="shared" si="39"/>
        <v>7</v>
      </c>
    </row>
    <row r="483" spans="13:25">
      <c r="N483" s="59" t="s">
        <v>203</v>
      </c>
      <c r="O483" s="59" t="s">
        <v>1236</v>
      </c>
      <c r="P483" s="59">
        <v>3</v>
      </c>
      <c r="Q483" s="59" t="s">
        <v>1233</v>
      </c>
      <c r="R483" s="59" t="s">
        <v>203</v>
      </c>
      <c r="S483" s="90">
        <v>43257</v>
      </c>
      <c r="T483" s="90"/>
      <c r="U483" s="61" t="s">
        <v>1331</v>
      </c>
      <c r="V483" s="264"/>
      <c r="W483" s="61"/>
      <c r="X483" s="3">
        <f t="shared" si="38"/>
        <v>-3</v>
      </c>
      <c r="Y483" s="3">
        <f t="shared" si="39"/>
        <v>3</v>
      </c>
    </row>
    <row r="484" spans="13:25">
      <c r="N484" s="59" t="s">
        <v>203</v>
      </c>
      <c r="O484" s="59" t="s">
        <v>1267</v>
      </c>
      <c r="P484" s="59">
        <v>4</v>
      </c>
      <c r="Q484" s="59" t="s">
        <v>1233</v>
      </c>
      <c r="R484" s="59" t="s">
        <v>203</v>
      </c>
      <c r="S484" s="90">
        <v>43257</v>
      </c>
      <c r="T484" s="90"/>
      <c r="U484" s="61" t="s">
        <v>1331</v>
      </c>
      <c r="V484" s="264"/>
      <c r="W484" s="61"/>
      <c r="X484" s="3">
        <f t="shared" si="38"/>
        <v>-4</v>
      </c>
      <c r="Y484" s="3">
        <f t="shared" si="39"/>
        <v>4</v>
      </c>
    </row>
    <row r="485" spans="13:25">
      <c r="N485" s="59" t="s">
        <v>203</v>
      </c>
      <c r="O485" s="59" t="s">
        <v>1243</v>
      </c>
      <c r="P485" s="59">
        <v>3</v>
      </c>
      <c r="Q485" s="59" t="s">
        <v>1233</v>
      </c>
      <c r="R485" s="59" t="s">
        <v>203</v>
      </c>
      <c r="S485" s="90">
        <v>43257</v>
      </c>
      <c r="T485" s="90"/>
      <c r="U485" s="61" t="s">
        <v>1331</v>
      </c>
      <c r="V485" s="264"/>
      <c r="W485" s="61"/>
      <c r="X485" s="3">
        <f t="shared" si="38"/>
        <v>-3</v>
      </c>
      <c r="Y485" s="3">
        <f t="shared" si="39"/>
        <v>3</v>
      </c>
    </row>
    <row r="486" spans="13:25">
      <c r="N486" s="59" t="s">
        <v>203</v>
      </c>
      <c r="O486" s="59" t="s">
        <v>1238</v>
      </c>
      <c r="P486" s="59">
        <v>4</v>
      </c>
      <c r="Q486" s="59" t="s">
        <v>1233</v>
      </c>
      <c r="R486" s="59" t="s">
        <v>203</v>
      </c>
      <c r="S486" s="90">
        <v>43257</v>
      </c>
      <c r="T486" s="90"/>
      <c r="U486" s="61" t="s">
        <v>1331</v>
      </c>
      <c r="V486" s="264"/>
      <c r="W486" s="61"/>
      <c r="X486" s="3">
        <f t="shared" si="38"/>
        <v>-4</v>
      </c>
      <c r="Y486" s="3">
        <f t="shared" si="39"/>
        <v>4</v>
      </c>
    </row>
    <row r="487" spans="13:25">
      <c r="M487" s="3"/>
      <c r="N487" s="59" t="s">
        <v>0</v>
      </c>
      <c r="O487" s="59" t="s">
        <v>1338</v>
      </c>
      <c r="P487" s="59">
        <v>2</v>
      </c>
      <c r="Q487" s="59" t="s">
        <v>1233</v>
      </c>
      <c r="R487" s="59" t="s">
        <v>0</v>
      </c>
      <c r="S487" s="90">
        <v>43262</v>
      </c>
      <c r="T487" s="90">
        <v>43262</v>
      </c>
      <c r="U487" s="61" t="s">
        <v>1275</v>
      </c>
      <c r="V487" s="264" t="s">
        <v>3690</v>
      </c>
      <c r="W487" s="61"/>
      <c r="X487" s="3">
        <f t="shared" si="38"/>
        <v>-2</v>
      </c>
      <c r="Y487" s="3">
        <f t="shared" si="39"/>
        <v>2</v>
      </c>
    </row>
    <row r="488" spans="13:25">
      <c r="N488" s="59" t="s">
        <v>0</v>
      </c>
      <c r="O488" s="59" t="s">
        <v>1236</v>
      </c>
      <c r="P488" s="59">
        <v>30</v>
      </c>
      <c r="Q488" s="59" t="s">
        <v>1229</v>
      </c>
      <c r="R488" s="59" t="s">
        <v>1245</v>
      </c>
      <c r="S488" s="90">
        <v>43262</v>
      </c>
      <c r="T488" s="90"/>
      <c r="U488" s="61" t="s">
        <v>2986</v>
      </c>
      <c r="V488" s="260" t="s">
        <v>3691</v>
      </c>
      <c r="W488" s="61" t="s">
        <v>3692</v>
      </c>
      <c r="X488" s="3">
        <f t="shared" si="38"/>
        <v>30</v>
      </c>
      <c r="Y488" s="3" t="b">
        <f t="shared" si="39"/>
        <v>0</v>
      </c>
    </row>
    <row r="489" spans="13:25">
      <c r="N489" s="59" t="s">
        <v>203</v>
      </c>
      <c r="O489" s="59" t="s">
        <v>1236</v>
      </c>
      <c r="P489" s="59">
        <v>50</v>
      </c>
      <c r="Q489" s="59" t="s">
        <v>1229</v>
      </c>
      <c r="R489" s="59" t="s">
        <v>1245</v>
      </c>
      <c r="S489" s="90">
        <v>43262</v>
      </c>
      <c r="T489" s="90"/>
      <c r="U489" s="61" t="s">
        <v>2986</v>
      </c>
      <c r="V489" s="264" t="s">
        <v>3691</v>
      </c>
      <c r="W489" s="61" t="s">
        <v>3693</v>
      </c>
      <c r="X489" s="3">
        <f t="shared" si="38"/>
        <v>50</v>
      </c>
      <c r="Y489" s="3" t="b">
        <f t="shared" si="39"/>
        <v>0</v>
      </c>
    </row>
    <row r="490" spans="13:25">
      <c r="N490" s="59" t="s">
        <v>336</v>
      </c>
      <c r="O490" s="59" t="s">
        <v>1236</v>
      </c>
      <c r="P490" s="59">
        <v>20</v>
      </c>
      <c r="Q490" s="59" t="s">
        <v>1229</v>
      </c>
      <c r="R490" s="59" t="s">
        <v>1245</v>
      </c>
      <c r="S490" s="90">
        <v>43262</v>
      </c>
      <c r="T490" s="90"/>
      <c r="U490" s="61" t="s">
        <v>2986</v>
      </c>
      <c r="V490" s="264" t="s">
        <v>3691</v>
      </c>
      <c r="W490" s="61" t="s">
        <v>3694</v>
      </c>
      <c r="X490" s="3">
        <f t="shared" si="38"/>
        <v>20</v>
      </c>
      <c r="Y490" s="3" t="b">
        <f t="shared" si="39"/>
        <v>0</v>
      </c>
    </row>
    <row r="491" spans="13:25">
      <c r="N491" s="59" t="s">
        <v>1244</v>
      </c>
      <c r="O491" s="59" t="s">
        <v>1236</v>
      </c>
      <c r="P491" s="59">
        <v>20</v>
      </c>
      <c r="Q491" s="59" t="s">
        <v>1229</v>
      </c>
      <c r="R491" s="59" t="s">
        <v>1245</v>
      </c>
      <c r="S491" s="90">
        <v>43262</v>
      </c>
      <c r="T491" s="90"/>
      <c r="U491" s="61" t="s">
        <v>2986</v>
      </c>
      <c r="V491" s="264" t="s">
        <v>3691</v>
      </c>
      <c r="W491" s="61" t="s">
        <v>3695</v>
      </c>
      <c r="X491" s="3">
        <f t="shared" si="38"/>
        <v>20</v>
      </c>
      <c r="Y491" s="3" t="b">
        <f t="shared" si="39"/>
        <v>0</v>
      </c>
    </row>
    <row r="492" spans="13:25">
      <c r="N492" s="59" t="s">
        <v>0</v>
      </c>
      <c r="O492" s="59" t="s">
        <v>1234</v>
      </c>
      <c r="P492" s="59">
        <v>2</v>
      </c>
      <c r="Q492" s="59" t="s">
        <v>1233</v>
      </c>
      <c r="R492" s="60" t="s">
        <v>0</v>
      </c>
      <c r="S492" s="60">
        <v>43263</v>
      </c>
      <c r="T492" s="60">
        <v>43263</v>
      </c>
      <c r="U492" s="59" t="s">
        <v>1275</v>
      </c>
      <c r="V492" s="264" t="s">
        <v>3690</v>
      </c>
      <c r="W492" s="34"/>
      <c r="X492" s="3">
        <f t="shared" si="38"/>
        <v>-2</v>
      </c>
      <c r="Y492" s="3">
        <f t="shared" si="39"/>
        <v>2</v>
      </c>
    </row>
    <row r="493" spans="13:25">
      <c r="N493" s="59" t="s">
        <v>0</v>
      </c>
      <c r="O493" s="59" t="s">
        <v>1236</v>
      </c>
      <c r="P493" s="59">
        <v>2</v>
      </c>
      <c r="Q493" s="59" t="s">
        <v>1233</v>
      </c>
      <c r="R493" s="60" t="s">
        <v>0</v>
      </c>
      <c r="S493" s="60">
        <v>43263</v>
      </c>
      <c r="T493" s="60">
        <v>43263</v>
      </c>
      <c r="U493" s="59" t="s">
        <v>1275</v>
      </c>
      <c r="V493" s="264" t="s">
        <v>3690</v>
      </c>
      <c r="W493" s="34"/>
      <c r="X493" s="3">
        <f t="shared" si="38"/>
        <v>-2</v>
      </c>
      <c r="Y493" s="3">
        <f t="shared" si="39"/>
        <v>2</v>
      </c>
    </row>
    <row r="494" spans="13:25">
      <c r="N494" s="34" t="s">
        <v>0</v>
      </c>
      <c r="O494" s="34" t="s">
        <v>1237</v>
      </c>
      <c r="P494" s="34">
        <v>2</v>
      </c>
      <c r="Q494" s="34" t="s">
        <v>1233</v>
      </c>
      <c r="R494" s="34" t="s">
        <v>0</v>
      </c>
      <c r="S494" s="38">
        <v>43270</v>
      </c>
      <c r="T494" s="38">
        <v>43270</v>
      </c>
      <c r="U494" s="34" t="s">
        <v>1275</v>
      </c>
      <c r="V494" s="255" t="s">
        <v>3718</v>
      </c>
      <c r="W494" s="34"/>
      <c r="X494" s="3">
        <f t="shared" si="38"/>
        <v>-2</v>
      </c>
      <c r="Y494" s="3">
        <f t="shared" si="39"/>
        <v>2</v>
      </c>
    </row>
    <row r="495" spans="13:25">
      <c r="N495" s="241" t="s">
        <v>336</v>
      </c>
      <c r="O495" s="241" t="s">
        <v>1234</v>
      </c>
      <c r="P495" s="31">
        <v>30</v>
      </c>
      <c r="Q495" s="241" t="s">
        <v>1229</v>
      </c>
      <c r="R495" s="241" t="s">
        <v>1245</v>
      </c>
      <c r="S495" s="32">
        <v>43272</v>
      </c>
      <c r="T495" s="32"/>
      <c r="U495" s="241" t="s">
        <v>2986</v>
      </c>
      <c r="V495" s="265"/>
      <c r="W495" s="241" t="s">
        <v>3719</v>
      </c>
      <c r="X495" s="3">
        <f t="shared" si="38"/>
        <v>30</v>
      </c>
      <c r="Y495" s="3" t="b">
        <f t="shared" si="39"/>
        <v>0</v>
      </c>
    </row>
    <row r="496" spans="13:25">
      <c r="N496" s="241" t="s">
        <v>336</v>
      </c>
      <c r="O496" s="241" t="s">
        <v>1228</v>
      </c>
      <c r="P496" s="31">
        <v>30</v>
      </c>
      <c r="Q496" s="241" t="s">
        <v>1229</v>
      </c>
      <c r="R496" s="241" t="s">
        <v>1245</v>
      </c>
      <c r="S496" s="32">
        <v>43272</v>
      </c>
      <c r="T496" s="32"/>
      <c r="U496" s="241" t="s">
        <v>2986</v>
      </c>
      <c r="V496" s="276"/>
      <c r="W496" s="241" t="s">
        <v>3719</v>
      </c>
      <c r="X496" s="3">
        <f t="shared" si="38"/>
        <v>30</v>
      </c>
      <c r="Y496" s="3" t="b">
        <f t="shared" si="39"/>
        <v>0</v>
      </c>
    </row>
    <row r="497" spans="14:25">
      <c r="N497" s="34" t="s">
        <v>336</v>
      </c>
      <c r="O497" s="34" t="s">
        <v>1228</v>
      </c>
      <c r="P497" s="34">
        <v>10</v>
      </c>
      <c r="Q497" s="34" t="s">
        <v>1233</v>
      </c>
      <c r="R497" s="34" t="s">
        <v>1245</v>
      </c>
      <c r="S497" s="38">
        <v>43264</v>
      </c>
      <c r="T497" s="38"/>
      <c r="U497" s="34" t="s">
        <v>1260</v>
      </c>
      <c r="V497" s="255" t="s">
        <v>3720</v>
      </c>
      <c r="W497" s="34"/>
      <c r="X497" s="3">
        <f t="shared" si="38"/>
        <v>-10</v>
      </c>
      <c r="Y497" s="3">
        <f t="shared" si="39"/>
        <v>10</v>
      </c>
    </row>
    <row r="498" spans="14:25">
      <c r="N498" s="34" t="s">
        <v>336</v>
      </c>
      <c r="O498" s="34" t="s">
        <v>1234</v>
      </c>
      <c r="P498" s="34">
        <v>10</v>
      </c>
      <c r="Q498" s="34" t="s">
        <v>1233</v>
      </c>
      <c r="R498" s="34" t="s">
        <v>1245</v>
      </c>
      <c r="S498" s="38">
        <v>43264</v>
      </c>
      <c r="T498" s="38"/>
      <c r="U498" s="34" t="s">
        <v>1260</v>
      </c>
      <c r="V498" s="255" t="s">
        <v>3721</v>
      </c>
      <c r="W498" s="34"/>
      <c r="X498" s="3">
        <f t="shared" si="38"/>
        <v>-10</v>
      </c>
      <c r="Y498" s="3">
        <f t="shared" si="39"/>
        <v>10</v>
      </c>
    </row>
    <row r="499" spans="14:25">
      <c r="N499" s="34" t="s">
        <v>336</v>
      </c>
      <c r="O499" s="34" t="s">
        <v>1267</v>
      </c>
      <c r="P499" s="34">
        <v>10</v>
      </c>
      <c r="Q499" s="34" t="s">
        <v>1233</v>
      </c>
      <c r="R499" s="34" t="s">
        <v>1245</v>
      </c>
      <c r="S499" s="38">
        <v>43264</v>
      </c>
      <c r="T499" s="38"/>
      <c r="U499" s="34" t="s">
        <v>1260</v>
      </c>
      <c r="V499" s="255" t="s">
        <v>3720</v>
      </c>
      <c r="W499" s="34"/>
      <c r="X499" s="3">
        <f t="shared" ref="X499:X558" si="40">IF(OR(Q499="Stock to Rack",Q499="From Stock"),-P499,IF(OR(Q499="Rack to Stock",Q499="To Stock"),P499))</f>
        <v>-10</v>
      </c>
      <c r="Y499" s="3">
        <f t="shared" ref="Y499:Y558" si="41">IF(Q499="Rack to Stock",-P499,IF(Q499="Stock to Rack",P499))</f>
        <v>10</v>
      </c>
    </row>
    <row r="500" spans="14:25">
      <c r="N500" s="34" t="s">
        <v>336</v>
      </c>
      <c r="O500" s="34" t="s">
        <v>1236</v>
      </c>
      <c r="P500" s="34">
        <v>10</v>
      </c>
      <c r="Q500" s="34" t="s">
        <v>1233</v>
      </c>
      <c r="R500" s="34" t="s">
        <v>1245</v>
      </c>
      <c r="S500" s="38">
        <v>43264</v>
      </c>
      <c r="T500" s="38"/>
      <c r="U500" s="34" t="s">
        <v>1260</v>
      </c>
      <c r="V500" s="255" t="s">
        <v>3720</v>
      </c>
      <c r="W500" s="34"/>
      <c r="X500" s="3">
        <f t="shared" si="40"/>
        <v>-10</v>
      </c>
      <c r="Y500" s="3">
        <f t="shared" si="41"/>
        <v>10</v>
      </c>
    </row>
    <row r="501" spans="14:25">
      <c r="N501" s="34" t="s">
        <v>336</v>
      </c>
      <c r="O501" s="34" t="s">
        <v>1238</v>
      </c>
      <c r="P501" s="34">
        <v>10</v>
      </c>
      <c r="Q501" s="34" t="s">
        <v>1233</v>
      </c>
      <c r="R501" s="34" t="s">
        <v>1245</v>
      </c>
      <c r="S501" s="38">
        <v>43264</v>
      </c>
      <c r="T501" s="38"/>
      <c r="U501" s="34" t="s">
        <v>1260</v>
      </c>
      <c r="V501" s="255" t="s">
        <v>3720</v>
      </c>
      <c r="W501" s="34"/>
      <c r="X501" s="3">
        <f t="shared" si="40"/>
        <v>-10</v>
      </c>
      <c r="Y501" s="3">
        <f t="shared" si="41"/>
        <v>10</v>
      </c>
    </row>
    <row r="502" spans="14:25">
      <c r="N502" s="34" t="s">
        <v>336</v>
      </c>
      <c r="O502" s="34" t="s">
        <v>1235</v>
      </c>
      <c r="P502" s="34">
        <v>10</v>
      </c>
      <c r="Q502" s="34" t="s">
        <v>1233</v>
      </c>
      <c r="R502" s="34" t="s">
        <v>1245</v>
      </c>
      <c r="S502" s="38">
        <v>43264</v>
      </c>
      <c r="T502" s="38"/>
      <c r="U502" s="34" t="s">
        <v>1260</v>
      </c>
      <c r="V502" s="255" t="s">
        <v>3720</v>
      </c>
      <c r="W502" s="34"/>
      <c r="X502" s="3">
        <f t="shared" si="40"/>
        <v>-10</v>
      </c>
      <c r="Y502" s="3">
        <f t="shared" si="41"/>
        <v>10</v>
      </c>
    </row>
    <row r="503" spans="14:25">
      <c r="N503" s="34" t="s">
        <v>336</v>
      </c>
      <c r="O503" s="34" t="s">
        <v>1243</v>
      </c>
      <c r="P503" s="34">
        <v>10</v>
      </c>
      <c r="Q503" s="34" t="s">
        <v>1233</v>
      </c>
      <c r="R503" s="34" t="s">
        <v>1245</v>
      </c>
      <c r="S503" s="38">
        <v>43264</v>
      </c>
      <c r="T503" s="38"/>
      <c r="U503" s="34" t="s">
        <v>1260</v>
      </c>
      <c r="V503" s="255" t="s">
        <v>3720</v>
      </c>
      <c r="W503" s="34"/>
      <c r="X503" s="3">
        <f t="shared" si="40"/>
        <v>-10</v>
      </c>
      <c r="Y503" s="3">
        <f t="shared" si="41"/>
        <v>10</v>
      </c>
    </row>
    <row r="504" spans="14:25">
      <c r="N504" s="34" t="s">
        <v>336</v>
      </c>
      <c r="O504" s="34" t="s">
        <v>1237</v>
      </c>
      <c r="P504" s="34">
        <v>40</v>
      </c>
      <c r="Q504" s="34" t="s">
        <v>1233</v>
      </c>
      <c r="R504" s="34" t="s">
        <v>1245</v>
      </c>
      <c r="S504" s="38">
        <v>43264</v>
      </c>
      <c r="T504" s="38"/>
      <c r="U504" s="34" t="s">
        <v>1260</v>
      </c>
      <c r="V504" s="255" t="s">
        <v>3720</v>
      </c>
      <c r="W504" s="34"/>
      <c r="X504" s="3">
        <f t="shared" si="40"/>
        <v>-40</v>
      </c>
      <c r="Y504" s="3">
        <f t="shared" si="41"/>
        <v>40</v>
      </c>
    </row>
    <row r="505" spans="14:25">
      <c r="N505" s="34" t="s">
        <v>336</v>
      </c>
      <c r="O505" s="34" t="s">
        <v>1237</v>
      </c>
      <c r="P505" s="34">
        <v>77</v>
      </c>
      <c r="Q505" s="34" t="s">
        <v>1233</v>
      </c>
      <c r="R505" s="34" t="s">
        <v>1245</v>
      </c>
      <c r="S505" s="38">
        <v>43253</v>
      </c>
      <c r="T505" s="38"/>
      <c r="U505" s="34" t="s">
        <v>1260</v>
      </c>
      <c r="V505" s="255" t="s">
        <v>3722</v>
      </c>
      <c r="W505" s="34"/>
      <c r="X505" s="3">
        <f t="shared" si="40"/>
        <v>-77</v>
      </c>
      <c r="Y505" s="3">
        <f t="shared" si="41"/>
        <v>77</v>
      </c>
    </row>
    <row r="506" spans="14:25">
      <c r="N506" s="34" t="s">
        <v>336</v>
      </c>
      <c r="O506" s="34" t="s">
        <v>1237</v>
      </c>
      <c r="P506" s="34">
        <v>253</v>
      </c>
      <c r="Q506" s="34" t="s">
        <v>1229</v>
      </c>
      <c r="R506" s="34" t="s">
        <v>1245</v>
      </c>
      <c r="S506" s="38">
        <v>43252</v>
      </c>
      <c r="T506" s="38"/>
      <c r="U506" s="34" t="s">
        <v>1260</v>
      </c>
      <c r="V506" s="255" t="s">
        <v>3722</v>
      </c>
      <c r="W506" s="34"/>
      <c r="X506" s="3">
        <f t="shared" si="40"/>
        <v>253</v>
      </c>
      <c r="Y506" s="3" t="b">
        <f t="shared" si="41"/>
        <v>0</v>
      </c>
    </row>
    <row r="507" spans="14:25">
      <c r="N507" s="34" t="s">
        <v>336</v>
      </c>
      <c r="O507" s="34" t="s">
        <v>1235</v>
      </c>
      <c r="P507" s="34">
        <v>77</v>
      </c>
      <c r="Q507" s="34" t="s">
        <v>1233</v>
      </c>
      <c r="R507" s="34" t="s">
        <v>1245</v>
      </c>
      <c r="S507" s="38">
        <v>43253</v>
      </c>
      <c r="T507" s="38"/>
      <c r="U507" s="34" t="s">
        <v>1260</v>
      </c>
      <c r="V507" s="255" t="s">
        <v>3723</v>
      </c>
      <c r="W507" s="34"/>
      <c r="X507" s="3">
        <f t="shared" si="40"/>
        <v>-77</v>
      </c>
      <c r="Y507" s="3">
        <f t="shared" si="41"/>
        <v>77</v>
      </c>
    </row>
    <row r="508" spans="14:25">
      <c r="N508" s="34" t="s">
        <v>336</v>
      </c>
      <c r="O508" s="34" t="s">
        <v>1243</v>
      </c>
      <c r="P508" s="34">
        <v>26</v>
      </c>
      <c r="Q508" s="34" t="s">
        <v>1229</v>
      </c>
      <c r="R508" s="34" t="s">
        <v>1245</v>
      </c>
      <c r="S508" s="38">
        <v>43250</v>
      </c>
      <c r="T508" s="38"/>
      <c r="U508" s="34" t="s">
        <v>1260</v>
      </c>
      <c r="V508" s="255" t="s">
        <v>3724</v>
      </c>
      <c r="W508" s="34"/>
      <c r="X508" s="3">
        <f t="shared" si="40"/>
        <v>26</v>
      </c>
      <c r="Y508" s="3" t="b">
        <f t="shared" si="41"/>
        <v>0</v>
      </c>
    </row>
    <row r="509" spans="14:25">
      <c r="N509" s="34" t="s">
        <v>336</v>
      </c>
      <c r="O509" s="34" t="s">
        <v>1228</v>
      </c>
      <c r="P509" s="34">
        <v>10</v>
      </c>
      <c r="Q509" s="34" t="s">
        <v>1282</v>
      </c>
      <c r="R509" s="34" t="s">
        <v>1245</v>
      </c>
      <c r="S509" s="38">
        <v>43272</v>
      </c>
      <c r="T509" s="38"/>
      <c r="U509" s="34" t="s">
        <v>1260</v>
      </c>
      <c r="V509" s="255" t="s">
        <v>3725</v>
      </c>
      <c r="W509" s="34"/>
      <c r="X509" s="3">
        <f t="shared" si="40"/>
        <v>-10</v>
      </c>
      <c r="Y509" s="3" t="b">
        <f t="shared" si="41"/>
        <v>0</v>
      </c>
    </row>
    <row r="510" spans="14:25">
      <c r="N510" s="34" t="s">
        <v>336</v>
      </c>
      <c r="O510" s="34" t="s">
        <v>1234</v>
      </c>
      <c r="P510" s="34">
        <v>10</v>
      </c>
      <c r="Q510" s="34" t="s">
        <v>1282</v>
      </c>
      <c r="R510" s="34" t="s">
        <v>1245</v>
      </c>
      <c r="S510" s="38">
        <v>43272</v>
      </c>
      <c r="T510" s="38"/>
      <c r="U510" s="34" t="s">
        <v>1260</v>
      </c>
      <c r="V510" s="255" t="s">
        <v>3725</v>
      </c>
      <c r="W510" s="34"/>
      <c r="X510" s="3">
        <f t="shared" si="40"/>
        <v>-10</v>
      </c>
      <c r="Y510" s="3" t="b">
        <f t="shared" si="41"/>
        <v>0</v>
      </c>
    </row>
    <row r="511" spans="14:25">
      <c r="N511" s="59" t="s">
        <v>364</v>
      </c>
      <c r="O511" s="59" t="s">
        <v>1235</v>
      </c>
      <c r="P511" s="59">
        <v>11</v>
      </c>
      <c r="Q511" s="59" t="s">
        <v>1229</v>
      </c>
      <c r="R511" s="59" t="s">
        <v>1245</v>
      </c>
      <c r="S511" s="60">
        <v>43273</v>
      </c>
      <c r="T511" s="60"/>
      <c r="U511" s="59" t="s">
        <v>2986</v>
      </c>
      <c r="V511" s="264" t="s">
        <v>3740</v>
      </c>
      <c r="W511" s="59"/>
      <c r="X511" s="3">
        <f t="shared" si="40"/>
        <v>11</v>
      </c>
      <c r="Y511" s="3" t="b">
        <f t="shared" si="41"/>
        <v>0</v>
      </c>
    </row>
    <row r="512" spans="14:25">
      <c r="N512" s="59" t="s">
        <v>364</v>
      </c>
      <c r="O512" s="59" t="s">
        <v>1235</v>
      </c>
      <c r="P512" s="59">
        <v>11</v>
      </c>
      <c r="Q512" s="59" t="s">
        <v>1233</v>
      </c>
      <c r="R512" s="59" t="s">
        <v>1245</v>
      </c>
      <c r="S512" s="60">
        <v>43273</v>
      </c>
      <c r="T512" s="60"/>
      <c r="U512" s="59" t="s">
        <v>2986</v>
      </c>
      <c r="V512" s="264" t="s">
        <v>3740</v>
      </c>
      <c r="W512" s="59"/>
      <c r="X512" s="3">
        <f t="shared" si="40"/>
        <v>-11</v>
      </c>
      <c r="Y512" s="3">
        <f t="shared" si="41"/>
        <v>11</v>
      </c>
    </row>
    <row r="513" spans="14:25">
      <c r="N513" s="59" t="s">
        <v>364</v>
      </c>
      <c r="O513" s="59" t="s">
        <v>1267</v>
      </c>
      <c r="P513" s="59">
        <v>11</v>
      </c>
      <c r="Q513" s="59" t="s">
        <v>1229</v>
      </c>
      <c r="R513" s="59" t="s">
        <v>1245</v>
      </c>
      <c r="S513" s="60">
        <v>43273</v>
      </c>
      <c r="T513" s="60"/>
      <c r="U513" s="59" t="s">
        <v>2986</v>
      </c>
      <c r="V513" s="264" t="s">
        <v>3740</v>
      </c>
      <c r="W513" s="59"/>
      <c r="X513" s="3">
        <f t="shared" si="40"/>
        <v>11</v>
      </c>
      <c r="Y513" s="3" t="b">
        <f t="shared" si="41"/>
        <v>0</v>
      </c>
    </row>
    <row r="514" spans="14:25">
      <c r="N514" s="59" t="s">
        <v>364</v>
      </c>
      <c r="O514" s="59" t="s">
        <v>1267</v>
      </c>
      <c r="P514" s="59">
        <v>11</v>
      </c>
      <c r="Q514" s="59" t="s">
        <v>1233</v>
      </c>
      <c r="R514" s="59" t="s">
        <v>1245</v>
      </c>
      <c r="S514" s="60">
        <v>43273</v>
      </c>
      <c r="T514" s="60"/>
      <c r="U514" s="59" t="s">
        <v>2986</v>
      </c>
      <c r="V514" s="264" t="s">
        <v>3740</v>
      </c>
      <c r="W514" s="59"/>
      <c r="X514" s="3">
        <f t="shared" si="40"/>
        <v>-11</v>
      </c>
      <c r="Y514" s="3">
        <f t="shared" si="41"/>
        <v>11</v>
      </c>
    </row>
    <row r="515" spans="14:25">
      <c r="N515" s="59" t="s">
        <v>364</v>
      </c>
      <c r="O515" s="59" t="s">
        <v>1236</v>
      </c>
      <c r="P515" s="59">
        <v>11</v>
      </c>
      <c r="Q515" s="59" t="s">
        <v>1229</v>
      </c>
      <c r="R515" s="59" t="s">
        <v>1245</v>
      </c>
      <c r="S515" s="60">
        <v>43273</v>
      </c>
      <c r="T515" s="60"/>
      <c r="U515" s="59" t="s">
        <v>2986</v>
      </c>
      <c r="V515" s="264" t="s">
        <v>3740</v>
      </c>
      <c r="W515" s="59"/>
      <c r="X515" s="3">
        <f t="shared" si="40"/>
        <v>11</v>
      </c>
      <c r="Y515" s="3" t="b">
        <f t="shared" si="41"/>
        <v>0</v>
      </c>
    </row>
    <row r="516" spans="14:25">
      <c r="N516" s="59" t="s">
        <v>364</v>
      </c>
      <c r="O516" s="59" t="s">
        <v>1236</v>
      </c>
      <c r="P516" s="59">
        <v>11</v>
      </c>
      <c r="Q516" s="59" t="s">
        <v>1233</v>
      </c>
      <c r="R516" s="59" t="s">
        <v>1245</v>
      </c>
      <c r="S516" s="60">
        <v>43273</v>
      </c>
      <c r="T516" s="60"/>
      <c r="U516" s="59" t="s">
        <v>2986</v>
      </c>
      <c r="V516" s="264" t="s">
        <v>3740</v>
      </c>
      <c r="W516" s="59"/>
      <c r="X516" s="3">
        <f t="shared" si="40"/>
        <v>-11</v>
      </c>
      <c r="Y516" s="3">
        <f t="shared" si="41"/>
        <v>11</v>
      </c>
    </row>
    <row r="517" spans="14:25">
      <c r="N517" s="34" t="s">
        <v>203</v>
      </c>
      <c r="O517" s="34" t="s">
        <v>1267</v>
      </c>
      <c r="P517" s="34">
        <v>4</v>
      </c>
      <c r="Q517" s="34" t="s">
        <v>1233</v>
      </c>
      <c r="R517" s="34" t="s">
        <v>203</v>
      </c>
      <c r="S517" s="38">
        <v>43276</v>
      </c>
      <c r="T517" s="38"/>
      <c r="U517" s="34" t="s">
        <v>1331</v>
      </c>
      <c r="V517" s="255"/>
      <c r="W517" s="34"/>
      <c r="X517" s="3">
        <f t="shared" si="40"/>
        <v>-4</v>
      </c>
      <c r="Y517" s="3">
        <f t="shared" si="41"/>
        <v>4</v>
      </c>
    </row>
    <row r="518" spans="14:25">
      <c r="N518" s="34" t="s">
        <v>203</v>
      </c>
      <c r="O518" s="34" t="s">
        <v>1238</v>
      </c>
      <c r="P518" s="34">
        <v>6</v>
      </c>
      <c r="Q518" s="34" t="s">
        <v>1233</v>
      </c>
      <c r="R518" s="34" t="s">
        <v>203</v>
      </c>
      <c r="S518" s="38">
        <v>43276</v>
      </c>
      <c r="T518" s="38"/>
      <c r="U518" s="34" t="s">
        <v>1331</v>
      </c>
      <c r="V518" s="255"/>
      <c r="W518" s="34"/>
      <c r="X518" s="3">
        <f t="shared" si="40"/>
        <v>-6</v>
      </c>
      <c r="Y518" s="3">
        <f t="shared" si="41"/>
        <v>6</v>
      </c>
    </row>
    <row r="519" spans="14:25">
      <c r="N519" s="34" t="s">
        <v>203</v>
      </c>
      <c r="O519" s="34" t="s">
        <v>1236</v>
      </c>
      <c r="P519" s="34">
        <v>2</v>
      </c>
      <c r="Q519" s="34" t="s">
        <v>1233</v>
      </c>
      <c r="R519" s="34" t="s">
        <v>203</v>
      </c>
      <c r="S519" s="38">
        <v>43276</v>
      </c>
      <c r="T519" s="38"/>
      <c r="U519" s="34" t="s">
        <v>1331</v>
      </c>
      <c r="V519" s="255"/>
      <c r="W519" s="34"/>
      <c r="X519" s="3">
        <f t="shared" si="40"/>
        <v>-2</v>
      </c>
      <c r="Y519" s="3">
        <f t="shared" si="41"/>
        <v>2</v>
      </c>
    </row>
    <row r="520" spans="14:25">
      <c r="N520" s="34" t="s">
        <v>203</v>
      </c>
      <c r="O520" s="34" t="s">
        <v>1235</v>
      </c>
      <c r="P520" s="34">
        <v>3</v>
      </c>
      <c r="Q520" s="34" t="s">
        <v>1233</v>
      </c>
      <c r="R520" s="34" t="s">
        <v>203</v>
      </c>
      <c r="S520" s="38">
        <v>43276</v>
      </c>
      <c r="T520" s="38"/>
      <c r="U520" s="34" t="s">
        <v>1331</v>
      </c>
      <c r="V520" s="255"/>
      <c r="W520" s="34"/>
      <c r="X520" s="3">
        <f t="shared" si="40"/>
        <v>-3</v>
      </c>
      <c r="Y520" s="3">
        <f t="shared" si="41"/>
        <v>3</v>
      </c>
    </row>
    <row r="521" spans="14:25">
      <c r="N521" s="34" t="s">
        <v>203</v>
      </c>
      <c r="O521" s="34" t="s">
        <v>1234</v>
      </c>
      <c r="P521" s="34">
        <v>3</v>
      </c>
      <c r="Q521" s="34" t="s">
        <v>1233</v>
      </c>
      <c r="R521" s="34" t="s">
        <v>203</v>
      </c>
      <c r="S521" s="38">
        <v>43276</v>
      </c>
      <c r="T521" s="38"/>
      <c r="U521" s="34" t="s">
        <v>1331</v>
      </c>
      <c r="V521" s="255"/>
      <c r="W521" s="34"/>
      <c r="X521" s="3">
        <f t="shared" si="40"/>
        <v>-3</v>
      </c>
      <c r="Y521" s="3">
        <f t="shared" si="41"/>
        <v>3</v>
      </c>
    </row>
    <row r="522" spans="14:25">
      <c r="N522" s="34" t="s">
        <v>203</v>
      </c>
      <c r="O522" s="34" t="s">
        <v>1243</v>
      </c>
      <c r="P522" s="34">
        <v>6</v>
      </c>
      <c r="Q522" s="34" t="s">
        <v>1233</v>
      </c>
      <c r="R522" s="34" t="s">
        <v>203</v>
      </c>
      <c r="S522" s="38">
        <v>43276</v>
      </c>
      <c r="T522" s="38"/>
      <c r="U522" s="34" t="s">
        <v>1331</v>
      </c>
      <c r="V522" s="255"/>
      <c r="W522" s="34"/>
      <c r="X522" s="3">
        <f t="shared" si="40"/>
        <v>-6</v>
      </c>
      <c r="Y522" s="3">
        <f t="shared" si="41"/>
        <v>6</v>
      </c>
    </row>
    <row r="523" spans="14:25">
      <c r="N523" s="34" t="s">
        <v>203</v>
      </c>
      <c r="O523" s="34" t="s">
        <v>1236</v>
      </c>
      <c r="P523" s="34">
        <v>12</v>
      </c>
      <c r="Q523" s="34" t="s">
        <v>1233</v>
      </c>
      <c r="R523" s="34" t="s">
        <v>203</v>
      </c>
      <c r="S523" s="38">
        <v>43276</v>
      </c>
      <c r="T523" s="38"/>
      <c r="U523" s="34" t="s">
        <v>1331</v>
      </c>
      <c r="V523" s="255"/>
      <c r="W523" s="34"/>
      <c r="X523" s="3">
        <f t="shared" si="40"/>
        <v>-12</v>
      </c>
      <c r="Y523" s="3">
        <f t="shared" si="41"/>
        <v>12</v>
      </c>
    </row>
    <row r="524" spans="14:25">
      <c r="N524" s="34" t="s">
        <v>336</v>
      </c>
      <c r="O524" s="34" t="s">
        <v>1228</v>
      </c>
      <c r="P524" s="34">
        <v>7</v>
      </c>
      <c r="Q524" s="34" t="s">
        <v>1282</v>
      </c>
      <c r="R524" s="34" t="s">
        <v>336</v>
      </c>
      <c r="S524" s="38">
        <v>43278</v>
      </c>
      <c r="T524" s="38"/>
      <c r="U524" s="34" t="s">
        <v>3749</v>
      </c>
      <c r="V524" s="255" t="s">
        <v>3750</v>
      </c>
      <c r="W524" s="34"/>
      <c r="X524" s="3">
        <f t="shared" si="40"/>
        <v>-7</v>
      </c>
      <c r="Y524" s="3" t="b">
        <f t="shared" si="41"/>
        <v>0</v>
      </c>
    </row>
    <row r="525" spans="14:25">
      <c r="N525" s="34" t="s">
        <v>336</v>
      </c>
      <c r="O525" s="34" t="s">
        <v>1234</v>
      </c>
      <c r="P525" s="34">
        <v>4</v>
      </c>
      <c r="Q525" s="34" t="s">
        <v>1233</v>
      </c>
      <c r="R525" s="34" t="s">
        <v>336</v>
      </c>
      <c r="S525" s="38">
        <v>43278</v>
      </c>
      <c r="T525" s="38"/>
      <c r="U525" s="34" t="s">
        <v>3751</v>
      </c>
      <c r="V525" s="255" t="s">
        <v>3752</v>
      </c>
      <c r="W525" s="34"/>
      <c r="X525" s="3">
        <f t="shared" si="40"/>
        <v>-4</v>
      </c>
      <c r="Y525" s="3">
        <f t="shared" si="41"/>
        <v>4</v>
      </c>
    </row>
    <row r="526" spans="14:25">
      <c r="N526" s="34" t="s">
        <v>336</v>
      </c>
      <c r="O526" s="34" t="s">
        <v>1267</v>
      </c>
      <c r="P526" s="34">
        <v>11</v>
      </c>
      <c r="Q526" s="34" t="s">
        <v>1229</v>
      </c>
      <c r="R526" s="34" t="s">
        <v>336</v>
      </c>
      <c r="S526" s="38">
        <v>43278</v>
      </c>
      <c r="T526" s="38"/>
      <c r="U526" s="34" t="s">
        <v>3753</v>
      </c>
      <c r="V526" s="255" t="s">
        <v>3754</v>
      </c>
      <c r="W526" s="34"/>
      <c r="X526" s="3">
        <f t="shared" si="40"/>
        <v>11</v>
      </c>
      <c r="Y526" s="3" t="b">
        <f t="shared" si="41"/>
        <v>0</v>
      </c>
    </row>
    <row r="527" spans="14:25">
      <c r="N527" s="34" t="s">
        <v>336</v>
      </c>
      <c r="O527" s="34" t="s">
        <v>1228</v>
      </c>
      <c r="P527" s="34">
        <v>22</v>
      </c>
      <c r="Q527" s="34" t="s">
        <v>1233</v>
      </c>
      <c r="R527" s="34" t="s">
        <v>336</v>
      </c>
      <c r="S527" s="38">
        <v>43286</v>
      </c>
      <c r="T527" s="38"/>
      <c r="U527" s="34" t="s">
        <v>3753</v>
      </c>
      <c r="V527" s="255" t="s">
        <v>3720</v>
      </c>
      <c r="W527" s="34"/>
      <c r="X527" s="3">
        <f t="shared" si="40"/>
        <v>-22</v>
      </c>
      <c r="Y527" s="3">
        <f t="shared" si="41"/>
        <v>22</v>
      </c>
    </row>
    <row r="528" spans="14:25">
      <c r="N528" s="34" t="s">
        <v>336</v>
      </c>
      <c r="O528" s="34" t="s">
        <v>1234</v>
      </c>
      <c r="P528" s="34">
        <v>22</v>
      </c>
      <c r="Q528" s="34" t="s">
        <v>1233</v>
      </c>
      <c r="R528" s="34" t="s">
        <v>336</v>
      </c>
      <c r="S528" s="38">
        <v>43286</v>
      </c>
      <c r="T528" s="38"/>
      <c r="U528" s="34" t="s">
        <v>3753</v>
      </c>
      <c r="V528" s="255" t="s">
        <v>3720</v>
      </c>
      <c r="W528" s="34"/>
      <c r="X528" s="3">
        <f t="shared" si="40"/>
        <v>-22</v>
      </c>
      <c r="Y528" s="3">
        <f t="shared" si="41"/>
        <v>22</v>
      </c>
    </row>
    <row r="529" spans="14:25">
      <c r="N529" s="34" t="s">
        <v>336</v>
      </c>
      <c r="O529" s="34" t="s">
        <v>1238</v>
      </c>
      <c r="P529" s="34">
        <v>22</v>
      </c>
      <c r="Q529" s="34" t="s">
        <v>1233</v>
      </c>
      <c r="R529" s="34" t="s">
        <v>336</v>
      </c>
      <c r="S529" s="38">
        <v>43286</v>
      </c>
      <c r="T529" s="38"/>
      <c r="U529" s="34" t="s">
        <v>3753</v>
      </c>
      <c r="V529" s="255" t="s">
        <v>3720</v>
      </c>
      <c r="W529" s="34"/>
      <c r="X529" s="3">
        <f t="shared" si="40"/>
        <v>-22</v>
      </c>
      <c r="Y529" s="3">
        <f t="shared" si="41"/>
        <v>22</v>
      </c>
    </row>
    <row r="530" spans="14:25">
      <c r="N530" s="34" t="s">
        <v>336</v>
      </c>
      <c r="O530" s="34" t="s">
        <v>1235</v>
      </c>
      <c r="P530" s="34">
        <v>22</v>
      </c>
      <c r="Q530" s="34" t="s">
        <v>1233</v>
      </c>
      <c r="R530" s="34" t="s">
        <v>336</v>
      </c>
      <c r="S530" s="38">
        <v>43286</v>
      </c>
      <c r="T530" s="38"/>
      <c r="U530" s="34" t="s">
        <v>3753</v>
      </c>
      <c r="V530" s="255" t="s">
        <v>3720</v>
      </c>
      <c r="W530" s="34"/>
      <c r="X530" s="3">
        <f t="shared" si="40"/>
        <v>-22</v>
      </c>
      <c r="Y530" s="3">
        <f t="shared" si="41"/>
        <v>22</v>
      </c>
    </row>
    <row r="531" spans="14:25">
      <c r="N531" s="34" t="s">
        <v>336</v>
      </c>
      <c r="O531" s="34" t="s">
        <v>1236</v>
      </c>
      <c r="P531" s="34">
        <v>22</v>
      </c>
      <c r="Q531" s="34" t="s">
        <v>1233</v>
      </c>
      <c r="R531" s="34" t="s">
        <v>336</v>
      </c>
      <c r="S531" s="38">
        <v>43286</v>
      </c>
      <c r="T531" s="38"/>
      <c r="U531" s="34" t="s">
        <v>3753</v>
      </c>
      <c r="V531" s="255" t="s">
        <v>3720</v>
      </c>
      <c r="W531" s="34"/>
      <c r="X531" s="3">
        <f t="shared" si="40"/>
        <v>-22</v>
      </c>
      <c r="Y531" s="3">
        <f t="shared" si="41"/>
        <v>22</v>
      </c>
    </row>
    <row r="532" spans="14:25">
      <c r="N532" s="34" t="s">
        <v>336</v>
      </c>
      <c r="O532" s="34" t="s">
        <v>1237</v>
      </c>
      <c r="P532" s="34">
        <v>88</v>
      </c>
      <c r="Q532" s="34" t="s">
        <v>1233</v>
      </c>
      <c r="R532" s="34" t="s">
        <v>336</v>
      </c>
      <c r="S532" s="38">
        <v>43286</v>
      </c>
      <c r="T532" s="38"/>
      <c r="U532" s="34" t="s">
        <v>3753</v>
      </c>
      <c r="V532" s="255" t="s">
        <v>3720</v>
      </c>
      <c r="W532" s="34"/>
      <c r="X532" s="3">
        <f t="shared" si="40"/>
        <v>-88</v>
      </c>
      <c r="Y532" s="3">
        <f t="shared" si="41"/>
        <v>88</v>
      </c>
    </row>
    <row r="533" spans="14:25">
      <c r="N533" s="34" t="s">
        <v>336</v>
      </c>
      <c r="O533" s="34" t="s">
        <v>1267</v>
      </c>
      <c r="P533" s="34">
        <v>22</v>
      </c>
      <c r="Q533" s="34" t="s">
        <v>1233</v>
      </c>
      <c r="R533" s="34" t="s">
        <v>336</v>
      </c>
      <c r="S533" s="38">
        <v>43286</v>
      </c>
      <c r="T533" s="38"/>
      <c r="U533" s="34" t="s">
        <v>3753</v>
      </c>
      <c r="V533" s="255" t="s">
        <v>3720</v>
      </c>
      <c r="W533" s="34"/>
      <c r="X533" s="3">
        <f t="shared" si="40"/>
        <v>-22</v>
      </c>
      <c r="Y533" s="3">
        <f t="shared" si="41"/>
        <v>22</v>
      </c>
    </row>
    <row r="534" spans="14:25">
      <c r="N534" s="34" t="s">
        <v>336</v>
      </c>
      <c r="O534" s="34" t="s">
        <v>1243</v>
      </c>
      <c r="P534" s="34">
        <v>22</v>
      </c>
      <c r="Q534" s="34" t="s">
        <v>1233</v>
      </c>
      <c r="R534" s="34" t="s">
        <v>336</v>
      </c>
      <c r="S534" s="38">
        <v>43286</v>
      </c>
      <c r="T534" s="38"/>
      <c r="U534" s="34" t="s">
        <v>3753</v>
      </c>
      <c r="V534" s="255" t="s">
        <v>3720</v>
      </c>
      <c r="W534" s="34"/>
      <c r="X534" s="3">
        <f t="shared" si="40"/>
        <v>-22</v>
      </c>
      <c r="Y534" s="3">
        <f t="shared" si="41"/>
        <v>22</v>
      </c>
    </row>
    <row r="535" spans="14:25">
      <c r="N535" s="34" t="s">
        <v>336</v>
      </c>
      <c r="O535" s="34" t="s">
        <v>1242</v>
      </c>
      <c r="P535" s="34">
        <v>4</v>
      </c>
      <c r="Q535" s="34" t="s">
        <v>1233</v>
      </c>
      <c r="R535" s="34" t="s">
        <v>336</v>
      </c>
      <c r="S535" s="38">
        <v>43286</v>
      </c>
      <c r="T535" s="38"/>
      <c r="U535" s="34" t="s">
        <v>3753</v>
      </c>
      <c r="V535" s="255" t="s">
        <v>3755</v>
      </c>
      <c r="W535" s="34"/>
      <c r="X535" s="3">
        <f t="shared" si="40"/>
        <v>-4</v>
      </c>
      <c r="Y535" s="3">
        <f t="shared" si="41"/>
        <v>4</v>
      </c>
    </row>
    <row r="536" spans="14:25">
      <c r="N536" s="34" t="s">
        <v>336</v>
      </c>
      <c r="O536" s="34" t="s">
        <v>1238</v>
      </c>
      <c r="P536" s="34">
        <v>4</v>
      </c>
      <c r="Q536" s="34" t="s">
        <v>1233</v>
      </c>
      <c r="R536" s="34" t="s">
        <v>336</v>
      </c>
      <c r="S536" s="38">
        <v>43286</v>
      </c>
      <c r="T536" s="38"/>
      <c r="U536" s="34" t="s">
        <v>3753</v>
      </c>
      <c r="V536" s="255"/>
      <c r="W536" s="34"/>
      <c r="X536" s="3">
        <f t="shared" si="40"/>
        <v>-4</v>
      </c>
      <c r="Y536" s="3">
        <f t="shared" si="41"/>
        <v>4</v>
      </c>
    </row>
    <row r="537" spans="14:25">
      <c r="N537" s="34" t="s">
        <v>336</v>
      </c>
      <c r="O537" s="34" t="s">
        <v>1235</v>
      </c>
      <c r="P537" s="34">
        <v>45</v>
      </c>
      <c r="Q537" s="34" t="s">
        <v>1229</v>
      </c>
      <c r="R537" s="34" t="s">
        <v>336</v>
      </c>
      <c r="S537" s="38">
        <v>43258</v>
      </c>
      <c r="T537" s="38"/>
      <c r="U537" s="34" t="s">
        <v>3753</v>
      </c>
      <c r="V537" s="255" t="s">
        <v>3756</v>
      </c>
      <c r="W537" s="34"/>
      <c r="X537" s="3">
        <f t="shared" si="40"/>
        <v>45</v>
      </c>
      <c r="Y537" s="3" t="b">
        <f t="shared" si="41"/>
        <v>0</v>
      </c>
    </row>
    <row r="538" spans="14:25">
      <c r="N538" s="34" t="s">
        <v>336</v>
      </c>
      <c r="O538" s="34" t="s">
        <v>1238</v>
      </c>
      <c r="P538" s="34">
        <v>50</v>
      </c>
      <c r="Q538" s="34" t="s">
        <v>1282</v>
      </c>
      <c r="R538" s="34" t="s">
        <v>336</v>
      </c>
      <c r="S538" s="38">
        <v>43188</v>
      </c>
      <c r="T538" s="38"/>
      <c r="U538" s="34" t="s">
        <v>1260</v>
      </c>
      <c r="V538" s="255" t="s">
        <v>3757</v>
      </c>
      <c r="W538" s="34"/>
      <c r="X538" s="3">
        <f t="shared" si="40"/>
        <v>-50</v>
      </c>
      <c r="Y538" s="3" t="b">
        <f t="shared" si="41"/>
        <v>0</v>
      </c>
    </row>
    <row r="539" spans="14:25">
      <c r="N539" s="34" t="s">
        <v>336</v>
      </c>
      <c r="O539" s="34" t="s">
        <v>1238</v>
      </c>
      <c r="P539" s="34">
        <v>50</v>
      </c>
      <c r="Q539" s="34" t="s">
        <v>1282</v>
      </c>
      <c r="R539" s="34" t="s">
        <v>336</v>
      </c>
      <c r="S539" s="38">
        <v>43286</v>
      </c>
      <c r="T539" s="38"/>
      <c r="U539" s="34" t="s">
        <v>1260</v>
      </c>
      <c r="V539" s="255" t="s">
        <v>3758</v>
      </c>
      <c r="W539" s="34"/>
      <c r="X539" s="3">
        <f t="shared" si="40"/>
        <v>-50</v>
      </c>
      <c r="Y539" s="3" t="b">
        <f t="shared" si="41"/>
        <v>0</v>
      </c>
    </row>
    <row r="540" spans="14:25">
      <c r="N540" s="34" t="s">
        <v>336</v>
      </c>
      <c r="O540" s="34" t="s">
        <v>1243</v>
      </c>
      <c r="P540" s="34">
        <v>4</v>
      </c>
      <c r="Q540" s="34" t="s">
        <v>1229</v>
      </c>
      <c r="R540" s="34" t="s">
        <v>336</v>
      </c>
      <c r="S540" s="38">
        <v>43278</v>
      </c>
      <c r="T540" s="38"/>
      <c r="U540" s="34" t="s">
        <v>1260</v>
      </c>
      <c r="V540" s="255"/>
      <c r="W540" s="34"/>
      <c r="X540" s="3">
        <f t="shared" si="40"/>
        <v>4</v>
      </c>
      <c r="Y540" s="3" t="b">
        <f t="shared" si="41"/>
        <v>0</v>
      </c>
    </row>
    <row r="541" spans="14:25">
      <c r="N541" s="34" t="s">
        <v>336</v>
      </c>
      <c r="O541" s="34" t="s">
        <v>1228</v>
      </c>
      <c r="P541" s="34">
        <v>1</v>
      </c>
      <c r="Q541" s="34" t="s">
        <v>1233</v>
      </c>
      <c r="R541" s="34" t="s">
        <v>336</v>
      </c>
      <c r="S541" s="38">
        <v>43286</v>
      </c>
      <c r="T541" s="38"/>
      <c r="U541" s="34" t="s">
        <v>3753</v>
      </c>
      <c r="V541" s="255" t="s">
        <v>3770</v>
      </c>
      <c r="W541" s="34"/>
      <c r="X541" s="3">
        <f t="shared" si="40"/>
        <v>-1</v>
      </c>
      <c r="Y541" s="3">
        <f t="shared" si="41"/>
        <v>1</v>
      </c>
    </row>
    <row r="542" spans="14:25">
      <c r="N542" s="34" t="s">
        <v>1244</v>
      </c>
      <c r="O542" s="34" t="s">
        <v>1228</v>
      </c>
      <c r="P542" s="34">
        <v>10</v>
      </c>
      <c r="Q542" s="34" t="s">
        <v>1229</v>
      </c>
      <c r="R542" s="34" t="s">
        <v>336</v>
      </c>
      <c r="S542" s="38">
        <v>43286</v>
      </c>
      <c r="T542" s="38"/>
      <c r="U542" s="34" t="s">
        <v>1247</v>
      </c>
      <c r="V542" s="255" t="s">
        <v>3782</v>
      </c>
      <c r="W542" s="34"/>
      <c r="X542" s="3">
        <f t="shared" si="40"/>
        <v>10</v>
      </c>
      <c r="Y542" s="3" t="b">
        <f t="shared" si="41"/>
        <v>0</v>
      </c>
    </row>
    <row r="543" spans="14:25">
      <c r="N543" s="34" t="s">
        <v>1244</v>
      </c>
      <c r="O543" s="34" t="s">
        <v>1228</v>
      </c>
      <c r="P543" s="34">
        <v>7</v>
      </c>
      <c r="Q543" s="34" t="s">
        <v>1229</v>
      </c>
      <c r="R543" s="34" t="s">
        <v>336</v>
      </c>
      <c r="S543" s="38">
        <v>43286</v>
      </c>
      <c r="T543" s="38"/>
      <c r="U543" s="34" t="s">
        <v>1247</v>
      </c>
      <c r="V543" s="255" t="s">
        <v>3783</v>
      </c>
      <c r="W543" s="34"/>
      <c r="X543" s="3">
        <f t="shared" si="40"/>
        <v>7</v>
      </c>
      <c r="Y543" s="3" t="b">
        <f t="shared" si="41"/>
        <v>0</v>
      </c>
    </row>
    <row r="544" spans="14:25">
      <c r="N544" s="34" t="s">
        <v>1244</v>
      </c>
      <c r="O544" s="34" t="s">
        <v>1228</v>
      </c>
      <c r="P544" s="34">
        <v>9</v>
      </c>
      <c r="Q544" s="34" t="s">
        <v>1233</v>
      </c>
      <c r="R544" s="34" t="s">
        <v>1244</v>
      </c>
      <c r="S544" s="38">
        <v>43286</v>
      </c>
      <c r="T544" s="38"/>
      <c r="U544" s="34" t="s">
        <v>1247</v>
      </c>
      <c r="V544" s="255" t="s">
        <v>3784</v>
      </c>
      <c r="W544" s="34"/>
      <c r="X544" s="3">
        <f t="shared" si="40"/>
        <v>-9</v>
      </c>
      <c r="Y544" s="3">
        <f t="shared" si="41"/>
        <v>9</v>
      </c>
    </row>
    <row r="545" spans="14:25">
      <c r="N545" s="34" t="s">
        <v>1244</v>
      </c>
      <c r="O545" s="34" t="s">
        <v>1234</v>
      </c>
      <c r="P545" s="34">
        <v>9</v>
      </c>
      <c r="Q545" s="34" t="s">
        <v>1233</v>
      </c>
      <c r="R545" s="34" t="s">
        <v>1244</v>
      </c>
      <c r="S545" s="38">
        <v>43286</v>
      </c>
      <c r="T545" s="38"/>
      <c r="U545" s="34" t="s">
        <v>1247</v>
      </c>
      <c r="V545" s="255" t="s">
        <v>3784</v>
      </c>
      <c r="W545" s="34"/>
      <c r="X545" s="3">
        <f t="shared" si="40"/>
        <v>-9</v>
      </c>
      <c r="Y545" s="3">
        <f t="shared" si="41"/>
        <v>9</v>
      </c>
    </row>
    <row r="546" spans="14:25">
      <c r="N546" s="34" t="s">
        <v>1244</v>
      </c>
      <c r="O546" s="34" t="s">
        <v>1236</v>
      </c>
      <c r="P546" s="34">
        <v>9</v>
      </c>
      <c r="Q546" s="34" t="s">
        <v>1233</v>
      </c>
      <c r="R546" s="34" t="s">
        <v>1244</v>
      </c>
      <c r="S546" s="38">
        <v>43286</v>
      </c>
      <c r="T546" s="38"/>
      <c r="U546" s="34" t="s">
        <v>1247</v>
      </c>
      <c r="V546" s="255" t="s">
        <v>3784</v>
      </c>
      <c r="W546" s="34"/>
      <c r="X546" s="3">
        <f t="shared" si="40"/>
        <v>-9</v>
      </c>
      <c r="Y546" s="3">
        <f t="shared" si="41"/>
        <v>9</v>
      </c>
    </row>
    <row r="547" spans="14:25">
      <c r="N547" s="34" t="s">
        <v>1244</v>
      </c>
      <c r="O547" s="34" t="s">
        <v>1236</v>
      </c>
      <c r="P547" s="34">
        <v>2</v>
      </c>
      <c r="Q547" s="34" t="s">
        <v>1282</v>
      </c>
      <c r="R547" s="34"/>
      <c r="S547" s="38">
        <v>43286</v>
      </c>
      <c r="T547" s="38"/>
      <c r="U547" s="34" t="s">
        <v>1247</v>
      </c>
      <c r="V547" s="255" t="s">
        <v>3785</v>
      </c>
      <c r="W547" s="34"/>
      <c r="X547" s="3">
        <f t="shared" si="40"/>
        <v>-2</v>
      </c>
      <c r="Y547" s="3" t="b">
        <f t="shared" si="41"/>
        <v>0</v>
      </c>
    </row>
    <row r="548" spans="14:25">
      <c r="N548" s="34" t="s">
        <v>1244</v>
      </c>
      <c r="O548" s="34" t="s">
        <v>1235</v>
      </c>
      <c r="P548" s="34">
        <v>57</v>
      </c>
      <c r="Q548" s="34" t="s">
        <v>1282</v>
      </c>
      <c r="R548" s="34" t="s">
        <v>1244</v>
      </c>
      <c r="S548" s="38">
        <v>43286</v>
      </c>
      <c r="T548" s="38"/>
      <c r="U548" s="34" t="s">
        <v>1247</v>
      </c>
      <c r="V548" s="255"/>
      <c r="W548" s="34"/>
      <c r="X548" s="3">
        <f t="shared" si="40"/>
        <v>-57</v>
      </c>
      <c r="Y548" s="3" t="b">
        <f t="shared" si="41"/>
        <v>0</v>
      </c>
    </row>
    <row r="549" spans="14:25">
      <c r="N549" s="34" t="s">
        <v>1244</v>
      </c>
      <c r="O549" s="34" t="s">
        <v>1228</v>
      </c>
      <c r="P549" s="34">
        <v>6</v>
      </c>
      <c r="Q549" s="34" t="s">
        <v>1282</v>
      </c>
      <c r="R549" s="34" t="s">
        <v>1244</v>
      </c>
      <c r="S549" s="38"/>
      <c r="T549" s="38"/>
      <c r="U549" s="34"/>
      <c r="V549" s="255" t="s">
        <v>3786</v>
      </c>
      <c r="W549" s="34"/>
      <c r="X549" s="3">
        <f>IF(OR(Q549="Stock to Rack",Q549="From Stock"),-P549,IF(OR(Q549="Rack to Stock",Q549="To Stock"),P549))</f>
        <v>-6</v>
      </c>
      <c r="Y549" s="3" t="b">
        <f>IF(Q549="Rack to Stock",-P549,IF(Q549="Stock to Rack",P549))</f>
        <v>0</v>
      </c>
    </row>
    <row r="550" spans="14:25">
      <c r="N550" s="34" t="s">
        <v>1244</v>
      </c>
      <c r="O550" s="34" t="s">
        <v>1243</v>
      </c>
      <c r="P550" s="34">
        <v>10</v>
      </c>
      <c r="Q550" s="34" t="s">
        <v>1229</v>
      </c>
      <c r="R550" s="34" t="s">
        <v>1244</v>
      </c>
      <c r="S550" s="38">
        <v>43286</v>
      </c>
      <c r="T550" s="38"/>
      <c r="U550" s="34" t="s">
        <v>1247</v>
      </c>
      <c r="V550" s="255"/>
      <c r="W550" s="34"/>
      <c r="X550" s="3">
        <f t="shared" si="40"/>
        <v>10</v>
      </c>
      <c r="Y550" s="3" t="b">
        <f t="shared" si="41"/>
        <v>0</v>
      </c>
    </row>
    <row r="551" spans="14:25">
      <c r="N551" s="34" t="s">
        <v>1244</v>
      </c>
      <c r="O551" s="34" t="s">
        <v>1238</v>
      </c>
      <c r="P551" s="34">
        <v>53</v>
      </c>
      <c r="Q551" s="34" t="s">
        <v>1229</v>
      </c>
      <c r="R551" s="34" t="s">
        <v>1244</v>
      </c>
      <c r="S551" s="38">
        <v>43286</v>
      </c>
      <c r="T551" s="38"/>
      <c r="U551" s="34" t="s">
        <v>1247</v>
      </c>
      <c r="V551" s="255"/>
      <c r="W551" s="34"/>
      <c r="X551" s="3">
        <f t="shared" si="40"/>
        <v>53</v>
      </c>
      <c r="Y551" s="3" t="b">
        <f t="shared" si="41"/>
        <v>0</v>
      </c>
    </row>
    <row r="552" spans="14:25">
      <c r="N552" s="34" t="s">
        <v>1244</v>
      </c>
      <c r="O552" s="34" t="s">
        <v>1237</v>
      </c>
      <c r="P552" s="34">
        <v>60</v>
      </c>
      <c r="Q552" s="34" t="s">
        <v>1229</v>
      </c>
      <c r="R552" s="34" t="s">
        <v>1244</v>
      </c>
      <c r="S552" s="38">
        <v>43286</v>
      </c>
      <c r="T552" s="38"/>
      <c r="U552" s="34" t="s">
        <v>1247</v>
      </c>
      <c r="V552" s="255"/>
      <c r="W552" s="34"/>
      <c r="X552" s="3">
        <f t="shared" si="40"/>
        <v>60</v>
      </c>
      <c r="Y552" s="3" t="b">
        <f t="shared" si="41"/>
        <v>0</v>
      </c>
    </row>
    <row r="553" spans="14:25">
      <c r="N553" s="34" t="s">
        <v>1244</v>
      </c>
      <c r="O553" s="34" t="s">
        <v>1234</v>
      </c>
      <c r="P553" s="34">
        <v>7</v>
      </c>
      <c r="Q553" s="34" t="s">
        <v>1282</v>
      </c>
      <c r="R553" s="34" t="s">
        <v>336</v>
      </c>
      <c r="S553" s="38">
        <v>43286</v>
      </c>
      <c r="T553" s="38"/>
      <c r="U553" s="34" t="s">
        <v>1247</v>
      </c>
      <c r="V553" s="255" t="s">
        <v>3787</v>
      </c>
      <c r="W553" s="34"/>
      <c r="X553" s="3">
        <f t="shared" si="40"/>
        <v>-7</v>
      </c>
      <c r="Y553" s="3" t="b">
        <f t="shared" si="41"/>
        <v>0</v>
      </c>
    </row>
    <row r="554" spans="14:25">
      <c r="N554" s="34" t="s">
        <v>1244</v>
      </c>
      <c r="O554" s="34" t="s">
        <v>1267</v>
      </c>
      <c r="P554" s="34">
        <v>11</v>
      </c>
      <c r="Q554" s="34" t="s">
        <v>1282</v>
      </c>
      <c r="R554" s="34" t="s">
        <v>1244</v>
      </c>
      <c r="S554" s="38">
        <v>43286</v>
      </c>
      <c r="T554" s="38"/>
      <c r="U554" s="34" t="s">
        <v>1247</v>
      </c>
      <c r="V554" s="255" t="s">
        <v>3788</v>
      </c>
      <c r="W554" s="34"/>
      <c r="X554" s="3">
        <f t="shared" si="40"/>
        <v>-11</v>
      </c>
      <c r="Y554" s="3" t="b">
        <f t="shared" si="41"/>
        <v>0</v>
      </c>
    </row>
    <row r="555" spans="14:25">
      <c r="N555" s="34" t="s">
        <v>0</v>
      </c>
      <c r="O555" s="34" t="s">
        <v>1228</v>
      </c>
      <c r="P555" s="34">
        <v>10</v>
      </c>
      <c r="Q555" s="34" t="s">
        <v>1229</v>
      </c>
      <c r="R555" s="34" t="s">
        <v>1245</v>
      </c>
      <c r="S555" s="38">
        <v>43287</v>
      </c>
      <c r="T555" s="38"/>
      <c r="U555" s="34" t="s">
        <v>2986</v>
      </c>
      <c r="V555" s="255" t="s">
        <v>4173</v>
      </c>
      <c r="W555" s="34" t="s">
        <v>4181</v>
      </c>
      <c r="X555" s="3">
        <f t="shared" si="40"/>
        <v>10</v>
      </c>
      <c r="Y555" s="3" t="b">
        <f t="shared" si="41"/>
        <v>0</v>
      </c>
    </row>
    <row r="556" spans="14:25">
      <c r="N556" s="34" t="s">
        <v>0</v>
      </c>
      <c r="O556" s="34" t="s">
        <v>1234</v>
      </c>
      <c r="P556" s="34">
        <v>10</v>
      </c>
      <c r="Q556" s="34" t="s">
        <v>1229</v>
      </c>
      <c r="R556" s="34" t="s">
        <v>1245</v>
      </c>
      <c r="S556" s="38">
        <v>43287</v>
      </c>
      <c r="T556" s="38"/>
      <c r="U556" s="34" t="s">
        <v>2986</v>
      </c>
      <c r="V556" s="255" t="s">
        <v>4173</v>
      </c>
      <c r="W556" s="34" t="s">
        <v>4181</v>
      </c>
      <c r="X556" s="3">
        <f t="shared" si="40"/>
        <v>10</v>
      </c>
      <c r="Y556" s="3" t="b">
        <f t="shared" si="41"/>
        <v>0</v>
      </c>
    </row>
    <row r="557" spans="14:25">
      <c r="N557" s="34" t="s">
        <v>0</v>
      </c>
      <c r="O557" s="34" t="s">
        <v>1338</v>
      </c>
      <c r="P557" s="34">
        <v>5</v>
      </c>
      <c r="Q557" s="34" t="s">
        <v>1229</v>
      </c>
      <c r="R557" s="34" t="s">
        <v>1245</v>
      </c>
      <c r="S557" s="38">
        <v>43287</v>
      </c>
      <c r="T557" s="38"/>
      <c r="U557" s="34" t="s">
        <v>2986</v>
      </c>
      <c r="V557" s="255" t="s">
        <v>4172</v>
      </c>
      <c r="W557" s="34" t="s">
        <v>4178</v>
      </c>
      <c r="X557" s="3">
        <f t="shared" si="40"/>
        <v>5</v>
      </c>
      <c r="Y557" s="3" t="b">
        <f t="shared" si="41"/>
        <v>0</v>
      </c>
    </row>
    <row r="558" spans="14:25">
      <c r="N558" s="34" t="s">
        <v>203</v>
      </c>
      <c r="O558" s="34" t="s">
        <v>1228</v>
      </c>
      <c r="P558" s="34">
        <v>20</v>
      </c>
      <c r="Q558" s="34" t="s">
        <v>1229</v>
      </c>
      <c r="R558" s="34" t="s">
        <v>1245</v>
      </c>
      <c r="S558" s="38">
        <v>43287</v>
      </c>
      <c r="T558" s="38"/>
      <c r="U558" s="34" t="s">
        <v>2986</v>
      </c>
      <c r="V558" s="255" t="s">
        <v>4174</v>
      </c>
      <c r="W558" s="34" t="s">
        <v>4182</v>
      </c>
      <c r="X558" s="3">
        <f t="shared" si="40"/>
        <v>20</v>
      </c>
      <c r="Y558" s="3" t="b">
        <f t="shared" si="41"/>
        <v>0</v>
      </c>
    </row>
    <row r="559" spans="14:25">
      <c r="N559" s="34" t="s">
        <v>203</v>
      </c>
      <c r="O559" s="34" t="s">
        <v>1234</v>
      </c>
      <c r="P559" s="34">
        <v>20</v>
      </c>
      <c r="Q559" s="34" t="s">
        <v>1229</v>
      </c>
      <c r="R559" s="34" t="s">
        <v>1245</v>
      </c>
      <c r="S559" s="38">
        <v>43287</v>
      </c>
      <c r="T559" s="38"/>
      <c r="U559" s="34" t="s">
        <v>2986</v>
      </c>
      <c r="V559" s="255" t="s">
        <v>4174</v>
      </c>
      <c r="W559" s="253" t="s">
        <v>4182</v>
      </c>
      <c r="X559" s="3">
        <f t="shared" ref="X559:X622" si="42">IF(OR(Q559="Stock to Rack",Q559="From Stock"),-P559,IF(OR(Q559="Rack to Stock",Q559="To Stock"),P559))</f>
        <v>20</v>
      </c>
      <c r="Y559" s="3" t="b">
        <f t="shared" ref="Y559:Y622" si="43">IF(Q559="Rack to Stock",-P559,IF(Q559="Stock to Rack",P559))</f>
        <v>0</v>
      </c>
    </row>
    <row r="560" spans="14:25">
      <c r="N560" s="34" t="s">
        <v>203</v>
      </c>
      <c r="O560" s="34" t="s">
        <v>1338</v>
      </c>
      <c r="P560" s="34">
        <v>15</v>
      </c>
      <c r="Q560" s="34" t="s">
        <v>1229</v>
      </c>
      <c r="R560" s="34" t="s">
        <v>1245</v>
      </c>
      <c r="S560" s="38">
        <v>43287</v>
      </c>
      <c r="T560" s="38"/>
      <c r="U560" s="34" t="s">
        <v>2986</v>
      </c>
      <c r="V560" s="255" t="s">
        <v>4175</v>
      </c>
      <c r="W560" s="34" t="s">
        <v>4179</v>
      </c>
      <c r="X560" s="3">
        <f t="shared" si="42"/>
        <v>15</v>
      </c>
      <c r="Y560" s="3" t="b">
        <f t="shared" si="43"/>
        <v>0</v>
      </c>
    </row>
    <row r="561" spans="14:25">
      <c r="N561" s="34" t="s">
        <v>336</v>
      </c>
      <c r="O561" s="34" t="s">
        <v>1228</v>
      </c>
      <c r="P561" s="34">
        <v>15</v>
      </c>
      <c r="Q561" s="34" t="s">
        <v>1229</v>
      </c>
      <c r="R561" s="34" t="s">
        <v>1245</v>
      </c>
      <c r="S561" s="38">
        <v>43287</v>
      </c>
      <c r="T561" s="38"/>
      <c r="U561" s="34" t="s">
        <v>2986</v>
      </c>
      <c r="V561" s="255" t="s">
        <v>4176</v>
      </c>
      <c r="W561" s="34" t="s">
        <v>4183</v>
      </c>
      <c r="X561" s="3">
        <f t="shared" si="42"/>
        <v>15</v>
      </c>
      <c r="Y561" s="3" t="b">
        <f t="shared" si="43"/>
        <v>0</v>
      </c>
    </row>
    <row r="562" spans="14:25">
      <c r="N562" s="34" t="s">
        <v>336</v>
      </c>
      <c r="O562" s="34" t="s">
        <v>1234</v>
      </c>
      <c r="P562" s="34">
        <v>15</v>
      </c>
      <c r="Q562" s="34" t="s">
        <v>1229</v>
      </c>
      <c r="R562" s="34" t="s">
        <v>1245</v>
      </c>
      <c r="S562" s="38">
        <v>43287</v>
      </c>
      <c r="T562" s="38"/>
      <c r="U562" s="34" t="s">
        <v>2986</v>
      </c>
      <c r="V562" s="255" t="s">
        <v>4176</v>
      </c>
      <c r="W562" s="253" t="s">
        <v>4183</v>
      </c>
      <c r="X562" s="3">
        <f t="shared" si="42"/>
        <v>15</v>
      </c>
      <c r="Y562" s="3" t="b">
        <f t="shared" si="43"/>
        <v>0</v>
      </c>
    </row>
    <row r="563" spans="14:25">
      <c r="N563" s="34" t="s">
        <v>336</v>
      </c>
      <c r="O563" s="34" t="s">
        <v>1338</v>
      </c>
      <c r="P563" s="34">
        <v>10</v>
      </c>
      <c r="Q563" s="34" t="s">
        <v>1229</v>
      </c>
      <c r="R563" s="34" t="s">
        <v>1245</v>
      </c>
      <c r="S563" s="38">
        <v>43287</v>
      </c>
      <c r="T563" s="38"/>
      <c r="U563" s="34" t="s">
        <v>2986</v>
      </c>
      <c r="V563" s="255" t="s">
        <v>4177</v>
      </c>
      <c r="W563" s="34" t="s">
        <v>4180</v>
      </c>
      <c r="X563" s="3">
        <f t="shared" si="42"/>
        <v>10</v>
      </c>
      <c r="Y563" s="3" t="b">
        <f t="shared" si="43"/>
        <v>0</v>
      </c>
    </row>
    <row r="564" spans="14:25">
      <c r="N564" s="34" t="s">
        <v>364</v>
      </c>
      <c r="O564" s="34" t="s">
        <v>1228</v>
      </c>
      <c r="P564" s="34">
        <v>5</v>
      </c>
      <c r="Q564" s="34" t="s">
        <v>1229</v>
      </c>
      <c r="R564" s="34" t="s">
        <v>1245</v>
      </c>
      <c r="S564" s="38">
        <v>43287</v>
      </c>
      <c r="T564" s="38"/>
      <c r="U564" s="34" t="s">
        <v>2986</v>
      </c>
      <c r="V564" s="255" t="s">
        <v>4171</v>
      </c>
      <c r="W564" s="34"/>
      <c r="X564" s="3">
        <f t="shared" si="42"/>
        <v>5</v>
      </c>
      <c r="Y564" s="3" t="b">
        <f t="shared" si="43"/>
        <v>0</v>
      </c>
    </row>
    <row r="565" spans="14:25">
      <c r="N565" s="34" t="s">
        <v>364</v>
      </c>
      <c r="O565" s="34" t="s">
        <v>1234</v>
      </c>
      <c r="P565" s="34">
        <v>5</v>
      </c>
      <c r="Q565" s="34" t="s">
        <v>1229</v>
      </c>
      <c r="R565" s="34" t="s">
        <v>1245</v>
      </c>
      <c r="S565" s="38">
        <v>43287</v>
      </c>
      <c r="T565" s="38"/>
      <c r="U565" s="34" t="s">
        <v>2986</v>
      </c>
      <c r="V565" s="255" t="s">
        <v>4171</v>
      </c>
      <c r="W565" s="34"/>
      <c r="X565" s="3">
        <f t="shared" si="42"/>
        <v>5</v>
      </c>
      <c r="Y565" s="3" t="b">
        <f t="shared" si="43"/>
        <v>0</v>
      </c>
    </row>
    <row r="566" spans="14:25">
      <c r="N566" s="34" t="s">
        <v>364</v>
      </c>
      <c r="O566" s="34" t="s">
        <v>1338</v>
      </c>
      <c r="P566" s="34">
        <v>2</v>
      </c>
      <c r="Q566" s="34" t="s">
        <v>1229</v>
      </c>
      <c r="R566" s="34" t="s">
        <v>1245</v>
      </c>
      <c r="S566" s="38">
        <v>43287</v>
      </c>
      <c r="T566" s="38"/>
      <c r="U566" s="34" t="s">
        <v>2986</v>
      </c>
      <c r="V566" s="255" t="s">
        <v>4171</v>
      </c>
      <c r="W566" s="34"/>
      <c r="X566" s="3">
        <f t="shared" si="42"/>
        <v>2</v>
      </c>
      <c r="Y566" s="3" t="b">
        <f t="shared" si="43"/>
        <v>0</v>
      </c>
    </row>
    <row r="567" spans="14:25">
      <c r="N567" s="34" t="s">
        <v>0</v>
      </c>
      <c r="O567" s="34" t="s">
        <v>1234</v>
      </c>
      <c r="P567" s="34">
        <v>10</v>
      </c>
      <c r="Q567" s="34" t="s">
        <v>1229</v>
      </c>
      <c r="R567" s="34" t="s">
        <v>364</v>
      </c>
      <c r="S567" s="38">
        <v>43290</v>
      </c>
      <c r="T567" s="38">
        <v>43298</v>
      </c>
      <c r="U567" s="34" t="s">
        <v>1275</v>
      </c>
      <c r="V567" s="255"/>
      <c r="W567" s="34" t="s">
        <v>4184</v>
      </c>
      <c r="X567" s="3">
        <f t="shared" si="42"/>
        <v>10</v>
      </c>
      <c r="Y567" s="3" t="b">
        <f t="shared" si="43"/>
        <v>0</v>
      </c>
    </row>
    <row r="568" spans="14:25">
      <c r="N568" s="34" t="s">
        <v>0</v>
      </c>
      <c r="O568" s="34" t="s">
        <v>1228</v>
      </c>
      <c r="P568" s="34">
        <v>10</v>
      </c>
      <c r="Q568" s="34" t="s">
        <v>1229</v>
      </c>
      <c r="R568" s="34" t="s">
        <v>364</v>
      </c>
      <c r="S568" s="38">
        <v>43290</v>
      </c>
      <c r="T568" s="38">
        <v>43298</v>
      </c>
      <c r="U568" s="34" t="s">
        <v>1275</v>
      </c>
      <c r="V568" s="255"/>
      <c r="W568" s="34" t="s">
        <v>4184</v>
      </c>
      <c r="X568" s="3">
        <f t="shared" si="42"/>
        <v>10</v>
      </c>
      <c r="Y568" s="3" t="b">
        <f t="shared" si="43"/>
        <v>0</v>
      </c>
    </row>
    <row r="569" spans="14:25">
      <c r="N569" s="34" t="s">
        <v>0</v>
      </c>
      <c r="O569" s="34" t="s">
        <v>1338</v>
      </c>
      <c r="P569" s="34">
        <v>5</v>
      </c>
      <c r="Q569" s="34" t="s">
        <v>1229</v>
      </c>
      <c r="R569" s="34" t="s">
        <v>364</v>
      </c>
      <c r="S569" s="38">
        <v>43290</v>
      </c>
      <c r="T569" s="38">
        <v>43298</v>
      </c>
      <c r="U569" s="34" t="s">
        <v>1275</v>
      </c>
      <c r="V569" s="255"/>
      <c r="W569" s="34" t="s">
        <v>4185</v>
      </c>
      <c r="X569" s="3">
        <f t="shared" si="42"/>
        <v>5</v>
      </c>
      <c r="Y569" s="3" t="b">
        <f t="shared" si="43"/>
        <v>0</v>
      </c>
    </row>
    <row r="570" spans="14:25">
      <c r="N570" s="34" t="s">
        <v>0</v>
      </c>
      <c r="O570" s="34" t="s">
        <v>1237</v>
      </c>
      <c r="P570" s="34">
        <v>20</v>
      </c>
      <c r="Q570" s="34" t="s">
        <v>1233</v>
      </c>
      <c r="R570" s="34" t="s">
        <v>0</v>
      </c>
      <c r="S570" s="38">
        <v>43298</v>
      </c>
      <c r="T570" s="38"/>
      <c r="U570" s="34" t="s">
        <v>1275</v>
      </c>
      <c r="V570" s="255" t="s">
        <v>4186</v>
      </c>
      <c r="W570" s="34"/>
      <c r="X570" s="3">
        <f t="shared" si="42"/>
        <v>-20</v>
      </c>
      <c r="Y570" s="3">
        <f t="shared" si="43"/>
        <v>20</v>
      </c>
    </row>
    <row r="571" spans="14:25">
      <c r="N571" s="34" t="s">
        <v>0</v>
      </c>
      <c r="O571" s="34" t="s">
        <v>1228</v>
      </c>
      <c r="P571" s="34">
        <v>10</v>
      </c>
      <c r="Q571" s="34" t="s">
        <v>1233</v>
      </c>
      <c r="R571" s="34" t="s">
        <v>0</v>
      </c>
      <c r="S571" s="38">
        <v>43298</v>
      </c>
      <c r="T571" s="38"/>
      <c r="U571" s="34" t="s">
        <v>1275</v>
      </c>
      <c r="V571" s="255" t="s">
        <v>4186</v>
      </c>
      <c r="W571" s="34"/>
      <c r="X571" s="3">
        <f t="shared" si="42"/>
        <v>-10</v>
      </c>
      <c r="Y571" s="3">
        <f t="shared" si="43"/>
        <v>10</v>
      </c>
    </row>
    <row r="572" spans="14:25">
      <c r="N572" s="34" t="s">
        <v>0</v>
      </c>
      <c r="O572" s="34" t="s">
        <v>1236</v>
      </c>
      <c r="P572" s="34">
        <v>12</v>
      </c>
      <c r="Q572" s="34" t="s">
        <v>1233</v>
      </c>
      <c r="R572" s="34" t="s">
        <v>0</v>
      </c>
      <c r="S572" s="38">
        <v>43298</v>
      </c>
      <c r="T572" s="38"/>
      <c r="U572" s="34" t="s">
        <v>1275</v>
      </c>
      <c r="V572" s="255" t="s">
        <v>4186</v>
      </c>
      <c r="W572" s="34"/>
      <c r="X572" s="3">
        <f t="shared" si="42"/>
        <v>-12</v>
      </c>
      <c r="Y572" s="3">
        <f t="shared" si="43"/>
        <v>12</v>
      </c>
    </row>
    <row r="573" spans="14:25">
      <c r="N573" s="34" t="s">
        <v>0</v>
      </c>
      <c r="O573" s="34" t="s">
        <v>1234</v>
      </c>
      <c r="P573" s="34">
        <v>10</v>
      </c>
      <c r="Q573" s="34" t="s">
        <v>1233</v>
      </c>
      <c r="R573" s="34" t="s">
        <v>0</v>
      </c>
      <c r="S573" s="38">
        <v>43298</v>
      </c>
      <c r="T573" s="38"/>
      <c r="U573" s="34" t="s">
        <v>1275</v>
      </c>
      <c r="V573" s="255" t="s">
        <v>4186</v>
      </c>
      <c r="W573" s="34"/>
      <c r="X573" s="3">
        <f t="shared" si="42"/>
        <v>-10</v>
      </c>
      <c r="Y573" s="3">
        <f t="shared" si="43"/>
        <v>10</v>
      </c>
    </row>
    <row r="574" spans="14:25">
      <c r="N574" s="34" t="s">
        <v>0</v>
      </c>
      <c r="O574" s="34" t="s">
        <v>1235</v>
      </c>
      <c r="P574" s="34">
        <v>10</v>
      </c>
      <c r="Q574" s="34" t="s">
        <v>1233</v>
      </c>
      <c r="R574" s="34" t="s">
        <v>0</v>
      </c>
      <c r="S574" s="38">
        <v>43298</v>
      </c>
      <c r="T574" s="38"/>
      <c r="U574" s="34" t="s">
        <v>1275</v>
      </c>
      <c r="V574" s="255" t="s">
        <v>4186</v>
      </c>
      <c r="W574" s="34"/>
      <c r="X574" s="3">
        <f t="shared" si="42"/>
        <v>-10</v>
      </c>
      <c r="Y574" s="3">
        <f t="shared" si="43"/>
        <v>10</v>
      </c>
    </row>
    <row r="575" spans="14:25">
      <c r="N575" s="34" t="s">
        <v>0</v>
      </c>
      <c r="O575" s="34" t="s">
        <v>1238</v>
      </c>
      <c r="P575" s="34">
        <v>12</v>
      </c>
      <c r="Q575" s="34" t="s">
        <v>1233</v>
      </c>
      <c r="R575" s="34" t="s">
        <v>0</v>
      </c>
      <c r="S575" s="38">
        <v>43298</v>
      </c>
      <c r="T575" s="38"/>
      <c r="U575" s="34" t="s">
        <v>1275</v>
      </c>
      <c r="V575" s="255" t="s">
        <v>4186</v>
      </c>
      <c r="W575" s="34"/>
      <c r="X575" s="3">
        <f t="shared" si="42"/>
        <v>-12</v>
      </c>
      <c r="Y575" s="3">
        <f t="shared" si="43"/>
        <v>12</v>
      </c>
    </row>
    <row r="576" spans="14:25">
      <c r="N576" s="34" t="s">
        <v>336</v>
      </c>
      <c r="O576" s="34" t="s">
        <v>1228</v>
      </c>
      <c r="P576" s="34">
        <v>3</v>
      </c>
      <c r="Q576" s="34" t="s">
        <v>1233</v>
      </c>
      <c r="R576" s="34" t="s">
        <v>336</v>
      </c>
      <c r="S576" s="38">
        <v>43298</v>
      </c>
      <c r="T576" s="38"/>
      <c r="U576" s="34" t="s">
        <v>1260</v>
      </c>
      <c r="V576" s="255" t="s">
        <v>4189</v>
      </c>
      <c r="W576" s="34"/>
      <c r="X576" s="3">
        <f t="shared" si="42"/>
        <v>-3</v>
      </c>
      <c r="Y576" s="3">
        <f t="shared" si="43"/>
        <v>3</v>
      </c>
    </row>
    <row r="577" spans="14:25">
      <c r="N577" s="34" t="s">
        <v>336</v>
      </c>
      <c r="O577" s="34" t="s">
        <v>1234</v>
      </c>
      <c r="P577" s="34">
        <v>3</v>
      </c>
      <c r="Q577" s="34" t="s">
        <v>1233</v>
      </c>
      <c r="R577" s="34" t="s">
        <v>336</v>
      </c>
      <c r="S577" s="38">
        <v>43298</v>
      </c>
      <c r="T577" s="38"/>
      <c r="U577" s="34" t="s">
        <v>1260</v>
      </c>
      <c r="V577" s="255" t="s">
        <v>4186</v>
      </c>
      <c r="W577" s="34"/>
      <c r="X577" s="3">
        <f t="shared" si="42"/>
        <v>-3</v>
      </c>
      <c r="Y577" s="3">
        <f t="shared" si="43"/>
        <v>3</v>
      </c>
    </row>
    <row r="578" spans="14:25">
      <c r="N578" s="34" t="s">
        <v>336</v>
      </c>
      <c r="O578" s="34" t="s">
        <v>1243</v>
      </c>
      <c r="P578" s="34">
        <v>3</v>
      </c>
      <c r="Q578" s="34" t="s">
        <v>1233</v>
      </c>
      <c r="R578" s="34" t="s">
        <v>336</v>
      </c>
      <c r="S578" s="38">
        <v>43298</v>
      </c>
      <c r="T578" s="38"/>
      <c r="U578" s="34" t="s">
        <v>1260</v>
      </c>
      <c r="V578" s="255" t="s">
        <v>4186</v>
      </c>
      <c r="W578" s="34"/>
      <c r="X578" s="3">
        <f t="shared" si="42"/>
        <v>-3</v>
      </c>
      <c r="Y578" s="3">
        <f t="shared" si="43"/>
        <v>3</v>
      </c>
    </row>
    <row r="579" spans="14:25">
      <c r="N579" s="34" t="s">
        <v>336</v>
      </c>
      <c r="O579" s="34" t="s">
        <v>1238</v>
      </c>
      <c r="P579" s="34">
        <v>3</v>
      </c>
      <c r="Q579" s="34" t="s">
        <v>1233</v>
      </c>
      <c r="R579" s="34" t="s">
        <v>336</v>
      </c>
      <c r="S579" s="38">
        <v>43298</v>
      </c>
      <c r="T579" s="38"/>
      <c r="U579" s="34" t="s">
        <v>1260</v>
      </c>
      <c r="V579" s="255" t="s">
        <v>4190</v>
      </c>
      <c r="W579" s="34"/>
      <c r="X579" s="3">
        <f t="shared" si="42"/>
        <v>-3</v>
      </c>
      <c r="Y579" s="3">
        <f t="shared" si="43"/>
        <v>3</v>
      </c>
    </row>
    <row r="580" spans="14:25">
      <c r="N580" s="34" t="s">
        <v>336</v>
      </c>
      <c r="O580" s="34" t="s">
        <v>1237</v>
      </c>
      <c r="P580" s="34">
        <v>12</v>
      </c>
      <c r="Q580" s="34" t="s">
        <v>1233</v>
      </c>
      <c r="R580" s="34" t="s">
        <v>336</v>
      </c>
      <c r="S580" s="38">
        <v>43298</v>
      </c>
      <c r="T580" s="38"/>
      <c r="U580" s="34" t="s">
        <v>1260</v>
      </c>
      <c r="V580" s="255" t="s">
        <v>4186</v>
      </c>
      <c r="W580" s="34"/>
      <c r="X580" s="3">
        <f t="shared" si="42"/>
        <v>-12</v>
      </c>
      <c r="Y580" s="3">
        <f t="shared" si="43"/>
        <v>12</v>
      </c>
    </row>
    <row r="581" spans="14:25">
      <c r="N581" s="34" t="s">
        <v>336</v>
      </c>
      <c r="O581" s="34" t="s">
        <v>1235</v>
      </c>
      <c r="P581" s="34">
        <v>3</v>
      </c>
      <c r="Q581" s="34" t="s">
        <v>1233</v>
      </c>
      <c r="R581" s="34" t="s">
        <v>336</v>
      </c>
      <c r="S581" s="38">
        <v>43298</v>
      </c>
      <c r="T581" s="38"/>
      <c r="U581" s="34" t="s">
        <v>1260</v>
      </c>
      <c r="V581" s="255" t="s">
        <v>4186</v>
      </c>
      <c r="W581" s="34"/>
      <c r="X581" s="3">
        <f t="shared" si="42"/>
        <v>-3</v>
      </c>
      <c r="Y581" s="3">
        <f t="shared" si="43"/>
        <v>3</v>
      </c>
    </row>
    <row r="582" spans="14:25">
      <c r="N582" s="34" t="s">
        <v>336</v>
      </c>
      <c r="O582" s="34" t="s">
        <v>1236</v>
      </c>
      <c r="P582" s="34">
        <v>6</v>
      </c>
      <c r="Q582" s="34" t="s">
        <v>1233</v>
      </c>
      <c r="R582" s="34" t="s">
        <v>336</v>
      </c>
      <c r="S582" s="38">
        <v>43298</v>
      </c>
      <c r="T582" s="38"/>
      <c r="U582" s="34" t="s">
        <v>1260</v>
      </c>
      <c r="V582" s="255" t="s">
        <v>4189</v>
      </c>
      <c r="W582" s="34"/>
      <c r="X582" s="3">
        <f t="shared" si="42"/>
        <v>-6</v>
      </c>
      <c r="Y582" s="3">
        <f t="shared" si="43"/>
        <v>6</v>
      </c>
    </row>
    <row r="583" spans="14:25">
      <c r="N583" s="34" t="s">
        <v>336</v>
      </c>
      <c r="O583" s="34" t="s">
        <v>1338</v>
      </c>
      <c r="P583" s="34">
        <v>3</v>
      </c>
      <c r="Q583" s="34" t="s">
        <v>1233</v>
      </c>
      <c r="R583" s="34" t="s">
        <v>336</v>
      </c>
      <c r="S583" s="38">
        <v>43298</v>
      </c>
      <c r="T583" s="38"/>
      <c r="U583" s="34" t="s">
        <v>1260</v>
      </c>
      <c r="V583" s="255" t="s">
        <v>4190</v>
      </c>
      <c r="W583" s="34"/>
      <c r="X583" s="3">
        <f t="shared" si="42"/>
        <v>-3</v>
      </c>
      <c r="Y583" s="3">
        <f t="shared" si="43"/>
        <v>3</v>
      </c>
    </row>
    <row r="584" spans="14:25">
      <c r="N584" s="34" t="s">
        <v>336</v>
      </c>
      <c r="O584" s="34" t="s">
        <v>1228</v>
      </c>
      <c r="P584" s="34">
        <v>2</v>
      </c>
      <c r="Q584" s="34" t="s">
        <v>1233</v>
      </c>
      <c r="R584" s="34" t="s">
        <v>336</v>
      </c>
      <c r="S584" s="38">
        <v>43298</v>
      </c>
      <c r="T584" s="38"/>
      <c r="U584" s="34" t="s">
        <v>1260</v>
      </c>
      <c r="V584" s="255" t="s">
        <v>4191</v>
      </c>
      <c r="W584" s="34"/>
      <c r="X584" s="3">
        <f t="shared" si="42"/>
        <v>-2</v>
      </c>
      <c r="Y584" s="3">
        <f t="shared" si="43"/>
        <v>2</v>
      </c>
    </row>
    <row r="585" spans="14:25">
      <c r="N585" s="34" t="s">
        <v>336</v>
      </c>
      <c r="O585" s="34" t="s">
        <v>1234</v>
      </c>
      <c r="P585" s="34">
        <v>2</v>
      </c>
      <c r="Q585" s="34" t="s">
        <v>1233</v>
      </c>
      <c r="R585" s="34" t="s">
        <v>336</v>
      </c>
      <c r="S585" s="38">
        <v>43298</v>
      </c>
      <c r="T585" s="38"/>
      <c r="U585" s="34" t="s">
        <v>1260</v>
      </c>
      <c r="V585" s="255" t="s">
        <v>4191</v>
      </c>
      <c r="W585" s="34"/>
      <c r="X585" s="3">
        <f t="shared" si="42"/>
        <v>-2</v>
      </c>
      <c r="Y585" s="3">
        <f t="shared" si="43"/>
        <v>2</v>
      </c>
    </row>
    <row r="586" spans="14:25">
      <c r="N586" s="34" t="s">
        <v>336</v>
      </c>
      <c r="O586" s="34" t="s">
        <v>1235</v>
      </c>
      <c r="P586" s="34">
        <v>2</v>
      </c>
      <c r="Q586" s="34" t="s">
        <v>1233</v>
      </c>
      <c r="R586" s="34" t="s">
        <v>336</v>
      </c>
      <c r="S586" s="38">
        <v>43298</v>
      </c>
      <c r="T586" s="38"/>
      <c r="U586" s="34" t="s">
        <v>1260</v>
      </c>
      <c r="V586" s="255" t="s">
        <v>4191</v>
      </c>
      <c r="W586" s="34"/>
      <c r="X586" s="3">
        <f t="shared" si="42"/>
        <v>-2</v>
      </c>
      <c r="Y586" s="3">
        <f t="shared" si="43"/>
        <v>2</v>
      </c>
    </row>
    <row r="587" spans="14:25">
      <c r="N587" s="34" t="s">
        <v>336</v>
      </c>
      <c r="O587" s="34" t="s">
        <v>1267</v>
      </c>
      <c r="P587" s="34">
        <v>2</v>
      </c>
      <c r="Q587" s="34" t="s">
        <v>1233</v>
      </c>
      <c r="R587" s="34" t="s">
        <v>336</v>
      </c>
      <c r="S587" s="38">
        <v>43298</v>
      </c>
      <c r="T587" s="38"/>
      <c r="U587" s="34" t="s">
        <v>1260</v>
      </c>
      <c r="V587" s="255" t="s">
        <v>4191</v>
      </c>
      <c r="W587" s="34"/>
      <c r="X587" s="3">
        <f t="shared" si="42"/>
        <v>-2</v>
      </c>
      <c r="Y587" s="3">
        <f t="shared" si="43"/>
        <v>2</v>
      </c>
    </row>
    <row r="588" spans="14:25">
      <c r="N588" s="34" t="s">
        <v>336</v>
      </c>
      <c r="O588" s="34" t="s">
        <v>1236</v>
      </c>
      <c r="P588" s="34">
        <v>2</v>
      </c>
      <c r="Q588" s="34" t="s">
        <v>1233</v>
      </c>
      <c r="R588" s="34" t="s">
        <v>336</v>
      </c>
      <c r="S588" s="38">
        <v>43298</v>
      </c>
      <c r="T588" s="38"/>
      <c r="U588" s="34" t="s">
        <v>1260</v>
      </c>
      <c r="V588" s="255" t="s">
        <v>4192</v>
      </c>
      <c r="W588" s="34"/>
      <c r="X588" s="3">
        <f t="shared" si="42"/>
        <v>-2</v>
      </c>
      <c r="Y588" s="3">
        <f t="shared" si="43"/>
        <v>2</v>
      </c>
    </row>
    <row r="589" spans="14:25">
      <c r="N589" s="34" t="s">
        <v>336</v>
      </c>
      <c r="O589" s="34" t="s">
        <v>1238</v>
      </c>
      <c r="P589" s="34">
        <v>2</v>
      </c>
      <c r="Q589" s="34" t="s">
        <v>1233</v>
      </c>
      <c r="R589" s="34" t="s">
        <v>336</v>
      </c>
      <c r="S589" s="38">
        <v>43298</v>
      </c>
      <c r="T589" s="38"/>
      <c r="U589" s="34" t="s">
        <v>1260</v>
      </c>
      <c r="V589" s="255" t="s">
        <v>4192</v>
      </c>
      <c r="W589" s="34"/>
      <c r="X589" s="3">
        <f t="shared" si="42"/>
        <v>-2</v>
      </c>
      <c r="Y589" s="3">
        <f t="shared" si="43"/>
        <v>2</v>
      </c>
    </row>
    <row r="590" spans="14:25">
      <c r="N590" s="34" t="s">
        <v>336</v>
      </c>
      <c r="O590" s="34" t="s">
        <v>1237</v>
      </c>
      <c r="P590" s="34">
        <v>8</v>
      </c>
      <c r="Q590" s="34" t="s">
        <v>1233</v>
      </c>
      <c r="R590" s="34" t="s">
        <v>336</v>
      </c>
      <c r="S590" s="38">
        <v>43298</v>
      </c>
      <c r="T590" s="38"/>
      <c r="U590" s="34" t="s">
        <v>1260</v>
      </c>
      <c r="V590" s="255" t="s">
        <v>4192</v>
      </c>
      <c r="W590" s="34"/>
      <c r="X590" s="3">
        <f t="shared" si="42"/>
        <v>-8</v>
      </c>
      <c r="Y590" s="3">
        <f t="shared" si="43"/>
        <v>8</v>
      </c>
    </row>
    <row r="591" spans="14:25">
      <c r="N591" s="34" t="s">
        <v>336</v>
      </c>
      <c r="O591" s="34" t="s">
        <v>1243</v>
      </c>
      <c r="P591" s="34">
        <v>2</v>
      </c>
      <c r="Q591" s="34" t="s">
        <v>1233</v>
      </c>
      <c r="R591" s="34" t="s">
        <v>336</v>
      </c>
      <c r="S591" s="38">
        <v>43298</v>
      </c>
      <c r="T591" s="38"/>
      <c r="U591" s="34" t="s">
        <v>1260</v>
      </c>
      <c r="V591" s="255" t="s">
        <v>4192</v>
      </c>
      <c r="W591" s="34"/>
      <c r="X591" s="3">
        <f t="shared" si="42"/>
        <v>-2</v>
      </c>
      <c r="Y591" s="3">
        <f t="shared" si="43"/>
        <v>2</v>
      </c>
    </row>
    <row r="592" spans="14:25">
      <c r="N592" s="34" t="s">
        <v>336</v>
      </c>
      <c r="O592" s="34" t="s">
        <v>1267</v>
      </c>
      <c r="P592" s="34">
        <v>20</v>
      </c>
      <c r="Q592" s="34" t="s">
        <v>1229</v>
      </c>
      <c r="R592" s="34" t="s">
        <v>336</v>
      </c>
      <c r="S592" s="38">
        <v>43296</v>
      </c>
      <c r="T592" s="38"/>
      <c r="U592" s="34" t="s">
        <v>1260</v>
      </c>
      <c r="V592" s="255"/>
      <c r="W592" s="34"/>
      <c r="X592" s="3">
        <f t="shared" si="42"/>
        <v>20</v>
      </c>
      <c r="Y592" s="3" t="b">
        <f t="shared" si="43"/>
        <v>0</v>
      </c>
    </row>
    <row r="593" spans="14:25">
      <c r="N593" s="34" t="s">
        <v>203</v>
      </c>
      <c r="O593" s="34" t="s">
        <v>1267</v>
      </c>
      <c r="P593" s="34">
        <v>5</v>
      </c>
      <c r="Q593" s="34" t="s">
        <v>1233</v>
      </c>
      <c r="R593" s="34" t="s">
        <v>203</v>
      </c>
      <c r="S593" s="38">
        <v>43287</v>
      </c>
      <c r="T593" s="38"/>
      <c r="U593" s="34" t="s">
        <v>4193</v>
      </c>
      <c r="V593" s="255">
        <v>7560</v>
      </c>
      <c r="W593" s="34"/>
      <c r="X593" s="3">
        <f t="shared" si="42"/>
        <v>-5</v>
      </c>
      <c r="Y593" s="3">
        <f t="shared" si="43"/>
        <v>5</v>
      </c>
    </row>
    <row r="594" spans="14:25">
      <c r="N594" s="34" t="s">
        <v>203</v>
      </c>
      <c r="O594" s="34" t="s">
        <v>1236</v>
      </c>
      <c r="P594" s="34">
        <v>3</v>
      </c>
      <c r="Q594" s="34" t="s">
        <v>1233</v>
      </c>
      <c r="R594" s="34" t="s">
        <v>203</v>
      </c>
      <c r="S594" s="38">
        <v>43291</v>
      </c>
      <c r="T594" s="38"/>
      <c r="U594" s="34" t="s">
        <v>4193</v>
      </c>
      <c r="V594" s="255">
        <v>7560</v>
      </c>
      <c r="W594" s="34"/>
      <c r="X594" s="3">
        <f t="shared" si="42"/>
        <v>-3</v>
      </c>
      <c r="Y594" s="3">
        <f t="shared" si="43"/>
        <v>3</v>
      </c>
    </row>
    <row r="595" spans="14:25">
      <c r="N595" s="34" t="s">
        <v>203</v>
      </c>
      <c r="O595" s="34" t="s">
        <v>1237</v>
      </c>
      <c r="P595" s="34">
        <v>70</v>
      </c>
      <c r="Q595" s="34" t="s">
        <v>1233</v>
      </c>
      <c r="R595" s="34" t="s">
        <v>203</v>
      </c>
      <c r="S595" s="38">
        <v>43298</v>
      </c>
      <c r="T595" s="38"/>
      <c r="U595" s="34" t="s">
        <v>4193</v>
      </c>
      <c r="V595" s="255" t="s">
        <v>96</v>
      </c>
      <c r="W595" s="34"/>
      <c r="X595" s="3">
        <f t="shared" si="42"/>
        <v>-70</v>
      </c>
      <c r="Y595" s="3">
        <f t="shared" si="43"/>
        <v>70</v>
      </c>
    </row>
    <row r="596" spans="14:25">
      <c r="N596" s="34" t="s">
        <v>203</v>
      </c>
      <c r="O596" s="34" t="s">
        <v>1237</v>
      </c>
      <c r="P596" s="34">
        <v>106</v>
      </c>
      <c r="Q596" s="34" t="s">
        <v>1233</v>
      </c>
      <c r="R596" s="34" t="s">
        <v>203</v>
      </c>
      <c r="S596" s="38">
        <v>43245</v>
      </c>
      <c r="T596" s="38"/>
      <c r="U596" s="34" t="s">
        <v>4193</v>
      </c>
      <c r="V596" s="255">
        <v>7560</v>
      </c>
      <c r="W596" s="34"/>
      <c r="X596" s="3">
        <f t="shared" si="42"/>
        <v>-106</v>
      </c>
      <c r="Y596" s="3">
        <f t="shared" si="43"/>
        <v>106</v>
      </c>
    </row>
    <row r="597" spans="14:25">
      <c r="N597" s="34" t="s">
        <v>203</v>
      </c>
      <c r="O597" s="34" t="s">
        <v>1236</v>
      </c>
      <c r="P597" s="34">
        <v>6</v>
      </c>
      <c r="Q597" s="34" t="s">
        <v>1233</v>
      </c>
      <c r="R597" s="34" t="s">
        <v>203</v>
      </c>
      <c r="S597" s="38">
        <v>43291</v>
      </c>
      <c r="T597" s="38"/>
      <c r="U597" s="34" t="s">
        <v>4193</v>
      </c>
      <c r="V597" s="255">
        <v>7660</v>
      </c>
      <c r="W597" s="34"/>
      <c r="X597" s="3">
        <f t="shared" si="42"/>
        <v>-6</v>
      </c>
      <c r="Y597" s="3">
        <f t="shared" si="43"/>
        <v>6</v>
      </c>
    </row>
    <row r="598" spans="14:25">
      <c r="N598" s="34" t="s">
        <v>203</v>
      </c>
      <c r="O598" s="34" t="s">
        <v>1243</v>
      </c>
      <c r="P598" s="34">
        <v>13</v>
      </c>
      <c r="Q598" s="34" t="s">
        <v>1233</v>
      </c>
      <c r="R598" s="34" t="s">
        <v>203</v>
      </c>
      <c r="S598" s="38">
        <v>43291</v>
      </c>
      <c r="T598" s="38"/>
      <c r="U598" s="34" t="s">
        <v>4193</v>
      </c>
      <c r="V598" s="255">
        <v>7660</v>
      </c>
      <c r="W598" s="34"/>
      <c r="X598" s="3">
        <f t="shared" si="42"/>
        <v>-13</v>
      </c>
      <c r="Y598" s="3">
        <f t="shared" si="43"/>
        <v>13</v>
      </c>
    </row>
    <row r="599" spans="14:25">
      <c r="N599" s="34" t="s">
        <v>203</v>
      </c>
      <c r="O599" s="34" t="s">
        <v>1234</v>
      </c>
      <c r="P599" s="34">
        <v>9</v>
      </c>
      <c r="Q599" s="34" t="s">
        <v>1233</v>
      </c>
      <c r="R599" s="34" t="s">
        <v>203</v>
      </c>
      <c r="S599" s="38">
        <v>43291</v>
      </c>
      <c r="T599" s="38"/>
      <c r="U599" s="34" t="s">
        <v>4193</v>
      </c>
      <c r="V599" s="255">
        <v>7660</v>
      </c>
      <c r="W599" s="34"/>
      <c r="X599" s="3">
        <f t="shared" si="42"/>
        <v>-9</v>
      </c>
      <c r="Y599" s="3">
        <f t="shared" si="43"/>
        <v>9</v>
      </c>
    </row>
    <row r="600" spans="14:25">
      <c r="N600" s="34" t="s">
        <v>0</v>
      </c>
      <c r="O600" s="34" t="s">
        <v>1268</v>
      </c>
      <c r="P600" s="34">
        <v>26</v>
      </c>
      <c r="Q600" s="34" t="s">
        <v>1229</v>
      </c>
      <c r="R600" s="34" t="s">
        <v>4195</v>
      </c>
      <c r="S600" s="38">
        <v>43294</v>
      </c>
      <c r="T600" s="38"/>
      <c r="U600" s="34" t="s">
        <v>1275</v>
      </c>
      <c r="V600" s="255" t="s">
        <v>4197</v>
      </c>
      <c r="W600" s="34" t="s">
        <v>4196</v>
      </c>
      <c r="X600" s="3">
        <f t="shared" si="42"/>
        <v>26</v>
      </c>
      <c r="Y600" s="3" t="b">
        <f t="shared" si="43"/>
        <v>0</v>
      </c>
    </row>
    <row r="601" spans="14:25">
      <c r="N601" s="34" t="s">
        <v>0</v>
      </c>
      <c r="O601" s="34" t="s">
        <v>1338</v>
      </c>
      <c r="P601" s="34">
        <v>30</v>
      </c>
      <c r="Q601" s="34" t="s">
        <v>1229</v>
      </c>
      <c r="R601" s="34" t="s">
        <v>336</v>
      </c>
      <c r="S601" s="38">
        <v>43298</v>
      </c>
      <c r="T601" s="38"/>
      <c r="U601" s="34" t="s">
        <v>1275</v>
      </c>
      <c r="V601" s="255" t="s">
        <v>4198</v>
      </c>
      <c r="W601" s="255" t="s">
        <v>4194</v>
      </c>
      <c r="X601" s="3">
        <f t="shared" si="42"/>
        <v>30</v>
      </c>
      <c r="Y601" s="3" t="b">
        <f t="shared" si="43"/>
        <v>0</v>
      </c>
    </row>
    <row r="602" spans="14:25">
      <c r="N602" s="34" t="s">
        <v>364</v>
      </c>
      <c r="O602" s="34" t="s">
        <v>1338</v>
      </c>
      <c r="P602" s="34">
        <v>2</v>
      </c>
      <c r="Q602" s="34" t="s">
        <v>1233</v>
      </c>
      <c r="R602" s="34" t="s">
        <v>364</v>
      </c>
      <c r="S602" s="38"/>
      <c r="T602" s="38">
        <v>43305</v>
      </c>
      <c r="U602" s="34" t="s">
        <v>4199</v>
      </c>
      <c r="V602" s="255">
        <v>7660</v>
      </c>
      <c r="W602" s="34"/>
      <c r="X602" s="3">
        <f t="shared" si="42"/>
        <v>-2</v>
      </c>
      <c r="Y602" s="3">
        <f t="shared" si="43"/>
        <v>2</v>
      </c>
    </row>
    <row r="603" spans="14:25">
      <c r="N603" s="34" t="s">
        <v>364</v>
      </c>
      <c r="O603" s="34" t="s">
        <v>1228</v>
      </c>
      <c r="P603" s="34">
        <v>2</v>
      </c>
      <c r="Q603" s="34" t="s">
        <v>1233</v>
      </c>
      <c r="R603" s="34" t="s">
        <v>364</v>
      </c>
      <c r="S603" s="38"/>
      <c r="T603" s="38">
        <v>43305</v>
      </c>
      <c r="U603" s="34" t="s">
        <v>4199</v>
      </c>
      <c r="V603" s="255">
        <v>7660</v>
      </c>
      <c r="W603" s="34"/>
      <c r="X603" s="3">
        <f t="shared" si="42"/>
        <v>-2</v>
      </c>
      <c r="Y603" s="3">
        <f t="shared" si="43"/>
        <v>2</v>
      </c>
    </row>
    <row r="604" spans="14:25">
      <c r="N604" s="34" t="s">
        <v>364</v>
      </c>
      <c r="O604" s="34" t="s">
        <v>1236</v>
      </c>
      <c r="P604" s="34">
        <v>2</v>
      </c>
      <c r="Q604" s="34" t="s">
        <v>1233</v>
      </c>
      <c r="R604" s="34" t="s">
        <v>364</v>
      </c>
      <c r="S604" s="38"/>
      <c r="T604" s="38">
        <v>43305</v>
      </c>
      <c r="U604" s="34" t="s">
        <v>4199</v>
      </c>
      <c r="V604" s="255">
        <v>7660</v>
      </c>
      <c r="W604" s="34"/>
      <c r="X604" s="3">
        <f t="shared" si="42"/>
        <v>-2</v>
      </c>
      <c r="Y604" s="3">
        <f t="shared" si="43"/>
        <v>2</v>
      </c>
    </row>
    <row r="605" spans="14:25">
      <c r="N605" s="34" t="s">
        <v>364</v>
      </c>
      <c r="O605" s="34" t="s">
        <v>1234</v>
      </c>
      <c r="P605" s="34">
        <v>2</v>
      </c>
      <c r="Q605" s="34" t="s">
        <v>1233</v>
      </c>
      <c r="R605" s="34" t="s">
        <v>364</v>
      </c>
      <c r="S605" s="38"/>
      <c r="T605" s="38">
        <v>43305</v>
      </c>
      <c r="U605" s="34" t="s">
        <v>4199</v>
      </c>
      <c r="V605" s="255">
        <v>7660</v>
      </c>
      <c r="W605" s="34"/>
      <c r="X605" s="3">
        <f t="shared" si="42"/>
        <v>-2</v>
      </c>
      <c r="Y605" s="3">
        <f t="shared" si="43"/>
        <v>2</v>
      </c>
    </row>
    <row r="606" spans="14:25">
      <c r="N606" s="34" t="s">
        <v>364</v>
      </c>
      <c r="O606" s="34" t="s">
        <v>1235</v>
      </c>
      <c r="P606" s="34">
        <v>2</v>
      </c>
      <c r="Q606" s="34" t="s">
        <v>1233</v>
      </c>
      <c r="R606" s="34" t="s">
        <v>364</v>
      </c>
      <c r="S606" s="38"/>
      <c r="T606" s="38">
        <v>43305</v>
      </c>
      <c r="U606" s="34" t="s">
        <v>4199</v>
      </c>
      <c r="V606" s="255">
        <v>7660</v>
      </c>
      <c r="W606" s="34"/>
      <c r="X606" s="3">
        <f t="shared" si="42"/>
        <v>-2</v>
      </c>
      <c r="Y606" s="3">
        <f t="shared" si="43"/>
        <v>2</v>
      </c>
    </row>
    <row r="607" spans="14:25">
      <c r="N607" s="34" t="s">
        <v>364</v>
      </c>
      <c r="O607" s="34" t="s">
        <v>1238</v>
      </c>
      <c r="P607" s="34">
        <v>2</v>
      </c>
      <c r="Q607" s="34" t="s">
        <v>1233</v>
      </c>
      <c r="R607" s="34" t="s">
        <v>364</v>
      </c>
      <c r="S607" s="38"/>
      <c r="T607" s="38">
        <v>43305</v>
      </c>
      <c r="U607" s="34" t="s">
        <v>4199</v>
      </c>
      <c r="V607" s="255">
        <v>7660</v>
      </c>
      <c r="W607" s="34"/>
      <c r="X607" s="3">
        <f t="shared" si="42"/>
        <v>-2</v>
      </c>
      <c r="Y607" s="3">
        <f t="shared" si="43"/>
        <v>2</v>
      </c>
    </row>
    <row r="608" spans="14:25">
      <c r="N608" s="34" t="s">
        <v>1244</v>
      </c>
      <c r="O608" s="34" t="s">
        <v>1228</v>
      </c>
      <c r="P608" s="34">
        <v>2</v>
      </c>
      <c r="Q608" s="34" t="s">
        <v>1233</v>
      </c>
      <c r="R608" s="34" t="s">
        <v>1244</v>
      </c>
      <c r="S608" s="38">
        <v>43304</v>
      </c>
      <c r="T608" s="38"/>
      <c r="U608" s="34" t="s">
        <v>1247</v>
      </c>
      <c r="V608" s="255">
        <v>7660</v>
      </c>
      <c r="W608" s="34"/>
      <c r="X608" s="3">
        <f t="shared" si="42"/>
        <v>-2</v>
      </c>
      <c r="Y608" s="3">
        <f t="shared" si="43"/>
        <v>2</v>
      </c>
    </row>
    <row r="609" spans="14:25">
      <c r="N609" s="34" t="s">
        <v>1244</v>
      </c>
      <c r="O609" s="34" t="s">
        <v>1234</v>
      </c>
      <c r="P609" s="34">
        <v>2</v>
      </c>
      <c r="Q609" s="34" t="s">
        <v>1233</v>
      </c>
      <c r="R609" s="34" t="s">
        <v>1244</v>
      </c>
      <c r="S609" s="38">
        <v>43304</v>
      </c>
      <c r="T609" s="38"/>
      <c r="U609" s="34" t="s">
        <v>1247</v>
      </c>
      <c r="V609" s="255">
        <v>7660</v>
      </c>
      <c r="W609" s="34"/>
      <c r="X609" s="3">
        <f t="shared" si="42"/>
        <v>-2</v>
      </c>
      <c r="Y609" s="3">
        <f t="shared" si="43"/>
        <v>2</v>
      </c>
    </row>
    <row r="610" spans="14:25">
      <c r="N610" s="34" t="s">
        <v>1244</v>
      </c>
      <c r="O610" s="34" t="s">
        <v>1237</v>
      </c>
      <c r="P610" s="34">
        <v>4</v>
      </c>
      <c r="Q610" s="34" t="s">
        <v>1233</v>
      </c>
      <c r="R610" s="34" t="s">
        <v>1244</v>
      </c>
      <c r="S610" s="38">
        <v>43304</v>
      </c>
      <c r="T610" s="38"/>
      <c r="U610" s="34" t="s">
        <v>1247</v>
      </c>
      <c r="V610" s="255">
        <v>7660</v>
      </c>
      <c r="W610" s="34"/>
      <c r="X610" s="3">
        <f t="shared" si="42"/>
        <v>-4</v>
      </c>
      <c r="Y610" s="3">
        <f t="shared" si="43"/>
        <v>4</v>
      </c>
    </row>
    <row r="611" spans="14:25">
      <c r="N611" s="34" t="s">
        <v>1244</v>
      </c>
      <c r="O611" s="34" t="s">
        <v>1234</v>
      </c>
      <c r="P611" s="34">
        <v>12</v>
      </c>
      <c r="Q611" s="34" t="s">
        <v>1229</v>
      </c>
      <c r="R611" s="34" t="s">
        <v>336</v>
      </c>
      <c r="S611" s="38">
        <v>43304</v>
      </c>
      <c r="T611" s="38"/>
      <c r="U611" s="34" t="s">
        <v>1247</v>
      </c>
      <c r="V611" s="34" t="s">
        <v>4200</v>
      </c>
      <c r="W611" s="34"/>
      <c r="X611" s="3">
        <f t="shared" si="42"/>
        <v>12</v>
      </c>
      <c r="Y611" s="3" t="b">
        <f t="shared" si="43"/>
        <v>0</v>
      </c>
    </row>
    <row r="612" spans="14:25">
      <c r="N612" s="34" t="s">
        <v>1244</v>
      </c>
      <c r="O612" s="34" t="s">
        <v>1236</v>
      </c>
      <c r="P612" s="34">
        <v>-2</v>
      </c>
      <c r="Q612" s="34" t="s">
        <v>1233</v>
      </c>
      <c r="R612" s="34" t="s">
        <v>1244</v>
      </c>
      <c r="S612" s="38">
        <v>43304</v>
      </c>
      <c r="T612" s="38"/>
      <c r="U612" s="34"/>
      <c r="V612" s="255" t="s">
        <v>4201</v>
      </c>
      <c r="W612" s="34"/>
      <c r="X612" s="3">
        <f t="shared" si="42"/>
        <v>2</v>
      </c>
      <c r="Y612" s="3">
        <f t="shared" si="43"/>
        <v>-2</v>
      </c>
    </row>
    <row r="613" spans="14:25">
      <c r="N613" s="34" t="s">
        <v>1244</v>
      </c>
      <c r="O613" s="34" t="s">
        <v>1238</v>
      </c>
      <c r="P613" s="34">
        <v>2</v>
      </c>
      <c r="Q613" s="34" t="s">
        <v>1233</v>
      </c>
      <c r="R613" s="34" t="s">
        <v>1244</v>
      </c>
      <c r="S613" s="38">
        <v>43304</v>
      </c>
      <c r="T613" s="38"/>
      <c r="U613" s="34"/>
      <c r="V613" s="255">
        <v>7660</v>
      </c>
      <c r="W613" s="34"/>
      <c r="X613" s="3">
        <f t="shared" si="42"/>
        <v>-2</v>
      </c>
      <c r="Y613" s="3">
        <f t="shared" si="43"/>
        <v>2</v>
      </c>
    </row>
    <row r="614" spans="14:25">
      <c r="N614" s="34" t="s">
        <v>1244</v>
      </c>
      <c r="O614" s="34" t="s">
        <v>1338</v>
      </c>
      <c r="P614" s="34">
        <v>2</v>
      </c>
      <c r="Q614" s="34" t="s">
        <v>1233</v>
      </c>
      <c r="R614" s="34" t="s">
        <v>1244</v>
      </c>
      <c r="S614" s="38">
        <v>43304</v>
      </c>
      <c r="T614" s="38"/>
      <c r="U614" s="34"/>
      <c r="V614" s="255">
        <v>7660</v>
      </c>
      <c r="W614" s="34"/>
      <c r="X614" s="3">
        <f t="shared" si="42"/>
        <v>-2</v>
      </c>
      <c r="Y614" s="3">
        <f t="shared" si="43"/>
        <v>2</v>
      </c>
    </row>
    <row r="615" spans="14:25">
      <c r="N615" s="34" t="s">
        <v>1244</v>
      </c>
      <c r="O615" s="34" t="s">
        <v>1338</v>
      </c>
      <c r="P615" s="34">
        <v>4</v>
      </c>
      <c r="Q615" s="34" t="s">
        <v>1229</v>
      </c>
      <c r="R615" s="34" t="s">
        <v>1244</v>
      </c>
      <c r="S615" s="38">
        <v>43304</v>
      </c>
      <c r="T615" s="38"/>
      <c r="U615" s="34"/>
      <c r="V615" s="34" t="s">
        <v>4202</v>
      </c>
      <c r="W615" s="34"/>
      <c r="X615" s="3">
        <f t="shared" si="42"/>
        <v>4</v>
      </c>
      <c r="Y615" s="3" t="b">
        <f t="shared" si="43"/>
        <v>0</v>
      </c>
    </row>
    <row r="616" spans="14:25">
      <c r="N616" s="34" t="s">
        <v>1244</v>
      </c>
      <c r="O616" s="34" t="s">
        <v>1242</v>
      </c>
      <c r="P616" s="34">
        <v>14</v>
      </c>
      <c r="Q616" s="34" t="s">
        <v>1285</v>
      </c>
      <c r="R616" s="34" t="s">
        <v>1244</v>
      </c>
      <c r="S616" s="38">
        <v>43304</v>
      </c>
      <c r="T616" s="38"/>
      <c r="U616" s="34"/>
      <c r="V616" s="34" t="s">
        <v>4202</v>
      </c>
      <c r="W616" s="34"/>
      <c r="X616" s="3">
        <f t="shared" si="42"/>
        <v>14</v>
      </c>
      <c r="Y616" s="3">
        <f t="shared" si="43"/>
        <v>-14</v>
      </c>
    </row>
    <row r="617" spans="14:25">
      <c r="N617" s="34" t="s">
        <v>1244</v>
      </c>
      <c r="O617" s="34" t="s">
        <v>1267</v>
      </c>
      <c r="P617" s="34">
        <v>16</v>
      </c>
      <c r="Q617" s="34" t="s">
        <v>1233</v>
      </c>
      <c r="R617" s="34" t="s">
        <v>1244</v>
      </c>
      <c r="S617" s="38">
        <v>43304</v>
      </c>
      <c r="T617" s="38"/>
      <c r="U617" s="34"/>
      <c r="V617" s="34" t="s">
        <v>4202</v>
      </c>
      <c r="W617" s="34"/>
      <c r="X617" s="3">
        <f t="shared" si="42"/>
        <v>-16</v>
      </c>
      <c r="Y617" s="3">
        <f t="shared" si="43"/>
        <v>16</v>
      </c>
    </row>
    <row r="618" spans="14:25">
      <c r="N618" s="34" t="s">
        <v>1244</v>
      </c>
      <c r="O618" s="34" t="s">
        <v>1268</v>
      </c>
      <c r="P618" s="34">
        <v>8</v>
      </c>
      <c r="Q618" s="34" t="s">
        <v>1233</v>
      </c>
      <c r="R618" s="34" t="s">
        <v>1244</v>
      </c>
      <c r="S618" s="38">
        <v>43304</v>
      </c>
      <c r="T618" s="38"/>
      <c r="U618" s="34"/>
      <c r="V618" s="34" t="s">
        <v>4202</v>
      </c>
      <c r="W618" s="34"/>
      <c r="X618" s="3">
        <f t="shared" si="42"/>
        <v>-8</v>
      </c>
      <c r="Y618" s="3">
        <f t="shared" si="43"/>
        <v>8</v>
      </c>
    </row>
    <row r="619" spans="14:25">
      <c r="N619" s="34" t="s">
        <v>1244</v>
      </c>
      <c r="O619" s="34" t="s">
        <v>1234</v>
      </c>
      <c r="P619" s="34">
        <v>8</v>
      </c>
      <c r="Q619" s="34" t="s">
        <v>1233</v>
      </c>
      <c r="R619" s="34" t="s">
        <v>1244</v>
      </c>
      <c r="S619" s="38">
        <v>43304</v>
      </c>
      <c r="T619" s="38"/>
      <c r="U619" s="34"/>
      <c r="V619" s="34" t="s">
        <v>4202</v>
      </c>
      <c r="W619" s="34"/>
      <c r="X619" s="3">
        <f t="shared" si="42"/>
        <v>-8</v>
      </c>
      <c r="Y619" s="3">
        <f t="shared" si="43"/>
        <v>8</v>
      </c>
    </row>
    <row r="620" spans="14:25">
      <c r="N620" s="34" t="s">
        <v>1244</v>
      </c>
      <c r="O620" s="34" t="s">
        <v>1235</v>
      </c>
      <c r="P620" s="34">
        <v>7</v>
      </c>
      <c r="Q620" s="34" t="s">
        <v>1233</v>
      </c>
      <c r="R620" s="34" t="s">
        <v>1244</v>
      </c>
      <c r="S620" s="38"/>
      <c r="T620" s="38"/>
      <c r="U620" s="34"/>
      <c r="V620" s="34"/>
      <c r="W620" s="34"/>
      <c r="X620" s="3">
        <f t="shared" si="42"/>
        <v>-7</v>
      </c>
      <c r="Y620" s="3">
        <f t="shared" si="43"/>
        <v>7</v>
      </c>
    </row>
    <row r="621" spans="14:25">
      <c r="N621" s="34" t="s">
        <v>1244</v>
      </c>
      <c r="O621" s="34" t="s">
        <v>1228</v>
      </c>
      <c r="P621" s="34">
        <v>1</v>
      </c>
      <c r="Q621" s="34" t="s">
        <v>1285</v>
      </c>
      <c r="R621" s="34" t="s">
        <v>1244</v>
      </c>
      <c r="S621" s="38">
        <v>43304</v>
      </c>
      <c r="T621" s="38"/>
      <c r="U621" s="34"/>
      <c r="V621" s="34" t="s">
        <v>4201</v>
      </c>
      <c r="W621" s="34"/>
      <c r="X621" s="3">
        <f t="shared" si="42"/>
        <v>1</v>
      </c>
      <c r="Y621" s="3">
        <f t="shared" si="43"/>
        <v>-1</v>
      </c>
    </row>
    <row r="622" spans="14:25">
      <c r="N622" s="34" t="s">
        <v>1244</v>
      </c>
      <c r="O622" s="34" t="s">
        <v>1228</v>
      </c>
      <c r="P622" s="34">
        <v>1</v>
      </c>
      <c r="Q622" s="34" t="s">
        <v>1282</v>
      </c>
      <c r="R622" s="34" t="s">
        <v>1244</v>
      </c>
      <c r="S622" s="38">
        <v>43304</v>
      </c>
      <c r="T622" s="38"/>
      <c r="U622" s="34"/>
      <c r="V622" s="34" t="s">
        <v>4201</v>
      </c>
      <c r="W622" s="34"/>
      <c r="X622" s="3">
        <f t="shared" si="42"/>
        <v>-1</v>
      </c>
      <c r="Y622" s="3" t="b">
        <f t="shared" si="43"/>
        <v>0</v>
      </c>
    </row>
    <row r="623" spans="14:25">
      <c r="N623" s="34" t="s">
        <v>1244</v>
      </c>
      <c r="O623" s="34" t="s">
        <v>1267</v>
      </c>
      <c r="P623" s="34">
        <v>14</v>
      </c>
      <c r="Q623" s="34" t="s">
        <v>1229</v>
      </c>
      <c r="R623" s="34" t="s">
        <v>1244</v>
      </c>
      <c r="S623" s="38">
        <v>43304</v>
      </c>
      <c r="T623" s="38"/>
      <c r="U623" s="34"/>
      <c r="V623" s="34" t="s">
        <v>4201</v>
      </c>
      <c r="W623" s="34"/>
      <c r="X623" s="3">
        <f t="shared" ref="X623:X686" si="44">IF(OR(Q623="Stock to Rack",Q623="From Stock"),-P623,IF(OR(Q623="Rack to Stock",Q623="To Stock"),P623))</f>
        <v>14</v>
      </c>
      <c r="Y623" s="3" t="b">
        <f t="shared" ref="Y623:Y686" si="45">IF(Q623="Rack to Stock",-P623,IF(Q623="Stock to Rack",P623))</f>
        <v>0</v>
      </c>
    </row>
    <row r="624" spans="14:25">
      <c r="N624" s="34" t="s">
        <v>1244</v>
      </c>
      <c r="O624" s="34" t="s">
        <v>1268</v>
      </c>
      <c r="P624" s="34">
        <v>2</v>
      </c>
      <c r="Q624" s="34" t="s">
        <v>1282</v>
      </c>
      <c r="R624" s="34" t="s">
        <v>1244</v>
      </c>
      <c r="S624" s="38">
        <v>43304</v>
      </c>
      <c r="T624" s="38"/>
      <c r="U624" s="34"/>
      <c r="V624" s="34" t="s">
        <v>4201</v>
      </c>
      <c r="W624" s="34"/>
      <c r="X624" s="3">
        <f t="shared" si="44"/>
        <v>-2</v>
      </c>
      <c r="Y624" s="3" t="b">
        <f t="shared" si="45"/>
        <v>0</v>
      </c>
    </row>
    <row r="625" spans="14:25">
      <c r="N625" s="34" t="s">
        <v>1244</v>
      </c>
      <c r="O625" s="34" t="s">
        <v>1235</v>
      </c>
      <c r="P625" s="34">
        <v>2</v>
      </c>
      <c r="Q625" s="34" t="s">
        <v>1282</v>
      </c>
      <c r="R625" s="34" t="s">
        <v>1244</v>
      </c>
      <c r="S625" s="38">
        <v>43304</v>
      </c>
      <c r="T625" s="38"/>
      <c r="U625" s="34"/>
      <c r="V625" s="34" t="s">
        <v>4201</v>
      </c>
      <c r="W625" s="34"/>
      <c r="X625" s="3">
        <f t="shared" si="44"/>
        <v>-2</v>
      </c>
      <c r="Y625" s="3" t="b">
        <f t="shared" si="45"/>
        <v>0</v>
      </c>
    </row>
    <row r="626" spans="14:25">
      <c r="N626" s="34" t="s">
        <v>1244</v>
      </c>
      <c r="O626" s="34" t="s">
        <v>1236</v>
      </c>
      <c r="P626" s="34">
        <v>4</v>
      </c>
      <c r="Q626" s="34" t="s">
        <v>1282</v>
      </c>
      <c r="R626" s="34" t="s">
        <v>1244</v>
      </c>
      <c r="S626" s="38">
        <v>43304</v>
      </c>
      <c r="T626" s="38"/>
      <c r="U626" s="34"/>
      <c r="V626" s="34" t="s">
        <v>4201</v>
      </c>
      <c r="W626" s="34"/>
      <c r="X626" s="3">
        <f t="shared" si="44"/>
        <v>-4</v>
      </c>
      <c r="Y626" s="3" t="b">
        <f t="shared" si="45"/>
        <v>0</v>
      </c>
    </row>
    <row r="627" spans="14:25">
      <c r="N627" s="34" t="s">
        <v>1244</v>
      </c>
      <c r="O627" s="34" t="s">
        <v>1237</v>
      </c>
      <c r="P627" s="34">
        <v>66</v>
      </c>
      <c r="Q627" s="34" t="s">
        <v>1229</v>
      </c>
      <c r="R627" s="34" t="s">
        <v>1244</v>
      </c>
      <c r="S627" s="38">
        <v>43304</v>
      </c>
      <c r="T627" s="38"/>
      <c r="U627" s="34"/>
      <c r="V627" s="34" t="s">
        <v>4201</v>
      </c>
      <c r="W627" s="34"/>
      <c r="X627" s="3">
        <f t="shared" si="44"/>
        <v>66</v>
      </c>
      <c r="Y627" s="3" t="b">
        <f t="shared" si="45"/>
        <v>0</v>
      </c>
    </row>
    <row r="628" spans="14:25">
      <c r="N628" s="34" t="s">
        <v>1244</v>
      </c>
      <c r="O628" s="34" t="s">
        <v>1237</v>
      </c>
      <c r="P628" s="34">
        <v>66</v>
      </c>
      <c r="Q628" s="34" t="s">
        <v>1233</v>
      </c>
      <c r="R628" s="34" t="s">
        <v>1244</v>
      </c>
      <c r="S628" s="38">
        <v>43304</v>
      </c>
      <c r="T628" s="38"/>
      <c r="U628" s="34"/>
      <c r="V628" s="34" t="s">
        <v>4201</v>
      </c>
      <c r="W628" s="34"/>
      <c r="X628" s="3">
        <f t="shared" si="44"/>
        <v>-66</v>
      </c>
      <c r="Y628" s="3">
        <f t="shared" si="45"/>
        <v>66</v>
      </c>
    </row>
    <row r="629" spans="14:25">
      <c r="N629" s="34" t="s">
        <v>1244</v>
      </c>
      <c r="O629" s="34" t="s">
        <v>1238</v>
      </c>
      <c r="P629" s="34">
        <v>14</v>
      </c>
      <c r="Q629" s="34" t="s">
        <v>1229</v>
      </c>
      <c r="R629" s="34" t="s">
        <v>1244</v>
      </c>
      <c r="S629" s="38">
        <v>43304</v>
      </c>
      <c r="T629" s="38"/>
      <c r="U629" s="34"/>
      <c r="V629" s="34" t="s">
        <v>4201</v>
      </c>
      <c r="W629" s="34"/>
      <c r="X629" s="3">
        <f t="shared" si="44"/>
        <v>14</v>
      </c>
      <c r="Y629" s="3" t="b">
        <f t="shared" si="45"/>
        <v>0</v>
      </c>
    </row>
    <row r="630" spans="14:25">
      <c r="N630" s="34" t="s">
        <v>1244</v>
      </c>
      <c r="O630" s="34" t="s">
        <v>1238</v>
      </c>
      <c r="P630" s="34">
        <v>14</v>
      </c>
      <c r="Q630" s="34" t="s">
        <v>1233</v>
      </c>
      <c r="R630" s="34" t="s">
        <v>1244</v>
      </c>
      <c r="S630" s="38">
        <v>43304</v>
      </c>
      <c r="T630" s="38"/>
      <c r="U630" s="34"/>
      <c r="V630" s="34" t="s">
        <v>4201</v>
      </c>
      <c r="W630" s="34"/>
      <c r="X630" s="3">
        <f t="shared" si="44"/>
        <v>-14</v>
      </c>
      <c r="Y630" s="3">
        <f t="shared" si="45"/>
        <v>14</v>
      </c>
    </row>
    <row r="631" spans="14:25">
      <c r="N631" s="284" t="s">
        <v>336</v>
      </c>
      <c r="O631" s="284" t="s">
        <v>1236</v>
      </c>
      <c r="P631" s="34">
        <v>49</v>
      </c>
      <c r="Q631" s="284" t="s">
        <v>1229</v>
      </c>
      <c r="R631" s="284" t="s">
        <v>336</v>
      </c>
      <c r="S631" s="38">
        <v>43304</v>
      </c>
      <c r="T631" s="38"/>
      <c r="U631" s="34"/>
      <c r="V631" s="285" t="s">
        <v>4413</v>
      </c>
      <c r="W631" s="34"/>
      <c r="X631" s="3">
        <f t="shared" si="44"/>
        <v>49</v>
      </c>
      <c r="Y631" s="3" t="b">
        <f t="shared" si="45"/>
        <v>0</v>
      </c>
    </row>
    <row r="632" spans="14:25">
      <c r="N632" s="284" t="s">
        <v>336</v>
      </c>
      <c r="O632" s="284" t="s">
        <v>1238</v>
      </c>
      <c r="P632" s="34">
        <v>150</v>
      </c>
      <c r="Q632" s="284" t="s">
        <v>1229</v>
      </c>
      <c r="R632" s="284" t="s">
        <v>336</v>
      </c>
      <c r="S632" s="38">
        <v>43304</v>
      </c>
      <c r="T632" s="38"/>
      <c r="U632" s="34"/>
      <c r="V632" s="255" t="s">
        <v>4216</v>
      </c>
      <c r="W632" s="34"/>
      <c r="X632" s="3">
        <f t="shared" si="44"/>
        <v>150</v>
      </c>
      <c r="Y632" s="3" t="b">
        <f t="shared" si="45"/>
        <v>0</v>
      </c>
    </row>
    <row r="633" spans="14:25">
      <c r="N633" s="34" t="s">
        <v>336</v>
      </c>
      <c r="O633" s="34" t="s">
        <v>1243</v>
      </c>
      <c r="P633" s="34">
        <v>2</v>
      </c>
      <c r="Q633" s="34" t="s">
        <v>1233</v>
      </c>
      <c r="R633" s="34" t="s">
        <v>336</v>
      </c>
      <c r="S633" s="38">
        <v>43304</v>
      </c>
      <c r="T633" s="38"/>
      <c r="U633" s="34" t="s">
        <v>4218</v>
      </c>
      <c r="V633" s="255" t="s">
        <v>4217</v>
      </c>
      <c r="W633" s="34"/>
      <c r="X633" s="3">
        <f t="shared" si="44"/>
        <v>-2</v>
      </c>
      <c r="Y633" s="3">
        <f t="shared" si="45"/>
        <v>2</v>
      </c>
    </row>
    <row r="634" spans="14:25">
      <c r="N634" s="34" t="s">
        <v>336</v>
      </c>
      <c r="O634" s="34" t="s">
        <v>1236</v>
      </c>
      <c r="P634" s="34">
        <v>2</v>
      </c>
      <c r="Q634" s="34" t="s">
        <v>1233</v>
      </c>
      <c r="R634" s="34" t="s">
        <v>336</v>
      </c>
      <c r="S634" s="38">
        <v>43304</v>
      </c>
      <c r="T634" s="38"/>
      <c r="U634" s="34" t="s">
        <v>4218</v>
      </c>
      <c r="V634" s="255" t="s">
        <v>4217</v>
      </c>
      <c r="W634" s="34"/>
      <c r="X634" s="3">
        <f t="shared" si="44"/>
        <v>-2</v>
      </c>
      <c r="Y634" s="3">
        <f t="shared" si="45"/>
        <v>2</v>
      </c>
    </row>
    <row r="635" spans="14:25">
      <c r="N635" s="34" t="s">
        <v>336</v>
      </c>
      <c r="O635" s="34" t="s">
        <v>1228</v>
      </c>
      <c r="P635" s="34">
        <v>2</v>
      </c>
      <c r="Q635" s="34" t="s">
        <v>1233</v>
      </c>
      <c r="R635" s="34" t="s">
        <v>336</v>
      </c>
      <c r="S635" s="38">
        <v>43304</v>
      </c>
      <c r="T635" s="38"/>
      <c r="U635" s="34" t="s">
        <v>4218</v>
      </c>
      <c r="V635" s="255" t="s">
        <v>4217</v>
      </c>
      <c r="W635" s="34"/>
      <c r="X635" s="3">
        <f t="shared" si="44"/>
        <v>-2</v>
      </c>
      <c r="Y635" s="3">
        <f t="shared" si="45"/>
        <v>2</v>
      </c>
    </row>
    <row r="636" spans="14:25">
      <c r="N636" s="34" t="s">
        <v>336</v>
      </c>
      <c r="O636" s="34" t="s">
        <v>1234</v>
      </c>
      <c r="P636" s="34">
        <v>2</v>
      </c>
      <c r="Q636" s="34" t="s">
        <v>1233</v>
      </c>
      <c r="R636" s="34" t="s">
        <v>336</v>
      </c>
      <c r="S636" s="38">
        <v>43304</v>
      </c>
      <c r="T636" s="38"/>
      <c r="U636" s="34" t="s">
        <v>4218</v>
      </c>
      <c r="V636" s="255" t="s">
        <v>4217</v>
      </c>
      <c r="W636" s="34"/>
      <c r="X636" s="3">
        <f t="shared" si="44"/>
        <v>-2</v>
      </c>
      <c r="Y636" s="3">
        <f t="shared" si="45"/>
        <v>2</v>
      </c>
    </row>
    <row r="637" spans="14:25">
      <c r="N637" s="34" t="s">
        <v>336</v>
      </c>
      <c r="O637" s="34" t="s">
        <v>1338</v>
      </c>
      <c r="P637" s="34">
        <v>4</v>
      </c>
      <c r="Q637" s="34" t="s">
        <v>1233</v>
      </c>
      <c r="R637" s="34" t="s">
        <v>336</v>
      </c>
      <c r="S637" s="38">
        <v>43304</v>
      </c>
      <c r="T637" s="38"/>
      <c r="U637" s="34" t="s">
        <v>4218</v>
      </c>
      <c r="V637" s="255" t="s">
        <v>4217</v>
      </c>
      <c r="W637" s="34"/>
      <c r="X637" s="3">
        <f t="shared" si="44"/>
        <v>-4</v>
      </c>
      <c r="Y637" s="3">
        <f t="shared" si="45"/>
        <v>4</v>
      </c>
    </row>
    <row r="638" spans="14:25">
      <c r="N638" s="34" t="s">
        <v>336</v>
      </c>
      <c r="O638" s="34" t="s">
        <v>1238</v>
      </c>
      <c r="P638" s="34">
        <v>2</v>
      </c>
      <c r="Q638" s="34" t="s">
        <v>1233</v>
      </c>
      <c r="R638" s="34" t="s">
        <v>336</v>
      </c>
      <c r="S638" s="38">
        <v>43304</v>
      </c>
      <c r="T638" s="38"/>
      <c r="U638" s="34" t="s">
        <v>4218</v>
      </c>
      <c r="V638" s="255" t="s">
        <v>4217</v>
      </c>
      <c r="W638" s="34"/>
      <c r="X638" s="3">
        <f t="shared" si="44"/>
        <v>-2</v>
      </c>
      <c r="Y638" s="3">
        <f t="shared" si="45"/>
        <v>2</v>
      </c>
    </row>
    <row r="639" spans="14:25">
      <c r="N639" s="34" t="s">
        <v>336</v>
      </c>
      <c r="O639" s="34" t="s">
        <v>1237</v>
      </c>
      <c r="P639" s="34">
        <v>8</v>
      </c>
      <c r="Q639" s="34" t="s">
        <v>1233</v>
      </c>
      <c r="R639" s="34" t="s">
        <v>336</v>
      </c>
      <c r="S639" s="38">
        <v>43304</v>
      </c>
      <c r="T639" s="38"/>
      <c r="U639" s="34" t="s">
        <v>4218</v>
      </c>
      <c r="V639" s="255" t="s">
        <v>4217</v>
      </c>
      <c r="W639" s="34"/>
      <c r="X639" s="3">
        <f t="shared" si="44"/>
        <v>-8</v>
      </c>
      <c r="Y639" s="3">
        <f t="shared" si="45"/>
        <v>8</v>
      </c>
    </row>
    <row r="640" spans="14:25">
      <c r="N640" s="34" t="s">
        <v>336</v>
      </c>
      <c r="O640" s="34" t="s">
        <v>1235</v>
      </c>
      <c r="P640" s="34">
        <v>2</v>
      </c>
      <c r="Q640" s="34" t="s">
        <v>1233</v>
      </c>
      <c r="R640" s="34" t="s">
        <v>336</v>
      </c>
      <c r="S640" s="38">
        <v>43304</v>
      </c>
      <c r="T640" s="38"/>
      <c r="U640" s="34" t="s">
        <v>4218</v>
      </c>
      <c r="V640" s="255" t="s">
        <v>4217</v>
      </c>
      <c r="W640" s="34"/>
      <c r="X640" s="3">
        <f t="shared" si="44"/>
        <v>-2</v>
      </c>
      <c r="Y640" s="3">
        <f t="shared" si="45"/>
        <v>2</v>
      </c>
    </row>
    <row r="641" spans="14:25">
      <c r="N641" s="34" t="s">
        <v>336</v>
      </c>
      <c r="O641" s="34" t="s">
        <v>1234</v>
      </c>
      <c r="P641" s="34">
        <v>4</v>
      </c>
      <c r="Q641" s="34" t="s">
        <v>1282</v>
      </c>
      <c r="R641" s="34" t="s">
        <v>336</v>
      </c>
      <c r="S641" s="38">
        <v>43312</v>
      </c>
      <c r="T641" s="38"/>
      <c r="U641" s="34" t="s">
        <v>1260</v>
      </c>
      <c r="V641" s="255" t="s">
        <v>4236</v>
      </c>
      <c r="W641" s="34"/>
      <c r="X641" s="3">
        <f t="shared" si="44"/>
        <v>-4</v>
      </c>
      <c r="Y641" s="3" t="b">
        <f t="shared" si="45"/>
        <v>0</v>
      </c>
    </row>
    <row r="642" spans="14:25">
      <c r="N642" s="34" t="s">
        <v>336</v>
      </c>
      <c r="O642" s="34" t="s">
        <v>1234</v>
      </c>
      <c r="P642" s="34">
        <v>6</v>
      </c>
      <c r="Q642" s="34" t="s">
        <v>1233</v>
      </c>
      <c r="R642" s="34" t="s">
        <v>336</v>
      </c>
      <c r="S642" s="38">
        <v>43312</v>
      </c>
      <c r="T642" s="38"/>
      <c r="U642" s="34" t="s">
        <v>4235</v>
      </c>
      <c r="V642" s="255" t="s">
        <v>4237</v>
      </c>
      <c r="W642" s="34"/>
      <c r="X642" s="3">
        <f t="shared" si="44"/>
        <v>-6</v>
      </c>
      <c r="Y642" s="3">
        <f t="shared" si="45"/>
        <v>6</v>
      </c>
    </row>
    <row r="643" spans="14:25">
      <c r="N643" s="34" t="s">
        <v>336</v>
      </c>
      <c r="O643" s="34" t="s">
        <v>1242</v>
      </c>
      <c r="P643" s="34">
        <v>8</v>
      </c>
      <c r="Q643" s="34" t="s">
        <v>1233</v>
      </c>
      <c r="R643" s="34" t="s">
        <v>336</v>
      </c>
      <c r="S643" s="38">
        <v>43312</v>
      </c>
      <c r="T643" s="38"/>
      <c r="U643" s="34" t="s">
        <v>4235</v>
      </c>
      <c r="V643" s="255" t="s">
        <v>4238</v>
      </c>
      <c r="W643" s="34"/>
      <c r="X643" s="3">
        <f t="shared" si="44"/>
        <v>-8</v>
      </c>
      <c r="Y643" s="3">
        <f t="shared" si="45"/>
        <v>8</v>
      </c>
    </row>
    <row r="644" spans="14:25" s="3" customFormat="1">
      <c r="N644" s="34" t="s">
        <v>0</v>
      </c>
      <c r="O644" s="34" t="s">
        <v>1237</v>
      </c>
      <c r="P644" s="34">
        <v>95</v>
      </c>
      <c r="Q644" s="34" t="s">
        <v>1229</v>
      </c>
      <c r="R644" s="34" t="s">
        <v>0</v>
      </c>
      <c r="S644" s="38"/>
      <c r="T644" s="38"/>
      <c r="U644" s="34" t="s">
        <v>1275</v>
      </c>
      <c r="V644" s="255"/>
      <c r="W644" s="255" t="s">
        <v>4412</v>
      </c>
      <c r="X644" s="3">
        <f t="shared" si="44"/>
        <v>95</v>
      </c>
      <c r="Y644" s="3" t="b">
        <f t="shared" si="45"/>
        <v>0</v>
      </c>
    </row>
    <row r="645" spans="14:25">
      <c r="N645" s="34" t="s">
        <v>336</v>
      </c>
      <c r="O645" s="34" t="s">
        <v>1267</v>
      </c>
      <c r="P645" s="34">
        <v>5</v>
      </c>
      <c r="Q645" s="34" t="s">
        <v>1229</v>
      </c>
      <c r="R645" s="34" t="s">
        <v>336</v>
      </c>
      <c r="S645" s="38">
        <v>43319</v>
      </c>
      <c r="T645" s="38"/>
      <c r="U645" s="34" t="s">
        <v>1260</v>
      </c>
      <c r="V645" s="255" t="s">
        <v>4414</v>
      </c>
      <c r="W645" s="34"/>
      <c r="X645" s="3">
        <f t="shared" si="44"/>
        <v>5</v>
      </c>
      <c r="Y645" s="3" t="b">
        <f t="shared" si="45"/>
        <v>0</v>
      </c>
    </row>
    <row r="646" spans="14:25">
      <c r="N646" s="34" t="s">
        <v>336</v>
      </c>
      <c r="O646" s="34" t="s">
        <v>1267</v>
      </c>
      <c r="P646" s="34">
        <v>7</v>
      </c>
      <c r="Q646" s="34" t="s">
        <v>1233</v>
      </c>
      <c r="R646" s="34" t="s">
        <v>336</v>
      </c>
      <c r="S646" s="38">
        <v>43319</v>
      </c>
      <c r="T646" s="38"/>
      <c r="U646" s="34" t="s">
        <v>1260</v>
      </c>
      <c r="V646" s="255" t="s">
        <v>4414</v>
      </c>
      <c r="W646" s="34"/>
      <c r="X646" s="3">
        <f t="shared" si="44"/>
        <v>-7</v>
      </c>
      <c r="Y646" s="3">
        <f t="shared" si="45"/>
        <v>7</v>
      </c>
    </row>
    <row r="647" spans="14:25">
      <c r="N647" s="34" t="s">
        <v>336</v>
      </c>
      <c r="O647" s="34" t="s">
        <v>1338</v>
      </c>
      <c r="P647" s="34">
        <v>3</v>
      </c>
      <c r="Q647" s="34" t="s">
        <v>1233</v>
      </c>
      <c r="R647" s="34" t="s">
        <v>336</v>
      </c>
      <c r="S647" s="38">
        <v>43312</v>
      </c>
      <c r="T647" s="38"/>
      <c r="U647" s="34" t="s">
        <v>4218</v>
      </c>
      <c r="V647" s="255" t="s">
        <v>4190</v>
      </c>
      <c r="W647" s="34"/>
      <c r="X647" s="3">
        <f t="shared" si="44"/>
        <v>-3</v>
      </c>
      <c r="Y647" s="3">
        <f t="shared" si="45"/>
        <v>3</v>
      </c>
    </row>
    <row r="648" spans="14:25">
      <c r="N648" s="34" t="s">
        <v>336</v>
      </c>
      <c r="O648" s="34" t="s">
        <v>1234</v>
      </c>
      <c r="P648" s="34">
        <v>6</v>
      </c>
      <c r="Q648" s="34" t="s">
        <v>1229</v>
      </c>
      <c r="R648" s="34" t="s">
        <v>336</v>
      </c>
      <c r="S648" s="38">
        <v>43312</v>
      </c>
      <c r="T648" s="38"/>
      <c r="U648" s="34" t="s">
        <v>1260</v>
      </c>
      <c r="V648" s="255" t="s">
        <v>4414</v>
      </c>
      <c r="W648" s="34"/>
      <c r="X648" s="3">
        <f t="shared" si="44"/>
        <v>6</v>
      </c>
      <c r="Y648" s="3" t="b">
        <f t="shared" si="45"/>
        <v>0</v>
      </c>
    </row>
    <row r="649" spans="14:25">
      <c r="N649" s="34" t="s">
        <v>336</v>
      </c>
      <c r="O649" s="34" t="s">
        <v>1237</v>
      </c>
      <c r="P649" s="34">
        <v>4</v>
      </c>
      <c r="Q649" s="34" t="s">
        <v>1285</v>
      </c>
      <c r="R649" s="34" t="s">
        <v>336</v>
      </c>
      <c r="S649" s="38">
        <v>43312</v>
      </c>
      <c r="T649" s="38"/>
      <c r="U649" s="34" t="s">
        <v>1260</v>
      </c>
      <c r="V649" s="255" t="s">
        <v>4422</v>
      </c>
      <c r="W649" s="34"/>
      <c r="X649" s="3">
        <f t="shared" si="44"/>
        <v>4</v>
      </c>
      <c r="Y649" s="3">
        <f t="shared" si="45"/>
        <v>-4</v>
      </c>
    </row>
    <row r="650" spans="14:25">
      <c r="N650" s="34" t="s">
        <v>336</v>
      </c>
      <c r="O650" s="34" t="s">
        <v>1228</v>
      </c>
      <c r="P650" s="34">
        <v>6</v>
      </c>
      <c r="Q650" s="34" t="s">
        <v>1233</v>
      </c>
      <c r="R650" s="34" t="s">
        <v>336</v>
      </c>
      <c r="S650" s="38">
        <v>43326</v>
      </c>
      <c r="T650" s="38"/>
      <c r="U650" s="34" t="s">
        <v>3193</v>
      </c>
      <c r="V650" s="255" t="s">
        <v>4429</v>
      </c>
      <c r="W650" s="34" t="s">
        <v>4430</v>
      </c>
      <c r="X650" s="3">
        <f t="shared" si="44"/>
        <v>-6</v>
      </c>
      <c r="Y650" s="3">
        <f t="shared" si="45"/>
        <v>6</v>
      </c>
    </row>
    <row r="651" spans="14:25">
      <c r="N651" s="34" t="s">
        <v>336</v>
      </c>
      <c r="O651" s="34" t="s">
        <v>1234</v>
      </c>
      <c r="P651" s="34">
        <v>6</v>
      </c>
      <c r="Q651" s="34" t="s">
        <v>1233</v>
      </c>
      <c r="R651" s="34" t="s">
        <v>336</v>
      </c>
      <c r="S651" s="38">
        <v>43326</v>
      </c>
      <c r="T651" s="38"/>
      <c r="U651" s="34" t="s">
        <v>3193</v>
      </c>
      <c r="V651" s="255" t="s">
        <v>4429</v>
      </c>
      <c r="W651" s="34" t="s">
        <v>4431</v>
      </c>
      <c r="X651" s="3">
        <f t="shared" si="44"/>
        <v>-6</v>
      </c>
      <c r="Y651" s="3">
        <f t="shared" si="45"/>
        <v>6</v>
      </c>
    </row>
    <row r="652" spans="14:25">
      <c r="N652" s="34" t="s">
        <v>336</v>
      </c>
      <c r="O652" s="34" t="s">
        <v>1236</v>
      </c>
      <c r="P652" s="34">
        <v>6</v>
      </c>
      <c r="Q652" s="34" t="s">
        <v>1233</v>
      </c>
      <c r="R652" s="34" t="s">
        <v>336</v>
      </c>
      <c r="S652" s="38">
        <v>43326</v>
      </c>
      <c r="T652" s="38"/>
      <c r="U652" s="34" t="s">
        <v>3193</v>
      </c>
      <c r="V652" s="255" t="s">
        <v>4429</v>
      </c>
      <c r="W652" s="34"/>
      <c r="X652" s="3">
        <f t="shared" si="44"/>
        <v>-6</v>
      </c>
      <c r="Y652" s="3">
        <f t="shared" si="45"/>
        <v>6</v>
      </c>
    </row>
    <row r="653" spans="14:25">
      <c r="N653" s="34" t="s">
        <v>336</v>
      </c>
      <c r="O653" s="34" t="s">
        <v>1235</v>
      </c>
      <c r="P653" s="34">
        <v>6</v>
      </c>
      <c r="Q653" s="34" t="s">
        <v>1233</v>
      </c>
      <c r="R653" s="34" t="s">
        <v>336</v>
      </c>
      <c r="S653" s="38">
        <v>43326</v>
      </c>
      <c r="T653" s="38"/>
      <c r="U653" s="34" t="s">
        <v>3193</v>
      </c>
      <c r="V653" s="255" t="s">
        <v>4429</v>
      </c>
      <c r="W653" s="34"/>
      <c r="X653" s="3">
        <f t="shared" si="44"/>
        <v>-6</v>
      </c>
      <c r="Y653" s="3">
        <f t="shared" si="45"/>
        <v>6</v>
      </c>
    </row>
    <row r="654" spans="14:25">
      <c r="N654" s="34" t="s">
        <v>336</v>
      </c>
      <c r="O654" s="34" t="s">
        <v>1238</v>
      </c>
      <c r="P654" s="34">
        <v>6</v>
      </c>
      <c r="Q654" s="34" t="s">
        <v>1233</v>
      </c>
      <c r="R654" s="34" t="s">
        <v>336</v>
      </c>
      <c r="S654" s="38">
        <v>43326</v>
      </c>
      <c r="T654" s="38"/>
      <c r="U654" s="34" t="s">
        <v>3193</v>
      </c>
      <c r="V654" s="255" t="s">
        <v>4429</v>
      </c>
      <c r="W654" s="34"/>
      <c r="X654" s="3">
        <f t="shared" si="44"/>
        <v>-6</v>
      </c>
      <c r="Y654" s="3">
        <f t="shared" si="45"/>
        <v>6</v>
      </c>
    </row>
    <row r="655" spans="14:25">
      <c r="N655" s="34" t="s">
        <v>336</v>
      </c>
      <c r="O655" s="34" t="s">
        <v>1338</v>
      </c>
      <c r="P655" s="34">
        <v>6</v>
      </c>
      <c r="Q655" s="34" t="s">
        <v>1229</v>
      </c>
      <c r="R655" s="34" t="s">
        <v>336</v>
      </c>
      <c r="S655" s="38">
        <v>43326</v>
      </c>
      <c r="T655" s="38"/>
      <c r="U655" s="34" t="s">
        <v>3193</v>
      </c>
      <c r="V655" s="255" t="s">
        <v>4432</v>
      </c>
      <c r="W655" s="34"/>
      <c r="X655" s="3">
        <f t="shared" si="44"/>
        <v>6</v>
      </c>
      <c r="Y655" s="3" t="b">
        <f t="shared" si="45"/>
        <v>0</v>
      </c>
    </row>
    <row r="656" spans="14:25">
      <c r="N656" s="34" t="s">
        <v>336</v>
      </c>
      <c r="O656" s="34" t="s">
        <v>1338</v>
      </c>
      <c r="P656" s="34">
        <v>6</v>
      </c>
      <c r="Q656" s="34" t="s">
        <v>1233</v>
      </c>
      <c r="R656" s="34" t="s">
        <v>336</v>
      </c>
      <c r="S656" s="38">
        <v>43326</v>
      </c>
      <c r="T656" s="38"/>
      <c r="U656" s="34" t="s">
        <v>3193</v>
      </c>
      <c r="V656" s="255" t="s">
        <v>4429</v>
      </c>
      <c r="W656" s="34"/>
      <c r="X656" s="3">
        <f t="shared" si="44"/>
        <v>-6</v>
      </c>
      <c r="Y656" s="3">
        <f t="shared" si="45"/>
        <v>6</v>
      </c>
    </row>
    <row r="657" spans="14:25">
      <c r="N657" s="34" t="s">
        <v>336</v>
      </c>
      <c r="O657" s="34" t="s">
        <v>1237</v>
      </c>
      <c r="P657" s="34">
        <v>12</v>
      </c>
      <c r="Q657" s="34" t="s">
        <v>1233</v>
      </c>
      <c r="R657" s="34" t="s">
        <v>336</v>
      </c>
      <c r="S657" s="38">
        <v>43326</v>
      </c>
      <c r="T657" s="38"/>
      <c r="U657" s="34" t="s">
        <v>3193</v>
      </c>
      <c r="V657" s="255" t="s">
        <v>4429</v>
      </c>
      <c r="W657" s="34"/>
      <c r="X657" s="3">
        <f t="shared" si="44"/>
        <v>-12</v>
      </c>
      <c r="Y657" s="3">
        <f t="shared" si="45"/>
        <v>12</v>
      </c>
    </row>
    <row r="658" spans="14:25">
      <c r="N658" s="34" t="s">
        <v>336</v>
      </c>
      <c r="O658" s="34" t="s">
        <v>1228</v>
      </c>
      <c r="P658" s="34">
        <v>4</v>
      </c>
      <c r="Q658" s="34" t="s">
        <v>1233</v>
      </c>
      <c r="R658" s="34" t="s">
        <v>336</v>
      </c>
      <c r="S658" s="38">
        <v>43327</v>
      </c>
      <c r="T658" s="38"/>
      <c r="U658" s="34" t="s">
        <v>1260</v>
      </c>
      <c r="V658" s="255" t="s">
        <v>3720</v>
      </c>
      <c r="W658" s="34"/>
      <c r="X658" s="3">
        <f t="shared" si="44"/>
        <v>-4</v>
      </c>
      <c r="Y658" s="3">
        <f t="shared" si="45"/>
        <v>4</v>
      </c>
    </row>
    <row r="659" spans="14:25">
      <c r="N659" s="34" t="s">
        <v>336</v>
      </c>
      <c r="O659" s="34" t="s">
        <v>1234</v>
      </c>
      <c r="P659" s="34">
        <v>4</v>
      </c>
      <c r="Q659" s="34" t="s">
        <v>1233</v>
      </c>
      <c r="R659" s="34" t="s">
        <v>336</v>
      </c>
      <c r="S659" s="38">
        <v>43327</v>
      </c>
      <c r="T659" s="38"/>
      <c r="U659" s="34" t="s">
        <v>1260</v>
      </c>
      <c r="V659" s="255" t="s">
        <v>3720</v>
      </c>
      <c r="W659" s="34"/>
      <c r="X659" s="3">
        <f t="shared" si="44"/>
        <v>-4</v>
      </c>
      <c r="Y659" s="3">
        <f t="shared" si="45"/>
        <v>4</v>
      </c>
    </row>
    <row r="660" spans="14:25">
      <c r="N660" s="34" t="s">
        <v>336</v>
      </c>
      <c r="O660" s="34" t="s">
        <v>1235</v>
      </c>
      <c r="P660" s="34">
        <v>4</v>
      </c>
      <c r="Q660" s="34" t="s">
        <v>1233</v>
      </c>
      <c r="R660" s="34" t="s">
        <v>336</v>
      </c>
      <c r="S660" s="38">
        <v>43327</v>
      </c>
      <c r="T660" s="38"/>
      <c r="U660" s="34" t="s">
        <v>1260</v>
      </c>
      <c r="V660" s="255" t="s">
        <v>3720</v>
      </c>
      <c r="W660" s="34"/>
      <c r="X660" s="3">
        <f t="shared" si="44"/>
        <v>-4</v>
      </c>
      <c r="Y660" s="3">
        <f t="shared" si="45"/>
        <v>4</v>
      </c>
    </row>
    <row r="661" spans="14:25">
      <c r="N661" s="34" t="s">
        <v>336</v>
      </c>
      <c r="O661" s="34" t="s">
        <v>1236</v>
      </c>
      <c r="P661" s="34">
        <v>4</v>
      </c>
      <c r="Q661" s="34" t="s">
        <v>1233</v>
      </c>
      <c r="R661" s="34" t="s">
        <v>336</v>
      </c>
      <c r="S661" s="38">
        <v>43327</v>
      </c>
      <c r="T661" s="38"/>
      <c r="U661" s="34" t="s">
        <v>1260</v>
      </c>
      <c r="V661" s="255" t="s">
        <v>4439</v>
      </c>
      <c r="W661" s="34"/>
      <c r="X661" s="3">
        <f t="shared" si="44"/>
        <v>-4</v>
      </c>
      <c r="Y661" s="3">
        <f t="shared" si="45"/>
        <v>4</v>
      </c>
    </row>
    <row r="662" spans="14:25">
      <c r="N662" s="34" t="s">
        <v>336</v>
      </c>
      <c r="O662" s="34" t="s">
        <v>1237</v>
      </c>
      <c r="P662" s="34">
        <v>16</v>
      </c>
      <c r="Q662" s="34" t="s">
        <v>1233</v>
      </c>
      <c r="R662" s="34" t="s">
        <v>336</v>
      </c>
      <c r="S662" s="38">
        <v>43327</v>
      </c>
      <c r="T662" s="38"/>
      <c r="U662" s="34" t="s">
        <v>1260</v>
      </c>
      <c r="V662" s="255" t="s">
        <v>3720</v>
      </c>
      <c r="W662" s="34"/>
      <c r="X662" s="3">
        <f t="shared" si="44"/>
        <v>-16</v>
      </c>
      <c r="Y662" s="3">
        <f t="shared" si="45"/>
        <v>16</v>
      </c>
    </row>
    <row r="663" spans="14:25">
      <c r="N663" s="34" t="s">
        <v>336</v>
      </c>
      <c r="O663" s="34" t="s">
        <v>1238</v>
      </c>
      <c r="P663" s="34">
        <v>4</v>
      </c>
      <c r="Q663" s="34" t="s">
        <v>1233</v>
      </c>
      <c r="R663" s="34" t="s">
        <v>336</v>
      </c>
      <c r="S663" s="38">
        <v>43327</v>
      </c>
      <c r="T663" s="38"/>
      <c r="U663" s="34" t="s">
        <v>1260</v>
      </c>
      <c r="V663" s="255" t="s">
        <v>3720</v>
      </c>
      <c r="W663" s="34"/>
      <c r="X663" s="3">
        <f t="shared" si="44"/>
        <v>-4</v>
      </c>
      <c r="Y663" s="3">
        <f t="shared" si="45"/>
        <v>4</v>
      </c>
    </row>
    <row r="664" spans="14:25">
      <c r="N664" s="34" t="s">
        <v>336</v>
      </c>
      <c r="O664" s="34" t="s">
        <v>1267</v>
      </c>
      <c r="P664" s="34">
        <v>4</v>
      </c>
      <c r="Q664" s="34" t="s">
        <v>1233</v>
      </c>
      <c r="R664" s="34" t="s">
        <v>336</v>
      </c>
      <c r="S664" s="38">
        <v>43327</v>
      </c>
      <c r="T664" s="38"/>
      <c r="U664" s="34" t="s">
        <v>1260</v>
      </c>
      <c r="V664" s="255" t="s">
        <v>3720</v>
      </c>
      <c r="W664" s="34"/>
      <c r="X664" s="3">
        <f t="shared" si="44"/>
        <v>-4</v>
      </c>
      <c r="Y664" s="3">
        <f t="shared" si="45"/>
        <v>4</v>
      </c>
    </row>
    <row r="665" spans="14:25">
      <c r="N665" s="34" t="s">
        <v>336</v>
      </c>
      <c r="O665" s="34" t="s">
        <v>1243</v>
      </c>
      <c r="P665" s="34">
        <v>4</v>
      </c>
      <c r="Q665" s="34" t="s">
        <v>1233</v>
      </c>
      <c r="R665" s="34" t="s">
        <v>336</v>
      </c>
      <c r="S665" s="38">
        <v>43327</v>
      </c>
      <c r="T665" s="38"/>
      <c r="U665" s="34" t="s">
        <v>4440</v>
      </c>
      <c r="V665" s="255" t="s">
        <v>3721</v>
      </c>
      <c r="W665" s="34"/>
      <c r="X665" s="3">
        <f t="shared" si="44"/>
        <v>-4</v>
      </c>
      <c r="Y665" s="3">
        <f t="shared" si="45"/>
        <v>4</v>
      </c>
    </row>
    <row r="666" spans="14:25">
      <c r="N666" s="34" t="s">
        <v>1244</v>
      </c>
      <c r="O666" s="34" t="s">
        <v>1237</v>
      </c>
      <c r="P666" s="34">
        <v>30</v>
      </c>
      <c r="Q666" s="34" t="s">
        <v>1233</v>
      </c>
      <c r="R666" s="34" t="s">
        <v>1244</v>
      </c>
      <c r="S666" s="38">
        <v>43327</v>
      </c>
      <c r="T666" s="38"/>
      <c r="U666" s="34" t="s">
        <v>4441</v>
      </c>
      <c r="V666" s="255"/>
      <c r="W666" s="34"/>
      <c r="X666" s="3">
        <f t="shared" si="44"/>
        <v>-30</v>
      </c>
      <c r="Y666" s="3">
        <f t="shared" si="45"/>
        <v>30</v>
      </c>
    </row>
    <row r="667" spans="14:25">
      <c r="N667" s="34" t="s">
        <v>1244</v>
      </c>
      <c r="O667" s="34" t="s">
        <v>1228</v>
      </c>
      <c r="P667" s="34">
        <v>3</v>
      </c>
      <c r="Q667" s="34" t="s">
        <v>1233</v>
      </c>
      <c r="R667" s="34" t="s">
        <v>1244</v>
      </c>
      <c r="S667" s="38">
        <v>43327</v>
      </c>
      <c r="T667" s="38"/>
      <c r="U667" s="34" t="s">
        <v>4441</v>
      </c>
      <c r="V667" s="255" t="s">
        <v>4442</v>
      </c>
      <c r="W667" s="34"/>
      <c r="X667" s="3">
        <f t="shared" si="44"/>
        <v>-3</v>
      </c>
      <c r="Y667" s="3">
        <f t="shared" si="45"/>
        <v>3</v>
      </c>
    </row>
    <row r="668" spans="14:25">
      <c r="N668" s="34" t="s">
        <v>1244</v>
      </c>
      <c r="O668" s="34" t="s">
        <v>1234</v>
      </c>
      <c r="P668" s="34">
        <v>3</v>
      </c>
      <c r="Q668" s="34" t="s">
        <v>1233</v>
      </c>
      <c r="R668" s="34" t="s">
        <v>1244</v>
      </c>
      <c r="S668" s="38">
        <v>43327</v>
      </c>
      <c r="T668" s="38"/>
      <c r="U668" s="34" t="s">
        <v>4441</v>
      </c>
      <c r="V668" s="255" t="s">
        <v>4442</v>
      </c>
      <c r="W668" s="34"/>
      <c r="X668" s="3">
        <f t="shared" si="44"/>
        <v>-3</v>
      </c>
      <c r="Y668" s="3">
        <f t="shared" si="45"/>
        <v>3</v>
      </c>
    </row>
    <row r="669" spans="14:25">
      <c r="N669" s="34" t="s">
        <v>1244</v>
      </c>
      <c r="O669" s="34" t="s">
        <v>1236</v>
      </c>
      <c r="P669" s="34">
        <v>3</v>
      </c>
      <c r="Q669" s="34" t="s">
        <v>1233</v>
      </c>
      <c r="R669" s="34" t="s">
        <v>1244</v>
      </c>
      <c r="S669" s="38">
        <v>43327</v>
      </c>
      <c r="T669" s="38"/>
      <c r="U669" s="34" t="s">
        <v>4441</v>
      </c>
      <c r="V669" s="255" t="s">
        <v>4442</v>
      </c>
      <c r="W669" s="34"/>
      <c r="X669" s="3">
        <f t="shared" si="44"/>
        <v>-3</v>
      </c>
      <c r="Y669" s="3">
        <f t="shared" si="45"/>
        <v>3</v>
      </c>
    </row>
    <row r="670" spans="14:25">
      <c r="N670" s="34" t="s">
        <v>1244</v>
      </c>
      <c r="O670" s="34" t="s">
        <v>1238</v>
      </c>
      <c r="P670" s="34">
        <v>3</v>
      </c>
      <c r="Q670" s="34" t="s">
        <v>1233</v>
      </c>
      <c r="R670" s="34" t="s">
        <v>1244</v>
      </c>
      <c r="S670" s="38">
        <v>43327</v>
      </c>
      <c r="T670" s="38"/>
      <c r="U670" s="34" t="s">
        <v>4441</v>
      </c>
      <c r="V670" s="255" t="s">
        <v>4442</v>
      </c>
      <c r="W670" s="34"/>
      <c r="X670" s="3">
        <f t="shared" si="44"/>
        <v>-3</v>
      </c>
      <c r="Y670" s="3">
        <f t="shared" si="45"/>
        <v>3</v>
      </c>
    </row>
    <row r="671" spans="14:25">
      <c r="N671" s="34" t="s">
        <v>1244</v>
      </c>
      <c r="O671" s="34" t="s">
        <v>1338</v>
      </c>
      <c r="P671" s="34">
        <v>3</v>
      </c>
      <c r="Q671" s="34" t="s">
        <v>1233</v>
      </c>
      <c r="R671" s="34" t="s">
        <v>1244</v>
      </c>
      <c r="S671" s="38">
        <v>43327</v>
      </c>
      <c r="T671" s="38"/>
      <c r="U671" s="34" t="s">
        <v>4441</v>
      </c>
      <c r="V671" s="255" t="s">
        <v>4442</v>
      </c>
      <c r="W671" s="34"/>
      <c r="X671" s="3">
        <f t="shared" si="44"/>
        <v>-3</v>
      </c>
      <c r="Y671" s="3">
        <f t="shared" si="45"/>
        <v>3</v>
      </c>
    </row>
    <row r="672" spans="14:25">
      <c r="N672" s="34" t="s">
        <v>1244</v>
      </c>
      <c r="O672" s="34" t="s">
        <v>1235</v>
      </c>
      <c r="P672" s="34">
        <v>3</v>
      </c>
      <c r="Q672" s="34" t="s">
        <v>1233</v>
      </c>
      <c r="R672" s="34" t="s">
        <v>1244</v>
      </c>
      <c r="S672" s="38">
        <v>43327</v>
      </c>
      <c r="T672" s="38"/>
      <c r="U672" s="34" t="s">
        <v>4441</v>
      </c>
      <c r="V672" s="255" t="s">
        <v>4442</v>
      </c>
      <c r="W672" s="34"/>
      <c r="X672" s="3">
        <f t="shared" si="44"/>
        <v>-3</v>
      </c>
      <c r="Y672" s="3">
        <f t="shared" si="45"/>
        <v>3</v>
      </c>
    </row>
    <row r="673" spans="14:25">
      <c r="N673" s="59" t="s">
        <v>364</v>
      </c>
      <c r="O673" s="59" t="s">
        <v>1228</v>
      </c>
      <c r="P673" s="59">
        <v>11</v>
      </c>
      <c r="Q673" s="59" t="s">
        <v>1229</v>
      </c>
      <c r="R673" s="59" t="s">
        <v>364</v>
      </c>
      <c r="S673" s="60">
        <v>43342</v>
      </c>
      <c r="T673" s="60">
        <v>43342</v>
      </c>
      <c r="U673" s="59" t="s">
        <v>4446</v>
      </c>
      <c r="V673" s="59" t="s">
        <v>4451</v>
      </c>
      <c r="W673" s="59"/>
      <c r="X673" s="3">
        <f>IF(OR(Q673="Stock to Rack",Q673="From Stock"),-P673,IF(OR(Q673="Rack to Stock",Q673="To Stock"),P673))</f>
        <v>11</v>
      </c>
      <c r="Y673" s="3" t="b">
        <f>IF(Q673="Rack to Stock",-P673,IF(Q673="Stock to Rack",P673))</f>
        <v>0</v>
      </c>
    </row>
    <row r="674" spans="14:25">
      <c r="N674" s="31" t="s">
        <v>336</v>
      </c>
      <c r="O674" s="31" t="s">
        <v>1228</v>
      </c>
      <c r="P674" s="31">
        <v>30</v>
      </c>
      <c r="Q674" s="31" t="s">
        <v>1229</v>
      </c>
      <c r="R674" s="31" t="s">
        <v>364</v>
      </c>
      <c r="S674" s="32">
        <v>43343</v>
      </c>
      <c r="T674" s="32"/>
      <c r="U674" s="31" t="s">
        <v>4446</v>
      </c>
      <c r="V674" s="265" t="s">
        <v>4447</v>
      </c>
      <c r="W674" s="31" t="s">
        <v>4186</v>
      </c>
      <c r="X674" s="3">
        <f>IF(OR(Q674="Stock to Rack",Q674="From Stock"),-P674,IF(OR(Q674="Rack to Stock",Q674="To Stock"),P674))</f>
        <v>30</v>
      </c>
      <c r="Y674" s="3" t="b">
        <f>IF(Q674="Rack to Stock",-P674,IF(Q674="Stock to Rack",P674))</f>
        <v>0</v>
      </c>
    </row>
    <row r="675" spans="14:25">
      <c r="N675" s="31" t="s">
        <v>203</v>
      </c>
      <c r="O675" s="31" t="s">
        <v>1228</v>
      </c>
      <c r="P675" s="31">
        <v>53</v>
      </c>
      <c r="Q675" s="31"/>
      <c r="R675" s="31" t="s">
        <v>364</v>
      </c>
      <c r="S675" s="32">
        <v>43343</v>
      </c>
      <c r="T675" s="32"/>
      <c r="U675" s="31" t="s">
        <v>4446</v>
      </c>
      <c r="V675" s="265" t="s">
        <v>4448</v>
      </c>
      <c r="W675" s="31"/>
      <c r="X675" s="3" t="b">
        <f>IF(OR(Q675="Stock to Rack",Q675="From Stock"),-P675,IF(OR(Q675="Rack to Stock",Q675="To Stock"),P675))</f>
        <v>0</v>
      </c>
      <c r="Y675" s="3" t="b">
        <f>IF(Q675="Rack to Stock",-P675,IF(Q675="Stock to Rack",P675))</f>
        <v>0</v>
      </c>
    </row>
    <row r="676" spans="14:25" s="3" customFormat="1">
      <c r="N676" s="59" t="s">
        <v>0</v>
      </c>
      <c r="O676" s="59" t="s">
        <v>1228</v>
      </c>
      <c r="P676" s="59">
        <v>25</v>
      </c>
      <c r="Q676" s="59" t="s">
        <v>1229</v>
      </c>
      <c r="R676" s="60" t="s">
        <v>364</v>
      </c>
      <c r="S676" s="60">
        <v>43343</v>
      </c>
      <c r="T676" s="60"/>
      <c r="U676" s="59" t="s">
        <v>4446</v>
      </c>
      <c r="V676" s="264" t="s">
        <v>4449</v>
      </c>
      <c r="W676" s="34"/>
      <c r="X676" s="3">
        <f>IF(OR(Q676="Stock to Rack",Q676="From Stock"),-P676,IF(OR(Q676="Rack to Stock",Q676="To Stock"),P676))</f>
        <v>25</v>
      </c>
      <c r="Y676" s="3" t="b">
        <f>IF(Q676="Rack to Stock",-P676,IF(Q676="Stock to Rack",P676))</f>
        <v>0</v>
      </c>
    </row>
    <row r="677" spans="14:25">
      <c r="N677" s="31" t="s">
        <v>1244</v>
      </c>
      <c r="O677" s="31" t="s">
        <v>1228</v>
      </c>
      <c r="P677" s="31">
        <v>31</v>
      </c>
      <c r="Q677" s="31"/>
      <c r="R677" s="31" t="s">
        <v>364</v>
      </c>
      <c r="S677" s="32">
        <v>43343</v>
      </c>
      <c r="T677" s="32"/>
      <c r="U677" s="31" t="s">
        <v>4446</v>
      </c>
      <c r="V677" s="265" t="s">
        <v>4450</v>
      </c>
      <c r="W677" s="31"/>
      <c r="X677" s="3" t="b">
        <f>IF(OR(Q677="Stock to Rack",Q677="From Stock"),-P677,IF(OR(Q677="Rack to Stock",Q677="To Stock"),P677))</f>
        <v>0</v>
      </c>
      <c r="Y677" s="3" t="b">
        <f>IF(Q677="Rack to Stock",-P677,IF(Q677="Stock to Rack",P677))</f>
        <v>0</v>
      </c>
    </row>
    <row r="678" spans="14:25">
      <c r="N678" s="59" t="s">
        <v>364</v>
      </c>
      <c r="O678" s="59" t="s">
        <v>1234</v>
      </c>
      <c r="P678" s="59">
        <v>11</v>
      </c>
      <c r="Q678" s="59" t="s">
        <v>1229</v>
      </c>
      <c r="R678" s="59" t="s">
        <v>364</v>
      </c>
      <c r="S678" s="60">
        <v>43342</v>
      </c>
      <c r="T678" s="60">
        <v>43342</v>
      </c>
      <c r="U678" s="59" t="s">
        <v>4446</v>
      </c>
      <c r="V678" s="59" t="s">
        <v>4451</v>
      </c>
      <c r="W678" s="59"/>
      <c r="X678" s="3">
        <f t="shared" si="44"/>
        <v>11</v>
      </c>
      <c r="Y678" s="3" t="b">
        <f t="shared" si="45"/>
        <v>0</v>
      </c>
    </row>
    <row r="679" spans="14:25">
      <c r="N679" s="31" t="s">
        <v>336</v>
      </c>
      <c r="O679" s="31" t="s">
        <v>1234</v>
      </c>
      <c r="P679" s="31">
        <v>30</v>
      </c>
      <c r="Q679" s="31" t="s">
        <v>1229</v>
      </c>
      <c r="R679" s="31" t="s">
        <v>364</v>
      </c>
      <c r="S679" s="32">
        <v>43343</v>
      </c>
      <c r="T679" s="32"/>
      <c r="U679" s="31" t="s">
        <v>4446</v>
      </c>
      <c r="V679" s="265" t="s">
        <v>4447</v>
      </c>
      <c r="W679" s="31" t="s">
        <v>4186</v>
      </c>
      <c r="X679" s="3">
        <f t="shared" si="44"/>
        <v>30</v>
      </c>
      <c r="Y679" s="3" t="b">
        <f t="shared" si="45"/>
        <v>0</v>
      </c>
    </row>
    <row r="680" spans="14:25">
      <c r="N680" s="31" t="s">
        <v>203</v>
      </c>
      <c r="O680" s="31" t="s">
        <v>1234</v>
      </c>
      <c r="P680" s="31">
        <v>53</v>
      </c>
      <c r="Q680" s="31"/>
      <c r="R680" s="31" t="s">
        <v>364</v>
      </c>
      <c r="S680" s="32">
        <v>43343</v>
      </c>
      <c r="T680" s="32"/>
      <c r="U680" s="31" t="s">
        <v>4446</v>
      </c>
      <c r="V680" s="265" t="s">
        <v>4448</v>
      </c>
      <c r="W680" s="31"/>
      <c r="X680" s="3" t="b">
        <f t="shared" si="44"/>
        <v>0</v>
      </c>
      <c r="Y680" s="3" t="b">
        <f t="shared" si="45"/>
        <v>0</v>
      </c>
    </row>
    <row r="681" spans="14:25" s="3" customFormat="1">
      <c r="N681" s="59" t="s">
        <v>0</v>
      </c>
      <c r="O681" s="59" t="s">
        <v>1234</v>
      </c>
      <c r="P681" s="59">
        <v>25</v>
      </c>
      <c r="Q681" s="59" t="s">
        <v>1229</v>
      </c>
      <c r="R681" s="60" t="s">
        <v>364</v>
      </c>
      <c r="S681" s="60">
        <v>43343</v>
      </c>
      <c r="T681" s="60"/>
      <c r="U681" s="59" t="s">
        <v>4446</v>
      </c>
      <c r="V681" s="264" t="s">
        <v>4449</v>
      </c>
      <c r="W681" s="34"/>
      <c r="X681" s="3">
        <f t="shared" si="44"/>
        <v>25</v>
      </c>
      <c r="Y681" s="3" t="b">
        <f t="shared" si="45"/>
        <v>0</v>
      </c>
    </row>
    <row r="682" spans="14:25">
      <c r="N682" s="31" t="s">
        <v>1244</v>
      </c>
      <c r="O682" s="31" t="s">
        <v>1234</v>
      </c>
      <c r="P682" s="31">
        <v>31</v>
      </c>
      <c r="Q682" s="31"/>
      <c r="R682" s="31" t="s">
        <v>364</v>
      </c>
      <c r="S682" s="32">
        <v>43343</v>
      </c>
      <c r="T682" s="32"/>
      <c r="U682" s="31" t="s">
        <v>4446</v>
      </c>
      <c r="V682" s="265" t="s">
        <v>4450</v>
      </c>
      <c r="W682" s="31"/>
      <c r="X682" s="3" t="b">
        <f t="shared" si="44"/>
        <v>0</v>
      </c>
      <c r="Y682" s="3" t="b">
        <f t="shared" si="45"/>
        <v>0</v>
      </c>
    </row>
    <row r="683" spans="14:25">
      <c r="N683" s="59" t="s">
        <v>364</v>
      </c>
      <c r="O683" s="59" t="s">
        <v>1338</v>
      </c>
      <c r="P683" s="59">
        <v>7</v>
      </c>
      <c r="Q683" s="59" t="s">
        <v>1229</v>
      </c>
      <c r="R683" s="59" t="s">
        <v>364</v>
      </c>
      <c r="S683" s="60">
        <v>43342</v>
      </c>
      <c r="T683" s="60">
        <v>43342</v>
      </c>
      <c r="U683" s="59" t="s">
        <v>4446</v>
      </c>
      <c r="V683" s="59" t="s">
        <v>4451</v>
      </c>
      <c r="W683" s="59"/>
      <c r="X683" s="3">
        <f t="shared" si="44"/>
        <v>7</v>
      </c>
      <c r="Y683" s="3" t="b">
        <f t="shared" si="45"/>
        <v>0</v>
      </c>
    </row>
    <row r="684" spans="14:25">
      <c r="N684" s="31" t="s">
        <v>336</v>
      </c>
      <c r="O684" s="31" t="s">
        <v>1338</v>
      </c>
      <c r="P684" s="31">
        <v>20</v>
      </c>
      <c r="Q684" s="31"/>
      <c r="R684" s="31" t="s">
        <v>364</v>
      </c>
      <c r="S684" s="32">
        <v>43343</v>
      </c>
      <c r="T684" s="32"/>
      <c r="U684" s="31" t="s">
        <v>4446</v>
      </c>
      <c r="V684" s="265" t="s">
        <v>4453</v>
      </c>
      <c r="W684" s="31" t="s">
        <v>4186</v>
      </c>
      <c r="X684" s="3" t="b">
        <f t="shared" si="44"/>
        <v>0</v>
      </c>
      <c r="Y684" s="3" t="b">
        <f t="shared" si="45"/>
        <v>0</v>
      </c>
    </row>
    <row r="685" spans="14:25">
      <c r="N685" s="31" t="s">
        <v>203</v>
      </c>
      <c r="O685" s="31" t="s">
        <v>1338</v>
      </c>
      <c r="P685" s="31">
        <v>23</v>
      </c>
      <c r="Q685" s="31"/>
      <c r="R685" s="31" t="s">
        <v>364</v>
      </c>
      <c r="S685" s="32">
        <v>43343</v>
      </c>
      <c r="T685" s="32"/>
      <c r="U685" s="31" t="s">
        <v>4446</v>
      </c>
      <c r="V685" s="265" t="s">
        <v>4455</v>
      </c>
      <c r="W685" s="31"/>
      <c r="X685" s="3" t="b">
        <f t="shared" si="44"/>
        <v>0</v>
      </c>
      <c r="Y685" s="3" t="b">
        <f t="shared" si="45"/>
        <v>0</v>
      </c>
    </row>
    <row r="686" spans="14:25" s="3" customFormat="1">
      <c r="N686" s="59" t="s">
        <v>0</v>
      </c>
      <c r="O686" s="59" t="s">
        <v>1236</v>
      </c>
      <c r="P686" s="59">
        <v>11</v>
      </c>
      <c r="Q686" s="59" t="s">
        <v>1229</v>
      </c>
      <c r="R686" s="60" t="s">
        <v>364</v>
      </c>
      <c r="S686" s="60">
        <v>43343</v>
      </c>
      <c r="T686" s="60"/>
      <c r="U686" s="59" t="s">
        <v>4446</v>
      </c>
      <c r="V686" s="264" t="s">
        <v>4452</v>
      </c>
      <c r="W686" s="34"/>
      <c r="X686" s="3">
        <f t="shared" si="44"/>
        <v>11</v>
      </c>
      <c r="Y686" s="3" t="b">
        <f t="shared" si="45"/>
        <v>0</v>
      </c>
    </row>
    <row r="687" spans="14:25">
      <c r="N687" s="31" t="s">
        <v>1244</v>
      </c>
      <c r="O687" s="31" t="s">
        <v>1338</v>
      </c>
      <c r="P687" s="31">
        <v>26</v>
      </c>
      <c r="Q687" s="31"/>
      <c r="R687" s="31" t="s">
        <v>364</v>
      </c>
      <c r="S687" s="32">
        <v>43343</v>
      </c>
      <c r="T687" s="32"/>
      <c r="U687" s="31" t="s">
        <v>4446</v>
      </c>
      <c r="V687" s="265" t="s">
        <v>4454</v>
      </c>
      <c r="W687" s="31"/>
      <c r="X687" s="3" t="b">
        <f t="shared" ref="X687:X749" si="46">IF(OR(Q687="Stock to Rack",Q687="From Stock"),-P687,IF(OR(Q687="Rack to Stock",Q687="To Stock"),P687))</f>
        <v>0</v>
      </c>
      <c r="Y687" s="3" t="b">
        <f t="shared" ref="Y687:Y749" si="47">IF(Q687="Rack to Stock",-P687,IF(Q687="Stock to Rack",P687))</f>
        <v>0</v>
      </c>
    </row>
    <row r="688" spans="14:25">
      <c r="N688" s="59" t="s">
        <v>364</v>
      </c>
      <c r="O688" s="59" t="s">
        <v>1238</v>
      </c>
      <c r="P688" s="59">
        <v>11</v>
      </c>
      <c r="Q688" s="59"/>
      <c r="R688" s="59" t="s">
        <v>364</v>
      </c>
      <c r="S688" s="60">
        <v>43342</v>
      </c>
      <c r="T688" s="60">
        <v>43342</v>
      </c>
      <c r="U688" s="59" t="s">
        <v>4446</v>
      </c>
      <c r="V688" s="59" t="s">
        <v>4451</v>
      </c>
      <c r="W688" s="59"/>
      <c r="X688" s="3" t="b">
        <f t="shared" si="46"/>
        <v>0</v>
      </c>
      <c r="Y688" s="3" t="b">
        <f t="shared" si="47"/>
        <v>0</v>
      </c>
    </row>
    <row r="689" spans="14:25">
      <c r="N689" s="31" t="s">
        <v>336</v>
      </c>
      <c r="O689" s="31" t="s">
        <v>1238</v>
      </c>
      <c r="P689" s="31">
        <v>30</v>
      </c>
      <c r="Q689" s="31"/>
      <c r="R689" s="31" t="s">
        <v>364</v>
      </c>
      <c r="S689" s="32">
        <v>43343</v>
      </c>
      <c r="T689" s="32"/>
      <c r="U689" s="31" t="s">
        <v>4446</v>
      </c>
      <c r="V689" s="266" t="s">
        <v>4447</v>
      </c>
      <c r="W689" s="31" t="s">
        <v>4186</v>
      </c>
      <c r="X689" s="3" t="b">
        <f t="shared" si="46"/>
        <v>0</v>
      </c>
      <c r="Y689" s="3" t="b">
        <f t="shared" si="47"/>
        <v>0</v>
      </c>
    </row>
    <row r="690" spans="14:25">
      <c r="N690" s="31" t="s">
        <v>203</v>
      </c>
      <c r="O690" s="31" t="s">
        <v>1238</v>
      </c>
      <c r="P690" s="31">
        <v>53</v>
      </c>
      <c r="Q690" s="31"/>
      <c r="R690" s="31" t="s">
        <v>364</v>
      </c>
      <c r="S690" s="32">
        <v>43343</v>
      </c>
      <c r="T690" s="32"/>
      <c r="U690" s="31" t="s">
        <v>4446</v>
      </c>
      <c r="V690" s="265" t="s">
        <v>4448</v>
      </c>
      <c r="W690" s="31"/>
      <c r="X690" s="3" t="b">
        <f t="shared" si="46"/>
        <v>0</v>
      </c>
      <c r="Y690" s="3" t="b">
        <f t="shared" si="47"/>
        <v>0</v>
      </c>
    </row>
    <row r="691" spans="14:25" s="3" customFormat="1">
      <c r="N691" s="59" t="s">
        <v>0</v>
      </c>
      <c r="O691" s="59" t="s">
        <v>1234</v>
      </c>
      <c r="P691" s="59">
        <v>25</v>
      </c>
      <c r="Q691" s="59" t="s">
        <v>1229</v>
      </c>
      <c r="R691" s="60" t="s">
        <v>364</v>
      </c>
      <c r="S691" s="60">
        <v>43343</v>
      </c>
      <c r="T691" s="60"/>
      <c r="U691" s="59" t="s">
        <v>4446</v>
      </c>
      <c r="V691" s="264" t="s">
        <v>4449</v>
      </c>
      <c r="W691" s="34"/>
      <c r="X691" s="3">
        <f t="shared" si="46"/>
        <v>25</v>
      </c>
      <c r="Y691" s="3" t="b">
        <f t="shared" si="47"/>
        <v>0</v>
      </c>
    </row>
    <row r="692" spans="14:25">
      <c r="N692" s="31" t="s">
        <v>1244</v>
      </c>
      <c r="O692" s="31" t="s">
        <v>1238</v>
      </c>
      <c r="P692" s="31">
        <v>31</v>
      </c>
      <c r="Q692" s="31"/>
      <c r="R692" s="31" t="s">
        <v>364</v>
      </c>
      <c r="S692" s="32">
        <v>43343</v>
      </c>
      <c r="T692" s="32"/>
      <c r="U692" s="31" t="s">
        <v>4446</v>
      </c>
      <c r="V692" s="265" t="s">
        <v>4450</v>
      </c>
      <c r="W692" s="31"/>
      <c r="X692" s="3" t="b">
        <f t="shared" si="46"/>
        <v>0</v>
      </c>
      <c r="Y692" s="3" t="b">
        <f t="shared" si="47"/>
        <v>0</v>
      </c>
    </row>
    <row r="693" spans="14:25">
      <c r="N693" s="31" t="s">
        <v>0</v>
      </c>
      <c r="O693" s="31" t="s">
        <v>1234</v>
      </c>
      <c r="P693" s="31">
        <v>5</v>
      </c>
      <c r="Q693" s="31"/>
      <c r="R693" s="31" t="s">
        <v>364</v>
      </c>
      <c r="S693" s="32">
        <v>43346</v>
      </c>
      <c r="T693" s="32"/>
      <c r="U693" s="31" t="s">
        <v>4446</v>
      </c>
      <c r="V693" s="265" t="s">
        <v>4456</v>
      </c>
      <c r="W693" s="31"/>
      <c r="X693" s="3" t="b">
        <f t="shared" si="46"/>
        <v>0</v>
      </c>
      <c r="Y693" s="3" t="b">
        <f t="shared" si="47"/>
        <v>0</v>
      </c>
    </row>
    <row r="694" spans="14:25">
      <c r="N694" s="59" t="s">
        <v>364</v>
      </c>
      <c r="O694" s="59" t="s">
        <v>1228</v>
      </c>
      <c r="P694" s="59">
        <v>11</v>
      </c>
      <c r="Q694" s="59" t="s">
        <v>1233</v>
      </c>
      <c r="R694" s="59" t="s">
        <v>364</v>
      </c>
      <c r="S694" s="60">
        <v>43349</v>
      </c>
      <c r="T694" s="60">
        <v>43349</v>
      </c>
      <c r="U694" s="59" t="s">
        <v>4446</v>
      </c>
      <c r="V694" s="59" t="s">
        <v>4451</v>
      </c>
      <c r="W694" s="59"/>
      <c r="X694" s="3">
        <f t="shared" si="46"/>
        <v>-11</v>
      </c>
      <c r="Y694" s="3">
        <f t="shared" si="47"/>
        <v>11</v>
      </c>
    </row>
    <row r="695" spans="14:25">
      <c r="N695" s="59" t="s">
        <v>364</v>
      </c>
      <c r="O695" s="59" t="s">
        <v>1234</v>
      </c>
      <c r="P695" s="59">
        <v>11</v>
      </c>
      <c r="Q695" s="59" t="s">
        <v>1233</v>
      </c>
      <c r="R695" s="59" t="s">
        <v>364</v>
      </c>
      <c r="S695" s="60">
        <v>43349</v>
      </c>
      <c r="T695" s="60">
        <v>43349</v>
      </c>
      <c r="U695" s="59" t="s">
        <v>4446</v>
      </c>
      <c r="V695" s="59" t="s">
        <v>4451</v>
      </c>
      <c r="W695" s="59"/>
      <c r="X695" s="3">
        <f t="shared" si="46"/>
        <v>-11</v>
      </c>
      <c r="Y695" s="3">
        <f t="shared" si="47"/>
        <v>11</v>
      </c>
    </row>
    <row r="696" spans="14:25">
      <c r="N696" s="59" t="s">
        <v>364</v>
      </c>
      <c r="O696" s="59" t="s">
        <v>1236</v>
      </c>
      <c r="P696" s="59">
        <v>7</v>
      </c>
      <c r="Q696" s="59" t="s">
        <v>1233</v>
      </c>
      <c r="R696" s="59" t="s">
        <v>364</v>
      </c>
      <c r="S696" s="60">
        <v>43349</v>
      </c>
      <c r="T696" s="60">
        <v>43349</v>
      </c>
      <c r="U696" s="59" t="s">
        <v>4446</v>
      </c>
      <c r="V696" s="59" t="s">
        <v>4451</v>
      </c>
      <c r="W696" s="59"/>
      <c r="X696" s="3">
        <f t="shared" si="46"/>
        <v>-7</v>
      </c>
      <c r="Y696" s="3">
        <f t="shared" si="47"/>
        <v>7</v>
      </c>
    </row>
    <row r="697" spans="14:25">
      <c r="N697" s="59" t="s">
        <v>364</v>
      </c>
      <c r="O697" s="59" t="s">
        <v>1238</v>
      </c>
      <c r="P697" s="59">
        <v>11</v>
      </c>
      <c r="Q697" s="59" t="s">
        <v>1233</v>
      </c>
      <c r="R697" s="59" t="s">
        <v>364</v>
      </c>
      <c r="S697" s="60">
        <v>43349</v>
      </c>
      <c r="T697" s="60">
        <v>43349</v>
      </c>
      <c r="U697" s="59" t="s">
        <v>4446</v>
      </c>
      <c r="V697" s="59" t="s">
        <v>4451</v>
      </c>
      <c r="W697" s="59"/>
      <c r="X697" s="3">
        <f t="shared" si="46"/>
        <v>-11</v>
      </c>
      <c r="Y697" s="3">
        <f t="shared" si="47"/>
        <v>11</v>
      </c>
    </row>
    <row r="698" spans="14:25">
      <c r="N698" s="59" t="s">
        <v>364</v>
      </c>
      <c r="O698" s="59" t="s">
        <v>1235</v>
      </c>
      <c r="P698" s="59">
        <v>11</v>
      </c>
      <c r="Q698" s="59" t="s">
        <v>1233</v>
      </c>
      <c r="R698" s="59" t="s">
        <v>364</v>
      </c>
      <c r="S698" s="60">
        <v>43349</v>
      </c>
      <c r="T698" s="60">
        <v>43349</v>
      </c>
      <c r="U698" s="59" t="s">
        <v>4446</v>
      </c>
      <c r="V698" s="59" t="s">
        <v>4451</v>
      </c>
      <c r="W698" s="59"/>
      <c r="X698" s="3">
        <f t="shared" si="46"/>
        <v>-11</v>
      </c>
      <c r="Y698" s="3">
        <f t="shared" si="47"/>
        <v>11</v>
      </c>
    </row>
    <row r="699" spans="14:25">
      <c r="N699" s="265" t="s">
        <v>1244</v>
      </c>
      <c r="O699" s="265" t="s">
        <v>1228</v>
      </c>
      <c r="P699" s="288">
        <v>20</v>
      </c>
      <c r="Q699" s="265"/>
      <c r="R699" s="265" t="s">
        <v>364</v>
      </c>
      <c r="S699" s="287">
        <v>43353</v>
      </c>
      <c r="T699" s="265"/>
      <c r="U699" s="265" t="s">
        <v>4446</v>
      </c>
      <c r="V699" s="265" t="s">
        <v>4461</v>
      </c>
      <c r="W699" s="265"/>
      <c r="X699" s="3" t="b">
        <f t="shared" si="46"/>
        <v>0</v>
      </c>
      <c r="Y699" s="3" t="b">
        <f t="shared" si="47"/>
        <v>0</v>
      </c>
    </row>
    <row r="700" spans="14:25">
      <c r="N700" s="34" t="s">
        <v>1244</v>
      </c>
      <c r="O700" s="34" t="s">
        <v>1236</v>
      </c>
      <c r="P700" s="34">
        <v>31</v>
      </c>
      <c r="Q700" s="34" t="s">
        <v>1229</v>
      </c>
      <c r="R700" s="34" t="s">
        <v>364</v>
      </c>
      <c r="S700" s="38">
        <v>43349</v>
      </c>
      <c r="T700" s="38"/>
      <c r="U700" s="34" t="s">
        <v>4462</v>
      </c>
      <c r="V700" s="255" t="s">
        <v>4442</v>
      </c>
      <c r="W700" s="34"/>
      <c r="X700" s="3">
        <f t="shared" si="46"/>
        <v>31</v>
      </c>
      <c r="Y700" s="3" t="b">
        <f t="shared" si="47"/>
        <v>0</v>
      </c>
    </row>
    <row r="701" spans="14:25">
      <c r="N701" s="34" t="s">
        <v>1244</v>
      </c>
      <c r="O701" s="34" t="s">
        <v>1234</v>
      </c>
      <c r="P701" s="34">
        <v>31</v>
      </c>
      <c r="Q701" s="34" t="s">
        <v>1229</v>
      </c>
      <c r="R701" s="34" t="s">
        <v>364</v>
      </c>
      <c r="S701" s="38">
        <v>43349</v>
      </c>
      <c r="T701" s="38"/>
      <c r="U701" s="34" t="s">
        <v>4462</v>
      </c>
      <c r="V701" s="255" t="s">
        <v>4442</v>
      </c>
      <c r="W701" s="34"/>
      <c r="X701" s="3">
        <f t="shared" si="46"/>
        <v>31</v>
      </c>
      <c r="Y701" s="3" t="b">
        <f t="shared" si="47"/>
        <v>0</v>
      </c>
    </row>
    <row r="702" spans="14:25">
      <c r="N702" s="34" t="s">
        <v>1244</v>
      </c>
      <c r="O702" s="34" t="s">
        <v>1228</v>
      </c>
      <c r="P702" s="34">
        <v>31</v>
      </c>
      <c r="Q702" s="34" t="s">
        <v>1229</v>
      </c>
      <c r="R702" s="34" t="s">
        <v>364</v>
      </c>
      <c r="S702" s="38">
        <v>43349</v>
      </c>
      <c r="T702" s="38"/>
      <c r="U702" s="34" t="s">
        <v>4462</v>
      </c>
      <c r="V702" s="255" t="s">
        <v>4442</v>
      </c>
      <c r="W702" s="34"/>
      <c r="X702" s="3">
        <f t="shared" si="46"/>
        <v>31</v>
      </c>
      <c r="Y702" s="3" t="b">
        <f t="shared" si="47"/>
        <v>0</v>
      </c>
    </row>
    <row r="703" spans="14:25">
      <c r="N703" s="34" t="s">
        <v>1244</v>
      </c>
      <c r="O703" s="34" t="s">
        <v>1338</v>
      </c>
      <c r="P703" s="34">
        <v>29</v>
      </c>
      <c r="Q703" s="34" t="s">
        <v>1229</v>
      </c>
      <c r="R703" s="34" t="s">
        <v>364</v>
      </c>
      <c r="S703" s="38">
        <v>43349</v>
      </c>
      <c r="T703" s="38"/>
      <c r="U703" s="34" t="s">
        <v>4462</v>
      </c>
      <c r="V703" s="255" t="s">
        <v>4442</v>
      </c>
      <c r="W703" s="34"/>
      <c r="X703" s="3">
        <f t="shared" si="46"/>
        <v>29</v>
      </c>
      <c r="Y703" s="3" t="b">
        <f t="shared" si="47"/>
        <v>0</v>
      </c>
    </row>
    <row r="704" spans="14:25">
      <c r="N704" s="34" t="s">
        <v>1244</v>
      </c>
      <c r="O704" s="34" t="s">
        <v>1228</v>
      </c>
      <c r="P704" s="34">
        <v>4</v>
      </c>
      <c r="Q704" s="34" t="s">
        <v>1233</v>
      </c>
      <c r="R704" s="34" t="s">
        <v>364</v>
      </c>
      <c r="S704" s="38">
        <v>43354</v>
      </c>
      <c r="T704" s="38"/>
      <c r="U704" s="34" t="s">
        <v>4462</v>
      </c>
      <c r="V704" s="255" t="s">
        <v>4463</v>
      </c>
      <c r="W704" s="34"/>
      <c r="X704" s="3">
        <f t="shared" si="46"/>
        <v>-4</v>
      </c>
      <c r="Y704" s="3">
        <f t="shared" si="47"/>
        <v>4</v>
      </c>
    </row>
    <row r="705" spans="14:25">
      <c r="N705" s="34" t="s">
        <v>203</v>
      </c>
      <c r="O705" s="34" t="s">
        <v>1228</v>
      </c>
      <c r="P705" s="34">
        <v>53</v>
      </c>
      <c r="Q705" s="34" t="s">
        <v>1229</v>
      </c>
      <c r="R705" s="34" t="s">
        <v>364</v>
      </c>
      <c r="S705" s="38">
        <v>43347</v>
      </c>
      <c r="T705" s="38">
        <v>43354</v>
      </c>
      <c r="U705" s="34" t="s">
        <v>5768</v>
      </c>
      <c r="V705" s="255" t="s">
        <v>4448</v>
      </c>
      <c r="W705" s="34"/>
      <c r="X705" s="3">
        <f t="shared" si="46"/>
        <v>53</v>
      </c>
      <c r="Y705" s="3" t="b">
        <f t="shared" si="47"/>
        <v>0</v>
      </c>
    </row>
    <row r="706" spans="14:25">
      <c r="N706" s="34" t="s">
        <v>203</v>
      </c>
      <c r="O706" s="34" t="s">
        <v>1228</v>
      </c>
      <c r="P706" s="34">
        <v>20</v>
      </c>
      <c r="Q706" s="34" t="s">
        <v>1233</v>
      </c>
      <c r="R706" s="34" t="s">
        <v>203</v>
      </c>
      <c r="S706" s="38"/>
      <c r="T706" s="38"/>
      <c r="U706" s="34"/>
      <c r="V706" s="255" t="s">
        <v>4463</v>
      </c>
      <c r="W706" s="34"/>
      <c r="X706" s="3">
        <f t="shared" si="46"/>
        <v>-20</v>
      </c>
      <c r="Y706" s="3">
        <f t="shared" si="47"/>
        <v>20</v>
      </c>
    </row>
    <row r="707" spans="14:25">
      <c r="N707" s="34" t="s">
        <v>203</v>
      </c>
      <c r="O707" s="34" t="s">
        <v>1234</v>
      </c>
      <c r="P707" s="34">
        <v>53</v>
      </c>
      <c r="Q707" s="34" t="s">
        <v>1229</v>
      </c>
      <c r="R707" s="34" t="s">
        <v>364</v>
      </c>
      <c r="S707" s="38">
        <v>43347</v>
      </c>
      <c r="T707" s="38">
        <v>43354</v>
      </c>
      <c r="U707" s="34" t="s">
        <v>5768</v>
      </c>
      <c r="V707" s="255" t="s">
        <v>4448</v>
      </c>
      <c r="W707" s="34"/>
      <c r="X707" s="3">
        <f t="shared" si="46"/>
        <v>53</v>
      </c>
      <c r="Y707" s="3" t="b">
        <f t="shared" si="47"/>
        <v>0</v>
      </c>
    </row>
    <row r="708" spans="14:25">
      <c r="N708" s="34" t="s">
        <v>203</v>
      </c>
      <c r="O708" s="34" t="s">
        <v>1338</v>
      </c>
      <c r="P708" s="34">
        <v>123</v>
      </c>
      <c r="Q708" s="34" t="s">
        <v>1229</v>
      </c>
      <c r="R708" s="34" t="s">
        <v>364</v>
      </c>
      <c r="S708" s="38"/>
      <c r="T708" s="38"/>
      <c r="U708" s="34"/>
      <c r="V708" s="255" t="s">
        <v>4463</v>
      </c>
      <c r="W708" s="34"/>
      <c r="X708" s="3">
        <f t="shared" si="46"/>
        <v>123</v>
      </c>
      <c r="Y708" s="3" t="b">
        <f t="shared" si="47"/>
        <v>0</v>
      </c>
    </row>
    <row r="709" spans="14:25">
      <c r="N709" s="34" t="s">
        <v>203</v>
      </c>
      <c r="O709" s="34" t="s">
        <v>1338</v>
      </c>
      <c r="P709" s="34">
        <v>22</v>
      </c>
      <c r="Q709" s="34" t="s">
        <v>1233</v>
      </c>
      <c r="R709" s="34" t="s">
        <v>203</v>
      </c>
      <c r="S709" s="38"/>
      <c r="T709" s="38"/>
      <c r="U709" s="34"/>
      <c r="V709" s="255" t="s">
        <v>4463</v>
      </c>
      <c r="W709" s="34"/>
      <c r="X709" s="3">
        <f t="shared" si="46"/>
        <v>-22</v>
      </c>
      <c r="Y709" s="3">
        <f t="shared" si="47"/>
        <v>22</v>
      </c>
    </row>
    <row r="710" spans="14:25">
      <c r="N710" s="34" t="s">
        <v>203</v>
      </c>
      <c r="O710" s="34" t="s">
        <v>1236</v>
      </c>
      <c r="P710" s="34">
        <v>23</v>
      </c>
      <c r="Q710" s="34" t="s">
        <v>1229</v>
      </c>
      <c r="R710" s="34" t="s">
        <v>364</v>
      </c>
      <c r="S710" s="38"/>
      <c r="T710" s="38"/>
      <c r="U710" s="34"/>
      <c r="V710" s="255" t="s">
        <v>4463</v>
      </c>
      <c r="W710" s="34"/>
      <c r="X710" s="3">
        <f t="shared" si="46"/>
        <v>23</v>
      </c>
      <c r="Y710" s="3" t="b">
        <f t="shared" si="47"/>
        <v>0</v>
      </c>
    </row>
    <row r="711" spans="14:25">
      <c r="N711" s="34" t="s">
        <v>203</v>
      </c>
      <c r="O711" s="34" t="s">
        <v>1236</v>
      </c>
      <c r="P711" s="34">
        <v>9</v>
      </c>
      <c r="Q711" s="34" t="s">
        <v>1233</v>
      </c>
      <c r="R711" s="34" t="s">
        <v>203</v>
      </c>
      <c r="S711" s="38"/>
      <c r="T711" s="38"/>
      <c r="U711" s="34"/>
      <c r="V711" s="255" t="s">
        <v>4463</v>
      </c>
      <c r="W711" s="34"/>
      <c r="X711" s="3">
        <f t="shared" si="46"/>
        <v>-9</v>
      </c>
      <c r="Y711" s="3">
        <f t="shared" si="47"/>
        <v>9</v>
      </c>
    </row>
    <row r="712" spans="14:25">
      <c r="N712" s="34" t="s">
        <v>203</v>
      </c>
      <c r="O712" s="34" t="s">
        <v>1238</v>
      </c>
      <c r="P712" s="34">
        <v>100</v>
      </c>
      <c r="Q712" s="34" t="s">
        <v>1229</v>
      </c>
      <c r="R712" s="34" t="s">
        <v>203</v>
      </c>
      <c r="S712" s="38"/>
      <c r="T712" s="38"/>
      <c r="U712" s="34"/>
      <c r="V712" s="255" t="s">
        <v>4463</v>
      </c>
      <c r="W712" s="34"/>
      <c r="X712" s="3">
        <f t="shared" si="46"/>
        <v>100</v>
      </c>
      <c r="Y712" s="3" t="b">
        <f t="shared" si="47"/>
        <v>0</v>
      </c>
    </row>
    <row r="713" spans="14:25">
      <c r="N713" s="34" t="s">
        <v>203</v>
      </c>
      <c r="O713" s="34" t="s">
        <v>1237</v>
      </c>
      <c r="P713" s="34">
        <v>98</v>
      </c>
      <c r="Q713" s="34" t="s">
        <v>1229</v>
      </c>
      <c r="R713" s="34" t="s">
        <v>203</v>
      </c>
      <c r="S713" s="38"/>
      <c r="T713" s="38"/>
      <c r="U713" s="34"/>
      <c r="V713" s="255" t="s">
        <v>4463</v>
      </c>
      <c r="W713" s="34"/>
      <c r="X713" s="3">
        <f t="shared" si="46"/>
        <v>98</v>
      </c>
      <c r="Y713" s="3" t="b">
        <f t="shared" si="47"/>
        <v>0</v>
      </c>
    </row>
    <row r="714" spans="14:25">
      <c r="N714" s="34" t="s">
        <v>1244</v>
      </c>
      <c r="O714" s="34" t="s">
        <v>1228</v>
      </c>
      <c r="P714" s="34">
        <v>9</v>
      </c>
      <c r="Q714" s="34" t="s">
        <v>1233</v>
      </c>
      <c r="R714" s="34" t="s">
        <v>1244</v>
      </c>
      <c r="S714" s="38"/>
      <c r="T714" s="38"/>
      <c r="U714" s="34" t="s">
        <v>4462</v>
      </c>
      <c r="V714" s="255" t="s">
        <v>4463</v>
      </c>
      <c r="W714" s="34"/>
      <c r="X714" s="3">
        <f t="shared" si="46"/>
        <v>-9</v>
      </c>
      <c r="Y714" s="3">
        <f t="shared" si="47"/>
        <v>9</v>
      </c>
    </row>
    <row r="715" spans="14:25">
      <c r="N715" s="34" t="s">
        <v>1244</v>
      </c>
      <c r="O715" s="34" t="s">
        <v>1234</v>
      </c>
      <c r="P715" s="34">
        <v>10</v>
      </c>
      <c r="Q715" s="34" t="s">
        <v>1233</v>
      </c>
      <c r="R715" s="34" t="s">
        <v>1244</v>
      </c>
      <c r="S715" s="38"/>
      <c r="T715" s="38"/>
      <c r="U715" s="34" t="s">
        <v>4462</v>
      </c>
      <c r="V715" s="255" t="s">
        <v>4463</v>
      </c>
      <c r="W715" s="34"/>
      <c r="X715" s="3">
        <f t="shared" si="46"/>
        <v>-10</v>
      </c>
      <c r="Y715" s="3">
        <f t="shared" si="47"/>
        <v>10</v>
      </c>
    </row>
    <row r="716" spans="14:25">
      <c r="N716" s="34" t="s">
        <v>1244</v>
      </c>
      <c r="O716" s="34" t="s">
        <v>1236</v>
      </c>
      <c r="P716" s="34">
        <v>9</v>
      </c>
      <c r="Q716" s="34" t="s">
        <v>1233</v>
      </c>
      <c r="R716" s="34" t="s">
        <v>1244</v>
      </c>
      <c r="S716" s="38"/>
      <c r="T716" s="38"/>
      <c r="U716" s="34" t="s">
        <v>4462</v>
      </c>
      <c r="V716" s="255" t="s">
        <v>4463</v>
      </c>
      <c r="W716" s="34"/>
      <c r="X716" s="3">
        <f t="shared" si="46"/>
        <v>-9</v>
      </c>
      <c r="Y716" s="3">
        <f t="shared" si="47"/>
        <v>9</v>
      </c>
    </row>
    <row r="717" spans="14:25">
      <c r="N717" s="34" t="s">
        <v>1244</v>
      </c>
      <c r="O717" s="34" t="s">
        <v>1237</v>
      </c>
      <c r="P717" s="34">
        <v>8</v>
      </c>
      <c r="Q717" s="34" t="s">
        <v>1229</v>
      </c>
      <c r="R717" s="34" t="s">
        <v>1244</v>
      </c>
      <c r="S717" s="38"/>
      <c r="T717" s="38"/>
      <c r="U717" s="34" t="s">
        <v>4462</v>
      </c>
      <c r="V717" s="255" t="s">
        <v>4463</v>
      </c>
      <c r="W717" s="34"/>
      <c r="X717" s="3">
        <f t="shared" si="46"/>
        <v>8</v>
      </c>
      <c r="Y717" s="3" t="b">
        <f t="shared" si="47"/>
        <v>0</v>
      </c>
    </row>
    <row r="718" spans="14:25">
      <c r="N718" s="34" t="s">
        <v>336</v>
      </c>
      <c r="O718" s="34" t="s">
        <v>1228</v>
      </c>
      <c r="P718" s="34">
        <v>30</v>
      </c>
      <c r="Q718" s="34" t="s">
        <v>1233</v>
      </c>
      <c r="R718" s="34" t="s">
        <v>336</v>
      </c>
      <c r="S718" s="38"/>
      <c r="T718" s="38"/>
      <c r="U718" s="34" t="s">
        <v>4218</v>
      </c>
      <c r="V718" s="255" t="s">
        <v>4217</v>
      </c>
      <c r="W718" s="95" t="s">
        <v>5552</v>
      </c>
      <c r="X718" s="3">
        <f t="shared" si="46"/>
        <v>-30</v>
      </c>
      <c r="Y718" s="3">
        <f t="shared" si="47"/>
        <v>30</v>
      </c>
    </row>
    <row r="719" spans="14:25">
      <c r="N719" s="34" t="s">
        <v>336</v>
      </c>
      <c r="O719" s="34" t="s">
        <v>1234</v>
      </c>
      <c r="P719" s="34">
        <v>8</v>
      </c>
      <c r="Q719" s="34" t="s">
        <v>1233</v>
      </c>
      <c r="R719" s="34" t="s">
        <v>336</v>
      </c>
      <c r="S719" s="38"/>
      <c r="T719" s="38"/>
      <c r="U719" s="34" t="s">
        <v>4218</v>
      </c>
      <c r="V719" s="255" t="s">
        <v>4822</v>
      </c>
      <c r="W719" s="34"/>
      <c r="X719" s="3">
        <f t="shared" si="46"/>
        <v>-8</v>
      </c>
      <c r="Y719" s="3">
        <f t="shared" si="47"/>
        <v>8</v>
      </c>
    </row>
    <row r="720" spans="14:25">
      <c r="N720" s="34" t="s">
        <v>336</v>
      </c>
      <c r="O720" s="34" t="s">
        <v>1236</v>
      </c>
      <c r="P720" s="34">
        <v>8</v>
      </c>
      <c r="Q720" s="34" t="s">
        <v>1233</v>
      </c>
      <c r="R720" s="34" t="s">
        <v>336</v>
      </c>
      <c r="S720" s="38"/>
      <c r="T720" s="38"/>
      <c r="U720" s="34" t="s">
        <v>4823</v>
      </c>
      <c r="V720" s="255" t="s">
        <v>4217</v>
      </c>
      <c r="W720" s="34"/>
      <c r="X720" s="3">
        <f t="shared" si="46"/>
        <v>-8</v>
      </c>
      <c r="Y720" s="3">
        <f t="shared" si="47"/>
        <v>8</v>
      </c>
    </row>
    <row r="721" spans="14:25">
      <c r="N721" s="34" t="s">
        <v>336</v>
      </c>
      <c r="O721" s="34" t="s">
        <v>1237</v>
      </c>
      <c r="P721" s="34">
        <v>16</v>
      </c>
      <c r="Q721" s="34" t="s">
        <v>1285</v>
      </c>
      <c r="R721" s="34" t="s">
        <v>336</v>
      </c>
      <c r="S721" s="38"/>
      <c r="T721" s="38"/>
      <c r="U721" s="34" t="s">
        <v>4823</v>
      </c>
      <c r="V721" s="255" t="s">
        <v>4824</v>
      </c>
      <c r="W721" s="34"/>
      <c r="X721" s="3">
        <f t="shared" si="46"/>
        <v>16</v>
      </c>
      <c r="Y721" s="3">
        <f t="shared" si="47"/>
        <v>-16</v>
      </c>
    </row>
    <row r="722" spans="14:25">
      <c r="N722" s="34" t="s">
        <v>336</v>
      </c>
      <c r="O722" s="34" t="s">
        <v>1237</v>
      </c>
      <c r="P722" s="34">
        <v>16</v>
      </c>
      <c r="Q722" s="34" t="s">
        <v>1233</v>
      </c>
      <c r="R722" s="34" t="s">
        <v>336</v>
      </c>
      <c r="S722" s="38"/>
      <c r="T722" s="38"/>
      <c r="U722" s="34" t="s">
        <v>4218</v>
      </c>
      <c r="V722" s="255" t="s">
        <v>4822</v>
      </c>
      <c r="W722" s="34"/>
      <c r="X722" s="3">
        <f t="shared" si="46"/>
        <v>-16</v>
      </c>
      <c r="Y722" s="3">
        <f t="shared" si="47"/>
        <v>16</v>
      </c>
    </row>
    <row r="723" spans="14:25">
      <c r="N723" s="34" t="s">
        <v>336</v>
      </c>
      <c r="O723" s="34" t="s">
        <v>1238</v>
      </c>
      <c r="P723" s="34">
        <v>8</v>
      </c>
      <c r="Q723" s="34" t="s">
        <v>1233</v>
      </c>
      <c r="R723" s="34" t="s">
        <v>336</v>
      </c>
      <c r="S723" s="38"/>
      <c r="T723" s="38"/>
      <c r="U723" s="34" t="s">
        <v>4218</v>
      </c>
      <c r="V723" s="255" t="s">
        <v>4822</v>
      </c>
      <c r="W723" s="34"/>
      <c r="X723" s="3">
        <f t="shared" si="46"/>
        <v>-8</v>
      </c>
      <c r="Y723" s="3">
        <f t="shared" si="47"/>
        <v>8</v>
      </c>
    </row>
    <row r="724" spans="14:25">
      <c r="N724" s="34" t="s">
        <v>336</v>
      </c>
      <c r="O724" s="34" t="s">
        <v>1235</v>
      </c>
      <c r="P724" s="34">
        <v>8</v>
      </c>
      <c r="Q724" s="34" t="s">
        <v>1233</v>
      </c>
      <c r="R724" s="34" t="s">
        <v>336</v>
      </c>
      <c r="S724" s="38"/>
      <c r="T724" s="38"/>
      <c r="U724" s="34" t="s">
        <v>4218</v>
      </c>
      <c r="V724" s="255" t="s">
        <v>4822</v>
      </c>
      <c r="W724" s="34"/>
      <c r="X724" s="3">
        <f t="shared" si="46"/>
        <v>-8</v>
      </c>
      <c r="Y724" s="3">
        <f t="shared" si="47"/>
        <v>8</v>
      </c>
    </row>
    <row r="725" spans="14:25">
      <c r="N725" s="34" t="s">
        <v>336</v>
      </c>
      <c r="O725" s="34" t="s">
        <v>1338</v>
      </c>
      <c r="P725" s="34">
        <v>8</v>
      </c>
      <c r="Q725" s="34" t="s">
        <v>1233</v>
      </c>
      <c r="R725" s="34" t="s">
        <v>336</v>
      </c>
      <c r="S725" s="38"/>
      <c r="T725" s="38"/>
      <c r="U725" s="34" t="s">
        <v>4218</v>
      </c>
      <c r="V725" s="255" t="s">
        <v>4217</v>
      </c>
      <c r="W725" s="34"/>
      <c r="X725" s="3">
        <f t="shared" si="46"/>
        <v>-8</v>
      </c>
      <c r="Y725" s="3">
        <f t="shared" si="47"/>
        <v>8</v>
      </c>
    </row>
    <row r="726" spans="14:25">
      <c r="N726" s="34" t="s">
        <v>336</v>
      </c>
      <c r="O726" s="34" t="s">
        <v>1243</v>
      </c>
      <c r="P726" s="34">
        <v>41</v>
      </c>
      <c r="Q726" s="34" t="s">
        <v>1229</v>
      </c>
      <c r="R726" s="34" t="s">
        <v>336</v>
      </c>
      <c r="S726" s="38"/>
      <c r="T726" s="38"/>
      <c r="U726" s="34" t="s">
        <v>4218</v>
      </c>
      <c r="V726" s="255" t="s">
        <v>4825</v>
      </c>
      <c r="W726" s="34"/>
      <c r="X726" s="3">
        <f t="shared" si="46"/>
        <v>41</v>
      </c>
      <c r="Y726" s="3" t="b">
        <f t="shared" si="47"/>
        <v>0</v>
      </c>
    </row>
    <row r="727" spans="14:25">
      <c r="N727" s="34" t="s">
        <v>336</v>
      </c>
      <c r="O727" s="34" t="s">
        <v>1243</v>
      </c>
      <c r="P727" s="34">
        <v>8</v>
      </c>
      <c r="Q727" s="34" t="s">
        <v>1233</v>
      </c>
      <c r="R727" s="34" t="s">
        <v>336</v>
      </c>
      <c r="S727" s="38"/>
      <c r="T727" s="38"/>
      <c r="U727" s="34" t="s">
        <v>4218</v>
      </c>
      <c r="V727" s="255" t="s">
        <v>4826</v>
      </c>
      <c r="W727" s="34"/>
      <c r="X727" s="3">
        <f t="shared" si="46"/>
        <v>-8</v>
      </c>
      <c r="Y727" s="3">
        <f t="shared" si="47"/>
        <v>8</v>
      </c>
    </row>
    <row r="728" spans="14:25">
      <c r="N728" s="34" t="s">
        <v>336</v>
      </c>
      <c r="O728" s="34" t="s">
        <v>1338</v>
      </c>
      <c r="P728" s="34">
        <v>28</v>
      </c>
      <c r="Q728" s="34" t="s">
        <v>1229</v>
      </c>
      <c r="R728" s="34" t="s">
        <v>336</v>
      </c>
      <c r="S728" s="38"/>
      <c r="T728" s="38"/>
      <c r="U728" s="34" t="s">
        <v>4218</v>
      </c>
      <c r="V728" s="255" t="s">
        <v>4217</v>
      </c>
      <c r="W728" s="34"/>
      <c r="X728" s="3">
        <f t="shared" si="46"/>
        <v>28</v>
      </c>
      <c r="Y728" s="3" t="b">
        <f t="shared" si="47"/>
        <v>0</v>
      </c>
    </row>
    <row r="729" spans="14:25">
      <c r="N729" s="34" t="s">
        <v>1244</v>
      </c>
      <c r="O729" s="34" t="s">
        <v>1236</v>
      </c>
      <c r="P729" s="34">
        <v>5</v>
      </c>
      <c r="Q729" s="34" t="s">
        <v>1233</v>
      </c>
      <c r="R729" s="34" t="s">
        <v>1244</v>
      </c>
      <c r="S729" s="38"/>
      <c r="T729" s="38"/>
      <c r="U729" s="34" t="s">
        <v>4462</v>
      </c>
      <c r="V729" s="255" t="s">
        <v>4217</v>
      </c>
      <c r="W729" s="34"/>
      <c r="X729" s="3">
        <f t="shared" si="46"/>
        <v>-5</v>
      </c>
      <c r="Y729" s="3">
        <f t="shared" si="47"/>
        <v>5</v>
      </c>
    </row>
    <row r="730" spans="14:25">
      <c r="N730" s="34" t="s">
        <v>336</v>
      </c>
      <c r="O730" s="34" t="s">
        <v>1234</v>
      </c>
      <c r="P730" s="34">
        <v>5</v>
      </c>
      <c r="Q730" s="34" t="s">
        <v>1233</v>
      </c>
      <c r="R730" s="34" t="s">
        <v>336</v>
      </c>
      <c r="S730" s="38"/>
      <c r="T730" s="38"/>
      <c r="U730" s="34" t="s">
        <v>4218</v>
      </c>
      <c r="V730" s="255" t="s">
        <v>4217</v>
      </c>
      <c r="W730" s="34"/>
      <c r="X730" s="3">
        <f t="shared" si="46"/>
        <v>-5</v>
      </c>
      <c r="Y730" s="3">
        <f t="shared" si="47"/>
        <v>5</v>
      </c>
    </row>
    <row r="731" spans="14:25">
      <c r="N731" s="34" t="s">
        <v>336</v>
      </c>
      <c r="O731" s="34" t="s">
        <v>1237</v>
      </c>
      <c r="P731" s="34">
        <v>9</v>
      </c>
      <c r="Q731" s="34" t="s">
        <v>1229</v>
      </c>
      <c r="R731" s="34" t="s">
        <v>336</v>
      </c>
      <c r="S731" s="38"/>
      <c r="T731" s="38"/>
      <c r="U731" s="34" t="s">
        <v>4218</v>
      </c>
      <c r="V731" s="255" t="s">
        <v>4875</v>
      </c>
      <c r="W731" s="34"/>
      <c r="X731" s="3">
        <f t="shared" si="46"/>
        <v>9</v>
      </c>
      <c r="Y731" s="3" t="b">
        <f t="shared" si="47"/>
        <v>0</v>
      </c>
    </row>
    <row r="732" spans="14:25">
      <c r="N732" s="34" t="s">
        <v>336</v>
      </c>
      <c r="O732" s="34" t="s">
        <v>1237</v>
      </c>
      <c r="P732" s="34">
        <v>12</v>
      </c>
      <c r="Q732" s="34" t="s">
        <v>1285</v>
      </c>
      <c r="R732" s="34" t="s">
        <v>336</v>
      </c>
      <c r="S732" s="38"/>
      <c r="T732" s="38"/>
      <c r="U732" s="34" t="s">
        <v>4218</v>
      </c>
      <c r="V732" s="255" t="s">
        <v>4876</v>
      </c>
      <c r="W732" s="34"/>
      <c r="X732" s="3">
        <f t="shared" si="46"/>
        <v>12</v>
      </c>
      <c r="Y732" s="3">
        <f t="shared" si="47"/>
        <v>-12</v>
      </c>
    </row>
    <row r="733" spans="14:25">
      <c r="N733" s="34" t="s">
        <v>336</v>
      </c>
      <c r="O733" s="34" t="s">
        <v>1236</v>
      </c>
      <c r="P733" s="34">
        <v>5</v>
      </c>
      <c r="Q733" s="34" t="s">
        <v>1233</v>
      </c>
      <c r="R733" s="34" t="s">
        <v>336</v>
      </c>
      <c r="S733" s="38"/>
      <c r="T733" s="38"/>
      <c r="U733" s="34" t="s">
        <v>4877</v>
      </c>
      <c r="V733" s="255" t="s">
        <v>4217</v>
      </c>
      <c r="W733" s="34"/>
      <c r="X733" s="3">
        <f t="shared" si="46"/>
        <v>-5</v>
      </c>
      <c r="Y733" s="3">
        <f t="shared" si="47"/>
        <v>5</v>
      </c>
    </row>
    <row r="734" spans="14:25">
      <c r="N734" s="34" t="s">
        <v>336</v>
      </c>
      <c r="O734" s="34" t="s">
        <v>1235</v>
      </c>
      <c r="P734" s="34">
        <v>5</v>
      </c>
      <c r="Q734" s="34" t="s">
        <v>1233</v>
      </c>
      <c r="R734" s="34" t="s">
        <v>336</v>
      </c>
      <c r="S734" s="38"/>
      <c r="T734" s="38"/>
      <c r="U734" s="34" t="s">
        <v>4218</v>
      </c>
      <c r="V734" s="255" t="s">
        <v>4822</v>
      </c>
      <c r="W734" s="34"/>
      <c r="X734" s="3">
        <f t="shared" si="46"/>
        <v>-5</v>
      </c>
      <c r="Y734" s="3">
        <f t="shared" si="47"/>
        <v>5</v>
      </c>
    </row>
    <row r="735" spans="14:25">
      <c r="N735" s="34" t="s">
        <v>336</v>
      </c>
      <c r="O735" s="34" t="s">
        <v>1243</v>
      </c>
      <c r="P735" s="34">
        <v>5</v>
      </c>
      <c r="Q735" s="34" t="s">
        <v>1233</v>
      </c>
      <c r="R735" s="34" t="s">
        <v>336</v>
      </c>
      <c r="S735" s="38"/>
      <c r="T735" s="38"/>
      <c r="U735" s="34" t="s">
        <v>4218</v>
      </c>
      <c r="V735" s="255" t="s">
        <v>4822</v>
      </c>
      <c r="W735" s="34"/>
      <c r="X735" s="3">
        <f t="shared" si="46"/>
        <v>-5</v>
      </c>
      <c r="Y735" s="3">
        <f t="shared" si="47"/>
        <v>5</v>
      </c>
    </row>
    <row r="736" spans="14:25">
      <c r="N736" s="34" t="s">
        <v>336</v>
      </c>
      <c r="O736" s="34" t="s">
        <v>1238</v>
      </c>
      <c r="P736" s="34">
        <v>5</v>
      </c>
      <c r="Q736" s="34" t="s">
        <v>1233</v>
      </c>
      <c r="R736" s="34" t="s">
        <v>336</v>
      </c>
      <c r="S736" s="38"/>
      <c r="T736" s="38"/>
      <c r="U736" s="34" t="s">
        <v>4218</v>
      </c>
      <c r="V736" s="255" t="s">
        <v>4822</v>
      </c>
      <c r="W736" s="34"/>
      <c r="X736" s="3">
        <f t="shared" si="46"/>
        <v>-5</v>
      </c>
      <c r="Y736" s="3">
        <f t="shared" si="47"/>
        <v>5</v>
      </c>
    </row>
    <row r="737" spans="14:25">
      <c r="N737" s="34" t="s">
        <v>336</v>
      </c>
      <c r="O737" s="34" t="s">
        <v>1338</v>
      </c>
      <c r="P737" s="34">
        <v>5</v>
      </c>
      <c r="Q737" s="34" t="s">
        <v>1233</v>
      </c>
      <c r="R737" s="34" t="s">
        <v>336</v>
      </c>
      <c r="S737" s="38"/>
      <c r="T737" s="38"/>
      <c r="U737" s="34" t="s">
        <v>4218</v>
      </c>
      <c r="V737" s="255" t="s">
        <v>4217</v>
      </c>
      <c r="W737" s="34"/>
      <c r="X737" s="3">
        <f t="shared" si="46"/>
        <v>-5</v>
      </c>
      <c r="Y737" s="3">
        <f t="shared" si="47"/>
        <v>5</v>
      </c>
    </row>
    <row r="738" spans="14:25">
      <c r="N738" s="34" t="s">
        <v>336</v>
      </c>
      <c r="O738" s="34" t="s">
        <v>1236</v>
      </c>
      <c r="P738" s="34">
        <v>20</v>
      </c>
      <c r="Q738" s="34" t="s">
        <v>1229</v>
      </c>
      <c r="R738" s="34" t="s">
        <v>336</v>
      </c>
      <c r="S738" s="38"/>
      <c r="T738" s="38"/>
      <c r="U738" s="34" t="s">
        <v>4218</v>
      </c>
      <c r="V738" s="255" t="s">
        <v>4878</v>
      </c>
      <c r="W738" s="34"/>
      <c r="X738" s="3">
        <f t="shared" si="46"/>
        <v>20</v>
      </c>
      <c r="Y738" s="3" t="b">
        <f t="shared" si="47"/>
        <v>0</v>
      </c>
    </row>
    <row r="739" spans="14:25">
      <c r="N739" s="34" t="s">
        <v>336</v>
      </c>
      <c r="O739" s="34" t="s">
        <v>1238</v>
      </c>
      <c r="P739" s="34">
        <v>50</v>
      </c>
      <c r="Q739" s="34" t="s">
        <v>1282</v>
      </c>
      <c r="R739" s="34" t="s">
        <v>336</v>
      </c>
      <c r="S739" s="38"/>
      <c r="T739" s="38"/>
      <c r="U739" s="34" t="s">
        <v>1260</v>
      </c>
      <c r="V739" s="255" t="s">
        <v>4879</v>
      </c>
      <c r="W739" s="34"/>
      <c r="X739" s="3">
        <f t="shared" si="46"/>
        <v>-50</v>
      </c>
      <c r="Y739" s="3" t="b">
        <f t="shared" si="47"/>
        <v>0</v>
      </c>
    </row>
    <row r="740" spans="14:25">
      <c r="N740" s="34" t="s">
        <v>1244</v>
      </c>
      <c r="O740" s="34" t="s">
        <v>1234</v>
      </c>
      <c r="P740" s="34">
        <v>17</v>
      </c>
      <c r="Q740" s="34" t="s">
        <v>1233</v>
      </c>
      <c r="R740" s="34" t="s">
        <v>1244</v>
      </c>
      <c r="S740" s="38"/>
      <c r="T740" s="38"/>
      <c r="U740" s="34" t="s">
        <v>4886</v>
      </c>
      <c r="V740" s="255" t="s">
        <v>4878</v>
      </c>
      <c r="W740" s="34"/>
      <c r="X740" s="3">
        <f t="shared" si="46"/>
        <v>-17</v>
      </c>
      <c r="Y740" s="3">
        <f t="shared" si="47"/>
        <v>17</v>
      </c>
    </row>
    <row r="741" spans="14:25">
      <c r="N741" s="34" t="s">
        <v>1244</v>
      </c>
      <c r="O741" s="34" t="s">
        <v>1228</v>
      </c>
      <c r="P741" s="34">
        <v>17</v>
      </c>
      <c r="Q741" s="34" t="s">
        <v>1233</v>
      </c>
      <c r="R741" s="34" t="s">
        <v>1244</v>
      </c>
      <c r="S741" s="38"/>
      <c r="T741" s="38"/>
      <c r="U741" s="34" t="s">
        <v>4886</v>
      </c>
      <c r="V741" s="255" t="s">
        <v>4878</v>
      </c>
      <c r="W741" s="34"/>
      <c r="X741" s="3">
        <f t="shared" si="46"/>
        <v>-17</v>
      </c>
      <c r="Y741" s="3">
        <f t="shared" si="47"/>
        <v>17</v>
      </c>
    </row>
    <row r="742" spans="14:25">
      <c r="N742" s="34" t="s">
        <v>1244</v>
      </c>
      <c r="O742" s="34" t="s">
        <v>1237</v>
      </c>
      <c r="P742" s="34">
        <v>20</v>
      </c>
      <c r="Q742" s="34" t="s">
        <v>1233</v>
      </c>
      <c r="R742" s="34" t="s">
        <v>1244</v>
      </c>
      <c r="S742" s="38"/>
      <c r="T742" s="38"/>
      <c r="U742" s="34" t="s">
        <v>4886</v>
      </c>
      <c r="V742" s="255" t="s">
        <v>4878</v>
      </c>
      <c r="W742" s="34"/>
      <c r="X742" s="3">
        <f t="shared" si="46"/>
        <v>-20</v>
      </c>
      <c r="Y742" s="3">
        <f t="shared" si="47"/>
        <v>20</v>
      </c>
    </row>
    <row r="743" spans="14:25">
      <c r="N743" s="34" t="s">
        <v>1244</v>
      </c>
      <c r="O743" s="34" t="s">
        <v>1238</v>
      </c>
      <c r="P743" s="34">
        <v>5</v>
      </c>
      <c r="Q743" s="34" t="s">
        <v>1233</v>
      </c>
      <c r="R743" s="34" t="s">
        <v>1244</v>
      </c>
      <c r="S743" s="38"/>
      <c r="T743" s="38"/>
      <c r="U743" s="34" t="s">
        <v>4886</v>
      </c>
      <c r="V743" s="255" t="s">
        <v>4878</v>
      </c>
      <c r="W743" s="34"/>
      <c r="X743" s="3">
        <f t="shared" si="46"/>
        <v>-5</v>
      </c>
      <c r="Y743" s="3">
        <f t="shared" si="47"/>
        <v>5</v>
      </c>
    </row>
    <row r="744" spans="14:25">
      <c r="N744" s="34" t="s">
        <v>1244</v>
      </c>
      <c r="O744" s="34" t="s">
        <v>1338</v>
      </c>
      <c r="P744" s="34">
        <v>11</v>
      </c>
      <c r="Q744" s="34" t="s">
        <v>1233</v>
      </c>
      <c r="R744" s="34" t="s">
        <v>1244</v>
      </c>
      <c r="S744" s="38"/>
      <c r="T744" s="38"/>
      <c r="U744" s="34" t="s">
        <v>4886</v>
      </c>
      <c r="V744" s="255" t="s">
        <v>4878</v>
      </c>
      <c r="W744" s="34"/>
      <c r="X744" s="3">
        <f t="shared" si="46"/>
        <v>-11</v>
      </c>
      <c r="Y744" s="3">
        <f t="shared" si="47"/>
        <v>11</v>
      </c>
    </row>
    <row r="745" spans="14:25">
      <c r="N745" s="34" t="s">
        <v>336</v>
      </c>
      <c r="O745" s="34" t="s">
        <v>1234</v>
      </c>
      <c r="P745" s="34">
        <v>9</v>
      </c>
      <c r="Q745" s="34" t="s">
        <v>1233</v>
      </c>
      <c r="R745" s="34" t="s">
        <v>336</v>
      </c>
      <c r="S745" s="38"/>
      <c r="T745" s="38"/>
      <c r="U745" s="34" t="s">
        <v>4218</v>
      </c>
      <c r="V745" s="255" t="s">
        <v>4822</v>
      </c>
      <c r="W745" s="34"/>
      <c r="X745" s="3">
        <f t="shared" si="46"/>
        <v>-9</v>
      </c>
      <c r="Y745" s="3">
        <f t="shared" si="47"/>
        <v>9</v>
      </c>
    </row>
    <row r="746" spans="14:25">
      <c r="N746" s="34" t="s">
        <v>336</v>
      </c>
      <c r="O746" s="34" t="s">
        <v>1235</v>
      </c>
      <c r="P746" s="34">
        <v>8</v>
      </c>
      <c r="Q746" s="34" t="s">
        <v>1233</v>
      </c>
      <c r="R746" s="34" t="s">
        <v>336</v>
      </c>
      <c r="S746" s="38"/>
      <c r="T746" s="38"/>
      <c r="U746" s="34" t="s">
        <v>4888</v>
      </c>
      <c r="V746" s="255" t="s">
        <v>4217</v>
      </c>
      <c r="W746" s="34"/>
      <c r="X746" s="3">
        <f t="shared" si="46"/>
        <v>-8</v>
      </c>
      <c r="Y746" s="3">
        <f t="shared" si="47"/>
        <v>8</v>
      </c>
    </row>
    <row r="747" spans="14:25">
      <c r="N747" s="34" t="s">
        <v>336</v>
      </c>
      <c r="O747" s="34" t="s">
        <v>1237</v>
      </c>
      <c r="P747" s="34">
        <v>20</v>
      </c>
      <c r="Q747" s="34" t="s">
        <v>1233</v>
      </c>
      <c r="R747" s="34" t="s">
        <v>336</v>
      </c>
      <c r="S747" s="38"/>
      <c r="T747" s="38"/>
      <c r="U747" s="34" t="s">
        <v>4904</v>
      </c>
      <c r="V747" s="255" t="s">
        <v>4217</v>
      </c>
      <c r="W747" s="34"/>
      <c r="X747" s="3">
        <f t="shared" si="46"/>
        <v>-20</v>
      </c>
      <c r="Y747" s="3">
        <f t="shared" si="47"/>
        <v>20</v>
      </c>
    </row>
    <row r="748" spans="14:25">
      <c r="N748" s="34" t="s">
        <v>336</v>
      </c>
      <c r="O748" s="34" t="s">
        <v>1236</v>
      </c>
      <c r="P748" s="34">
        <v>5</v>
      </c>
      <c r="Q748" s="34" t="s">
        <v>1233</v>
      </c>
      <c r="R748" s="34" t="s">
        <v>336</v>
      </c>
      <c r="S748" s="38"/>
      <c r="T748" s="38"/>
      <c r="U748" s="34" t="s">
        <v>4887</v>
      </c>
      <c r="V748" s="255" t="s">
        <v>4822</v>
      </c>
      <c r="W748" s="34"/>
      <c r="X748" s="3">
        <f t="shared" si="46"/>
        <v>-5</v>
      </c>
      <c r="Y748" s="3">
        <f t="shared" si="47"/>
        <v>5</v>
      </c>
    </row>
    <row r="749" spans="14:25">
      <c r="N749" s="34" t="s">
        <v>336</v>
      </c>
      <c r="O749" s="34" t="s">
        <v>1238</v>
      </c>
      <c r="P749" s="34">
        <v>5</v>
      </c>
      <c r="Q749" s="34" t="s">
        <v>1233</v>
      </c>
      <c r="R749" s="34" t="s">
        <v>336</v>
      </c>
      <c r="S749" s="38"/>
      <c r="T749" s="38"/>
      <c r="U749" s="34" t="s">
        <v>4218</v>
      </c>
      <c r="V749" s="255" t="s">
        <v>4822</v>
      </c>
      <c r="W749" s="34"/>
      <c r="X749" s="3">
        <f t="shared" si="46"/>
        <v>-5</v>
      </c>
      <c r="Y749" s="3">
        <f t="shared" si="47"/>
        <v>5</v>
      </c>
    </row>
    <row r="750" spans="14:25">
      <c r="N750" s="34" t="s">
        <v>336</v>
      </c>
      <c r="O750" s="34" t="s">
        <v>1338</v>
      </c>
      <c r="P750" s="34">
        <v>5</v>
      </c>
      <c r="Q750" s="34" t="s">
        <v>1233</v>
      </c>
      <c r="R750" s="34" t="s">
        <v>336</v>
      </c>
      <c r="S750" s="38"/>
      <c r="T750" s="38"/>
      <c r="U750" s="34" t="s">
        <v>4218</v>
      </c>
      <c r="V750" s="255" t="s">
        <v>4822</v>
      </c>
      <c r="W750" s="34"/>
      <c r="X750" s="3">
        <f t="shared" ref="X750:X813" si="48">IF(OR(Q750="Stock to Rack",Q750="From Stock"),-P750,IF(OR(Q750="Rack to Stock",Q750="To Stock"),P750))</f>
        <v>-5</v>
      </c>
      <c r="Y750" s="3">
        <f t="shared" ref="Y750:Y813" si="49">IF(Q750="Rack to Stock",-P750,IF(Q750="Stock to Rack",P750))</f>
        <v>5</v>
      </c>
    </row>
    <row r="751" spans="14:25">
      <c r="N751" s="34" t="s">
        <v>336</v>
      </c>
      <c r="O751" s="34" t="s">
        <v>1243</v>
      </c>
      <c r="P751" s="34">
        <v>5</v>
      </c>
      <c r="Q751" s="34" t="s">
        <v>1233</v>
      </c>
      <c r="R751" s="34" t="s">
        <v>336</v>
      </c>
      <c r="S751" s="38"/>
      <c r="T751" s="38"/>
      <c r="U751" s="34" t="s">
        <v>4887</v>
      </c>
      <c r="V751" s="255" t="s">
        <v>4217</v>
      </c>
      <c r="W751" s="34"/>
      <c r="X751" s="3">
        <f t="shared" si="48"/>
        <v>-5</v>
      </c>
      <c r="Y751" s="3">
        <f t="shared" si="49"/>
        <v>5</v>
      </c>
    </row>
    <row r="752" spans="14:25" s="3" customFormat="1">
      <c r="N752" s="59" t="s">
        <v>0</v>
      </c>
      <c r="O752" s="59" t="s">
        <v>1228</v>
      </c>
      <c r="P752" s="59">
        <v>25</v>
      </c>
      <c r="Q752" s="59" t="s">
        <v>1233</v>
      </c>
      <c r="R752" s="60" t="s">
        <v>0</v>
      </c>
      <c r="S752" s="60"/>
      <c r="T752" s="60"/>
      <c r="U752" s="59" t="s">
        <v>1275</v>
      </c>
      <c r="V752" s="264"/>
      <c r="W752" s="34" t="s">
        <v>4918</v>
      </c>
      <c r="X752" s="3">
        <f t="shared" si="48"/>
        <v>-25</v>
      </c>
      <c r="Y752" s="3">
        <f t="shared" si="49"/>
        <v>25</v>
      </c>
    </row>
    <row r="753" spans="14:25" s="3" customFormat="1">
      <c r="N753" s="59" t="s">
        <v>0</v>
      </c>
      <c r="O753" s="59" t="s">
        <v>1234</v>
      </c>
      <c r="P753" s="59">
        <v>25</v>
      </c>
      <c r="Q753" s="59" t="s">
        <v>1233</v>
      </c>
      <c r="R753" s="60" t="s">
        <v>0</v>
      </c>
      <c r="S753" s="60"/>
      <c r="T753" s="60"/>
      <c r="U753" s="59" t="s">
        <v>1275</v>
      </c>
      <c r="V753" s="264"/>
      <c r="W753" s="34" t="s">
        <v>4918</v>
      </c>
      <c r="X753" s="3">
        <f t="shared" si="48"/>
        <v>-25</v>
      </c>
      <c r="Y753" s="3">
        <f t="shared" si="49"/>
        <v>25</v>
      </c>
    </row>
    <row r="754" spans="14:25" s="3" customFormat="1">
      <c r="N754" s="59" t="s">
        <v>0</v>
      </c>
      <c r="O754" s="59" t="s">
        <v>1235</v>
      </c>
      <c r="P754" s="59">
        <v>25</v>
      </c>
      <c r="Q754" s="59" t="s">
        <v>1233</v>
      </c>
      <c r="R754" s="60" t="s">
        <v>0</v>
      </c>
      <c r="S754" s="60"/>
      <c r="T754" s="60"/>
      <c r="U754" s="59" t="s">
        <v>1275</v>
      </c>
      <c r="V754" s="264"/>
      <c r="W754" s="34" t="s">
        <v>4918</v>
      </c>
      <c r="X754" s="3">
        <f t="shared" si="48"/>
        <v>-25</v>
      </c>
      <c r="Y754" s="3">
        <f t="shared" si="49"/>
        <v>25</v>
      </c>
    </row>
    <row r="755" spans="14:25" s="3" customFormat="1">
      <c r="N755" s="59" t="s">
        <v>0</v>
      </c>
      <c r="O755" s="59" t="s">
        <v>1236</v>
      </c>
      <c r="P755" s="59">
        <v>25</v>
      </c>
      <c r="Q755" s="59" t="s">
        <v>1233</v>
      </c>
      <c r="R755" s="60" t="s">
        <v>0</v>
      </c>
      <c r="S755" s="60"/>
      <c r="T755" s="60"/>
      <c r="U755" s="59" t="s">
        <v>1275</v>
      </c>
      <c r="V755" s="264"/>
      <c r="W755" s="34" t="s">
        <v>4918</v>
      </c>
      <c r="X755" s="3">
        <f t="shared" si="48"/>
        <v>-25</v>
      </c>
      <c r="Y755" s="3">
        <f t="shared" si="49"/>
        <v>25</v>
      </c>
    </row>
    <row r="756" spans="14:25" s="3" customFormat="1">
      <c r="N756" s="59" t="s">
        <v>0</v>
      </c>
      <c r="O756" s="59" t="s">
        <v>1237</v>
      </c>
      <c r="P756" s="59">
        <v>50</v>
      </c>
      <c r="Q756" s="59" t="s">
        <v>1233</v>
      </c>
      <c r="R756" s="60" t="s">
        <v>0</v>
      </c>
      <c r="S756" s="60"/>
      <c r="T756" s="60"/>
      <c r="U756" s="59" t="s">
        <v>1275</v>
      </c>
      <c r="V756" s="264"/>
      <c r="W756" s="34" t="s">
        <v>4918</v>
      </c>
      <c r="X756" s="3">
        <f t="shared" si="48"/>
        <v>-50</v>
      </c>
      <c r="Y756" s="3">
        <f t="shared" si="49"/>
        <v>50</v>
      </c>
    </row>
    <row r="757" spans="14:25" s="3" customFormat="1">
      <c r="N757" s="59" t="s">
        <v>0</v>
      </c>
      <c r="O757" s="59" t="s">
        <v>1238</v>
      </c>
      <c r="P757" s="59">
        <v>25</v>
      </c>
      <c r="Q757" s="59" t="s">
        <v>1233</v>
      </c>
      <c r="R757" s="60" t="s">
        <v>0</v>
      </c>
      <c r="S757" s="60"/>
      <c r="T757" s="60"/>
      <c r="U757" s="59" t="s">
        <v>1275</v>
      </c>
      <c r="V757" s="264"/>
      <c r="W757" s="34" t="s">
        <v>4918</v>
      </c>
      <c r="X757" s="3">
        <f t="shared" si="48"/>
        <v>-25</v>
      </c>
      <c r="Y757" s="3">
        <f t="shared" si="49"/>
        <v>25</v>
      </c>
    </row>
    <row r="758" spans="14:25" s="3" customFormat="1">
      <c r="N758" s="59" t="s">
        <v>0</v>
      </c>
      <c r="O758" s="59" t="s">
        <v>1338</v>
      </c>
      <c r="P758" s="59">
        <v>25</v>
      </c>
      <c r="Q758" s="59" t="s">
        <v>1233</v>
      </c>
      <c r="R758" s="60" t="s">
        <v>0</v>
      </c>
      <c r="S758" s="60"/>
      <c r="T758" s="60"/>
      <c r="U758" s="59" t="s">
        <v>1275</v>
      </c>
      <c r="V758" s="264"/>
      <c r="W758" s="34" t="s">
        <v>4918</v>
      </c>
      <c r="X758" s="3">
        <f t="shared" si="48"/>
        <v>-25</v>
      </c>
      <c r="Y758" s="3">
        <f t="shared" si="49"/>
        <v>25</v>
      </c>
    </row>
    <row r="759" spans="14:25">
      <c r="N759" s="59" t="s">
        <v>364</v>
      </c>
      <c r="O759" s="59" t="s">
        <v>1228</v>
      </c>
      <c r="P759" s="59">
        <v>23</v>
      </c>
      <c r="Q759" s="59" t="s">
        <v>1229</v>
      </c>
      <c r="R759" s="59" t="s">
        <v>364</v>
      </c>
      <c r="S759" s="60">
        <v>43378</v>
      </c>
      <c r="T759" s="59"/>
      <c r="U759" s="59" t="s">
        <v>4446</v>
      </c>
      <c r="V759" s="59"/>
      <c r="W759" s="34"/>
      <c r="X759" s="3">
        <f t="shared" si="48"/>
        <v>23</v>
      </c>
      <c r="Y759" s="3" t="b">
        <f t="shared" si="49"/>
        <v>0</v>
      </c>
    </row>
    <row r="760" spans="14:25">
      <c r="N760" s="31" t="s">
        <v>203</v>
      </c>
      <c r="O760" s="31" t="s">
        <v>1228</v>
      </c>
      <c r="P760" s="31">
        <v>62</v>
      </c>
      <c r="Q760" s="31"/>
      <c r="R760" s="31" t="s">
        <v>364</v>
      </c>
      <c r="S760" s="32">
        <v>43381</v>
      </c>
      <c r="T760" s="31"/>
      <c r="U760" s="31" t="s">
        <v>4446</v>
      </c>
      <c r="V760" s="31" t="s">
        <v>5374</v>
      </c>
      <c r="W760" s="34"/>
      <c r="X760" s="3" t="b">
        <f t="shared" si="48"/>
        <v>0</v>
      </c>
      <c r="Y760" s="3" t="b">
        <f t="shared" si="49"/>
        <v>0</v>
      </c>
    </row>
    <row r="761" spans="14:25">
      <c r="N761" s="31" t="s">
        <v>336</v>
      </c>
      <c r="O761" s="31" t="s">
        <v>1228</v>
      </c>
      <c r="P761" s="31">
        <v>18</v>
      </c>
      <c r="Q761" s="31" t="s">
        <v>1229</v>
      </c>
      <c r="R761" s="31" t="s">
        <v>364</v>
      </c>
      <c r="S761" s="32">
        <v>43378</v>
      </c>
      <c r="T761" s="32"/>
      <c r="U761" s="31" t="s">
        <v>4446</v>
      </c>
      <c r="V761" s="265" t="s">
        <v>5130</v>
      </c>
      <c r="W761" s="95" t="s">
        <v>5553</v>
      </c>
      <c r="X761" s="3">
        <f t="shared" ref="X761:X791" si="50">IF(OR(Q761="Stock to Rack",Q761="From Stock"),-P761,IF(OR(Q761="Rack to Stock",Q761="To Stock"),P761))</f>
        <v>18</v>
      </c>
      <c r="Y761" s="3" t="b">
        <f t="shared" ref="Y761:Y791" si="51">IF(Q761="Rack to Stock",-P761,IF(Q761="Stock to Rack",P761))</f>
        <v>0</v>
      </c>
    </row>
    <row r="762" spans="14:25">
      <c r="N762" s="59" t="s">
        <v>0</v>
      </c>
      <c r="O762" s="59" t="s">
        <v>1228</v>
      </c>
      <c r="P762" s="59">
        <v>22</v>
      </c>
      <c r="Q762" s="59" t="s">
        <v>1229</v>
      </c>
      <c r="R762" s="59" t="s">
        <v>364</v>
      </c>
      <c r="S762" s="60">
        <v>43378</v>
      </c>
      <c r="T762" s="59"/>
      <c r="U762" s="59" t="s">
        <v>4446</v>
      </c>
      <c r="V762" s="59" t="s">
        <v>5131</v>
      </c>
      <c r="W762" s="34"/>
      <c r="X762" s="3">
        <f t="shared" si="50"/>
        <v>22</v>
      </c>
      <c r="Y762" s="3" t="b">
        <f t="shared" si="51"/>
        <v>0</v>
      </c>
    </row>
    <row r="763" spans="14:25">
      <c r="N763" s="31" t="s">
        <v>1244</v>
      </c>
      <c r="O763" s="31" t="s">
        <v>1228</v>
      </c>
      <c r="P763" s="31">
        <v>15</v>
      </c>
      <c r="Q763" s="31"/>
      <c r="R763" s="31" t="s">
        <v>364</v>
      </c>
      <c r="S763" s="32">
        <v>43378</v>
      </c>
      <c r="T763" s="31"/>
      <c r="U763" s="31" t="s">
        <v>4446</v>
      </c>
      <c r="V763" s="31" t="s">
        <v>5132</v>
      </c>
      <c r="W763" s="34"/>
      <c r="X763" s="3" t="b">
        <f t="shared" si="50"/>
        <v>0</v>
      </c>
      <c r="Y763" s="3" t="b">
        <f t="shared" si="51"/>
        <v>0</v>
      </c>
    </row>
    <row r="764" spans="14:25">
      <c r="N764" s="31" t="s">
        <v>364</v>
      </c>
      <c r="O764" s="31" t="s">
        <v>1338</v>
      </c>
      <c r="P764" s="31">
        <v>11</v>
      </c>
      <c r="Q764" s="31"/>
      <c r="R764" s="31" t="s">
        <v>203</v>
      </c>
      <c r="S764" s="32">
        <v>43383</v>
      </c>
      <c r="T764" s="32"/>
      <c r="U764" s="31" t="s">
        <v>4446</v>
      </c>
      <c r="V764" s="265" t="s">
        <v>5135</v>
      </c>
      <c r="W764" s="34"/>
      <c r="X764" s="3" t="b">
        <f t="shared" si="50"/>
        <v>0</v>
      </c>
      <c r="Y764" s="3" t="b">
        <f t="shared" si="51"/>
        <v>0</v>
      </c>
    </row>
    <row r="765" spans="14:25">
      <c r="N765" s="34" t="s">
        <v>336</v>
      </c>
      <c r="O765" s="34" t="s">
        <v>1237</v>
      </c>
      <c r="P765" s="34">
        <v>51</v>
      </c>
      <c r="Q765" s="34" t="s">
        <v>1229</v>
      </c>
      <c r="R765" s="34" t="s">
        <v>336</v>
      </c>
      <c r="S765" s="38">
        <v>43373</v>
      </c>
      <c r="T765" s="38"/>
      <c r="U765" s="34" t="s">
        <v>4218</v>
      </c>
      <c r="V765" s="255" t="s">
        <v>5136</v>
      </c>
      <c r="W765" s="34"/>
      <c r="X765" s="3">
        <f t="shared" si="50"/>
        <v>51</v>
      </c>
      <c r="Y765" s="3" t="b">
        <f t="shared" si="51"/>
        <v>0</v>
      </c>
    </row>
    <row r="766" spans="14:25">
      <c r="N766" s="318" t="s">
        <v>336</v>
      </c>
      <c r="O766" s="318" t="s">
        <v>1237</v>
      </c>
      <c r="P766" s="34">
        <v>20</v>
      </c>
      <c r="Q766" s="318" t="s">
        <v>1282</v>
      </c>
      <c r="R766" s="318" t="s">
        <v>336</v>
      </c>
      <c r="S766" s="38">
        <v>43370</v>
      </c>
      <c r="T766" s="38"/>
      <c r="U766" s="318" t="s">
        <v>3193</v>
      </c>
      <c r="V766" s="319" t="s">
        <v>5147</v>
      </c>
      <c r="W766" s="34"/>
      <c r="X766" s="3">
        <f t="shared" si="50"/>
        <v>-20</v>
      </c>
      <c r="Y766" s="3" t="b">
        <f t="shared" si="51"/>
        <v>0</v>
      </c>
    </row>
    <row r="767" spans="14:25">
      <c r="N767" s="34" t="s">
        <v>336</v>
      </c>
      <c r="O767" s="318" t="s">
        <v>1243</v>
      </c>
      <c r="P767" s="34">
        <v>8</v>
      </c>
      <c r="Q767" s="318" t="s">
        <v>1233</v>
      </c>
      <c r="R767" s="318" t="s">
        <v>336</v>
      </c>
      <c r="S767" s="38">
        <v>43373</v>
      </c>
      <c r="T767" s="38"/>
      <c r="U767" s="318" t="s">
        <v>3193</v>
      </c>
      <c r="V767" s="319" t="s">
        <v>4822</v>
      </c>
      <c r="W767" s="34"/>
      <c r="X767" s="3">
        <f t="shared" si="50"/>
        <v>-8</v>
      </c>
      <c r="Y767" s="3">
        <f t="shared" si="51"/>
        <v>8</v>
      </c>
    </row>
    <row r="768" spans="14:25">
      <c r="N768" s="34" t="s">
        <v>336</v>
      </c>
      <c r="O768" s="318" t="s">
        <v>1228</v>
      </c>
      <c r="P768" s="34">
        <v>8</v>
      </c>
      <c r="Q768" s="318" t="s">
        <v>1233</v>
      </c>
      <c r="R768" s="318" t="s">
        <v>336</v>
      </c>
      <c r="S768" s="38">
        <v>43373</v>
      </c>
      <c r="T768" s="38"/>
      <c r="U768" s="318" t="s">
        <v>3193</v>
      </c>
      <c r="V768" s="255" t="s">
        <v>4217</v>
      </c>
      <c r="W768" s="34"/>
      <c r="X768" s="3">
        <f t="shared" si="50"/>
        <v>-8</v>
      </c>
      <c r="Y768" s="3">
        <f t="shared" si="51"/>
        <v>8</v>
      </c>
    </row>
    <row r="769" spans="14:25">
      <c r="N769" s="34" t="s">
        <v>336</v>
      </c>
      <c r="O769" s="34" t="s">
        <v>1234</v>
      </c>
      <c r="P769" s="34">
        <v>8</v>
      </c>
      <c r="Q769" s="34" t="s">
        <v>1233</v>
      </c>
      <c r="R769" s="34" t="s">
        <v>336</v>
      </c>
      <c r="S769" s="38">
        <v>43373</v>
      </c>
      <c r="T769" s="38"/>
      <c r="U769" s="34" t="s">
        <v>3193</v>
      </c>
      <c r="V769" s="255" t="s">
        <v>4822</v>
      </c>
      <c r="W769" s="34"/>
      <c r="X769" s="3">
        <f t="shared" si="50"/>
        <v>-8</v>
      </c>
      <c r="Y769" s="3">
        <f t="shared" si="51"/>
        <v>8</v>
      </c>
    </row>
    <row r="770" spans="14:25">
      <c r="N770" s="34" t="s">
        <v>336</v>
      </c>
      <c r="O770" s="34" t="s">
        <v>1235</v>
      </c>
      <c r="P770" s="34">
        <v>8</v>
      </c>
      <c r="Q770" s="34" t="s">
        <v>1233</v>
      </c>
      <c r="R770" s="34" t="s">
        <v>336</v>
      </c>
      <c r="S770" s="38">
        <v>43373</v>
      </c>
      <c r="T770" s="38"/>
      <c r="U770" s="34" t="s">
        <v>3193</v>
      </c>
      <c r="V770" s="255" t="s">
        <v>4822</v>
      </c>
      <c r="W770" s="34"/>
      <c r="X770" s="3">
        <f t="shared" si="50"/>
        <v>-8</v>
      </c>
      <c r="Y770" s="3">
        <f t="shared" si="51"/>
        <v>8</v>
      </c>
    </row>
    <row r="771" spans="14:25">
      <c r="N771" s="34" t="s">
        <v>336</v>
      </c>
      <c r="O771" s="34" t="s">
        <v>1236</v>
      </c>
      <c r="P771" s="34">
        <v>8</v>
      </c>
      <c r="Q771" s="34" t="s">
        <v>1233</v>
      </c>
      <c r="R771" s="34" t="s">
        <v>336</v>
      </c>
      <c r="S771" s="38">
        <v>43373</v>
      </c>
      <c r="T771" s="38"/>
      <c r="U771" s="34" t="s">
        <v>3193</v>
      </c>
      <c r="V771" s="255" t="s">
        <v>4217</v>
      </c>
      <c r="W771" s="34"/>
      <c r="X771" s="3">
        <f t="shared" si="50"/>
        <v>-8</v>
      </c>
      <c r="Y771" s="3">
        <f t="shared" si="51"/>
        <v>8</v>
      </c>
    </row>
    <row r="772" spans="14:25">
      <c r="N772" s="34" t="s">
        <v>336</v>
      </c>
      <c r="O772" s="34" t="s">
        <v>1237</v>
      </c>
      <c r="P772" s="34">
        <v>16</v>
      </c>
      <c r="Q772" s="34" t="s">
        <v>1233</v>
      </c>
      <c r="R772" s="34" t="s">
        <v>336</v>
      </c>
      <c r="S772" s="38">
        <v>43373</v>
      </c>
      <c r="T772" s="38"/>
      <c r="U772" s="34" t="s">
        <v>3193</v>
      </c>
      <c r="V772" s="255" t="s">
        <v>4217</v>
      </c>
      <c r="W772" s="34"/>
      <c r="X772" s="3">
        <f t="shared" si="50"/>
        <v>-16</v>
      </c>
      <c r="Y772" s="3">
        <f t="shared" si="51"/>
        <v>16</v>
      </c>
    </row>
    <row r="773" spans="14:25">
      <c r="N773" s="34" t="s">
        <v>336</v>
      </c>
      <c r="O773" s="34" t="s">
        <v>1238</v>
      </c>
      <c r="P773" s="34">
        <v>8</v>
      </c>
      <c r="Q773" s="34" t="s">
        <v>1233</v>
      </c>
      <c r="R773" s="34" t="s">
        <v>336</v>
      </c>
      <c r="S773" s="38">
        <v>43373</v>
      </c>
      <c r="T773" s="38"/>
      <c r="U773" s="34" t="s">
        <v>3193</v>
      </c>
      <c r="V773" s="255" t="s">
        <v>4217</v>
      </c>
      <c r="W773" s="34"/>
      <c r="X773" s="3">
        <f t="shared" si="50"/>
        <v>-8</v>
      </c>
      <c r="Y773" s="3">
        <f t="shared" si="51"/>
        <v>8</v>
      </c>
    </row>
    <row r="774" spans="14:25">
      <c r="N774" s="34" t="s">
        <v>336</v>
      </c>
      <c r="O774" s="34" t="s">
        <v>1338</v>
      </c>
      <c r="P774" s="34">
        <v>8</v>
      </c>
      <c r="Q774" s="34" t="s">
        <v>1233</v>
      </c>
      <c r="R774" s="34" t="s">
        <v>336</v>
      </c>
      <c r="S774" s="38">
        <v>43373</v>
      </c>
      <c r="T774" s="38"/>
      <c r="U774" s="34" t="s">
        <v>3193</v>
      </c>
      <c r="V774" s="255" t="s">
        <v>4822</v>
      </c>
      <c r="W774" s="34"/>
      <c r="X774" s="3">
        <f t="shared" si="50"/>
        <v>-8</v>
      </c>
      <c r="Y774" s="3">
        <f t="shared" si="51"/>
        <v>8</v>
      </c>
    </row>
    <row r="775" spans="14:25">
      <c r="N775" s="34" t="s">
        <v>336</v>
      </c>
      <c r="O775" s="34" t="s">
        <v>1228</v>
      </c>
      <c r="P775" s="34">
        <v>13</v>
      </c>
      <c r="Q775" s="34" t="s">
        <v>1229</v>
      </c>
      <c r="R775" s="34" t="s">
        <v>336</v>
      </c>
      <c r="S775" s="38">
        <v>43373</v>
      </c>
      <c r="T775" s="38"/>
      <c r="U775" s="34" t="s">
        <v>1260</v>
      </c>
      <c r="V775" s="255" t="s">
        <v>3720</v>
      </c>
      <c r="W775" s="34"/>
      <c r="X775" s="3">
        <f t="shared" si="50"/>
        <v>13</v>
      </c>
      <c r="Y775" s="3" t="b">
        <f t="shared" si="51"/>
        <v>0</v>
      </c>
    </row>
    <row r="776" spans="14:25">
      <c r="N776" s="34" t="s">
        <v>336</v>
      </c>
      <c r="O776" s="34" t="s">
        <v>1234</v>
      </c>
      <c r="P776" s="34">
        <v>10</v>
      </c>
      <c r="Q776" s="34" t="s">
        <v>1229</v>
      </c>
      <c r="R776" s="34" t="s">
        <v>336</v>
      </c>
      <c r="S776" s="38">
        <v>43373</v>
      </c>
      <c r="T776" s="38"/>
      <c r="U776" s="34" t="s">
        <v>1260</v>
      </c>
      <c r="V776" s="255" t="s">
        <v>3720</v>
      </c>
      <c r="W776" s="34"/>
      <c r="X776" s="3">
        <f t="shared" si="50"/>
        <v>10</v>
      </c>
      <c r="Y776" s="3" t="b">
        <f t="shared" si="51"/>
        <v>0</v>
      </c>
    </row>
    <row r="777" spans="14:25">
      <c r="N777" s="34" t="s">
        <v>336</v>
      </c>
      <c r="O777" s="34" t="s">
        <v>1235</v>
      </c>
      <c r="P777" s="34">
        <v>10</v>
      </c>
      <c r="Q777" s="34" t="s">
        <v>1229</v>
      </c>
      <c r="R777" s="34" t="s">
        <v>336</v>
      </c>
      <c r="S777" s="38">
        <v>43373</v>
      </c>
      <c r="T777" s="38"/>
      <c r="U777" s="34" t="s">
        <v>1260</v>
      </c>
      <c r="V777" s="255" t="s">
        <v>3720</v>
      </c>
      <c r="W777" s="34"/>
      <c r="X777" s="3">
        <f t="shared" si="50"/>
        <v>10</v>
      </c>
      <c r="Y777" s="3" t="b">
        <f t="shared" si="51"/>
        <v>0</v>
      </c>
    </row>
    <row r="778" spans="14:25">
      <c r="N778" s="34" t="s">
        <v>336</v>
      </c>
      <c r="O778" s="34" t="s">
        <v>1243</v>
      </c>
      <c r="P778" s="34">
        <v>10</v>
      </c>
      <c r="Q778" s="34" t="s">
        <v>1229</v>
      </c>
      <c r="R778" s="34" t="s">
        <v>336</v>
      </c>
      <c r="S778" s="38">
        <v>43373</v>
      </c>
      <c r="T778" s="38"/>
      <c r="U778" s="34" t="s">
        <v>1260</v>
      </c>
      <c r="V778" s="255" t="s">
        <v>3720</v>
      </c>
      <c r="W778" s="34"/>
      <c r="X778" s="3">
        <f t="shared" si="50"/>
        <v>10</v>
      </c>
      <c r="Y778" s="3" t="b">
        <f t="shared" si="51"/>
        <v>0</v>
      </c>
    </row>
    <row r="779" spans="14:25">
      <c r="N779" s="34" t="s">
        <v>336</v>
      </c>
      <c r="O779" s="34" t="s">
        <v>1267</v>
      </c>
      <c r="P779" s="34">
        <v>10</v>
      </c>
      <c r="Q779" s="34" t="s">
        <v>1229</v>
      </c>
      <c r="R779" s="34" t="s">
        <v>336</v>
      </c>
      <c r="S779" s="38">
        <v>43373</v>
      </c>
      <c r="T779" s="38"/>
      <c r="U779" s="34" t="s">
        <v>1260</v>
      </c>
      <c r="V779" s="255" t="s">
        <v>3720</v>
      </c>
      <c r="W779" s="34"/>
      <c r="X779" s="3">
        <f t="shared" si="50"/>
        <v>10</v>
      </c>
      <c r="Y779" s="3" t="b">
        <f t="shared" si="51"/>
        <v>0</v>
      </c>
    </row>
    <row r="780" spans="14:25">
      <c r="N780" s="34" t="s">
        <v>336</v>
      </c>
      <c r="O780" s="34" t="s">
        <v>1236</v>
      </c>
      <c r="P780" s="34">
        <v>10</v>
      </c>
      <c r="Q780" s="34" t="s">
        <v>1229</v>
      </c>
      <c r="R780" s="34" t="s">
        <v>336</v>
      </c>
      <c r="S780" s="38">
        <v>43373</v>
      </c>
      <c r="T780" s="38"/>
      <c r="U780" s="34" t="s">
        <v>1260</v>
      </c>
      <c r="V780" s="255" t="s">
        <v>3720</v>
      </c>
      <c r="W780" s="34"/>
      <c r="X780" s="3">
        <f t="shared" si="50"/>
        <v>10</v>
      </c>
      <c r="Y780" s="3" t="b">
        <f t="shared" si="51"/>
        <v>0</v>
      </c>
    </row>
    <row r="781" spans="14:25">
      <c r="N781" s="34" t="s">
        <v>336</v>
      </c>
      <c r="O781" s="34" t="s">
        <v>1237</v>
      </c>
      <c r="P781" s="34">
        <v>40</v>
      </c>
      <c r="Q781" s="34" t="s">
        <v>1229</v>
      </c>
      <c r="R781" s="34" t="s">
        <v>336</v>
      </c>
      <c r="S781" s="38">
        <v>43373</v>
      </c>
      <c r="T781" s="38"/>
      <c r="U781" s="34" t="s">
        <v>1260</v>
      </c>
      <c r="V781" s="255" t="s">
        <v>3720</v>
      </c>
      <c r="W781" s="34" t="s">
        <v>5148</v>
      </c>
      <c r="X781" s="3">
        <f t="shared" si="50"/>
        <v>40</v>
      </c>
      <c r="Y781" s="3" t="b">
        <f t="shared" si="51"/>
        <v>0</v>
      </c>
    </row>
    <row r="782" spans="14:25">
      <c r="N782" s="34" t="s">
        <v>336</v>
      </c>
      <c r="O782" s="34" t="s">
        <v>1228</v>
      </c>
      <c r="P782" s="34">
        <v>10</v>
      </c>
      <c r="Q782" s="34" t="s">
        <v>1233</v>
      </c>
      <c r="R782" s="34" t="s">
        <v>336</v>
      </c>
      <c r="S782" s="38">
        <v>43373</v>
      </c>
      <c r="T782" s="38"/>
      <c r="U782" s="34" t="s">
        <v>1260</v>
      </c>
      <c r="V782" s="255" t="s">
        <v>3720</v>
      </c>
      <c r="W782" s="34"/>
      <c r="X782" s="3">
        <f t="shared" si="50"/>
        <v>-10</v>
      </c>
      <c r="Y782" s="3">
        <f t="shared" si="51"/>
        <v>10</v>
      </c>
    </row>
    <row r="783" spans="14:25">
      <c r="N783" s="34" t="s">
        <v>336</v>
      </c>
      <c r="O783" s="34" t="s">
        <v>1234</v>
      </c>
      <c r="P783" s="34">
        <v>10</v>
      </c>
      <c r="Q783" s="34" t="s">
        <v>1233</v>
      </c>
      <c r="R783" s="34" t="s">
        <v>336</v>
      </c>
      <c r="S783" s="38">
        <v>43373</v>
      </c>
      <c r="T783" s="38"/>
      <c r="U783" s="34" t="s">
        <v>1260</v>
      </c>
      <c r="V783" s="255" t="s">
        <v>3720</v>
      </c>
      <c r="W783" s="34"/>
      <c r="X783" s="3">
        <f t="shared" si="50"/>
        <v>-10</v>
      </c>
      <c r="Y783" s="3">
        <f t="shared" si="51"/>
        <v>10</v>
      </c>
    </row>
    <row r="784" spans="14:25">
      <c r="N784" s="34" t="s">
        <v>336</v>
      </c>
      <c r="O784" s="34" t="s">
        <v>1236</v>
      </c>
      <c r="P784" s="34">
        <v>10</v>
      </c>
      <c r="Q784" s="34" t="s">
        <v>1233</v>
      </c>
      <c r="R784" s="34" t="s">
        <v>336</v>
      </c>
      <c r="S784" s="38">
        <v>43373</v>
      </c>
      <c r="T784" s="38"/>
      <c r="U784" s="34" t="s">
        <v>1260</v>
      </c>
      <c r="V784" s="255" t="s">
        <v>3720</v>
      </c>
      <c r="W784" s="34"/>
      <c r="X784" s="3">
        <f t="shared" si="50"/>
        <v>-10</v>
      </c>
      <c r="Y784" s="3">
        <f t="shared" si="51"/>
        <v>10</v>
      </c>
    </row>
    <row r="785" spans="14:25">
      <c r="N785" s="34" t="s">
        <v>336</v>
      </c>
      <c r="O785" s="34" t="s">
        <v>1267</v>
      </c>
      <c r="P785" s="34">
        <v>10</v>
      </c>
      <c r="Q785" s="34" t="s">
        <v>1233</v>
      </c>
      <c r="R785" s="34" t="s">
        <v>336</v>
      </c>
      <c r="S785" s="38">
        <v>43373</v>
      </c>
      <c r="T785" s="38"/>
      <c r="U785" s="34" t="s">
        <v>1260</v>
      </c>
      <c r="V785" s="255" t="s">
        <v>3720</v>
      </c>
      <c r="W785" s="34"/>
      <c r="X785" s="3">
        <f t="shared" si="50"/>
        <v>-10</v>
      </c>
      <c r="Y785" s="3">
        <f t="shared" si="51"/>
        <v>10</v>
      </c>
    </row>
    <row r="786" spans="14:25">
      <c r="N786" s="34" t="s">
        <v>336</v>
      </c>
      <c r="O786" s="34" t="s">
        <v>1238</v>
      </c>
      <c r="P786" s="34">
        <v>10</v>
      </c>
      <c r="Q786" s="34" t="s">
        <v>1233</v>
      </c>
      <c r="R786" s="34" t="s">
        <v>336</v>
      </c>
      <c r="S786" s="38">
        <v>43373</v>
      </c>
      <c r="T786" s="38"/>
      <c r="U786" s="34" t="s">
        <v>1260</v>
      </c>
      <c r="V786" s="255" t="s">
        <v>3720</v>
      </c>
      <c r="W786" s="34"/>
      <c r="X786" s="3">
        <f t="shared" si="50"/>
        <v>-10</v>
      </c>
      <c r="Y786" s="3">
        <f t="shared" si="51"/>
        <v>10</v>
      </c>
    </row>
    <row r="787" spans="14:25">
      <c r="N787" s="34" t="s">
        <v>336</v>
      </c>
      <c r="O787" s="34" t="s">
        <v>1237</v>
      </c>
      <c r="P787" s="34">
        <v>20</v>
      </c>
      <c r="Q787" s="34" t="s">
        <v>1233</v>
      </c>
      <c r="R787" s="34" t="s">
        <v>336</v>
      </c>
      <c r="S787" s="38">
        <v>43373</v>
      </c>
      <c r="T787" s="38"/>
      <c r="U787" s="34" t="s">
        <v>1260</v>
      </c>
      <c r="V787" s="255" t="s">
        <v>3720</v>
      </c>
      <c r="W787" s="34"/>
      <c r="X787" s="3">
        <f t="shared" si="50"/>
        <v>-20</v>
      </c>
      <c r="Y787" s="3">
        <f t="shared" si="51"/>
        <v>20</v>
      </c>
    </row>
    <row r="788" spans="14:25">
      <c r="N788" s="34" t="s">
        <v>336</v>
      </c>
      <c r="O788" s="34" t="s">
        <v>1235</v>
      </c>
      <c r="P788" s="34">
        <v>10</v>
      </c>
      <c r="Q788" s="34" t="s">
        <v>1233</v>
      </c>
      <c r="R788" s="34" t="s">
        <v>336</v>
      </c>
      <c r="S788" s="38">
        <v>43373</v>
      </c>
      <c r="T788" s="38"/>
      <c r="U788" s="34" t="s">
        <v>1260</v>
      </c>
      <c r="V788" s="255" t="s">
        <v>5149</v>
      </c>
      <c r="W788" s="34"/>
      <c r="X788" s="3">
        <f t="shared" si="50"/>
        <v>-10</v>
      </c>
      <c r="Y788" s="3">
        <f t="shared" si="51"/>
        <v>10</v>
      </c>
    </row>
    <row r="789" spans="14:25">
      <c r="N789" s="34" t="s">
        <v>336</v>
      </c>
      <c r="O789" s="34" t="s">
        <v>1243</v>
      </c>
      <c r="P789" s="34">
        <v>10</v>
      </c>
      <c r="Q789" s="34" t="s">
        <v>1233</v>
      </c>
      <c r="R789" s="34" t="s">
        <v>336</v>
      </c>
      <c r="S789" s="38">
        <v>43373</v>
      </c>
      <c r="T789" s="38"/>
      <c r="U789" s="34" t="s">
        <v>1260</v>
      </c>
      <c r="V789" s="255" t="s">
        <v>3720</v>
      </c>
      <c r="W789" s="34"/>
      <c r="X789" s="3">
        <f t="shared" si="50"/>
        <v>-10</v>
      </c>
      <c r="Y789" s="3">
        <f t="shared" si="51"/>
        <v>10</v>
      </c>
    </row>
    <row r="790" spans="14:25">
      <c r="N790" s="34" t="s">
        <v>336</v>
      </c>
      <c r="O790" s="34" t="s">
        <v>1237</v>
      </c>
      <c r="P790" s="34">
        <v>2</v>
      </c>
      <c r="Q790" s="34" t="s">
        <v>1233</v>
      </c>
      <c r="R790" s="34" t="s">
        <v>336</v>
      </c>
      <c r="S790" s="38">
        <v>43373</v>
      </c>
      <c r="T790" s="38"/>
      <c r="U790" s="34" t="s">
        <v>1260</v>
      </c>
      <c r="V790" s="255" t="s">
        <v>3720</v>
      </c>
      <c r="W790" s="34"/>
      <c r="X790" s="3">
        <f t="shared" si="50"/>
        <v>-2</v>
      </c>
      <c r="Y790" s="3">
        <f t="shared" si="51"/>
        <v>2</v>
      </c>
    </row>
    <row r="791" spans="14:25">
      <c r="N791" s="326" t="s">
        <v>0</v>
      </c>
      <c r="O791" s="34" t="s">
        <v>1338</v>
      </c>
      <c r="P791" s="34">
        <v>11</v>
      </c>
      <c r="Q791" s="326" t="s">
        <v>1233</v>
      </c>
      <c r="R791" s="326" t="s">
        <v>0</v>
      </c>
      <c r="S791" s="38">
        <v>43395</v>
      </c>
      <c r="T791" s="38"/>
      <c r="U791" s="326" t="s">
        <v>1275</v>
      </c>
      <c r="V791" s="327" t="s">
        <v>5364</v>
      </c>
      <c r="W791" s="34"/>
      <c r="X791" s="3">
        <f t="shared" si="50"/>
        <v>-11</v>
      </c>
      <c r="Y791" s="3">
        <f t="shared" si="51"/>
        <v>11</v>
      </c>
    </row>
    <row r="792" spans="14:25">
      <c r="N792" s="326" t="s">
        <v>0</v>
      </c>
      <c r="O792" s="326" t="s">
        <v>1338</v>
      </c>
      <c r="P792" s="34">
        <v>19</v>
      </c>
      <c r="Q792" s="326" t="s">
        <v>1282</v>
      </c>
      <c r="R792" s="326" t="s">
        <v>0</v>
      </c>
      <c r="S792" s="328">
        <v>43395</v>
      </c>
      <c r="T792" s="34"/>
      <c r="U792" s="326" t="s">
        <v>1275</v>
      </c>
      <c r="V792" s="327" t="s">
        <v>5365</v>
      </c>
      <c r="W792" s="34"/>
      <c r="X792" s="3">
        <f>IF(OR(Q791="Stock to Rack",Q791="From Stock"),-P791,IF(OR(Q791="Rack to Stock",Q791="To Stock"),P791))</f>
        <v>-11</v>
      </c>
      <c r="Y792" s="3">
        <f>IF(Q791="Rack to Stock",-P791,IF(Q791="Stock to Rack",P791))</f>
        <v>11</v>
      </c>
    </row>
    <row r="793" spans="14:25">
      <c r="N793" s="326" t="s">
        <v>0</v>
      </c>
      <c r="O793" s="326" t="s">
        <v>1234</v>
      </c>
      <c r="P793" s="34">
        <v>31</v>
      </c>
      <c r="Q793" s="326" t="s">
        <v>1233</v>
      </c>
      <c r="R793" s="326" t="s">
        <v>0</v>
      </c>
      <c r="S793" s="38">
        <v>43395</v>
      </c>
      <c r="T793" s="38"/>
      <c r="U793" s="326" t="s">
        <v>1275</v>
      </c>
      <c r="V793" s="327" t="s">
        <v>5366</v>
      </c>
      <c r="W793" s="34"/>
      <c r="X793" s="3">
        <f>IF(OR(Q793="Stock to Rack",Q793="From Stock"),-P793,IF(OR(Q793="Rack to Stock",Q793="To Stock"),P793))</f>
        <v>-31</v>
      </c>
      <c r="Y793" s="3">
        <f>IF(Q793="Rack to Stock",-P793,IF(Q793="Stock to Rack",P793))</f>
        <v>31</v>
      </c>
    </row>
    <row r="794" spans="14:25">
      <c r="N794" s="326" t="s">
        <v>0</v>
      </c>
      <c r="O794" s="326" t="s">
        <v>1238</v>
      </c>
      <c r="P794" s="34">
        <v>40</v>
      </c>
      <c r="Q794" s="326" t="s">
        <v>1233</v>
      </c>
      <c r="R794" s="326" t="s">
        <v>0</v>
      </c>
      <c r="S794" s="38">
        <v>43395</v>
      </c>
      <c r="T794" s="38"/>
      <c r="U794" s="326" t="s">
        <v>1275</v>
      </c>
      <c r="V794" s="327" t="s">
        <v>5367</v>
      </c>
      <c r="W794" s="34"/>
      <c r="X794" s="3">
        <f>IF(OR(Q794="Stock to Rack",Q794="From Stock"),-P794,IF(OR(Q794="Rack to Stock",Q794="To Stock"),P794))</f>
        <v>-40</v>
      </c>
      <c r="Y794" s="3">
        <f>IF(Q794="Rack to Stock",-P794,IF(Q794="Stock to Rack",P794))</f>
        <v>40</v>
      </c>
    </row>
    <row r="795" spans="14:25">
      <c r="N795" s="326" t="s">
        <v>0</v>
      </c>
      <c r="O795" s="326" t="s">
        <v>1235</v>
      </c>
      <c r="P795" s="34">
        <v>25</v>
      </c>
      <c r="Q795" s="326" t="s">
        <v>1233</v>
      </c>
      <c r="R795" s="326" t="s">
        <v>0</v>
      </c>
      <c r="S795" s="38">
        <v>43395</v>
      </c>
      <c r="T795" s="38"/>
      <c r="U795" s="326" t="s">
        <v>1275</v>
      </c>
      <c r="V795" s="327" t="s">
        <v>5367</v>
      </c>
      <c r="W795" s="34"/>
      <c r="X795" s="3">
        <f>IF(OR(Q795="Stock to Rack",Q795="From Stock"),-P795,IF(OR(Q795="Rack to Stock",Q795="To Stock"),P795))</f>
        <v>-25</v>
      </c>
      <c r="Y795" s="3">
        <f>IF(Q795="Rack to Stock",-P795,IF(Q795="Stock to Rack",P795))</f>
        <v>25</v>
      </c>
    </row>
    <row r="796" spans="14:25">
      <c r="N796" s="326" t="s">
        <v>0</v>
      </c>
      <c r="O796" s="326" t="s">
        <v>1236</v>
      </c>
      <c r="P796" s="34">
        <v>13</v>
      </c>
      <c r="Q796" s="326" t="s">
        <v>1233</v>
      </c>
      <c r="R796" s="326" t="s">
        <v>0</v>
      </c>
      <c r="S796" s="38">
        <v>43395</v>
      </c>
      <c r="T796" s="38"/>
      <c r="U796" s="326" t="s">
        <v>1275</v>
      </c>
      <c r="V796" s="327" t="s">
        <v>5367</v>
      </c>
      <c r="W796" s="34"/>
      <c r="X796" s="3">
        <f>IF(OR(Q796="Stock to Rack",Q796="From Stock"),-P796,IF(OR(Q796="Rack to Stock",Q796="To Stock"),P796))</f>
        <v>-13</v>
      </c>
      <c r="Y796" s="3">
        <f>IF(Q796="Rack to Stock",-P796,IF(Q796="Stock to Rack",P796))</f>
        <v>13</v>
      </c>
    </row>
    <row r="797" spans="14:25">
      <c r="N797" s="59" t="s">
        <v>364</v>
      </c>
      <c r="O797" s="59" t="s">
        <v>1236</v>
      </c>
      <c r="P797" s="59">
        <v>33</v>
      </c>
      <c r="Q797" s="59" t="s">
        <v>1229</v>
      </c>
      <c r="R797" s="59" t="s">
        <v>364</v>
      </c>
      <c r="S797" s="60">
        <v>43383</v>
      </c>
      <c r="T797" s="59"/>
      <c r="U797" s="59" t="s">
        <v>4446</v>
      </c>
      <c r="V797" s="59"/>
      <c r="W797" s="34"/>
      <c r="X797" s="3">
        <f t="shared" si="48"/>
        <v>33</v>
      </c>
      <c r="Y797" s="3" t="b">
        <f t="shared" si="49"/>
        <v>0</v>
      </c>
    </row>
    <row r="798" spans="14:25">
      <c r="N798" s="31" t="s">
        <v>203</v>
      </c>
      <c r="O798" s="31" t="s">
        <v>1236</v>
      </c>
      <c r="P798" s="31">
        <v>14</v>
      </c>
      <c r="Q798" s="31"/>
      <c r="R798" s="31" t="s">
        <v>364</v>
      </c>
      <c r="S798" s="32">
        <v>43390</v>
      </c>
      <c r="T798" s="31"/>
      <c r="U798" s="31" t="s">
        <v>4446</v>
      </c>
      <c r="V798" s="329" t="s">
        <v>5375</v>
      </c>
      <c r="W798" s="34"/>
      <c r="X798" s="3" t="b">
        <f t="shared" si="48"/>
        <v>0</v>
      </c>
      <c r="Y798" s="3" t="b">
        <f t="shared" si="49"/>
        <v>0</v>
      </c>
    </row>
    <row r="799" spans="14:25">
      <c r="N799" s="31" t="s">
        <v>0</v>
      </c>
      <c r="O799" s="31" t="s">
        <v>1236</v>
      </c>
      <c r="P799" s="31">
        <v>25</v>
      </c>
      <c r="Q799" s="31"/>
      <c r="R799" s="31" t="s">
        <v>364</v>
      </c>
      <c r="S799" s="32">
        <v>43390</v>
      </c>
      <c r="T799" s="31"/>
      <c r="U799" s="329" t="s">
        <v>4446</v>
      </c>
      <c r="V799" s="329" t="s">
        <v>5376</v>
      </c>
      <c r="W799" s="34"/>
      <c r="X799" s="3" t="b">
        <f t="shared" si="48"/>
        <v>0</v>
      </c>
      <c r="Y799" s="3" t="b">
        <f t="shared" si="49"/>
        <v>0</v>
      </c>
    </row>
    <row r="800" spans="14:25">
      <c r="N800" s="329" t="s">
        <v>0</v>
      </c>
      <c r="O800" s="31" t="s">
        <v>1237</v>
      </c>
      <c r="P800" s="31">
        <v>30</v>
      </c>
      <c r="Q800" s="31"/>
      <c r="R800" s="329" t="s">
        <v>364</v>
      </c>
      <c r="S800" s="32">
        <v>43390</v>
      </c>
      <c r="T800" s="31"/>
      <c r="U800" s="329" t="s">
        <v>4446</v>
      </c>
      <c r="V800" s="329" t="s">
        <v>5376</v>
      </c>
      <c r="W800" s="34"/>
      <c r="X800" s="3" t="b">
        <f t="shared" si="48"/>
        <v>0</v>
      </c>
      <c r="Y800" s="3" t="b">
        <f t="shared" si="49"/>
        <v>0</v>
      </c>
    </row>
    <row r="801" spans="14:25">
      <c r="N801" s="329" t="s">
        <v>336</v>
      </c>
      <c r="O801" s="329" t="s">
        <v>1236</v>
      </c>
      <c r="P801" s="31">
        <v>20</v>
      </c>
      <c r="Q801" s="31" t="s">
        <v>1229</v>
      </c>
      <c r="R801" s="329" t="s">
        <v>364</v>
      </c>
      <c r="S801" s="32">
        <v>43390</v>
      </c>
      <c r="T801" s="31"/>
      <c r="U801" s="329" t="s">
        <v>4446</v>
      </c>
      <c r="V801" s="329" t="s">
        <v>5377</v>
      </c>
      <c r="W801" s="34"/>
      <c r="X801" s="3">
        <f t="shared" si="48"/>
        <v>20</v>
      </c>
      <c r="Y801" s="3" t="b">
        <f t="shared" si="49"/>
        <v>0</v>
      </c>
    </row>
    <row r="802" spans="14:25">
      <c r="N802" s="31" t="s">
        <v>336</v>
      </c>
      <c r="O802" s="31" t="s">
        <v>1237</v>
      </c>
      <c r="P802" s="31">
        <v>30</v>
      </c>
      <c r="Q802" s="31"/>
      <c r="R802" s="31" t="s">
        <v>364</v>
      </c>
      <c r="S802" s="32">
        <v>43390</v>
      </c>
      <c r="T802" s="31"/>
      <c r="U802" s="329" t="s">
        <v>4446</v>
      </c>
      <c r="V802" s="329" t="s">
        <v>5377</v>
      </c>
      <c r="W802" s="34"/>
      <c r="X802" s="3" t="b">
        <f t="shared" si="48"/>
        <v>0</v>
      </c>
      <c r="Y802" s="3" t="b">
        <f t="shared" si="49"/>
        <v>0</v>
      </c>
    </row>
    <row r="803" spans="14:25">
      <c r="N803" s="31" t="s">
        <v>0</v>
      </c>
      <c r="O803" s="31" t="s">
        <v>1234</v>
      </c>
      <c r="P803" s="31">
        <v>5</v>
      </c>
      <c r="Q803" s="31"/>
      <c r="R803" s="31" t="s">
        <v>364</v>
      </c>
      <c r="S803" s="32">
        <v>43396</v>
      </c>
      <c r="T803" s="32"/>
      <c r="U803" s="31" t="s">
        <v>4446</v>
      </c>
      <c r="V803" s="265" t="s">
        <v>5378</v>
      </c>
      <c r="W803" s="34"/>
      <c r="X803" s="3" t="b">
        <f t="shared" si="48"/>
        <v>0</v>
      </c>
      <c r="Y803" s="3" t="b">
        <f t="shared" si="49"/>
        <v>0</v>
      </c>
    </row>
    <row r="804" spans="14:25">
      <c r="N804" s="34" t="s">
        <v>336</v>
      </c>
      <c r="O804" s="34" t="s">
        <v>1237</v>
      </c>
      <c r="P804" s="34">
        <v>20</v>
      </c>
      <c r="Q804" s="34" t="s">
        <v>1233</v>
      </c>
      <c r="R804" s="34" t="s">
        <v>336</v>
      </c>
      <c r="S804" s="38">
        <v>43379</v>
      </c>
      <c r="T804" s="38"/>
      <c r="U804" s="34" t="s">
        <v>3193</v>
      </c>
      <c r="V804" s="255" t="s">
        <v>4822</v>
      </c>
      <c r="W804" s="34"/>
      <c r="X804" s="3">
        <f t="shared" si="48"/>
        <v>-20</v>
      </c>
      <c r="Y804" s="3">
        <f t="shared" si="49"/>
        <v>20</v>
      </c>
    </row>
    <row r="805" spans="14:25">
      <c r="N805" s="34" t="s">
        <v>336</v>
      </c>
      <c r="O805" s="34" t="s">
        <v>1234</v>
      </c>
      <c r="P805" s="34">
        <v>2</v>
      </c>
      <c r="Q805" s="34" t="s">
        <v>1233</v>
      </c>
      <c r="R805" s="34" t="s">
        <v>336</v>
      </c>
      <c r="S805" s="38">
        <v>43379</v>
      </c>
      <c r="T805" s="38"/>
      <c r="U805" s="34" t="s">
        <v>4218</v>
      </c>
      <c r="V805" s="255" t="s">
        <v>1949</v>
      </c>
      <c r="W805" s="34"/>
      <c r="X805" s="3">
        <f t="shared" si="48"/>
        <v>-2</v>
      </c>
      <c r="Y805" s="3">
        <f t="shared" si="49"/>
        <v>2</v>
      </c>
    </row>
    <row r="806" spans="14:25">
      <c r="N806" s="34" t="s">
        <v>336</v>
      </c>
      <c r="O806" s="34" t="s">
        <v>1236</v>
      </c>
      <c r="P806" s="34">
        <v>4</v>
      </c>
      <c r="Q806" s="34" t="s">
        <v>1233</v>
      </c>
      <c r="R806" s="34" t="s">
        <v>336</v>
      </c>
      <c r="S806" s="38">
        <v>43379</v>
      </c>
      <c r="T806" s="38"/>
      <c r="U806" s="34" t="s">
        <v>4218</v>
      </c>
      <c r="V806" s="255" t="s">
        <v>1949</v>
      </c>
      <c r="W806" s="34"/>
      <c r="X806" s="3">
        <f t="shared" si="48"/>
        <v>-4</v>
      </c>
      <c r="Y806" s="3">
        <f t="shared" si="49"/>
        <v>4</v>
      </c>
    </row>
    <row r="807" spans="14:25">
      <c r="N807" s="34" t="s">
        <v>336</v>
      </c>
      <c r="O807" s="34" t="s">
        <v>1237</v>
      </c>
      <c r="P807" s="34">
        <v>9</v>
      </c>
      <c r="Q807" s="34" t="s">
        <v>1229</v>
      </c>
      <c r="R807" s="34" t="s">
        <v>336</v>
      </c>
      <c r="S807" s="38">
        <v>43379</v>
      </c>
      <c r="T807" s="38"/>
      <c r="U807" s="34" t="s">
        <v>4218</v>
      </c>
      <c r="V807" s="255" t="s">
        <v>4822</v>
      </c>
      <c r="W807" s="34"/>
      <c r="X807" s="3">
        <f t="shared" si="48"/>
        <v>9</v>
      </c>
      <c r="Y807" s="3" t="b">
        <f t="shared" si="49"/>
        <v>0</v>
      </c>
    </row>
    <row r="808" spans="14:25">
      <c r="N808" s="34" t="s">
        <v>336</v>
      </c>
      <c r="O808" s="34" t="s">
        <v>1243</v>
      </c>
      <c r="P808" s="34">
        <v>4</v>
      </c>
      <c r="Q808" s="34" t="s">
        <v>1233</v>
      </c>
      <c r="R808" s="34" t="s">
        <v>336</v>
      </c>
      <c r="S808" s="38">
        <v>43379</v>
      </c>
      <c r="T808" s="38"/>
      <c r="U808" s="34" t="s">
        <v>4218</v>
      </c>
      <c r="V808" s="255" t="s">
        <v>1949</v>
      </c>
      <c r="W808" s="34"/>
      <c r="X808" s="3">
        <f t="shared" si="48"/>
        <v>-4</v>
      </c>
      <c r="Y808" s="3">
        <f t="shared" si="49"/>
        <v>4</v>
      </c>
    </row>
    <row r="809" spans="14:25">
      <c r="N809" s="34" t="s">
        <v>336</v>
      </c>
      <c r="O809" s="34" t="s">
        <v>1235</v>
      </c>
      <c r="P809" s="34">
        <v>44</v>
      </c>
      <c r="Q809" s="34" t="s">
        <v>1229</v>
      </c>
      <c r="R809" s="34" t="s">
        <v>336</v>
      </c>
      <c r="S809" s="38">
        <v>43379</v>
      </c>
      <c r="T809" s="38"/>
      <c r="U809" s="34" t="s">
        <v>5379</v>
      </c>
      <c r="V809" s="255" t="s">
        <v>5380</v>
      </c>
      <c r="W809" s="34"/>
      <c r="X809" s="3">
        <f>IF(OR(Q808="Stock to Rack",Q808="From Stock"),-P808,IF(OR(Q808="Rack to Stock",Q808="To Stock"),P808))</f>
        <v>-4</v>
      </c>
      <c r="Y809" s="3">
        <f>IF(Q808="Rack to Stock",-P808,IF(Q808="Stock to Rack",P808))</f>
        <v>4</v>
      </c>
    </row>
    <row r="810" spans="14:25">
      <c r="N810" s="34" t="s">
        <v>1244</v>
      </c>
      <c r="O810" s="34" t="s">
        <v>1237</v>
      </c>
      <c r="P810" s="34">
        <v>34</v>
      </c>
      <c r="Q810" s="34" t="s">
        <v>1233</v>
      </c>
      <c r="R810" s="34" t="s">
        <v>1244</v>
      </c>
      <c r="S810" s="328">
        <v>43398</v>
      </c>
      <c r="T810" s="34"/>
      <c r="U810" s="34" t="s">
        <v>1247</v>
      </c>
      <c r="V810" s="255"/>
      <c r="W810" s="34"/>
      <c r="X810" s="3">
        <f>IF(OR(Q809="Stock to Rack",Q809="From Stock"),-P809,IF(OR(Q809="Rack to Stock",Q809="To Stock"),P809))</f>
        <v>44</v>
      </c>
      <c r="Y810" s="3" t="b">
        <f>IF(Q809="Rack to Stock",-P809,IF(Q809="Stock to Rack",P809))</f>
        <v>0</v>
      </c>
    </row>
    <row r="811" spans="14:25">
      <c r="N811" s="34" t="s">
        <v>1244</v>
      </c>
      <c r="O811" s="34" t="s">
        <v>1234</v>
      </c>
      <c r="P811" s="34">
        <v>37</v>
      </c>
      <c r="Q811" s="34" t="s">
        <v>1233</v>
      </c>
      <c r="R811" s="34" t="s">
        <v>1244</v>
      </c>
      <c r="S811" s="328">
        <v>43398</v>
      </c>
      <c r="T811" s="38"/>
      <c r="U811" s="34" t="s">
        <v>1247</v>
      </c>
      <c r="V811" s="255"/>
      <c r="W811" s="34"/>
      <c r="X811" s="3">
        <f t="shared" si="48"/>
        <v>-37</v>
      </c>
      <c r="Y811" s="3">
        <f t="shared" si="49"/>
        <v>37</v>
      </c>
    </row>
    <row r="812" spans="14:25">
      <c r="N812" s="34" t="s">
        <v>1244</v>
      </c>
      <c r="O812" s="34" t="s">
        <v>1236</v>
      </c>
      <c r="P812" s="34">
        <v>34</v>
      </c>
      <c r="Q812" s="34" t="s">
        <v>1233</v>
      </c>
      <c r="R812" s="34" t="s">
        <v>1244</v>
      </c>
      <c r="S812" s="328">
        <v>43398</v>
      </c>
      <c r="T812" s="38"/>
      <c r="U812" s="34" t="s">
        <v>1247</v>
      </c>
      <c r="V812" s="255"/>
      <c r="W812" s="34"/>
      <c r="X812" s="3">
        <f t="shared" si="48"/>
        <v>-34</v>
      </c>
      <c r="Y812" s="3">
        <f t="shared" si="49"/>
        <v>34</v>
      </c>
    </row>
    <row r="813" spans="14:25">
      <c r="N813" s="34" t="s">
        <v>1244</v>
      </c>
      <c r="O813" s="34" t="s">
        <v>1237</v>
      </c>
      <c r="P813" s="34">
        <v>68</v>
      </c>
      <c r="Q813" s="34" t="s">
        <v>1233</v>
      </c>
      <c r="R813" s="34" t="s">
        <v>1244</v>
      </c>
      <c r="S813" s="328">
        <v>43398</v>
      </c>
      <c r="T813" s="38"/>
      <c r="U813" s="34" t="s">
        <v>1247</v>
      </c>
      <c r="V813" s="255"/>
      <c r="W813" s="34"/>
      <c r="X813" s="3">
        <f t="shared" si="48"/>
        <v>-68</v>
      </c>
      <c r="Y813" s="3">
        <f t="shared" si="49"/>
        <v>68</v>
      </c>
    </row>
    <row r="814" spans="14:25">
      <c r="N814" s="34" t="s">
        <v>1244</v>
      </c>
      <c r="O814" s="34" t="s">
        <v>1243</v>
      </c>
      <c r="P814" s="34">
        <v>34</v>
      </c>
      <c r="Q814" s="34" t="s">
        <v>1233</v>
      </c>
      <c r="R814" s="34" t="s">
        <v>1244</v>
      </c>
      <c r="S814" s="328">
        <v>43398</v>
      </c>
      <c r="T814" s="38"/>
      <c r="U814" s="34" t="s">
        <v>1247</v>
      </c>
      <c r="V814" s="255"/>
      <c r="W814" s="34"/>
      <c r="X814" s="3">
        <f t="shared" ref="X814:X875" si="52">IF(OR(Q814="Stock to Rack",Q814="From Stock"),-P814,IF(OR(Q814="Rack to Stock",Q814="To Stock"),P814))</f>
        <v>-34</v>
      </c>
      <c r="Y814" s="3">
        <f t="shared" ref="Y814:Y875" si="53">IF(Q814="Rack to Stock",-P814,IF(Q814="Stock to Rack",P814))</f>
        <v>34</v>
      </c>
    </row>
    <row r="815" spans="14:25">
      <c r="N815" s="34" t="s">
        <v>1244</v>
      </c>
      <c r="O815" s="34" t="s">
        <v>1235</v>
      </c>
      <c r="P815" s="34">
        <v>34</v>
      </c>
      <c r="Q815" s="34" t="s">
        <v>1233</v>
      </c>
      <c r="R815" s="34" t="s">
        <v>1244</v>
      </c>
      <c r="S815" s="328">
        <v>43398</v>
      </c>
      <c r="T815" s="38"/>
      <c r="U815" s="34" t="s">
        <v>1247</v>
      </c>
      <c r="V815" s="255"/>
      <c r="W815" s="34"/>
      <c r="X815" s="3">
        <f t="shared" si="52"/>
        <v>-34</v>
      </c>
      <c r="Y815" s="3">
        <f t="shared" si="53"/>
        <v>34</v>
      </c>
    </row>
    <row r="816" spans="14:25">
      <c r="N816" s="34" t="s">
        <v>1244</v>
      </c>
      <c r="O816" s="34" t="s">
        <v>1228</v>
      </c>
      <c r="P816" s="34">
        <v>34</v>
      </c>
      <c r="Q816" s="34" t="s">
        <v>1233</v>
      </c>
      <c r="R816" s="34" t="s">
        <v>1244</v>
      </c>
      <c r="S816" s="328">
        <v>43398</v>
      </c>
      <c r="T816" s="38"/>
      <c r="U816" s="34" t="s">
        <v>1247</v>
      </c>
      <c r="V816" s="255"/>
      <c r="W816" s="34"/>
      <c r="X816" s="3">
        <f t="shared" si="52"/>
        <v>-34</v>
      </c>
      <c r="Y816" s="3">
        <f t="shared" si="53"/>
        <v>34</v>
      </c>
    </row>
    <row r="817" spans="14:25">
      <c r="N817" s="34" t="s">
        <v>1244</v>
      </c>
      <c r="O817" s="34" t="s">
        <v>1228</v>
      </c>
      <c r="P817" s="34">
        <v>33</v>
      </c>
      <c r="Q817" s="34" t="s">
        <v>1229</v>
      </c>
      <c r="R817" s="34" t="s">
        <v>1244</v>
      </c>
      <c r="S817" s="328">
        <v>43398</v>
      </c>
      <c r="T817" s="38"/>
      <c r="U817" s="34" t="s">
        <v>1247</v>
      </c>
      <c r="V817" s="255"/>
      <c r="W817" s="34"/>
      <c r="X817" s="3">
        <f t="shared" si="52"/>
        <v>33</v>
      </c>
      <c r="Y817" s="3" t="b">
        <f t="shared" si="53"/>
        <v>0</v>
      </c>
    </row>
    <row r="818" spans="14:25">
      <c r="N818" s="34" t="s">
        <v>1244</v>
      </c>
      <c r="O818" s="34" t="s">
        <v>1228</v>
      </c>
      <c r="P818" s="34">
        <v>15</v>
      </c>
      <c r="Q818" s="34" t="s">
        <v>1229</v>
      </c>
      <c r="R818" s="34" t="s">
        <v>1244</v>
      </c>
      <c r="S818" s="328">
        <v>43398</v>
      </c>
      <c r="T818" s="38"/>
      <c r="U818" s="34" t="s">
        <v>1247</v>
      </c>
      <c r="V818" s="255"/>
      <c r="W818" s="34"/>
      <c r="X818" s="3">
        <f t="shared" si="52"/>
        <v>15</v>
      </c>
      <c r="Y818" s="3" t="b">
        <f t="shared" si="53"/>
        <v>0</v>
      </c>
    </row>
    <row r="819" spans="14:25">
      <c r="N819" s="34" t="s">
        <v>1244</v>
      </c>
      <c r="O819" s="34" t="s">
        <v>1237</v>
      </c>
      <c r="P819" s="34">
        <f>17+15+7</f>
        <v>39</v>
      </c>
      <c r="Q819" s="34" t="s">
        <v>1229</v>
      </c>
      <c r="R819" s="34" t="s">
        <v>1244</v>
      </c>
      <c r="S819" s="328">
        <v>43398</v>
      </c>
      <c r="T819" s="38"/>
      <c r="U819" s="34" t="s">
        <v>1247</v>
      </c>
      <c r="V819" s="255"/>
      <c r="W819" s="34"/>
      <c r="X819" s="3">
        <f t="shared" si="52"/>
        <v>39</v>
      </c>
      <c r="Y819" s="3" t="b">
        <f t="shared" si="53"/>
        <v>0</v>
      </c>
    </row>
    <row r="820" spans="14:25">
      <c r="N820" s="34" t="s">
        <v>1244</v>
      </c>
      <c r="O820" s="34" t="s">
        <v>1235</v>
      </c>
      <c r="P820" s="34">
        <v>46</v>
      </c>
      <c r="Q820" s="34" t="s">
        <v>1229</v>
      </c>
      <c r="R820" s="34" t="s">
        <v>1244</v>
      </c>
      <c r="S820" s="328">
        <v>43398</v>
      </c>
      <c r="T820" s="38"/>
      <c r="U820" s="34" t="s">
        <v>1247</v>
      </c>
      <c r="V820" s="255"/>
      <c r="W820" s="34"/>
      <c r="X820" s="3">
        <f t="shared" si="52"/>
        <v>46</v>
      </c>
      <c r="Y820" s="3" t="b">
        <f t="shared" si="53"/>
        <v>0</v>
      </c>
    </row>
    <row r="821" spans="14:25">
      <c r="N821" s="34" t="s">
        <v>1244</v>
      </c>
      <c r="O821" s="34" t="s">
        <v>1236</v>
      </c>
      <c r="P821" s="34">
        <v>12</v>
      </c>
      <c r="Q821" s="34" t="s">
        <v>1229</v>
      </c>
      <c r="R821" s="34" t="s">
        <v>1244</v>
      </c>
      <c r="S821" s="328">
        <v>43398</v>
      </c>
      <c r="T821" s="38"/>
      <c r="U821" s="34" t="s">
        <v>1247</v>
      </c>
      <c r="V821" s="255"/>
      <c r="W821" s="34"/>
      <c r="X821" s="3">
        <f t="shared" si="52"/>
        <v>12</v>
      </c>
      <c r="Y821" s="3" t="b">
        <f t="shared" si="53"/>
        <v>0</v>
      </c>
    </row>
    <row r="822" spans="14:25">
      <c r="N822" s="34" t="s">
        <v>1244</v>
      </c>
      <c r="O822" s="34" t="s">
        <v>1234</v>
      </c>
      <c r="P822" s="34">
        <v>33</v>
      </c>
      <c r="Q822" s="34" t="s">
        <v>1229</v>
      </c>
      <c r="R822" s="34" t="s">
        <v>1244</v>
      </c>
      <c r="S822" s="328">
        <v>43398</v>
      </c>
      <c r="T822" s="38"/>
      <c r="U822" s="34" t="s">
        <v>1247</v>
      </c>
      <c r="V822" s="255"/>
      <c r="W822" s="34"/>
      <c r="X822" s="3">
        <f t="shared" si="52"/>
        <v>33</v>
      </c>
      <c r="Y822" s="3" t="b">
        <f t="shared" si="53"/>
        <v>0</v>
      </c>
    </row>
    <row r="823" spans="14:25">
      <c r="N823" s="34" t="s">
        <v>1244</v>
      </c>
      <c r="O823" s="34" t="s">
        <v>1238</v>
      </c>
      <c r="P823" s="34">
        <v>14</v>
      </c>
      <c r="Q823" s="34" t="s">
        <v>1233</v>
      </c>
      <c r="R823" s="34" t="s">
        <v>1244</v>
      </c>
      <c r="S823" s="328">
        <v>43398</v>
      </c>
      <c r="T823" s="38"/>
      <c r="U823" s="34" t="s">
        <v>1247</v>
      </c>
      <c r="V823" s="255"/>
      <c r="W823" s="34"/>
      <c r="X823" s="3">
        <f t="shared" si="52"/>
        <v>-14</v>
      </c>
      <c r="Y823" s="3">
        <f t="shared" si="53"/>
        <v>14</v>
      </c>
    </row>
    <row r="824" spans="14:25">
      <c r="N824" s="34" t="s">
        <v>1244</v>
      </c>
      <c r="O824" s="34" t="s">
        <v>1338</v>
      </c>
      <c r="P824" s="34">
        <v>18</v>
      </c>
      <c r="Q824" s="34" t="s">
        <v>1233</v>
      </c>
      <c r="R824" s="34" t="s">
        <v>1244</v>
      </c>
      <c r="S824" s="328">
        <v>43398</v>
      </c>
      <c r="T824" s="38"/>
      <c r="U824" s="34" t="s">
        <v>1247</v>
      </c>
      <c r="V824" s="255"/>
      <c r="W824" s="34"/>
      <c r="X824" s="3">
        <f t="shared" si="52"/>
        <v>-18</v>
      </c>
      <c r="Y824" s="3">
        <f t="shared" si="53"/>
        <v>18</v>
      </c>
    </row>
    <row r="825" spans="14:25">
      <c r="N825" s="34" t="s">
        <v>1244</v>
      </c>
      <c r="O825" s="34" t="s">
        <v>1338</v>
      </c>
      <c r="P825" s="34">
        <v>3</v>
      </c>
      <c r="Q825" s="34" t="s">
        <v>1229</v>
      </c>
      <c r="R825" s="34" t="s">
        <v>1244</v>
      </c>
      <c r="S825" s="328">
        <v>43398</v>
      </c>
      <c r="T825" s="38"/>
      <c r="U825" s="34" t="s">
        <v>1247</v>
      </c>
      <c r="V825" s="255"/>
      <c r="W825" s="34"/>
      <c r="X825" s="3">
        <f t="shared" si="52"/>
        <v>3</v>
      </c>
      <c r="Y825" s="3" t="b">
        <f t="shared" si="53"/>
        <v>0</v>
      </c>
    </row>
    <row r="826" spans="14:25">
      <c r="N826" s="34" t="s">
        <v>1244</v>
      </c>
      <c r="O826" s="34" t="s">
        <v>1243</v>
      </c>
      <c r="P826" s="34">
        <f>49+24</f>
        <v>73</v>
      </c>
      <c r="Q826" s="34" t="s">
        <v>1229</v>
      </c>
      <c r="R826" s="34" t="s">
        <v>1244</v>
      </c>
      <c r="S826" s="328">
        <v>43398</v>
      </c>
      <c r="T826" s="38"/>
      <c r="U826" s="34" t="s">
        <v>1247</v>
      </c>
      <c r="V826" s="255"/>
      <c r="W826" s="34"/>
      <c r="X826" s="3">
        <f t="shared" si="52"/>
        <v>73</v>
      </c>
      <c r="Y826" s="3" t="b">
        <f t="shared" si="53"/>
        <v>0</v>
      </c>
    </row>
    <row r="827" spans="14:25">
      <c r="N827" s="34" t="s">
        <v>336</v>
      </c>
      <c r="O827" s="34" t="s">
        <v>1242</v>
      </c>
      <c r="P827" s="34">
        <v>27</v>
      </c>
      <c r="Q827" s="34" t="s">
        <v>1285</v>
      </c>
      <c r="R827" s="34" t="s">
        <v>1245</v>
      </c>
      <c r="S827" s="38">
        <v>43409</v>
      </c>
      <c r="T827" s="38"/>
      <c r="U827" s="331" t="s">
        <v>1263</v>
      </c>
      <c r="V827" s="255"/>
      <c r="W827" s="331" t="s">
        <v>5461</v>
      </c>
      <c r="X827" s="3">
        <f t="shared" si="52"/>
        <v>27</v>
      </c>
      <c r="Y827" s="3">
        <f t="shared" si="53"/>
        <v>-27</v>
      </c>
    </row>
    <row r="828" spans="14:25">
      <c r="N828" s="34" t="s">
        <v>336</v>
      </c>
      <c r="O828" s="34" t="s">
        <v>1242</v>
      </c>
      <c r="P828" s="34">
        <v>15</v>
      </c>
      <c r="Q828" s="34" t="s">
        <v>1282</v>
      </c>
      <c r="R828" s="34" t="s">
        <v>1245</v>
      </c>
      <c r="S828" s="38">
        <v>43409</v>
      </c>
      <c r="T828" s="38"/>
      <c r="U828" s="331" t="s">
        <v>1263</v>
      </c>
      <c r="V828" s="255"/>
      <c r="W828" s="331" t="s">
        <v>5461</v>
      </c>
      <c r="X828" s="3">
        <f t="shared" si="52"/>
        <v>-15</v>
      </c>
      <c r="Y828" s="3" t="b">
        <f t="shared" si="53"/>
        <v>0</v>
      </c>
    </row>
    <row r="829" spans="14:25">
      <c r="N829" s="34" t="s">
        <v>1244</v>
      </c>
      <c r="O829" s="34" t="s">
        <v>1242</v>
      </c>
      <c r="P829" s="34">
        <v>14</v>
      </c>
      <c r="Q829" s="34" t="s">
        <v>1282</v>
      </c>
      <c r="R829" s="34" t="s">
        <v>1245</v>
      </c>
      <c r="S829" s="38">
        <v>43409</v>
      </c>
      <c r="T829" s="38"/>
      <c r="U829" s="331" t="s">
        <v>1263</v>
      </c>
      <c r="V829" s="255"/>
      <c r="W829" s="331" t="s">
        <v>5461</v>
      </c>
      <c r="X829" s="3">
        <f t="shared" si="52"/>
        <v>-14</v>
      </c>
      <c r="Y829" s="3" t="b">
        <f t="shared" si="53"/>
        <v>0</v>
      </c>
    </row>
    <row r="830" spans="14:25">
      <c r="N830" s="31" t="s">
        <v>1244</v>
      </c>
      <c r="O830" s="31" t="s">
        <v>5460</v>
      </c>
      <c r="P830" s="31">
        <v>15</v>
      </c>
      <c r="Q830" s="31"/>
      <c r="R830" s="31" t="s">
        <v>364</v>
      </c>
      <c r="S830" s="32">
        <v>43402</v>
      </c>
      <c r="T830" s="32"/>
      <c r="U830" s="31" t="s">
        <v>4446</v>
      </c>
      <c r="V830" s="265" t="s">
        <v>5462</v>
      </c>
      <c r="W830" s="34"/>
      <c r="X830" s="3" t="b">
        <f t="shared" si="52"/>
        <v>0</v>
      </c>
      <c r="Y830" s="3" t="b">
        <f t="shared" si="53"/>
        <v>0</v>
      </c>
    </row>
    <row r="831" spans="14:25">
      <c r="N831" s="28" t="s">
        <v>364</v>
      </c>
      <c r="O831" s="28" t="s">
        <v>5460</v>
      </c>
      <c r="P831" s="28">
        <v>10</v>
      </c>
      <c r="Q831" s="28" t="s">
        <v>1229</v>
      </c>
      <c r="R831" s="28" t="s">
        <v>364</v>
      </c>
      <c r="S831" s="30">
        <v>43402</v>
      </c>
      <c r="T831" s="28"/>
      <c r="U831" s="28" t="s">
        <v>4446</v>
      </c>
      <c r="V831" s="28"/>
      <c r="W831" s="34"/>
      <c r="X831" s="3">
        <f t="shared" si="52"/>
        <v>10</v>
      </c>
      <c r="Y831" s="3" t="b">
        <f t="shared" si="53"/>
        <v>0</v>
      </c>
    </row>
    <row r="832" spans="14:25">
      <c r="N832" s="32" t="s">
        <v>336</v>
      </c>
      <c r="O832" s="32" t="s">
        <v>5460</v>
      </c>
      <c r="P832" s="31">
        <v>15</v>
      </c>
      <c r="Q832" s="32" t="s">
        <v>1229</v>
      </c>
      <c r="R832" s="32" t="s">
        <v>364</v>
      </c>
      <c r="S832" s="32">
        <v>43402</v>
      </c>
      <c r="T832" s="32"/>
      <c r="U832" s="32" t="s">
        <v>4446</v>
      </c>
      <c r="V832" s="32" t="s">
        <v>5463</v>
      </c>
      <c r="W832" s="34"/>
      <c r="X832" s="3">
        <f t="shared" si="52"/>
        <v>15</v>
      </c>
      <c r="Y832" s="3" t="b">
        <f t="shared" si="53"/>
        <v>0</v>
      </c>
    </row>
    <row r="833" spans="14:25">
      <c r="N833" s="34" t="s">
        <v>336</v>
      </c>
      <c r="O833" s="34" t="s">
        <v>1237</v>
      </c>
      <c r="P833" s="34">
        <v>8</v>
      </c>
      <c r="Q833" s="34" t="s">
        <v>1233</v>
      </c>
      <c r="R833" s="34" t="s">
        <v>336</v>
      </c>
      <c r="S833" s="38">
        <v>43402</v>
      </c>
      <c r="T833" s="38"/>
      <c r="U833" s="34" t="s">
        <v>3193</v>
      </c>
      <c r="V833" s="255"/>
      <c r="W833" s="34"/>
      <c r="X833" s="3">
        <f t="shared" si="52"/>
        <v>-8</v>
      </c>
      <c r="Y833" s="3">
        <f t="shared" si="53"/>
        <v>8</v>
      </c>
    </row>
    <row r="834" spans="14:25">
      <c r="N834" s="34" t="s">
        <v>336</v>
      </c>
      <c r="O834" s="34" t="s">
        <v>1237</v>
      </c>
      <c r="P834" s="34">
        <v>300</v>
      </c>
      <c r="Q834" s="34" t="s">
        <v>1229</v>
      </c>
      <c r="R834" s="34" t="s">
        <v>336</v>
      </c>
      <c r="S834" s="38">
        <v>43410</v>
      </c>
      <c r="T834" s="38"/>
      <c r="U834" s="34" t="s">
        <v>3193</v>
      </c>
      <c r="V834" s="255"/>
      <c r="W834" s="34" t="s">
        <v>5474</v>
      </c>
      <c r="X834" s="3">
        <f t="shared" si="52"/>
        <v>300</v>
      </c>
      <c r="Y834" s="3" t="b">
        <f t="shared" si="53"/>
        <v>0</v>
      </c>
    </row>
    <row r="835" spans="14:25">
      <c r="N835" s="34" t="s">
        <v>336</v>
      </c>
      <c r="O835" s="34" t="s">
        <v>1237</v>
      </c>
      <c r="P835" s="34">
        <v>128</v>
      </c>
      <c r="Q835" s="34" t="s">
        <v>1282</v>
      </c>
      <c r="R835" s="34" t="s">
        <v>1244</v>
      </c>
      <c r="S835" s="38">
        <v>43410</v>
      </c>
      <c r="T835" s="38"/>
      <c r="U835" s="34" t="s">
        <v>5475</v>
      </c>
      <c r="V835" s="255"/>
      <c r="W835" s="34" t="s">
        <v>5476</v>
      </c>
      <c r="X835" s="3">
        <f t="shared" si="52"/>
        <v>-128</v>
      </c>
      <c r="Y835" s="3" t="b">
        <f t="shared" si="53"/>
        <v>0</v>
      </c>
    </row>
    <row r="836" spans="14:25">
      <c r="N836" s="34" t="s">
        <v>336</v>
      </c>
      <c r="O836" s="34" t="s">
        <v>1237</v>
      </c>
      <c r="P836" s="34">
        <v>88</v>
      </c>
      <c r="Q836" s="34" t="s">
        <v>1233</v>
      </c>
      <c r="R836" s="34" t="s">
        <v>336</v>
      </c>
      <c r="S836" s="38">
        <v>43410</v>
      </c>
      <c r="T836" s="38"/>
      <c r="U836" s="34" t="s">
        <v>3193</v>
      </c>
      <c r="V836" s="255"/>
      <c r="W836" s="34" t="s">
        <v>5477</v>
      </c>
      <c r="X836" s="3">
        <f t="shared" si="52"/>
        <v>-88</v>
      </c>
      <c r="Y836" s="3">
        <f t="shared" si="53"/>
        <v>88</v>
      </c>
    </row>
    <row r="837" spans="14:25">
      <c r="N837" s="34" t="s">
        <v>336</v>
      </c>
      <c r="O837" s="34" t="s">
        <v>1237</v>
      </c>
      <c r="P837" s="34">
        <v>60</v>
      </c>
      <c r="Q837" s="34" t="s">
        <v>1233</v>
      </c>
      <c r="R837" s="34" t="s">
        <v>336</v>
      </c>
      <c r="S837" s="38">
        <v>43410</v>
      </c>
      <c r="T837" s="38"/>
      <c r="U837" s="34" t="s">
        <v>3193</v>
      </c>
      <c r="V837" s="255"/>
      <c r="W837" s="34" t="s">
        <v>5478</v>
      </c>
      <c r="X837" s="3">
        <f t="shared" si="52"/>
        <v>-60</v>
      </c>
      <c r="Y837" s="3">
        <f t="shared" si="53"/>
        <v>60</v>
      </c>
    </row>
    <row r="838" spans="14:25">
      <c r="N838" s="34" t="s">
        <v>336</v>
      </c>
      <c r="O838" s="34" t="s">
        <v>1235</v>
      </c>
      <c r="P838" s="34">
        <v>58</v>
      </c>
      <c r="Q838" s="34" t="s">
        <v>1229</v>
      </c>
      <c r="R838" s="34" t="s">
        <v>336</v>
      </c>
      <c r="S838" s="38">
        <v>43410</v>
      </c>
      <c r="T838" s="38"/>
      <c r="U838" s="34" t="s">
        <v>3193</v>
      </c>
      <c r="V838" s="255" t="s">
        <v>5479</v>
      </c>
      <c r="W838" s="34"/>
      <c r="X838" s="3">
        <f t="shared" si="52"/>
        <v>58</v>
      </c>
      <c r="Y838" s="3" t="b">
        <f t="shared" si="53"/>
        <v>0</v>
      </c>
    </row>
    <row r="839" spans="14:25">
      <c r="N839" s="34" t="s">
        <v>336</v>
      </c>
      <c r="O839" s="34" t="s">
        <v>1238</v>
      </c>
      <c r="P839" s="34">
        <v>50</v>
      </c>
      <c r="Q839" s="34" t="s">
        <v>1282</v>
      </c>
      <c r="R839" s="34" t="s">
        <v>336</v>
      </c>
      <c r="S839" s="38">
        <v>43410</v>
      </c>
      <c r="T839" s="38"/>
      <c r="U839" s="34" t="s">
        <v>3193</v>
      </c>
      <c r="V839" s="255"/>
      <c r="W839" s="34" t="s">
        <v>5480</v>
      </c>
      <c r="X839" s="3">
        <f t="shared" si="52"/>
        <v>-50</v>
      </c>
      <c r="Y839" s="3" t="b">
        <f t="shared" si="53"/>
        <v>0</v>
      </c>
    </row>
    <row r="840" spans="14:25">
      <c r="N840" s="34" t="s">
        <v>336</v>
      </c>
      <c r="O840" s="34" t="s">
        <v>1338</v>
      </c>
      <c r="P840" s="34">
        <v>9</v>
      </c>
      <c r="Q840" s="34" t="s">
        <v>1229</v>
      </c>
      <c r="R840" s="34" t="s">
        <v>336</v>
      </c>
      <c r="S840" s="38">
        <v>43410</v>
      </c>
      <c r="T840" s="38"/>
      <c r="U840" s="34" t="s">
        <v>3193</v>
      </c>
      <c r="V840" s="255" t="s">
        <v>5481</v>
      </c>
      <c r="W840" s="34"/>
      <c r="X840" s="3">
        <f t="shared" si="52"/>
        <v>9</v>
      </c>
      <c r="Y840" s="3" t="b">
        <f t="shared" si="53"/>
        <v>0</v>
      </c>
    </row>
    <row r="841" spans="14:25">
      <c r="N841" s="34" t="s">
        <v>336</v>
      </c>
      <c r="O841" s="34" t="s">
        <v>1338</v>
      </c>
      <c r="P841" s="34">
        <v>35</v>
      </c>
      <c r="Q841" s="34" t="s">
        <v>1229</v>
      </c>
      <c r="R841" s="34" t="s">
        <v>336</v>
      </c>
      <c r="S841" s="38">
        <v>43410</v>
      </c>
      <c r="T841" s="38"/>
      <c r="U841" s="34" t="s">
        <v>3193</v>
      </c>
      <c r="V841" s="255" t="s">
        <v>5482</v>
      </c>
      <c r="W841" s="34"/>
      <c r="X841" s="3">
        <f t="shared" si="52"/>
        <v>35</v>
      </c>
      <c r="Y841" s="3" t="b">
        <f t="shared" si="53"/>
        <v>0</v>
      </c>
    </row>
    <row r="842" spans="14:25">
      <c r="N842" s="34" t="s">
        <v>336</v>
      </c>
      <c r="O842" s="34" t="s">
        <v>1338</v>
      </c>
      <c r="P842" s="34">
        <v>17</v>
      </c>
      <c r="Q842" s="34" t="s">
        <v>1282</v>
      </c>
      <c r="R842" s="34" t="s">
        <v>336</v>
      </c>
      <c r="S842" s="38">
        <v>43409</v>
      </c>
      <c r="T842" s="38"/>
      <c r="U842" s="34" t="s">
        <v>5475</v>
      </c>
      <c r="V842" s="255" t="s">
        <v>5483</v>
      </c>
      <c r="W842" s="34"/>
      <c r="X842" s="3">
        <f t="shared" si="52"/>
        <v>-17</v>
      </c>
      <c r="Y842" s="3" t="b">
        <f t="shared" si="53"/>
        <v>0</v>
      </c>
    </row>
    <row r="843" spans="14:25">
      <c r="N843" s="28" t="s">
        <v>364</v>
      </c>
      <c r="O843" s="28" t="s">
        <v>1236</v>
      </c>
      <c r="P843" s="28">
        <v>1</v>
      </c>
      <c r="Q843" s="28" t="s">
        <v>1229</v>
      </c>
      <c r="R843" s="28" t="s">
        <v>364</v>
      </c>
      <c r="S843" s="30">
        <v>43412</v>
      </c>
      <c r="T843" s="30">
        <v>43412</v>
      </c>
      <c r="U843" s="28" t="s">
        <v>4446</v>
      </c>
      <c r="V843" s="28"/>
      <c r="W843" s="34"/>
      <c r="X843" s="3">
        <f t="shared" si="52"/>
        <v>1</v>
      </c>
      <c r="Y843" s="3" t="b">
        <f t="shared" si="53"/>
        <v>0</v>
      </c>
    </row>
    <row r="844" spans="14:25">
      <c r="N844" s="28" t="s">
        <v>364</v>
      </c>
      <c r="O844" s="28" t="s">
        <v>5460</v>
      </c>
      <c r="P844" s="28">
        <v>1</v>
      </c>
      <c r="Q844" s="28" t="s">
        <v>1229</v>
      </c>
      <c r="R844" s="28" t="s">
        <v>364</v>
      </c>
      <c r="S844" s="30">
        <v>43412</v>
      </c>
      <c r="T844" s="30">
        <v>43412</v>
      </c>
      <c r="U844" s="28" t="s">
        <v>4446</v>
      </c>
      <c r="V844" s="28"/>
      <c r="W844" s="34"/>
      <c r="X844" s="3">
        <f t="shared" si="52"/>
        <v>1</v>
      </c>
      <c r="Y844" s="3" t="b">
        <f t="shared" si="53"/>
        <v>0</v>
      </c>
    </row>
    <row r="845" spans="14:25">
      <c r="N845" s="31" t="s">
        <v>203</v>
      </c>
      <c r="O845" s="31" t="s">
        <v>5460</v>
      </c>
      <c r="P845" s="31">
        <v>10</v>
      </c>
      <c r="Q845" s="31"/>
      <c r="R845" s="31" t="s">
        <v>364</v>
      </c>
      <c r="S845" s="32">
        <v>43412</v>
      </c>
      <c r="T845" s="31"/>
      <c r="U845" s="31" t="s">
        <v>4446</v>
      </c>
      <c r="V845" s="31" t="s">
        <v>5484</v>
      </c>
      <c r="W845" s="34"/>
      <c r="X845" s="3" t="b">
        <f t="shared" si="52"/>
        <v>0</v>
      </c>
      <c r="Y845" s="3" t="b">
        <f t="shared" si="53"/>
        <v>0</v>
      </c>
    </row>
    <row r="846" spans="14:25">
      <c r="N846" s="31" t="s">
        <v>203</v>
      </c>
      <c r="O846" s="31" t="s">
        <v>1236</v>
      </c>
      <c r="P846" s="31">
        <v>10</v>
      </c>
      <c r="Q846" s="31"/>
      <c r="R846" s="31" t="s">
        <v>364</v>
      </c>
      <c r="S846" s="32">
        <v>43412</v>
      </c>
      <c r="T846" s="31"/>
      <c r="U846" s="31" t="s">
        <v>4446</v>
      </c>
      <c r="V846" s="31" t="s">
        <v>5484</v>
      </c>
      <c r="W846" s="34"/>
      <c r="X846" s="3" t="b">
        <f t="shared" si="52"/>
        <v>0</v>
      </c>
      <c r="Y846" s="3" t="b">
        <f t="shared" si="53"/>
        <v>0</v>
      </c>
    </row>
    <row r="847" spans="14:25">
      <c r="N847" s="31" t="s">
        <v>0</v>
      </c>
      <c r="O847" s="31" t="s">
        <v>5460</v>
      </c>
      <c r="P847" s="31">
        <v>10</v>
      </c>
      <c r="Q847" s="31"/>
      <c r="R847" s="31" t="s">
        <v>364</v>
      </c>
      <c r="S847" s="32">
        <v>43412</v>
      </c>
      <c r="T847" s="32"/>
      <c r="U847" s="31" t="s">
        <v>4446</v>
      </c>
      <c r="V847" s="265" t="s">
        <v>5485</v>
      </c>
      <c r="W847" s="34"/>
      <c r="X847" s="3" t="b">
        <f t="shared" si="52"/>
        <v>0</v>
      </c>
      <c r="Y847" s="3" t="b">
        <f t="shared" si="53"/>
        <v>0</v>
      </c>
    </row>
    <row r="848" spans="14:25">
      <c r="N848" s="31" t="s">
        <v>0</v>
      </c>
      <c r="O848" s="31" t="s">
        <v>1236</v>
      </c>
      <c r="P848" s="31">
        <v>10</v>
      </c>
      <c r="Q848" s="31"/>
      <c r="R848" s="31" t="s">
        <v>364</v>
      </c>
      <c r="S848" s="32">
        <v>43412</v>
      </c>
      <c r="T848" s="32"/>
      <c r="U848" s="31" t="s">
        <v>4446</v>
      </c>
      <c r="V848" s="265" t="s">
        <v>5485</v>
      </c>
      <c r="W848" s="34"/>
      <c r="X848" s="3" t="b">
        <f t="shared" si="52"/>
        <v>0</v>
      </c>
      <c r="Y848" s="3" t="b">
        <f t="shared" si="53"/>
        <v>0</v>
      </c>
    </row>
    <row r="849" spans="14:25">
      <c r="N849" s="34" t="s">
        <v>203</v>
      </c>
      <c r="O849" s="34" t="s">
        <v>1338</v>
      </c>
      <c r="P849" s="34">
        <v>116</v>
      </c>
      <c r="Q849" s="34" t="s">
        <v>1233</v>
      </c>
      <c r="R849" s="34" t="s">
        <v>203</v>
      </c>
      <c r="S849" s="38">
        <v>43416</v>
      </c>
      <c r="T849" s="38">
        <v>43416</v>
      </c>
      <c r="U849" s="34" t="s">
        <v>2695</v>
      </c>
      <c r="V849" s="255"/>
      <c r="W849" s="34"/>
      <c r="X849" s="3">
        <f t="shared" si="52"/>
        <v>-116</v>
      </c>
      <c r="Y849" s="3">
        <f t="shared" si="53"/>
        <v>116</v>
      </c>
    </row>
    <row r="850" spans="14:25">
      <c r="N850" s="34" t="s">
        <v>203</v>
      </c>
      <c r="O850" s="34" t="s">
        <v>1228</v>
      </c>
      <c r="P850" s="34">
        <v>62</v>
      </c>
      <c r="Q850" s="34" t="s">
        <v>1229</v>
      </c>
      <c r="R850" s="34" t="s">
        <v>364</v>
      </c>
      <c r="S850" s="38">
        <v>43381</v>
      </c>
      <c r="T850" s="38">
        <v>43385</v>
      </c>
      <c r="U850" s="34" t="s">
        <v>5768</v>
      </c>
      <c r="V850" s="255" t="s">
        <v>5374</v>
      </c>
      <c r="W850" s="34"/>
      <c r="X850" s="3">
        <f t="shared" si="52"/>
        <v>62</v>
      </c>
      <c r="Y850" s="3" t="b">
        <f t="shared" si="53"/>
        <v>0</v>
      </c>
    </row>
    <row r="851" spans="14:25">
      <c r="N851" s="34" t="s">
        <v>203</v>
      </c>
      <c r="O851" s="34" t="s">
        <v>1228</v>
      </c>
      <c r="P851" s="34">
        <v>99</v>
      </c>
      <c r="Q851" s="34" t="s">
        <v>1233</v>
      </c>
      <c r="R851" s="34" t="s">
        <v>203</v>
      </c>
      <c r="S851" s="38">
        <v>43416</v>
      </c>
      <c r="T851" s="38">
        <v>43416</v>
      </c>
      <c r="U851" s="34" t="s">
        <v>2695</v>
      </c>
      <c r="V851" s="255"/>
      <c r="W851" s="34" t="s">
        <v>5486</v>
      </c>
      <c r="X851" s="3">
        <f t="shared" si="52"/>
        <v>-99</v>
      </c>
      <c r="Y851" s="3">
        <f t="shared" si="53"/>
        <v>99</v>
      </c>
    </row>
    <row r="852" spans="14:25">
      <c r="N852" s="34" t="s">
        <v>203</v>
      </c>
      <c r="O852" s="34" t="s">
        <v>1234</v>
      </c>
      <c r="P852" s="34">
        <v>50</v>
      </c>
      <c r="Q852" s="34" t="s">
        <v>1229</v>
      </c>
      <c r="R852" s="34" t="s">
        <v>364</v>
      </c>
      <c r="S852" s="38"/>
      <c r="T852" s="38"/>
      <c r="U852" s="34"/>
      <c r="V852" s="255"/>
      <c r="W852" s="34"/>
      <c r="X852" s="3">
        <f t="shared" si="52"/>
        <v>50</v>
      </c>
      <c r="Y852" s="3" t="b">
        <f t="shared" si="53"/>
        <v>0</v>
      </c>
    </row>
    <row r="853" spans="14:25">
      <c r="N853" s="34" t="s">
        <v>203</v>
      </c>
      <c r="O853" s="34" t="s">
        <v>1234</v>
      </c>
      <c r="P853" s="34">
        <v>99</v>
      </c>
      <c r="Q853" s="34" t="s">
        <v>1233</v>
      </c>
      <c r="R853" s="34" t="s">
        <v>203</v>
      </c>
      <c r="S853" s="38">
        <v>43416</v>
      </c>
      <c r="T853" s="38">
        <v>43416</v>
      </c>
      <c r="U853" s="34" t="s">
        <v>2695</v>
      </c>
      <c r="V853" s="255"/>
      <c r="W853" s="34"/>
      <c r="X853" s="3">
        <f t="shared" si="52"/>
        <v>-99</v>
      </c>
      <c r="Y853" s="3">
        <f t="shared" si="53"/>
        <v>99</v>
      </c>
    </row>
    <row r="854" spans="14:25">
      <c r="N854" s="34" t="s">
        <v>203</v>
      </c>
      <c r="O854" s="34" t="s">
        <v>1235</v>
      </c>
      <c r="P854" s="34">
        <v>50</v>
      </c>
      <c r="Q854" s="34" t="s">
        <v>1229</v>
      </c>
      <c r="R854" s="34" t="s">
        <v>364</v>
      </c>
      <c r="S854" s="38">
        <v>43390</v>
      </c>
      <c r="T854" s="38">
        <v>43395</v>
      </c>
      <c r="U854" s="34" t="s">
        <v>5768</v>
      </c>
      <c r="V854" s="255" t="s">
        <v>5769</v>
      </c>
      <c r="W854" s="34"/>
      <c r="X854" s="3">
        <f t="shared" si="52"/>
        <v>50</v>
      </c>
      <c r="Y854" s="3" t="b">
        <f t="shared" si="53"/>
        <v>0</v>
      </c>
    </row>
    <row r="855" spans="14:25">
      <c r="N855" s="34" t="s">
        <v>203</v>
      </c>
      <c r="O855" s="34" t="s">
        <v>1235</v>
      </c>
      <c r="P855" s="34">
        <v>65</v>
      </c>
      <c r="Q855" s="34" t="s">
        <v>1233</v>
      </c>
      <c r="R855" s="34" t="s">
        <v>203</v>
      </c>
      <c r="S855" s="38">
        <v>43416</v>
      </c>
      <c r="T855" s="38">
        <v>43416</v>
      </c>
      <c r="U855" s="34" t="s">
        <v>2695</v>
      </c>
      <c r="V855" s="255"/>
      <c r="W855" s="34"/>
      <c r="X855" s="3">
        <f t="shared" si="52"/>
        <v>-65</v>
      </c>
      <c r="Y855" s="3">
        <f t="shared" si="53"/>
        <v>65</v>
      </c>
    </row>
    <row r="856" spans="14:25">
      <c r="N856" s="34" t="s">
        <v>203</v>
      </c>
      <c r="O856" s="34" t="s">
        <v>1236</v>
      </c>
      <c r="P856" s="34">
        <v>52</v>
      </c>
      <c r="Q856" s="34" t="s">
        <v>1229</v>
      </c>
      <c r="R856" s="34" t="s">
        <v>364</v>
      </c>
      <c r="S856" s="38">
        <v>43386</v>
      </c>
      <c r="T856" s="38">
        <v>43390</v>
      </c>
      <c r="U856" s="34" t="s">
        <v>5766</v>
      </c>
      <c r="V856" s="255" t="s">
        <v>5770</v>
      </c>
      <c r="W856" s="34"/>
      <c r="X856" s="3">
        <f t="shared" si="52"/>
        <v>52</v>
      </c>
      <c r="Y856" s="3" t="b">
        <f t="shared" si="53"/>
        <v>0</v>
      </c>
    </row>
    <row r="857" spans="14:25">
      <c r="N857" s="34" t="s">
        <v>203</v>
      </c>
      <c r="O857" s="34" t="s">
        <v>1236</v>
      </c>
      <c r="P857" s="34">
        <v>90</v>
      </c>
      <c r="Q857" s="34" t="s">
        <v>1233</v>
      </c>
      <c r="R857" s="34" t="s">
        <v>203</v>
      </c>
      <c r="S857" s="38">
        <v>43416</v>
      </c>
      <c r="T857" s="38">
        <v>43416</v>
      </c>
      <c r="U857" s="34" t="s">
        <v>2695</v>
      </c>
      <c r="V857" s="255"/>
      <c r="W857" s="34"/>
      <c r="X857" s="3">
        <f t="shared" si="52"/>
        <v>-90</v>
      </c>
      <c r="Y857" s="3">
        <f t="shared" si="53"/>
        <v>90</v>
      </c>
    </row>
    <row r="858" spans="14:25">
      <c r="N858" s="34" t="s">
        <v>203</v>
      </c>
      <c r="O858" s="34" t="s">
        <v>5460</v>
      </c>
      <c r="P858" s="34">
        <v>10</v>
      </c>
      <c r="Q858" s="34" t="s">
        <v>1229</v>
      </c>
      <c r="R858" s="34" t="s">
        <v>364</v>
      </c>
      <c r="S858" s="38">
        <v>43412</v>
      </c>
      <c r="T858" s="38">
        <v>43417</v>
      </c>
      <c r="U858" s="34" t="s">
        <v>5768</v>
      </c>
      <c r="V858" s="255" t="s">
        <v>5484</v>
      </c>
      <c r="W858" s="34"/>
      <c r="X858" s="3">
        <f t="shared" si="52"/>
        <v>10</v>
      </c>
      <c r="Y858" s="3" t="b">
        <f t="shared" si="53"/>
        <v>0</v>
      </c>
    </row>
    <row r="859" spans="14:25">
      <c r="N859" s="34" t="s">
        <v>203</v>
      </c>
      <c r="O859" s="34" t="s">
        <v>1243</v>
      </c>
      <c r="P859" s="34">
        <v>12</v>
      </c>
      <c r="Q859" s="34" t="s">
        <v>1229</v>
      </c>
      <c r="R859" s="34" t="s">
        <v>364</v>
      </c>
      <c r="S859" s="38">
        <v>43421</v>
      </c>
      <c r="T859" s="38">
        <v>43426</v>
      </c>
      <c r="U859" s="34" t="s">
        <v>5768</v>
      </c>
      <c r="V859" s="255" t="s">
        <v>5375</v>
      </c>
      <c r="W859" s="34"/>
      <c r="X859" s="3">
        <f t="shared" si="52"/>
        <v>12</v>
      </c>
      <c r="Y859" s="3" t="b">
        <f t="shared" si="53"/>
        <v>0</v>
      </c>
    </row>
    <row r="860" spans="14:25">
      <c r="N860" s="34" t="s">
        <v>203</v>
      </c>
      <c r="O860" s="34" t="s">
        <v>1243</v>
      </c>
      <c r="P860" s="34">
        <v>12</v>
      </c>
      <c r="Q860" s="34" t="s">
        <v>1233</v>
      </c>
      <c r="R860" s="34" t="s">
        <v>203</v>
      </c>
      <c r="S860" s="38">
        <v>43416</v>
      </c>
      <c r="T860" s="38">
        <v>43416</v>
      </c>
      <c r="U860" s="34" t="s">
        <v>2695</v>
      </c>
      <c r="V860" s="255"/>
      <c r="W860" s="34"/>
      <c r="X860" s="3">
        <f t="shared" si="52"/>
        <v>-12</v>
      </c>
      <c r="Y860" s="3">
        <f t="shared" si="53"/>
        <v>12</v>
      </c>
    </row>
    <row r="861" spans="14:25">
      <c r="N861" s="31" t="s">
        <v>3640</v>
      </c>
      <c r="O861" s="31" t="s">
        <v>5460</v>
      </c>
      <c r="P861" s="31">
        <v>1</v>
      </c>
      <c r="Q861" s="31"/>
      <c r="R861" s="31" t="s">
        <v>364</v>
      </c>
      <c r="S861" s="32">
        <v>43416</v>
      </c>
      <c r="T861" s="32"/>
      <c r="U861" s="31" t="s">
        <v>4446</v>
      </c>
      <c r="V861" s="265" t="s">
        <v>5487</v>
      </c>
      <c r="W861" s="34"/>
      <c r="X861" s="3" t="b">
        <f t="shared" si="52"/>
        <v>0</v>
      </c>
      <c r="Y861" s="3" t="b">
        <f t="shared" si="53"/>
        <v>0</v>
      </c>
    </row>
    <row r="862" spans="14:25">
      <c r="N862" s="31" t="s">
        <v>3640</v>
      </c>
      <c r="O862" s="31" t="s">
        <v>1236</v>
      </c>
      <c r="P862" s="31">
        <v>1</v>
      </c>
      <c r="Q862" s="31"/>
      <c r="R862" s="31" t="s">
        <v>364</v>
      </c>
      <c r="S862" s="32">
        <v>43416</v>
      </c>
      <c r="T862" s="32"/>
      <c r="U862" s="31" t="s">
        <v>4446</v>
      </c>
      <c r="V862" s="265" t="s">
        <v>5487</v>
      </c>
      <c r="W862" s="34"/>
      <c r="X862" s="3" t="b">
        <f t="shared" si="52"/>
        <v>0</v>
      </c>
      <c r="Y862" s="3" t="b">
        <f t="shared" si="53"/>
        <v>0</v>
      </c>
    </row>
    <row r="863" spans="14:25">
      <c r="N863" s="31" t="s">
        <v>1244</v>
      </c>
      <c r="O863" s="31" t="s">
        <v>5460</v>
      </c>
      <c r="P863" s="31">
        <v>10</v>
      </c>
      <c r="Q863" s="31"/>
      <c r="R863" s="31" t="s">
        <v>364</v>
      </c>
      <c r="S863" s="32">
        <v>43416</v>
      </c>
      <c r="T863" s="32"/>
      <c r="U863" s="31" t="s">
        <v>4446</v>
      </c>
      <c r="V863" s="265" t="s">
        <v>5488</v>
      </c>
      <c r="W863" s="34"/>
      <c r="X863" s="3" t="b">
        <f t="shared" si="52"/>
        <v>0</v>
      </c>
      <c r="Y863" s="3" t="b">
        <f t="shared" si="53"/>
        <v>0</v>
      </c>
    </row>
    <row r="864" spans="14:25">
      <c r="N864" s="31" t="s">
        <v>1244</v>
      </c>
      <c r="O864" s="31" t="s">
        <v>1236</v>
      </c>
      <c r="P864" s="31">
        <v>10</v>
      </c>
      <c r="Q864" s="31"/>
      <c r="R864" s="31" t="s">
        <v>364</v>
      </c>
      <c r="S864" s="32">
        <v>43416</v>
      </c>
      <c r="T864" s="32"/>
      <c r="U864" s="31" t="s">
        <v>4446</v>
      </c>
      <c r="V864" s="265" t="s">
        <v>5488</v>
      </c>
      <c r="W864" s="34"/>
      <c r="X864" s="3" t="b">
        <f t="shared" si="52"/>
        <v>0</v>
      </c>
      <c r="Y864" s="3" t="b">
        <f t="shared" si="53"/>
        <v>0</v>
      </c>
    </row>
    <row r="865" spans="14:25">
      <c r="N865" s="31" t="s">
        <v>336</v>
      </c>
      <c r="O865" s="31" t="s">
        <v>5460</v>
      </c>
      <c r="P865" s="31">
        <v>10</v>
      </c>
      <c r="Q865" s="31" t="s">
        <v>1229</v>
      </c>
      <c r="R865" s="31" t="s">
        <v>364</v>
      </c>
      <c r="S865" s="32">
        <v>43416</v>
      </c>
      <c r="T865" s="32"/>
      <c r="U865" s="31" t="s">
        <v>4446</v>
      </c>
      <c r="V865" s="265" t="s">
        <v>5489</v>
      </c>
      <c r="W865" s="34"/>
      <c r="X865" s="3">
        <f t="shared" si="52"/>
        <v>10</v>
      </c>
      <c r="Y865" s="3" t="b">
        <f t="shared" si="53"/>
        <v>0</v>
      </c>
    </row>
    <row r="866" spans="14:25">
      <c r="N866" s="31" t="s">
        <v>336</v>
      </c>
      <c r="O866" s="31" t="s">
        <v>1236</v>
      </c>
      <c r="P866" s="31">
        <v>10</v>
      </c>
      <c r="Q866" s="31" t="s">
        <v>1229</v>
      </c>
      <c r="R866" s="31" t="s">
        <v>364</v>
      </c>
      <c r="S866" s="32">
        <v>43416</v>
      </c>
      <c r="T866" s="32"/>
      <c r="U866" s="31" t="s">
        <v>4446</v>
      </c>
      <c r="V866" s="265" t="s">
        <v>5489</v>
      </c>
      <c r="W866" s="34"/>
      <c r="X866" s="3">
        <f t="shared" si="52"/>
        <v>10</v>
      </c>
      <c r="Y866" s="3" t="b">
        <f t="shared" si="53"/>
        <v>0</v>
      </c>
    </row>
    <row r="867" spans="14:25">
      <c r="N867" s="31" t="s">
        <v>1244</v>
      </c>
      <c r="O867" s="31" t="s">
        <v>1234</v>
      </c>
      <c r="P867" s="31">
        <v>15</v>
      </c>
      <c r="Q867" s="31"/>
      <c r="R867" s="31" t="s">
        <v>364</v>
      </c>
      <c r="S867" s="32">
        <v>43416</v>
      </c>
      <c r="T867" s="32"/>
      <c r="U867" s="31" t="s">
        <v>4446</v>
      </c>
      <c r="V867" s="265" t="s">
        <v>5490</v>
      </c>
      <c r="W867" s="34"/>
      <c r="X867" s="3" t="b">
        <f t="shared" si="52"/>
        <v>0</v>
      </c>
      <c r="Y867" s="3" t="b">
        <f t="shared" si="53"/>
        <v>0</v>
      </c>
    </row>
    <row r="868" spans="14:25">
      <c r="N868" s="31" t="s">
        <v>1244</v>
      </c>
      <c r="O868" s="31" t="s">
        <v>1235</v>
      </c>
      <c r="P868" s="31">
        <v>15</v>
      </c>
      <c r="Q868" s="31"/>
      <c r="R868" s="31" t="s">
        <v>364</v>
      </c>
      <c r="S868" s="32">
        <v>43416</v>
      </c>
      <c r="T868" s="32"/>
      <c r="U868" s="31" t="s">
        <v>4446</v>
      </c>
      <c r="V868" s="265" t="s">
        <v>5490</v>
      </c>
      <c r="W868" s="34"/>
      <c r="X868" s="3" t="b">
        <f t="shared" si="52"/>
        <v>0</v>
      </c>
      <c r="Y868" s="3" t="b">
        <f t="shared" si="53"/>
        <v>0</v>
      </c>
    </row>
    <row r="869" spans="14:25">
      <c r="N869" s="31" t="s">
        <v>336</v>
      </c>
      <c r="O869" s="31" t="s">
        <v>1234</v>
      </c>
      <c r="P869" s="31">
        <v>20</v>
      </c>
      <c r="Q869" s="31" t="s">
        <v>1229</v>
      </c>
      <c r="R869" s="31" t="s">
        <v>364</v>
      </c>
      <c r="S869" s="32">
        <v>43416</v>
      </c>
      <c r="T869" s="32"/>
      <c r="U869" s="31" t="s">
        <v>4446</v>
      </c>
      <c r="V869" s="265" t="s">
        <v>5491</v>
      </c>
      <c r="W869" s="34"/>
      <c r="X869" s="3">
        <f t="shared" si="52"/>
        <v>20</v>
      </c>
      <c r="Y869" s="3" t="b">
        <f t="shared" si="53"/>
        <v>0</v>
      </c>
    </row>
    <row r="870" spans="14:25">
      <c r="N870" s="31" t="s">
        <v>336</v>
      </c>
      <c r="O870" s="31" t="s">
        <v>1235</v>
      </c>
      <c r="P870" s="31">
        <v>20</v>
      </c>
      <c r="Q870" s="31" t="s">
        <v>1229</v>
      </c>
      <c r="R870" s="31" t="s">
        <v>364</v>
      </c>
      <c r="S870" s="32">
        <v>43416</v>
      </c>
      <c r="T870" s="32"/>
      <c r="U870" s="31" t="s">
        <v>4446</v>
      </c>
      <c r="V870" s="265" t="s">
        <v>5491</v>
      </c>
      <c r="W870" s="34"/>
      <c r="X870" s="3">
        <f t="shared" si="52"/>
        <v>20</v>
      </c>
      <c r="Y870" s="3" t="b">
        <f t="shared" si="53"/>
        <v>0</v>
      </c>
    </row>
    <row r="871" spans="14:25">
      <c r="N871" s="34" t="s">
        <v>336</v>
      </c>
      <c r="O871" s="34" t="s">
        <v>1228</v>
      </c>
      <c r="P871" s="34">
        <v>4</v>
      </c>
      <c r="Q871" s="34" t="s">
        <v>1233</v>
      </c>
      <c r="R871" s="34" t="s">
        <v>336</v>
      </c>
      <c r="S871" s="38">
        <v>43410</v>
      </c>
      <c r="T871" s="38"/>
      <c r="U871" s="34" t="s">
        <v>1260</v>
      </c>
      <c r="V871" s="255" t="s">
        <v>5551</v>
      </c>
      <c r="W871" s="34"/>
      <c r="X871" s="3">
        <f t="shared" si="52"/>
        <v>-4</v>
      </c>
      <c r="Y871" s="3">
        <f t="shared" si="53"/>
        <v>4</v>
      </c>
    </row>
    <row r="872" spans="14:25">
      <c r="N872" s="347" t="s">
        <v>336</v>
      </c>
      <c r="O872" s="347" t="s">
        <v>1236</v>
      </c>
      <c r="P872" s="34">
        <v>7</v>
      </c>
      <c r="Q872" s="347" t="s">
        <v>1233</v>
      </c>
      <c r="R872" s="347" t="s">
        <v>336</v>
      </c>
      <c r="S872" s="38">
        <v>43410</v>
      </c>
      <c r="T872" s="38"/>
      <c r="U872" s="347" t="s">
        <v>1260</v>
      </c>
      <c r="V872" s="348" t="s">
        <v>5569</v>
      </c>
      <c r="W872" s="34"/>
      <c r="X872" s="3">
        <f t="shared" si="52"/>
        <v>-7</v>
      </c>
      <c r="Y872" s="3">
        <f t="shared" si="53"/>
        <v>7</v>
      </c>
    </row>
    <row r="873" spans="14:25">
      <c r="N873" s="34" t="s">
        <v>203</v>
      </c>
      <c r="O873" s="34" t="s">
        <v>1338</v>
      </c>
      <c r="P873" s="34">
        <v>12</v>
      </c>
      <c r="Q873" s="34" t="s">
        <v>1229</v>
      </c>
      <c r="R873" s="34" t="s">
        <v>364</v>
      </c>
      <c r="S873" s="38">
        <v>43417</v>
      </c>
      <c r="T873" s="38">
        <v>43424</v>
      </c>
      <c r="U873" s="34" t="s">
        <v>5766</v>
      </c>
      <c r="V873" s="255" t="s">
        <v>5767</v>
      </c>
      <c r="W873" s="34"/>
      <c r="X873" s="3">
        <f t="shared" si="52"/>
        <v>12</v>
      </c>
      <c r="Y873" s="3" t="b">
        <f t="shared" si="53"/>
        <v>0</v>
      </c>
    </row>
    <row r="874" spans="14:25">
      <c r="N874" s="31" t="s">
        <v>1244</v>
      </c>
      <c r="O874" s="31" t="s">
        <v>1228</v>
      </c>
      <c r="P874" s="31">
        <v>50</v>
      </c>
      <c r="Q874" s="31"/>
      <c r="R874" s="31" t="s">
        <v>364</v>
      </c>
      <c r="S874" s="32">
        <v>43444</v>
      </c>
      <c r="T874" s="31"/>
      <c r="U874" s="31" t="s">
        <v>4446</v>
      </c>
      <c r="V874" s="31" t="s">
        <v>6066</v>
      </c>
      <c r="W874" s="34"/>
      <c r="X874" s="3" t="b">
        <f t="shared" si="52"/>
        <v>0</v>
      </c>
      <c r="Y874" s="3" t="b">
        <f t="shared" si="53"/>
        <v>0</v>
      </c>
    </row>
    <row r="875" spans="14:25">
      <c r="N875" s="31" t="s">
        <v>336</v>
      </c>
      <c r="O875" s="31" t="s">
        <v>1228</v>
      </c>
      <c r="P875" s="31">
        <v>60</v>
      </c>
      <c r="Q875" s="31"/>
      <c r="R875" s="31" t="s">
        <v>364</v>
      </c>
      <c r="S875" s="32">
        <v>43444</v>
      </c>
      <c r="T875" s="31"/>
      <c r="U875" s="31" t="s">
        <v>4446</v>
      </c>
      <c r="V875" s="31" t="s">
        <v>6067</v>
      </c>
      <c r="W875" s="34"/>
      <c r="X875" s="3" t="b">
        <f t="shared" si="52"/>
        <v>0</v>
      </c>
      <c r="Y875" s="3" t="b">
        <f t="shared" si="53"/>
        <v>0</v>
      </c>
    </row>
    <row r="876" spans="14:25">
      <c r="N876" s="31" t="s">
        <v>203</v>
      </c>
      <c r="O876" s="31" t="s">
        <v>1228</v>
      </c>
      <c r="P876" s="31">
        <v>40</v>
      </c>
      <c r="Q876" s="31"/>
      <c r="R876" s="31" t="s">
        <v>364</v>
      </c>
      <c r="S876" s="32">
        <v>43446</v>
      </c>
      <c r="T876" s="31"/>
      <c r="U876" s="31" t="s">
        <v>4446</v>
      </c>
      <c r="V876" s="31" t="s">
        <v>6171</v>
      </c>
      <c r="W876" s="34"/>
      <c r="X876" s="3" t="b">
        <f t="shared" ref="X876:X939" si="54">IF(OR(Q876="Stock to Rack",Q876="From Stock"),-P876,IF(OR(Q876="Rack to Stock",Q876="To Stock"),P876))</f>
        <v>0</v>
      </c>
      <c r="Y876" s="3" t="b">
        <f t="shared" ref="Y876:Y939" si="55">IF(Q876="Rack to Stock",-P876,IF(Q876="Stock to Rack",P876))</f>
        <v>0</v>
      </c>
    </row>
    <row r="877" spans="14:25">
      <c r="N877" s="34"/>
      <c r="O877" s="34"/>
      <c r="P877" s="34"/>
      <c r="Q877" s="34"/>
      <c r="R877" s="34"/>
      <c r="S877" s="38"/>
      <c r="T877" s="38"/>
      <c r="U877" s="34"/>
      <c r="V877" s="255"/>
      <c r="W877" s="34"/>
      <c r="X877" s="3" t="b">
        <f t="shared" si="54"/>
        <v>0</v>
      </c>
      <c r="Y877" s="3" t="b">
        <f t="shared" si="55"/>
        <v>0</v>
      </c>
    </row>
    <row r="878" spans="14:25">
      <c r="N878" s="34"/>
      <c r="O878" s="34"/>
      <c r="P878" s="34"/>
      <c r="Q878" s="34"/>
      <c r="R878" s="34"/>
      <c r="S878" s="38"/>
      <c r="T878" s="38"/>
      <c r="U878" s="34"/>
      <c r="V878" s="255"/>
      <c r="W878" s="34"/>
      <c r="X878" s="3" t="b">
        <f t="shared" si="54"/>
        <v>0</v>
      </c>
      <c r="Y878" s="3" t="b">
        <f t="shared" si="55"/>
        <v>0</v>
      </c>
    </row>
    <row r="879" spans="14:25">
      <c r="N879" s="34"/>
      <c r="O879" s="34"/>
      <c r="P879" s="34"/>
      <c r="Q879" s="34"/>
      <c r="R879" s="34"/>
      <c r="S879" s="38"/>
      <c r="T879" s="38"/>
      <c r="U879" s="34"/>
      <c r="V879" s="255"/>
      <c r="W879" s="34"/>
      <c r="X879" s="3" t="b">
        <f t="shared" si="54"/>
        <v>0</v>
      </c>
      <c r="Y879" s="3" t="b">
        <f t="shared" si="55"/>
        <v>0</v>
      </c>
    </row>
    <row r="880" spans="14:25">
      <c r="N880" s="34"/>
      <c r="O880" s="34"/>
      <c r="P880" s="34"/>
      <c r="Q880" s="34"/>
      <c r="R880" s="34"/>
      <c r="S880" s="38"/>
      <c r="T880" s="38"/>
      <c r="U880" s="34"/>
      <c r="V880" s="255"/>
      <c r="W880" s="34"/>
      <c r="X880" s="3" t="b">
        <f t="shared" si="54"/>
        <v>0</v>
      </c>
      <c r="Y880" s="3" t="b">
        <f t="shared" si="55"/>
        <v>0</v>
      </c>
    </row>
    <row r="881" spans="14:25">
      <c r="N881" s="34"/>
      <c r="O881" s="34"/>
      <c r="P881" s="34"/>
      <c r="Q881" s="34"/>
      <c r="R881" s="34"/>
      <c r="S881" s="38"/>
      <c r="T881" s="38"/>
      <c r="U881" s="34"/>
      <c r="V881" s="255"/>
      <c r="W881" s="34"/>
      <c r="X881" s="3" t="b">
        <f t="shared" si="54"/>
        <v>0</v>
      </c>
      <c r="Y881" s="3" t="b">
        <f t="shared" si="55"/>
        <v>0</v>
      </c>
    </row>
    <row r="882" spans="14:25">
      <c r="N882" s="34"/>
      <c r="O882" s="34"/>
      <c r="P882" s="34"/>
      <c r="Q882" s="34"/>
      <c r="R882" s="34"/>
      <c r="S882" s="38"/>
      <c r="T882" s="38"/>
      <c r="U882" s="34"/>
      <c r="V882" s="255"/>
      <c r="W882" s="34"/>
      <c r="X882" s="3" t="b">
        <f t="shared" si="54"/>
        <v>0</v>
      </c>
      <c r="Y882" s="3" t="b">
        <f t="shared" si="55"/>
        <v>0</v>
      </c>
    </row>
    <row r="883" spans="14:25">
      <c r="N883" s="34"/>
      <c r="O883" s="34"/>
      <c r="P883" s="34"/>
      <c r="Q883" s="34"/>
      <c r="R883" s="34"/>
      <c r="S883" s="38"/>
      <c r="T883" s="38"/>
      <c r="U883" s="34"/>
      <c r="V883" s="255"/>
      <c r="W883" s="34"/>
      <c r="X883" s="3" t="b">
        <f t="shared" si="54"/>
        <v>0</v>
      </c>
      <c r="Y883" s="3" t="b">
        <f t="shared" si="55"/>
        <v>0</v>
      </c>
    </row>
    <row r="884" spans="14:25">
      <c r="N884" s="34"/>
      <c r="O884" s="34"/>
      <c r="P884" s="34"/>
      <c r="Q884" s="34"/>
      <c r="R884" s="34"/>
      <c r="S884" s="38"/>
      <c r="T884" s="38"/>
      <c r="U884" s="34"/>
      <c r="V884" s="255"/>
      <c r="W884" s="34"/>
      <c r="X884" s="3" t="b">
        <f t="shared" si="54"/>
        <v>0</v>
      </c>
      <c r="Y884" s="3" t="b">
        <f t="shared" si="55"/>
        <v>0</v>
      </c>
    </row>
    <row r="885" spans="14:25">
      <c r="N885" s="34"/>
      <c r="O885" s="34"/>
      <c r="P885" s="34"/>
      <c r="Q885" s="34"/>
      <c r="R885" s="34"/>
      <c r="S885" s="38"/>
      <c r="T885" s="38"/>
      <c r="U885" s="34"/>
      <c r="V885" s="255"/>
      <c r="W885" s="34"/>
      <c r="X885" s="3" t="b">
        <f t="shared" si="54"/>
        <v>0</v>
      </c>
      <c r="Y885" s="3" t="b">
        <f t="shared" si="55"/>
        <v>0</v>
      </c>
    </row>
    <row r="886" spans="14:25">
      <c r="N886" s="34"/>
      <c r="O886" s="34"/>
      <c r="P886" s="34"/>
      <c r="Q886" s="34"/>
      <c r="R886" s="34"/>
      <c r="S886" s="38"/>
      <c r="T886" s="38"/>
      <c r="U886" s="34"/>
      <c r="V886" s="255"/>
      <c r="W886" s="34"/>
      <c r="X886" s="3" t="b">
        <f t="shared" si="54"/>
        <v>0</v>
      </c>
      <c r="Y886" s="3" t="b">
        <f t="shared" si="55"/>
        <v>0</v>
      </c>
    </row>
    <row r="887" spans="14:25">
      <c r="N887" s="34"/>
      <c r="O887" s="34"/>
      <c r="P887" s="34"/>
      <c r="Q887" s="34"/>
      <c r="R887" s="34"/>
      <c r="S887" s="38"/>
      <c r="T887" s="38"/>
      <c r="U887" s="34"/>
      <c r="V887" s="255"/>
      <c r="W887" s="34"/>
      <c r="X887" s="3" t="b">
        <f t="shared" si="54"/>
        <v>0</v>
      </c>
      <c r="Y887" s="3" t="b">
        <f t="shared" si="55"/>
        <v>0</v>
      </c>
    </row>
    <row r="888" spans="14:25">
      <c r="N888" s="34"/>
      <c r="O888" s="34"/>
      <c r="P888" s="34"/>
      <c r="Q888" s="34"/>
      <c r="R888" s="34"/>
      <c r="S888" s="38"/>
      <c r="T888" s="38"/>
      <c r="U888" s="34"/>
      <c r="V888" s="255"/>
      <c r="W888" s="34"/>
      <c r="X888" s="3" t="b">
        <f t="shared" si="54"/>
        <v>0</v>
      </c>
      <c r="Y888" s="3" t="b">
        <f t="shared" si="55"/>
        <v>0</v>
      </c>
    </row>
    <row r="889" spans="14:25">
      <c r="N889" s="34"/>
      <c r="O889" s="34"/>
      <c r="P889" s="34"/>
      <c r="Q889" s="34"/>
      <c r="R889" s="34"/>
      <c r="S889" s="38"/>
      <c r="T889" s="38"/>
      <c r="U889" s="34"/>
      <c r="V889" s="255"/>
      <c r="W889" s="34"/>
      <c r="X889" s="3" t="b">
        <f t="shared" si="54"/>
        <v>0</v>
      </c>
      <c r="Y889" s="3" t="b">
        <f t="shared" si="55"/>
        <v>0</v>
      </c>
    </row>
    <row r="890" spans="14:25">
      <c r="N890" s="34"/>
      <c r="O890" s="34"/>
      <c r="P890" s="34"/>
      <c r="Q890" s="34"/>
      <c r="R890" s="34"/>
      <c r="S890" s="38"/>
      <c r="T890" s="38"/>
      <c r="U890" s="34"/>
      <c r="V890" s="255"/>
      <c r="W890" s="34"/>
      <c r="X890" s="3" t="b">
        <f t="shared" si="54"/>
        <v>0</v>
      </c>
      <c r="Y890" s="3" t="b">
        <f t="shared" si="55"/>
        <v>0</v>
      </c>
    </row>
    <row r="891" spans="14:25">
      <c r="N891" s="34"/>
      <c r="O891" s="34"/>
      <c r="P891" s="34"/>
      <c r="Q891" s="34"/>
      <c r="R891" s="34"/>
      <c r="S891" s="38"/>
      <c r="T891" s="38"/>
      <c r="U891" s="34"/>
      <c r="V891" s="255"/>
      <c r="W891" s="34"/>
      <c r="X891" s="3" t="b">
        <f t="shared" si="54"/>
        <v>0</v>
      </c>
      <c r="Y891" s="3" t="b">
        <f t="shared" si="55"/>
        <v>0</v>
      </c>
    </row>
    <row r="892" spans="14:25">
      <c r="N892" s="34"/>
      <c r="O892" s="34"/>
      <c r="P892" s="34"/>
      <c r="Q892" s="34"/>
      <c r="R892" s="34"/>
      <c r="S892" s="38"/>
      <c r="T892" s="38"/>
      <c r="U892" s="34"/>
      <c r="V892" s="255"/>
      <c r="W892" s="34"/>
      <c r="X892" s="3" t="b">
        <f t="shared" si="54"/>
        <v>0</v>
      </c>
      <c r="Y892" s="3" t="b">
        <f t="shared" si="55"/>
        <v>0</v>
      </c>
    </row>
    <row r="893" spans="14:25">
      <c r="N893" s="34"/>
      <c r="O893" s="34"/>
      <c r="P893" s="34"/>
      <c r="Q893" s="34"/>
      <c r="R893" s="34"/>
      <c r="S893" s="38"/>
      <c r="T893" s="38"/>
      <c r="U893" s="34"/>
      <c r="V893" s="255"/>
      <c r="W893" s="34"/>
      <c r="X893" s="3" t="b">
        <f t="shared" si="54"/>
        <v>0</v>
      </c>
      <c r="Y893" s="3" t="b">
        <f t="shared" si="55"/>
        <v>0</v>
      </c>
    </row>
    <row r="894" spans="14:25">
      <c r="N894" s="34"/>
      <c r="O894" s="34"/>
      <c r="P894" s="34"/>
      <c r="Q894" s="34"/>
      <c r="R894" s="34"/>
      <c r="S894" s="38"/>
      <c r="T894" s="38"/>
      <c r="U894" s="34"/>
      <c r="V894" s="255"/>
      <c r="W894" s="34"/>
      <c r="X894" s="3" t="b">
        <f t="shared" si="54"/>
        <v>0</v>
      </c>
      <c r="Y894" s="3" t="b">
        <f t="shared" si="55"/>
        <v>0</v>
      </c>
    </row>
    <row r="895" spans="14:25">
      <c r="N895" s="34"/>
      <c r="O895" s="34"/>
      <c r="P895" s="34"/>
      <c r="Q895" s="34"/>
      <c r="R895" s="34"/>
      <c r="S895" s="38"/>
      <c r="T895" s="38"/>
      <c r="U895" s="34"/>
      <c r="V895" s="255"/>
      <c r="W895" s="34"/>
      <c r="X895" s="3" t="b">
        <f t="shared" si="54"/>
        <v>0</v>
      </c>
      <c r="Y895" s="3" t="b">
        <f t="shared" si="55"/>
        <v>0</v>
      </c>
    </row>
    <row r="896" spans="14:25">
      <c r="N896" s="34"/>
      <c r="O896" s="34"/>
      <c r="P896" s="34"/>
      <c r="Q896" s="34"/>
      <c r="R896" s="34"/>
      <c r="S896" s="38"/>
      <c r="T896" s="38"/>
      <c r="U896" s="34"/>
      <c r="V896" s="255"/>
      <c r="W896" s="34"/>
      <c r="X896" s="3" t="b">
        <f t="shared" si="54"/>
        <v>0</v>
      </c>
      <c r="Y896" s="3" t="b">
        <f t="shared" si="55"/>
        <v>0</v>
      </c>
    </row>
    <row r="897" spans="14:25">
      <c r="N897" s="34"/>
      <c r="O897" s="34"/>
      <c r="P897" s="34"/>
      <c r="Q897" s="34"/>
      <c r="R897" s="34"/>
      <c r="S897" s="38"/>
      <c r="T897" s="38"/>
      <c r="U897" s="34"/>
      <c r="V897" s="255"/>
      <c r="W897" s="34"/>
      <c r="X897" s="3" t="b">
        <f t="shared" si="54"/>
        <v>0</v>
      </c>
      <c r="Y897" s="3" t="b">
        <f t="shared" si="55"/>
        <v>0</v>
      </c>
    </row>
    <row r="898" spans="14:25">
      <c r="N898" s="34"/>
      <c r="O898" s="34"/>
      <c r="P898" s="34"/>
      <c r="Q898" s="34"/>
      <c r="R898" s="34"/>
      <c r="S898" s="38"/>
      <c r="T898" s="38"/>
      <c r="U898" s="34"/>
      <c r="V898" s="255"/>
      <c r="W898" s="34"/>
      <c r="X898" s="3" t="b">
        <f t="shared" si="54"/>
        <v>0</v>
      </c>
      <c r="Y898" s="3" t="b">
        <f t="shared" si="55"/>
        <v>0</v>
      </c>
    </row>
    <row r="899" spans="14:25">
      <c r="N899" s="34"/>
      <c r="O899" s="34"/>
      <c r="P899" s="34"/>
      <c r="Q899" s="34"/>
      <c r="R899" s="34"/>
      <c r="S899" s="38"/>
      <c r="T899" s="38"/>
      <c r="U899" s="34"/>
      <c r="V899" s="255"/>
      <c r="W899" s="34"/>
      <c r="X899" s="3" t="b">
        <f t="shared" si="54"/>
        <v>0</v>
      </c>
      <c r="Y899" s="3" t="b">
        <f t="shared" si="55"/>
        <v>0</v>
      </c>
    </row>
    <row r="900" spans="14:25">
      <c r="N900" s="34"/>
      <c r="O900" s="34"/>
      <c r="P900" s="34"/>
      <c r="Q900" s="34"/>
      <c r="R900" s="34"/>
      <c r="S900" s="38"/>
      <c r="T900" s="38"/>
      <c r="U900" s="34"/>
      <c r="V900" s="255"/>
      <c r="W900" s="34"/>
      <c r="X900" s="3" t="b">
        <f t="shared" si="54"/>
        <v>0</v>
      </c>
      <c r="Y900" s="3" t="b">
        <f t="shared" si="55"/>
        <v>0</v>
      </c>
    </row>
    <row r="901" spans="14:25">
      <c r="N901" s="34"/>
      <c r="O901" s="34"/>
      <c r="P901" s="34"/>
      <c r="Q901" s="34"/>
      <c r="R901" s="34"/>
      <c r="S901" s="38"/>
      <c r="T901" s="38"/>
      <c r="U901" s="34"/>
      <c r="V901" s="255"/>
      <c r="W901" s="34"/>
      <c r="X901" s="3" t="b">
        <f t="shared" si="54"/>
        <v>0</v>
      </c>
      <c r="Y901" s="3" t="b">
        <f t="shared" si="55"/>
        <v>0</v>
      </c>
    </row>
    <row r="902" spans="14:25">
      <c r="N902" s="34"/>
      <c r="O902" s="34"/>
      <c r="P902" s="34"/>
      <c r="Q902" s="34"/>
      <c r="R902" s="34"/>
      <c r="S902" s="38"/>
      <c r="T902" s="38"/>
      <c r="U902" s="34"/>
      <c r="V902" s="255"/>
      <c r="W902" s="34"/>
      <c r="X902" s="3" t="b">
        <f t="shared" si="54"/>
        <v>0</v>
      </c>
      <c r="Y902" s="3" t="b">
        <f t="shared" si="55"/>
        <v>0</v>
      </c>
    </row>
    <row r="903" spans="14:25">
      <c r="N903" s="34"/>
      <c r="O903" s="34"/>
      <c r="P903" s="34"/>
      <c r="Q903" s="34"/>
      <c r="R903" s="34"/>
      <c r="S903" s="38"/>
      <c r="T903" s="38"/>
      <c r="U903" s="34"/>
      <c r="V903" s="255"/>
      <c r="W903" s="34"/>
      <c r="X903" s="3" t="b">
        <f t="shared" si="54"/>
        <v>0</v>
      </c>
      <c r="Y903" s="3" t="b">
        <f t="shared" si="55"/>
        <v>0</v>
      </c>
    </row>
    <row r="904" spans="14:25">
      <c r="N904" s="34"/>
      <c r="O904" s="34"/>
      <c r="P904" s="34"/>
      <c r="Q904" s="34"/>
      <c r="R904" s="34"/>
      <c r="S904" s="38"/>
      <c r="T904" s="38"/>
      <c r="U904" s="34"/>
      <c r="V904" s="255"/>
      <c r="W904" s="34"/>
      <c r="X904" s="3" t="b">
        <f t="shared" si="54"/>
        <v>0</v>
      </c>
      <c r="Y904" s="3" t="b">
        <f t="shared" si="55"/>
        <v>0</v>
      </c>
    </row>
    <row r="905" spans="14:25">
      <c r="N905" s="34"/>
      <c r="O905" s="34"/>
      <c r="P905" s="34"/>
      <c r="Q905" s="34"/>
      <c r="R905" s="34"/>
      <c r="S905" s="38"/>
      <c r="T905" s="38"/>
      <c r="U905" s="34"/>
      <c r="V905" s="255"/>
      <c r="W905" s="34"/>
      <c r="X905" s="3" t="b">
        <f t="shared" si="54"/>
        <v>0</v>
      </c>
      <c r="Y905" s="3" t="b">
        <f t="shared" si="55"/>
        <v>0</v>
      </c>
    </row>
    <row r="906" spans="14:25">
      <c r="N906" s="34"/>
      <c r="O906" s="34"/>
      <c r="P906" s="34"/>
      <c r="Q906" s="34"/>
      <c r="R906" s="34"/>
      <c r="S906" s="38"/>
      <c r="T906" s="38"/>
      <c r="U906" s="34"/>
      <c r="V906" s="255"/>
      <c r="W906" s="34"/>
      <c r="X906" s="3" t="b">
        <f t="shared" si="54"/>
        <v>0</v>
      </c>
      <c r="Y906" s="3" t="b">
        <f t="shared" si="55"/>
        <v>0</v>
      </c>
    </row>
    <row r="907" spans="14:25">
      <c r="N907" s="34"/>
      <c r="O907" s="34"/>
      <c r="P907" s="34"/>
      <c r="Q907" s="34"/>
      <c r="R907" s="34"/>
      <c r="S907" s="38"/>
      <c r="T907" s="38"/>
      <c r="U907" s="34"/>
      <c r="V907" s="255"/>
      <c r="W907" s="34"/>
      <c r="X907" s="3" t="b">
        <f t="shared" si="54"/>
        <v>0</v>
      </c>
      <c r="Y907" s="3" t="b">
        <f t="shared" si="55"/>
        <v>0</v>
      </c>
    </row>
    <row r="908" spans="14:25">
      <c r="N908" s="34"/>
      <c r="O908" s="34"/>
      <c r="P908" s="34"/>
      <c r="Q908" s="34"/>
      <c r="R908" s="34"/>
      <c r="S908" s="38"/>
      <c r="T908" s="38"/>
      <c r="U908" s="34"/>
      <c r="V908" s="255"/>
      <c r="W908" s="34"/>
      <c r="X908" s="3" t="b">
        <f t="shared" si="54"/>
        <v>0</v>
      </c>
      <c r="Y908" s="3" t="b">
        <f t="shared" si="55"/>
        <v>0</v>
      </c>
    </row>
    <row r="909" spans="14:25">
      <c r="N909" s="34"/>
      <c r="O909" s="34"/>
      <c r="P909" s="34"/>
      <c r="Q909" s="34"/>
      <c r="R909" s="34"/>
      <c r="S909" s="38"/>
      <c r="T909" s="38"/>
      <c r="U909" s="34"/>
      <c r="V909" s="255"/>
      <c r="W909" s="34"/>
      <c r="X909" s="3" t="b">
        <f t="shared" si="54"/>
        <v>0</v>
      </c>
      <c r="Y909" s="3" t="b">
        <f t="shared" si="55"/>
        <v>0</v>
      </c>
    </row>
    <row r="910" spans="14:25">
      <c r="N910" s="34"/>
      <c r="O910" s="34"/>
      <c r="P910" s="34"/>
      <c r="Q910" s="34"/>
      <c r="R910" s="34"/>
      <c r="S910" s="38"/>
      <c r="T910" s="38"/>
      <c r="U910" s="34"/>
      <c r="V910" s="255"/>
      <c r="W910" s="34"/>
      <c r="X910" s="3" t="b">
        <f t="shared" si="54"/>
        <v>0</v>
      </c>
      <c r="Y910" s="3" t="b">
        <f t="shared" si="55"/>
        <v>0</v>
      </c>
    </row>
    <row r="911" spans="14:25">
      <c r="N911" s="34"/>
      <c r="O911" s="34"/>
      <c r="P911" s="34"/>
      <c r="Q911" s="34"/>
      <c r="R911" s="34"/>
      <c r="S911" s="38"/>
      <c r="T911" s="38"/>
      <c r="U911" s="34"/>
      <c r="V911" s="255"/>
      <c r="W911" s="34"/>
      <c r="X911" s="3" t="b">
        <f t="shared" si="54"/>
        <v>0</v>
      </c>
      <c r="Y911" s="3" t="b">
        <f t="shared" si="55"/>
        <v>0</v>
      </c>
    </row>
    <row r="912" spans="14:25">
      <c r="N912" s="34"/>
      <c r="O912" s="34"/>
      <c r="P912" s="34"/>
      <c r="Q912" s="34"/>
      <c r="R912" s="34"/>
      <c r="S912" s="38"/>
      <c r="T912" s="38"/>
      <c r="U912" s="34"/>
      <c r="V912" s="255"/>
      <c r="W912" s="34"/>
      <c r="X912" s="3" t="b">
        <f t="shared" si="54"/>
        <v>0</v>
      </c>
      <c r="Y912" s="3" t="b">
        <f t="shared" si="55"/>
        <v>0</v>
      </c>
    </row>
    <row r="913" spans="14:25">
      <c r="N913" s="34"/>
      <c r="O913" s="34"/>
      <c r="P913" s="34"/>
      <c r="Q913" s="34"/>
      <c r="R913" s="34"/>
      <c r="S913" s="38"/>
      <c r="T913" s="38"/>
      <c r="U913" s="34"/>
      <c r="V913" s="255"/>
      <c r="W913" s="34"/>
      <c r="X913" s="3" t="b">
        <f t="shared" si="54"/>
        <v>0</v>
      </c>
      <c r="Y913" s="3" t="b">
        <f t="shared" si="55"/>
        <v>0</v>
      </c>
    </row>
    <row r="914" spans="14:25">
      <c r="N914" s="34"/>
      <c r="O914" s="34"/>
      <c r="P914" s="34"/>
      <c r="Q914" s="34"/>
      <c r="R914" s="34"/>
      <c r="S914" s="38"/>
      <c r="T914" s="38"/>
      <c r="U914" s="34"/>
      <c r="V914" s="255"/>
      <c r="W914" s="34"/>
      <c r="X914" s="3" t="b">
        <f t="shared" si="54"/>
        <v>0</v>
      </c>
      <c r="Y914" s="3" t="b">
        <f t="shared" si="55"/>
        <v>0</v>
      </c>
    </row>
    <row r="915" spans="14:25">
      <c r="N915" s="34"/>
      <c r="O915" s="34"/>
      <c r="P915" s="34"/>
      <c r="Q915" s="34"/>
      <c r="R915" s="34"/>
      <c r="S915" s="38"/>
      <c r="T915" s="38"/>
      <c r="U915" s="34"/>
      <c r="V915" s="255"/>
      <c r="W915" s="34"/>
      <c r="X915" s="3" t="b">
        <f t="shared" si="54"/>
        <v>0</v>
      </c>
      <c r="Y915" s="3" t="b">
        <f t="shared" si="55"/>
        <v>0</v>
      </c>
    </row>
    <row r="916" spans="14:25">
      <c r="N916" s="34"/>
      <c r="O916" s="34"/>
      <c r="P916" s="34"/>
      <c r="Q916" s="34"/>
      <c r="R916" s="34"/>
      <c r="S916" s="38"/>
      <c r="T916" s="38"/>
      <c r="U916" s="34"/>
      <c r="V916" s="255"/>
      <c r="W916" s="34"/>
      <c r="X916" s="3" t="b">
        <f t="shared" si="54"/>
        <v>0</v>
      </c>
      <c r="Y916" s="3" t="b">
        <f t="shared" si="55"/>
        <v>0</v>
      </c>
    </row>
    <row r="917" spans="14:25">
      <c r="N917" s="34"/>
      <c r="O917" s="34"/>
      <c r="P917" s="34"/>
      <c r="Q917" s="34"/>
      <c r="R917" s="34"/>
      <c r="S917" s="38"/>
      <c r="T917" s="38"/>
      <c r="U917" s="34"/>
      <c r="V917" s="255"/>
      <c r="W917" s="34"/>
      <c r="X917" s="3" t="b">
        <f t="shared" si="54"/>
        <v>0</v>
      </c>
      <c r="Y917" s="3" t="b">
        <f t="shared" si="55"/>
        <v>0</v>
      </c>
    </row>
    <row r="918" spans="14:25">
      <c r="N918" s="34"/>
      <c r="O918" s="34"/>
      <c r="P918" s="34"/>
      <c r="Q918" s="34"/>
      <c r="R918" s="34"/>
      <c r="S918" s="38"/>
      <c r="T918" s="38"/>
      <c r="U918" s="34"/>
      <c r="V918" s="255"/>
      <c r="W918" s="34"/>
      <c r="X918" s="3" t="b">
        <f t="shared" si="54"/>
        <v>0</v>
      </c>
      <c r="Y918" s="3" t="b">
        <f t="shared" si="55"/>
        <v>0</v>
      </c>
    </row>
    <row r="919" spans="14:25">
      <c r="N919" s="34"/>
      <c r="O919" s="34"/>
      <c r="P919" s="34"/>
      <c r="Q919" s="34"/>
      <c r="R919" s="34"/>
      <c r="S919" s="38"/>
      <c r="T919" s="38"/>
      <c r="U919" s="34"/>
      <c r="V919" s="255"/>
      <c r="W919" s="34"/>
      <c r="X919" s="3" t="b">
        <f t="shared" si="54"/>
        <v>0</v>
      </c>
      <c r="Y919" s="3" t="b">
        <f t="shared" si="55"/>
        <v>0</v>
      </c>
    </row>
    <row r="920" spans="14:25">
      <c r="N920" s="34"/>
      <c r="O920" s="34"/>
      <c r="P920" s="34"/>
      <c r="Q920" s="34"/>
      <c r="R920" s="34"/>
      <c r="S920" s="38"/>
      <c r="T920" s="38"/>
      <c r="U920" s="34"/>
      <c r="V920" s="255"/>
      <c r="W920" s="34"/>
      <c r="X920" s="3" t="b">
        <f t="shared" si="54"/>
        <v>0</v>
      </c>
      <c r="Y920" s="3" t="b">
        <f t="shared" si="55"/>
        <v>0</v>
      </c>
    </row>
    <row r="921" spans="14:25">
      <c r="N921" s="34"/>
      <c r="O921" s="34"/>
      <c r="P921" s="34"/>
      <c r="Q921" s="34"/>
      <c r="R921" s="34"/>
      <c r="S921" s="38"/>
      <c r="T921" s="38"/>
      <c r="U921" s="34"/>
      <c r="V921" s="255"/>
      <c r="W921" s="34"/>
      <c r="X921" s="3" t="b">
        <f t="shared" si="54"/>
        <v>0</v>
      </c>
      <c r="Y921" s="3" t="b">
        <f t="shared" si="55"/>
        <v>0</v>
      </c>
    </row>
    <row r="922" spans="14:25">
      <c r="N922" s="34"/>
      <c r="O922" s="34"/>
      <c r="P922" s="34"/>
      <c r="Q922" s="34"/>
      <c r="R922" s="34"/>
      <c r="S922" s="38"/>
      <c r="T922" s="38"/>
      <c r="U922" s="34"/>
      <c r="V922" s="255"/>
      <c r="W922" s="34"/>
      <c r="X922" s="3" t="b">
        <f t="shared" si="54"/>
        <v>0</v>
      </c>
      <c r="Y922" s="3" t="b">
        <f t="shared" si="55"/>
        <v>0</v>
      </c>
    </row>
    <row r="923" spans="14:25">
      <c r="N923" s="34"/>
      <c r="O923" s="34"/>
      <c r="P923" s="34"/>
      <c r="Q923" s="34"/>
      <c r="R923" s="34"/>
      <c r="S923" s="38"/>
      <c r="T923" s="38"/>
      <c r="U923" s="34"/>
      <c r="V923" s="255"/>
      <c r="W923" s="34"/>
      <c r="X923" s="3" t="b">
        <f t="shared" si="54"/>
        <v>0</v>
      </c>
      <c r="Y923" s="3" t="b">
        <f t="shared" si="55"/>
        <v>0</v>
      </c>
    </row>
    <row r="924" spans="14:25">
      <c r="N924" s="34"/>
      <c r="O924" s="34"/>
      <c r="P924" s="34"/>
      <c r="Q924" s="34"/>
      <c r="R924" s="34"/>
      <c r="S924" s="38"/>
      <c r="T924" s="38"/>
      <c r="U924" s="34"/>
      <c r="V924" s="255"/>
      <c r="W924" s="34"/>
      <c r="X924" s="3" t="b">
        <f t="shared" si="54"/>
        <v>0</v>
      </c>
      <c r="Y924" s="3" t="b">
        <f t="shared" si="55"/>
        <v>0</v>
      </c>
    </row>
    <row r="925" spans="14:25">
      <c r="N925" s="34"/>
      <c r="O925" s="34"/>
      <c r="P925" s="34"/>
      <c r="Q925" s="34"/>
      <c r="R925" s="34"/>
      <c r="S925" s="38"/>
      <c r="T925" s="38"/>
      <c r="U925" s="34"/>
      <c r="V925" s="255"/>
      <c r="W925" s="34"/>
      <c r="X925" s="3" t="b">
        <f t="shared" si="54"/>
        <v>0</v>
      </c>
      <c r="Y925" s="3" t="b">
        <f t="shared" si="55"/>
        <v>0</v>
      </c>
    </row>
    <row r="926" spans="14:25">
      <c r="N926" s="34"/>
      <c r="O926" s="34"/>
      <c r="P926" s="34"/>
      <c r="Q926" s="34"/>
      <c r="R926" s="34"/>
      <c r="S926" s="38"/>
      <c r="T926" s="38"/>
      <c r="U926" s="34"/>
      <c r="V926" s="255"/>
      <c r="W926" s="34"/>
      <c r="X926" s="3" t="b">
        <f t="shared" si="54"/>
        <v>0</v>
      </c>
      <c r="Y926" s="3" t="b">
        <f t="shared" si="55"/>
        <v>0</v>
      </c>
    </row>
    <row r="927" spans="14:25">
      <c r="N927" s="34"/>
      <c r="O927" s="34"/>
      <c r="P927" s="34"/>
      <c r="Q927" s="34"/>
      <c r="R927" s="34"/>
      <c r="S927" s="38"/>
      <c r="T927" s="38"/>
      <c r="U927" s="34"/>
      <c r="V927" s="255"/>
      <c r="W927" s="34"/>
      <c r="X927" s="3" t="b">
        <f t="shared" si="54"/>
        <v>0</v>
      </c>
      <c r="Y927" s="3" t="b">
        <f t="shared" si="55"/>
        <v>0</v>
      </c>
    </row>
    <row r="928" spans="14:25">
      <c r="N928" s="34"/>
      <c r="O928" s="34"/>
      <c r="P928" s="34"/>
      <c r="Q928" s="34"/>
      <c r="R928" s="34"/>
      <c r="S928" s="38"/>
      <c r="T928" s="38"/>
      <c r="U928" s="34"/>
      <c r="V928" s="255"/>
      <c r="W928" s="34"/>
      <c r="X928" s="3" t="b">
        <f t="shared" si="54"/>
        <v>0</v>
      </c>
      <c r="Y928" s="3" t="b">
        <f t="shared" si="55"/>
        <v>0</v>
      </c>
    </row>
    <row r="929" spans="14:25">
      <c r="N929" s="34"/>
      <c r="O929" s="34"/>
      <c r="P929" s="34"/>
      <c r="Q929" s="34"/>
      <c r="R929" s="34"/>
      <c r="S929" s="38"/>
      <c r="T929" s="38"/>
      <c r="U929" s="34"/>
      <c r="V929" s="255"/>
      <c r="W929" s="34"/>
      <c r="X929" s="3" t="b">
        <f t="shared" si="54"/>
        <v>0</v>
      </c>
      <c r="Y929" s="3" t="b">
        <f t="shared" si="55"/>
        <v>0</v>
      </c>
    </row>
    <row r="930" spans="14:25">
      <c r="N930" s="34"/>
      <c r="O930" s="34"/>
      <c r="P930" s="34"/>
      <c r="Q930" s="34"/>
      <c r="R930" s="34"/>
      <c r="S930" s="38"/>
      <c r="T930" s="38"/>
      <c r="U930" s="34"/>
      <c r="V930" s="255"/>
      <c r="W930" s="34"/>
      <c r="X930" s="3" t="b">
        <f t="shared" si="54"/>
        <v>0</v>
      </c>
      <c r="Y930" s="3" t="b">
        <f t="shared" si="55"/>
        <v>0</v>
      </c>
    </row>
    <row r="931" spans="14:25">
      <c r="N931" s="34"/>
      <c r="O931" s="34"/>
      <c r="P931" s="34"/>
      <c r="Q931" s="34"/>
      <c r="R931" s="34"/>
      <c r="S931" s="38"/>
      <c r="T931" s="38"/>
      <c r="U931" s="34"/>
      <c r="V931" s="255"/>
      <c r="W931" s="34"/>
      <c r="X931" s="3" t="b">
        <f t="shared" si="54"/>
        <v>0</v>
      </c>
      <c r="Y931" s="3" t="b">
        <f t="shared" si="55"/>
        <v>0</v>
      </c>
    </row>
    <row r="932" spans="14:25">
      <c r="N932" s="34"/>
      <c r="O932" s="34"/>
      <c r="P932" s="34"/>
      <c r="Q932" s="34"/>
      <c r="R932" s="34"/>
      <c r="S932" s="38"/>
      <c r="T932" s="38"/>
      <c r="U932" s="34"/>
      <c r="V932" s="255"/>
      <c r="W932" s="34"/>
      <c r="X932" s="3" t="b">
        <f t="shared" si="54"/>
        <v>0</v>
      </c>
      <c r="Y932" s="3" t="b">
        <f t="shared" si="55"/>
        <v>0</v>
      </c>
    </row>
    <row r="933" spans="14:25">
      <c r="N933" s="34"/>
      <c r="O933" s="34"/>
      <c r="P933" s="34"/>
      <c r="Q933" s="34"/>
      <c r="R933" s="34"/>
      <c r="S933" s="38"/>
      <c r="T933" s="38"/>
      <c r="U933" s="34"/>
      <c r="V933" s="255"/>
      <c r="W933" s="34"/>
      <c r="X933" s="3" t="b">
        <f t="shared" si="54"/>
        <v>0</v>
      </c>
      <c r="Y933" s="3" t="b">
        <f t="shared" si="55"/>
        <v>0</v>
      </c>
    </row>
    <row r="934" spans="14:25">
      <c r="N934" s="34"/>
      <c r="O934" s="34"/>
      <c r="P934" s="34"/>
      <c r="Q934" s="34"/>
      <c r="R934" s="34"/>
      <c r="S934" s="38"/>
      <c r="T934" s="38"/>
      <c r="U934" s="34"/>
      <c r="V934" s="255"/>
      <c r="W934" s="34"/>
      <c r="X934" s="3" t="b">
        <f t="shared" si="54"/>
        <v>0</v>
      </c>
      <c r="Y934" s="3" t="b">
        <f t="shared" si="55"/>
        <v>0</v>
      </c>
    </row>
    <row r="935" spans="14:25">
      <c r="N935" s="34"/>
      <c r="O935" s="34"/>
      <c r="P935" s="34"/>
      <c r="Q935" s="34"/>
      <c r="R935" s="34"/>
      <c r="S935" s="38"/>
      <c r="T935" s="38"/>
      <c r="U935" s="34"/>
      <c r="V935" s="255"/>
      <c r="W935" s="34"/>
      <c r="X935" s="3" t="b">
        <f t="shared" si="54"/>
        <v>0</v>
      </c>
      <c r="Y935" s="3" t="b">
        <f t="shared" si="55"/>
        <v>0</v>
      </c>
    </row>
    <row r="936" spans="14:25">
      <c r="N936" s="34"/>
      <c r="O936" s="34"/>
      <c r="P936" s="34"/>
      <c r="Q936" s="34"/>
      <c r="R936" s="34"/>
      <c r="S936" s="38"/>
      <c r="T936" s="38"/>
      <c r="U936" s="34"/>
      <c r="V936" s="255"/>
      <c r="W936" s="34"/>
      <c r="X936" s="3" t="b">
        <f t="shared" si="54"/>
        <v>0</v>
      </c>
      <c r="Y936" s="3" t="b">
        <f t="shared" si="55"/>
        <v>0</v>
      </c>
    </row>
    <row r="937" spans="14:25">
      <c r="N937" s="34"/>
      <c r="O937" s="34"/>
      <c r="P937" s="34"/>
      <c r="Q937" s="34"/>
      <c r="R937" s="34"/>
      <c r="S937" s="38"/>
      <c r="T937" s="38"/>
      <c r="U937" s="34"/>
      <c r="V937" s="255"/>
      <c r="W937" s="34"/>
      <c r="X937" s="3" t="b">
        <f t="shared" si="54"/>
        <v>0</v>
      </c>
      <c r="Y937" s="3" t="b">
        <f t="shared" si="55"/>
        <v>0</v>
      </c>
    </row>
    <row r="938" spans="14:25">
      <c r="N938" s="34"/>
      <c r="O938" s="34"/>
      <c r="P938" s="34"/>
      <c r="Q938" s="34"/>
      <c r="R938" s="34"/>
      <c r="S938" s="38"/>
      <c r="T938" s="38"/>
      <c r="U938" s="34"/>
      <c r="V938" s="255"/>
      <c r="W938" s="34"/>
      <c r="X938" s="3" t="b">
        <f t="shared" si="54"/>
        <v>0</v>
      </c>
      <c r="Y938" s="3" t="b">
        <f t="shared" si="55"/>
        <v>0</v>
      </c>
    </row>
    <row r="939" spans="14:25">
      <c r="N939" s="34"/>
      <c r="O939" s="34"/>
      <c r="P939" s="34"/>
      <c r="Q939" s="34"/>
      <c r="R939" s="34"/>
      <c r="S939" s="38"/>
      <c r="T939" s="38"/>
      <c r="U939" s="34"/>
      <c r="V939" s="255"/>
      <c r="W939" s="34"/>
      <c r="X939" s="3" t="b">
        <f t="shared" si="54"/>
        <v>0</v>
      </c>
      <c r="Y939" s="3" t="b">
        <f t="shared" si="55"/>
        <v>0</v>
      </c>
    </row>
    <row r="940" spans="14:25">
      <c r="N940" s="34"/>
      <c r="O940" s="34"/>
      <c r="P940" s="34"/>
      <c r="Q940" s="34"/>
      <c r="R940" s="34"/>
      <c r="S940" s="38"/>
      <c r="T940" s="38"/>
      <c r="U940" s="34"/>
      <c r="V940" s="255"/>
      <c r="W940" s="34"/>
      <c r="X940" s="3" t="b">
        <f t="shared" ref="X940:X1003" si="56">IF(OR(Q940="Stock to Rack",Q940="From Stock"),-P940,IF(OR(Q940="Rack to Stock",Q940="To Stock"),P940))</f>
        <v>0</v>
      </c>
      <c r="Y940" s="3" t="b">
        <f t="shared" ref="Y940:Y1003" si="57">IF(Q940="Rack to Stock",-P940,IF(Q940="Stock to Rack",P940))</f>
        <v>0</v>
      </c>
    </row>
    <row r="941" spans="14:25">
      <c r="N941" s="34"/>
      <c r="O941" s="34"/>
      <c r="P941" s="34"/>
      <c r="Q941" s="34"/>
      <c r="R941" s="34"/>
      <c r="S941" s="38"/>
      <c r="T941" s="38"/>
      <c r="U941" s="34"/>
      <c r="V941" s="255"/>
      <c r="W941" s="34"/>
      <c r="X941" s="3" t="b">
        <f t="shared" si="56"/>
        <v>0</v>
      </c>
      <c r="Y941" s="3" t="b">
        <f t="shared" si="57"/>
        <v>0</v>
      </c>
    </row>
    <row r="942" spans="14:25">
      <c r="N942" s="34"/>
      <c r="O942" s="34"/>
      <c r="P942" s="34"/>
      <c r="Q942" s="34"/>
      <c r="R942" s="34"/>
      <c r="S942" s="38"/>
      <c r="T942" s="38"/>
      <c r="U942" s="34"/>
      <c r="V942" s="255"/>
      <c r="W942" s="34"/>
      <c r="X942" s="3" t="b">
        <f t="shared" si="56"/>
        <v>0</v>
      </c>
      <c r="Y942" s="3" t="b">
        <f t="shared" si="57"/>
        <v>0</v>
      </c>
    </row>
    <row r="943" spans="14:25">
      <c r="N943" s="34"/>
      <c r="O943" s="34"/>
      <c r="P943" s="34"/>
      <c r="Q943" s="34"/>
      <c r="R943" s="34"/>
      <c r="S943" s="38"/>
      <c r="T943" s="38"/>
      <c r="U943" s="34"/>
      <c r="V943" s="255"/>
      <c r="W943" s="34"/>
      <c r="X943" s="3" t="b">
        <f t="shared" si="56"/>
        <v>0</v>
      </c>
      <c r="Y943" s="3" t="b">
        <f t="shared" si="57"/>
        <v>0</v>
      </c>
    </row>
    <row r="944" spans="14:25">
      <c r="N944" s="34"/>
      <c r="O944" s="34"/>
      <c r="P944" s="34"/>
      <c r="Q944" s="34"/>
      <c r="R944" s="34"/>
      <c r="S944" s="38"/>
      <c r="T944" s="38"/>
      <c r="U944" s="34"/>
      <c r="V944" s="255"/>
      <c r="W944" s="34"/>
      <c r="X944" s="3" t="b">
        <f t="shared" si="56"/>
        <v>0</v>
      </c>
      <c r="Y944" s="3" t="b">
        <f t="shared" si="57"/>
        <v>0</v>
      </c>
    </row>
    <row r="945" spans="14:25">
      <c r="N945" s="34"/>
      <c r="O945" s="34"/>
      <c r="P945" s="34"/>
      <c r="Q945" s="34"/>
      <c r="R945" s="34"/>
      <c r="S945" s="38"/>
      <c r="T945" s="38"/>
      <c r="U945" s="34"/>
      <c r="V945" s="255"/>
      <c r="W945" s="34"/>
      <c r="X945" s="3" t="b">
        <f t="shared" si="56"/>
        <v>0</v>
      </c>
      <c r="Y945" s="3" t="b">
        <f t="shared" si="57"/>
        <v>0</v>
      </c>
    </row>
    <row r="946" spans="14:25">
      <c r="N946" s="34"/>
      <c r="O946" s="34"/>
      <c r="P946" s="34"/>
      <c r="Q946" s="34"/>
      <c r="R946" s="34"/>
      <c r="S946" s="38"/>
      <c r="T946" s="38"/>
      <c r="U946" s="34"/>
      <c r="V946" s="255"/>
      <c r="W946" s="34"/>
      <c r="X946" s="3" t="b">
        <f t="shared" si="56"/>
        <v>0</v>
      </c>
      <c r="Y946" s="3" t="b">
        <f t="shared" si="57"/>
        <v>0</v>
      </c>
    </row>
    <row r="947" spans="14:25">
      <c r="N947" s="34"/>
      <c r="O947" s="34"/>
      <c r="P947" s="34"/>
      <c r="Q947" s="34"/>
      <c r="R947" s="34"/>
      <c r="S947" s="38"/>
      <c r="T947" s="38"/>
      <c r="U947" s="34"/>
      <c r="V947" s="255"/>
      <c r="W947" s="34"/>
      <c r="X947" s="3" t="b">
        <f t="shared" si="56"/>
        <v>0</v>
      </c>
      <c r="Y947" s="3" t="b">
        <f t="shared" si="57"/>
        <v>0</v>
      </c>
    </row>
    <row r="948" spans="14:25">
      <c r="N948" s="34"/>
      <c r="O948" s="34"/>
      <c r="P948" s="34"/>
      <c r="Q948" s="34"/>
      <c r="R948" s="34"/>
      <c r="S948" s="38"/>
      <c r="T948" s="38"/>
      <c r="U948" s="34"/>
      <c r="V948" s="255"/>
      <c r="W948" s="34"/>
      <c r="X948" s="3" t="b">
        <f t="shared" si="56"/>
        <v>0</v>
      </c>
      <c r="Y948" s="3" t="b">
        <f t="shared" si="57"/>
        <v>0</v>
      </c>
    </row>
    <row r="949" spans="14:25">
      <c r="N949" s="34"/>
      <c r="O949" s="34"/>
      <c r="P949" s="34"/>
      <c r="Q949" s="34"/>
      <c r="R949" s="34"/>
      <c r="S949" s="38"/>
      <c r="T949" s="38"/>
      <c r="U949" s="34"/>
      <c r="V949" s="255"/>
      <c r="W949" s="34"/>
      <c r="X949" s="3" t="b">
        <f t="shared" si="56"/>
        <v>0</v>
      </c>
      <c r="Y949" s="3" t="b">
        <f t="shared" si="57"/>
        <v>0</v>
      </c>
    </row>
    <row r="950" spans="14:25">
      <c r="N950" s="34"/>
      <c r="O950" s="34"/>
      <c r="P950" s="34"/>
      <c r="Q950" s="34"/>
      <c r="R950" s="34"/>
      <c r="S950" s="38"/>
      <c r="T950" s="38"/>
      <c r="U950" s="34"/>
      <c r="V950" s="255"/>
      <c r="W950" s="34"/>
      <c r="X950" s="3" t="b">
        <f t="shared" si="56"/>
        <v>0</v>
      </c>
      <c r="Y950" s="3" t="b">
        <f t="shared" si="57"/>
        <v>0</v>
      </c>
    </row>
    <row r="951" spans="14:25">
      <c r="N951" s="34"/>
      <c r="O951" s="34"/>
      <c r="P951" s="34"/>
      <c r="Q951" s="34"/>
      <c r="R951" s="34"/>
      <c r="S951" s="38"/>
      <c r="T951" s="38"/>
      <c r="U951" s="34"/>
      <c r="V951" s="255"/>
      <c r="W951" s="34"/>
      <c r="X951" s="3" t="b">
        <f t="shared" si="56"/>
        <v>0</v>
      </c>
      <c r="Y951" s="3" t="b">
        <f t="shared" si="57"/>
        <v>0</v>
      </c>
    </row>
    <row r="952" spans="14:25">
      <c r="N952" s="34"/>
      <c r="O952" s="34"/>
      <c r="P952" s="34"/>
      <c r="Q952" s="34"/>
      <c r="R952" s="34"/>
      <c r="S952" s="38"/>
      <c r="T952" s="38"/>
      <c r="U952" s="34"/>
      <c r="V952" s="255"/>
      <c r="W952" s="34"/>
      <c r="X952" s="3" t="b">
        <f t="shared" si="56"/>
        <v>0</v>
      </c>
      <c r="Y952" s="3" t="b">
        <f t="shared" si="57"/>
        <v>0</v>
      </c>
    </row>
    <row r="953" spans="14:25">
      <c r="N953" s="34"/>
      <c r="O953" s="34"/>
      <c r="P953" s="34"/>
      <c r="Q953" s="34"/>
      <c r="R953" s="34"/>
      <c r="S953" s="38"/>
      <c r="T953" s="38"/>
      <c r="U953" s="34"/>
      <c r="V953" s="255"/>
      <c r="W953" s="34"/>
      <c r="X953" s="3" t="b">
        <f t="shared" si="56"/>
        <v>0</v>
      </c>
      <c r="Y953" s="3" t="b">
        <f t="shared" si="57"/>
        <v>0</v>
      </c>
    </row>
    <row r="954" spans="14:25">
      <c r="N954" s="34"/>
      <c r="O954" s="34"/>
      <c r="P954" s="34"/>
      <c r="Q954" s="34"/>
      <c r="R954" s="34"/>
      <c r="S954" s="38"/>
      <c r="T954" s="38"/>
      <c r="U954" s="34"/>
      <c r="V954" s="255"/>
      <c r="W954" s="34"/>
      <c r="X954" s="3" t="b">
        <f t="shared" si="56"/>
        <v>0</v>
      </c>
      <c r="Y954" s="3" t="b">
        <f t="shared" si="57"/>
        <v>0</v>
      </c>
    </row>
    <row r="955" spans="14:25">
      <c r="N955" s="34"/>
      <c r="O955" s="34"/>
      <c r="P955" s="34"/>
      <c r="Q955" s="34"/>
      <c r="R955" s="34"/>
      <c r="S955" s="38"/>
      <c r="T955" s="38"/>
      <c r="U955" s="34"/>
      <c r="V955" s="255"/>
      <c r="W955" s="34"/>
      <c r="X955" s="3" t="b">
        <f t="shared" si="56"/>
        <v>0</v>
      </c>
      <c r="Y955" s="3" t="b">
        <f t="shared" si="57"/>
        <v>0</v>
      </c>
    </row>
    <row r="956" spans="14:25">
      <c r="N956" s="34"/>
      <c r="O956" s="34"/>
      <c r="P956" s="34"/>
      <c r="Q956" s="34"/>
      <c r="R956" s="34"/>
      <c r="S956" s="38"/>
      <c r="T956" s="38"/>
      <c r="U956" s="34"/>
      <c r="V956" s="255"/>
      <c r="W956" s="34"/>
      <c r="X956" s="3" t="b">
        <f t="shared" si="56"/>
        <v>0</v>
      </c>
      <c r="Y956" s="3" t="b">
        <f t="shared" si="57"/>
        <v>0</v>
      </c>
    </row>
    <row r="957" spans="14:25">
      <c r="N957" s="34"/>
      <c r="O957" s="34"/>
      <c r="P957" s="34"/>
      <c r="Q957" s="34"/>
      <c r="R957" s="34"/>
      <c r="S957" s="38"/>
      <c r="T957" s="38"/>
      <c r="U957" s="34"/>
      <c r="V957" s="255"/>
      <c r="W957" s="34"/>
      <c r="X957" s="3" t="b">
        <f t="shared" si="56"/>
        <v>0</v>
      </c>
      <c r="Y957" s="3" t="b">
        <f t="shared" si="57"/>
        <v>0</v>
      </c>
    </row>
    <row r="958" spans="14:25">
      <c r="N958" s="34"/>
      <c r="O958" s="34"/>
      <c r="P958" s="34"/>
      <c r="Q958" s="34"/>
      <c r="R958" s="34"/>
      <c r="S958" s="38"/>
      <c r="T958" s="38"/>
      <c r="U958" s="34"/>
      <c r="V958" s="255"/>
      <c r="W958" s="34"/>
      <c r="X958" s="3" t="b">
        <f t="shared" si="56"/>
        <v>0</v>
      </c>
      <c r="Y958" s="3" t="b">
        <f t="shared" si="57"/>
        <v>0</v>
      </c>
    </row>
    <row r="959" spans="14:25">
      <c r="N959" s="34"/>
      <c r="O959" s="34"/>
      <c r="P959" s="34"/>
      <c r="Q959" s="34"/>
      <c r="R959" s="34"/>
      <c r="S959" s="38"/>
      <c r="T959" s="38"/>
      <c r="U959" s="34"/>
      <c r="V959" s="255"/>
      <c r="W959" s="34"/>
      <c r="X959" s="3" t="b">
        <f t="shared" si="56"/>
        <v>0</v>
      </c>
      <c r="Y959" s="3" t="b">
        <f t="shared" si="57"/>
        <v>0</v>
      </c>
    </row>
    <row r="960" spans="14:25">
      <c r="N960" s="34"/>
      <c r="O960" s="34"/>
      <c r="P960" s="34"/>
      <c r="Q960" s="34"/>
      <c r="R960" s="34"/>
      <c r="S960" s="38"/>
      <c r="T960" s="38"/>
      <c r="U960" s="34"/>
      <c r="V960" s="255"/>
      <c r="W960" s="34"/>
      <c r="X960" s="3" t="b">
        <f t="shared" si="56"/>
        <v>0</v>
      </c>
      <c r="Y960" s="3" t="b">
        <f t="shared" si="57"/>
        <v>0</v>
      </c>
    </row>
    <row r="961" spans="14:25">
      <c r="N961" s="34"/>
      <c r="O961" s="34"/>
      <c r="P961" s="34"/>
      <c r="Q961" s="34"/>
      <c r="R961" s="34"/>
      <c r="S961" s="38"/>
      <c r="T961" s="38"/>
      <c r="U961" s="34"/>
      <c r="V961" s="255"/>
      <c r="W961" s="34"/>
      <c r="X961" s="3" t="b">
        <f t="shared" si="56"/>
        <v>0</v>
      </c>
      <c r="Y961" s="3" t="b">
        <f t="shared" si="57"/>
        <v>0</v>
      </c>
    </row>
    <row r="962" spans="14:25">
      <c r="N962" s="34"/>
      <c r="O962" s="34"/>
      <c r="P962" s="34"/>
      <c r="Q962" s="34"/>
      <c r="R962" s="34"/>
      <c r="S962" s="38"/>
      <c r="T962" s="38"/>
      <c r="U962" s="34"/>
      <c r="V962" s="255"/>
      <c r="W962" s="34"/>
      <c r="X962" s="3" t="b">
        <f t="shared" si="56"/>
        <v>0</v>
      </c>
      <c r="Y962" s="3" t="b">
        <f t="shared" si="57"/>
        <v>0</v>
      </c>
    </row>
    <row r="963" spans="14:25">
      <c r="N963" s="34"/>
      <c r="O963" s="34"/>
      <c r="P963" s="34"/>
      <c r="Q963" s="34"/>
      <c r="R963" s="34"/>
      <c r="S963" s="38"/>
      <c r="T963" s="38"/>
      <c r="U963" s="34"/>
      <c r="V963" s="255"/>
      <c r="W963" s="34"/>
      <c r="X963" s="3" t="b">
        <f t="shared" si="56"/>
        <v>0</v>
      </c>
      <c r="Y963" s="3" t="b">
        <f t="shared" si="57"/>
        <v>0</v>
      </c>
    </row>
    <row r="964" spans="14:25">
      <c r="N964" s="34"/>
      <c r="O964" s="34"/>
      <c r="P964" s="34"/>
      <c r="Q964" s="34"/>
      <c r="R964" s="34"/>
      <c r="S964" s="38"/>
      <c r="T964" s="38"/>
      <c r="U964" s="34"/>
      <c r="V964" s="255"/>
      <c r="W964" s="34"/>
      <c r="X964" s="3" t="b">
        <f t="shared" si="56"/>
        <v>0</v>
      </c>
      <c r="Y964" s="3" t="b">
        <f t="shared" si="57"/>
        <v>0</v>
      </c>
    </row>
    <row r="965" spans="14:25">
      <c r="N965" s="34"/>
      <c r="O965" s="34"/>
      <c r="P965" s="34"/>
      <c r="Q965" s="34"/>
      <c r="R965" s="34"/>
      <c r="S965" s="38"/>
      <c r="T965" s="38"/>
      <c r="U965" s="34"/>
      <c r="V965" s="255"/>
      <c r="W965" s="34"/>
      <c r="X965" s="3" t="b">
        <f t="shared" si="56"/>
        <v>0</v>
      </c>
      <c r="Y965" s="3" t="b">
        <f t="shared" si="57"/>
        <v>0</v>
      </c>
    </row>
    <row r="966" spans="14:25">
      <c r="N966" s="34"/>
      <c r="O966" s="34"/>
      <c r="P966" s="34"/>
      <c r="Q966" s="34"/>
      <c r="R966" s="34"/>
      <c r="S966" s="38"/>
      <c r="T966" s="38"/>
      <c r="U966" s="34"/>
      <c r="V966" s="255"/>
      <c r="W966" s="34"/>
      <c r="X966" s="3" t="b">
        <f t="shared" si="56"/>
        <v>0</v>
      </c>
      <c r="Y966" s="3" t="b">
        <f t="shared" si="57"/>
        <v>0</v>
      </c>
    </row>
    <row r="967" spans="14:25">
      <c r="N967" s="34"/>
      <c r="O967" s="34"/>
      <c r="P967" s="34"/>
      <c r="Q967" s="34"/>
      <c r="R967" s="34"/>
      <c r="S967" s="38"/>
      <c r="T967" s="38"/>
      <c r="U967" s="34"/>
      <c r="V967" s="255"/>
      <c r="W967" s="34"/>
      <c r="X967" s="3" t="b">
        <f t="shared" si="56"/>
        <v>0</v>
      </c>
      <c r="Y967" s="3" t="b">
        <f t="shared" si="57"/>
        <v>0</v>
      </c>
    </row>
    <row r="968" spans="14:25">
      <c r="N968" s="34"/>
      <c r="O968" s="34"/>
      <c r="P968" s="34"/>
      <c r="Q968" s="34"/>
      <c r="R968" s="34"/>
      <c r="S968" s="38"/>
      <c r="T968" s="38"/>
      <c r="U968" s="34"/>
      <c r="V968" s="255"/>
      <c r="W968" s="34"/>
      <c r="X968" s="3" t="b">
        <f t="shared" si="56"/>
        <v>0</v>
      </c>
      <c r="Y968" s="3" t="b">
        <f t="shared" si="57"/>
        <v>0</v>
      </c>
    </row>
    <row r="969" spans="14:25">
      <c r="N969" s="34"/>
      <c r="O969" s="34"/>
      <c r="P969" s="34"/>
      <c r="Q969" s="34"/>
      <c r="R969" s="34"/>
      <c r="S969" s="38"/>
      <c r="T969" s="38"/>
      <c r="U969" s="34"/>
      <c r="V969" s="255"/>
      <c r="W969" s="34"/>
      <c r="X969" s="3" t="b">
        <f t="shared" si="56"/>
        <v>0</v>
      </c>
      <c r="Y969" s="3" t="b">
        <f t="shared" si="57"/>
        <v>0</v>
      </c>
    </row>
    <row r="970" spans="14:25">
      <c r="N970" s="34"/>
      <c r="O970" s="34"/>
      <c r="P970" s="34"/>
      <c r="Q970" s="34"/>
      <c r="R970" s="34"/>
      <c r="S970" s="38"/>
      <c r="T970" s="38"/>
      <c r="U970" s="34"/>
      <c r="V970" s="255"/>
      <c r="W970" s="34"/>
      <c r="X970" s="3" t="b">
        <f t="shared" si="56"/>
        <v>0</v>
      </c>
      <c r="Y970" s="3" t="b">
        <f t="shared" si="57"/>
        <v>0</v>
      </c>
    </row>
    <row r="971" spans="14:25">
      <c r="N971" s="34"/>
      <c r="O971" s="34"/>
      <c r="P971" s="34"/>
      <c r="Q971" s="34"/>
      <c r="R971" s="34"/>
      <c r="S971" s="38"/>
      <c r="T971" s="38"/>
      <c r="U971" s="34"/>
      <c r="V971" s="255"/>
      <c r="W971" s="34"/>
      <c r="X971" s="3" t="b">
        <f t="shared" si="56"/>
        <v>0</v>
      </c>
      <c r="Y971" s="3" t="b">
        <f t="shared" si="57"/>
        <v>0</v>
      </c>
    </row>
    <row r="972" spans="14:25">
      <c r="N972" s="34"/>
      <c r="O972" s="34"/>
      <c r="P972" s="34"/>
      <c r="Q972" s="34"/>
      <c r="R972" s="34"/>
      <c r="S972" s="38"/>
      <c r="T972" s="38"/>
      <c r="U972" s="34"/>
      <c r="V972" s="255"/>
      <c r="W972" s="34"/>
      <c r="X972" s="3" t="b">
        <f t="shared" si="56"/>
        <v>0</v>
      </c>
      <c r="Y972" s="3" t="b">
        <f t="shared" si="57"/>
        <v>0</v>
      </c>
    </row>
    <row r="973" spans="14:25">
      <c r="N973" s="34"/>
      <c r="O973" s="34"/>
      <c r="P973" s="34"/>
      <c r="Q973" s="34"/>
      <c r="R973" s="34"/>
      <c r="S973" s="38"/>
      <c r="T973" s="38"/>
      <c r="U973" s="34"/>
      <c r="V973" s="255"/>
      <c r="W973" s="34"/>
      <c r="X973" s="3" t="b">
        <f t="shared" si="56"/>
        <v>0</v>
      </c>
      <c r="Y973" s="3" t="b">
        <f t="shared" si="57"/>
        <v>0</v>
      </c>
    </row>
    <row r="974" spans="14:25">
      <c r="N974" s="34"/>
      <c r="O974" s="34"/>
      <c r="P974" s="34"/>
      <c r="Q974" s="34"/>
      <c r="R974" s="34"/>
      <c r="S974" s="38"/>
      <c r="T974" s="38"/>
      <c r="U974" s="34"/>
      <c r="V974" s="255"/>
      <c r="W974" s="34"/>
      <c r="X974" s="3" t="b">
        <f t="shared" si="56"/>
        <v>0</v>
      </c>
      <c r="Y974" s="3" t="b">
        <f t="shared" si="57"/>
        <v>0</v>
      </c>
    </row>
    <row r="975" spans="14:25">
      <c r="N975" s="34"/>
      <c r="O975" s="34"/>
      <c r="P975" s="34"/>
      <c r="Q975" s="34"/>
      <c r="R975" s="34"/>
      <c r="S975" s="38"/>
      <c r="T975" s="38"/>
      <c r="U975" s="34"/>
      <c r="V975" s="255"/>
      <c r="W975" s="34"/>
      <c r="X975" s="3" t="b">
        <f t="shared" si="56"/>
        <v>0</v>
      </c>
      <c r="Y975" s="3" t="b">
        <f t="shared" si="57"/>
        <v>0</v>
      </c>
    </row>
    <row r="976" spans="14:25">
      <c r="N976" s="34"/>
      <c r="O976" s="34"/>
      <c r="P976" s="34"/>
      <c r="Q976" s="34"/>
      <c r="R976" s="34"/>
      <c r="S976" s="38"/>
      <c r="T976" s="38"/>
      <c r="U976" s="34"/>
      <c r="V976" s="255"/>
      <c r="W976" s="34"/>
      <c r="X976" s="3" t="b">
        <f t="shared" si="56"/>
        <v>0</v>
      </c>
      <c r="Y976" s="3" t="b">
        <f t="shared" si="57"/>
        <v>0</v>
      </c>
    </row>
    <row r="977" spans="14:25">
      <c r="N977" s="34"/>
      <c r="O977" s="34"/>
      <c r="P977" s="34"/>
      <c r="Q977" s="34"/>
      <c r="R977" s="34"/>
      <c r="S977" s="38"/>
      <c r="T977" s="38"/>
      <c r="U977" s="34"/>
      <c r="V977" s="255"/>
      <c r="W977" s="34"/>
      <c r="X977" s="3" t="b">
        <f t="shared" si="56"/>
        <v>0</v>
      </c>
      <c r="Y977" s="3" t="b">
        <f t="shared" si="57"/>
        <v>0</v>
      </c>
    </row>
    <row r="978" spans="14:25">
      <c r="N978" s="34"/>
      <c r="O978" s="34"/>
      <c r="P978" s="34"/>
      <c r="Q978" s="34"/>
      <c r="R978" s="34"/>
      <c r="S978" s="38"/>
      <c r="T978" s="38"/>
      <c r="U978" s="34"/>
      <c r="V978" s="255"/>
      <c r="W978" s="34"/>
      <c r="X978" s="3" t="b">
        <f t="shared" si="56"/>
        <v>0</v>
      </c>
      <c r="Y978" s="3" t="b">
        <f t="shared" si="57"/>
        <v>0</v>
      </c>
    </row>
    <row r="979" spans="14:25">
      <c r="N979" s="34"/>
      <c r="O979" s="34"/>
      <c r="P979" s="34"/>
      <c r="Q979" s="34"/>
      <c r="R979" s="34"/>
      <c r="S979" s="38"/>
      <c r="T979" s="38"/>
      <c r="U979" s="34"/>
      <c r="V979" s="255"/>
      <c r="W979" s="34"/>
      <c r="X979" s="3" t="b">
        <f t="shared" si="56"/>
        <v>0</v>
      </c>
      <c r="Y979" s="3" t="b">
        <f t="shared" si="57"/>
        <v>0</v>
      </c>
    </row>
    <row r="980" spans="14:25">
      <c r="N980" s="34"/>
      <c r="O980" s="34"/>
      <c r="P980" s="34"/>
      <c r="Q980" s="34"/>
      <c r="R980" s="34"/>
      <c r="S980" s="38"/>
      <c r="T980" s="38"/>
      <c r="U980" s="34"/>
      <c r="V980" s="255"/>
      <c r="W980" s="34"/>
      <c r="X980" s="3" t="b">
        <f t="shared" si="56"/>
        <v>0</v>
      </c>
      <c r="Y980" s="3" t="b">
        <f t="shared" si="57"/>
        <v>0</v>
      </c>
    </row>
    <row r="981" spans="14:25">
      <c r="N981" s="34"/>
      <c r="O981" s="34"/>
      <c r="P981" s="34"/>
      <c r="Q981" s="34"/>
      <c r="R981" s="34"/>
      <c r="S981" s="38"/>
      <c r="T981" s="38"/>
      <c r="U981" s="34"/>
      <c r="V981" s="255"/>
      <c r="W981" s="34"/>
      <c r="X981" s="3" t="b">
        <f t="shared" si="56"/>
        <v>0</v>
      </c>
      <c r="Y981" s="3" t="b">
        <f t="shared" si="57"/>
        <v>0</v>
      </c>
    </row>
    <row r="982" spans="14:25">
      <c r="N982" s="34"/>
      <c r="O982" s="34"/>
      <c r="P982" s="34"/>
      <c r="Q982" s="34"/>
      <c r="R982" s="34"/>
      <c r="S982" s="38"/>
      <c r="T982" s="38"/>
      <c r="U982" s="34"/>
      <c r="V982" s="255"/>
      <c r="W982" s="34"/>
      <c r="X982" s="3" t="b">
        <f t="shared" si="56"/>
        <v>0</v>
      </c>
      <c r="Y982" s="3" t="b">
        <f t="shared" si="57"/>
        <v>0</v>
      </c>
    </row>
    <row r="983" spans="14:25">
      <c r="N983" s="34"/>
      <c r="O983" s="34"/>
      <c r="P983" s="34"/>
      <c r="Q983" s="34"/>
      <c r="R983" s="34"/>
      <c r="S983" s="38"/>
      <c r="T983" s="38"/>
      <c r="U983" s="34"/>
      <c r="V983" s="255"/>
      <c r="W983" s="34"/>
      <c r="X983" s="3" t="b">
        <f t="shared" si="56"/>
        <v>0</v>
      </c>
      <c r="Y983" s="3" t="b">
        <f t="shared" si="57"/>
        <v>0</v>
      </c>
    </row>
    <row r="984" spans="14:25">
      <c r="N984" s="34"/>
      <c r="O984" s="34"/>
      <c r="P984" s="34"/>
      <c r="Q984" s="34"/>
      <c r="R984" s="34"/>
      <c r="S984" s="38"/>
      <c r="T984" s="38"/>
      <c r="U984" s="34"/>
      <c r="V984" s="255"/>
      <c r="W984" s="34"/>
      <c r="X984" s="3" t="b">
        <f t="shared" si="56"/>
        <v>0</v>
      </c>
      <c r="Y984" s="3" t="b">
        <f t="shared" si="57"/>
        <v>0</v>
      </c>
    </row>
    <row r="985" spans="14:25">
      <c r="N985" s="34"/>
      <c r="O985" s="34"/>
      <c r="P985" s="34"/>
      <c r="Q985" s="34"/>
      <c r="R985" s="34"/>
      <c r="S985" s="38"/>
      <c r="T985" s="38"/>
      <c r="U985" s="34"/>
      <c r="V985" s="255"/>
      <c r="W985" s="34"/>
      <c r="X985" s="3" t="b">
        <f t="shared" si="56"/>
        <v>0</v>
      </c>
      <c r="Y985" s="3" t="b">
        <f t="shared" si="57"/>
        <v>0</v>
      </c>
    </row>
    <row r="986" spans="14:25">
      <c r="N986" s="34"/>
      <c r="O986" s="34"/>
      <c r="P986" s="34"/>
      <c r="Q986" s="34"/>
      <c r="R986" s="34"/>
      <c r="S986" s="38"/>
      <c r="T986" s="38"/>
      <c r="U986" s="34"/>
      <c r="V986" s="255"/>
      <c r="W986" s="34"/>
      <c r="X986" s="3" t="b">
        <f t="shared" si="56"/>
        <v>0</v>
      </c>
      <c r="Y986" s="3" t="b">
        <f t="shared" si="57"/>
        <v>0</v>
      </c>
    </row>
    <row r="987" spans="14:25">
      <c r="N987" s="34"/>
      <c r="O987" s="34"/>
      <c r="P987" s="34"/>
      <c r="Q987" s="34"/>
      <c r="R987" s="34"/>
      <c r="S987" s="38"/>
      <c r="T987" s="38"/>
      <c r="U987" s="34"/>
      <c r="V987" s="255"/>
      <c r="W987" s="34"/>
      <c r="X987" s="3" t="b">
        <f t="shared" si="56"/>
        <v>0</v>
      </c>
      <c r="Y987" s="3" t="b">
        <f t="shared" si="57"/>
        <v>0</v>
      </c>
    </row>
    <row r="988" spans="14:25">
      <c r="N988" s="34"/>
      <c r="O988" s="34"/>
      <c r="P988" s="34"/>
      <c r="Q988" s="34"/>
      <c r="R988" s="34"/>
      <c r="S988" s="38"/>
      <c r="T988" s="38"/>
      <c r="U988" s="34"/>
      <c r="V988" s="255"/>
      <c r="W988" s="34"/>
      <c r="X988" s="3" t="b">
        <f t="shared" si="56"/>
        <v>0</v>
      </c>
      <c r="Y988" s="3" t="b">
        <f t="shared" si="57"/>
        <v>0</v>
      </c>
    </row>
    <row r="989" spans="14:25">
      <c r="N989" s="34"/>
      <c r="O989" s="34"/>
      <c r="P989" s="34"/>
      <c r="Q989" s="34"/>
      <c r="R989" s="34"/>
      <c r="S989" s="38"/>
      <c r="T989" s="38"/>
      <c r="U989" s="34"/>
      <c r="V989" s="255"/>
      <c r="W989" s="34"/>
      <c r="X989" s="3" t="b">
        <f t="shared" si="56"/>
        <v>0</v>
      </c>
      <c r="Y989" s="3" t="b">
        <f t="shared" si="57"/>
        <v>0</v>
      </c>
    </row>
    <row r="990" spans="14:25">
      <c r="N990" s="34"/>
      <c r="O990" s="34"/>
      <c r="P990" s="34"/>
      <c r="Q990" s="34"/>
      <c r="R990" s="34"/>
      <c r="S990" s="38"/>
      <c r="T990" s="38"/>
      <c r="U990" s="34"/>
      <c r="V990" s="255"/>
      <c r="W990" s="34"/>
      <c r="X990" s="3" t="b">
        <f t="shared" si="56"/>
        <v>0</v>
      </c>
      <c r="Y990" s="3" t="b">
        <f t="shared" si="57"/>
        <v>0</v>
      </c>
    </row>
    <row r="991" spans="14:25">
      <c r="N991" s="34"/>
      <c r="O991" s="34"/>
      <c r="P991" s="34"/>
      <c r="Q991" s="34"/>
      <c r="R991" s="34"/>
      <c r="S991" s="38"/>
      <c r="T991" s="38"/>
      <c r="U991" s="34"/>
      <c r="V991" s="255"/>
      <c r="W991" s="34"/>
      <c r="X991" s="3" t="b">
        <f t="shared" si="56"/>
        <v>0</v>
      </c>
      <c r="Y991" s="3" t="b">
        <f t="shared" si="57"/>
        <v>0</v>
      </c>
    </row>
    <row r="992" spans="14:25">
      <c r="N992" s="34"/>
      <c r="O992" s="34"/>
      <c r="P992" s="34"/>
      <c r="Q992" s="34"/>
      <c r="R992" s="34"/>
      <c r="S992" s="38"/>
      <c r="T992" s="38"/>
      <c r="U992" s="34"/>
      <c r="V992" s="255"/>
      <c r="W992" s="34"/>
      <c r="X992" s="3" t="b">
        <f t="shared" si="56"/>
        <v>0</v>
      </c>
      <c r="Y992" s="3" t="b">
        <f t="shared" si="57"/>
        <v>0</v>
      </c>
    </row>
    <row r="993" spans="14:25">
      <c r="N993" s="34"/>
      <c r="O993" s="34"/>
      <c r="P993" s="34"/>
      <c r="Q993" s="34"/>
      <c r="R993" s="34"/>
      <c r="S993" s="38"/>
      <c r="T993" s="38"/>
      <c r="U993" s="34"/>
      <c r="V993" s="255"/>
      <c r="W993" s="34"/>
      <c r="X993" s="3" t="b">
        <f t="shared" si="56"/>
        <v>0</v>
      </c>
      <c r="Y993" s="3" t="b">
        <f t="shared" si="57"/>
        <v>0</v>
      </c>
    </row>
    <row r="994" spans="14:25">
      <c r="N994" s="34"/>
      <c r="O994" s="34"/>
      <c r="P994" s="34"/>
      <c r="Q994" s="34"/>
      <c r="R994" s="34"/>
      <c r="S994" s="38"/>
      <c r="T994" s="38"/>
      <c r="U994" s="34"/>
      <c r="V994" s="255"/>
      <c r="W994" s="34"/>
      <c r="X994" s="3" t="b">
        <f t="shared" si="56"/>
        <v>0</v>
      </c>
      <c r="Y994" s="3" t="b">
        <f t="shared" si="57"/>
        <v>0</v>
      </c>
    </row>
    <row r="995" spans="14:25">
      <c r="N995" s="34"/>
      <c r="O995" s="34"/>
      <c r="P995" s="34"/>
      <c r="Q995" s="34"/>
      <c r="R995" s="34"/>
      <c r="S995" s="38"/>
      <c r="T995" s="38"/>
      <c r="U995" s="34"/>
      <c r="V995" s="255"/>
      <c r="W995" s="34"/>
      <c r="X995" s="3" t="b">
        <f t="shared" si="56"/>
        <v>0</v>
      </c>
      <c r="Y995" s="3" t="b">
        <f t="shared" si="57"/>
        <v>0</v>
      </c>
    </row>
    <row r="996" spans="14:25">
      <c r="N996" s="34"/>
      <c r="O996" s="34"/>
      <c r="P996" s="34"/>
      <c r="Q996" s="34"/>
      <c r="R996" s="34"/>
      <c r="S996" s="38"/>
      <c r="T996" s="38"/>
      <c r="U996" s="34"/>
      <c r="V996" s="255"/>
      <c r="W996" s="34"/>
      <c r="X996" s="3" t="b">
        <f t="shared" si="56"/>
        <v>0</v>
      </c>
      <c r="Y996" s="3" t="b">
        <f t="shared" si="57"/>
        <v>0</v>
      </c>
    </row>
    <row r="997" spans="14:25">
      <c r="N997" s="34"/>
      <c r="O997" s="34"/>
      <c r="P997" s="34"/>
      <c r="Q997" s="34"/>
      <c r="R997" s="34"/>
      <c r="S997" s="38"/>
      <c r="T997" s="38"/>
      <c r="U997" s="34"/>
      <c r="V997" s="255"/>
      <c r="W997" s="34"/>
      <c r="X997" s="3" t="b">
        <f t="shared" si="56"/>
        <v>0</v>
      </c>
      <c r="Y997" s="3" t="b">
        <f t="shared" si="57"/>
        <v>0</v>
      </c>
    </row>
    <row r="998" spans="14:25">
      <c r="N998" s="34"/>
      <c r="O998" s="34"/>
      <c r="P998" s="34"/>
      <c r="Q998" s="34"/>
      <c r="R998" s="34"/>
      <c r="S998" s="38"/>
      <c r="T998" s="38"/>
      <c r="U998" s="34"/>
      <c r="V998" s="255"/>
      <c r="W998" s="34"/>
      <c r="X998" s="3" t="b">
        <f t="shared" si="56"/>
        <v>0</v>
      </c>
      <c r="Y998" s="3" t="b">
        <f t="shared" si="57"/>
        <v>0</v>
      </c>
    </row>
    <row r="999" spans="14:25">
      <c r="N999" s="34"/>
      <c r="O999" s="34"/>
      <c r="P999" s="34"/>
      <c r="Q999" s="34"/>
      <c r="R999" s="34"/>
      <c r="S999" s="38"/>
      <c r="T999" s="38"/>
      <c r="U999" s="34"/>
      <c r="V999" s="255"/>
      <c r="W999" s="34"/>
      <c r="X999" s="3" t="b">
        <f t="shared" si="56"/>
        <v>0</v>
      </c>
      <c r="Y999" s="3" t="b">
        <f t="shared" si="57"/>
        <v>0</v>
      </c>
    </row>
    <row r="1000" spans="14:25">
      <c r="N1000" s="34"/>
      <c r="O1000" s="34"/>
      <c r="P1000" s="34"/>
      <c r="Q1000" s="34"/>
      <c r="R1000" s="34"/>
      <c r="S1000" s="38"/>
      <c r="T1000" s="38"/>
      <c r="U1000" s="34"/>
      <c r="V1000" s="255"/>
      <c r="W1000" s="34"/>
      <c r="X1000" s="3" t="b">
        <f t="shared" si="56"/>
        <v>0</v>
      </c>
      <c r="Y1000" s="3" t="b">
        <f t="shared" si="57"/>
        <v>0</v>
      </c>
    </row>
    <row r="1001" spans="14:25">
      <c r="N1001" s="34"/>
      <c r="O1001" s="34"/>
      <c r="P1001" s="34"/>
      <c r="Q1001" s="34"/>
      <c r="R1001" s="34"/>
      <c r="S1001" s="38"/>
      <c r="T1001" s="38"/>
      <c r="U1001" s="34"/>
      <c r="V1001" s="255"/>
      <c r="W1001" s="34"/>
      <c r="X1001" s="3" t="b">
        <f t="shared" si="56"/>
        <v>0</v>
      </c>
      <c r="Y1001" s="3" t="b">
        <f t="shared" si="57"/>
        <v>0</v>
      </c>
    </row>
    <row r="1002" spans="14:25">
      <c r="N1002" s="34"/>
      <c r="O1002" s="34"/>
      <c r="P1002" s="34"/>
      <c r="Q1002" s="34"/>
      <c r="R1002" s="34"/>
      <c r="S1002" s="38"/>
      <c r="T1002" s="38"/>
      <c r="U1002" s="34"/>
      <c r="V1002" s="255"/>
      <c r="W1002" s="34"/>
      <c r="X1002" s="3" t="b">
        <f t="shared" si="56"/>
        <v>0</v>
      </c>
      <c r="Y1002" s="3" t="b">
        <f t="shared" si="57"/>
        <v>0</v>
      </c>
    </row>
    <row r="1003" spans="14:25">
      <c r="N1003" s="34"/>
      <c r="O1003" s="34"/>
      <c r="P1003" s="34"/>
      <c r="Q1003" s="34"/>
      <c r="R1003" s="34"/>
      <c r="S1003" s="38"/>
      <c r="T1003" s="38"/>
      <c r="U1003" s="34"/>
      <c r="V1003" s="255"/>
      <c r="W1003" s="34"/>
      <c r="X1003" s="3" t="b">
        <f t="shared" si="56"/>
        <v>0</v>
      </c>
      <c r="Y1003" s="3" t="b">
        <f t="shared" si="57"/>
        <v>0</v>
      </c>
    </row>
    <row r="1004" spans="14:25">
      <c r="N1004" s="34"/>
      <c r="O1004" s="34"/>
      <c r="P1004" s="34"/>
      <c r="Q1004" s="34"/>
      <c r="R1004" s="34"/>
      <c r="S1004" s="38"/>
      <c r="T1004" s="38"/>
      <c r="U1004" s="34"/>
      <c r="V1004" s="255"/>
      <c r="W1004" s="34"/>
      <c r="X1004" s="3" t="b">
        <f t="shared" ref="X1004:X1067" si="58">IF(OR(Q1004="Stock to Rack",Q1004="From Stock"),-P1004,IF(OR(Q1004="Rack to Stock",Q1004="To Stock"),P1004))</f>
        <v>0</v>
      </c>
      <c r="Y1004" s="3" t="b">
        <f t="shared" ref="Y1004:Y1067" si="59">IF(Q1004="Rack to Stock",-P1004,IF(Q1004="Stock to Rack",P1004))</f>
        <v>0</v>
      </c>
    </row>
    <row r="1005" spans="14:25">
      <c r="N1005" s="34"/>
      <c r="O1005" s="34"/>
      <c r="P1005" s="34"/>
      <c r="Q1005" s="34"/>
      <c r="R1005" s="34"/>
      <c r="S1005" s="38"/>
      <c r="T1005" s="38"/>
      <c r="U1005" s="34"/>
      <c r="V1005" s="255"/>
      <c r="W1005" s="34"/>
      <c r="X1005" s="3" t="b">
        <f t="shared" si="58"/>
        <v>0</v>
      </c>
      <c r="Y1005" s="3" t="b">
        <f t="shared" si="59"/>
        <v>0</v>
      </c>
    </row>
    <row r="1006" spans="14:25">
      <c r="N1006" s="34"/>
      <c r="O1006" s="34"/>
      <c r="P1006" s="34"/>
      <c r="Q1006" s="34"/>
      <c r="R1006" s="34"/>
      <c r="S1006" s="38"/>
      <c r="T1006" s="38"/>
      <c r="U1006" s="34"/>
      <c r="V1006" s="255"/>
      <c r="W1006" s="34"/>
      <c r="X1006" s="3" t="b">
        <f t="shared" si="58"/>
        <v>0</v>
      </c>
      <c r="Y1006" s="3" t="b">
        <f t="shared" si="59"/>
        <v>0</v>
      </c>
    </row>
    <row r="1007" spans="14:25">
      <c r="N1007" s="34"/>
      <c r="O1007" s="34"/>
      <c r="P1007" s="34"/>
      <c r="Q1007" s="34"/>
      <c r="R1007" s="34"/>
      <c r="S1007" s="38"/>
      <c r="T1007" s="38"/>
      <c r="U1007" s="34"/>
      <c r="V1007" s="255"/>
      <c r="W1007" s="34"/>
      <c r="X1007" s="3" t="b">
        <f t="shared" si="58"/>
        <v>0</v>
      </c>
      <c r="Y1007" s="3" t="b">
        <f t="shared" si="59"/>
        <v>0</v>
      </c>
    </row>
    <row r="1008" spans="14:25">
      <c r="N1008" s="34"/>
      <c r="O1008" s="34"/>
      <c r="P1008" s="34"/>
      <c r="Q1008" s="34"/>
      <c r="R1008" s="34"/>
      <c r="S1008" s="38"/>
      <c r="T1008" s="38"/>
      <c r="U1008" s="34"/>
      <c r="V1008" s="255"/>
      <c r="W1008" s="34"/>
      <c r="X1008" s="3" t="b">
        <f t="shared" si="58"/>
        <v>0</v>
      </c>
      <c r="Y1008" s="3" t="b">
        <f t="shared" si="59"/>
        <v>0</v>
      </c>
    </row>
    <row r="1009" spans="14:25">
      <c r="N1009" s="34"/>
      <c r="O1009" s="34"/>
      <c r="P1009" s="34"/>
      <c r="Q1009" s="34"/>
      <c r="R1009" s="34"/>
      <c r="S1009" s="38"/>
      <c r="T1009" s="38"/>
      <c r="U1009" s="34"/>
      <c r="V1009" s="255"/>
      <c r="W1009" s="34"/>
      <c r="X1009" s="3" t="b">
        <f t="shared" si="58"/>
        <v>0</v>
      </c>
      <c r="Y1009" s="3" t="b">
        <f t="shared" si="59"/>
        <v>0</v>
      </c>
    </row>
    <row r="1010" spans="14:25">
      <c r="N1010" s="34"/>
      <c r="O1010" s="34"/>
      <c r="P1010" s="34"/>
      <c r="Q1010" s="34"/>
      <c r="R1010" s="34"/>
      <c r="S1010" s="38"/>
      <c r="T1010" s="38"/>
      <c r="U1010" s="34"/>
      <c r="V1010" s="255"/>
      <c r="W1010" s="34"/>
      <c r="X1010" s="3" t="b">
        <f t="shared" si="58"/>
        <v>0</v>
      </c>
      <c r="Y1010" s="3" t="b">
        <f t="shared" si="59"/>
        <v>0</v>
      </c>
    </row>
    <row r="1011" spans="14:25">
      <c r="N1011" s="34"/>
      <c r="O1011" s="34"/>
      <c r="P1011" s="34"/>
      <c r="Q1011" s="34"/>
      <c r="R1011" s="34"/>
      <c r="S1011" s="38"/>
      <c r="T1011" s="38"/>
      <c r="U1011" s="34"/>
      <c r="V1011" s="255"/>
      <c r="W1011" s="34"/>
      <c r="X1011" s="3" t="b">
        <f t="shared" si="58"/>
        <v>0</v>
      </c>
      <c r="Y1011" s="3" t="b">
        <f t="shared" si="59"/>
        <v>0</v>
      </c>
    </row>
    <row r="1012" spans="14:25">
      <c r="N1012" s="34"/>
      <c r="O1012" s="34"/>
      <c r="P1012" s="34"/>
      <c r="Q1012" s="34"/>
      <c r="R1012" s="34"/>
      <c r="S1012" s="38"/>
      <c r="T1012" s="38"/>
      <c r="U1012" s="34"/>
      <c r="V1012" s="255"/>
      <c r="W1012" s="34"/>
      <c r="X1012" s="3" t="b">
        <f t="shared" si="58"/>
        <v>0</v>
      </c>
      <c r="Y1012" s="3" t="b">
        <f t="shared" si="59"/>
        <v>0</v>
      </c>
    </row>
    <row r="1013" spans="14:25">
      <c r="N1013" s="34"/>
      <c r="O1013" s="34"/>
      <c r="P1013" s="34"/>
      <c r="Q1013" s="34"/>
      <c r="R1013" s="34"/>
      <c r="S1013" s="38"/>
      <c r="T1013" s="38"/>
      <c r="U1013" s="34"/>
      <c r="V1013" s="255"/>
      <c r="W1013" s="34"/>
      <c r="X1013" s="3" t="b">
        <f t="shared" si="58"/>
        <v>0</v>
      </c>
      <c r="Y1013" s="3" t="b">
        <f t="shared" si="59"/>
        <v>0</v>
      </c>
    </row>
    <row r="1014" spans="14:25">
      <c r="N1014" s="34"/>
      <c r="O1014" s="34"/>
      <c r="P1014" s="34"/>
      <c r="Q1014" s="34"/>
      <c r="R1014" s="34"/>
      <c r="S1014" s="38"/>
      <c r="T1014" s="38"/>
      <c r="U1014" s="34"/>
      <c r="V1014" s="255"/>
      <c r="W1014" s="34"/>
      <c r="X1014" s="3" t="b">
        <f t="shared" si="58"/>
        <v>0</v>
      </c>
      <c r="Y1014" s="3" t="b">
        <f t="shared" si="59"/>
        <v>0</v>
      </c>
    </row>
    <row r="1015" spans="14:25">
      <c r="N1015" s="34"/>
      <c r="O1015" s="34"/>
      <c r="P1015" s="34"/>
      <c r="Q1015" s="34"/>
      <c r="R1015" s="34"/>
      <c r="S1015" s="38"/>
      <c r="T1015" s="38"/>
      <c r="U1015" s="34"/>
      <c r="V1015" s="255"/>
      <c r="W1015" s="34"/>
      <c r="X1015" s="3" t="b">
        <f t="shared" si="58"/>
        <v>0</v>
      </c>
      <c r="Y1015" s="3" t="b">
        <f t="shared" si="59"/>
        <v>0</v>
      </c>
    </row>
    <row r="1016" spans="14:25">
      <c r="N1016" s="34"/>
      <c r="O1016" s="34"/>
      <c r="P1016" s="34"/>
      <c r="Q1016" s="34"/>
      <c r="R1016" s="34"/>
      <c r="S1016" s="38"/>
      <c r="T1016" s="38"/>
      <c r="U1016" s="34"/>
      <c r="V1016" s="255"/>
      <c r="W1016" s="34"/>
      <c r="X1016" s="3" t="b">
        <f t="shared" si="58"/>
        <v>0</v>
      </c>
      <c r="Y1016" s="3" t="b">
        <f t="shared" si="59"/>
        <v>0</v>
      </c>
    </row>
    <row r="1017" spans="14:25">
      <c r="N1017" s="34"/>
      <c r="O1017" s="34"/>
      <c r="P1017" s="34"/>
      <c r="Q1017" s="34"/>
      <c r="R1017" s="34"/>
      <c r="S1017" s="38"/>
      <c r="T1017" s="38"/>
      <c r="U1017" s="34"/>
      <c r="V1017" s="255"/>
      <c r="W1017" s="34"/>
      <c r="X1017" s="3" t="b">
        <f t="shared" si="58"/>
        <v>0</v>
      </c>
      <c r="Y1017" s="3" t="b">
        <f t="shared" si="59"/>
        <v>0</v>
      </c>
    </row>
    <row r="1018" spans="14:25">
      <c r="N1018" s="34"/>
      <c r="O1018" s="34"/>
      <c r="P1018" s="34"/>
      <c r="Q1018" s="34"/>
      <c r="R1018" s="34"/>
      <c r="S1018" s="38"/>
      <c r="T1018" s="38"/>
      <c r="U1018" s="34"/>
      <c r="V1018" s="255"/>
      <c r="W1018" s="34"/>
      <c r="X1018" s="3" t="b">
        <f t="shared" si="58"/>
        <v>0</v>
      </c>
      <c r="Y1018" s="3" t="b">
        <f t="shared" si="59"/>
        <v>0</v>
      </c>
    </row>
    <row r="1019" spans="14:25">
      <c r="N1019" s="34"/>
      <c r="O1019" s="34"/>
      <c r="P1019" s="34"/>
      <c r="Q1019" s="34"/>
      <c r="R1019" s="34"/>
      <c r="S1019" s="38"/>
      <c r="T1019" s="38"/>
      <c r="U1019" s="34"/>
      <c r="V1019" s="255"/>
      <c r="W1019" s="34"/>
      <c r="X1019" s="3" t="b">
        <f t="shared" si="58"/>
        <v>0</v>
      </c>
      <c r="Y1019" s="3" t="b">
        <f t="shared" si="59"/>
        <v>0</v>
      </c>
    </row>
    <row r="1020" spans="14:25">
      <c r="N1020" s="34"/>
      <c r="O1020" s="34"/>
      <c r="P1020" s="34"/>
      <c r="Q1020" s="34"/>
      <c r="R1020" s="34"/>
      <c r="S1020" s="38"/>
      <c r="T1020" s="38"/>
      <c r="U1020" s="34"/>
      <c r="V1020" s="255"/>
      <c r="W1020" s="34"/>
      <c r="X1020" s="3" t="b">
        <f t="shared" si="58"/>
        <v>0</v>
      </c>
      <c r="Y1020" s="3" t="b">
        <f t="shared" si="59"/>
        <v>0</v>
      </c>
    </row>
    <row r="1021" spans="14:25">
      <c r="N1021" s="34"/>
      <c r="O1021" s="34"/>
      <c r="P1021" s="34"/>
      <c r="Q1021" s="34"/>
      <c r="R1021" s="34"/>
      <c r="S1021" s="38"/>
      <c r="T1021" s="38"/>
      <c r="U1021" s="34"/>
      <c r="V1021" s="255"/>
      <c r="W1021" s="34"/>
      <c r="X1021" s="3" t="b">
        <f t="shared" si="58"/>
        <v>0</v>
      </c>
      <c r="Y1021" s="3" t="b">
        <f t="shared" si="59"/>
        <v>0</v>
      </c>
    </row>
    <row r="1022" spans="14:25">
      <c r="N1022" s="34"/>
      <c r="O1022" s="34"/>
      <c r="P1022" s="34"/>
      <c r="Q1022" s="34"/>
      <c r="R1022" s="34"/>
      <c r="S1022" s="38"/>
      <c r="T1022" s="38"/>
      <c r="U1022" s="34"/>
      <c r="V1022" s="255"/>
      <c r="W1022" s="34"/>
      <c r="X1022" s="3" t="b">
        <f t="shared" si="58"/>
        <v>0</v>
      </c>
      <c r="Y1022" s="3" t="b">
        <f t="shared" si="59"/>
        <v>0</v>
      </c>
    </row>
    <row r="1023" spans="14:25">
      <c r="N1023" s="34"/>
      <c r="O1023" s="34"/>
      <c r="P1023" s="34"/>
      <c r="Q1023" s="34"/>
      <c r="R1023" s="34"/>
      <c r="S1023" s="38"/>
      <c r="T1023" s="38"/>
      <c r="U1023" s="34"/>
      <c r="V1023" s="255"/>
      <c r="W1023" s="34"/>
      <c r="X1023" s="3" t="b">
        <f t="shared" si="58"/>
        <v>0</v>
      </c>
      <c r="Y1023" s="3" t="b">
        <f t="shared" si="59"/>
        <v>0</v>
      </c>
    </row>
    <row r="1024" spans="14:25">
      <c r="N1024" s="34"/>
      <c r="O1024" s="34"/>
      <c r="P1024" s="34"/>
      <c r="Q1024" s="34"/>
      <c r="R1024" s="34"/>
      <c r="S1024" s="38"/>
      <c r="T1024" s="38"/>
      <c r="U1024" s="34"/>
      <c r="V1024" s="255"/>
      <c r="W1024" s="34"/>
      <c r="X1024" s="3" t="b">
        <f t="shared" si="58"/>
        <v>0</v>
      </c>
      <c r="Y1024" s="3" t="b">
        <f t="shared" si="59"/>
        <v>0</v>
      </c>
    </row>
    <row r="1025" spans="14:25">
      <c r="N1025" s="34"/>
      <c r="O1025" s="34"/>
      <c r="P1025" s="34"/>
      <c r="Q1025" s="34"/>
      <c r="R1025" s="34"/>
      <c r="S1025" s="38"/>
      <c r="T1025" s="38"/>
      <c r="U1025" s="34"/>
      <c r="V1025" s="255"/>
      <c r="W1025" s="34"/>
      <c r="X1025" s="3" t="b">
        <f t="shared" si="58"/>
        <v>0</v>
      </c>
      <c r="Y1025" s="3" t="b">
        <f t="shared" si="59"/>
        <v>0</v>
      </c>
    </row>
    <row r="1026" spans="14:25">
      <c r="N1026" s="34"/>
      <c r="O1026" s="34"/>
      <c r="P1026" s="34"/>
      <c r="Q1026" s="34"/>
      <c r="R1026" s="34"/>
      <c r="S1026" s="38"/>
      <c r="T1026" s="38"/>
      <c r="U1026" s="34"/>
      <c r="V1026" s="255"/>
      <c r="W1026" s="34"/>
      <c r="X1026" s="3" t="b">
        <f t="shared" si="58"/>
        <v>0</v>
      </c>
      <c r="Y1026" s="3" t="b">
        <f t="shared" si="59"/>
        <v>0</v>
      </c>
    </row>
    <row r="1027" spans="14:25">
      <c r="N1027" s="34"/>
      <c r="O1027" s="34"/>
      <c r="P1027" s="34"/>
      <c r="Q1027" s="34"/>
      <c r="R1027" s="34"/>
      <c r="S1027" s="38"/>
      <c r="T1027" s="38"/>
      <c r="U1027" s="34"/>
      <c r="V1027" s="255"/>
      <c r="W1027" s="34"/>
      <c r="X1027" s="3" t="b">
        <f t="shared" si="58"/>
        <v>0</v>
      </c>
      <c r="Y1027" s="3" t="b">
        <f t="shared" si="59"/>
        <v>0</v>
      </c>
    </row>
    <row r="1028" spans="14:25">
      <c r="N1028" s="34"/>
      <c r="O1028" s="34"/>
      <c r="P1028" s="34"/>
      <c r="Q1028" s="34"/>
      <c r="R1028" s="34"/>
      <c r="S1028" s="38"/>
      <c r="T1028" s="38"/>
      <c r="U1028" s="34"/>
      <c r="V1028" s="255"/>
      <c r="W1028" s="34"/>
      <c r="X1028" s="3" t="b">
        <f t="shared" si="58"/>
        <v>0</v>
      </c>
      <c r="Y1028" s="3" t="b">
        <f t="shared" si="59"/>
        <v>0</v>
      </c>
    </row>
    <row r="1029" spans="14:25">
      <c r="N1029" s="34"/>
      <c r="O1029" s="34"/>
      <c r="P1029" s="34"/>
      <c r="Q1029" s="34"/>
      <c r="R1029" s="34"/>
      <c r="S1029" s="38"/>
      <c r="T1029" s="38"/>
      <c r="U1029" s="34"/>
      <c r="V1029" s="255"/>
      <c r="W1029" s="34"/>
      <c r="X1029" s="3" t="b">
        <f t="shared" si="58"/>
        <v>0</v>
      </c>
      <c r="Y1029" s="3" t="b">
        <f t="shared" si="59"/>
        <v>0</v>
      </c>
    </row>
    <row r="1030" spans="14:25">
      <c r="N1030" s="34"/>
      <c r="O1030" s="34"/>
      <c r="P1030" s="34"/>
      <c r="Q1030" s="34"/>
      <c r="R1030" s="34"/>
      <c r="S1030" s="38"/>
      <c r="T1030" s="38"/>
      <c r="U1030" s="34"/>
      <c r="V1030" s="255"/>
      <c r="W1030" s="34"/>
      <c r="X1030" s="3" t="b">
        <f t="shared" si="58"/>
        <v>0</v>
      </c>
      <c r="Y1030" s="3" t="b">
        <f t="shared" si="59"/>
        <v>0</v>
      </c>
    </row>
    <row r="1031" spans="14:25">
      <c r="N1031" s="34"/>
      <c r="O1031" s="34"/>
      <c r="P1031" s="34"/>
      <c r="Q1031" s="34"/>
      <c r="R1031" s="34"/>
      <c r="S1031" s="38"/>
      <c r="T1031" s="38"/>
      <c r="U1031" s="34"/>
      <c r="V1031" s="255"/>
      <c r="W1031" s="34"/>
      <c r="X1031" s="3" t="b">
        <f t="shared" si="58"/>
        <v>0</v>
      </c>
      <c r="Y1031" s="3" t="b">
        <f t="shared" si="59"/>
        <v>0</v>
      </c>
    </row>
    <row r="1032" spans="14:25">
      <c r="N1032" s="34"/>
      <c r="O1032" s="34"/>
      <c r="P1032" s="34"/>
      <c r="Q1032" s="34"/>
      <c r="R1032" s="34"/>
      <c r="S1032" s="38"/>
      <c r="T1032" s="38"/>
      <c r="U1032" s="34"/>
      <c r="V1032" s="255"/>
      <c r="W1032" s="34"/>
      <c r="X1032" s="3" t="b">
        <f t="shared" si="58"/>
        <v>0</v>
      </c>
      <c r="Y1032" s="3" t="b">
        <f t="shared" si="59"/>
        <v>0</v>
      </c>
    </row>
    <row r="1033" spans="14:25">
      <c r="N1033" s="34"/>
      <c r="O1033" s="34"/>
      <c r="P1033" s="34"/>
      <c r="Q1033" s="34"/>
      <c r="R1033" s="34"/>
      <c r="S1033" s="38"/>
      <c r="T1033" s="38"/>
      <c r="U1033" s="34"/>
      <c r="V1033" s="255"/>
      <c r="W1033" s="34"/>
      <c r="X1033" s="3" t="b">
        <f t="shared" si="58"/>
        <v>0</v>
      </c>
      <c r="Y1033" s="3" t="b">
        <f t="shared" si="59"/>
        <v>0</v>
      </c>
    </row>
    <row r="1034" spans="14:25">
      <c r="N1034" s="34"/>
      <c r="O1034" s="34"/>
      <c r="P1034" s="34"/>
      <c r="Q1034" s="34"/>
      <c r="R1034" s="34"/>
      <c r="S1034" s="38"/>
      <c r="T1034" s="38"/>
      <c r="U1034" s="34"/>
      <c r="V1034" s="255"/>
      <c r="W1034" s="34"/>
      <c r="X1034" s="3" t="b">
        <f t="shared" si="58"/>
        <v>0</v>
      </c>
      <c r="Y1034" s="3" t="b">
        <f t="shared" si="59"/>
        <v>0</v>
      </c>
    </row>
    <row r="1035" spans="14:25">
      <c r="N1035" s="34"/>
      <c r="O1035" s="34"/>
      <c r="P1035" s="34"/>
      <c r="Q1035" s="34"/>
      <c r="R1035" s="34"/>
      <c r="S1035" s="38"/>
      <c r="T1035" s="38"/>
      <c r="U1035" s="34"/>
      <c r="V1035" s="255"/>
      <c r="W1035" s="34"/>
      <c r="X1035" s="3" t="b">
        <f t="shared" si="58"/>
        <v>0</v>
      </c>
      <c r="Y1035" s="3" t="b">
        <f t="shared" si="59"/>
        <v>0</v>
      </c>
    </row>
    <row r="1036" spans="14:25">
      <c r="N1036" s="34"/>
      <c r="O1036" s="34"/>
      <c r="P1036" s="34"/>
      <c r="Q1036" s="34"/>
      <c r="R1036" s="34"/>
      <c r="S1036" s="38"/>
      <c r="T1036" s="38"/>
      <c r="U1036" s="34"/>
      <c r="V1036" s="255"/>
      <c r="W1036" s="34"/>
      <c r="X1036" s="3" t="b">
        <f t="shared" si="58"/>
        <v>0</v>
      </c>
      <c r="Y1036" s="3" t="b">
        <f t="shared" si="59"/>
        <v>0</v>
      </c>
    </row>
    <row r="1037" spans="14:25">
      <c r="N1037" s="34"/>
      <c r="O1037" s="34"/>
      <c r="P1037" s="34"/>
      <c r="Q1037" s="34"/>
      <c r="R1037" s="34"/>
      <c r="S1037" s="38"/>
      <c r="T1037" s="38"/>
      <c r="U1037" s="34"/>
      <c r="V1037" s="255"/>
      <c r="W1037" s="34"/>
      <c r="X1037" s="3" t="b">
        <f t="shared" si="58"/>
        <v>0</v>
      </c>
      <c r="Y1037" s="3" t="b">
        <f t="shared" si="59"/>
        <v>0</v>
      </c>
    </row>
    <row r="1038" spans="14:25">
      <c r="N1038" s="34"/>
      <c r="O1038" s="34"/>
      <c r="P1038" s="34"/>
      <c r="Q1038" s="34"/>
      <c r="R1038" s="34"/>
      <c r="S1038" s="38"/>
      <c r="T1038" s="38"/>
      <c r="U1038" s="34"/>
      <c r="V1038" s="255"/>
      <c r="W1038" s="34"/>
      <c r="X1038" s="3" t="b">
        <f t="shared" si="58"/>
        <v>0</v>
      </c>
      <c r="Y1038" s="3" t="b">
        <f t="shared" si="59"/>
        <v>0</v>
      </c>
    </row>
    <row r="1039" spans="14:25">
      <c r="N1039" s="34"/>
      <c r="O1039" s="34"/>
      <c r="P1039" s="34"/>
      <c r="Q1039" s="34"/>
      <c r="R1039" s="34"/>
      <c r="S1039" s="38"/>
      <c r="T1039" s="38"/>
      <c r="U1039" s="34"/>
      <c r="V1039" s="255"/>
      <c r="W1039" s="34"/>
      <c r="X1039" s="3" t="b">
        <f t="shared" si="58"/>
        <v>0</v>
      </c>
      <c r="Y1039" s="3" t="b">
        <f t="shared" si="59"/>
        <v>0</v>
      </c>
    </row>
    <row r="1040" spans="14:25">
      <c r="N1040" s="34"/>
      <c r="O1040" s="34"/>
      <c r="P1040" s="34"/>
      <c r="Q1040" s="34"/>
      <c r="R1040" s="34"/>
      <c r="S1040" s="38"/>
      <c r="T1040" s="38"/>
      <c r="U1040" s="34"/>
      <c r="V1040" s="255"/>
      <c r="W1040" s="34"/>
      <c r="X1040" s="3" t="b">
        <f t="shared" si="58"/>
        <v>0</v>
      </c>
      <c r="Y1040" s="3" t="b">
        <f t="shared" si="59"/>
        <v>0</v>
      </c>
    </row>
    <row r="1041" spans="14:25">
      <c r="N1041" s="34"/>
      <c r="O1041" s="34"/>
      <c r="P1041" s="34"/>
      <c r="Q1041" s="34"/>
      <c r="R1041" s="34"/>
      <c r="S1041" s="38"/>
      <c r="T1041" s="38"/>
      <c r="U1041" s="34"/>
      <c r="V1041" s="255"/>
      <c r="W1041" s="34"/>
      <c r="X1041" s="3" t="b">
        <f t="shared" si="58"/>
        <v>0</v>
      </c>
      <c r="Y1041" s="3" t="b">
        <f t="shared" si="59"/>
        <v>0</v>
      </c>
    </row>
    <row r="1042" spans="14:25">
      <c r="N1042" s="34"/>
      <c r="O1042" s="34"/>
      <c r="P1042" s="34"/>
      <c r="Q1042" s="34"/>
      <c r="R1042" s="34"/>
      <c r="S1042" s="38"/>
      <c r="T1042" s="38"/>
      <c r="U1042" s="34"/>
      <c r="V1042" s="255"/>
      <c r="W1042" s="34"/>
      <c r="X1042" s="3" t="b">
        <f t="shared" si="58"/>
        <v>0</v>
      </c>
      <c r="Y1042" s="3" t="b">
        <f t="shared" si="59"/>
        <v>0</v>
      </c>
    </row>
    <row r="1043" spans="14:25">
      <c r="N1043" s="34"/>
      <c r="O1043" s="34"/>
      <c r="P1043" s="34"/>
      <c r="Q1043" s="34"/>
      <c r="R1043" s="34"/>
      <c r="S1043" s="38"/>
      <c r="T1043" s="38"/>
      <c r="U1043" s="34"/>
      <c r="V1043" s="255"/>
      <c r="W1043" s="34"/>
      <c r="X1043" s="3" t="b">
        <f t="shared" si="58"/>
        <v>0</v>
      </c>
      <c r="Y1043" s="3" t="b">
        <f t="shared" si="59"/>
        <v>0</v>
      </c>
    </row>
    <row r="1044" spans="14:25">
      <c r="N1044" s="34"/>
      <c r="O1044" s="34"/>
      <c r="P1044" s="34"/>
      <c r="Q1044" s="34"/>
      <c r="R1044" s="34"/>
      <c r="S1044" s="38"/>
      <c r="T1044" s="38"/>
      <c r="U1044" s="34"/>
      <c r="V1044" s="255"/>
      <c r="W1044" s="34"/>
      <c r="X1044" s="3" t="b">
        <f t="shared" si="58"/>
        <v>0</v>
      </c>
      <c r="Y1044" s="3" t="b">
        <f t="shared" si="59"/>
        <v>0</v>
      </c>
    </row>
    <row r="1045" spans="14:25">
      <c r="N1045" s="34"/>
      <c r="O1045" s="34"/>
      <c r="P1045" s="34"/>
      <c r="Q1045" s="34"/>
      <c r="R1045" s="34"/>
      <c r="S1045" s="38"/>
      <c r="T1045" s="38"/>
      <c r="U1045" s="34"/>
      <c r="V1045" s="255"/>
      <c r="W1045" s="34"/>
      <c r="X1045" s="3" t="b">
        <f t="shared" si="58"/>
        <v>0</v>
      </c>
      <c r="Y1045" s="3" t="b">
        <f t="shared" si="59"/>
        <v>0</v>
      </c>
    </row>
    <row r="1046" spans="14:25">
      <c r="N1046" s="34"/>
      <c r="O1046" s="34"/>
      <c r="P1046" s="34"/>
      <c r="Q1046" s="34"/>
      <c r="R1046" s="34"/>
      <c r="S1046" s="38"/>
      <c r="T1046" s="38"/>
      <c r="U1046" s="34"/>
      <c r="V1046" s="255"/>
      <c r="W1046" s="34"/>
      <c r="X1046" s="3" t="b">
        <f t="shared" si="58"/>
        <v>0</v>
      </c>
      <c r="Y1046" s="3" t="b">
        <f t="shared" si="59"/>
        <v>0</v>
      </c>
    </row>
    <row r="1047" spans="14:25">
      <c r="N1047" s="34"/>
      <c r="O1047" s="34"/>
      <c r="P1047" s="34"/>
      <c r="Q1047" s="34"/>
      <c r="R1047" s="34"/>
      <c r="S1047" s="38"/>
      <c r="T1047" s="38"/>
      <c r="U1047" s="34"/>
      <c r="V1047" s="255"/>
      <c r="W1047" s="34"/>
      <c r="X1047" s="3" t="b">
        <f t="shared" si="58"/>
        <v>0</v>
      </c>
      <c r="Y1047" s="3" t="b">
        <f t="shared" si="59"/>
        <v>0</v>
      </c>
    </row>
    <row r="1048" spans="14:25">
      <c r="N1048" s="34"/>
      <c r="O1048" s="34"/>
      <c r="P1048" s="34"/>
      <c r="Q1048" s="34"/>
      <c r="R1048" s="34"/>
      <c r="S1048" s="38"/>
      <c r="T1048" s="38"/>
      <c r="U1048" s="34"/>
      <c r="V1048" s="255"/>
      <c r="W1048" s="34"/>
      <c r="X1048" s="3" t="b">
        <f t="shared" si="58"/>
        <v>0</v>
      </c>
      <c r="Y1048" s="3" t="b">
        <f t="shared" si="59"/>
        <v>0</v>
      </c>
    </row>
    <row r="1049" spans="14:25">
      <c r="N1049" s="34"/>
      <c r="O1049" s="34"/>
      <c r="P1049" s="34"/>
      <c r="Q1049" s="34"/>
      <c r="R1049" s="34"/>
      <c r="S1049" s="38"/>
      <c r="T1049" s="38"/>
      <c r="U1049" s="34"/>
      <c r="V1049" s="255"/>
      <c r="W1049" s="34"/>
      <c r="X1049" s="3" t="b">
        <f t="shared" si="58"/>
        <v>0</v>
      </c>
      <c r="Y1049" s="3" t="b">
        <f t="shared" si="59"/>
        <v>0</v>
      </c>
    </row>
    <row r="1050" spans="14:25">
      <c r="N1050" s="34"/>
      <c r="O1050" s="34"/>
      <c r="P1050" s="34"/>
      <c r="Q1050" s="34"/>
      <c r="R1050" s="34"/>
      <c r="S1050" s="38"/>
      <c r="T1050" s="38"/>
      <c r="U1050" s="34"/>
      <c r="V1050" s="255"/>
      <c r="W1050" s="34"/>
      <c r="X1050" s="3" t="b">
        <f t="shared" si="58"/>
        <v>0</v>
      </c>
      <c r="Y1050" s="3" t="b">
        <f t="shared" si="59"/>
        <v>0</v>
      </c>
    </row>
    <row r="1051" spans="14:25">
      <c r="N1051" s="34"/>
      <c r="O1051" s="34"/>
      <c r="P1051" s="34"/>
      <c r="Q1051" s="34"/>
      <c r="R1051" s="34"/>
      <c r="S1051" s="38"/>
      <c r="T1051" s="38"/>
      <c r="U1051" s="34"/>
      <c r="V1051" s="255"/>
      <c r="W1051" s="34"/>
      <c r="X1051" s="3" t="b">
        <f t="shared" si="58"/>
        <v>0</v>
      </c>
      <c r="Y1051" s="3" t="b">
        <f t="shared" si="59"/>
        <v>0</v>
      </c>
    </row>
    <row r="1052" spans="14:25">
      <c r="N1052" s="34"/>
      <c r="O1052" s="34"/>
      <c r="P1052" s="34"/>
      <c r="Q1052" s="34"/>
      <c r="R1052" s="34"/>
      <c r="S1052" s="38"/>
      <c r="T1052" s="38"/>
      <c r="U1052" s="34"/>
      <c r="V1052" s="255"/>
      <c r="W1052" s="34"/>
      <c r="X1052" s="3" t="b">
        <f t="shared" si="58"/>
        <v>0</v>
      </c>
      <c r="Y1052" s="3" t="b">
        <f t="shared" si="59"/>
        <v>0</v>
      </c>
    </row>
    <row r="1053" spans="14:25">
      <c r="N1053" s="34"/>
      <c r="O1053" s="34"/>
      <c r="P1053" s="34"/>
      <c r="Q1053" s="34"/>
      <c r="R1053" s="34"/>
      <c r="S1053" s="38"/>
      <c r="T1053" s="38"/>
      <c r="U1053" s="34"/>
      <c r="V1053" s="255"/>
      <c r="W1053" s="34"/>
      <c r="X1053" s="3" t="b">
        <f t="shared" si="58"/>
        <v>0</v>
      </c>
      <c r="Y1053" s="3" t="b">
        <f t="shared" si="59"/>
        <v>0</v>
      </c>
    </row>
    <row r="1054" spans="14:25">
      <c r="N1054" s="34"/>
      <c r="O1054" s="34"/>
      <c r="P1054" s="34"/>
      <c r="Q1054" s="34"/>
      <c r="R1054" s="34"/>
      <c r="S1054" s="38"/>
      <c r="T1054" s="38"/>
      <c r="U1054" s="34"/>
      <c r="V1054" s="255"/>
      <c r="W1054" s="34"/>
      <c r="X1054" s="3" t="b">
        <f t="shared" si="58"/>
        <v>0</v>
      </c>
      <c r="Y1054" s="3" t="b">
        <f t="shared" si="59"/>
        <v>0</v>
      </c>
    </row>
    <row r="1055" spans="14:25">
      <c r="N1055" s="34"/>
      <c r="O1055" s="34"/>
      <c r="P1055" s="34"/>
      <c r="Q1055" s="34"/>
      <c r="R1055" s="34"/>
      <c r="S1055" s="38"/>
      <c r="T1055" s="38"/>
      <c r="U1055" s="34"/>
      <c r="V1055" s="255"/>
      <c r="W1055" s="34"/>
      <c r="X1055" s="3" t="b">
        <f t="shared" si="58"/>
        <v>0</v>
      </c>
      <c r="Y1055" s="3" t="b">
        <f t="shared" si="59"/>
        <v>0</v>
      </c>
    </row>
    <row r="1056" spans="14:25">
      <c r="N1056" s="34"/>
      <c r="O1056" s="34"/>
      <c r="P1056" s="34"/>
      <c r="Q1056" s="34"/>
      <c r="R1056" s="34"/>
      <c r="S1056" s="38"/>
      <c r="T1056" s="38"/>
      <c r="U1056" s="34"/>
      <c r="V1056" s="255"/>
      <c r="W1056" s="34"/>
      <c r="X1056" s="3" t="b">
        <f t="shared" si="58"/>
        <v>0</v>
      </c>
      <c r="Y1056" s="3" t="b">
        <f t="shared" si="59"/>
        <v>0</v>
      </c>
    </row>
    <row r="1057" spans="14:25">
      <c r="N1057" s="34"/>
      <c r="O1057" s="34"/>
      <c r="P1057" s="34"/>
      <c r="Q1057" s="34"/>
      <c r="R1057" s="34"/>
      <c r="S1057" s="38"/>
      <c r="T1057" s="38"/>
      <c r="U1057" s="34"/>
      <c r="V1057" s="255"/>
      <c r="W1057" s="34"/>
      <c r="X1057" s="3" t="b">
        <f t="shared" si="58"/>
        <v>0</v>
      </c>
      <c r="Y1057" s="3" t="b">
        <f t="shared" si="59"/>
        <v>0</v>
      </c>
    </row>
    <row r="1058" spans="14:25">
      <c r="N1058" s="34"/>
      <c r="O1058" s="34"/>
      <c r="P1058" s="34"/>
      <c r="Q1058" s="34"/>
      <c r="R1058" s="34"/>
      <c r="S1058" s="38"/>
      <c r="T1058" s="38"/>
      <c r="U1058" s="34"/>
      <c r="V1058" s="255"/>
      <c r="W1058" s="34"/>
      <c r="X1058" s="3" t="b">
        <f t="shared" si="58"/>
        <v>0</v>
      </c>
      <c r="Y1058" s="3" t="b">
        <f t="shared" si="59"/>
        <v>0</v>
      </c>
    </row>
    <row r="1059" spans="14:25">
      <c r="N1059" s="34"/>
      <c r="O1059" s="34"/>
      <c r="P1059" s="34"/>
      <c r="Q1059" s="34"/>
      <c r="R1059" s="34"/>
      <c r="S1059" s="38"/>
      <c r="T1059" s="38"/>
      <c r="U1059" s="34"/>
      <c r="V1059" s="255"/>
      <c r="W1059" s="34"/>
      <c r="X1059" s="3" t="b">
        <f t="shared" si="58"/>
        <v>0</v>
      </c>
      <c r="Y1059" s="3" t="b">
        <f t="shared" si="59"/>
        <v>0</v>
      </c>
    </row>
    <row r="1060" spans="14:25">
      <c r="N1060" s="34"/>
      <c r="O1060" s="34"/>
      <c r="P1060" s="34"/>
      <c r="Q1060" s="34"/>
      <c r="R1060" s="34"/>
      <c r="S1060" s="38"/>
      <c r="T1060" s="38"/>
      <c r="U1060" s="34"/>
      <c r="V1060" s="255"/>
      <c r="W1060" s="34"/>
      <c r="X1060" s="3" t="b">
        <f t="shared" si="58"/>
        <v>0</v>
      </c>
      <c r="Y1060" s="3" t="b">
        <f t="shared" si="59"/>
        <v>0</v>
      </c>
    </row>
    <row r="1061" spans="14:25">
      <c r="N1061" s="34"/>
      <c r="O1061" s="34"/>
      <c r="P1061" s="34"/>
      <c r="Q1061" s="34"/>
      <c r="R1061" s="34"/>
      <c r="S1061" s="38"/>
      <c r="T1061" s="38"/>
      <c r="U1061" s="34"/>
      <c r="V1061" s="255"/>
      <c r="W1061" s="34"/>
      <c r="X1061" s="3" t="b">
        <f t="shared" si="58"/>
        <v>0</v>
      </c>
      <c r="Y1061" s="3" t="b">
        <f t="shared" si="59"/>
        <v>0</v>
      </c>
    </row>
    <row r="1062" spans="14:25">
      <c r="N1062" s="34"/>
      <c r="O1062" s="34"/>
      <c r="P1062" s="34"/>
      <c r="Q1062" s="34"/>
      <c r="R1062" s="34"/>
      <c r="S1062" s="38"/>
      <c r="T1062" s="38"/>
      <c r="U1062" s="34"/>
      <c r="V1062" s="255"/>
      <c r="W1062" s="34"/>
      <c r="X1062" s="3" t="b">
        <f t="shared" si="58"/>
        <v>0</v>
      </c>
      <c r="Y1062" s="3" t="b">
        <f t="shared" si="59"/>
        <v>0</v>
      </c>
    </row>
    <row r="1063" spans="14:25">
      <c r="N1063" s="34"/>
      <c r="O1063" s="34"/>
      <c r="P1063" s="34"/>
      <c r="Q1063" s="34"/>
      <c r="R1063" s="34"/>
      <c r="S1063" s="38"/>
      <c r="T1063" s="38"/>
      <c r="U1063" s="34"/>
      <c r="V1063" s="255"/>
      <c r="W1063" s="34"/>
      <c r="X1063" s="3" t="b">
        <f t="shared" si="58"/>
        <v>0</v>
      </c>
      <c r="Y1063" s="3" t="b">
        <f t="shared" si="59"/>
        <v>0</v>
      </c>
    </row>
    <row r="1064" spans="14:25">
      <c r="N1064" s="34"/>
      <c r="O1064" s="34"/>
      <c r="P1064" s="34"/>
      <c r="Q1064" s="34"/>
      <c r="R1064" s="34"/>
      <c r="S1064" s="38"/>
      <c r="T1064" s="38"/>
      <c r="U1064" s="34"/>
      <c r="V1064" s="255"/>
      <c r="W1064" s="34"/>
      <c r="X1064" s="3" t="b">
        <f t="shared" si="58"/>
        <v>0</v>
      </c>
      <c r="Y1064" s="3" t="b">
        <f t="shared" si="59"/>
        <v>0</v>
      </c>
    </row>
    <row r="1065" spans="14:25">
      <c r="N1065" s="34"/>
      <c r="O1065" s="34"/>
      <c r="P1065" s="34"/>
      <c r="Q1065" s="34"/>
      <c r="R1065" s="34"/>
      <c r="S1065" s="38"/>
      <c r="T1065" s="38"/>
      <c r="U1065" s="34"/>
      <c r="V1065" s="255"/>
      <c r="W1065" s="34"/>
      <c r="X1065" s="3" t="b">
        <f t="shared" si="58"/>
        <v>0</v>
      </c>
      <c r="Y1065" s="3" t="b">
        <f t="shared" si="59"/>
        <v>0</v>
      </c>
    </row>
    <row r="1066" spans="14:25">
      <c r="N1066" s="34"/>
      <c r="O1066" s="34"/>
      <c r="P1066" s="34"/>
      <c r="Q1066" s="34"/>
      <c r="R1066" s="34"/>
      <c r="S1066" s="38"/>
      <c r="T1066" s="38"/>
      <c r="U1066" s="34"/>
      <c r="V1066" s="255"/>
      <c r="W1066" s="34"/>
      <c r="X1066" s="3" t="b">
        <f t="shared" si="58"/>
        <v>0</v>
      </c>
      <c r="Y1066" s="3" t="b">
        <f t="shared" si="59"/>
        <v>0</v>
      </c>
    </row>
    <row r="1067" spans="14:25">
      <c r="N1067" s="34"/>
      <c r="O1067" s="34"/>
      <c r="P1067" s="34"/>
      <c r="Q1067" s="34"/>
      <c r="R1067" s="34"/>
      <c r="S1067" s="38"/>
      <c r="T1067" s="38"/>
      <c r="U1067" s="34"/>
      <c r="V1067" s="255"/>
      <c r="W1067" s="34"/>
      <c r="X1067" s="3" t="b">
        <f t="shared" si="58"/>
        <v>0</v>
      </c>
      <c r="Y1067" s="3" t="b">
        <f t="shared" si="59"/>
        <v>0</v>
      </c>
    </row>
    <row r="1068" spans="14:25">
      <c r="N1068" s="34"/>
      <c r="O1068" s="34"/>
      <c r="P1068" s="34"/>
      <c r="Q1068" s="34"/>
      <c r="R1068" s="34"/>
      <c r="S1068" s="38"/>
      <c r="T1068" s="38"/>
      <c r="U1068" s="34"/>
      <c r="V1068" s="255"/>
      <c r="W1068" s="34"/>
      <c r="X1068" s="3" t="b">
        <f t="shared" ref="X1068:X1131" si="60">IF(OR(Q1068="Stock to Rack",Q1068="From Stock"),-P1068,IF(OR(Q1068="Rack to Stock",Q1068="To Stock"),P1068))</f>
        <v>0</v>
      </c>
      <c r="Y1068" s="3" t="b">
        <f t="shared" ref="Y1068:Y1131" si="61">IF(Q1068="Rack to Stock",-P1068,IF(Q1068="Stock to Rack",P1068))</f>
        <v>0</v>
      </c>
    </row>
    <row r="1069" spans="14:25">
      <c r="N1069" s="34"/>
      <c r="O1069" s="34"/>
      <c r="P1069" s="34"/>
      <c r="Q1069" s="34"/>
      <c r="R1069" s="34"/>
      <c r="S1069" s="38"/>
      <c r="T1069" s="38"/>
      <c r="U1069" s="34"/>
      <c r="V1069" s="255"/>
      <c r="W1069" s="34"/>
      <c r="X1069" s="3" t="b">
        <f t="shared" si="60"/>
        <v>0</v>
      </c>
      <c r="Y1069" s="3" t="b">
        <f t="shared" si="61"/>
        <v>0</v>
      </c>
    </row>
    <row r="1070" spans="14:25">
      <c r="N1070" s="34"/>
      <c r="O1070" s="34"/>
      <c r="P1070" s="34"/>
      <c r="Q1070" s="34"/>
      <c r="R1070" s="34"/>
      <c r="S1070" s="38"/>
      <c r="T1070" s="38"/>
      <c r="U1070" s="34"/>
      <c r="V1070" s="255"/>
      <c r="W1070" s="34"/>
      <c r="X1070" s="3" t="b">
        <f t="shared" si="60"/>
        <v>0</v>
      </c>
      <c r="Y1070" s="3" t="b">
        <f t="shared" si="61"/>
        <v>0</v>
      </c>
    </row>
    <row r="1071" spans="14:25">
      <c r="N1071" s="34"/>
      <c r="O1071" s="34"/>
      <c r="P1071" s="34"/>
      <c r="Q1071" s="34"/>
      <c r="R1071" s="34"/>
      <c r="S1071" s="38"/>
      <c r="T1071" s="38"/>
      <c r="U1071" s="34"/>
      <c r="V1071" s="255"/>
      <c r="W1071" s="34"/>
      <c r="X1071" s="3" t="b">
        <f t="shared" si="60"/>
        <v>0</v>
      </c>
      <c r="Y1071" s="3" t="b">
        <f t="shared" si="61"/>
        <v>0</v>
      </c>
    </row>
    <row r="1072" spans="14:25">
      <c r="N1072" s="34"/>
      <c r="O1072" s="34"/>
      <c r="P1072" s="34"/>
      <c r="Q1072" s="34"/>
      <c r="R1072" s="34"/>
      <c r="S1072" s="38"/>
      <c r="T1072" s="38"/>
      <c r="U1072" s="34"/>
      <c r="V1072" s="255"/>
      <c r="W1072" s="34"/>
      <c r="X1072" s="3" t="b">
        <f t="shared" si="60"/>
        <v>0</v>
      </c>
      <c r="Y1072" s="3" t="b">
        <f t="shared" si="61"/>
        <v>0</v>
      </c>
    </row>
    <row r="1073" spans="14:25">
      <c r="N1073" s="34"/>
      <c r="O1073" s="34"/>
      <c r="P1073" s="34"/>
      <c r="Q1073" s="34"/>
      <c r="R1073" s="34"/>
      <c r="S1073" s="38"/>
      <c r="T1073" s="38"/>
      <c r="U1073" s="34"/>
      <c r="V1073" s="255"/>
      <c r="W1073" s="34"/>
      <c r="X1073" s="3" t="b">
        <f t="shared" si="60"/>
        <v>0</v>
      </c>
      <c r="Y1073" s="3" t="b">
        <f t="shared" si="61"/>
        <v>0</v>
      </c>
    </row>
    <row r="1074" spans="14:25">
      <c r="N1074" s="34"/>
      <c r="O1074" s="34"/>
      <c r="P1074" s="34"/>
      <c r="Q1074" s="34"/>
      <c r="R1074" s="34"/>
      <c r="S1074" s="38"/>
      <c r="T1074" s="38"/>
      <c r="U1074" s="34"/>
      <c r="V1074" s="255"/>
      <c r="W1074" s="34"/>
      <c r="X1074" s="3" t="b">
        <f t="shared" si="60"/>
        <v>0</v>
      </c>
      <c r="Y1074" s="3" t="b">
        <f t="shared" si="61"/>
        <v>0</v>
      </c>
    </row>
    <row r="1075" spans="14:25">
      <c r="N1075" s="34"/>
      <c r="O1075" s="34"/>
      <c r="P1075" s="34"/>
      <c r="Q1075" s="34"/>
      <c r="R1075" s="34"/>
      <c r="S1075" s="38"/>
      <c r="T1075" s="38"/>
      <c r="U1075" s="34"/>
      <c r="V1075" s="255"/>
      <c r="W1075" s="34"/>
      <c r="X1075" s="3" t="b">
        <f t="shared" si="60"/>
        <v>0</v>
      </c>
      <c r="Y1075" s="3" t="b">
        <f t="shared" si="61"/>
        <v>0</v>
      </c>
    </row>
    <row r="1076" spans="14:25">
      <c r="N1076" s="34"/>
      <c r="O1076" s="34"/>
      <c r="P1076" s="34"/>
      <c r="Q1076" s="34"/>
      <c r="R1076" s="34"/>
      <c r="S1076" s="38"/>
      <c r="T1076" s="38"/>
      <c r="U1076" s="34"/>
      <c r="V1076" s="255"/>
      <c r="W1076" s="34"/>
      <c r="X1076" s="3" t="b">
        <f t="shared" si="60"/>
        <v>0</v>
      </c>
      <c r="Y1076" s="3" t="b">
        <f t="shared" si="61"/>
        <v>0</v>
      </c>
    </row>
    <row r="1077" spans="14:25">
      <c r="N1077" s="34"/>
      <c r="O1077" s="34"/>
      <c r="P1077" s="34"/>
      <c r="Q1077" s="34"/>
      <c r="R1077" s="34"/>
      <c r="S1077" s="38"/>
      <c r="T1077" s="38"/>
      <c r="U1077" s="34"/>
      <c r="V1077" s="255"/>
      <c r="W1077" s="34"/>
      <c r="X1077" s="3" t="b">
        <f t="shared" si="60"/>
        <v>0</v>
      </c>
      <c r="Y1077" s="3" t="b">
        <f t="shared" si="61"/>
        <v>0</v>
      </c>
    </row>
    <row r="1078" spans="14:25">
      <c r="N1078" s="34"/>
      <c r="O1078" s="34"/>
      <c r="P1078" s="34"/>
      <c r="Q1078" s="34"/>
      <c r="R1078" s="34"/>
      <c r="S1078" s="38"/>
      <c r="T1078" s="38"/>
      <c r="U1078" s="34"/>
      <c r="V1078" s="255"/>
      <c r="W1078" s="34"/>
      <c r="X1078" s="3" t="b">
        <f t="shared" si="60"/>
        <v>0</v>
      </c>
      <c r="Y1078" s="3" t="b">
        <f t="shared" si="61"/>
        <v>0</v>
      </c>
    </row>
    <row r="1079" spans="14:25">
      <c r="N1079" s="34"/>
      <c r="O1079" s="34"/>
      <c r="P1079" s="34"/>
      <c r="Q1079" s="34"/>
      <c r="R1079" s="34"/>
      <c r="S1079" s="38"/>
      <c r="T1079" s="38"/>
      <c r="U1079" s="34"/>
      <c r="V1079" s="255"/>
      <c r="W1079" s="34"/>
      <c r="X1079" s="3" t="b">
        <f t="shared" si="60"/>
        <v>0</v>
      </c>
      <c r="Y1079" s="3" t="b">
        <f t="shared" si="61"/>
        <v>0</v>
      </c>
    </row>
    <row r="1080" spans="14:25">
      <c r="N1080" s="34"/>
      <c r="O1080" s="34"/>
      <c r="P1080" s="34"/>
      <c r="Q1080" s="34"/>
      <c r="R1080" s="34"/>
      <c r="S1080" s="38"/>
      <c r="T1080" s="38"/>
      <c r="U1080" s="34"/>
      <c r="V1080" s="255"/>
      <c r="W1080" s="34"/>
      <c r="X1080" s="3" t="b">
        <f t="shared" si="60"/>
        <v>0</v>
      </c>
      <c r="Y1080" s="3" t="b">
        <f t="shared" si="61"/>
        <v>0</v>
      </c>
    </row>
    <row r="1081" spans="14:25">
      <c r="N1081" s="34"/>
      <c r="O1081" s="34"/>
      <c r="P1081" s="34"/>
      <c r="Q1081" s="34"/>
      <c r="R1081" s="34"/>
      <c r="S1081" s="38"/>
      <c r="T1081" s="38"/>
      <c r="U1081" s="34"/>
      <c r="V1081" s="255"/>
      <c r="W1081" s="34"/>
      <c r="X1081" s="3" t="b">
        <f t="shared" si="60"/>
        <v>0</v>
      </c>
      <c r="Y1081" s="3" t="b">
        <f t="shared" si="61"/>
        <v>0</v>
      </c>
    </row>
    <row r="1082" spans="14:25">
      <c r="N1082" s="34"/>
      <c r="O1082" s="34"/>
      <c r="P1082" s="34"/>
      <c r="Q1082" s="34"/>
      <c r="R1082" s="34"/>
      <c r="S1082" s="38"/>
      <c r="T1082" s="38"/>
      <c r="U1082" s="34"/>
      <c r="V1082" s="255"/>
      <c r="W1082" s="34"/>
      <c r="X1082" s="3" t="b">
        <f t="shared" si="60"/>
        <v>0</v>
      </c>
      <c r="Y1082" s="3" t="b">
        <f t="shared" si="61"/>
        <v>0</v>
      </c>
    </row>
    <row r="1083" spans="14:25">
      <c r="N1083" s="34"/>
      <c r="O1083" s="34"/>
      <c r="P1083" s="34"/>
      <c r="Q1083" s="34"/>
      <c r="R1083" s="34"/>
      <c r="S1083" s="38"/>
      <c r="T1083" s="38"/>
      <c r="U1083" s="34"/>
      <c r="V1083" s="255"/>
      <c r="W1083" s="34"/>
      <c r="X1083" s="3" t="b">
        <f t="shared" si="60"/>
        <v>0</v>
      </c>
      <c r="Y1083" s="3" t="b">
        <f t="shared" si="61"/>
        <v>0</v>
      </c>
    </row>
    <row r="1084" spans="14:25">
      <c r="N1084" s="34"/>
      <c r="O1084" s="34"/>
      <c r="P1084" s="34"/>
      <c r="Q1084" s="34"/>
      <c r="R1084" s="34"/>
      <c r="S1084" s="38"/>
      <c r="T1084" s="38"/>
      <c r="U1084" s="34"/>
      <c r="V1084" s="255"/>
      <c r="W1084" s="34"/>
      <c r="X1084" s="3" t="b">
        <f t="shared" si="60"/>
        <v>0</v>
      </c>
      <c r="Y1084" s="3" t="b">
        <f t="shared" si="61"/>
        <v>0</v>
      </c>
    </row>
    <row r="1085" spans="14:25">
      <c r="N1085" s="34"/>
      <c r="O1085" s="34"/>
      <c r="P1085" s="34"/>
      <c r="Q1085" s="34"/>
      <c r="R1085" s="34"/>
      <c r="S1085" s="38"/>
      <c r="T1085" s="38"/>
      <c r="U1085" s="34"/>
      <c r="V1085" s="255"/>
      <c r="W1085" s="34"/>
      <c r="X1085" s="3" t="b">
        <f t="shared" si="60"/>
        <v>0</v>
      </c>
      <c r="Y1085" s="3" t="b">
        <f t="shared" si="61"/>
        <v>0</v>
      </c>
    </row>
    <row r="1086" spans="14:25">
      <c r="N1086" s="34"/>
      <c r="O1086" s="34"/>
      <c r="P1086" s="34"/>
      <c r="Q1086" s="34"/>
      <c r="R1086" s="34"/>
      <c r="S1086" s="38"/>
      <c r="T1086" s="38"/>
      <c r="U1086" s="34"/>
      <c r="V1086" s="255"/>
      <c r="W1086" s="34"/>
      <c r="X1086" s="3" t="b">
        <f t="shared" si="60"/>
        <v>0</v>
      </c>
      <c r="Y1086" s="3" t="b">
        <f t="shared" si="61"/>
        <v>0</v>
      </c>
    </row>
    <row r="1087" spans="14:25">
      <c r="N1087" s="34"/>
      <c r="O1087" s="34"/>
      <c r="P1087" s="34"/>
      <c r="Q1087" s="34"/>
      <c r="R1087" s="34"/>
      <c r="S1087" s="38"/>
      <c r="T1087" s="38"/>
      <c r="U1087" s="34"/>
      <c r="V1087" s="255"/>
      <c r="W1087" s="34"/>
      <c r="X1087" s="3" t="b">
        <f t="shared" si="60"/>
        <v>0</v>
      </c>
      <c r="Y1087" s="3" t="b">
        <f t="shared" si="61"/>
        <v>0</v>
      </c>
    </row>
    <row r="1088" spans="14:25">
      <c r="N1088" s="34"/>
      <c r="O1088" s="34"/>
      <c r="P1088" s="34"/>
      <c r="Q1088" s="34"/>
      <c r="R1088" s="34"/>
      <c r="S1088" s="38"/>
      <c r="T1088" s="38"/>
      <c r="U1088" s="34"/>
      <c r="V1088" s="255"/>
      <c r="W1088" s="34"/>
      <c r="X1088" s="3" t="b">
        <f t="shared" si="60"/>
        <v>0</v>
      </c>
      <c r="Y1088" s="3" t="b">
        <f t="shared" si="61"/>
        <v>0</v>
      </c>
    </row>
    <row r="1089" spans="14:25">
      <c r="N1089" s="34"/>
      <c r="O1089" s="34"/>
      <c r="P1089" s="34"/>
      <c r="Q1089" s="34"/>
      <c r="R1089" s="34"/>
      <c r="S1089" s="38"/>
      <c r="T1089" s="38"/>
      <c r="U1089" s="34"/>
      <c r="V1089" s="255"/>
      <c r="W1089" s="34"/>
      <c r="X1089" s="3" t="b">
        <f t="shared" si="60"/>
        <v>0</v>
      </c>
      <c r="Y1089" s="3" t="b">
        <f t="shared" si="61"/>
        <v>0</v>
      </c>
    </row>
    <row r="1090" spans="14:25">
      <c r="N1090" s="34"/>
      <c r="O1090" s="34"/>
      <c r="P1090" s="34"/>
      <c r="Q1090" s="34"/>
      <c r="R1090" s="34"/>
      <c r="S1090" s="38"/>
      <c r="T1090" s="38"/>
      <c r="U1090" s="34"/>
      <c r="V1090" s="255"/>
      <c r="W1090" s="34"/>
      <c r="X1090" s="3" t="b">
        <f t="shared" si="60"/>
        <v>0</v>
      </c>
      <c r="Y1090" s="3" t="b">
        <f t="shared" si="61"/>
        <v>0</v>
      </c>
    </row>
    <row r="1091" spans="14:25">
      <c r="N1091" s="34"/>
      <c r="O1091" s="34"/>
      <c r="P1091" s="34"/>
      <c r="Q1091" s="34"/>
      <c r="R1091" s="34"/>
      <c r="S1091" s="38"/>
      <c r="T1091" s="38"/>
      <c r="U1091" s="34"/>
      <c r="V1091" s="255"/>
      <c r="W1091" s="34"/>
      <c r="X1091" s="3" t="b">
        <f t="shared" si="60"/>
        <v>0</v>
      </c>
      <c r="Y1091" s="3" t="b">
        <f t="shared" si="61"/>
        <v>0</v>
      </c>
    </row>
    <row r="1092" spans="14:25">
      <c r="N1092" s="34"/>
      <c r="O1092" s="34"/>
      <c r="P1092" s="34"/>
      <c r="Q1092" s="34"/>
      <c r="R1092" s="34"/>
      <c r="S1092" s="38"/>
      <c r="T1092" s="38"/>
      <c r="U1092" s="34"/>
      <c r="V1092" s="255"/>
      <c r="W1092" s="34"/>
      <c r="X1092" s="3" t="b">
        <f t="shared" si="60"/>
        <v>0</v>
      </c>
      <c r="Y1092" s="3" t="b">
        <f t="shared" si="61"/>
        <v>0</v>
      </c>
    </row>
    <row r="1093" spans="14:25">
      <c r="N1093" s="34"/>
      <c r="O1093" s="34"/>
      <c r="P1093" s="34"/>
      <c r="Q1093" s="34"/>
      <c r="R1093" s="34"/>
      <c r="S1093" s="38"/>
      <c r="T1093" s="38"/>
      <c r="U1093" s="34"/>
      <c r="V1093" s="255"/>
      <c r="W1093" s="34"/>
      <c r="X1093" s="3" t="b">
        <f t="shared" si="60"/>
        <v>0</v>
      </c>
      <c r="Y1093" s="3" t="b">
        <f t="shared" si="61"/>
        <v>0</v>
      </c>
    </row>
    <row r="1094" spans="14:25">
      <c r="N1094" s="34"/>
      <c r="O1094" s="34"/>
      <c r="P1094" s="34"/>
      <c r="Q1094" s="34"/>
      <c r="R1094" s="34"/>
      <c r="S1094" s="38"/>
      <c r="T1094" s="38"/>
      <c r="U1094" s="34"/>
      <c r="V1094" s="255"/>
      <c r="W1094" s="34"/>
      <c r="X1094" s="3" t="b">
        <f t="shared" si="60"/>
        <v>0</v>
      </c>
      <c r="Y1094" s="3" t="b">
        <f t="shared" si="61"/>
        <v>0</v>
      </c>
    </row>
    <row r="1095" spans="14:25">
      <c r="N1095" s="34"/>
      <c r="O1095" s="34"/>
      <c r="P1095" s="34"/>
      <c r="Q1095" s="34"/>
      <c r="R1095" s="34"/>
      <c r="S1095" s="38"/>
      <c r="T1095" s="38"/>
      <c r="U1095" s="34"/>
      <c r="V1095" s="255"/>
      <c r="W1095" s="34"/>
      <c r="X1095" s="3" t="b">
        <f t="shared" si="60"/>
        <v>0</v>
      </c>
      <c r="Y1095" s="3" t="b">
        <f t="shared" si="61"/>
        <v>0</v>
      </c>
    </row>
    <row r="1096" spans="14:25">
      <c r="N1096" s="34"/>
      <c r="O1096" s="34"/>
      <c r="P1096" s="34"/>
      <c r="Q1096" s="34"/>
      <c r="R1096" s="34"/>
      <c r="S1096" s="38"/>
      <c r="T1096" s="38"/>
      <c r="U1096" s="34"/>
      <c r="V1096" s="255"/>
      <c r="W1096" s="34"/>
      <c r="X1096" s="3" t="b">
        <f t="shared" si="60"/>
        <v>0</v>
      </c>
      <c r="Y1096" s="3" t="b">
        <f t="shared" si="61"/>
        <v>0</v>
      </c>
    </row>
    <row r="1097" spans="14:25">
      <c r="N1097" s="34"/>
      <c r="O1097" s="34"/>
      <c r="P1097" s="34"/>
      <c r="Q1097" s="34"/>
      <c r="R1097" s="34"/>
      <c r="S1097" s="38"/>
      <c r="T1097" s="38"/>
      <c r="U1097" s="34"/>
      <c r="V1097" s="255"/>
      <c r="W1097" s="34"/>
      <c r="X1097" s="3" t="b">
        <f t="shared" si="60"/>
        <v>0</v>
      </c>
      <c r="Y1097" s="3" t="b">
        <f t="shared" si="61"/>
        <v>0</v>
      </c>
    </row>
    <row r="1098" spans="14:25">
      <c r="N1098" s="34"/>
      <c r="O1098" s="34"/>
      <c r="P1098" s="34"/>
      <c r="Q1098" s="34"/>
      <c r="R1098" s="34"/>
      <c r="S1098" s="38"/>
      <c r="T1098" s="38"/>
      <c r="U1098" s="34"/>
      <c r="V1098" s="255"/>
      <c r="W1098" s="34"/>
      <c r="X1098" s="3" t="b">
        <f t="shared" si="60"/>
        <v>0</v>
      </c>
      <c r="Y1098" s="3" t="b">
        <f t="shared" si="61"/>
        <v>0</v>
      </c>
    </row>
    <row r="1099" spans="14:25">
      <c r="N1099" s="34"/>
      <c r="O1099" s="34"/>
      <c r="P1099" s="34"/>
      <c r="Q1099" s="34"/>
      <c r="R1099" s="34"/>
      <c r="S1099" s="38"/>
      <c r="T1099" s="38"/>
      <c r="U1099" s="34"/>
      <c r="V1099" s="255"/>
      <c r="W1099" s="34"/>
      <c r="X1099" s="3" t="b">
        <f t="shared" si="60"/>
        <v>0</v>
      </c>
      <c r="Y1099" s="3" t="b">
        <f t="shared" si="61"/>
        <v>0</v>
      </c>
    </row>
    <row r="1100" spans="14:25">
      <c r="N1100" s="34"/>
      <c r="O1100" s="34"/>
      <c r="P1100" s="34"/>
      <c r="Q1100" s="34"/>
      <c r="R1100" s="34"/>
      <c r="S1100" s="38"/>
      <c r="T1100" s="38"/>
      <c r="U1100" s="34"/>
      <c r="V1100" s="255"/>
      <c r="W1100" s="34"/>
      <c r="X1100" s="3" t="b">
        <f t="shared" si="60"/>
        <v>0</v>
      </c>
      <c r="Y1100" s="3" t="b">
        <f t="shared" si="61"/>
        <v>0</v>
      </c>
    </row>
    <row r="1101" spans="14:25">
      <c r="N1101" s="34"/>
      <c r="O1101" s="34"/>
      <c r="P1101" s="34"/>
      <c r="Q1101" s="34"/>
      <c r="R1101" s="34"/>
      <c r="S1101" s="38"/>
      <c r="T1101" s="38"/>
      <c r="U1101" s="34"/>
      <c r="V1101" s="255"/>
      <c r="W1101" s="34"/>
      <c r="X1101" s="3" t="b">
        <f t="shared" si="60"/>
        <v>0</v>
      </c>
      <c r="Y1101" s="3" t="b">
        <f t="shared" si="61"/>
        <v>0</v>
      </c>
    </row>
    <row r="1102" spans="14:25">
      <c r="N1102" s="34"/>
      <c r="O1102" s="34"/>
      <c r="P1102" s="34"/>
      <c r="Q1102" s="34"/>
      <c r="R1102" s="34"/>
      <c r="S1102" s="38"/>
      <c r="T1102" s="38"/>
      <c r="U1102" s="34"/>
      <c r="V1102" s="255"/>
      <c r="W1102" s="34"/>
      <c r="X1102" s="3" t="b">
        <f t="shared" si="60"/>
        <v>0</v>
      </c>
      <c r="Y1102" s="3" t="b">
        <f t="shared" si="61"/>
        <v>0</v>
      </c>
    </row>
    <row r="1103" spans="14:25">
      <c r="N1103" s="34"/>
      <c r="O1103" s="34"/>
      <c r="P1103" s="34"/>
      <c r="Q1103" s="34"/>
      <c r="R1103" s="34"/>
      <c r="S1103" s="38"/>
      <c r="T1103" s="38"/>
      <c r="U1103" s="34"/>
      <c r="V1103" s="255"/>
      <c r="W1103" s="34"/>
      <c r="X1103" s="3" t="b">
        <f t="shared" si="60"/>
        <v>0</v>
      </c>
      <c r="Y1103" s="3" t="b">
        <f t="shared" si="61"/>
        <v>0</v>
      </c>
    </row>
    <row r="1104" spans="14:25">
      <c r="N1104" s="34"/>
      <c r="O1104" s="34"/>
      <c r="P1104" s="34"/>
      <c r="Q1104" s="34"/>
      <c r="R1104" s="34"/>
      <c r="S1104" s="38"/>
      <c r="T1104" s="38"/>
      <c r="U1104" s="34"/>
      <c r="V1104" s="255"/>
      <c r="W1104" s="34"/>
      <c r="X1104" s="3" t="b">
        <f t="shared" si="60"/>
        <v>0</v>
      </c>
      <c r="Y1104" s="3" t="b">
        <f t="shared" si="61"/>
        <v>0</v>
      </c>
    </row>
    <row r="1105" spans="14:25">
      <c r="N1105" s="34"/>
      <c r="O1105" s="34"/>
      <c r="P1105" s="34"/>
      <c r="Q1105" s="34"/>
      <c r="R1105" s="34"/>
      <c r="S1105" s="38"/>
      <c r="T1105" s="38"/>
      <c r="U1105" s="34"/>
      <c r="V1105" s="255"/>
      <c r="W1105" s="34"/>
      <c r="X1105" s="3" t="b">
        <f t="shared" si="60"/>
        <v>0</v>
      </c>
      <c r="Y1105" s="3" t="b">
        <f t="shared" si="61"/>
        <v>0</v>
      </c>
    </row>
    <row r="1106" spans="14:25">
      <c r="N1106" s="34"/>
      <c r="O1106" s="34"/>
      <c r="P1106" s="34"/>
      <c r="Q1106" s="34"/>
      <c r="R1106" s="34"/>
      <c r="S1106" s="38"/>
      <c r="T1106" s="38"/>
      <c r="U1106" s="34"/>
      <c r="V1106" s="255"/>
      <c r="W1106" s="34"/>
      <c r="X1106" s="3" t="b">
        <f t="shared" si="60"/>
        <v>0</v>
      </c>
      <c r="Y1106" s="3" t="b">
        <f t="shared" si="61"/>
        <v>0</v>
      </c>
    </row>
    <row r="1107" spans="14:25">
      <c r="N1107" s="34"/>
      <c r="O1107" s="34"/>
      <c r="P1107" s="34"/>
      <c r="Q1107" s="34"/>
      <c r="R1107" s="34"/>
      <c r="S1107" s="38"/>
      <c r="T1107" s="38"/>
      <c r="U1107" s="34"/>
      <c r="V1107" s="255"/>
      <c r="W1107" s="34"/>
      <c r="X1107" s="3" t="b">
        <f t="shared" si="60"/>
        <v>0</v>
      </c>
      <c r="Y1107" s="3" t="b">
        <f t="shared" si="61"/>
        <v>0</v>
      </c>
    </row>
    <row r="1108" spans="14:25">
      <c r="N1108" s="34"/>
      <c r="O1108" s="34"/>
      <c r="P1108" s="34"/>
      <c r="Q1108" s="34"/>
      <c r="R1108" s="34"/>
      <c r="S1108" s="38"/>
      <c r="T1108" s="38"/>
      <c r="U1108" s="34"/>
      <c r="V1108" s="255"/>
      <c r="W1108" s="34"/>
      <c r="X1108" s="3" t="b">
        <f t="shared" si="60"/>
        <v>0</v>
      </c>
      <c r="Y1108" s="3" t="b">
        <f t="shared" si="61"/>
        <v>0</v>
      </c>
    </row>
    <row r="1109" spans="14:25">
      <c r="N1109" s="34"/>
      <c r="O1109" s="34"/>
      <c r="P1109" s="34"/>
      <c r="Q1109" s="34"/>
      <c r="R1109" s="34"/>
      <c r="S1109" s="38"/>
      <c r="T1109" s="38"/>
      <c r="U1109" s="34"/>
      <c r="V1109" s="255"/>
      <c r="W1109" s="34"/>
      <c r="X1109" s="3" t="b">
        <f t="shared" si="60"/>
        <v>0</v>
      </c>
      <c r="Y1109" s="3" t="b">
        <f t="shared" si="61"/>
        <v>0</v>
      </c>
    </row>
    <row r="1110" spans="14:25">
      <c r="N1110" s="34"/>
      <c r="O1110" s="34"/>
      <c r="P1110" s="34"/>
      <c r="Q1110" s="34"/>
      <c r="R1110" s="34"/>
      <c r="S1110" s="38"/>
      <c r="T1110" s="38"/>
      <c r="U1110" s="34"/>
      <c r="V1110" s="255"/>
      <c r="W1110" s="34"/>
      <c r="X1110" s="3" t="b">
        <f t="shared" si="60"/>
        <v>0</v>
      </c>
      <c r="Y1110" s="3" t="b">
        <f t="shared" si="61"/>
        <v>0</v>
      </c>
    </row>
    <row r="1111" spans="14:25">
      <c r="N1111" s="34"/>
      <c r="O1111" s="34"/>
      <c r="P1111" s="34"/>
      <c r="Q1111" s="34"/>
      <c r="R1111" s="34"/>
      <c r="S1111" s="38"/>
      <c r="T1111" s="38"/>
      <c r="U1111" s="34"/>
      <c r="V1111" s="255"/>
      <c r="W1111" s="34"/>
      <c r="X1111" s="3" t="b">
        <f t="shared" si="60"/>
        <v>0</v>
      </c>
      <c r="Y1111" s="3" t="b">
        <f t="shared" si="61"/>
        <v>0</v>
      </c>
    </row>
    <row r="1112" spans="14:25">
      <c r="N1112" s="34"/>
      <c r="O1112" s="34"/>
      <c r="P1112" s="34"/>
      <c r="Q1112" s="34"/>
      <c r="R1112" s="34"/>
      <c r="S1112" s="38"/>
      <c r="T1112" s="38"/>
      <c r="U1112" s="34"/>
      <c r="V1112" s="255"/>
      <c r="W1112" s="34"/>
      <c r="X1112" s="3" t="b">
        <f t="shared" si="60"/>
        <v>0</v>
      </c>
      <c r="Y1112" s="3" t="b">
        <f t="shared" si="61"/>
        <v>0</v>
      </c>
    </row>
    <row r="1113" spans="14:25">
      <c r="N1113" s="34"/>
      <c r="O1113" s="34"/>
      <c r="P1113" s="34"/>
      <c r="Q1113" s="34"/>
      <c r="R1113" s="34"/>
      <c r="S1113" s="38"/>
      <c r="T1113" s="38"/>
      <c r="U1113" s="34"/>
      <c r="V1113" s="255"/>
      <c r="W1113" s="34"/>
      <c r="X1113" s="3" t="b">
        <f t="shared" si="60"/>
        <v>0</v>
      </c>
      <c r="Y1113" s="3" t="b">
        <f t="shared" si="61"/>
        <v>0</v>
      </c>
    </row>
    <row r="1114" spans="14:25">
      <c r="N1114" s="34"/>
      <c r="O1114" s="34"/>
      <c r="P1114" s="34"/>
      <c r="Q1114" s="34"/>
      <c r="R1114" s="34"/>
      <c r="S1114" s="38"/>
      <c r="T1114" s="38"/>
      <c r="U1114" s="34"/>
      <c r="V1114" s="255"/>
      <c r="W1114" s="34"/>
      <c r="X1114" s="3" t="b">
        <f t="shared" si="60"/>
        <v>0</v>
      </c>
      <c r="Y1114" s="3" t="b">
        <f t="shared" si="61"/>
        <v>0</v>
      </c>
    </row>
    <row r="1115" spans="14:25">
      <c r="N1115" s="34"/>
      <c r="O1115" s="34"/>
      <c r="P1115" s="34"/>
      <c r="Q1115" s="34"/>
      <c r="R1115" s="34"/>
      <c r="S1115" s="38"/>
      <c r="T1115" s="38"/>
      <c r="U1115" s="34"/>
      <c r="V1115" s="255"/>
      <c r="W1115" s="34"/>
      <c r="X1115" s="3" t="b">
        <f t="shared" si="60"/>
        <v>0</v>
      </c>
      <c r="Y1115" s="3" t="b">
        <f t="shared" si="61"/>
        <v>0</v>
      </c>
    </row>
    <row r="1116" spans="14:25">
      <c r="N1116" s="34"/>
      <c r="O1116" s="34"/>
      <c r="P1116" s="34"/>
      <c r="Q1116" s="34"/>
      <c r="R1116" s="34"/>
      <c r="S1116" s="38"/>
      <c r="T1116" s="38"/>
      <c r="U1116" s="34"/>
      <c r="V1116" s="255"/>
      <c r="W1116" s="34"/>
      <c r="X1116" s="3" t="b">
        <f t="shared" si="60"/>
        <v>0</v>
      </c>
      <c r="Y1116" s="3" t="b">
        <f t="shared" si="61"/>
        <v>0</v>
      </c>
    </row>
    <row r="1117" spans="14:25">
      <c r="N1117" s="34"/>
      <c r="O1117" s="34"/>
      <c r="P1117" s="34"/>
      <c r="Q1117" s="34"/>
      <c r="R1117" s="34"/>
      <c r="S1117" s="38"/>
      <c r="T1117" s="38"/>
      <c r="U1117" s="34"/>
      <c r="V1117" s="255"/>
      <c r="W1117" s="34"/>
      <c r="X1117" s="3" t="b">
        <f t="shared" si="60"/>
        <v>0</v>
      </c>
      <c r="Y1117" s="3" t="b">
        <f t="shared" si="61"/>
        <v>0</v>
      </c>
    </row>
    <row r="1118" spans="14:25">
      <c r="N1118" s="34"/>
      <c r="O1118" s="34"/>
      <c r="P1118" s="34"/>
      <c r="Q1118" s="34"/>
      <c r="R1118" s="34"/>
      <c r="S1118" s="38"/>
      <c r="T1118" s="38"/>
      <c r="U1118" s="34"/>
      <c r="V1118" s="255"/>
      <c r="W1118" s="34"/>
      <c r="X1118" s="3" t="b">
        <f t="shared" si="60"/>
        <v>0</v>
      </c>
      <c r="Y1118" s="3" t="b">
        <f t="shared" si="61"/>
        <v>0</v>
      </c>
    </row>
    <row r="1119" spans="14:25">
      <c r="N1119" s="34"/>
      <c r="O1119" s="34"/>
      <c r="P1119" s="34"/>
      <c r="Q1119" s="34"/>
      <c r="R1119" s="34"/>
      <c r="S1119" s="38"/>
      <c r="T1119" s="38"/>
      <c r="U1119" s="34"/>
      <c r="V1119" s="255"/>
      <c r="W1119" s="34"/>
      <c r="X1119" s="3" t="b">
        <f t="shared" si="60"/>
        <v>0</v>
      </c>
      <c r="Y1119" s="3" t="b">
        <f t="shared" si="61"/>
        <v>0</v>
      </c>
    </row>
    <row r="1120" spans="14:25">
      <c r="N1120" s="34"/>
      <c r="O1120" s="34"/>
      <c r="P1120" s="34"/>
      <c r="Q1120" s="34"/>
      <c r="R1120" s="34"/>
      <c r="S1120" s="38"/>
      <c r="T1120" s="38"/>
      <c r="U1120" s="34"/>
      <c r="V1120" s="255"/>
      <c r="W1120" s="34"/>
      <c r="X1120" s="3" t="b">
        <f t="shared" si="60"/>
        <v>0</v>
      </c>
      <c r="Y1120" s="3" t="b">
        <f t="shared" si="61"/>
        <v>0</v>
      </c>
    </row>
    <row r="1121" spans="14:25">
      <c r="N1121" s="34"/>
      <c r="O1121" s="34"/>
      <c r="P1121" s="34"/>
      <c r="Q1121" s="34"/>
      <c r="R1121" s="34"/>
      <c r="S1121" s="38"/>
      <c r="T1121" s="38"/>
      <c r="U1121" s="34"/>
      <c r="V1121" s="255"/>
      <c r="W1121" s="34"/>
      <c r="X1121" s="3" t="b">
        <f t="shared" si="60"/>
        <v>0</v>
      </c>
      <c r="Y1121" s="3" t="b">
        <f t="shared" si="61"/>
        <v>0</v>
      </c>
    </row>
    <row r="1122" spans="14:25">
      <c r="N1122" s="34"/>
      <c r="O1122" s="34"/>
      <c r="P1122" s="34"/>
      <c r="Q1122" s="34"/>
      <c r="R1122" s="34"/>
      <c r="S1122" s="38"/>
      <c r="T1122" s="38"/>
      <c r="U1122" s="34"/>
      <c r="V1122" s="255"/>
      <c r="W1122" s="34"/>
      <c r="X1122" s="3" t="b">
        <f t="shared" si="60"/>
        <v>0</v>
      </c>
      <c r="Y1122" s="3" t="b">
        <f t="shared" si="61"/>
        <v>0</v>
      </c>
    </row>
    <row r="1123" spans="14:25">
      <c r="N1123" s="34"/>
      <c r="O1123" s="34"/>
      <c r="P1123" s="34"/>
      <c r="Q1123" s="34"/>
      <c r="R1123" s="34"/>
      <c r="S1123" s="38"/>
      <c r="T1123" s="38"/>
      <c r="U1123" s="34"/>
      <c r="V1123" s="255"/>
      <c r="W1123" s="34"/>
      <c r="X1123" s="3" t="b">
        <f t="shared" si="60"/>
        <v>0</v>
      </c>
      <c r="Y1123" s="3" t="b">
        <f t="shared" si="61"/>
        <v>0</v>
      </c>
    </row>
    <row r="1124" spans="14:25">
      <c r="N1124" s="34"/>
      <c r="O1124" s="34"/>
      <c r="P1124" s="34"/>
      <c r="Q1124" s="34"/>
      <c r="R1124" s="34"/>
      <c r="S1124" s="38"/>
      <c r="T1124" s="38"/>
      <c r="U1124" s="34"/>
      <c r="V1124" s="255"/>
      <c r="W1124" s="34"/>
      <c r="X1124" s="3" t="b">
        <f t="shared" si="60"/>
        <v>0</v>
      </c>
      <c r="Y1124" s="3" t="b">
        <f t="shared" si="61"/>
        <v>0</v>
      </c>
    </row>
    <row r="1125" spans="14:25">
      <c r="N1125" s="34"/>
      <c r="O1125" s="34"/>
      <c r="P1125" s="34"/>
      <c r="Q1125" s="34"/>
      <c r="R1125" s="34"/>
      <c r="S1125" s="38"/>
      <c r="T1125" s="38"/>
      <c r="U1125" s="34"/>
      <c r="V1125" s="255"/>
      <c r="W1125" s="34"/>
      <c r="X1125" s="3" t="b">
        <f t="shared" si="60"/>
        <v>0</v>
      </c>
      <c r="Y1125" s="3" t="b">
        <f t="shared" si="61"/>
        <v>0</v>
      </c>
    </row>
    <row r="1126" spans="14:25">
      <c r="N1126" s="34"/>
      <c r="O1126" s="34"/>
      <c r="P1126" s="34"/>
      <c r="Q1126" s="34"/>
      <c r="R1126" s="34"/>
      <c r="S1126" s="38"/>
      <c r="T1126" s="38"/>
      <c r="U1126" s="34"/>
      <c r="V1126" s="255"/>
      <c r="W1126" s="34"/>
      <c r="X1126" s="3" t="b">
        <f t="shared" si="60"/>
        <v>0</v>
      </c>
      <c r="Y1126" s="3" t="b">
        <f t="shared" si="61"/>
        <v>0</v>
      </c>
    </row>
    <row r="1127" spans="14:25">
      <c r="N1127" s="34"/>
      <c r="O1127" s="34"/>
      <c r="P1127" s="34"/>
      <c r="Q1127" s="34"/>
      <c r="R1127" s="34"/>
      <c r="S1127" s="38"/>
      <c r="T1127" s="38"/>
      <c r="U1127" s="34"/>
      <c r="V1127" s="255"/>
      <c r="W1127" s="34"/>
      <c r="X1127" s="3" t="b">
        <f t="shared" si="60"/>
        <v>0</v>
      </c>
      <c r="Y1127" s="3" t="b">
        <f t="shared" si="61"/>
        <v>0</v>
      </c>
    </row>
    <row r="1128" spans="14:25">
      <c r="N1128" s="34"/>
      <c r="O1128" s="34"/>
      <c r="P1128" s="34"/>
      <c r="Q1128" s="34"/>
      <c r="R1128" s="34"/>
      <c r="S1128" s="38"/>
      <c r="T1128" s="38"/>
      <c r="U1128" s="34"/>
      <c r="V1128" s="255"/>
      <c r="W1128" s="34"/>
      <c r="X1128" s="3" t="b">
        <f t="shared" si="60"/>
        <v>0</v>
      </c>
      <c r="Y1128" s="3" t="b">
        <f t="shared" si="61"/>
        <v>0</v>
      </c>
    </row>
    <row r="1129" spans="14:25">
      <c r="N1129" s="34"/>
      <c r="O1129" s="34"/>
      <c r="P1129" s="34"/>
      <c r="Q1129" s="34"/>
      <c r="R1129" s="34"/>
      <c r="S1129" s="38"/>
      <c r="T1129" s="38"/>
      <c r="U1129" s="34"/>
      <c r="V1129" s="255"/>
      <c r="W1129" s="34"/>
      <c r="X1129" s="3" t="b">
        <f t="shared" si="60"/>
        <v>0</v>
      </c>
      <c r="Y1129" s="3" t="b">
        <f t="shared" si="61"/>
        <v>0</v>
      </c>
    </row>
    <row r="1130" spans="14:25">
      <c r="N1130" s="34"/>
      <c r="O1130" s="34"/>
      <c r="P1130" s="34"/>
      <c r="Q1130" s="34"/>
      <c r="R1130" s="34"/>
      <c r="S1130" s="38"/>
      <c r="T1130" s="38"/>
      <c r="U1130" s="34"/>
      <c r="V1130" s="255"/>
      <c r="W1130" s="34"/>
      <c r="X1130" s="3" t="b">
        <f t="shared" si="60"/>
        <v>0</v>
      </c>
      <c r="Y1130" s="3" t="b">
        <f t="shared" si="61"/>
        <v>0</v>
      </c>
    </row>
    <row r="1131" spans="14:25">
      <c r="N1131" s="34"/>
      <c r="O1131" s="34"/>
      <c r="P1131" s="34"/>
      <c r="Q1131" s="34"/>
      <c r="R1131" s="34"/>
      <c r="S1131" s="38"/>
      <c r="T1131" s="38"/>
      <c r="U1131" s="34"/>
      <c r="V1131" s="255"/>
      <c r="W1131" s="34"/>
      <c r="X1131" s="3" t="b">
        <f t="shared" si="60"/>
        <v>0</v>
      </c>
      <c r="Y1131" s="3" t="b">
        <f t="shared" si="61"/>
        <v>0</v>
      </c>
    </row>
    <row r="1132" spans="14:25">
      <c r="N1132" s="34"/>
      <c r="O1132" s="34"/>
      <c r="P1132" s="34"/>
      <c r="Q1132" s="34"/>
      <c r="R1132" s="34"/>
      <c r="S1132" s="38"/>
      <c r="T1132" s="38"/>
      <c r="U1132" s="34"/>
      <c r="V1132" s="255"/>
      <c r="W1132" s="34"/>
      <c r="X1132" s="3" t="b">
        <f t="shared" ref="X1132:X1195" si="62">IF(OR(Q1132="Stock to Rack",Q1132="From Stock"),-P1132,IF(OR(Q1132="Rack to Stock",Q1132="To Stock"),P1132))</f>
        <v>0</v>
      </c>
      <c r="Y1132" s="3" t="b">
        <f t="shared" ref="Y1132:Y1195" si="63">IF(Q1132="Rack to Stock",-P1132,IF(Q1132="Stock to Rack",P1132))</f>
        <v>0</v>
      </c>
    </row>
    <row r="1133" spans="14:25">
      <c r="N1133" s="34"/>
      <c r="O1133" s="34"/>
      <c r="P1133" s="34"/>
      <c r="Q1133" s="34"/>
      <c r="R1133" s="34"/>
      <c r="S1133" s="38"/>
      <c r="T1133" s="38"/>
      <c r="U1133" s="34"/>
      <c r="V1133" s="255"/>
      <c r="W1133" s="34"/>
      <c r="X1133" s="3" t="b">
        <f t="shared" si="62"/>
        <v>0</v>
      </c>
      <c r="Y1133" s="3" t="b">
        <f t="shared" si="63"/>
        <v>0</v>
      </c>
    </row>
    <row r="1134" spans="14:25">
      <c r="N1134" s="34"/>
      <c r="O1134" s="34"/>
      <c r="P1134" s="34"/>
      <c r="Q1134" s="34"/>
      <c r="R1134" s="34"/>
      <c r="S1134" s="38"/>
      <c r="T1134" s="38"/>
      <c r="U1134" s="34"/>
      <c r="V1134" s="255"/>
      <c r="W1134" s="34"/>
      <c r="X1134" s="3" t="b">
        <f t="shared" si="62"/>
        <v>0</v>
      </c>
      <c r="Y1134" s="3" t="b">
        <f t="shared" si="63"/>
        <v>0</v>
      </c>
    </row>
    <row r="1135" spans="14:25">
      <c r="N1135" s="34"/>
      <c r="O1135" s="34"/>
      <c r="P1135" s="34"/>
      <c r="Q1135" s="34"/>
      <c r="R1135" s="34"/>
      <c r="S1135" s="38"/>
      <c r="T1135" s="38"/>
      <c r="U1135" s="34"/>
      <c r="V1135" s="255"/>
      <c r="W1135" s="34"/>
      <c r="X1135" s="3" t="b">
        <f t="shared" si="62"/>
        <v>0</v>
      </c>
      <c r="Y1135" s="3" t="b">
        <f t="shared" si="63"/>
        <v>0</v>
      </c>
    </row>
    <row r="1136" spans="14:25">
      <c r="N1136" s="34"/>
      <c r="O1136" s="34"/>
      <c r="P1136" s="34"/>
      <c r="Q1136" s="34"/>
      <c r="R1136" s="34"/>
      <c r="S1136" s="38"/>
      <c r="T1136" s="38"/>
      <c r="U1136" s="34"/>
      <c r="V1136" s="255"/>
      <c r="W1136" s="34"/>
      <c r="X1136" s="3" t="b">
        <f t="shared" si="62"/>
        <v>0</v>
      </c>
      <c r="Y1136" s="3" t="b">
        <f t="shared" si="63"/>
        <v>0</v>
      </c>
    </row>
    <row r="1137" spans="14:25">
      <c r="N1137" s="34"/>
      <c r="O1137" s="34"/>
      <c r="P1137" s="34"/>
      <c r="Q1137" s="34"/>
      <c r="R1137" s="34"/>
      <c r="S1137" s="38"/>
      <c r="T1137" s="38"/>
      <c r="U1137" s="34"/>
      <c r="V1137" s="255"/>
      <c r="W1137" s="34"/>
      <c r="X1137" s="3" t="b">
        <f t="shared" si="62"/>
        <v>0</v>
      </c>
      <c r="Y1137" s="3" t="b">
        <f t="shared" si="63"/>
        <v>0</v>
      </c>
    </row>
    <row r="1138" spans="14:25">
      <c r="N1138" s="34"/>
      <c r="O1138" s="34"/>
      <c r="P1138" s="34"/>
      <c r="Q1138" s="34"/>
      <c r="R1138" s="34"/>
      <c r="S1138" s="38"/>
      <c r="T1138" s="38"/>
      <c r="U1138" s="34"/>
      <c r="V1138" s="255"/>
      <c r="W1138" s="34"/>
      <c r="X1138" s="3" t="b">
        <f t="shared" si="62"/>
        <v>0</v>
      </c>
      <c r="Y1138" s="3" t="b">
        <f t="shared" si="63"/>
        <v>0</v>
      </c>
    </row>
    <row r="1139" spans="14:25">
      <c r="N1139" s="34"/>
      <c r="O1139" s="34"/>
      <c r="P1139" s="34"/>
      <c r="Q1139" s="34"/>
      <c r="R1139" s="34"/>
      <c r="S1139" s="38"/>
      <c r="T1139" s="38"/>
      <c r="U1139" s="34"/>
      <c r="V1139" s="255"/>
      <c r="W1139" s="34"/>
      <c r="X1139" s="3" t="b">
        <f t="shared" si="62"/>
        <v>0</v>
      </c>
      <c r="Y1139" s="3" t="b">
        <f t="shared" si="63"/>
        <v>0</v>
      </c>
    </row>
    <row r="1140" spans="14:25">
      <c r="N1140" s="34"/>
      <c r="O1140" s="34"/>
      <c r="P1140" s="34"/>
      <c r="Q1140" s="34"/>
      <c r="R1140" s="34"/>
      <c r="S1140" s="38"/>
      <c r="T1140" s="38"/>
      <c r="U1140" s="34"/>
      <c r="V1140" s="255"/>
      <c r="W1140" s="34"/>
      <c r="X1140" s="3" t="b">
        <f t="shared" si="62"/>
        <v>0</v>
      </c>
      <c r="Y1140" s="3" t="b">
        <f t="shared" si="63"/>
        <v>0</v>
      </c>
    </row>
    <row r="1141" spans="14:25">
      <c r="N1141" s="34"/>
      <c r="O1141" s="34"/>
      <c r="P1141" s="34"/>
      <c r="Q1141" s="34"/>
      <c r="R1141" s="34"/>
      <c r="S1141" s="38"/>
      <c r="T1141" s="38"/>
      <c r="U1141" s="34"/>
      <c r="V1141" s="255"/>
      <c r="W1141" s="34"/>
      <c r="X1141" s="3" t="b">
        <f t="shared" si="62"/>
        <v>0</v>
      </c>
      <c r="Y1141" s="3" t="b">
        <f t="shared" si="63"/>
        <v>0</v>
      </c>
    </row>
    <row r="1142" spans="14:25">
      <c r="N1142" s="34"/>
      <c r="O1142" s="34"/>
      <c r="P1142" s="34"/>
      <c r="Q1142" s="34"/>
      <c r="R1142" s="34"/>
      <c r="S1142" s="38"/>
      <c r="T1142" s="38"/>
      <c r="U1142" s="34"/>
      <c r="V1142" s="255"/>
      <c r="W1142" s="34"/>
      <c r="X1142" s="3" t="b">
        <f t="shared" si="62"/>
        <v>0</v>
      </c>
      <c r="Y1142" s="3" t="b">
        <f t="shared" si="63"/>
        <v>0</v>
      </c>
    </row>
    <row r="1143" spans="14:25">
      <c r="N1143" s="34"/>
      <c r="O1143" s="34"/>
      <c r="P1143" s="34"/>
      <c r="Q1143" s="34"/>
      <c r="R1143" s="34"/>
      <c r="S1143" s="38"/>
      <c r="T1143" s="38"/>
      <c r="U1143" s="34"/>
      <c r="V1143" s="255"/>
      <c r="W1143" s="34"/>
      <c r="X1143" s="3" t="b">
        <f t="shared" si="62"/>
        <v>0</v>
      </c>
      <c r="Y1143" s="3" t="b">
        <f t="shared" si="63"/>
        <v>0</v>
      </c>
    </row>
    <row r="1144" spans="14:25">
      <c r="N1144" s="34"/>
      <c r="O1144" s="34"/>
      <c r="P1144" s="34"/>
      <c r="Q1144" s="34"/>
      <c r="R1144" s="34"/>
      <c r="S1144" s="38"/>
      <c r="T1144" s="38"/>
      <c r="U1144" s="34"/>
      <c r="V1144" s="255"/>
      <c r="W1144" s="34"/>
      <c r="X1144" s="3" t="b">
        <f t="shared" si="62"/>
        <v>0</v>
      </c>
      <c r="Y1144" s="3" t="b">
        <f t="shared" si="63"/>
        <v>0</v>
      </c>
    </row>
    <row r="1145" spans="14:25">
      <c r="N1145" s="34"/>
      <c r="O1145" s="34"/>
      <c r="P1145" s="34"/>
      <c r="Q1145" s="34"/>
      <c r="R1145" s="34"/>
      <c r="S1145" s="38"/>
      <c r="T1145" s="38"/>
      <c r="U1145" s="34"/>
      <c r="V1145" s="255"/>
      <c r="W1145" s="34"/>
      <c r="X1145" s="3" t="b">
        <f t="shared" si="62"/>
        <v>0</v>
      </c>
      <c r="Y1145" s="3" t="b">
        <f t="shared" si="63"/>
        <v>0</v>
      </c>
    </row>
    <row r="1146" spans="14:25">
      <c r="N1146" s="34"/>
      <c r="O1146" s="34"/>
      <c r="P1146" s="34"/>
      <c r="Q1146" s="34"/>
      <c r="R1146" s="34"/>
      <c r="S1146" s="38"/>
      <c r="T1146" s="38"/>
      <c r="U1146" s="34"/>
      <c r="V1146" s="255"/>
      <c r="W1146" s="34"/>
      <c r="X1146" s="3" t="b">
        <f t="shared" si="62"/>
        <v>0</v>
      </c>
      <c r="Y1146" s="3" t="b">
        <f t="shared" si="63"/>
        <v>0</v>
      </c>
    </row>
    <row r="1147" spans="14:25">
      <c r="N1147" s="34"/>
      <c r="O1147" s="34"/>
      <c r="P1147" s="34"/>
      <c r="Q1147" s="34"/>
      <c r="R1147" s="34"/>
      <c r="S1147" s="38"/>
      <c r="T1147" s="38"/>
      <c r="U1147" s="34"/>
      <c r="V1147" s="255"/>
      <c r="W1147" s="34"/>
      <c r="X1147" s="3" t="b">
        <f t="shared" si="62"/>
        <v>0</v>
      </c>
      <c r="Y1147" s="3" t="b">
        <f t="shared" si="63"/>
        <v>0</v>
      </c>
    </row>
    <row r="1148" spans="14:25">
      <c r="N1148" s="34"/>
      <c r="O1148" s="34"/>
      <c r="P1148" s="34"/>
      <c r="Q1148" s="34"/>
      <c r="R1148" s="34"/>
      <c r="S1148" s="38"/>
      <c r="T1148" s="38"/>
      <c r="U1148" s="34"/>
      <c r="V1148" s="255"/>
      <c r="W1148" s="34"/>
      <c r="X1148" s="3" t="b">
        <f t="shared" si="62"/>
        <v>0</v>
      </c>
      <c r="Y1148" s="3" t="b">
        <f t="shared" si="63"/>
        <v>0</v>
      </c>
    </row>
    <row r="1149" spans="14:25">
      <c r="N1149" s="34"/>
      <c r="O1149" s="34"/>
      <c r="P1149" s="34"/>
      <c r="Q1149" s="34"/>
      <c r="R1149" s="34"/>
      <c r="S1149" s="38"/>
      <c r="T1149" s="38"/>
      <c r="U1149" s="34"/>
      <c r="V1149" s="255"/>
      <c r="W1149" s="34"/>
      <c r="X1149" s="3" t="b">
        <f t="shared" si="62"/>
        <v>0</v>
      </c>
      <c r="Y1149" s="3" t="b">
        <f t="shared" si="63"/>
        <v>0</v>
      </c>
    </row>
    <row r="1150" spans="14:25">
      <c r="N1150" s="34"/>
      <c r="O1150" s="34"/>
      <c r="P1150" s="34"/>
      <c r="Q1150" s="34"/>
      <c r="R1150" s="34"/>
      <c r="S1150" s="38"/>
      <c r="T1150" s="38"/>
      <c r="U1150" s="34"/>
      <c r="V1150" s="255"/>
      <c r="W1150" s="34"/>
      <c r="X1150" s="3" t="b">
        <f t="shared" si="62"/>
        <v>0</v>
      </c>
      <c r="Y1150" s="3" t="b">
        <f t="shared" si="63"/>
        <v>0</v>
      </c>
    </row>
    <row r="1151" spans="14:25">
      <c r="N1151" s="34"/>
      <c r="O1151" s="34"/>
      <c r="P1151" s="34"/>
      <c r="Q1151" s="34"/>
      <c r="R1151" s="34"/>
      <c r="S1151" s="38"/>
      <c r="T1151" s="38"/>
      <c r="U1151" s="34"/>
      <c r="V1151" s="255"/>
      <c r="W1151" s="34"/>
      <c r="X1151" s="3" t="b">
        <f t="shared" si="62"/>
        <v>0</v>
      </c>
      <c r="Y1151" s="3" t="b">
        <f t="shared" si="63"/>
        <v>0</v>
      </c>
    </row>
    <row r="1152" spans="14:25">
      <c r="N1152" s="34"/>
      <c r="O1152" s="34"/>
      <c r="P1152" s="34"/>
      <c r="Q1152" s="34"/>
      <c r="R1152" s="34"/>
      <c r="S1152" s="38"/>
      <c r="T1152" s="38"/>
      <c r="U1152" s="34"/>
      <c r="V1152" s="255"/>
      <c r="W1152" s="34"/>
      <c r="X1152" s="3" t="b">
        <f t="shared" si="62"/>
        <v>0</v>
      </c>
      <c r="Y1152" s="3" t="b">
        <f t="shared" si="63"/>
        <v>0</v>
      </c>
    </row>
    <row r="1153" spans="14:25">
      <c r="N1153" s="34"/>
      <c r="O1153" s="34"/>
      <c r="P1153" s="34"/>
      <c r="Q1153" s="34"/>
      <c r="R1153" s="34"/>
      <c r="S1153" s="38"/>
      <c r="T1153" s="38"/>
      <c r="U1153" s="34"/>
      <c r="V1153" s="255"/>
      <c r="W1153" s="34"/>
      <c r="X1153" s="3" t="b">
        <f t="shared" si="62"/>
        <v>0</v>
      </c>
      <c r="Y1153" s="3" t="b">
        <f t="shared" si="63"/>
        <v>0</v>
      </c>
    </row>
    <row r="1154" spans="14:25">
      <c r="N1154" s="34"/>
      <c r="O1154" s="34"/>
      <c r="P1154" s="34"/>
      <c r="Q1154" s="34"/>
      <c r="R1154" s="34"/>
      <c r="S1154" s="38"/>
      <c r="T1154" s="38"/>
      <c r="U1154" s="34"/>
      <c r="V1154" s="255"/>
      <c r="W1154" s="34"/>
      <c r="X1154" s="3" t="b">
        <f t="shared" si="62"/>
        <v>0</v>
      </c>
      <c r="Y1154" s="3" t="b">
        <f t="shared" si="63"/>
        <v>0</v>
      </c>
    </row>
    <row r="1155" spans="14:25">
      <c r="N1155" s="34"/>
      <c r="O1155" s="34"/>
      <c r="P1155" s="34"/>
      <c r="Q1155" s="34"/>
      <c r="R1155" s="34"/>
      <c r="S1155" s="38"/>
      <c r="T1155" s="38"/>
      <c r="U1155" s="34"/>
      <c r="V1155" s="255"/>
      <c r="W1155" s="34"/>
      <c r="X1155" s="3" t="b">
        <f t="shared" si="62"/>
        <v>0</v>
      </c>
      <c r="Y1155" s="3" t="b">
        <f t="shared" si="63"/>
        <v>0</v>
      </c>
    </row>
    <row r="1156" spans="14:25">
      <c r="N1156" s="34"/>
      <c r="O1156" s="34"/>
      <c r="P1156" s="34"/>
      <c r="Q1156" s="34"/>
      <c r="R1156" s="34"/>
      <c r="S1156" s="38"/>
      <c r="T1156" s="38"/>
      <c r="U1156" s="34"/>
      <c r="V1156" s="255"/>
      <c r="W1156" s="34"/>
      <c r="X1156" s="3" t="b">
        <f t="shared" si="62"/>
        <v>0</v>
      </c>
      <c r="Y1156" s="3" t="b">
        <f t="shared" si="63"/>
        <v>0</v>
      </c>
    </row>
    <row r="1157" spans="14:25">
      <c r="N1157" s="34"/>
      <c r="O1157" s="34"/>
      <c r="P1157" s="34"/>
      <c r="Q1157" s="34"/>
      <c r="R1157" s="34"/>
      <c r="S1157" s="38"/>
      <c r="T1157" s="38"/>
      <c r="U1157" s="34"/>
      <c r="V1157" s="255"/>
      <c r="W1157" s="34"/>
      <c r="X1157" s="3" t="b">
        <f t="shared" si="62"/>
        <v>0</v>
      </c>
      <c r="Y1157" s="3" t="b">
        <f t="shared" si="63"/>
        <v>0</v>
      </c>
    </row>
    <row r="1158" spans="14:25">
      <c r="N1158" s="34"/>
      <c r="O1158" s="34"/>
      <c r="P1158" s="34"/>
      <c r="Q1158" s="34"/>
      <c r="R1158" s="34"/>
      <c r="S1158" s="38"/>
      <c r="T1158" s="38"/>
      <c r="U1158" s="34"/>
      <c r="V1158" s="255"/>
      <c r="W1158" s="34"/>
      <c r="X1158" s="3" t="b">
        <f t="shared" si="62"/>
        <v>0</v>
      </c>
      <c r="Y1158" s="3" t="b">
        <f t="shared" si="63"/>
        <v>0</v>
      </c>
    </row>
    <row r="1159" spans="14:25">
      <c r="N1159" s="34"/>
      <c r="O1159" s="34"/>
      <c r="P1159" s="34"/>
      <c r="Q1159" s="34"/>
      <c r="R1159" s="34"/>
      <c r="S1159" s="38"/>
      <c r="T1159" s="38"/>
      <c r="U1159" s="34"/>
      <c r="V1159" s="255"/>
      <c r="W1159" s="34"/>
      <c r="X1159" s="3" t="b">
        <f t="shared" si="62"/>
        <v>0</v>
      </c>
      <c r="Y1159" s="3" t="b">
        <f t="shared" si="63"/>
        <v>0</v>
      </c>
    </row>
    <row r="1160" spans="14:25">
      <c r="N1160" s="34"/>
      <c r="O1160" s="34"/>
      <c r="P1160" s="34"/>
      <c r="Q1160" s="34"/>
      <c r="R1160" s="34"/>
      <c r="S1160" s="38"/>
      <c r="T1160" s="38"/>
      <c r="U1160" s="34"/>
      <c r="V1160" s="255"/>
      <c r="W1160" s="34"/>
      <c r="X1160" s="3" t="b">
        <f t="shared" si="62"/>
        <v>0</v>
      </c>
      <c r="Y1160" s="3" t="b">
        <f t="shared" si="63"/>
        <v>0</v>
      </c>
    </row>
    <row r="1161" spans="14:25">
      <c r="N1161" s="34"/>
      <c r="O1161" s="34"/>
      <c r="P1161" s="34"/>
      <c r="Q1161" s="34"/>
      <c r="R1161" s="34"/>
      <c r="S1161" s="38"/>
      <c r="T1161" s="38"/>
      <c r="U1161" s="34"/>
      <c r="V1161" s="255"/>
      <c r="W1161" s="34"/>
      <c r="X1161" s="3" t="b">
        <f t="shared" si="62"/>
        <v>0</v>
      </c>
      <c r="Y1161" s="3" t="b">
        <f t="shared" si="63"/>
        <v>0</v>
      </c>
    </row>
    <row r="1162" spans="14:25">
      <c r="N1162" s="34"/>
      <c r="O1162" s="34"/>
      <c r="P1162" s="34"/>
      <c r="Q1162" s="34"/>
      <c r="R1162" s="34"/>
      <c r="S1162" s="38"/>
      <c r="T1162" s="38"/>
      <c r="U1162" s="34"/>
      <c r="V1162" s="255"/>
      <c r="W1162" s="34"/>
      <c r="X1162" s="3" t="b">
        <f t="shared" si="62"/>
        <v>0</v>
      </c>
      <c r="Y1162" s="3" t="b">
        <f t="shared" si="63"/>
        <v>0</v>
      </c>
    </row>
    <row r="1163" spans="14:25">
      <c r="N1163" s="34"/>
      <c r="O1163" s="34"/>
      <c r="P1163" s="34"/>
      <c r="Q1163" s="34"/>
      <c r="R1163" s="34"/>
      <c r="S1163" s="38"/>
      <c r="T1163" s="38"/>
      <c r="U1163" s="34"/>
      <c r="V1163" s="255"/>
      <c r="W1163" s="34"/>
      <c r="X1163" s="3" t="b">
        <f t="shared" si="62"/>
        <v>0</v>
      </c>
      <c r="Y1163" s="3" t="b">
        <f t="shared" si="63"/>
        <v>0</v>
      </c>
    </row>
    <row r="1164" spans="14:25">
      <c r="N1164" s="34"/>
      <c r="O1164" s="34"/>
      <c r="P1164" s="34"/>
      <c r="Q1164" s="34"/>
      <c r="R1164" s="34"/>
      <c r="S1164" s="38"/>
      <c r="T1164" s="38"/>
      <c r="U1164" s="34"/>
      <c r="V1164" s="255"/>
      <c r="W1164" s="34"/>
      <c r="X1164" s="3" t="b">
        <f t="shared" si="62"/>
        <v>0</v>
      </c>
      <c r="Y1164" s="3" t="b">
        <f t="shared" si="63"/>
        <v>0</v>
      </c>
    </row>
    <row r="1165" spans="14:25">
      <c r="N1165" s="34"/>
      <c r="O1165" s="34"/>
      <c r="P1165" s="34"/>
      <c r="Q1165" s="34"/>
      <c r="R1165" s="34"/>
      <c r="S1165" s="38"/>
      <c r="T1165" s="38"/>
      <c r="U1165" s="34"/>
      <c r="V1165" s="255"/>
      <c r="W1165" s="34"/>
      <c r="X1165" s="3" t="b">
        <f t="shared" si="62"/>
        <v>0</v>
      </c>
      <c r="Y1165" s="3" t="b">
        <f t="shared" si="63"/>
        <v>0</v>
      </c>
    </row>
    <row r="1166" spans="14:25">
      <c r="N1166" s="34"/>
      <c r="O1166" s="34"/>
      <c r="P1166" s="34"/>
      <c r="Q1166" s="34"/>
      <c r="R1166" s="34"/>
      <c r="S1166" s="38"/>
      <c r="T1166" s="38"/>
      <c r="U1166" s="34"/>
      <c r="V1166" s="255"/>
      <c r="W1166" s="34"/>
      <c r="X1166" s="3" t="b">
        <f t="shared" si="62"/>
        <v>0</v>
      </c>
      <c r="Y1166" s="3" t="b">
        <f t="shared" si="63"/>
        <v>0</v>
      </c>
    </row>
    <row r="1167" spans="14:25">
      <c r="N1167" s="34"/>
      <c r="O1167" s="34"/>
      <c r="P1167" s="34"/>
      <c r="Q1167" s="34"/>
      <c r="R1167" s="34"/>
      <c r="S1167" s="38"/>
      <c r="T1167" s="38"/>
      <c r="U1167" s="34"/>
      <c r="V1167" s="255"/>
      <c r="W1167" s="34"/>
      <c r="X1167" s="3" t="b">
        <f t="shared" si="62"/>
        <v>0</v>
      </c>
      <c r="Y1167" s="3" t="b">
        <f t="shared" si="63"/>
        <v>0</v>
      </c>
    </row>
    <row r="1168" spans="14:25">
      <c r="N1168" s="34"/>
      <c r="O1168" s="34"/>
      <c r="P1168" s="34"/>
      <c r="Q1168" s="34"/>
      <c r="R1168" s="34"/>
      <c r="S1168" s="38"/>
      <c r="T1168" s="38"/>
      <c r="U1168" s="34"/>
      <c r="V1168" s="255"/>
      <c r="W1168" s="34"/>
      <c r="X1168" s="3" t="b">
        <f t="shared" si="62"/>
        <v>0</v>
      </c>
      <c r="Y1168" s="3" t="b">
        <f t="shared" si="63"/>
        <v>0</v>
      </c>
    </row>
    <row r="1169" spans="14:25">
      <c r="N1169" s="34"/>
      <c r="O1169" s="34"/>
      <c r="P1169" s="34"/>
      <c r="Q1169" s="34"/>
      <c r="R1169" s="34"/>
      <c r="S1169" s="38"/>
      <c r="T1169" s="38"/>
      <c r="U1169" s="34"/>
      <c r="V1169" s="255"/>
      <c r="W1169" s="34"/>
      <c r="X1169" s="3" t="b">
        <f t="shared" si="62"/>
        <v>0</v>
      </c>
      <c r="Y1169" s="3" t="b">
        <f t="shared" si="63"/>
        <v>0</v>
      </c>
    </row>
    <row r="1170" spans="14:25">
      <c r="N1170" s="34"/>
      <c r="O1170" s="34"/>
      <c r="P1170" s="34"/>
      <c r="Q1170" s="34"/>
      <c r="R1170" s="34"/>
      <c r="S1170" s="38"/>
      <c r="T1170" s="38"/>
      <c r="U1170" s="34"/>
      <c r="V1170" s="255"/>
      <c r="W1170" s="34"/>
      <c r="X1170" s="3" t="b">
        <f t="shared" si="62"/>
        <v>0</v>
      </c>
      <c r="Y1170" s="3" t="b">
        <f t="shared" si="63"/>
        <v>0</v>
      </c>
    </row>
    <row r="1171" spans="14:25">
      <c r="N1171" s="34"/>
      <c r="O1171" s="34"/>
      <c r="P1171" s="34"/>
      <c r="Q1171" s="34"/>
      <c r="R1171" s="34"/>
      <c r="S1171" s="38"/>
      <c r="T1171" s="38"/>
      <c r="U1171" s="34"/>
      <c r="V1171" s="255"/>
      <c r="W1171" s="34"/>
      <c r="X1171" s="3" t="b">
        <f t="shared" si="62"/>
        <v>0</v>
      </c>
      <c r="Y1171" s="3" t="b">
        <f t="shared" si="63"/>
        <v>0</v>
      </c>
    </row>
    <row r="1172" spans="14:25">
      <c r="N1172" s="34"/>
      <c r="O1172" s="34"/>
      <c r="P1172" s="34"/>
      <c r="Q1172" s="34"/>
      <c r="R1172" s="34"/>
      <c r="S1172" s="38"/>
      <c r="T1172" s="38"/>
      <c r="U1172" s="34"/>
      <c r="V1172" s="255"/>
      <c r="W1172" s="34"/>
      <c r="X1172" s="3" t="b">
        <f t="shared" si="62"/>
        <v>0</v>
      </c>
      <c r="Y1172" s="3" t="b">
        <f t="shared" si="63"/>
        <v>0</v>
      </c>
    </row>
    <row r="1173" spans="14:25">
      <c r="N1173" s="34"/>
      <c r="O1173" s="34"/>
      <c r="P1173" s="34"/>
      <c r="Q1173" s="34"/>
      <c r="R1173" s="34"/>
      <c r="S1173" s="38"/>
      <c r="T1173" s="38"/>
      <c r="U1173" s="34"/>
      <c r="V1173" s="255"/>
      <c r="W1173" s="34"/>
      <c r="X1173" s="3" t="b">
        <f t="shared" si="62"/>
        <v>0</v>
      </c>
      <c r="Y1173" s="3" t="b">
        <f t="shared" si="63"/>
        <v>0</v>
      </c>
    </row>
    <row r="1174" spans="14:25">
      <c r="N1174" s="34"/>
      <c r="O1174" s="34"/>
      <c r="P1174" s="34"/>
      <c r="Q1174" s="34"/>
      <c r="R1174" s="34"/>
      <c r="S1174" s="38"/>
      <c r="T1174" s="38"/>
      <c r="U1174" s="34"/>
      <c r="V1174" s="255"/>
      <c r="W1174" s="34"/>
      <c r="X1174" s="3" t="b">
        <f t="shared" si="62"/>
        <v>0</v>
      </c>
      <c r="Y1174" s="3" t="b">
        <f t="shared" si="63"/>
        <v>0</v>
      </c>
    </row>
    <row r="1175" spans="14:25">
      <c r="N1175" s="34"/>
      <c r="O1175" s="34"/>
      <c r="P1175" s="34"/>
      <c r="Q1175" s="34"/>
      <c r="R1175" s="34"/>
      <c r="S1175" s="38"/>
      <c r="T1175" s="38"/>
      <c r="U1175" s="34"/>
      <c r="V1175" s="255"/>
      <c r="W1175" s="34"/>
      <c r="X1175" s="3" t="b">
        <f t="shared" si="62"/>
        <v>0</v>
      </c>
      <c r="Y1175" s="3" t="b">
        <f t="shared" si="63"/>
        <v>0</v>
      </c>
    </row>
    <row r="1176" spans="14:25">
      <c r="N1176" s="34"/>
      <c r="O1176" s="34"/>
      <c r="P1176" s="34"/>
      <c r="Q1176" s="34"/>
      <c r="R1176" s="34"/>
      <c r="S1176" s="38"/>
      <c r="T1176" s="38"/>
      <c r="U1176" s="34"/>
      <c r="V1176" s="255"/>
      <c r="W1176" s="34"/>
      <c r="X1176" s="3" t="b">
        <f t="shared" si="62"/>
        <v>0</v>
      </c>
      <c r="Y1176" s="3" t="b">
        <f t="shared" si="63"/>
        <v>0</v>
      </c>
    </row>
    <row r="1177" spans="14:25">
      <c r="N1177" s="34"/>
      <c r="O1177" s="34"/>
      <c r="P1177" s="34"/>
      <c r="Q1177" s="34"/>
      <c r="R1177" s="34"/>
      <c r="S1177" s="38"/>
      <c r="T1177" s="38"/>
      <c r="U1177" s="34"/>
      <c r="V1177" s="255"/>
      <c r="W1177" s="34"/>
      <c r="X1177" s="3" t="b">
        <f t="shared" si="62"/>
        <v>0</v>
      </c>
      <c r="Y1177" s="3" t="b">
        <f t="shared" si="63"/>
        <v>0</v>
      </c>
    </row>
    <row r="1178" spans="14:25">
      <c r="N1178" s="34"/>
      <c r="O1178" s="34"/>
      <c r="P1178" s="34"/>
      <c r="Q1178" s="34"/>
      <c r="R1178" s="34"/>
      <c r="S1178" s="38"/>
      <c r="T1178" s="38"/>
      <c r="U1178" s="34"/>
      <c r="V1178" s="255"/>
      <c r="W1178" s="34"/>
      <c r="X1178" s="3" t="b">
        <f t="shared" si="62"/>
        <v>0</v>
      </c>
      <c r="Y1178" s="3" t="b">
        <f t="shared" si="63"/>
        <v>0</v>
      </c>
    </row>
    <row r="1179" spans="14:25">
      <c r="N1179" s="34"/>
      <c r="O1179" s="34"/>
      <c r="P1179" s="34"/>
      <c r="Q1179" s="34"/>
      <c r="R1179" s="34"/>
      <c r="S1179" s="38"/>
      <c r="T1179" s="38"/>
      <c r="U1179" s="34"/>
      <c r="V1179" s="255"/>
      <c r="W1179" s="34"/>
      <c r="X1179" s="3" t="b">
        <f t="shared" si="62"/>
        <v>0</v>
      </c>
      <c r="Y1179" s="3" t="b">
        <f t="shared" si="63"/>
        <v>0</v>
      </c>
    </row>
    <row r="1180" spans="14:25">
      <c r="N1180" s="34"/>
      <c r="O1180" s="34"/>
      <c r="P1180" s="34"/>
      <c r="Q1180" s="34"/>
      <c r="R1180" s="34"/>
      <c r="S1180" s="38"/>
      <c r="T1180" s="38"/>
      <c r="U1180" s="34"/>
      <c r="V1180" s="255"/>
      <c r="W1180" s="34"/>
      <c r="X1180" s="3" t="b">
        <f t="shared" si="62"/>
        <v>0</v>
      </c>
      <c r="Y1180" s="3" t="b">
        <f t="shared" si="63"/>
        <v>0</v>
      </c>
    </row>
    <row r="1181" spans="14:25">
      <c r="N1181" s="34"/>
      <c r="O1181" s="34"/>
      <c r="P1181" s="34"/>
      <c r="Q1181" s="34"/>
      <c r="R1181" s="34"/>
      <c r="S1181" s="38"/>
      <c r="T1181" s="38"/>
      <c r="U1181" s="34"/>
      <c r="V1181" s="255"/>
      <c r="W1181" s="34"/>
      <c r="X1181" s="3" t="b">
        <f t="shared" si="62"/>
        <v>0</v>
      </c>
      <c r="Y1181" s="3" t="b">
        <f t="shared" si="63"/>
        <v>0</v>
      </c>
    </row>
    <row r="1182" spans="14:25">
      <c r="N1182" s="34"/>
      <c r="O1182" s="34"/>
      <c r="P1182" s="34"/>
      <c r="Q1182" s="34"/>
      <c r="R1182" s="34"/>
      <c r="S1182" s="38"/>
      <c r="T1182" s="38"/>
      <c r="U1182" s="34"/>
      <c r="V1182" s="255"/>
      <c r="W1182" s="34"/>
      <c r="X1182" s="3" t="b">
        <f t="shared" si="62"/>
        <v>0</v>
      </c>
      <c r="Y1182" s="3" t="b">
        <f t="shared" si="63"/>
        <v>0</v>
      </c>
    </row>
    <row r="1183" spans="14:25">
      <c r="N1183" s="34"/>
      <c r="O1183" s="34"/>
      <c r="P1183" s="34"/>
      <c r="Q1183" s="34"/>
      <c r="R1183" s="34"/>
      <c r="S1183" s="38"/>
      <c r="T1183" s="38"/>
      <c r="U1183" s="34"/>
      <c r="V1183" s="255"/>
      <c r="W1183" s="34"/>
      <c r="X1183" s="3" t="b">
        <f t="shared" si="62"/>
        <v>0</v>
      </c>
      <c r="Y1183" s="3" t="b">
        <f t="shared" si="63"/>
        <v>0</v>
      </c>
    </row>
    <row r="1184" spans="14:25">
      <c r="N1184" s="34"/>
      <c r="O1184" s="34"/>
      <c r="P1184" s="34"/>
      <c r="Q1184" s="34"/>
      <c r="R1184" s="34"/>
      <c r="S1184" s="38"/>
      <c r="T1184" s="38"/>
      <c r="U1184" s="34"/>
      <c r="V1184" s="255"/>
      <c r="W1184" s="34"/>
      <c r="X1184" s="3" t="b">
        <f t="shared" si="62"/>
        <v>0</v>
      </c>
      <c r="Y1184" s="3" t="b">
        <f t="shared" si="63"/>
        <v>0</v>
      </c>
    </row>
    <row r="1185" spans="14:25">
      <c r="N1185" s="34"/>
      <c r="O1185" s="34"/>
      <c r="P1185" s="34"/>
      <c r="Q1185" s="34"/>
      <c r="R1185" s="34"/>
      <c r="S1185" s="38"/>
      <c r="T1185" s="38"/>
      <c r="U1185" s="34"/>
      <c r="V1185" s="255"/>
      <c r="W1185" s="34"/>
      <c r="X1185" s="3" t="b">
        <f t="shared" si="62"/>
        <v>0</v>
      </c>
      <c r="Y1185" s="3" t="b">
        <f t="shared" si="63"/>
        <v>0</v>
      </c>
    </row>
    <row r="1186" spans="14:25">
      <c r="N1186" s="34"/>
      <c r="O1186" s="34"/>
      <c r="P1186" s="34"/>
      <c r="Q1186" s="34"/>
      <c r="R1186" s="34"/>
      <c r="S1186" s="38"/>
      <c r="T1186" s="38"/>
      <c r="U1186" s="34"/>
      <c r="V1186" s="255"/>
      <c r="W1186" s="34"/>
      <c r="X1186" s="3" t="b">
        <f t="shared" si="62"/>
        <v>0</v>
      </c>
      <c r="Y1186" s="3" t="b">
        <f t="shared" si="63"/>
        <v>0</v>
      </c>
    </row>
    <row r="1187" spans="14:25">
      <c r="N1187" s="34"/>
      <c r="O1187" s="34"/>
      <c r="P1187" s="34"/>
      <c r="Q1187" s="34"/>
      <c r="R1187" s="34"/>
      <c r="S1187" s="38"/>
      <c r="T1187" s="38"/>
      <c r="U1187" s="34"/>
      <c r="V1187" s="255"/>
      <c r="W1187" s="34"/>
      <c r="X1187" s="3" t="b">
        <f t="shared" si="62"/>
        <v>0</v>
      </c>
      <c r="Y1187" s="3" t="b">
        <f t="shared" si="63"/>
        <v>0</v>
      </c>
    </row>
    <row r="1188" spans="14:25">
      <c r="N1188" s="34"/>
      <c r="O1188" s="34"/>
      <c r="P1188" s="34"/>
      <c r="Q1188" s="34"/>
      <c r="R1188" s="34"/>
      <c r="S1188" s="38"/>
      <c r="T1188" s="38"/>
      <c r="U1188" s="34"/>
      <c r="V1188" s="255"/>
      <c r="W1188" s="34"/>
      <c r="X1188" s="3" t="b">
        <f t="shared" si="62"/>
        <v>0</v>
      </c>
      <c r="Y1188" s="3" t="b">
        <f t="shared" si="63"/>
        <v>0</v>
      </c>
    </row>
    <row r="1189" spans="14:25">
      <c r="N1189" s="34"/>
      <c r="O1189" s="34"/>
      <c r="P1189" s="34"/>
      <c r="Q1189" s="34"/>
      <c r="R1189" s="34"/>
      <c r="S1189" s="38"/>
      <c r="T1189" s="38"/>
      <c r="U1189" s="34"/>
      <c r="V1189" s="255"/>
      <c r="W1189" s="34"/>
      <c r="X1189" s="3" t="b">
        <f t="shared" si="62"/>
        <v>0</v>
      </c>
      <c r="Y1189" s="3" t="b">
        <f t="shared" si="63"/>
        <v>0</v>
      </c>
    </row>
    <row r="1190" spans="14:25">
      <c r="N1190" s="34"/>
      <c r="O1190" s="34"/>
      <c r="P1190" s="34"/>
      <c r="Q1190" s="34"/>
      <c r="R1190" s="34"/>
      <c r="S1190" s="38"/>
      <c r="T1190" s="38"/>
      <c r="U1190" s="34"/>
      <c r="V1190" s="255"/>
      <c r="W1190" s="34"/>
      <c r="X1190" s="3" t="b">
        <f t="shared" si="62"/>
        <v>0</v>
      </c>
      <c r="Y1190" s="3" t="b">
        <f t="shared" si="63"/>
        <v>0</v>
      </c>
    </row>
    <row r="1191" spans="14:25">
      <c r="N1191" s="34"/>
      <c r="O1191" s="34"/>
      <c r="P1191" s="34"/>
      <c r="Q1191" s="34"/>
      <c r="R1191" s="34"/>
      <c r="S1191" s="38"/>
      <c r="T1191" s="38"/>
      <c r="U1191" s="34"/>
      <c r="V1191" s="255"/>
      <c r="W1191" s="34"/>
      <c r="X1191" s="3" t="b">
        <f t="shared" si="62"/>
        <v>0</v>
      </c>
      <c r="Y1191" s="3" t="b">
        <f t="shared" si="63"/>
        <v>0</v>
      </c>
    </row>
    <row r="1192" spans="14:25">
      <c r="N1192" s="34"/>
      <c r="O1192" s="34"/>
      <c r="P1192" s="34"/>
      <c r="Q1192" s="34"/>
      <c r="R1192" s="34"/>
      <c r="S1192" s="38"/>
      <c r="T1192" s="38"/>
      <c r="U1192" s="34"/>
      <c r="V1192" s="255"/>
      <c r="W1192" s="34"/>
      <c r="X1192" s="3" t="b">
        <f t="shared" si="62"/>
        <v>0</v>
      </c>
      <c r="Y1192" s="3" t="b">
        <f t="shared" si="63"/>
        <v>0</v>
      </c>
    </row>
    <row r="1193" spans="14:25">
      <c r="N1193" s="34"/>
      <c r="O1193" s="34"/>
      <c r="P1193" s="34"/>
      <c r="Q1193" s="34"/>
      <c r="R1193" s="34"/>
      <c r="S1193" s="38"/>
      <c r="T1193" s="38"/>
      <c r="U1193" s="34"/>
      <c r="V1193" s="255"/>
      <c r="W1193" s="34"/>
      <c r="X1193" s="3" t="b">
        <f t="shared" si="62"/>
        <v>0</v>
      </c>
      <c r="Y1193" s="3" t="b">
        <f t="shared" si="63"/>
        <v>0</v>
      </c>
    </row>
    <row r="1194" spans="14:25">
      <c r="N1194" s="34"/>
      <c r="O1194" s="34"/>
      <c r="P1194" s="34"/>
      <c r="Q1194" s="34"/>
      <c r="R1194" s="34"/>
      <c r="S1194" s="38"/>
      <c r="T1194" s="38"/>
      <c r="U1194" s="34"/>
      <c r="V1194" s="255"/>
      <c r="W1194" s="34"/>
      <c r="X1194" s="3" t="b">
        <f t="shared" si="62"/>
        <v>0</v>
      </c>
      <c r="Y1194" s="3" t="b">
        <f t="shared" si="63"/>
        <v>0</v>
      </c>
    </row>
    <row r="1195" spans="14:25">
      <c r="N1195" s="34"/>
      <c r="O1195" s="34"/>
      <c r="P1195" s="34"/>
      <c r="Q1195" s="34"/>
      <c r="R1195" s="34"/>
      <c r="S1195" s="38"/>
      <c r="T1195" s="38"/>
      <c r="U1195" s="34"/>
      <c r="V1195" s="255"/>
      <c r="W1195" s="34"/>
      <c r="X1195" s="3" t="b">
        <f t="shared" si="62"/>
        <v>0</v>
      </c>
      <c r="Y1195" s="3" t="b">
        <f t="shared" si="63"/>
        <v>0</v>
      </c>
    </row>
    <row r="1196" spans="14:25">
      <c r="N1196" s="34"/>
      <c r="O1196" s="34"/>
      <c r="P1196" s="34"/>
      <c r="Q1196" s="34"/>
      <c r="R1196" s="34"/>
      <c r="S1196" s="38"/>
      <c r="T1196" s="38"/>
      <c r="U1196" s="34"/>
      <c r="V1196" s="255"/>
      <c r="W1196" s="34"/>
      <c r="X1196" s="3" t="b">
        <f t="shared" ref="X1196:X1259" si="64">IF(OR(Q1196="Stock to Rack",Q1196="From Stock"),-P1196,IF(OR(Q1196="Rack to Stock",Q1196="To Stock"),P1196))</f>
        <v>0</v>
      </c>
      <c r="Y1196" s="3" t="b">
        <f t="shared" ref="Y1196:Y1259" si="65">IF(Q1196="Rack to Stock",-P1196,IF(Q1196="Stock to Rack",P1196))</f>
        <v>0</v>
      </c>
    </row>
    <row r="1197" spans="14:25">
      <c r="N1197" s="34"/>
      <c r="O1197" s="34"/>
      <c r="P1197" s="34"/>
      <c r="Q1197" s="34"/>
      <c r="R1197" s="34"/>
      <c r="S1197" s="38"/>
      <c r="T1197" s="38"/>
      <c r="U1197" s="34"/>
      <c r="V1197" s="255"/>
      <c r="W1197" s="34"/>
      <c r="X1197" s="3" t="b">
        <f t="shared" si="64"/>
        <v>0</v>
      </c>
      <c r="Y1197" s="3" t="b">
        <f t="shared" si="65"/>
        <v>0</v>
      </c>
    </row>
    <row r="1198" spans="14:25">
      <c r="N1198" s="34"/>
      <c r="O1198" s="34"/>
      <c r="P1198" s="34"/>
      <c r="Q1198" s="34"/>
      <c r="R1198" s="34"/>
      <c r="S1198" s="38"/>
      <c r="T1198" s="38"/>
      <c r="U1198" s="34"/>
      <c r="V1198" s="255"/>
      <c r="W1198" s="34"/>
      <c r="X1198" s="3" t="b">
        <f t="shared" si="64"/>
        <v>0</v>
      </c>
      <c r="Y1198" s="3" t="b">
        <f t="shared" si="65"/>
        <v>0</v>
      </c>
    </row>
    <row r="1199" spans="14:25">
      <c r="N1199" s="34"/>
      <c r="O1199" s="34"/>
      <c r="P1199" s="34"/>
      <c r="Q1199" s="34"/>
      <c r="R1199" s="34"/>
      <c r="S1199" s="38"/>
      <c r="T1199" s="38"/>
      <c r="U1199" s="34"/>
      <c r="V1199" s="255"/>
      <c r="W1199" s="34"/>
      <c r="X1199" s="3" t="b">
        <f t="shared" si="64"/>
        <v>0</v>
      </c>
      <c r="Y1199" s="3" t="b">
        <f t="shared" si="65"/>
        <v>0</v>
      </c>
    </row>
    <row r="1200" spans="14:25">
      <c r="N1200" s="34"/>
      <c r="O1200" s="34"/>
      <c r="P1200" s="34"/>
      <c r="Q1200" s="34"/>
      <c r="R1200" s="34"/>
      <c r="S1200" s="38"/>
      <c r="T1200" s="38"/>
      <c r="U1200" s="34"/>
      <c r="V1200" s="255"/>
      <c r="W1200" s="34"/>
      <c r="X1200" s="3" t="b">
        <f t="shared" si="64"/>
        <v>0</v>
      </c>
      <c r="Y1200" s="3" t="b">
        <f t="shared" si="65"/>
        <v>0</v>
      </c>
    </row>
    <row r="1201" spans="14:25">
      <c r="N1201" s="34"/>
      <c r="O1201" s="34"/>
      <c r="P1201" s="34"/>
      <c r="Q1201" s="34"/>
      <c r="R1201" s="34"/>
      <c r="S1201" s="38"/>
      <c r="T1201" s="38"/>
      <c r="U1201" s="34"/>
      <c r="V1201" s="255"/>
      <c r="W1201" s="34"/>
      <c r="X1201" s="3" t="b">
        <f t="shared" si="64"/>
        <v>0</v>
      </c>
      <c r="Y1201" s="3" t="b">
        <f t="shared" si="65"/>
        <v>0</v>
      </c>
    </row>
    <row r="1202" spans="14:25">
      <c r="N1202" s="34"/>
      <c r="O1202" s="34"/>
      <c r="P1202" s="34"/>
      <c r="Q1202" s="34"/>
      <c r="R1202" s="34"/>
      <c r="S1202" s="38"/>
      <c r="T1202" s="38"/>
      <c r="U1202" s="34"/>
      <c r="V1202" s="255"/>
      <c r="W1202" s="34"/>
      <c r="X1202" s="3" t="b">
        <f t="shared" si="64"/>
        <v>0</v>
      </c>
      <c r="Y1202" s="3" t="b">
        <f t="shared" si="65"/>
        <v>0</v>
      </c>
    </row>
    <row r="1203" spans="14:25">
      <c r="N1203" s="34"/>
      <c r="O1203" s="34"/>
      <c r="P1203" s="34"/>
      <c r="Q1203" s="34"/>
      <c r="R1203" s="34"/>
      <c r="S1203" s="38"/>
      <c r="T1203" s="38"/>
      <c r="U1203" s="34"/>
      <c r="V1203" s="255"/>
      <c r="W1203" s="34"/>
      <c r="X1203" s="3" t="b">
        <f t="shared" si="64"/>
        <v>0</v>
      </c>
      <c r="Y1203" s="3" t="b">
        <f t="shared" si="65"/>
        <v>0</v>
      </c>
    </row>
    <row r="1204" spans="14:25">
      <c r="N1204" s="34"/>
      <c r="O1204" s="34"/>
      <c r="P1204" s="34"/>
      <c r="Q1204" s="34"/>
      <c r="R1204" s="34"/>
      <c r="S1204" s="38"/>
      <c r="T1204" s="38"/>
      <c r="U1204" s="34"/>
      <c r="V1204" s="255"/>
      <c r="W1204" s="34"/>
      <c r="X1204" s="3" t="b">
        <f t="shared" si="64"/>
        <v>0</v>
      </c>
      <c r="Y1204" s="3" t="b">
        <f t="shared" si="65"/>
        <v>0</v>
      </c>
    </row>
    <row r="1205" spans="14:25">
      <c r="N1205" s="34"/>
      <c r="O1205" s="34"/>
      <c r="P1205" s="34"/>
      <c r="Q1205" s="34"/>
      <c r="R1205" s="34"/>
      <c r="S1205" s="38"/>
      <c r="T1205" s="38"/>
      <c r="U1205" s="34"/>
      <c r="V1205" s="255"/>
      <c r="W1205" s="34"/>
      <c r="X1205" s="3" t="b">
        <f t="shared" si="64"/>
        <v>0</v>
      </c>
      <c r="Y1205" s="3" t="b">
        <f t="shared" si="65"/>
        <v>0</v>
      </c>
    </row>
    <row r="1206" spans="14:25">
      <c r="N1206" s="34"/>
      <c r="O1206" s="34"/>
      <c r="P1206" s="34"/>
      <c r="Q1206" s="34"/>
      <c r="R1206" s="34"/>
      <c r="S1206" s="38"/>
      <c r="T1206" s="38"/>
      <c r="U1206" s="34"/>
      <c r="V1206" s="255"/>
      <c r="W1206" s="34"/>
      <c r="X1206" s="3" t="b">
        <f t="shared" si="64"/>
        <v>0</v>
      </c>
      <c r="Y1206" s="3" t="b">
        <f t="shared" si="65"/>
        <v>0</v>
      </c>
    </row>
    <row r="1207" spans="14:25">
      <c r="N1207" s="34"/>
      <c r="O1207" s="34"/>
      <c r="P1207" s="34"/>
      <c r="Q1207" s="34"/>
      <c r="R1207" s="34"/>
      <c r="S1207" s="38"/>
      <c r="T1207" s="38"/>
      <c r="U1207" s="34"/>
      <c r="V1207" s="255"/>
      <c r="W1207" s="34"/>
      <c r="X1207" s="3" t="b">
        <f t="shared" si="64"/>
        <v>0</v>
      </c>
      <c r="Y1207" s="3" t="b">
        <f t="shared" si="65"/>
        <v>0</v>
      </c>
    </row>
    <row r="1208" spans="14:25">
      <c r="N1208" s="34"/>
      <c r="O1208" s="34"/>
      <c r="P1208" s="34"/>
      <c r="Q1208" s="34"/>
      <c r="R1208" s="34"/>
      <c r="S1208" s="38"/>
      <c r="T1208" s="38"/>
      <c r="U1208" s="34"/>
      <c r="V1208" s="255"/>
      <c r="W1208" s="34"/>
      <c r="X1208" s="3" t="b">
        <f t="shared" si="64"/>
        <v>0</v>
      </c>
      <c r="Y1208" s="3" t="b">
        <f t="shared" si="65"/>
        <v>0</v>
      </c>
    </row>
    <row r="1209" spans="14:25">
      <c r="N1209" s="34"/>
      <c r="O1209" s="34"/>
      <c r="P1209" s="34"/>
      <c r="Q1209" s="34"/>
      <c r="R1209" s="34"/>
      <c r="S1209" s="38"/>
      <c r="T1209" s="38"/>
      <c r="U1209" s="34"/>
      <c r="V1209" s="255"/>
      <c r="W1209" s="34"/>
      <c r="X1209" s="3" t="b">
        <f t="shared" si="64"/>
        <v>0</v>
      </c>
      <c r="Y1209" s="3" t="b">
        <f t="shared" si="65"/>
        <v>0</v>
      </c>
    </row>
    <row r="1210" spans="14:25">
      <c r="N1210" s="34"/>
      <c r="O1210" s="34"/>
      <c r="P1210" s="34"/>
      <c r="Q1210" s="34"/>
      <c r="R1210" s="34"/>
      <c r="S1210" s="38"/>
      <c r="T1210" s="38"/>
      <c r="U1210" s="34"/>
      <c r="V1210" s="255"/>
      <c r="W1210" s="34"/>
      <c r="X1210" s="3" t="b">
        <f t="shared" si="64"/>
        <v>0</v>
      </c>
      <c r="Y1210" s="3" t="b">
        <f t="shared" si="65"/>
        <v>0</v>
      </c>
    </row>
    <row r="1211" spans="14:25">
      <c r="N1211" s="34"/>
      <c r="O1211" s="34"/>
      <c r="P1211" s="34"/>
      <c r="Q1211" s="34"/>
      <c r="R1211" s="34"/>
      <c r="S1211" s="38"/>
      <c r="T1211" s="38"/>
      <c r="U1211" s="34"/>
      <c r="V1211" s="255"/>
      <c r="W1211" s="34"/>
      <c r="X1211" s="3" t="b">
        <f t="shared" si="64"/>
        <v>0</v>
      </c>
      <c r="Y1211" s="3" t="b">
        <f t="shared" si="65"/>
        <v>0</v>
      </c>
    </row>
    <row r="1212" spans="14:25">
      <c r="N1212" s="34"/>
      <c r="O1212" s="34"/>
      <c r="P1212" s="34"/>
      <c r="Q1212" s="34"/>
      <c r="R1212" s="34"/>
      <c r="S1212" s="38"/>
      <c r="T1212" s="38"/>
      <c r="U1212" s="34"/>
      <c r="V1212" s="255"/>
      <c r="W1212" s="34"/>
      <c r="X1212" s="3" t="b">
        <f t="shared" si="64"/>
        <v>0</v>
      </c>
      <c r="Y1212" s="3" t="b">
        <f t="shared" si="65"/>
        <v>0</v>
      </c>
    </row>
    <row r="1213" spans="14:25">
      <c r="N1213" s="34"/>
      <c r="O1213" s="34"/>
      <c r="P1213" s="34"/>
      <c r="Q1213" s="34"/>
      <c r="R1213" s="34"/>
      <c r="S1213" s="38"/>
      <c r="T1213" s="38"/>
      <c r="U1213" s="34"/>
      <c r="V1213" s="255"/>
      <c r="W1213" s="34"/>
      <c r="X1213" s="3" t="b">
        <f t="shared" si="64"/>
        <v>0</v>
      </c>
      <c r="Y1213" s="3" t="b">
        <f t="shared" si="65"/>
        <v>0</v>
      </c>
    </row>
    <row r="1214" spans="14:25">
      <c r="N1214" s="34"/>
      <c r="O1214" s="34"/>
      <c r="P1214" s="34"/>
      <c r="Q1214" s="34"/>
      <c r="R1214" s="34"/>
      <c r="S1214" s="38"/>
      <c r="T1214" s="38"/>
      <c r="U1214" s="34"/>
      <c r="V1214" s="255"/>
      <c r="W1214" s="34"/>
      <c r="X1214" s="3" t="b">
        <f t="shared" si="64"/>
        <v>0</v>
      </c>
      <c r="Y1214" s="3" t="b">
        <f t="shared" si="65"/>
        <v>0</v>
      </c>
    </row>
    <row r="1215" spans="14:25">
      <c r="N1215" s="34"/>
      <c r="O1215" s="34"/>
      <c r="P1215" s="34"/>
      <c r="Q1215" s="34"/>
      <c r="R1215" s="34"/>
      <c r="S1215" s="38"/>
      <c r="T1215" s="38"/>
      <c r="U1215" s="34"/>
      <c r="V1215" s="255"/>
      <c r="W1215" s="34"/>
      <c r="X1215" s="3" t="b">
        <f t="shared" si="64"/>
        <v>0</v>
      </c>
      <c r="Y1215" s="3" t="b">
        <f t="shared" si="65"/>
        <v>0</v>
      </c>
    </row>
    <row r="1216" spans="14:25">
      <c r="N1216" s="34"/>
      <c r="O1216" s="34"/>
      <c r="P1216" s="34"/>
      <c r="Q1216" s="34"/>
      <c r="R1216" s="34"/>
      <c r="S1216" s="38"/>
      <c r="T1216" s="38"/>
      <c r="U1216" s="34"/>
      <c r="V1216" s="255"/>
      <c r="W1216" s="34"/>
      <c r="X1216" s="3" t="b">
        <f t="shared" si="64"/>
        <v>0</v>
      </c>
      <c r="Y1216" s="3" t="b">
        <f t="shared" si="65"/>
        <v>0</v>
      </c>
    </row>
    <row r="1217" spans="14:25">
      <c r="N1217" s="34"/>
      <c r="O1217" s="34"/>
      <c r="P1217" s="34"/>
      <c r="Q1217" s="34"/>
      <c r="R1217" s="34"/>
      <c r="S1217" s="38"/>
      <c r="T1217" s="38"/>
      <c r="U1217" s="34"/>
      <c r="V1217" s="255"/>
      <c r="W1217" s="34"/>
      <c r="X1217" s="3" t="b">
        <f t="shared" si="64"/>
        <v>0</v>
      </c>
      <c r="Y1217" s="3" t="b">
        <f t="shared" si="65"/>
        <v>0</v>
      </c>
    </row>
    <row r="1218" spans="14:25">
      <c r="N1218" s="34"/>
      <c r="O1218" s="34"/>
      <c r="P1218" s="34"/>
      <c r="Q1218" s="34"/>
      <c r="R1218" s="34"/>
      <c r="S1218" s="38"/>
      <c r="T1218" s="38"/>
      <c r="U1218" s="34"/>
      <c r="V1218" s="255"/>
      <c r="W1218" s="34"/>
      <c r="X1218" s="3" t="b">
        <f t="shared" si="64"/>
        <v>0</v>
      </c>
      <c r="Y1218" s="3" t="b">
        <f t="shared" si="65"/>
        <v>0</v>
      </c>
    </row>
    <row r="1219" spans="14:25">
      <c r="N1219" s="34"/>
      <c r="O1219" s="34"/>
      <c r="P1219" s="34"/>
      <c r="Q1219" s="34"/>
      <c r="R1219" s="34"/>
      <c r="S1219" s="38"/>
      <c r="T1219" s="38"/>
      <c r="U1219" s="34"/>
      <c r="V1219" s="255"/>
      <c r="W1219" s="34"/>
      <c r="X1219" s="3" t="b">
        <f t="shared" si="64"/>
        <v>0</v>
      </c>
      <c r="Y1219" s="3" t="b">
        <f t="shared" si="65"/>
        <v>0</v>
      </c>
    </row>
    <row r="1220" spans="14:25">
      <c r="N1220" s="34"/>
      <c r="O1220" s="34"/>
      <c r="P1220" s="34"/>
      <c r="Q1220" s="34"/>
      <c r="R1220" s="34"/>
      <c r="S1220" s="38"/>
      <c r="T1220" s="38"/>
      <c r="U1220" s="34"/>
      <c r="V1220" s="255"/>
      <c r="W1220" s="34"/>
      <c r="X1220" s="3" t="b">
        <f t="shared" si="64"/>
        <v>0</v>
      </c>
      <c r="Y1220" s="3" t="b">
        <f t="shared" si="65"/>
        <v>0</v>
      </c>
    </row>
    <row r="1221" spans="14:25">
      <c r="N1221" s="34"/>
      <c r="O1221" s="34"/>
      <c r="P1221" s="34"/>
      <c r="Q1221" s="34"/>
      <c r="R1221" s="34"/>
      <c r="S1221" s="38"/>
      <c r="T1221" s="38"/>
      <c r="U1221" s="34"/>
      <c r="V1221" s="255"/>
      <c r="W1221" s="34"/>
      <c r="X1221" s="3" t="b">
        <f t="shared" si="64"/>
        <v>0</v>
      </c>
      <c r="Y1221" s="3" t="b">
        <f t="shared" si="65"/>
        <v>0</v>
      </c>
    </row>
    <row r="1222" spans="14:25">
      <c r="N1222" s="34"/>
      <c r="O1222" s="34"/>
      <c r="P1222" s="34"/>
      <c r="Q1222" s="34"/>
      <c r="R1222" s="34"/>
      <c r="S1222" s="38"/>
      <c r="T1222" s="38"/>
      <c r="U1222" s="34"/>
      <c r="V1222" s="255"/>
      <c r="W1222" s="34"/>
      <c r="X1222" s="3" t="b">
        <f t="shared" si="64"/>
        <v>0</v>
      </c>
      <c r="Y1222" s="3" t="b">
        <f t="shared" si="65"/>
        <v>0</v>
      </c>
    </row>
    <row r="1223" spans="14:25">
      <c r="N1223" s="34"/>
      <c r="O1223" s="34"/>
      <c r="P1223" s="34"/>
      <c r="Q1223" s="34"/>
      <c r="R1223" s="34"/>
      <c r="S1223" s="38"/>
      <c r="T1223" s="38"/>
      <c r="U1223" s="34"/>
      <c r="V1223" s="255"/>
      <c r="W1223" s="34"/>
      <c r="X1223" s="3" t="b">
        <f t="shared" si="64"/>
        <v>0</v>
      </c>
      <c r="Y1223" s="3" t="b">
        <f t="shared" si="65"/>
        <v>0</v>
      </c>
    </row>
    <row r="1224" spans="14:25">
      <c r="N1224" s="34"/>
      <c r="O1224" s="34"/>
      <c r="P1224" s="34"/>
      <c r="Q1224" s="34"/>
      <c r="R1224" s="34"/>
      <c r="S1224" s="38"/>
      <c r="T1224" s="38"/>
      <c r="U1224" s="34"/>
      <c r="V1224" s="255"/>
      <c r="W1224" s="34"/>
      <c r="X1224" s="3" t="b">
        <f t="shared" si="64"/>
        <v>0</v>
      </c>
      <c r="Y1224" s="3" t="b">
        <f t="shared" si="65"/>
        <v>0</v>
      </c>
    </row>
    <row r="1225" spans="14:25">
      <c r="N1225" s="34"/>
      <c r="O1225" s="34"/>
      <c r="P1225" s="34"/>
      <c r="Q1225" s="34"/>
      <c r="R1225" s="34"/>
      <c r="S1225" s="38"/>
      <c r="T1225" s="38"/>
      <c r="U1225" s="34"/>
      <c r="V1225" s="255"/>
      <c r="W1225" s="34"/>
      <c r="X1225" s="3" t="b">
        <f t="shared" si="64"/>
        <v>0</v>
      </c>
      <c r="Y1225" s="3" t="b">
        <f t="shared" si="65"/>
        <v>0</v>
      </c>
    </row>
    <row r="1226" spans="14:25">
      <c r="N1226" s="34"/>
      <c r="O1226" s="34"/>
      <c r="P1226" s="34"/>
      <c r="Q1226" s="34"/>
      <c r="R1226" s="34"/>
      <c r="S1226" s="38"/>
      <c r="T1226" s="38"/>
      <c r="U1226" s="34"/>
      <c r="V1226" s="255"/>
      <c r="W1226" s="34"/>
      <c r="X1226" s="3" t="b">
        <f t="shared" si="64"/>
        <v>0</v>
      </c>
      <c r="Y1226" s="3" t="b">
        <f t="shared" si="65"/>
        <v>0</v>
      </c>
    </row>
    <row r="1227" spans="14:25">
      <c r="N1227" s="34"/>
      <c r="O1227" s="34"/>
      <c r="P1227" s="34"/>
      <c r="Q1227" s="34"/>
      <c r="R1227" s="34"/>
      <c r="S1227" s="38"/>
      <c r="T1227" s="38"/>
      <c r="U1227" s="34"/>
      <c r="V1227" s="255"/>
      <c r="W1227" s="34"/>
      <c r="X1227" s="3" t="b">
        <f t="shared" si="64"/>
        <v>0</v>
      </c>
      <c r="Y1227" s="3" t="b">
        <f t="shared" si="65"/>
        <v>0</v>
      </c>
    </row>
    <row r="1228" spans="14:25">
      <c r="N1228" s="34"/>
      <c r="O1228" s="34"/>
      <c r="P1228" s="34"/>
      <c r="Q1228" s="34"/>
      <c r="R1228" s="34"/>
      <c r="S1228" s="38"/>
      <c r="T1228" s="38"/>
      <c r="U1228" s="34"/>
      <c r="V1228" s="255"/>
      <c r="W1228" s="34"/>
      <c r="X1228" s="3" t="b">
        <f t="shared" si="64"/>
        <v>0</v>
      </c>
      <c r="Y1228" s="3" t="b">
        <f t="shared" si="65"/>
        <v>0</v>
      </c>
    </row>
    <row r="1229" spans="14:25">
      <c r="N1229" s="34"/>
      <c r="O1229" s="34"/>
      <c r="P1229" s="34"/>
      <c r="Q1229" s="34"/>
      <c r="R1229" s="34"/>
      <c r="S1229" s="38"/>
      <c r="T1229" s="38"/>
      <c r="U1229" s="34"/>
      <c r="V1229" s="255"/>
      <c r="W1229" s="34"/>
      <c r="X1229" s="3" t="b">
        <f t="shared" si="64"/>
        <v>0</v>
      </c>
      <c r="Y1229" s="3" t="b">
        <f t="shared" si="65"/>
        <v>0</v>
      </c>
    </row>
    <row r="1230" spans="14:25">
      <c r="N1230" s="34"/>
      <c r="O1230" s="34"/>
      <c r="P1230" s="34"/>
      <c r="Q1230" s="34"/>
      <c r="R1230" s="34"/>
      <c r="S1230" s="38"/>
      <c r="T1230" s="38"/>
      <c r="U1230" s="34"/>
      <c r="V1230" s="255"/>
      <c r="W1230" s="34"/>
      <c r="X1230" s="3" t="b">
        <f t="shared" si="64"/>
        <v>0</v>
      </c>
      <c r="Y1230" s="3" t="b">
        <f t="shared" si="65"/>
        <v>0</v>
      </c>
    </row>
    <row r="1231" spans="14:25">
      <c r="N1231" s="34"/>
      <c r="O1231" s="34"/>
      <c r="P1231" s="34"/>
      <c r="Q1231" s="34"/>
      <c r="R1231" s="34"/>
      <c r="S1231" s="38"/>
      <c r="T1231" s="38"/>
      <c r="U1231" s="34"/>
      <c r="V1231" s="255"/>
      <c r="W1231" s="34"/>
      <c r="X1231" s="3" t="b">
        <f t="shared" si="64"/>
        <v>0</v>
      </c>
      <c r="Y1231" s="3" t="b">
        <f t="shared" si="65"/>
        <v>0</v>
      </c>
    </row>
    <row r="1232" spans="14:25">
      <c r="N1232" s="34"/>
      <c r="O1232" s="34"/>
      <c r="P1232" s="34"/>
      <c r="Q1232" s="34"/>
      <c r="R1232" s="34"/>
      <c r="S1232" s="38"/>
      <c r="T1232" s="38"/>
      <c r="U1232" s="34"/>
      <c r="V1232" s="255"/>
      <c r="W1232" s="34"/>
      <c r="X1232" s="3" t="b">
        <f t="shared" si="64"/>
        <v>0</v>
      </c>
      <c r="Y1232" s="3" t="b">
        <f t="shared" si="65"/>
        <v>0</v>
      </c>
    </row>
    <row r="1233" spans="14:25">
      <c r="N1233" s="34"/>
      <c r="O1233" s="34"/>
      <c r="P1233" s="34"/>
      <c r="Q1233" s="34"/>
      <c r="R1233" s="34"/>
      <c r="S1233" s="38"/>
      <c r="T1233" s="38"/>
      <c r="U1233" s="34"/>
      <c r="V1233" s="255"/>
      <c r="W1233" s="34"/>
      <c r="X1233" s="3" t="b">
        <f t="shared" si="64"/>
        <v>0</v>
      </c>
      <c r="Y1233" s="3" t="b">
        <f t="shared" si="65"/>
        <v>0</v>
      </c>
    </row>
    <row r="1234" spans="14:25">
      <c r="N1234" s="34"/>
      <c r="O1234" s="34"/>
      <c r="P1234" s="34"/>
      <c r="Q1234" s="34"/>
      <c r="R1234" s="34"/>
      <c r="S1234" s="38"/>
      <c r="T1234" s="38"/>
      <c r="U1234" s="34"/>
      <c r="V1234" s="255"/>
      <c r="W1234" s="34"/>
      <c r="X1234" s="3" t="b">
        <f t="shared" si="64"/>
        <v>0</v>
      </c>
      <c r="Y1234" s="3" t="b">
        <f t="shared" si="65"/>
        <v>0</v>
      </c>
    </row>
    <row r="1235" spans="14:25">
      <c r="N1235" s="34"/>
      <c r="O1235" s="34"/>
      <c r="P1235" s="34"/>
      <c r="Q1235" s="34"/>
      <c r="R1235" s="34"/>
      <c r="S1235" s="38"/>
      <c r="T1235" s="38"/>
      <c r="U1235" s="34"/>
      <c r="V1235" s="255"/>
      <c r="W1235" s="34"/>
      <c r="X1235" s="3" t="b">
        <f t="shared" si="64"/>
        <v>0</v>
      </c>
      <c r="Y1235" s="3" t="b">
        <f t="shared" si="65"/>
        <v>0</v>
      </c>
    </row>
    <row r="1236" spans="14:25">
      <c r="N1236" s="34"/>
      <c r="O1236" s="34"/>
      <c r="P1236" s="34"/>
      <c r="Q1236" s="34"/>
      <c r="R1236" s="34"/>
      <c r="S1236" s="38"/>
      <c r="T1236" s="38"/>
      <c r="U1236" s="34"/>
      <c r="V1236" s="255"/>
      <c r="W1236" s="34"/>
      <c r="X1236" s="3" t="b">
        <f t="shared" si="64"/>
        <v>0</v>
      </c>
      <c r="Y1236" s="3" t="b">
        <f t="shared" si="65"/>
        <v>0</v>
      </c>
    </row>
    <row r="1237" spans="14:25">
      <c r="N1237" s="34"/>
      <c r="O1237" s="34"/>
      <c r="P1237" s="34"/>
      <c r="Q1237" s="34"/>
      <c r="R1237" s="34"/>
      <c r="S1237" s="38"/>
      <c r="T1237" s="38"/>
      <c r="U1237" s="34"/>
      <c r="V1237" s="255"/>
      <c r="W1237" s="34"/>
      <c r="X1237" s="3" t="b">
        <f t="shared" si="64"/>
        <v>0</v>
      </c>
      <c r="Y1237" s="3" t="b">
        <f t="shared" si="65"/>
        <v>0</v>
      </c>
    </row>
    <row r="1238" spans="14:25">
      <c r="N1238" s="34"/>
      <c r="O1238" s="34"/>
      <c r="P1238" s="34"/>
      <c r="Q1238" s="34"/>
      <c r="R1238" s="34"/>
      <c r="S1238" s="38"/>
      <c r="T1238" s="38"/>
      <c r="U1238" s="34"/>
      <c r="V1238" s="255"/>
      <c r="W1238" s="34"/>
      <c r="X1238" s="3" t="b">
        <f t="shared" si="64"/>
        <v>0</v>
      </c>
      <c r="Y1238" s="3" t="b">
        <f t="shared" si="65"/>
        <v>0</v>
      </c>
    </row>
    <row r="1239" spans="14:25">
      <c r="N1239" s="34"/>
      <c r="O1239" s="34"/>
      <c r="P1239" s="34"/>
      <c r="Q1239" s="34"/>
      <c r="R1239" s="34"/>
      <c r="S1239" s="38"/>
      <c r="T1239" s="38"/>
      <c r="U1239" s="34"/>
      <c r="V1239" s="255"/>
      <c r="W1239" s="34"/>
      <c r="X1239" s="3" t="b">
        <f t="shared" si="64"/>
        <v>0</v>
      </c>
      <c r="Y1239" s="3" t="b">
        <f t="shared" si="65"/>
        <v>0</v>
      </c>
    </row>
    <row r="1240" spans="14:25">
      <c r="N1240" s="34"/>
      <c r="O1240" s="34"/>
      <c r="P1240" s="34"/>
      <c r="Q1240" s="34"/>
      <c r="R1240" s="34"/>
      <c r="S1240" s="38"/>
      <c r="T1240" s="38"/>
      <c r="U1240" s="34"/>
      <c r="V1240" s="255"/>
      <c r="W1240" s="34"/>
      <c r="X1240" s="3" t="b">
        <f t="shared" si="64"/>
        <v>0</v>
      </c>
      <c r="Y1240" s="3" t="b">
        <f t="shared" si="65"/>
        <v>0</v>
      </c>
    </row>
    <row r="1241" spans="14:25">
      <c r="N1241" s="34"/>
      <c r="O1241" s="34"/>
      <c r="P1241" s="34"/>
      <c r="Q1241" s="34"/>
      <c r="R1241" s="34"/>
      <c r="S1241" s="38"/>
      <c r="T1241" s="38"/>
      <c r="U1241" s="34"/>
      <c r="V1241" s="255"/>
      <c r="W1241" s="34"/>
      <c r="X1241" s="3" t="b">
        <f t="shared" si="64"/>
        <v>0</v>
      </c>
      <c r="Y1241" s="3" t="b">
        <f t="shared" si="65"/>
        <v>0</v>
      </c>
    </row>
    <row r="1242" spans="14:25">
      <c r="N1242" s="34"/>
      <c r="O1242" s="34"/>
      <c r="P1242" s="34"/>
      <c r="Q1242" s="34"/>
      <c r="R1242" s="34"/>
      <c r="S1242" s="38"/>
      <c r="T1242" s="38"/>
      <c r="U1242" s="34"/>
      <c r="V1242" s="255"/>
      <c r="W1242" s="34"/>
      <c r="X1242" s="3" t="b">
        <f t="shared" si="64"/>
        <v>0</v>
      </c>
      <c r="Y1242" s="3" t="b">
        <f t="shared" si="65"/>
        <v>0</v>
      </c>
    </row>
    <row r="1243" spans="14:25">
      <c r="N1243" s="34"/>
      <c r="O1243" s="34"/>
      <c r="P1243" s="34"/>
      <c r="Q1243" s="34"/>
      <c r="R1243" s="34"/>
      <c r="S1243" s="38"/>
      <c r="T1243" s="38"/>
      <c r="U1243" s="34"/>
      <c r="V1243" s="255"/>
      <c r="W1243" s="34"/>
      <c r="X1243" s="3" t="b">
        <f t="shared" si="64"/>
        <v>0</v>
      </c>
      <c r="Y1243" s="3" t="b">
        <f t="shared" si="65"/>
        <v>0</v>
      </c>
    </row>
    <row r="1244" spans="14:25">
      <c r="N1244" s="34"/>
      <c r="O1244" s="34"/>
      <c r="P1244" s="34"/>
      <c r="Q1244" s="34"/>
      <c r="R1244" s="34"/>
      <c r="S1244" s="38"/>
      <c r="T1244" s="38"/>
      <c r="U1244" s="34"/>
      <c r="V1244" s="255"/>
      <c r="W1244" s="34"/>
      <c r="X1244" s="3" t="b">
        <f t="shared" si="64"/>
        <v>0</v>
      </c>
      <c r="Y1244" s="3" t="b">
        <f t="shared" si="65"/>
        <v>0</v>
      </c>
    </row>
    <row r="1245" spans="14:25">
      <c r="N1245" s="34"/>
      <c r="O1245" s="34"/>
      <c r="P1245" s="34"/>
      <c r="Q1245" s="34"/>
      <c r="R1245" s="34"/>
      <c r="S1245" s="38"/>
      <c r="T1245" s="38"/>
      <c r="U1245" s="34"/>
      <c r="V1245" s="255"/>
      <c r="W1245" s="34"/>
      <c r="X1245" s="3" t="b">
        <f t="shared" si="64"/>
        <v>0</v>
      </c>
      <c r="Y1245" s="3" t="b">
        <f t="shared" si="65"/>
        <v>0</v>
      </c>
    </row>
    <row r="1246" spans="14:25">
      <c r="N1246" s="34"/>
      <c r="O1246" s="34"/>
      <c r="P1246" s="34"/>
      <c r="Q1246" s="34"/>
      <c r="R1246" s="34"/>
      <c r="S1246" s="38"/>
      <c r="T1246" s="38"/>
      <c r="U1246" s="34"/>
      <c r="V1246" s="255"/>
      <c r="W1246" s="34"/>
      <c r="X1246" s="3" t="b">
        <f t="shared" si="64"/>
        <v>0</v>
      </c>
      <c r="Y1246" s="3" t="b">
        <f t="shared" si="65"/>
        <v>0</v>
      </c>
    </row>
    <row r="1247" spans="14:25">
      <c r="N1247" s="34"/>
      <c r="O1247" s="34"/>
      <c r="P1247" s="34"/>
      <c r="Q1247" s="34"/>
      <c r="R1247" s="34"/>
      <c r="S1247" s="38"/>
      <c r="T1247" s="38"/>
      <c r="U1247" s="34"/>
      <c r="V1247" s="255"/>
      <c r="W1247" s="34"/>
      <c r="X1247" s="3" t="b">
        <f t="shared" si="64"/>
        <v>0</v>
      </c>
      <c r="Y1247" s="3" t="b">
        <f t="shared" si="65"/>
        <v>0</v>
      </c>
    </row>
    <row r="1248" spans="14:25">
      <c r="N1248" s="34"/>
      <c r="O1248" s="34"/>
      <c r="P1248" s="34"/>
      <c r="Q1248" s="34"/>
      <c r="R1248" s="34"/>
      <c r="S1248" s="38"/>
      <c r="T1248" s="38"/>
      <c r="U1248" s="34"/>
      <c r="V1248" s="255"/>
      <c r="W1248" s="34"/>
      <c r="X1248" s="3" t="b">
        <f t="shared" si="64"/>
        <v>0</v>
      </c>
      <c r="Y1248" s="3" t="b">
        <f t="shared" si="65"/>
        <v>0</v>
      </c>
    </row>
    <row r="1249" spans="14:25">
      <c r="N1249" s="34"/>
      <c r="O1249" s="34"/>
      <c r="P1249" s="34"/>
      <c r="Q1249" s="34"/>
      <c r="R1249" s="34"/>
      <c r="S1249" s="38"/>
      <c r="T1249" s="38"/>
      <c r="U1249" s="34"/>
      <c r="V1249" s="255"/>
      <c r="W1249" s="34"/>
      <c r="X1249" s="3" t="b">
        <f t="shared" si="64"/>
        <v>0</v>
      </c>
      <c r="Y1249" s="3" t="b">
        <f t="shared" si="65"/>
        <v>0</v>
      </c>
    </row>
    <row r="1250" spans="14:25">
      <c r="N1250" s="34"/>
      <c r="O1250" s="34"/>
      <c r="P1250" s="34"/>
      <c r="Q1250" s="34"/>
      <c r="R1250" s="34"/>
      <c r="S1250" s="38"/>
      <c r="T1250" s="38"/>
      <c r="U1250" s="34"/>
      <c r="V1250" s="255"/>
      <c r="W1250" s="34"/>
      <c r="X1250" s="3" t="b">
        <f t="shared" si="64"/>
        <v>0</v>
      </c>
      <c r="Y1250" s="3" t="b">
        <f t="shared" si="65"/>
        <v>0</v>
      </c>
    </row>
    <row r="1251" spans="14:25">
      <c r="N1251" s="34"/>
      <c r="O1251" s="34"/>
      <c r="P1251" s="34"/>
      <c r="Q1251" s="34"/>
      <c r="R1251" s="34"/>
      <c r="S1251" s="38"/>
      <c r="T1251" s="38"/>
      <c r="U1251" s="34"/>
      <c r="V1251" s="255"/>
      <c r="W1251" s="34"/>
      <c r="X1251" s="3" t="b">
        <f t="shared" si="64"/>
        <v>0</v>
      </c>
      <c r="Y1251" s="3" t="b">
        <f t="shared" si="65"/>
        <v>0</v>
      </c>
    </row>
    <row r="1252" spans="14:25">
      <c r="N1252" s="34"/>
      <c r="O1252" s="34"/>
      <c r="P1252" s="34"/>
      <c r="Q1252" s="34"/>
      <c r="R1252" s="34"/>
      <c r="S1252" s="38"/>
      <c r="T1252" s="38"/>
      <c r="U1252" s="34"/>
      <c r="V1252" s="255"/>
      <c r="W1252" s="34"/>
      <c r="X1252" s="3" t="b">
        <f t="shared" si="64"/>
        <v>0</v>
      </c>
      <c r="Y1252" s="3" t="b">
        <f t="shared" si="65"/>
        <v>0</v>
      </c>
    </row>
    <row r="1253" spans="14:25">
      <c r="N1253" s="34"/>
      <c r="O1253" s="34"/>
      <c r="P1253" s="34"/>
      <c r="Q1253" s="34"/>
      <c r="R1253" s="34"/>
      <c r="S1253" s="38"/>
      <c r="T1253" s="38"/>
      <c r="U1253" s="34"/>
      <c r="V1253" s="255"/>
      <c r="W1253" s="34"/>
      <c r="X1253" s="3" t="b">
        <f t="shared" si="64"/>
        <v>0</v>
      </c>
      <c r="Y1253" s="3" t="b">
        <f t="shared" si="65"/>
        <v>0</v>
      </c>
    </row>
    <row r="1254" spans="14:25">
      <c r="N1254" s="34"/>
      <c r="O1254" s="34"/>
      <c r="P1254" s="34"/>
      <c r="Q1254" s="34"/>
      <c r="R1254" s="34"/>
      <c r="S1254" s="38"/>
      <c r="T1254" s="38"/>
      <c r="U1254" s="34"/>
      <c r="V1254" s="255"/>
      <c r="W1254" s="34"/>
      <c r="X1254" s="3" t="b">
        <f t="shared" si="64"/>
        <v>0</v>
      </c>
      <c r="Y1254" s="3" t="b">
        <f t="shared" si="65"/>
        <v>0</v>
      </c>
    </row>
    <row r="1255" spans="14:25">
      <c r="N1255" s="34"/>
      <c r="O1255" s="34"/>
      <c r="P1255" s="34"/>
      <c r="Q1255" s="34"/>
      <c r="R1255" s="34"/>
      <c r="S1255" s="38"/>
      <c r="T1255" s="38"/>
      <c r="U1255" s="34"/>
      <c r="V1255" s="255"/>
      <c r="W1255" s="34"/>
      <c r="X1255" s="3" t="b">
        <f t="shared" si="64"/>
        <v>0</v>
      </c>
      <c r="Y1255" s="3" t="b">
        <f t="shared" si="65"/>
        <v>0</v>
      </c>
    </row>
    <row r="1256" spans="14:25">
      <c r="N1256" s="34"/>
      <c r="O1256" s="34"/>
      <c r="P1256" s="34"/>
      <c r="Q1256" s="34"/>
      <c r="R1256" s="34"/>
      <c r="S1256" s="38"/>
      <c r="T1256" s="38"/>
      <c r="U1256" s="34"/>
      <c r="V1256" s="255"/>
      <c r="W1256" s="34"/>
      <c r="X1256" s="3" t="b">
        <f t="shared" si="64"/>
        <v>0</v>
      </c>
      <c r="Y1256" s="3" t="b">
        <f t="shared" si="65"/>
        <v>0</v>
      </c>
    </row>
    <row r="1257" spans="14:25">
      <c r="N1257" s="34"/>
      <c r="O1257" s="34"/>
      <c r="P1257" s="34"/>
      <c r="Q1257" s="34"/>
      <c r="R1257" s="34"/>
      <c r="S1257" s="38"/>
      <c r="T1257" s="38"/>
      <c r="U1257" s="34"/>
      <c r="V1257" s="255"/>
      <c r="W1257" s="34"/>
      <c r="X1257" s="3" t="b">
        <f t="shared" si="64"/>
        <v>0</v>
      </c>
      <c r="Y1257" s="3" t="b">
        <f t="shared" si="65"/>
        <v>0</v>
      </c>
    </row>
    <row r="1258" spans="14:25">
      <c r="N1258" s="34"/>
      <c r="O1258" s="34"/>
      <c r="P1258" s="34"/>
      <c r="Q1258" s="34"/>
      <c r="R1258" s="34"/>
      <c r="S1258" s="38"/>
      <c r="T1258" s="38"/>
      <c r="U1258" s="34"/>
      <c r="V1258" s="255"/>
      <c r="W1258" s="34"/>
      <c r="X1258" s="3" t="b">
        <f t="shared" si="64"/>
        <v>0</v>
      </c>
      <c r="Y1258" s="3" t="b">
        <f t="shared" si="65"/>
        <v>0</v>
      </c>
    </row>
    <row r="1259" spans="14:25">
      <c r="N1259" s="34"/>
      <c r="O1259" s="34"/>
      <c r="P1259" s="34"/>
      <c r="Q1259" s="34"/>
      <c r="R1259" s="34"/>
      <c r="S1259" s="38"/>
      <c r="T1259" s="38"/>
      <c r="U1259" s="34"/>
      <c r="V1259" s="255"/>
      <c r="W1259" s="34"/>
      <c r="X1259" s="3" t="b">
        <f t="shared" si="64"/>
        <v>0</v>
      </c>
      <c r="Y1259" s="3" t="b">
        <f t="shared" si="65"/>
        <v>0</v>
      </c>
    </row>
    <row r="1260" spans="14:25">
      <c r="N1260" s="34"/>
      <c r="O1260" s="34"/>
      <c r="P1260" s="34"/>
      <c r="Q1260" s="34"/>
      <c r="R1260" s="34"/>
      <c r="S1260" s="38"/>
      <c r="T1260" s="38"/>
      <c r="U1260" s="34"/>
      <c r="V1260" s="255"/>
      <c r="W1260" s="34"/>
      <c r="X1260" s="3" t="b">
        <f t="shared" ref="X1260:X1323" si="66">IF(OR(Q1260="Stock to Rack",Q1260="From Stock"),-P1260,IF(OR(Q1260="Rack to Stock",Q1260="To Stock"),P1260))</f>
        <v>0</v>
      </c>
      <c r="Y1260" s="3" t="b">
        <f t="shared" ref="Y1260:Y1323" si="67">IF(Q1260="Rack to Stock",-P1260,IF(Q1260="Stock to Rack",P1260))</f>
        <v>0</v>
      </c>
    </row>
    <row r="1261" spans="14:25">
      <c r="N1261" s="34"/>
      <c r="O1261" s="34"/>
      <c r="P1261" s="34"/>
      <c r="Q1261" s="34"/>
      <c r="R1261" s="34"/>
      <c r="S1261" s="38"/>
      <c r="T1261" s="38"/>
      <c r="U1261" s="34"/>
      <c r="V1261" s="255"/>
      <c r="W1261" s="34"/>
      <c r="X1261" s="3" t="b">
        <f t="shared" si="66"/>
        <v>0</v>
      </c>
      <c r="Y1261" s="3" t="b">
        <f t="shared" si="67"/>
        <v>0</v>
      </c>
    </row>
    <row r="1262" spans="14:25">
      <c r="N1262" s="34"/>
      <c r="O1262" s="34"/>
      <c r="P1262" s="34"/>
      <c r="Q1262" s="34"/>
      <c r="R1262" s="34"/>
      <c r="S1262" s="38"/>
      <c r="T1262" s="38"/>
      <c r="U1262" s="34"/>
      <c r="V1262" s="255"/>
      <c r="W1262" s="34"/>
      <c r="X1262" s="3" t="b">
        <f t="shared" si="66"/>
        <v>0</v>
      </c>
      <c r="Y1262" s="3" t="b">
        <f t="shared" si="67"/>
        <v>0</v>
      </c>
    </row>
    <row r="1263" spans="14:25">
      <c r="N1263" s="34"/>
      <c r="O1263" s="34"/>
      <c r="P1263" s="34"/>
      <c r="Q1263" s="34"/>
      <c r="R1263" s="34"/>
      <c r="S1263" s="38"/>
      <c r="T1263" s="38"/>
      <c r="U1263" s="34"/>
      <c r="V1263" s="255"/>
      <c r="W1263" s="34"/>
      <c r="X1263" s="3" t="b">
        <f t="shared" si="66"/>
        <v>0</v>
      </c>
      <c r="Y1263" s="3" t="b">
        <f t="shared" si="67"/>
        <v>0</v>
      </c>
    </row>
    <row r="1264" spans="14:25">
      <c r="N1264" s="34"/>
      <c r="O1264" s="34"/>
      <c r="P1264" s="34"/>
      <c r="Q1264" s="34"/>
      <c r="R1264" s="34"/>
      <c r="S1264" s="38"/>
      <c r="T1264" s="38"/>
      <c r="U1264" s="34"/>
      <c r="V1264" s="255"/>
      <c r="W1264" s="34"/>
      <c r="X1264" s="3" t="b">
        <f t="shared" si="66"/>
        <v>0</v>
      </c>
      <c r="Y1264" s="3" t="b">
        <f t="shared" si="67"/>
        <v>0</v>
      </c>
    </row>
    <row r="1265" spans="14:25">
      <c r="N1265" s="34"/>
      <c r="O1265" s="34"/>
      <c r="P1265" s="34"/>
      <c r="Q1265" s="34"/>
      <c r="R1265" s="34"/>
      <c r="S1265" s="38"/>
      <c r="T1265" s="38"/>
      <c r="U1265" s="34"/>
      <c r="V1265" s="255"/>
      <c r="W1265" s="34"/>
      <c r="X1265" s="3" t="b">
        <f t="shared" si="66"/>
        <v>0</v>
      </c>
      <c r="Y1265" s="3" t="b">
        <f t="shared" si="67"/>
        <v>0</v>
      </c>
    </row>
    <row r="1266" spans="14:25">
      <c r="N1266" s="34"/>
      <c r="O1266" s="34"/>
      <c r="P1266" s="34"/>
      <c r="Q1266" s="34"/>
      <c r="R1266" s="34"/>
      <c r="S1266" s="38"/>
      <c r="T1266" s="38"/>
      <c r="U1266" s="34"/>
      <c r="V1266" s="255"/>
      <c r="W1266" s="34"/>
      <c r="X1266" s="3" t="b">
        <f t="shared" si="66"/>
        <v>0</v>
      </c>
      <c r="Y1266" s="3" t="b">
        <f t="shared" si="67"/>
        <v>0</v>
      </c>
    </row>
    <row r="1267" spans="14:25">
      <c r="N1267" s="34"/>
      <c r="O1267" s="34"/>
      <c r="P1267" s="34"/>
      <c r="Q1267" s="34"/>
      <c r="R1267" s="34"/>
      <c r="S1267" s="38"/>
      <c r="T1267" s="38"/>
      <c r="U1267" s="34"/>
      <c r="V1267" s="255"/>
      <c r="W1267" s="34"/>
      <c r="X1267" s="3" t="b">
        <f t="shared" si="66"/>
        <v>0</v>
      </c>
      <c r="Y1267" s="3" t="b">
        <f t="shared" si="67"/>
        <v>0</v>
      </c>
    </row>
    <row r="1268" spans="14:25">
      <c r="N1268" s="34"/>
      <c r="O1268" s="34"/>
      <c r="P1268" s="34"/>
      <c r="Q1268" s="34"/>
      <c r="R1268" s="34"/>
      <c r="S1268" s="38"/>
      <c r="T1268" s="38"/>
      <c r="U1268" s="34"/>
      <c r="V1268" s="255"/>
      <c r="W1268" s="34"/>
      <c r="X1268" s="3" t="b">
        <f t="shared" si="66"/>
        <v>0</v>
      </c>
      <c r="Y1268" s="3" t="b">
        <f t="shared" si="67"/>
        <v>0</v>
      </c>
    </row>
    <row r="1269" spans="14:25">
      <c r="N1269" s="34"/>
      <c r="O1269" s="34"/>
      <c r="P1269" s="34"/>
      <c r="Q1269" s="34"/>
      <c r="R1269" s="34"/>
      <c r="S1269" s="38"/>
      <c r="T1269" s="38"/>
      <c r="U1269" s="34"/>
      <c r="V1269" s="255"/>
      <c r="W1269" s="34"/>
      <c r="X1269" s="3" t="b">
        <f t="shared" si="66"/>
        <v>0</v>
      </c>
      <c r="Y1269" s="3" t="b">
        <f t="shared" si="67"/>
        <v>0</v>
      </c>
    </row>
    <row r="1270" spans="14:25">
      <c r="N1270" s="34"/>
      <c r="O1270" s="34"/>
      <c r="P1270" s="34"/>
      <c r="Q1270" s="34"/>
      <c r="R1270" s="34"/>
      <c r="S1270" s="38"/>
      <c r="T1270" s="38"/>
      <c r="U1270" s="34"/>
      <c r="V1270" s="255"/>
      <c r="W1270" s="34"/>
      <c r="X1270" s="3" t="b">
        <f t="shared" si="66"/>
        <v>0</v>
      </c>
      <c r="Y1270" s="3" t="b">
        <f t="shared" si="67"/>
        <v>0</v>
      </c>
    </row>
    <row r="1271" spans="14:25">
      <c r="N1271" s="34"/>
      <c r="O1271" s="34"/>
      <c r="P1271" s="34"/>
      <c r="Q1271" s="34"/>
      <c r="R1271" s="34"/>
      <c r="S1271" s="38"/>
      <c r="T1271" s="38"/>
      <c r="U1271" s="34"/>
      <c r="V1271" s="255"/>
      <c r="W1271" s="34"/>
      <c r="X1271" s="3" t="b">
        <f t="shared" si="66"/>
        <v>0</v>
      </c>
      <c r="Y1271" s="3" t="b">
        <f t="shared" si="67"/>
        <v>0</v>
      </c>
    </row>
    <row r="1272" spans="14:25">
      <c r="N1272" s="34"/>
      <c r="O1272" s="34"/>
      <c r="P1272" s="34"/>
      <c r="Q1272" s="34"/>
      <c r="R1272" s="34"/>
      <c r="S1272" s="38"/>
      <c r="T1272" s="38"/>
      <c r="U1272" s="34"/>
      <c r="V1272" s="255"/>
      <c r="W1272" s="34"/>
      <c r="X1272" s="3" t="b">
        <f t="shared" si="66"/>
        <v>0</v>
      </c>
      <c r="Y1272" s="3" t="b">
        <f t="shared" si="67"/>
        <v>0</v>
      </c>
    </row>
    <row r="1273" spans="14:25">
      <c r="N1273" s="34"/>
      <c r="O1273" s="34"/>
      <c r="P1273" s="34"/>
      <c r="Q1273" s="34"/>
      <c r="R1273" s="34"/>
      <c r="S1273" s="38"/>
      <c r="T1273" s="38"/>
      <c r="U1273" s="34"/>
      <c r="V1273" s="255"/>
      <c r="W1273" s="34"/>
      <c r="X1273" s="3" t="b">
        <f t="shared" si="66"/>
        <v>0</v>
      </c>
      <c r="Y1273" s="3" t="b">
        <f t="shared" si="67"/>
        <v>0</v>
      </c>
    </row>
    <row r="1274" spans="14:25">
      <c r="N1274" s="34"/>
      <c r="O1274" s="34"/>
      <c r="P1274" s="34"/>
      <c r="Q1274" s="34"/>
      <c r="R1274" s="34"/>
      <c r="S1274" s="38"/>
      <c r="T1274" s="38"/>
      <c r="U1274" s="34"/>
      <c r="V1274" s="255"/>
      <c r="W1274" s="34"/>
      <c r="X1274" s="3" t="b">
        <f t="shared" si="66"/>
        <v>0</v>
      </c>
      <c r="Y1274" s="3" t="b">
        <f t="shared" si="67"/>
        <v>0</v>
      </c>
    </row>
    <row r="1275" spans="14:25">
      <c r="N1275" s="34"/>
      <c r="O1275" s="34"/>
      <c r="P1275" s="34"/>
      <c r="Q1275" s="34"/>
      <c r="R1275" s="34"/>
      <c r="S1275" s="38"/>
      <c r="T1275" s="38"/>
      <c r="U1275" s="34"/>
      <c r="V1275" s="255"/>
      <c r="W1275" s="34"/>
      <c r="X1275" s="3" t="b">
        <f t="shared" si="66"/>
        <v>0</v>
      </c>
      <c r="Y1275" s="3" t="b">
        <f t="shared" si="67"/>
        <v>0</v>
      </c>
    </row>
    <row r="1276" spans="14:25">
      <c r="N1276" s="34"/>
      <c r="O1276" s="34"/>
      <c r="P1276" s="34"/>
      <c r="Q1276" s="34"/>
      <c r="R1276" s="34"/>
      <c r="S1276" s="38"/>
      <c r="T1276" s="38"/>
      <c r="U1276" s="34"/>
      <c r="V1276" s="255"/>
      <c r="W1276" s="34"/>
      <c r="X1276" s="3" t="b">
        <f t="shared" si="66"/>
        <v>0</v>
      </c>
      <c r="Y1276" s="3" t="b">
        <f t="shared" si="67"/>
        <v>0</v>
      </c>
    </row>
    <row r="1277" spans="14:25">
      <c r="N1277" s="34"/>
      <c r="O1277" s="34"/>
      <c r="P1277" s="34"/>
      <c r="Q1277" s="34"/>
      <c r="R1277" s="34"/>
      <c r="S1277" s="38"/>
      <c r="T1277" s="38"/>
      <c r="U1277" s="34"/>
      <c r="V1277" s="255"/>
      <c r="W1277" s="34"/>
      <c r="X1277" s="3" t="b">
        <f t="shared" si="66"/>
        <v>0</v>
      </c>
      <c r="Y1277" s="3" t="b">
        <f t="shared" si="67"/>
        <v>0</v>
      </c>
    </row>
    <row r="1278" spans="14:25">
      <c r="N1278" s="34"/>
      <c r="O1278" s="34"/>
      <c r="P1278" s="34"/>
      <c r="Q1278" s="34"/>
      <c r="R1278" s="34"/>
      <c r="S1278" s="38"/>
      <c r="T1278" s="38"/>
      <c r="U1278" s="34"/>
      <c r="V1278" s="255"/>
      <c r="W1278" s="34"/>
      <c r="X1278" s="3" t="b">
        <f t="shared" si="66"/>
        <v>0</v>
      </c>
      <c r="Y1278" s="3" t="b">
        <f t="shared" si="67"/>
        <v>0</v>
      </c>
    </row>
    <row r="1279" spans="14:25">
      <c r="N1279" s="34"/>
      <c r="O1279" s="34"/>
      <c r="P1279" s="34"/>
      <c r="Q1279" s="34"/>
      <c r="R1279" s="34"/>
      <c r="S1279" s="38"/>
      <c r="T1279" s="38"/>
      <c r="U1279" s="34"/>
      <c r="V1279" s="255"/>
      <c r="W1279" s="34"/>
      <c r="X1279" s="3" t="b">
        <f t="shared" si="66"/>
        <v>0</v>
      </c>
      <c r="Y1279" s="3" t="b">
        <f t="shared" si="67"/>
        <v>0</v>
      </c>
    </row>
    <row r="1280" spans="14:25">
      <c r="N1280" s="34"/>
      <c r="O1280" s="34"/>
      <c r="P1280" s="34"/>
      <c r="Q1280" s="34"/>
      <c r="R1280" s="34"/>
      <c r="S1280" s="38"/>
      <c r="T1280" s="38"/>
      <c r="U1280" s="34"/>
      <c r="V1280" s="255"/>
      <c r="W1280" s="34"/>
      <c r="X1280" s="3" t="b">
        <f t="shared" si="66"/>
        <v>0</v>
      </c>
      <c r="Y1280" s="3" t="b">
        <f t="shared" si="67"/>
        <v>0</v>
      </c>
    </row>
    <row r="1281" spans="14:25">
      <c r="N1281" s="34"/>
      <c r="O1281" s="34"/>
      <c r="P1281" s="34"/>
      <c r="Q1281" s="34"/>
      <c r="R1281" s="34"/>
      <c r="S1281" s="38"/>
      <c r="T1281" s="38"/>
      <c r="U1281" s="34"/>
      <c r="V1281" s="255"/>
      <c r="W1281" s="34"/>
      <c r="X1281" s="3" t="b">
        <f t="shared" si="66"/>
        <v>0</v>
      </c>
      <c r="Y1281" s="3" t="b">
        <f t="shared" si="67"/>
        <v>0</v>
      </c>
    </row>
    <row r="1282" spans="14:25">
      <c r="N1282" s="34"/>
      <c r="O1282" s="34"/>
      <c r="P1282" s="34"/>
      <c r="Q1282" s="34"/>
      <c r="R1282" s="34"/>
      <c r="S1282" s="38"/>
      <c r="T1282" s="38"/>
      <c r="U1282" s="34"/>
      <c r="V1282" s="255"/>
      <c r="W1282" s="34"/>
      <c r="X1282" s="3" t="b">
        <f t="shared" si="66"/>
        <v>0</v>
      </c>
      <c r="Y1282" s="3" t="b">
        <f t="shared" si="67"/>
        <v>0</v>
      </c>
    </row>
    <row r="1283" spans="14:25">
      <c r="N1283" s="34"/>
      <c r="O1283" s="34"/>
      <c r="P1283" s="34"/>
      <c r="Q1283" s="34"/>
      <c r="R1283" s="34"/>
      <c r="S1283" s="38"/>
      <c r="T1283" s="38"/>
      <c r="U1283" s="34"/>
      <c r="V1283" s="255"/>
      <c r="W1283" s="34"/>
      <c r="X1283" s="3" t="b">
        <f t="shared" si="66"/>
        <v>0</v>
      </c>
      <c r="Y1283" s="3" t="b">
        <f t="shared" si="67"/>
        <v>0</v>
      </c>
    </row>
    <row r="1284" spans="14:25">
      <c r="N1284" s="34"/>
      <c r="O1284" s="34"/>
      <c r="P1284" s="34"/>
      <c r="Q1284" s="34"/>
      <c r="R1284" s="34"/>
      <c r="S1284" s="38"/>
      <c r="T1284" s="38"/>
      <c r="U1284" s="34"/>
      <c r="V1284" s="255"/>
      <c r="W1284" s="34"/>
      <c r="X1284" s="3" t="b">
        <f t="shared" si="66"/>
        <v>0</v>
      </c>
      <c r="Y1284" s="3" t="b">
        <f t="shared" si="67"/>
        <v>0</v>
      </c>
    </row>
    <row r="1285" spans="14:25">
      <c r="N1285" s="34"/>
      <c r="O1285" s="34"/>
      <c r="P1285" s="34"/>
      <c r="Q1285" s="34"/>
      <c r="R1285" s="34"/>
      <c r="S1285" s="38"/>
      <c r="T1285" s="38"/>
      <c r="U1285" s="34"/>
      <c r="V1285" s="255"/>
      <c r="W1285" s="34"/>
      <c r="X1285" s="3" t="b">
        <f t="shared" si="66"/>
        <v>0</v>
      </c>
      <c r="Y1285" s="3" t="b">
        <f t="shared" si="67"/>
        <v>0</v>
      </c>
    </row>
    <row r="1286" spans="14:25">
      <c r="N1286" s="34"/>
      <c r="O1286" s="34"/>
      <c r="P1286" s="34"/>
      <c r="Q1286" s="34"/>
      <c r="R1286" s="34"/>
      <c r="S1286" s="38"/>
      <c r="T1286" s="38"/>
      <c r="U1286" s="34"/>
      <c r="V1286" s="255"/>
      <c r="W1286" s="34"/>
      <c r="X1286" s="3" t="b">
        <f t="shared" si="66"/>
        <v>0</v>
      </c>
      <c r="Y1286" s="3" t="b">
        <f t="shared" si="67"/>
        <v>0</v>
      </c>
    </row>
    <row r="1287" spans="14:25">
      <c r="N1287" s="34"/>
      <c r="O1287" s="34"/>
      <c r="P1287" s="34"/>
      <c r="Q1287" s="34"/>
      <c r="R1287" s="34"/>
      <c r="S1287" s="38"/>
      <c r="T1287" s="38"/>
      <c r="U1287" s="34"/>
      <c r="V1287" s="255"/>
      <c r="W1287" s="34"/>
      <c r="X1287" s="3" t="b">
        <f t="shared" si="66"/>
        <v>0</v>
      </c>
      <c r="Y1287" s="3" t="b">
        <f t="shared" si="67"/>
        <v>0</v>
      </c>
    </row>
    <row r="1288" spans="14:25">
      <c r="N1288" s="34"/>
      <c r="O1288" s="34"/>
      <c r="P1288" s="34"/>
      <c r="Q1288" s="34"/>
      <c r="R1288" s="34"/>
      <c r="S1288" s="38"/>
      <c r="T1288" s="38"/>
      <c r="U1288" s="34"/>
      <c r="V1288" s="255"/>
      <c r="W1288" s="34"/>
      <c r="X1288" s="3" t="b">
        <f t="shared" si="66"/>
        <v>0</v>
      </c>
      <c r="Y1288" s="3" t="b">
        <f t="shared" si="67"/>
        <v>0</v>
      </c>
    </row>
    <row r="1289" spans="14:25">
      <c r="N1289" s="34"/>
      <c r="O1289" s="34"/>
      <c r="P1289" s="34"/>
      <c r="Q1289" s="34"/>
      <c r="R1289" s="34"/>
      <c r="S1289" s="38"/>
      <c r="T1289" s="38"/>
      <c r="U1289" s="34"/>
      <c r="V1289" s="255"/>
      <c r="W1289" s="34"/>
      <c r="X1289" s="3" t="b">
        <f t="shared" si="66"/>
        <v>0</v>
      </c>
      <c r="Y1289" s="3" t="b">
        <f t="shared" si="67"/>
        <v>0</v>
      </c>
    </row>
    <row r="1290" spans="14:25">
      <c r="N1290" s="34"/>
      <c r="O1290" s="34"/>
      <c r="P1290" s="34"/>
      <c r="Q1290" s="34"/>
      <c r="R1290" s="34"/>
      <c r="S1290" s="38"/>
      <c r="T1290" s="38"/>
      <c r="U1290" s="34"/>
      <c r="V1290" s="255"/>
      <c r="W1290" s="34"/>
      <c r="X1290" s="3" t="b">
        <f t="shared" si="66"/>
        <v>0</v>
      </c>
      <c r="Y1290" s="3" t="b">
        <f t="shared" si="67"/>
        <v>0</v>
      </c>
    </row>
    <row r="1291" spans="14:25">
      <c r="N1291" s="34"/>
      <c r="O1291" s="34"/>
      <c r="P1291" s="34"/>
      <c r="Q1291" s="34"/>
      <c r="R1291" s="34"/>
      <c r="S1291" s="38"/>
      <c r="T1291" s="38"/>
      <c r="U1291" s="34"/>
      <c r="V1291" s="255"/>
      <c r="W1291" s="34"/>
      <c r="X1291" s="3" t="b">
        <f t="shared" si="66"/>
        <v>0</v>
      </c>
      <c r="Y1291" s="3" t="b">
        <f t="shared" si="67"/>
        <v>0</v>
      </c>
    </row>
    <row r="1292" spans="14:25">
      <c r="N1292" s="34"/>
      <c r="O1292" s="34"/>
      <c r="P1292" s="34"/>
      <c r="Q1292" s="34"/>
      <c r="R1292" s="34"/>
      <c r="S1292" s="38"/>
      <c r="T1292" s="38"/>
      <c r="U1292" s="34"/>
      <c r="V1292" s="255"/>
      <c r="W1292" s="34"/>
      <c r="X1292" s="3" t="b">
        <f t="shared" si="66"/>
        <v>0</v>
      </c>
      <c r="Y1292" s="3" t="b">
        <f t="shared" si="67"/>
        <v>0</v>
      </c>
    </row>
    <row r="1293" spans="14:25">
      <c r="N1293" s="34"/>
      <c r="O1293" s="34"/>
      <c r="P1293" s="34"/>
      <c r="Q1293" s="34"/>
      <c r="R1293" s="34"/>
      <c r="S1293" s="38"/>
      <c r="T1293" s="38"/>
      <c r="U1293" s="34"/>
      <c r="V1293" s="255"/>
      <c r="W1293" s="34"/>
      <c r="X1293" s="3" t="b">
        <f t="shared" si="66"/>
        <v>0</v>
      </c>
      <c r="Y1293" s="3" t="b">
        <f t="shared" si="67"/>
        <v>0</v>
      </c>
    </row>
    <row r="1294" spans="14:25">
      <c r="N1294" s="34"/>
      <c r="O1294" s="34"/>
      <c r="P1294" s="34"/>
      <c r="Q1294" s="34"/>
      <c r="R1294" s="34"/>
      <c r="S1294" s="38"/>
      <c r="T1294" s="38"/>
      <c r="U1294" s="34"/>
      <c r="V1294" s="255"/>
      <c r="W1294" s="34"/>
      <c r="X1294" s="3" t="b">
        <f t="shared" si="66"/>
        <v>0</v>
      </c>
      <c r="Y1294" s="3" t="b">
        <f t="shared" si="67"/>
        <v>0</v>
      </c>
    </row>
    <row r="1295" spans="14:25">
      <c r="N1295" s="34"/>
      <c r="O1295" s="34"/>
      <c r="P1295" s="34"/>
      <c r="Q1295" s="34"/>
      <c r="R1295" s="34"/>
      <c r="S1295" s="38"/>
      <c r="T1295" s="38"/>
      <c r="U1295" s="34"/>
      <c r="V1295" s="255"/>
      <c r="W1295" s="34"/>
      <c r="X1295" s="3" t="b">
        <f t="shared" si="66"/>
        <v>0</v>
      </c>
      <c r="Y1295" s="3" t="b">
        <f t="shared" si="67"/>
        <v>0</v>
      </c>
    </row>
    <row r="1296" spans="14:25">
      <c r="N1296" s="34"/>
      <c r="O1296" s="34"/>
      <c r="P1296" s="34"/>
      <c r="Q1296" s="34"/>
      <c r="R1296" s="34"/>
      <c r="S1296" s="38"/>
      <c r="T1296" s="38"/>
      <c r="U1296" s="34"/>
      <c r="V1296" s="255"/>
      <c r="W1296" s="34"/>
      <c r="X1296" s="3" t="b">
        <f t="shared" si="66"/>
        <v>0</v>
      </c>
      <c r="Y1296" s="3" t="b">
        <f t="shared" si="67"/>
        <v>0</v>
      </c>
    </row>
    <row r="1297" spans="14:25">
      <c r="N1297" s="34"/>
      <c r="O1297" s="34"/>
      <c r="P1297" s="34"/>
      <c r="Q1297" s="34"/>
      <c r="R1297" s="34"/>
      <c r="S1297" s="38"/>
      <c r="T1297" s="38"/>
      <c r="U1297" s="34"/>
      <c r="V1297" s="255"/>
      <c r="W1297" s="34"/>
      <c r="X1297" s="3" t="b">
        <f t="shared" si="66"/>
        <v>0</v>
      </c>
      <c r="Y1297" s="3" t="b">
        <f t="shared" si="67"/>
        <v>0</v>
      </c>
    </row>
    <row r="1298" spans="14:25">
      <c r="N1298" s="34"/>
      <c r="O1298" s="34"/>
      <c r="P1298" s="34"/>
      <c r="Q1298" s="34"/>
      <c r="R1298" s="34"/>
      <c r="S1298" s="38"/>
      <c r="T1298" s="38"/>
      <c r="U1298" s="34"/>
      <c r="V1298" s="255"/>
      <c r="W1298" s="34"/>
      <c r="X1298" s="3" t="b">
        <f t="shared" si="66"/>
        <v>0</v>
      </c>
      <c r="Y1298" s="3" t="b">
        <f t="shared" si="67"/>
        <v>0</v>
      </c>
    </row>
    <row r="1299" spans="14:25">
      <c r="N1299" s="34"/>
      <c r="O1299" s="34"/>
      <c r="P1299" s="34"/>
      <c r="Q1299" s="34"/>
      <c r="R1299" s="34"/>
      <c r="S1299" s="38"/>
      <c r="T1299" s="38"/>
      <c r="U1299" s="34"/>
      <c r="V1299" s="255"/>
      <c r="W1299" s="34"/>
      <c r="X1299" s="3" t="b">
        <f t="shared" si="66"/>
        <v>0</v>
      </c>
      <c r="Y1299" s="3" t="b">
        <f t="shared" si="67"/>
        <v>0</v>
      </c>
    </row>
    <row r="1300" spans="14:25">
      <c r="N1300" s="34"/>
      <c r="O1300" s="34"/>
      <c r="P1300" s="34"/>
      <c r="Q1300" s="34"/>
      <c r="R1300" s="34"/>
      <c r="S1300" s="38"/>
      <c r="T1300" s="38"/>
      <c r="U1300" s="34"/>
      <c r="V1300" s="255"/>
      <c r="W1300" s="34"/>
      <c r="X1300" s="3" t="b">
        <f t="shared" si="66"/>
        <v>0</v>
      </c>
      <c r="Y1300" s="3" t="b">
        <f t="shared" si="67"/>
        <v>0</v>
      </c>
    </row>
    <row r="1301" spans="14:25">
      <c r="N1301" s="34"/>
      <c r="O1301" s="34"/>
      <c r="P1301" s="34"/>
      <c r="Q1301" s="34"/>
      <c r="R1301" s="34"/>
      <c r="S1301" s="38"/>
      <c r="T1301" s="38"/>
      <c r="U1301" s="34"/>
      <c r="V1301" s="255"/>
      <c r="W1301" s="34"/>
      <c r="X1301" s="3" t="b">
        <f t="shared" si="66"/>
        <v>0</v>
      </c>
      <c r="Y1301" s="3" t="b">
        <f t="shared" si="67"/>
        <v>0</v>
      </c>
    </row>
    <row r="1302" spans="14:25">
      <c r="N1302" s="34"/>
      <c r="O1302" s="34"/>
      <c r="P1302" s="34"/>
      <c r="Q1302" s="34"/>
      <c r="R1302" s="34"/>
      <c r="S1302" s="38"/>
      <c r="T1302" s="38"/>
      <c r="U1302" s="34"/>
      <c r="V1302" s="255"/>
      <c r="W1302" s="34"/>
      <c r="X1302" s="3" t="b">
        <f t="shared" si="66"/>
        <v>0</v>
      </c>
      <c r="Y1302" s="3" t="b">
        <f t="shared" si="67"/>
        <v>0</v>
      </c>
    </row>
    <row r="1303" spans="14:25">
      <c r="N1303" s="34"/>
      <c r="O1303" s="34"/>
      <c r="P1303" s="34"/>
      <c r="Q1303" s="34"/>
      <c r="R1303" s="34"/>
      <c r="S1303" s="38"/>
      <c r="T1303" s="38"/>
      <c r="U1303" s="34"/>
      <c r="V1303" s="255"/>
      <c r="W1303" s="34"/>
      <c r="X1303" s="3" t="b">
        <f t="shared" si="66"/>
        <v>0</v>
      </c>
      <c r="Y1303" s="3" t="b">
        <f t="shared" si="67"/>
        <v>0</v>
      </c>
    </row>
    <row r="1304" spans="14:25">
      <c r="N1304" s="34"/>
      <c r="O1304" s="34"/>
      <c r="P1304" s="34"/>
      <c r="Q1304" s="34"/>
      <c r="R1304" s="34"/>
      <c r="S1304" s="38"/>
      <c r="T1304" s="38"/>
      <c r="U1304" s="34"/>
      <c r="V1304" s="255"/>
      <c r="W1304" s="34"/>
      <c r="X1304" s="3" t="b">
        <f t="shared" si="66"/>
        <v>0</v>
      </c>
      <c r="Y1304" s="3" t="b">
        <f t="shared" si="67"/>
        <v>0</v>
      </c>
    </row>
    <row r="1305" spans="14:25">
      <c r="N1305" s="34"/>
      <c r="O1305" s="34"/>
      <c r="P1305" s="34"/>
      <c r="Q1305" s="34"/>
      <c r="R1305" s="34"/>
      <c r="S1305" s="38"/>
      <c r="T1305" s="38"/>
      <c r="U1305" s="34"/>
      <c r="V1305" s="255"/>
      <c r="W1305" s="34"/>
      <c r="X1305" s="3" t="b">
        <f t="shared" si="66"/>
        <v>0</v>
      </c>
      <c r="Y1305" s="3" t="b">
        <f t="shared" si="67"/>
        <v>0</v>
      </c>
    </row>
    <row r="1306" spans="14:25">
      <c r="N1306" s="34"/>
      <c r="O1306" s="34"/>
      <c r="P1306" s="34"/>
      <c r="Q1306" s="34"/>
      <c r="R1306" s="34"/>
      <c r="S1306" s="38"/>
      <c r="T1306" s="38"/>
      <c r="U1306" s="34"/>
      <c r="V1306" s="255"/>
      <c r="W1306" s="34"/>
      <c r="X1306" s="3" t="b">
        <f t="shared" si="66"/>
        <v>0</v>
      </c>
      <c r="Y1306" s="3" t="b">
        <f t="shared" si="67"/>
        <v>0</v>
      </c>
    </row>
    <row r="1307" spans="14:25">
      <c r="N1307" s="34"/>
      <c r="O1307" s="34"/>
      <c r="P1307" s="34"/>
      <c r="Q1307" s="34"/>
      <c r="R1307" s="34"/>
      <c r="S1307" s="38"/>
      <c r="T1307" s="38"/>
      <c r="U1307" s="34"/>
      <c r="V1307" s="255"/>
      <c r="W1307" s="34"/>
      <c r="X1307" s="3" t="b">
        <f t="shared" si="66"/>
        <v>0</v>
      </c>
      <c r="Y1307" s="3" t="b">
        <f t="shared" si="67"/>
        <v>0</v>
      </c>
    </row>
    <row r="1308" spans="14:25">
      <c r="N1308" s="34"/>
      <c r="O1308" s="34"/>
      <c r="P1308" s="34"/>
      <c r="Q1308" s="34"/>
      <c r="R1308" s="34"/>
      <c r="S1308" s="38"/>
      <c r="T1308" s="38"/>
      <c r="U1308" s="34"/>
      <c r="V1308" s="255"/>
      <c r="W1308" s="34"/>
      <c r="X1308" s="3" t="b">
        <f t="shared" si="66"/>
        <v>0</v>
      </c>
      <c r="Y1308" s="3" t="b">
        <f t="shared" si="67"/>
        <v>0</v>
      </c>
    </row>
    <row r="1309" spans="14:25">
      <c r="N1309" s="34"/>
      <c r="O1309" s="34"/>
      <c r="P1309" s="34"/>
      <c r="Q1309" s="34"/>
      <c r="R1309" s="34"/>
      <c r="S1309" s="38"/>
      <c r="T1309" s="38"/>
      <c r="U1309" s="34"/>
      <c r="V1309" s="255"/>
      <c r="W1309" s="34"/>
      <c r="X1309" s="3" t="b">
        <f t="shared" si="66"/>
        <v>0</v>
      </c>
      <c r="Y1309" s="3" t="b">
        <f t="shared" si="67"/>
        <v>0</v>
      </c>
    </row>
    <row r="1310" spans="14:25">
      <c r="N1310" s="34"/>
      <c r="O1310" s="34"/>
      <c r="P1310" s="34"/>
      <c r="Q1310" s="34"/>
      <c r="R1310" s="34"/>
      <c r="S1310" s="38"/>
      <c r="T1310" s="38"/>
      <c r="U1310" s="34"/>
      <c r="V1310" s="255"/>
      <c r="W1310" s="34"/>
      <c r="X1310" s="3" t="b">
        <f t="shared" si="66"/>
        <v>0</v>
      </c>
      <c r="Y1310" s="3" t="b">
        <f t="shared" si="67"/>
        <v>0</v>
      </c>
    </row>
    <row r="1311" spans="14:25">
      <c r="N1311" s="34"/>
      <c r="O1311" s="34"/>
      <c r="P1311" s="34"/>
      <c r="Q1311" s="34"/>
      <c r="R1311" s="34"/>
      <c r="S1311" s="38"/>
      <c r="T1311" s="38"/>
      <c r="U1311" s="34"/>
      <c r="V1311" s="255"/>
      <c r="W1311" s="34"/>
      <c r="X1311" s="3" t="b">
        <f t="shared" si="66"/>
        <v>0</v>
      </c>
      <c r="Y1311" s="3" t="b">
        <f t="shared" si="67"/>
        <v>0</v>
      </c>
    </row>
    <row r="1312" spans="14:25">
      <c r="N1312" s="34"/>
      <c r="O1312" s="34"/>
      <c r="P1312" s="34"/>
      <c r="Q1312" s="34"/>
      <c r="R1312" s="34"/>
      <c r="S1312" s="38"/>
      <c r="T1312" s="38"/>
      <c r="U1312" s="34"/>
      <c r="V1312" s="255"/>
      <c r="W1312" s="34"/>
      <c r="X1312" s="3" t="b">
        <f t="shared" si="66"/>
        <v>0</v>
      </c>
      <c r="Y1312" s="3" t="b">
        <f t="shared" si="67"/>
        <v>0</v>
      </c>
    </row>
    <row r="1313" spans="14:25">
      <c r="N1313" s="34"/>
      <c r="O1313" s="34"/>
      <c r="P1313" s="34"/>
      <c r="Q1313" s="34"/>
      <c r="R1313" s="34"/>
      <c r="S1313" s="38"/>
      <c r="T1313" s="38"/>
      <c r="U1313" s="34"/>
      <c r="V1313" s="255"/>
      <c r="W1313" s="34"/>
      <c r="X1313" s="3" t="b">
        <f t="shared" si="66"/>
        <v>0</v>
      </c>
      <c r="Y1313" s="3" t="b">
        <f t="shared" si="67"/>
        <v>0</v>
      </c>
    </row>
    <row r="1314" spans="14:25">
      <c r="N1314" s="34"/>
      <c r="O1314" s="34"/>
      <c r="P1314" s="34"/>
      <c r="Q1314" s="34"/>
      <c r="R1314" s="34"/>
      <c r="S1314" s="38"/>
      <c r="T1314" s="38"/>
      <c r="U1314" s="34"/>
      <c r="V1314" s="255"/>
      <c r="W1314" s="34"/>
      <c r="X1314" s="3" t="b">
        <f t="shared" si="66"/>
        <v>0</v>
      </c>
      <c r="Y1314" s="3" t="b">
        <f t="shared" si="67"/>
        <v>0</v>
      </c>
    </row>
    <row r="1315" spans="14:25">
      <c r="N1315" s="34"/>
      <c r="O1315" s="34"/>
      <c r="P1315" s="34"/>
      <c r="Q1315" s="34"/>
      <c r="R1315" s="34"/>
      <c r="S1315" s="38"/>
      <c r="T1315" s="38"/>
      <c r="U1315" s="34"/>
      <c r="V1315" s="255"/>
      <c r="W1315" s="34"/>
      <c r="X1315" s="3" t="b">
        <f t="shared" si="66"/>
        <v>0</v>
      </c>
      <c r="Y1315" s="3" t="b">
        <f t="shared" si="67"/>
        <v>0</v>
      </c>
    </row>
    <row r="1316" spans="14:25">
      <c r="N1316" s="34"/>
      <c r="O1316" s="34"/>
      <c r="P1316" s="34"/>
      <c r="Q1316" s="34"/>
      <c r="R1316" s="34"/>
      <c r="S1316" s="38"/>
      <c r="T1316" s="38"/>
      <c r="U1316" s="34"/>
      <c r="V1316" s="255"/>
      <c r="W1316" s="34"/>
      <c r="X1316" s="3" t="b">
        <f t="shared" si="66"/>
        <v>0</v>
      </c>
      <c r="Y1316" s="3" t="b">
        <f t="shared" si="67"/>
        <v>0</v>
      </c>
    </row>
    <row r="1317" spans="14:25">
      <c r="N1317" s="34"/>
      <c r="O1317" s="34"/>
      <c r="P1317" s="34"/>
      <c r="Q1317" s="34"/>
      <c r="R1317" s="34"/>
      <c r="S1317" s="38"/>
      <c r="T1317" s="38"/>
      <c r="U1317" s="34"/>
      <c r="V1317" s="255"/>
      <c r="W1317" s="34"/>
      <c r="X1317" s="3" t="b">
        <f t="shared" si="66"/>
        <v>0</v>
      </c>
      <c r="Y1317" s="3" t="b">
        <f t="shared" si="67"/>
        <v>0</v>
      </c>
    </row>
    <row r="1318" spans="14:25">
      <c r="N1318" s="34"/>
      <c r="O1318" s="34"/>
      <c r="P1318" s="34"/>
      <c r="Q1318" s="34"/>
      <c r="R1318" s="34"/>
      <c r="S1318" s="38"/>
      <c r="T1318" s="38"/>
      <c r="U1318" s="34"/>
      <c r="V1318" s="255"/>
      <c r="W1318" s="34"/>
      <c r="X1318" s="3" t="b">
        <f t="shared" si="66"/>
        <v>0</v>
      </c>
      <c r="Y1318" s="3" t="b">
        <f t="shared" si="67"/>
        <v>0</v>
      </c>
    </row>
    <row r="1319" spans="14:25">
      <c r="N1319" s="34"/>
      <c r="O1319" s="34"/>
      <c r="P1319" s="34"/>
      <c r="Q1319" s="34"/>
      <c r="R1319" s="34"/>
      <c r="S1319" s="38"/>
      <c r="T1319" s="38"/>
      <c r="U1319" s="34"/>
      <c r="V1319" s="255"/>
      <c r="W1319" s="34"/>
      <c r="X1319" s="3" t="b">
        <f t="shared" si="66"/>
        <v>0</v>
      </c>
      <c r="Y1319" s="3" t="b">
        <f t="shared" si="67"/>
        <v>0</v>
      </c>
    </row>
    <row r="1320" spans="14:25">
      <c r="N1320" s="34"/>
      <c r="O1320" s="34"/>
      <c r="P1320" s="34"/>
      <c r="Q1320" s="34"/>
      <c r="R1320" s="34"/>
      <c r="S1320" s="38"/>
      <c r="T1320" s="38"/>
      <c r="U1320" s="34"/>
      <c r="V1320" s="255"/>
      <c r="W1320" s="34"/>
      <c r="X1320" s="3" t="b">
        <f t="shared" si="66"/>
        <v>0</v>
      </c>
      <c r="Y1320" s="3" t="b">
        <f t="shared" si="67"/>
        <v>0</v>
      </c>
    </row>
    <row r="1321" spans="14:25">
      <c r="N1321" s="34"/>
      <c r="O1321" s="34"/>
      <c r="P1321" s="34"/>
      <c r="Q1321" s="34"/>
      <c r="R1321" s="34"/>
      <c r="S1321" s="38"/>
      <c r="T1321" s="38"/>
      <c r="U1321" s="34"/>
      <c r="V1321" s="255"/>
      <c r="W1321" s="34"/>
      <c r="X1321" s="3" t="b">
        <f t="shared" si="66"/>
        <v>0</v>
      </c>
      <c r="Y1321" s="3" t="b">
        <f t="shared" si="67"/>
        <v>0</v>
      </c>
    </row>
    <row r="1322" spans="14:25">
      <c r="N1322" s="34"/>
      <c r="O1322" s="34"/>
      <c r="P1322" s="34"/>
      <c r="Q1322" s="34"/>
      <c r="R1322" s="34"/>
      <c r="S1322" s="38"/>
      <c r="T1322" s="38"/>
      <c r="U1322" s="34"/>
      <c r="V1322" s="255"/>
      <c r="W1322" s="34"/>
      <c r="X1322" s="3" t="b">
        <f t="shared" si="66"/>
        <v>0</v>
      </c>
      <c r="Y1322" s="3" t="b">
        <f t="shared" si="67"/>
        <v>0</v>
      </c>
    </row>
    <row r="1323" spans="14:25">
      <c r="N1323" s="34"/>
      <c r="O1323" s="34"/>
      <c r="P1323" s="34"/>
      <c r="Q1323" s="34"/>
      <c r="R1323" s="34"/>
      <c r="S1323" s="38"/>
      <c r="T1323" s="38"/>
      <c r="U1323" s="34"/>
      <c r="V1323" s="255"/>
      <c r="W1323" s="34"/>
      <c r="X1323" s="3" t="b">
        <f t="shared" si="66"/>
        <v>0</v>
      </c>
      <c r="Y1323" s="3" t="b">
        <f t="shared" si="67"/>
        <v>0</v>
      </c>
    </row>
    <row r="1324" spans="14:25">
      <c r="N1324" s="34"/>
      <c r="O1324" s="34"/>
      <c r="P1324" s="34"/>
      <c r="Q1324" s="34"/>
      <c r="R1324" s="34"/>
      <c r="S1324" s="38"/>
      <c r="T1324" s="38"/>
      <c r="U1324" s="34"/>
      <c r="V1324" s="255"/>
      <c r="W1324" s="34"/>
      <c r="X1324" s="3" t="b">
        <f t="shared" ref="X1324:X1387" si="68">IF(OR(Q1324="Stock to Rack",Q1324="From Stock"),-P1324,IF(OR(Q1324="Rack to Stock",Q1324="To Stock"),P1324))</f>
        <v>0</v>
      </c>
      <c r="Y1324" s="3" t="b">
        <f t="shared" ref="Y1324:Y1387" si="69">IF(Q1324="Rack to Stock",-P1324,IF(Q1324="Stock to Rack",P1324))</f>
        <v>0</v>
      </c>
    </row>
    <row r="1325" spans="14:25">
      <c r="N1325" s="34"/>
      <c r="O1325" s="34"/>
      <c r="P1325" s="34"/>
      <c r="Q1325" s="34"/>
      <c r="R1325" s="34"/>
      <c r="S1325" s="38"/>
      <c r="T1325" s="38"/>
      <c r="U1325" s="34"/>
      <c r="V1325" s="255"/>
      <c r="W1325" s="34"/>
      <c r="X1325" s="3" t="b">
        <f t="shared" si="68"/>
        <v>0</v>
      </c>
      <c r="Y1325" s="3" t="b">
        <f t="shared" si="69"/>
        <v>0</v>
      </c>
    </row>
    <row r="1326" spans="14:25">
      <c r="N1326" s="34"/>
      <c r="O1326" s="34"/>
      <c r="P1326" s="34"/>
      <c r="Q1326" s="34"/>
      <c r="R1326" s="34"/>
      <c r="S1326" s="38"/>
      <c r="T1326" s="38"/>
      <c r="U1326" s="34"/>
      <c r="V1326" s="255"/>
      <c r="W1326" s="34"/>
      <c r="X1326" s="3" t="b">
        <f t="shared" si="68"/>
        <v>0</v>
      </c>
      <c r="Y1326" s="3" t="b">
        <f t="shared" si="69"/>
        <v>0</v>
      </c>
    </row>
    <row r="1327" spans="14:25">
      <c r="N1327" s="34"/>
      <c r="O1327" s="34"/>
      <c r="P1327" s="34"/>
      <c r="Q1327" s="34"/>
      <c r="R1327" s="34"/>
      <c r="S1327" s="38"/>
      <c r="T1327" s="38"/>
      <c r="U1327" s="34"/>
      <c r="V1327" s="255"/>
      <c r="W1327" s="34"/>
      <c r="X1327" s="3" t="b">
        <f t="shared" si="68"/>
        <v>0</v>
      </c>
      <c r="Y1327" s="3" t="b">
        <f t="shared" si="69"/>
        <v>0</v>
      </c>
    </row>
    <row r="1328" spans="14:25">
      <c r="N1328" s="34"/>
      <c r="O1328" s="34"/>
      <c r="P1328" s="34"/>
      <c r="Q1328" s="34"/>
      <c r="R1328" s="34"/>
      <c r="S1328" s="38"/>
      <c r="T1328" s="38"/>
      <c r="U1328" s="34"/>
      <c r="V1328" s="255"/>
      <c r="W1328" s="34"/>
      <c r="X1328" s="3" t="b">
        <f t="shared" si="68"/>
        <v>0</v>
      </c>
      <c r="Y1328" s="3" t="b">
        <f t="shared" si="69"/>
        <v>0</v>
      </c>
    </row>
    <row r="1329" spans="14:25">
      <c r="N1329" s="34"/>
      <c r="O1329" s="34"/>
      <c r="P1329" s="34"/>
      <c r="Q1329" s="34"/>
      <c r="R1329" s="34"/>
      <c r="S1329" s="38"/>
      <c r="T1329" s="38"/>
      <c r="U1329" s="34"/>
      <c r="V1329" s="255"/>
      <c r="W1329" s="34"/>
      <c r="X1329" s="3" t="b">
        <f t="shared" si="68"/>
        <v>0</v>
      </c>
      <c r="Y1329" s="3" t="b">
        <f t="shared" si="69"/>
        <v>0</v>
      </c>
    </row>
    <row r="1330" spans="14:25">
      <c r="N1330" s="34"/>
      <c r="O1330" s="34"/>
      <c r="P1330" s="34"/>
      <c r="Q1330" s="34"/>
      <c r="R1330" s="34"/>
      <c r="S1330" s="38"/>
      <c r="T1330" s="38"/>
      <c r="U1330" s="34"/>
      <c r="V1330" s="255"/>
      <c r="W1330" s="34"/>
      <c r="X1330" s="3" t="b">
        <f t="shared" si="68"/>
        <v>0</v>
      </c>
      <c r="Y1330" s="3" t="b">
        <f t="shared" si="69"/>
        <v>0</v>
      </c>
    </row>
    <row r="1331" spans="14:25">
      <c r="N1331" s="34"/>
      <c r="O1331" s="34"/>
      <c r="P1331" s="34"/>
      <c r="Q1331" s="34"/>
      <c r="R1331" s="34"/>
      <c r="S1331" s="38"/>
      <c r="T1331" s="38"/>
      <c r="U1331" s="34"/>
      <c r="V1331" s="255"/>
      <c r="W1331" s="34"/>
      <c r="X1331" s="3" t="b">
        <f t="shared" si="68"/>
        <v>0</v>
      </c>
      <c r="Y1331" s="3" t="b">
        <f t="shared" si="69"/>
        <v>0</v>
      </c>
    </row>
    <row r="1332" spans="14:25">
      <c r="N1332" s="34"/>
      <c r="O1332" s="34"/>
      <c r="P1332" s="34"/>
      <c r="Q1332" s="34"/>
      <c r="R1332" s="34"/>
      <c r="S1332" s="38"/>
      <c r="T1332" s="38"/>
      <c r="U1332" s="34"/>
      <c r="V1332" s="255"/>
      <c r="W1332" s="34"/>
      <c r="X1332" s="3" t="b">
        <f t="shared" si="68"/>
        <v>0</v>
      </c>
      <c r="Y1332" s="3" t="b">
        <f t="shared" si="69"/>
        <v>0</v>
      </c>
    </row>
    <row r="1333" spans="14:25">
      <c r="N1333" s="34"/>
      <c r="O1333" s="34"/>
      <c r="P1333" s="34"/>
      <c r="Q1333" s="34"/>
      <c r="R1333" s="34"/>
      <c r="S1333" s="38"/>
      <c r="T1333" s="38"/>
      <c r="U1333" s="34"/>
      <c r="V1333" s="255"/>
      <c r="W1333" s="34"/>
      <c r="X1333" s="3" t="b">
        <f t="shared" si="68"/>
        <v>0</v>
      </c>
      <c r="Y1333" s="3" t="b">
        <f t="shared" si="69"/>
        <v>0</v>
      </c>
    </row>
    <row r="1334" spans="14:25">
      <c r="N1334" s="34"/>
      <c r="O1334" s="34"/>
      <c r="P1334" s="34"/>
      <c r="Q1334" s="34"/>
      <c r="R1334" s="34"/>
      <c r="S1334" s="38"/>
      <c r="T1334" s="38"/>
      <c r="U1334" s="34"/>
      <c r="V1334" s="255"/>
      <c r="W1334" s="34"/>
      <c r="X1334" s="3" t="b">
        <f t="shared" si="68"/>
        <v>0</v>
      </c>
      <c r="Y1334" s="3" t="b">
        <f t="shared" si="69"/>
        <v>0</v>
      </c>
    </row>
    <row r="1335" spans="14:25">
      <c r="N1335" s="34"/>
      <c r="O1335" s="34"/>
      <c r="P1335" s="34"/>
      <c r="Q1335" s="34"/>
      <c r="R1335" s="34"/>
      <c r="S1335" s="38"/>
      <c r="T1335" s="38"/>
      <c r="U1335" s="34"/>
      <c r="V1335" s="255"/>
      <c r="W1335" s="34"/>
      <c r="X1335" s="3" t="b">
        <f t="shared" si="68"/>
        <v>0</v>
      </c>
      <c r="Y1335" s="3" t="b">
        <f t="shared" si="69"/>
        <v>0</v>
      </c>
    </row>
    <row r="1336" spans="14:25">
      <c r="N1336" s="34"/>
      <c r="O1336" s="34"/>
      <c r="P1336" s="34"/>
      <c r="Q1336" s="34"/>
      <c r="R1336" s="34"/>
      <c r="S1336" s="38"/>
      <c r="T1336" s="38"/>
      <c r="U1336" s="34"/>
      <c r="V1336" s="255"/>
      <c r="W1336" s="34"/>
      <c r="X1336" s="3" t="b">
        <f t="shared" si="68"/>
        <v>0</v>
      </c>
      <c r="Y1336" s="3" t="b">
        <f t="shared" si="69"/>
        <v>0</v>
      </c>
    </row>
    <row r="1337" spans="14:25">
      <c r="N1337" s="34"/>
      <c r="O1337" s="34"/>
      <c r="P1337" s="34"/>
      <c r="Q1337" s="34"/>
      <c r="R1337" s="34"/>
      <c r="S1337" s="38"/>
      <c r="T1337" s="38"/>
      <c r="U1337" s="34"/>
      <c r="V1337" s="255"/>
      <c r="W1337" s="34"/>
      <c r="X1337" s="3" t="b">
        <f t="shared" si="68"/>
        <v>0</v>
      </c>
      <c r="Y1337" s="3" t="b">
        <f t="shared" si="69"/>
        <v>0</v>
      </c>
    </row>
    <row r="1338" spans="14:25">
      <c r="N1338" s="34"/>
      <c r="O1338" s="34"/>
      <c r="P1338" s="34"/>
      <c r="Q1338" s="34"/>
      <c r="R1338" s="34"/>
      <c r="S1338" s="38"/>
      <c r="T1338" s="38"/>
      <c r="U1338" s="34"/>
      <c r="V1338" s="255"/>
      <c r="W1338" s="34"/>
      <c r="X1338" s="3" t="b">
        <f t="shared" si="68"/>
        <v>0</v>
      </c>
      <c r="Y1338" s="3" t="b">
        <f t="shared" si="69"/>
        <v>0</v>
      </c>
    </row>
    <row r="1339" spans="14:25">
      <c r="N1339" s="34"/>
      <c r="O1339" s="34"/>
      <c r="P1339" s="34"/>
      <c r="Q1339" s="34"/>
      <c r="R1339" s="34"/>
      <c r="S1339" s="38"/>
      <c r="T1339" s="38"/>
      <c r="U1339" s="34"/>
      <c r="V1339" s="255"/>
      <c r="W1339" s="34"/>
      <c r="X1339" s="3" t="b">
        <f t="shared" si="68"/>
        <v>0</v>
      </c>
      <c r="Y1339" s="3" t="b">
        <f t="shared" si="69"/>
        <v>0</v>
      </c>
    </row>
    <row r="1340" spans="14:25">
      <c r="N1340" s="34"/>
      <c r="O1340" s="34"/>
      <c r="P1340" s="34"/>
      <c r="Q1340" s="34"/>
      <c r="R1340" s="34"/>
      <c r="S1340" s="38"/>
      <c r="T1340" s="38"/>
      <c r="U1340" s="34"/>
      <c r="V1340" s="255"/>
      <c r="W1340" s="34"/>
      <c r="X1340" s="3" t="b">
        <f t="shared" si="68"/>
        <v>0</v>
      </c>
      <c r="Y1340" s="3" t="b">
        <f t="shared" si="69"/>
        <v>0</v>
      </c>
    </row>
    <row r="1341" spans="14:25">
      <c r="N1341" s="34"/>
      <c r="O1341" s="34"/>
      <c r="P1341" s="34"/>
      <c r="Q1341" s="34"/>
      <c r="R1341" s="34"/>
      <c r="S1341" s="38"/>
      <c r="T1341" s="38"/>
      <c r="U1341" s="34"/>
      <c r="V1341" s="255"/>
      <c r="W1341" s="34"/>
      <c r="X1341" s="3" t="b">
        <f t="shared" si="68"/>
        <v>0</v>
      </c>
      <c r="Y1341" s="3" t="b">
        <f t="shared" si="69"/>
        <v>0</v>
      </c>
    </row>
    <row r="1342" spans="14:25">
      <c r="N1342" s="34"/>
      <c r="O1342" s="34"/>
      <c r="P1342" s="34"/>
      <c r="Q1342" s="34"/>
      <c r="R1342" s="34"/>
      <c r="S1342" s="38"/>
      <c r="T1342" s="38"/>
      <c r="U1342" s="34"/>
      <c r="V1342" s="255"/>
      <c r="W1342" s="34"/>
      <c r="X1342" s="3" t="b">
        <f t="shared" si="68"/>
        <v>0</v>
      </c>
      <c r="Y1342" s="3" t="b">
        <f t="shared" si="69"/>
        <v>0</v>
      </c>
    </row>
    <row r="1343" spans="14:25">
      <c r="N1343" s="34"/>
      <c r="O1343" s="34"/>
      <c r="P1343" s="34"/>
      <c r="Q1343" s="34"/>
      <c r="R1343" s="34"/>
      <c r="S1343" s="38"/>
      <c r="T1343" s="38"/>
      <c r="U1343" s="34"/>
      <c r="V1343" s="255"/>
      <c r="W1343" s="34"/>
      <c r="X1343" s="3" t="b">
        <f t="shared" si="68"/>
        <v>0</v>
      </c>
      <c r="Y1343" s="3" t="b">
        <f t="shared" si="69"/>
        <v>0</v>
      </c>
    </row>
    <row r="1344" spans="14:25">
      <c r="N1344" s="34"/>
      <c r="O1344" s="34"/>
      <c r="P1344" s="34"/>
      <c r="Q1344" s="34"/>
      <c r="R1344" s="34"/>
      <c r="S1344" s="38"/>
      <c r="T1344" s="38"/>
      <c r="U1344" s="34"/>
      <c r="V1344" s="255"/>
      <c r="W1344" s="34"/>
      <c r="X1344" s="3" t="b">
        <f t="shared" si="68"/>
        <v>0</v>
      </c>
      <c r="Y1344" s="3" t="b">
        <f t="shared" si="69"/>
        <v>0</v>
      </c>
    </row>
    <row r="1345" spans="14:25">
      <c r="N1345" s="34"/>
      <c r="O1345" s="34"/>
      <c r="P1345" s="34"/>
      <c r="Q1345" s="34"/>
      <c r="R1345" s="34"/>
      <c r="S1345" s="38"/>
      <c r="T1345" s="38"/>
      <c r="U1345" s="34"/>
      <c r="V1345" s="255"/>
      <c r="W1345" s="34"/>
      <c r="X1345" s="3" t="b">
        <f t="shared" si="68"/>
        <v>0</v>
      </c>
      <c r="Y1345" s="3" t="b">
        <f t="shared" si="69"/>
        <v>0</v>
      </c>
    </row>
    <row r="1346" spans="14:25">
      <c r="N1346" s="34"/>
      <c r="O1346" s="34"/>
      <c r="P1346" s="34"/>
      <c r="Q1346" s="34"/>
      <c r="R1346" s="34"/>
      <c r="S1346" s="38"/>
      <c r="T1346" s="38"/>
      <c r="U1346" s="34"/>
      <c r="V1346" s="255"/>
      <c r="W1346" s="34"/>
      <c r="X1346" s="3" t="b">
        <f t="shared" si="68"/>
        <v>0</v>
      </c>
      <c r="Y1346" s="3" t="b">
        <f t="shared" si="69"/>
        <v>0</v>
      </c>
    </row>
    <row r="1347" spans="14:25">
      <c r="N1347" s="34"/>
      <c r="O1347" s="34"/>
      <c r="P1347" s="34"/>
      <c r="Q1347" s="34"/>
      <c r="R1347" s="34"/>
      <c r="S1347" s="38"/>
      <c r="T1347" s="38"/>
      <c r="U1347" s="34"/>
      <c r="V1347" s="255"/>
      <c r="W1347" s="34"/>
      <c r="X1347" s="3" t="b">
        <f t="shared" si="68"/>
        <v>0</v>
      </c>
      <c r="Y1347" s="3" t="b">
        <f t="shared" si="69"/>
        <v>0</v>
      </c>
    </row>
    <row r="1348" spans="14:25">
      <c r="N1348" s="34"/>
      <c r="O1348" s="34"/>
      <c r="P1348" s="34"/>
      <c r="Q1348" s="34"/>
      <c r="R1348" s="34"/>
      <c r="S1348" s="38"/>
      <c r="T1348" s="38"/>
      <c r="U1348" s="34"/>
      <c r="V1348" s="255"/>
      <c r="W1348" s="34"/>
      <c r="X1348" s="3" t="b">
        <f t="shared" si="68"/>
        <v>0</v>
      </c>
      <c r="Y1348" s="3" t="b">
        <f t="shared" si="69"/>
        <v>0</v>
      </c>
    </row>
    <row r="1349" spans="14:25">
      <c r="N1349" s="34"/>
      <c r="O1349" s="34"/>
      <c r="P1349" s="34"/>
      <c r="Q1349" s="34"/>
      <c r="R1349" s="34"/>
      <c r="S1349" s="38"/>
      <c r="T1349" s="38"/>
      <c r="U1349" s="34"/>
      <c r="V1349" s="255"/>
      <c r="W1349" s="34"/>
      <c r="X1349" s="3" t="b">
        <f t="shared" si="68"/>
        <v>0</v>
      </c>
      <c r="Y1349" s="3" t="b">
        <f t="shared" si="69"/>
        <v>0</v>
      </c>
    </row>
    <row r="1350" spans="14:25">
      <c r="N1350" s="34"/>
      <c r="O1350" s="34"/>
      <c r="P1350" s="34"/>
      <c r="Q1350" s="34"/>
      <c r="R1350" s="34"/>
      <c r="S1350" s="38"/>
      <c r="T1350" s="38"/>
      <c r="U1350" s="34"/>
      <c r="V1350" s="255"/>
      <c r="W1350" s="34"/>
      <c r="X1350" s="3" t="b">
        <f t="shared" si="68"/>
        <v>0</v>
      </c>
      <c r="Y1350" s="3" t="b">
        <f t="shared" si="69"/>
        <v>0</v>
      </c>
    </row>
    <row r="1351" spans="14:25">
      <c r="N1351" s="34"/>
      <c r="O1351" s="34"/>
      <c r="P1351" s="34"/>
      <c r="Q1351" s="34"/>
      <c r="R1351" s="34"/>
      <c r="S1351" s="38"/>
      <c r="T1351" s="38"/>
      <c r="U1351" s="34"/>
      <c r="V1351" s="255"/>
      <c r="W1351" s="34"/>
      <c r="X1351" s="3" t="b">
        <f t="shared" si="68"/>
        <v>0</v>
      </c>
      <c r="Y1351" s="3" t="b">
        <f t="shared" si="69"/>
        <v>0</v>
      </c>
    </row>
    <row r="1352" spans="14:25">
      <c r="N1352" s="34"/>
      <c r="O1352" s="34"/>
      <c r="P1352" s="34"/>
      <c r="Q1352" s="34"/>
      <c r="R1352" s="34"/>
      <c r="S1352" s="38"/>
      <c r="T1352" s="38"/>
      <c r="U1352" s="34"/>
      <c r="V1352" s="255"/>
      <c r="W1352" s="34"/>
      <c r="X1352" s="3" t="b">
        <f t="shared" si="68"/>
        <v>0</v>
      </c>
      <c r="Y1352" s="3" t="b">
        <f t="shared" si="69"/>
        <v>0</v>
      </c>
    </row>
    <row r="1353" spans="14:25">
      <c r="N1353" s="34"/>
      <c r="O1353" s="34"/>
      <c r="P1353" s="34"/>
      <c r="Q1353" s="34"/>
      <c r="R1353" s="34"/>
      <c r="S1353" s="38"/>
      <c r="T1353" s="38"/>
      <c r="U1353" s="34"/>
      <c r="V1353" s="255"/>
      <c r="W1353" s="34"/>
      <c r="X1353" s="3" t="b">
        <f t="shared" si="68"/>
        <v>0</v>
      </c>
      <c r="Y1353" s="3" t="b">
        <f t="shared" si="69"/>
        <v>0</v>
      </c>
    </row>
    <row r="1354" spans="14:25">
      <c r="N1354" s="34"/>
      <c r="O1354" s="34"/>
      <c r="P1354" s="34"/>
      <c r="Q1354" s="34"/>
      <c r="R1354" s="34"/>
      <c r="S1354" s="38"/>
      <c r="T1354" s="38"/>
      <c r="U1354" s="34"/>
      <c r="V1354" s="255"/>
      <c r="W1354" s="34"/>
      <c r="X1354" s="3" t="b">
        <f t="shared" si="68"/>
        <v>0</v>
      </c>
      <c r="Y1354" s="3" t="b">
        <f t="shared" si="69"/>
        <v>0</v>
      </c>
    </row>
    <row r="1355" spans="14:25">
      <c r="N1355" s="34"/>
      <c r="O1355" s="34"/>
      <c r="P1355" s="34"/>
      <c r="Q1355" s="34"/>
      <c r="R1355" s="34"/>
      <c r="S1355" s="38"/>
      <c r="T1355" s="38"/>
      <c r="U1355" s="34"/>
      <c r="V1355" s="255"/>
      <c r="W1355" s="34"/>
      <c r="X1355" s="3" t="b">
        <f t="shared" si="68"/>
        <v>0</v>
      </c>
      <c r="Y1355" s="3" t="b">
        <f t="shared" si="69"/>
        <v>0</v>
      </c>
    </row>
    <row r="1356" spans="14:25">
      <c r="N1356" s="34"/>
      <c r="O1356" s="34"/>
      <c r="P1356" s="34"/>
      <c r="Q1356" s="34"/>
      <c r="R1356" s="34"/>
      <c r="S1356" s="38"/>
      <c r="T1356" s="38"/>
      <c r="U1356" s="34"/>
      <c r="V1356" s="255"/>
      <c r="W1356" s="34"/>
      <c r="X1356" s="3" t="b">
        <f t="shared" si="68"/>
        <v>0</v>
      </c>
      <c r="Y1356" s="3" t="b">
        <f t="shared" si="69"/>
        <v>0</v>
      </c>
    </row>
    <row r="1357" spans="14:25">
      <c r="N1357" s="34"/>
      <c r="O1357" s="34"/>
      <c r="P1357" s="34"/>
      <c r="Q1357" s="34"/>
      <c r="R1357" s="34"/>
      <c r="S1357" s="38"/>
      <c r="T1357" s="38"/>
      <c r="U1357" s="34"/>
      <c r="V1357" s="255"/>
      <c r="W1357" s="34"/>
      <c r="X1357" s="3" t="b">
        <f t="shared" si="68"/>
        <v>0</v>
      </c>
      <c r="Y1357" s="3" t="b">
        <f t="shared" si="69"/>
        <v>0</v>
      </c>
    </row>
    <row r="1358" spans="14:25">
      <c r="N1358" s="34"/>
      <c r="O1358" s="34"/>
      <c r="P1358" s="34"/>
      <c r="Q1358" s="34"/>
      <c r="R1358" s="34"/>
      <c r="S1358" s="38"/>
      <c r="T1358" s="38"/>
      <c r="U1358" s="34"/>
      <c r="V1358" s="255"/>
      <c r="W1358" s="34"/>
      <c r="X1358" s="3" t="b">
        <f t="shared" si="68"/>
        <v>0</v>
      </c>
      <c r="Y1358" s="3" t="b">
        <f t="shared" si="69"/>
        <v>0</v>
      </c>
    </row>
    <row r="1359" spans="14:25">
      <c r="N1359" s="34"/>
      <c r="O1359" s="34"/>
      <c r="P1359" s="34"/>
      <c r="Q1359" s="34"/>
      <c r="R1359" s="34"/>
      <c r="S1359" s="38"/>
      <c r="T1359" s="38"/>
      <c r="U1359" s="34"/>
      <c r="V1359" s="255"/>
      <c r="W1359" s="34"/>
      <c r="X1359" s="3" t="b">
        <f t="shared" si="68"/>
        <v>0</v>
      </c>
      <c r="Y1359" s="3" t="b">
        <f t="shared" si="69"/>
        <v>0</v>
      </c>
    </row>
    <row r="1360" spans="14:25">
      <c r="N1360" s="34"/>
      <c r="O1360" s="34"/>
      <c r="P1360" s="34"/>
      <c r="Q1360" s="34"/>
      <c r="R1360" s="34"/>
      <c r="S1360" s="38"/>
      <c r="T1360" s="38"/>
      <c r="U1360" s="34"/>
      <c r="V1360" s="255"/>
      <c r="W1360" s="34"/>
      <c r="X1360" s="3" t="b">
        <f t="shared" si="68"/>
        <v>0</v>
      </c>
      <c r="Y1360" s="3" t="b">
        <f t="shared" si="69"/>
        <v>0</v>
      </c>
    </row>
    <row r="1361" spans="14:25">
      <c r="N1361" s="34"/>
      <c r="O1361" s="34"/>
      <c r="P1361" s="34"/>
      <c r="Q1361" s="34"/>
      <c r="R1361" s="34"/>
      <c r="S1361" s="38"/>
      <c r="T1361" s="38"/>
      <c r="U1361" s="34"/>
      <c r="V1361" s="255"/>
      <c r="W1361" s="34"/>
      <c r="X1361" s="3" t="b">
        <f t="shared" si="68"/>
        <v>0</v>
      </c>
      <c r="Y1361" s="3" t="b">
        <f t="shared" si="69"/>
        <v>0</v>
      </c>
    </row>
    <row r="1362" spans="14:25">
      <c r="N1362" s="34"/>
      <c r="O1362" s="34"/>
      <c r="P1362" s="34"/>
      <c r="Q1362" s="34"/>
      <c r="R1362" s="34"/>
      <c r="S1362" s="38"/>
      <c r="T1362" s="38"/>
      <c r="U1362" s="34"/>
      <c r="V1362" s="255"/>
      <c r="W1362" s="34"/>
      <c r="X1362" s="3" t="b">
        <f t="shared" si="68"/>
        <v>0</v>
      </c>
      <c r="Y1362" s="3" t="b">
        <f t="shared" si="69"/>
        <v>0</v>
      </c>
    </row>
    <row r="1363" spans="14:25">
      <c r="N1363" s="34"/>
      <c r="O1363" s="34"/>
      <c r="P1363" s="34"/>
      <c r="Q1363" s="34"/>
      <c r="R1363" s="34"/>
      <c r="S1363" s="38"/>
      <c r="T1363" s="38"/>
      <c r="U1363" s="34"/>
      <c r="V1363" s="255"/>
      <c r="W1363" s="34"/>
      <c r="X1363" s="3" t="b">
        <f t="shared" si="68"/>
        <v>0</v>
      </c>
      <c r="Y1363" s="3" t="b">
        <f t="shared" si="69"/>
        <v>0</v>
      </c>
    </row>
    <row r="1364" spans="14:25">
      <c r="N1364" s="34"/>
      <c r="O1364" s="34"/>
      <c r="P1364" s="34"/>
      <c r="Q1364" s="34"/>
      <c r="R1364" s="34"/>
      <c r="S1364" s="38"/>
      <c r="T1364" s="38"/>
      <c r="U1364" s="34"/>
      <c r="V1364" s="255"/>
      <c r="W1364" s="34"/>
      <c r="X1364" s="3" t="b">
        <f t="shared" si="68"/>
        <v>0</v>
      </c>
      <c r="Y1364" s="3" t="b">
        <f t="shared" si="69"/>
        <v>0</v>
      </c>
    </row>
    <row r="1365" spans="14:25">
      <c r="N1365" s="34"/>
      <c r="O1365" s="34"/>
      <c r="P1365" s="34"/>
      <c r="Q1365" s="34"/>
      <c r="R1365" s="34"/>
      <c r="S1365" s="38"/>
      <c r="T1365" s="38"/>
      <c r="U1365" s="34"/>
      <c r="V1365" s="255"/>
      <c r="W1365" s="34"/>
      <c r="X1365" s="3" t="b">
        <f t="shared" si="68"/>
        <v>0</v>
      </c>
      <c r="Y1365" s="3" t="b">
        <f t="shared" si="69"/>
        <v>0</v>
      </c>
    </row>
    <row r="1366" spans="14:25">
      <c r="N1366" s="34"/>
      <c r="O1366" s="34"/>
      <c r="P1366" s="34"/>
      <c r="Q1366" s="34"/>
      <c r="R1366" s="34"/>
      <c r="S1366" s="38"/>
      <c r="T1366" s="38"/>
      <c r="U1366" s="34"/>
      <c r="V1366" s="255"/>
      <c r="W1366" s="34"/>
      <c r="X1366" s="3" t="b">
        <f t="shared" si="68"/>
        <v>0</v>
      </c>
      <c r="Y1366" s="3" t="b">
        <f t="shared" si="69"/>
        <v>0</v>
      </c>
    </row>
    <row r="1367" spans="14:25">
      <c r="N1367" s="34"/>
      <c r="O1367" s="34"/>
      <c r="P1367" s="34"/>
      <c r="Q1367" s="34"/>
      <c r="R1367" s="34"/>
      <c r="S1367" s="38"/>
      <c r="T1367" s="38"/>
      <c r="U1367" s="34"/>
      <c r="V1367" s="255"/>
      <c r="W1367" s="34"/>
      <c r="X1367" s="3" t="b">
        <f t="shared" si="68"/>
        <v>0</v>
      </c>
      <c r="Y1367" s="3" t="b">
        <f t="shared" si="69"/>
        <v>0</v>
      </c>
    </row>
    <row r="1368" spans="14:25">
      <c r="N1368" s="34"/>
      <c r="O1368" s="34"/>
      <c r="P1368" s="34"/>
      <c r="Q1368" s="34"/>
      <c r="R1368" s="34"/>
      <c r="S1368" s="38"/>
      <c r="T1368" s="38"/>
      <c r="U1368" s="34"/>
      <c r="V1368" s="255"/>
      <c r="W1368" s="34"/>
      <c r="X1368" s="3" t="b">
        <f t="shared" si="68"/>
        <v>0</v>
      </c>
      <c r="Y1368" s="3" t="b">
        <f t="shared" si="69"/>
        <v>0</v>
      </c>
    </row>
    <row r="1369" spans="14:25">
      <c r="N1369" s="34"/>
      <c r="O1369" s="34"/>
      <c r="P1369" s="34"/>
      <c r="Q1369" s="34"/>
      <c r="R1369" s="34"/>
      <c r="S1369" s="38"/>
      <c r="T1369" s="38"/>
      <c r="U1369" s="34"/>
      <c r="V1369" s="255"/>
      <c r="W1369" s="34"/>
      <c r="X1369" s="3" t="b">
        <f t="shared" si="68"/>
        <v>0</v>
      </c>
      <c r="Y1369" s="3" t="b">
        <f t="shared" si="69"/>
        <v>0</v>
      </c>
    </row>
    <row r="1370" spans="14:25">
      <c r="N1370" s="34"/>
      <c r="O1370" s="34"/>
      <c r="P1370" s="34"/>
      <c r="Q1370" s="34"/>
      <c r="R1370" s="34"/>
      <c r="S1370" s="38"/>
      <c r="T1370" s="38"/>
      <c r="U1370" s="34"/>
      <c r="V1370" s="255"/>
      <c r="W1370" s="34"/>
      <c r="X1370" s="3" t="b">
        <f t="shared" si="68"/>
        <v>0</v>
      </c>
      <c r="Y1370" s="3" t="b">
        <f t="shared" si="69"/>
        <v>0</v>
      </c>
    </row>
    <row r="1371" spans="14:25">
      <c r="N1371" s="34"/>
      <c r="O1371" s="34"/>
      <c r="P1371" s="34"/>
      <c r="Q1371" s="34"/>
      <c r="R1371" s="34"/>
      <c r="S1371" s="38"/>
      <c r="T1371" s="38"/>
      <c r="U1371" s="34"/>
      <c r="V1371" s="255"/>
      <c r="W1371" s="34"/>
      <c r="X1371" s="3" t="b">
        <f t="shared" si="68"/>
        <v>0</v>
      </c>
      <c r="Y1371" s="3" t="b">
        <f t="shared" si="69"/>
        <v>0</v>
      </c>
    </row>
    <row r="1372" spans="14:25">
      <c r="N1372" s="34"/>
      <c r="O1372" s="34"/>
      <c r="P1372" s="34"/>
      <c r="Q1372" s="34"/>
      <c r="R1372" s="34"/>
      <c r="S1372" s="38"/>
      <c r="T1372" s="38"/>
      <c r="U1372" s="34"/>
      <c r="V1372" s="255"/>
      <c r="W1372" s="34"/>
      <c r="X1372" s="3" t="b">
        <f t="shared" si="68"/>
        <v>0</v>
      </c>
      <c r="Y1372" s="3" t="b">
        <f t="shared" si="69"/>
        <v>0</v>
      </c>
    </row>
    <row r="1373" spans="14:25">
      <c r="N1373" s="34"/>
      <c r="O1373" s="34"/>
      <c r="P1373" s="34"/>
      <c r="Q1373" s="34"/>
      <c r="R1373" s="34"/>
      <c r="S1373" s="38"/>
      <c r="T1373" s="38"/>
      <c r="U1373" s="34"/>
      <c r="V1373" s="255"/>
      <c r="W1373" s="34"/>
      <c r="X1373" s="3" t="b">
        <f t="shared" si="68"/>
        <v>0</v>
      </c>
      <c r="Y1373" s="3" t="b">
        <f t="shared" si="69"/>
        <v>0</v>
      </c>
    </row>
    <row r="1374" spans="14:25">
      <c r="N1374" s="34"/>
      <c r="O1374" s="34"/>
      <c r="P1374" s="34"/>
      <c r="Q1374" s="34"/>
      <c r="R1374" s="34"/>
      <c r="S1374" s="38"/>
      <c r="T1374" s="38"/>
      <c r="U1374" s="34"/>
      <c r="V1374" s="255"/>
      <c r="W1374" s="34"/>
      <c r="X1374" s="3" t="b">
        <f t="shared" si="68"/>
        <v>0</v>
      </c>
      <c r="Y1374" s="3" t="b">
        <f t="shared" si="69"/>
        <v>0</v>
      </c>
    </row>
    <row r="1375" spans="14:25">
      <c r="N1375" s="34"/>
      <c r="O1375" s="34"/>
      <c r="P1375" s="34"/>
      <c r="Q1375" s="34"/>
      <c r="R1375" s="34"/>
      <c r="S1375" s="38"/>
      <c r="T1375" s="38"/>
      <c r="U1375" s="34"/>
      <c r="V1375" s="255"/>
      <c r="W1375" s="34"/>
      <c r="X1375" s="3" t="b">
        <f t="shared" si="68"/>
        <v>0</v>
      </c>
      <c r="Y1375" s="3" t="b">
        <f t="shared" si="69"/>
        <v>0</v>
      </c>
    </row>
    <row r="1376" spans="14:25">
      <c r="N1376" s="34"/>
      <c r="O1376" s="34"/>
      <c r="P1376" s="34"/>
      <c r="Q1376" s="34"/>
      <c r="R1376" s="34"/>
      <c r="S1376" s="38"/>
      <c r="T1376" s="38"/>
      <c r="U1376" s="34"/>
      <c r="V1376" s="255"/>
      <c r="W1376" s="34"/>
      <c r="X1376" s="3" t="b">
        <f t="shared" si="68"/>
        <v>0</v>
      </c>
      <c r="Y1376" s="3" t="b">
        <f t="shared" si="69"/>
        <v>0</v>
      </c>
    </row>
    <row r="1377" spans="14:25">
      <c r="N1377" s="34"/>
      <c r="O1377" s="34"/>
      <c r="P1377" s="34"/>
      <c r="Q1377" s="34"/>
      <c r="R1377" s="34"/>
      <c r="S1377" s="38"/>
      <c r="T1377" s="38"/>
      <c r="U1377" s="34"/>
      <c r="V1377" s="255"/>
      <c r="W1377" s="34"/>
      <c r="X1377" s="3" t="b">
        <f t="shared" si="68"/>
        <v>0</v>
      </c>
      <c r="Y1377" s="3" t="b">
        <f t="shared" si="69"/>
        <v>0</v>
      </c>
    </row>
    <row r="1378" spans="14:25">
      <c r="N1378" s="34"/>
      <c r="O1378" s="34"/>
      <c r="P1378" s="34"/>
      <c r="Q1378" s="34"/>
      <c r="R1378" s="34"/>
      <c r="S1378" s="38"/>
      <c r="T1378" s="38"/>
      <c r="U1378" s="34"/>
      <c r="V1378" s="255"/>
      <c r="W1378" s="34"/>
      <c r="X1378" s="3" t="b">
        <f t="shared" si="68"/>
        <v>0</v>
      </c>
      <c r="Y1378" s="3" t="b">
        <f t="shared" si="69"/>
        <v>0</v>
      </c>
    </row>
    <row r="1379" spans="14:25">
      <c r="N1379" s="34"/>
      <c r="O1379" s="34"/>
      <c r="P1379" s="34"/>
      <c r="Q1379" s="34"/>
      <c r="R1379" s="34"/>
      <c r="S1379" s="38"/>
      <c r="T1379" s="38"/>
      <c r="U1379" s="34"/>
      <c r="V1379" s="255"/>
      <c r="W1379" s="34"/>
      <c r="X1379" s="3" t="b">
        <f t="shared" si="68"/>
        <v>0</v>
      </c>
      <c r="Y1379" s="3" t="b">
        <f t="shared" si="69"/>
        <v>0</v>
      </c>
    </row>
    <row r="1380" spans="14:25">
      <c r="N1380" s="34"/>
      <c r="O1380" s="34"/>
      <c r="P1380" s="34"/>
      <c r="Q1380" s="34"/>
      <c r="R1380" s="34"/>
      <c r="S1380" s="38"/>
      <c r="T1380" s="38"/>
      <c r="U1380" s="34"/>
      <c r="V1380" s="255"/>
      <c r="W1380" s="34"/>
      <c r="X1380" s="3" t="b">
        <f t="shared" si="68"/>
        <v>0</v>
      </c>
      <c r="Y1380" s="3" t="b">
        <f t="shared" si="69"/>
        <v>0</v>
      </c>
    </row>
    <row r="1381" spans="14:25">
      <c r="N1381" s="34"/>
      <c r="O1381" s="34"/>
      <c r="P1381" s="34"/>
      <c r="Q1381" s="34"/>
      <c r="R1381" s="34"/>
      <c r="S1381" s="38"/>
      <c r="T1381" s="38"/>
      <c r="U1381" s="34"/>
      <c r="V1381" s="255"/>
      <c r="W1381" s="34"/>
      <c r="X1381" s="3" t="b">
        <f t="shared" si="68"/>
        <v>0</v>
      </c>
      <c r="Y1381" s="3" t="b">
        <f t="shared" si="69"/>
        <v>0</v>
      </c>
    </row>
    <row r="1382" spans="14:25">
      <c r="N1382" s="34"/>
      <c r="O1382" s="34"/>
      <c r="P1382" s="34"/>
      <c r="Q1382" s="34"/>
      <c r="R1382" s="34"/>
      <c r="S1382" s="38"/>
      <c r="T1382" s="38"/>
      <c r="U1382" s="34"/>
      <c r="V1382" s="255"/>
      <c r="W1382" s="34"/>
      <c r="X1382" s="3" t="b">
        <f t="shared" si="68"/>
        <v>0</v>
      </c>
      <c r="Y1382" s="3" t="b">
        <f t="shared" si="69"/>
        <v>0</v>
      </c>
    </row>
    <row r="1383" spans="14:25">
      <c r="N1383" s="34"/>
      <c r="O1383" s="34"/>
      <c r="P1383" s="34"/>
      <c r="Q1383" s="34"/>
      <c r="R1383" s="34"/>
      <c r="S1383" s="38"/>
      <c r="T1383" s="38"/>
      <c r="U1383" s="34"/>
      <c r="V1383" s="255"/>
      <c r="W1383" s="34"/>
      <c r="X1383" s="3" t="b">
        <f t="shared" si="68"/>
        <v>0</v>
      </c>
      <c r="Y1383" s="3" t="b">
        <f t="shared" si="69"/>
        <v>0</v>
      </c>
    </row>
    <row r="1384" spans="14:25">
      <c r="N1384" s="34"/>
      <c r="O1384" s="34"/>
      <c r="P1384" s="34"/>
      <c r="Q1384" s="34"/>
      <c r="R1384" s="34"/>
      <c r="S1384" s="38"/>
      <c r="T1384" s="38"/>
      <c r="U1384" s="34"/>
      <c r="V1384" s="255"/>
      <c r="W1384" s="34"/>
      <c r="X1384" s="3" t="b">
        <f t="shared" si="68"/>
        <v>0</v>
      </c>
      <c r="Y1384" s="3" t="b">
        <f t="shared" si="69"/>
        <v>0</v>
      </c>
    </row>
    <row r="1385" spans="14:25">
      <c r="N1385" s="34"/>
      <c r="O1385" s="34"/>
      <c r="P1385" s="34"/>
      <c r="Q1385" s="34"/>
      <c r="R1385" s="34"/>
      <c r="S1385" s="38"/>
      <c r="T1385" s="38"/>
      <c r="U1385" s="34"/>
      <c r="V1385" s="255"/>
      <c r="W1385" s="34"/>
      <c r="X1385" s="3" t="b">
        <f t="shared" si="68"/>
        <v>0</v>
      </c>
      <c r="Y1385" s="3" t="b">
        <f t="shared" si="69"/>
        <v>0</v>
      </c>
    </row>
    <row r="1386" spans="14:25">
      <c r="N1386" s="34"/>
      <c r="O1386" s="34"/>
      <c r="P1386" s="34"/>
      <c r="Q1386" s="34"/>
      <c r="R1386" s="34"/>
      <c r="S1386" s="38"/>
      <c r="T1386" s="38"/>
      <c r="U1386" s="34"/>
      <c r="V1386" s="255"/>
      <c r="W1386" s="34"/>
      <c r="X1386" s="3" t="b">
        <f t="shared" si="68"/>
        <v>0</v>
      </c>
      <c r="Y1386" s="3" t="b">
        <f t="shared" si="69"/>
        <v>0</v>
      </c>
    </row>
    <row r="1387" spans="14:25">
      <c r="N1387" s="34"/>
      <c r="O1387" s="34"/>
      <c r="P1387" s="34"/>
      <c r="Q1387" s="34"/>
      <c r="R1387" s="34"/>
      <c r="S1387" s="38"/>
      <c r="T1387" s="38"/>
      <c r="U1387" s="34"/>
      <c r="V1387" s="255"/>
      <c r="W1387" s="34"/>
      <c r="X1387" s="3" t="b">
        <f t="shared" si="68"/>
        <v>0</v>
      </c>
      <c r="Y1387" s="3" t="b">
        <f t="shared" si="69"/>
        <v>0</v>
      </c>
    </row>
    <row r="1388" spans="14:25">
      <c r="N1388" s="34"/>
      <c r="O1388" s="34"/>
      <c r="P1388" s="34"/>
      <c r="Q1388" s="34"/>
      <c r="R1388" s="34"/>
      <c r="S1388" s="38"/>
      <c r="T1388" s="38"/>
      <c r="U1388" s="34"/>
      <c r="V1388" s="255"/>
      <c r="W1388" s="34"/>
      <c r="X1388" s="3" t="b">
        <f t="shared" ref="X1388:X1451" si="70">IF(OR(Q1388="Stock to Rack",Q1388="From Stock"),-P1388,IF(OR(Q1388="Rack to Stock",Q1388="To Stock"),P1388))</f>
        <v>0</v>
      </c>
      <c r="Y1388" s="3" t="b">
        <f t="shared" ref="Y1388:Y1451" si="71">IF(Q1388="Rack to Stock",-P1388,IF(Q1388="Stock to Rack",P1388))</f>
        <v>0</v>
      </c>
    </row>
    <row r="1389" spans="14:25">
      <c r="N1389" s="34"/>
      <c r="O1389" s="34"/>
      <c r="P1389" s="34"/>
      <c r="Q1389" s="34"/>
      <c r="R1389" s="34"/>
      <c r="S1389" s="38"/>
      <c r="T1389" s="38"/>
      <c r="U1389" s="34"/>
      <c r="V1389" s="255"/>
      <c r="W1389" s="34"/>
      <c r="X1389" s="3" t="b">
        <f t="shared" si="70"/>
        <v>0</v>
      </c>
      <c r="Y1389" s="3" t="b">
        <f t="shared" si="71"/>
        <v>0</v>
      </c>
    </row>
    <row r="1390" spans="14:25">
      <c r="N1390" s="34"/>
      <c r="O1390" s="34"/>
      <c r="P1390" s="34"/>
      <c r="Q1390" s="34"/>
      <c r="R1390" s="34"/>
      <c r="S1390" s="38"/>
      <c r="T1390" s="38"/>
      <c r="U1390" s="34"/>
      <c r="V1390" s="255"/>
      <c r="W1390" s="34"/>
      <c r="X1390" s="3" t="b">
        <f t="shared" si="70"/>
        <v>0</v>
      </c>
      <c r="Y1390" s="3" t="b">
        <f t="shared" si="71"/>
        <v>0</v>
      </c>
    </row>
    <row r="1391" spans="14:25">
      <c r="N1391" s="34"/>
      <c r="O1391" s="34"/>
      <c r="P1391" s="34"/>
      <c r="Q1391" s="34"/>
      <c r="R1391" s="34"/>
      <c r="S1391" s="38"/>
      <c r="T1391" s="38"/>
      <c r="U1391" s="34"/>
      <c r="V1391" s="255"/>
      <c r="W1391" s="34"/>
      <c r="X1391" s="3" t="b">
        <f t="shared" si="70"/>
        <v>0</v>
      </c>
      <c r="Y1391" s="3" t="b">
        <f t="shared" si="71"/>
        <v>0</v>
      </c>
    </row>
    <row r="1392" spans="14:25">
      <c r="N1392" s="34"/>
      <c r="O1392" s="34"/>
      <c r="P1392" s="34"/>
      <c r="Q1392" s="34"/>
      <c r="R1392" s="34"/>
      <c r="S1392" s="38"/>
      <c r="T1392" s="38"/>
      <c r="U1392" s="34"/>
      <c r="V1392" s="255"/>
      <c r="W1392" s="34"/>
      <c r="X1392" s="3" t="b">
        <f t="shared" si="70"/>
        <v>0</v>
      </c>
      <c r="Y1392" s="3" t="b">
        <f t="shared" si="71"/>
        <v>0</v>
      </c>
    </row>
    <row r="1393" spans="14:25">
      <c r="N1393" s="34"/>
      <c r="O1393" s="34"/>
      <c r="P1393" s="34"/>
      <c r="Q1393" s="34"/>
      <c r="R1393" s="34"/>
      <c r="S1393" s="38"/>
      <c r="T1393" s="38"/>
      <c r="U1393" s="34"/>
      <c r="V1393" s="255"/>
      <c r="W1393" s="34"/>
      <c r="X1393" s="3" t="b">
        <f t="shared" si="70"/>
        <v>0</v>
      </c>
      <c r="Y1393" s="3" t="b">
        <f t="shared" si="71"/>
        <v>0</v>
      </c>
    </row>
    <row r="1394" spans="14:25">
      <c r="N1394" s="34"/>
      <c r="O1394" s="34"/>
      <c r="P1394" s="34"/>
      <c r="Q1394" s="34"/>
      <c r="R1394" s="34"/>
      <c r="S1394" s="38"/>
      <c r="T1394" s="38"/>
      <c r="U1394" s="34"/>
      <c r="V1394" s="255"/>
      <c r="W1394" s="34"/>
      <c r="X1394" s="3" t="b">
        <f t="shared" si="70"/>
        <v>0</v>
      </c>
      <c r="Y1394" s="3" t="b">
        <f t="shared" si="71"/>
        <v>0</v>
      </c>
    </row>
    <row r="1395" spans="14:25">
      <c r="N1395" s="34"/>
      <c r="O1395" s="34"/>
      <c r="P1395" s="34"/>
      <c r="Q1395" s="34"/>
      <c r="R1395" s="34"/>
      <c r="S1395" s="38"/>
      <c r="T1395" s="38"/>
      <c r="U1395" s="34"/>
      <c r="V1395" s="255"/>
      <c r="W1395" s="34"/>
      <c r="X1395" s="3" t="b">
        <f t="shared" si="70"/>
        <v>0</v>
      </c>
      <c r="Y1395" s="3" t="b">
        <f t="shared" si="71"/>
        <v>0</v>
      </c>
    </row>
    <row r="1396" spans="14:25">
      <c r="N1396" s="34"/>
      <c r="O1396" s="34"/>
      <c r="P1396" s="34"/>
      <c r="Q1396" s="34"/>
      <c r="R1396" s="34"/>
      <c r="S1396" s="38"/>
      <c r="T1396" s="38"/>
      <c r="U1396" s="34"/>
      <c r="V1396" s="255"/>
      <c r="W1396" s="34"/>
      <c r="X1396" s="3" t="b">
        <f t="shared" si="70"/>
        <v>0</v>
      </c>
      <c r="Y1396" s="3" t="b">
        <f t="shared" si="71"/>
        <v>0</v>
      </c>
    </row>
    <row r="1397" spans="14:25">
      <c r="N1397" s="34"/>
      <c r="O1397" s="34"/>
      <c r="P1397" s="34"/>
      <c r="Q1397" s="34"/>
      <c r="R1397" s="34"/>
      <c r="S1397" s="38"/>
      <c r="T1397" s="38"/>
      <c r="U1397" s="34"/>
      <c r="V1397" s="255"/>
      <c r="W1397" s="34"/>
      <c r="X1397" s="3" t="b">
        <f t="shared" si="70"/>
        <v>0</v>
      </c>
      <c r="Y1397" s="3" t="b">
        <f t="shared" si="71"/>
        <v>0</v>
      </c>
    </row>
    <row r="1398" spans="14:25">
      <c r="N1398" s="34"/>
      <c r="O1398" s="34"/>
      <c r="P1398" s="34"/>
      <c r="Q1398" s="34"/>
      <c r="R1398" s="34"/>
      <c r="S1398" s="38"/>
      <c r="T1398" s="38"/>
      <c r="U1398" s="34"/>
      <c r="V1398" s="255"/>
      <c r="W1398" s="34"/>
      <c r="X1398" s="3" t="b">
        <f t="shared" si="70"/>
        <v>0</v>
      </c>
      <c r="Y1398" s="3" t="b">
        <f t="shared" si="71"/>
        <v>0</v>
      </c>
    </row>
    <row r="1399" spans="14:25">
      <c r="N1399" s="34"/>
      <c r="O1399" s="34"/>
      <c r="P1399" s="34"/>
      <c r="Q1399" s="34"/>
      <c r="R1399" s="34"/>
      <c r="S1399" s="38"/>
      <c r="T1399" s="38"/>
      <c r="U1399" s="34"/>
      <c r="V1399" s="255"/>
      <c r="W1399" s="34"/>
      <c r="X1399" s="3" t="b">
        <f t="shared" si="70"/>
        <v>0</v>
      </c>
      <c r="Y1399" s="3" t="b">
        <f t="shared" si="71"/>
        <v>0</v>
      </c>
    </row>
    <row r="1400" spans="14:25">
      <c r="N1400" s="34"/>
      <c r="O1400" s="34"/>
      <c r="P1400" s="34"/>
      <c r="Q1400" s="34"/>
      <c r="R1400" s="34"/>
      <c r="S1400" s="38"/>
      <c r="T1400" s="38"/>
      <c r="U1400" s="34"/>
      <c r="V1400" s="255"/>
      <c r="W1400" s="34"/>
      <c r="X1400" s="3" t="b">
        <f t="shared" si="70"/>
        <v>0</v>
      </c>
      <c r="Y1400" s="3" t="b">
        <f t="shared" si="71"/>
        <v>0</v>
      </c>
    </row>
    <row r="1401" spans="14:25">
      <c r="N1401" s="34"/>
      <c r="O1401" s="34"/>
      <c r="P1401" s="34"/>
      <c r="Q1401" s="34"/>
      <c r="R1401" s="34"/>
      <c r="S1401" s="38"/>
      <c r="T1401" s="38"/>
      <c r="U1401" s="34"/>
      <c r="V1401" s="255"/>
      <c r="W1401" s="34"/>
      <c r="X1401" s="3" t="b">
        <f t="shared" si="70"/>
        <v>0</v>
      </c>
      <c r="Y1401" s="3" t="b">
        <f t="shared" si="71"/>
        <v>0</v>
      </c>
    </row>
    <row r="1402" spans="14:25">
      <c r="N1402" s="34"/>
      <c r="O1402" s="34"/>
      <c r="P1402" s="34"/>
      <c r="Q1402" s="34"/>
      <c r="R1402" s="34"/>
      <c r="S1402" s="38"/>
      <c r="T1402" s="38"/>
      <c r="U1402" s="34"/>
      <c r="V1402" s="255"/>
      <c r="W1402" s="34"/>
      <c r="X1402" s="3" t="b">
        <f t="shared" si="70"/>
        <v>0</v>
      </c>
      <c r="Y1402" s="3" t="b">
        <f t="shared" si="71"/>
        <v>0</v>
      </c>
    </row>
    <row r="1403" spans="14:25">
      <c r="N1403" s="34"/>
      <c r="O1403" s="34"/>
      <c r="P1403" s="34"/>
      <c r="Q1403" s="34"/>
      <c r="R1403" s="34"/>
      <c r="S1403" s="38"/>
      <c r="T1403" s="38"/>
      <c r="U1403" s="34"/>
      <c r="V1403" s="255"/>
      <c r="W1403" s="34"/>
      <c r="X1403" s="3" t="b">
        <f t="shared" si="70"/>
        <v>0</v>
      </c>
      <c r="Y1403" s="3" t="b">
        <f t="shared" si="71"/>
        <v>0</v>
      </c>
    </row>
    <row r="1404" spans="14:25">
      <c r="N1404" s="34"/>
      <c r="O1404" s="34"/>
      <c r="P1404" s="34"/>
      <c r="Q1404" s="34"/>
      <c r="R1404" s="34"/>
      <c r="S1404" s="38"/>
      <c r="T1404" s="38"/>
      <c r="U1404" s="34"/>
      <c r="V1404" s="255"/>
      <c r="W1404" s="34"/>
      <c r="X1404" s="3" t="b">
        <f t="shared" si="70"/>
        <v>0</v>
      </c>
      <c r="Y1404" s="3" t="b">
        <f t="shared" si="71"/>
        <v>0</v>
      </c>
    </row>
    <row r="1405" spans="14:25">
      <c r="N1405" s="34"/>
      <c r="O1405" s="34"/>
      <c r="P1405" s="34"/>
      <c r="Q1405" s="34"/>
      <c r="R1405" s="34"/>
      <c r="S1405" s="38"/>
      <c r="T1405" s="38"/>
      <c r="U1405" s="34"/>
      <c r="V1405" s="255"/>
      <c r="W1405" s="34"/>
      <c r="X1405" s="3" t="b">
        <f t="shared" si="70"/>
        <v>0</v>
      </c>
      <c r="Y1405" s="3" t="b">
        <f t="shared" si="71"/>
        <v>0</v>
      </c>
    </row>
    <row r="1406" spans="14:25">
      <c r="N1406" s="34"/>
      <c r="O1406" s="34"/>
      <c r="P1406" s="34"/>
      <c r="Q1406" s="34"/>
      <c r="R1406" s="34"/>
      <c r="S1406" s="38"/>
      <c r="T1406" s="38"/>
      <c r="U1406" s="34"/>
      <c r="V1406" s="255"/>
      <c r="W1406" s="34"/>
      <c r="X1406" s="3" t="b">
        <f t="shared" si="70"/>
        <v>0</v>
      </c>
      <c r="Y1406" s="3" t="b">
        <f t="shared" si="71"/>
        <v>0</v>
      </c>
    </row>
    <row r="1407" spans="14:25">
      <c r="N1407" s="34"/>
      <c r="O1407" s="34"/>
      <c r="P1407" s="34"/>
      <c r="Q1407" s="34"/>
      <c r="R1407" s="34"/>
      <c r="S1407" s="38"/>
      <c r="T1407" s="38"/>
      <c r="U1407" s="34"/>
      <c r="V1407" s="255"/>
      <c r="W1407" s="34"/>
      <c r="X1407" s="3" t="b">
        <f t="shared" si="70"/>
        <v>0</v>
      </c>
      <c r="Y1407" s="3" t="b">
        <f t="shared" si="71"/>
        <v>0</v>
      </c>
    </row>
    <row r="1408" spans="14:25">
      <c r="N1408" s="34"/>
      <c r="O1408" s="34"/>
      <c r="P1408" s="34"/>
      <c r="Q1408" s="34"/>
      <c r="R1408" s="34"/>
      <c r="S1408" s="38"/>
      <c r="T1408" s="38"/>
      <c r="U1408" s="34"/>
      <c r="V1408" s="255"/>
      <c r="W1408" s="34"/>
      <c r="X1408" s="3" t="b">
        <f t="shared" si="70"/>
        <v>0</v>
      </c>
      <c r="Y1408" s="3" t="b">
        <f t="shared" si="71"/>
        <v>0</v>
      </c>
    </row>
    <row r="1409" spans="14:25">
      <c r="N1409" s="34"/>
      <c r="O1409" s="34"/>
      <c r="P1409" s="34"/>
      <c r="Q1409" s="34"/>
      <c r="R1409" s="34"/>
      <c r="S1409" s="38"/>
      <c r="T1409" s="38"/>
      <c r="U1409" s="34"/>
      <c r="V1409" s="255"/>
      <c r="W1409" s="34"/>
      <c r="X1409" s="3" t="b">
        <f t="shared" si="70"/>
        <v>0</v>
      </c>
      <c r="Y1409" s="3" t="b">
        <f t="shared" si="71"/>
        <v>0</v>
      </c>
    </row>
    <row r="1410" spans="14:25">
      <c r="N1410" s="34"/>
      <c r="O1410" s="34"/>
      <c r="P1410" s="34"/>
      <c r="Q1410" s="34"/>
      <c r="R1410" s="34"/>
      <c r="S1410" s="38"/>
      <c r="T1410" s="38"/>
      <c r="U1410" s="34"/>
      <c r="V1410" s="255"/>
      <c r="W1410" s="34"/>
      <c r="X1410" s="3" t="b">
        <f t="shared" si="70"/>
        <v>0</v>
      </c>
      <c r="Y1410" s="3" t="b">
        <f t="shared" si="71"/>
        <v>0</v>
      </c>
    </row>
    <row r="1411" spans="14:25">
      <c r="N1411" s="34"/>
      <c r="O1411" s="34"/>
      <c r="P1411" s="34"/>
      <c r="Q1411" s="34"/>
      <c r="R1411" s="34"/>
      <c r="S1411" s="38"/>
      <c r="T1411" s="38"/>
      <c r="U1411" s="34"/>
      <c r="V1411" s="255"/>
      <c r="W1411" s="34"/>
      <c r="X1411" s="3" t="b">
        <f t="shared" si="70"/>
        <v>0</v>
      </c>
      <c r="Y1411" s="3" t="b">
        <f t="shared" si="71"/>
        <v>0</v>
      </c>
    </row>
    <row r="1412" spans="14:25">
      <c r="N1412" s="34"/>
      <c r="O1412" s="34"/>
      <c r="P1412" s="34"/>
      <c r="Q1412" s="34"/>
      <c r="R1412" s="34"/>
      <c r="S1412" s="38"/>
      <c r="T1412" s="38"/>
      <c r="U1412" s="34"/>
      <c r="V1412" s="255"/>
      <c r="W1412" s="34"/>
      <c r="X1412" s="3" t="b">
        <f t="shared" si="70"/>
        <v>0</v>
      </c>
      <c r="Y1412" s="3" t="b">
        <f t="shared" si="71"/>
        <v>0</v>
      </c>
    </row>
    <row r="1413" spans="14:25">
      <c r="N1413" s="34"/>
      <c r="O1413" s="34"/>
      <c r="P1413" s="34"/>
      <c r="Q1413" s="34"/>
      <c r="R1413" s="34"/>
      <c r="S1413" s="38"/>
      <c r="T1413" s="38"/>
      <c r="U1413" s="34"/>
      <c r="V1413" s="255"/>
      <c r="W1413" s="34"/>
      <c r="X1413" s="3" t="b">
        <f t="shared" si="70"/>
        <v>0</v>
      </c>
      <c r="Y1413" s="3" t="b">
        <f t="shared" si="71"/>
        <v>0</v>
      </c>
    </row>
    <row r="1414" spans="14:25">
      <c r="N1414" s="34"/>
      <c r="O1414" s="34"/>
      <c r="P1414" s="34"/>
      <c r="Q1414" s="34"/>
      <c r="R1414" s="34"/>
      <c r="S1414" s="38"/>
      <c r="T1414" s="38"/>
      <c r="U1414" s="34"/>
      <c r="V1414" s="255"/>
      <c r="W1414" s="34"/>
      <c r="X1414" s="3" t="b">
        <f t="shared" si="70"/>
        <v>0</v>
      </c>
      <c r="Y1414" s="3" t="b">
        <f t="shared" si="71"/>
        <v>0</v>
      </c>
    </row>
    <row r="1415" spans="14:25">
      <c r="N1415" s="34"/>
      <c r="O1415" s="34"/>
      <c r="P1415" s="34"/>
      <c r="Q1415" s="34"/>
      <c r="R1415" s="34"/>
      <c r="S1415" s="38"/>
      <c r="T1415" s="38"/>
      <c r="U1415" s="34"/>
      <c r="V1415" s="255"/>
      <c r="W1415" s="34"/>
      <c r="X1415" s="3" t="b">
        <f t="shared" si="70"/>
        <v>0</v>
      </c>
      <c r="Y1415" s="3" t="b">
        <f t="shared" si="71"/>
        <v>0</v>
      </c>
    </row>
    <row r="1416" spans="14:25">
      <c r="N1416" s="34"/>
      <c r="O1416" s="34"/>
      <c r="P1416" s="34"/>
      <c r="Q1416" s="34"/>
      <c r="R1416" s="34"/>
      <c r="S1416" s="38"/>
      <c r="T1416" s="38"/>
      <c r="U1416" s="34"/>
      <c r="V1416" s="255"/>
      <c r="W1416" s="34"/>
      <c r="X1416" s="3" t="b">
        <f t="shared" si="70"/>
        <v>0</v>
      </c>
      <c r="Y1416" s="3" t="b">
        <f t="shared" si="71"/>
        <v>0</v>
      </c>
    </row>
    <row r="1417" spans="14:25">
      <c r="N1417" s="34"/>
      <c r="O1417" s="34"/>
      <c r="P1417" s="34"/>
      <c r="Q1417" s="34"/>
      <c r="R1417" s="34"/>
      <c r="S1417" s="38"/>
      <c r="T1417" s="38"/>
      <c r="U1417" s="34"/>
      <c r="V1417" s="255"/>
      <c r="W1417" s="34"/>
      <c r="X1417" s="3" t="b">
        <f t="shared" si="70"/>
        <v>0</v>
      </c>
      <c r="Y1417" s="3" t="b">
        <f t="shared" si="71"/>
        <v>0</v>
      </c>
    </row>
    <row r="1418" spans="14:25">
      <c r="N1418" s="34"/>
      <c r="O1418" s="34"/>
      <c r="P1418" s="34"/>
      <c r="Q1418" s="34"/>
      <c r="R1418" s="34"/>
      <c r="S1418" s="38"/>
      <c r="T1418" s="38"/>
      <c r="U1418" s="34"/>
      <c r="V1418" s="255"/>
      <c r="W1418" s="34"/>
      <c r="X1418" s="3" t="b">
        <f t="shared" si="70"/>
        <v>0</v>
      </c>
      <c r="Y1418" s="3" t="b">
        <f t="shared" si="71"/>
        <v>0</v>
      </c>
    </row>
    <row r="1419" spans="14:25">
      <c r="N1419" s="34"/>
      <c r="O1419" s="34"/>
      <c r="P1419" s="34"/>
      <c r="Q1419" s="34"/>
      <c r="R1419" s="34"/>
      <c r="S1419" s="38"/>
      <c r="T1419" s="38"/>
      <c r="U1419" s="34"/>
      <c r="V1419" s="255"/>
      <c r="W1419" s="34"/>
      <c r="X1419" s="3" t="b">
        <f t="shared" si="70"/>
        <v>0</v>
      </c>
      <c r="Y1419" s="3" t="b">
        <f t="shared" si="71"/>
        <v>0</v>
      </c>
    </row>
    <row r="1420" spans="14:25">
      <c r="N1420" s="34"/>
      <c r="O1420" s="34"/>
      <c r="P1420" s="34"/>
      <c r="Q1420" s="34"/>
      <c r="R1420" s="34"/>
      <c r="S1420" s="38"/>
      <c r="T1420" s="38"/>
      <c r="U1420" s="34"/>
      <c r="V1420" s="255"/>
      <c r="W1420" s="34"/>
      <c r="X1420" s="3" t="b">
        <f t="shared" si="70"/>
        <v>0</v>
      </c>
      <c r="Y1420" s="3" t="b">
        <f t="shared" si="71"/>
        <v>0</v>
      </c>
    </row>
    <row r="1421" spans="14:25">
      <c r="N1421" s="34"/>
      <c r="O1421" s="34"/>
      <c r="P1421" s="34"/>
      <c r="Q1421" s="34"/>
      <c r="R1421" s="34"/>
      <c r="S1421" s="38"/>
      <c r="T1421" s="38"/>
      <c r="U1421" s="34"/>
      <c r="V1421" s="255"/>
      <c r="W1421" s="34"/>
      <c r="X1421" s="3" t="b">
        <f t="shared" si="70"/>
        <v>0</v>
      </c>
      <c r="Y1421" s="3" t="b">
        <f t="shared" si="71"/>
        <v>0</v>
      </c>
    </row>
    <row r="1422" spans="14:25">
      <c r="N1422" s="34"/>
      <c r="O1422" s="34"/>
      <c r="P1422" s="34"/>
      <c r="Q1422" s="34"/>
      <c r="R1422" s="34"/>
      <c r="S1422" s="38"/>
      <c r="T1422" s="38"/>
      <c r="U1422" s="34"/>
      <c r="V1422" s="255"/>
      <c r="W1422" s="34"/>
      <c r="X1422" s="3" t="b">
        <f t="shared" si="70"/>
        <v>0</v>
      </c>
      <c r="Y1422" s="3" t="b">
        <f t="shared" si="71"/>
        <v>0</v>
      </c>
    </row>
    <row r="1423" spans="14:25">
      <c r="N1423" s="34"/>
      <c r="O1423" s="34"/>
      <c r="P1423" s="34"/>
      <c r="Q1423" s="34"/>
      <c r="R1423" s="34"/>
      <c r="S1423" s="38"/>
      <c r="T1423" s="38"/>
      <c r="U1423" s="34"/>
      <c r="V1423" s="255"/>
      <c r="W1423" s="34"/>
      <c r="X1423" s="3" t="b">
        <f t="shared" si="70"/>
        <v>0</v>
      </c>
      <c r="Y1423" s="3" t="b">
        <f t="shared" si="71"/>
        <v>0</v>
      </c>
    </row>
    <row r="1424" spans="14:25">
      <c r="N1424" s="34"/>
      <c r="O1424" s="34"/>
      <c r="P1424" s="34"/>
      <c r="Q1424" s="34"/>
      <c r="R1424" s="34"/>
      <c r="S1424" s="38"/>
      <c r="T1424" s="38"/>
      <c r="U1424" s="34"/>
      <c r="V1424" s="255"/>
      <c r="W1424" s="34"/>
      <c r="X1424" s="3" t="b">
        <f t="shared" si="70"/>
        <v>0</v>
      </c>
      <c r="Y1424" s="3" t="b">
        <f t="shared" si="71"/>
        <v>0</v>
      </c>
    </row>
    <row r="1425" spans="14:25">
      <c r="N1425" s="34"/>
      <c r="O1425" s="34"/>
      <c r="P1425" s="34"/>
      <c r="Q1425" s="34"/>
      <c r="R1425" s="34"/>
      <c r="S1425" s="38"/>
      <c r="T1425" s="38"/>
      <c r="U1425" s="34"/>
      <c r="V1425" s="255"/>
      <c r="W1425" s="34"/>
      <c r="X1425" s="3" t="b">
        <f t="shared" si="70"/>
        <v>0</v>
      </c>
      <c r="Y1425" s="3" t="b">
        <f t="shared" si="71"/>
        <v>0</v>
      </c>
    </row>
    <row r="1426" spans="14:25">
      <c r="N1426" s="34"/>
      <c r="O1426" s="34"/>
      <c r="P1426" s="34"/>
      <c r="Q1426" s="34"/>
      <c r="R1426" s="34"/>
      <c r="S1426" s="38"/>
      <c r="T1426" s="38"/>
      <c r="U1426" s="34"/>
      <c r="V1426" s="255"/>
      <c r="W1426" s="34"/>
      <c r="X1426" s="3" t="b">
        <f t="shared" si="70"/>
        <v>0</v>
      </c>
      <c r="Y1426" s="3" t="b">
        <f t="shared" si="71"/>
        <v>0</v>
      </c>
    </row>
    <row r="1427" spans="14:25">
      <c r="N1427" s="34"/>
      <c r="O1427" s="34"/>
      <c r="P1427" s="34"/>
      <c r="Q1427" s="34"/>
      <c r="R1427" s="34"/>
      <c r="S1427" s="38"/>
      <c r="T1427" s="38"/>
      <c r="U1427" s="34"/>
      <c r="V1427" s="255"/>
      <c r="W1427" s="34"/>
      <c r="X1427" s="3" t="b">
        <f t="shared" si="70"/>
        <v>0</v>
      </c>
      <c r="Y1427" s="3" t="b">
        <f t="shared" si="71"/>
        <v>0</v>
      </c>
    </row>
    <row r="1428" spans="14:25">
      <c r="N1428" s="34"/>
      <c r="O1428" s="34"/>
      <c r="P1428" s="34"/>
      <c r="Q1428" s="34"/>
      <c r="R1428" s="34"/>
      <c r="S1428" s="38"/>
      <c r="T1428" s="38"/>
      <c r="U1428" s="34"/>
      <c r="V1428" s="255"/>
      <c r="W1428" s="34"/>
      <c r="X1428" s="3" t="b">
        <f t="shared" si="70"/>
        <v>0</v>
      </c>
      <c r="Y1428" s="3" t="b">
        <f t="shared" si="71"/>
        <v>0</v>
      </c>
    </row>
    <row r="1429" spans="14:25">
      <c r="N1429" s="34"/>
      <c r="O1429" s="34"/>
      <c r="P1429" s="34"/>
      <c r="Q1429" s="34"/>
      <c r="R1429" s="34"/>
      <c r="S1429" s="38"/>
      <c r="T1429" s="38"/>
      <c r="U1429" s="34"/>
      <c r="V1429" s="255"/>
      <c r="W1429" s="34"/>
      <c r="X1429" s="3" t="b">
        <f t="shared" si="70"/>
        <v>0</v>
      </c>
      <c r="Y1429" s="3" t="b">
        <f t="shared" si="71"/>
        <v>0</v>
      </c>
    </row>
    <row r="1430" spans="14:25">
      <c r="N1430" s="34"/>
      <c r="O1430" s="34"/>
      <c r="P1430" s="34"/>
      <c r="Q1430" s="34"/>
      <c r="R1430" s="34"/>
      <c r="S1430" s="38"/>
      <c r="T1430" s="38"/>
      <c r="U1430" s="34"/>
      <c r="V1430" s="255"/>
      <c r="W1430" s="34"/>
      <c r="X1430" s="3" t="b">
        <f t="shared" si="70"/>
        <v>0</v>
      </c>
      <c r="Y1430" s="3" t="b">
        <f t="shared" si="71"/>
        <v>0</v>
      </c>
    </row>
    <row r="1431" spans="14:25">
      <c r="N1431" s="34"/>
      <c r="O1431" s="34"/>
      <c r="P1431" s="34"/>
      <c r="Q1431" s="34"/>
      <c r="R1431" s="34"/>
      <c r="S1431" s="38"/>
      <c r="T1431" s="38"/>
      <c r="U1431" s="34"/>
      <c r="V1431" s="255"/>
      <c r="W1431" s="34"/>
      <c r="X1431" s="3" t="b">
        <f t="shared" si="70"/>
        <v>0</v>
      </c>
      <c r="Y1431" s="3" t="b">
        <f t="shared" si="71"/>
        <v>0</v>
      </c>
    </row>
    <row r="1432" spans="14:25">
      <c r="N1432" s="34"/>
      <c r="O1432" s="34"/>
      <c r="P1432" s="34"/>
      <c r="Q1432" s="34"/>
      <c r="R1432" s="34"/>
      <c r="S1432" s="38"/>
      <c r="T1432" s="38"/>
      <c r="U1432" s="34"/>
      <c r="V1432" s="255"/>
      <c r="W1432" s="34"/>
      <c r="X1432" s="3" t="b">
        <f t="shared" si="70"/>
        <v>0</v>
      </c>
      <c r="Y1432" s="3" t="b">
        <f t="shared" si="71"/>
        <v>0</v>
      </c>
    </row>
    <row r="1433" spans="14:25">
      <c r="N1433" s="34"/>
      <c r="O1433" s="34"/>
      <c r="P1433" s="34"/>
      <c r="Q1433" s="34"/>
      <c r="R1433" s="34"/>
      <c r="S1433" s="38"/>
      <c r="T1433" s="38"/>
      <c r="U1433" s="34"/>
      <c r="V1433" s="255"/>
      <c r="W1433" s="34"/>
      <c r="X1433" s="3" t="b">
        <f t="shared" si="70"/>
        <v>0</v>
      </c>
      <c r="Y1433" s="3" t="b">
        <f t="shared" si="71"/>
        <v>0</v>
      </c>
    </row>
    <row r="1434" spans="14:25">
      <c r="N1434" s="34"/>
      <c r="O1434" s="34"/>
      <c r="P1434" s="34"/>
      <c r="Q1434" s="34"/>
      <c r="R1434" s="34"/>
      <c r="S1434" s="38"/>
      <c r="T1434" s="38"/>
      <c r="U1434" s="34"/>
      <c r="V1434" s="255"/>
      <c r="W1434" s="34"/>
      <c r="X1434" s="3" t="b">
        <f t="shared" si="70"/>
        <v>0</v>
      </c>
      <c r="Y1434" s="3" t="b">
        <f t="shared" si="71"/>
        <v>0</v>
      </c>
    </row>
    <row r="1435" spans="14:25">
      <c r="N1435" s="34"/>
      <c r="O1435" s="34"/>
      <c r="P1435" s="34"/>
      <c r="Q1435" s="34"/>
      <c r="R1435" s="34"/>
      <c r="S1435" s="38"/>
      <c r="T1435" s="38"/>
      <c r="U1435" s="34"/>
      <c r="V1435" s="255"/>
      <c r="W1435" s="34"/>
      <c r="X1435" s="3" t="b">
        <f t="shared" si="70"/>
        <v>0</v>
      </c>
      <c r="Y1435" s="3" t="b">
        <f t="shared" si="71"/>
        <v>0</v>
      </c>
    </row>
    <row r="1436" spans="14:25">
      <c r="N1436" s="34"/>
      <c r="O1436" s="34"/>
      <c r="P1436" s="34"/>
      <c r="Q1436" s="34"/>
      <c r="R1436" s="34"/>
      <c r="S1436" s="38"/>
      <c r="T1436" s="38"/>
      <c r="U1436" s="34"/>
      <c r="V1436" s="255"/>
      <c r="W1436" s="34"/>
      <c r="X1436" s="3" t="b">
        <f t="shared" si="70"/>
        <v>0</v>
      </c>
      <c r="Y1436" s="3" t="b">
        <f t="shared" si="71"/>
        <v>0</v>
      </c>
    </row>
    <row r="1437" spans="14:25">
      <c r="N1437" s="34"/>
      <c r="O1437" s="34"/>
      <c r="P1437" s="34"/>
      <c r="Q1437" s="34"/>
      <c r="R1437" s="34"/>
      <c r="S1437" s="38"/>
      <c r="T1437" s="38"/>
      <c r="U1437" s="34"/>
      <c r="V1437" s="255"/>
      <c r="W1437" s="34"/>
      <c r="X1437" s="3" t="b">
        <f t="shared" si="70"/>
        <v>0</v>
      </c>
      <c r="Y1437" s="3" t="b">
        <f t="shared" si="71"/>
        <v>0</v>
      </c>
    </row>
    <row r="1438" spans="14:25">
      <c r="N1438" s="34"/>
      <c r="O1438" s="34"/>
      <c r="P1438" s="34"/>
      <c r="Q1438" s="34"/>
      <c r="R1438" s="34"/>
      <c r="S1438" s="38"/>
      <c r="T1438" s="38"/>
      <c r="U1438" s="34"/>
      <c r="V1438" s="255"/>
      <c r="W1438" s="34"/>
      <c r="X1438" s="3" t="b">
        <f t="shared" si="70"/>
        <v>0</v>
      </c>
      <c r="Y1438" s="3" t="b">
        <f t="shared" si="71"/>
        <v>0</v>
      </c>
    </row>
    <row r="1439" spans="14:25">
      <c r="N1439" s="34"/>
      <c r="O1439" s="34"/>
      <c r="P1439" s="34"/>
      <c r="Q1439" s="34"/>
      <c r="R1439" s="34"/>
      <c r="S1439" s="38"/>
      <c r="T1439" s="38"/>
      <c r="U1439" s="34"/>
      <c r="V1439" s="255"/>
      <c r="W1439" s="34"/>
      <c r="X1439" s="3" t="b">
        <f t="shared" si="70"/>
        <v>0</v>
      </c>
      <c r="Y1439" s="3" t="b">
        <f t="shared" si="71"/>
        <v>0</v>
      </c>
    </row>
    <row r="1440" spans="14:25">
      <c r="N1440" s="34"/>
      <c r="O1440" s="34"/>
      <c r="P1440" s="34"/>
      <c r="Q1440" s="34"/>
      <c r="R1440" s="34"/>
      <c r="S1440" s="38"/>
      <c r="T1440" s="38"/>
      <c r="U1440" s="34"/>
      <c r="V1440" s="255"/>
      <c r="W1440" s="34"/>
      <c r="X1440" s="3" t="b">
        <f t="shared" si="70"/>
        <v>0</v>
      </c>
      <c r="Y1440" s="3" t="b">
        <f t="shared" si="71"/>
        <v>0</v>
      </c>
    </row>
    <row r="1441" spans="14:25">
      <c r="N1441" s="34"/>
      <c r="O1441" s="34"/>
      <c r="P1441" s="34"/>
      <c r="Q1441" s="34"/>
      <c r="R1441" s="34"/>
      <c r="S1441" s="38"/>
      <c r="T1441" s="38"/>
      <c r="U1441" s="34"/>
      <c r="V1441" s="255"/>
      <c r="W1441" s="34"/>
      <c r="X1441" s="3" t="b">
        <f t="shared" si="70"/>
        <v>0</v>
      </c>
      <c r="Y1441" s="3" t="b">
        <f t="shared" si="71"/>
        <v>0</v>
      </c>
    </row>
    <row r="1442" spans="14:25">
      <c r="N1442" s="34"/>
      <c r="O1442" s="34"/>
      <c r="P1442" s="34"/>
      <c r="Q1442" s="34"/>
      <c r="R1442" s="34"/>
      <c r="S1442" s="38"/>
      <c r="T1442" s="38"/>
      <c r="U1442" s="34"/>
      <c r="V1442" s="255"/>
      <c r="W1442" s="34"/>
      <c r="X1442" s="3" t="b">
        <f t="shared" si="70"/>
        <v>0</v>
      </c>
      <c r="Y1442" s="3" t="b">
        <f t="shared" si="71"/>
        <v>0</v>
      </c>
    </row>
    <row r="1443" spans="14:25">
      <c r="N1443" s="34"/>
      <c r="O1443" s="34"/>
      <c r="P1443" s="34"/>
      <c r="Q1443" s="34"/>
      <c r="R1443" s="34"/>
      <c r="S1443" s="38"/>
      <c r="T1443" s="38"/>
      <c r="U1443" s="34"/>
      <c r="V1443" s="255"/>
      <c r="W1443" s="34"/>
      <c r="X1443" s="3" t="b">
        <f t="shared" si="70"/>
        <v>0</v>
      </c>
      <c r="Y1443" s="3" t="b">
        <f t="shared" si="71"/>
        <v>0</v>
      </c>
    </row>
    <row r="1444" spans="14:25">
      <c r="N1444" s="34"/>
      <c r="O1444" s="34"/>
      <c r="P1444" s="34"/>
      <c r="Q1444" s="34"/>
      <c r="R1444" s="34"/>
      <c r="S1444" s="38"/>
      <c r="T1444" s="38"/>
      <c r="U1444" s="34"/>
      <c r="V1444" s="255"/>
      <c r="W1444" s="34"/>
      <c r="X1444" s="3" t="b">
        <f t="shared" si="70"/>
        <v>0</v>
      </c>
      <c r="Y1444" s="3" t="b">
        <f t="shared" si="71"/>
        <v>0</v>
      </c>
    </row>
    <row r="1445" spans="14:25">
      <c r="N1445" s="34"/>
      <c r="O1445" s="34"/>
      <c r="P1445" s="34"/>
      <c r="Q1445" s="34"/>
      <c r="R1445" s="34"/>
      <c r="S1445" s="38"/>
      <c r="T1445" s="38"/>
      <c r="U1445" s="34"/>
      <c r="V1445" s="255"/>
      <c r="W1445" s="34"/>
      <c r="X1445" s="3" t="b">
        <f t="shared" si="70"/>
        <v>0</v>
      </c>
      <c r="Y1445" s="3" t="b">
        <f t="shared" si="71"/>
        <v>0</v>
      </c>
    </row>
    <row r="1446" spans="14:25">
      <c r="N1446" s="34"/>
      <c r="O1446" s="34"/>
      <c r="P1446" s="34"/>
      <c r="Q1446" s="34"/>
      <c r="R1446" s="34"/>
      <c r="S1446" s="38"/>
      <c r="T1446" s="38"/>
      <c r="U1446" s="34"/>
      <c r="V1446" s="255"/>
      <c r="W1446" s="34"/>
      <c r="X1446" s="3" t="b">
        <f t="shared" si="70"/>
        <v>0</v>
      </c>
      <c r="Y1446" s="3" t="b">
        <f t="shared" si="71"/>
        <v>0</v>
      </c>
    </row>
    <row r="1447" spans="14:25">
      <c r="N1447" s="34"/>
      <c r="O1447" s="34"/>
      <c r="P1447" s="34"/>
      <c r="Q1447" s="34"/>
      <c r="R1447" s="34"/>
      <c r="S1447" s="38"/>
      <c r="T1447" s="38"/>
      <c r="U1447" s="34"/>
      <c r="V1447" s="255"/>
      <c r="W1447" s="34"/>
      <c r="X1447" s="3" t="b">
        <f t="shared" si="70"/>
        <v>0</v>
      </c>
      <c r="Y1447" s="3" t="b">
        <f t="shared" si="71"/>
        <v>0</v>
      </c>
    </row>
    <row r="1448" spans="14:25">
      <c r="N1448" s="34"/>
      <c r="O1448" s="34"/>
      <c r="P1448" s="34"/>
      <c r="Q1448" s="34"/>
      <c r="R1448" s="34"/>
      <c r="S1448" s="38"/>
      <c r="T1448" s="38"/>
      <c r="U1448" s="34"/>
      <c r="V1448" s="255"/>
      <c r="W1448" s="34"/>
      <c r="X1448" s="3" t="b">
        <f t="shared" si="70"/>
        <v>0</v>
      </c>
      <c r="Y1448" s="3" t="b">
        <f t="shared" si="71"/>
        <v>0</v>
      </c>
    </row>
    <row r="1449" spans="14:25">
      <c r="N1449" s="34"/>
      <c r="O1449" s="34"/>
      <c r="P1449" s="34"/>
      <c r="Q1449" s="34"/>
      <c r="R1449" s="34"/>
      <c r="S1449" s="38"/>
      <c r="T1449" s="38"/>
      <c r="U1449" s="34"/>
      <c r="V1449" s="255"/>
      <c r="W1449" s="34"/>
      <c r="X1449" s="3" t="b">
        <f t="shared" si="70"/>
        <v>0</v>
      </c>
      <c r="Y1449" s="3" t="b">
        <f t="shared" si="71"/>
        <v>0</v>
      </c>
    </row>
    <row r="1450" spans="14:25">
      <c r="N1450" s="34"/>
      <c r="O1450" s="34"/>
      <c r="P1450" s="34"/>
      <c r="Q1450" s="34"/>
      <c r="R1450" s="34"/>
      <c r="S1450" s="38"/>
      <c r="T1450" s="38"/>
      <c r="U1450" s="34"/>
      <c r="V1450" s="255"/>
      <c r="W1450" s="34"/>
      <c r="X1450" s="3" t="b">
        <f t="shared" si="70"/>
        <v>0</v>
      </c>
      <c r="Y1450" s="3" t="b">
        <f t="shared" si="71"/>
        <v>0</v>
      </c>
    </row>
    <row r="1451" spans="14:25">
      <c r="N1451" s="34"/>
      <c r="O1451" s="34"/>
      <c r="P1451" s="34"/>
      <c r="Q1451" s="34"/>
      <c r="R1451" s="34"/>
      <c r="S1451" s="38"/>
      <c r="T1451" s="38"/>
      <c r="U1451" s="34"/>
      <c r="V1451" s="255"/>
      <c r="W1451" s="34"/>
      <c r="X1451" s="3" t="b">
        <f t="shared" si="70"/>
        <v>0</v>
      </c>
      <c r="Y1451" s="3" t="b">
        <f t="shared" si="71"/>
        <v>0</v>
      </c>
    </row>
    <row r="1452" spans="14:25">
      <c r="N1452" s="34"/>
      <c r="O1452" s="34"/>
      <c r="P1452" s="34"/>
      <c r="Q1452" s="34"/>
      <c r="R1452" s="34"/>
      <c r="S1452" s="38"/>
      <c r="T1452" s="38"/>
      <c r="U1452" s="34"/>
      <c r="V1452" s="255"/>
      <c r="W1452" s="34"/>
      <c r="X1452" s="3" t="b">
        <f t="shared" ref="X1452:X1507" si="72">IF(OR(Q1452="Stock to Rack",Q1452="From Stock"),-P1452,IF(OR(Q1452="Rack to Stock",Q1452="To Stock"),P1452))</f>
        <v>0</v>
      </c>
      <c r="Y1452" s="3" t="b">
        <f t="shared" ref="Y1452:Y1507" si="73">IF(Q1452="Rack to Stock",-P1452,IF(Q1452="Stock to Rack",P1452))</f>
        <v>0</v>
      </c>
    </row>
    <row r="1453" spans="14:25">
      <c r="N1453" s="34"/>
      <c r="O1453" s="34"/>
      <c r="P1453" s="34"/>
      <c r="Q1453" s="34"/>
      <c r="R1453" s="34"/>
      <c r="S1453" s="38"/>
      <c r="T1453" s="38"/>
      <c r="U1453" s="34"/>
      <c r="V1453" s="255"/>
      <c r="W1453" s="34"/>
      <c r="X1453" s="3" t="b">
        <f t="shared" si="72"/>
        <v>0</v>
      </c>
      <c r="Y1453" s="3" t="b">
        <f t="shared" si="73"/>
        <v>0</v>
      </c>
    </row>
    <row r="1454" spans="14:25">
      <c r="N1454" s="34"/>
      <c r="O1454" s="34"/>
      <c r="P1454" s="34"/>
      <c r="Q1454" s="34"/>
      <c r="R1454" s="34"/>
      <c r="S1454" s="38"/>
      <c r="T1454" s="38"/>
      <c r="U1454" s="34"/>
      <c r="V1454" s="255"/>
      <c r="W1454" s="34"/>
      <c r="X1454" s="3" t="b">
        <f t="shared" si="72"/>
        <v>0</v>
      </c>
      <c r="Y1454" s="3" t="b">
        <f t="shared" si="73"/>
        <v>0</v>
      </c>
    </row>
    <row r="1455" spans="14:25">
      <c r="N1455" s="34"/>
      <c r="O1455" s="34"/>
      <c r="P1455" s="34"/>
      <c r="Q1455" s="34"/>
      <c r="R1455" s="34"/>
      <c r="S1455" s="38"/>
      <c r="T1455" s="38"/>
      <c r="U1455" s="34"/>
      <c r="V1455" s="255"/>
      <c r="W1455" s="34"/>
      <c r="X1455" s="3" t="b">
        <f t="shared" si="72"/>
        <v>0</v>
      </c>
      <c r="Y1455" s="3" t="b">
        <f t="shared" si="73"/>
        <v>0</v>
      </c>
    </row>
    <row r="1456" spans="14:25">
      <c r="N1456" s="34"/>
      <c r="O1456" s="34"/>
      <c r="P1456" s="34"/>
      <c r="Q1456" s="34"/>
      <c r="R1456" s="34"/>
      <c r="S1456" s="38"/>
      <c r="T1456" s="38"/>
      <c r="U1456" s="34"/>
      <c r="V1456" s="255"/>
      <c r="W1456" s="34"/>
      <c r="X1456" s="3" t="b">
        <f t="shared" si="72"/>
        <v>0</v>
      </c>
      <c r="Y1456" s="3" t="b">
        <f t="shared" si="73"/>
        <v>0</v>
      </c>
    </row>
    <row r="1457" spans="14:25">
      <c r="N1457" s="34"/>
      <c r="O1457" s="34"/>
      <c r="P1457" s="34"/>
      <c r="Q1457" s="34"/>
      <c r="R1457" s="34"/>
      <c r="S1457" s="38"/>
      <c r="T1457" s="38"/>
      <c r="U1457" s="34"/>
      <c r="V1457" s="255"/>
      <c r="W1457" s="34"/>
      <c r="X1457" s="3" t="b">
        <f t="shared" si="72"/>
        <v>0</v>
      </c>
      <c r="Y1457" s="3" t="b">
        <f t="shared" si="73"/>
        <v>0</v>
      </c>
    </row>
    <row r="1458" spans="14:25">
      <c r="N1458" s="34"/>
      <c r="O1458" s="34"/>
      <c r="P1458" s="34"/>
      <c r="Q1458" s="34"/>
      <c r="R1458" s="34"/>
      <c r="S1458" s="38"/>
      <c r="T1458" s="38"/>
      <c r="U1458" s="34"/>
      <c r="V1458" s="255"/>
      <c r="W1458" s="34"/>
      <c r="X1458" s="3" t="b">
        <f t="shared" si="72"/>
        <v>0</v>
      </c>
      <c r="Y1458" s="3" t="b">
        <f t="shared" si="73"/>
        <v>0</v>
      </c>
    </row>
    <row r="1459" spans="14:25">
      <c r="N1459" s="34"/>
      <c r="O1459" s="34"/>
      <c r="P1459" s="34"/>
      <c r="Q1459" s="34"/>
      <c r="R1459" s="34"/>
      <c r="S1459" s="38"/>
      <c r="T1459" s="38"/>
      <c r="U1459" s="34"/>
      <c r="V1459" s="255"/>
      <c r="W1459" s="34"/>
      <c r="X1459" s="3" t="b">
        <f t="shared" si="72"/>
        <v>0</v>
      </c>
      <c r="Y1459" s="3" t="b">
        <f t="shared" si="73"/>
        <v>0</v>
      </c>
    </row>
    <row r="1460" spans="14:25">
      <c r="N1460" s="34"/>
      <c r="O1460" s="34"/>
      <c r="P1460" s="34"/>
      <c r="Q1460" s="34"/>
      <c r="R1460" s="34"/>
      <c r="S1460" s="38"/>
      <c r="T1460" s="38"/>
      <c r="U1460" s="34"/>
      <c r="V1460" s="255"/>
      <c r="W1460" s="34"/>
      <c r="X1460" s="3" t="b">
        <f t="shared" si="72"/>
        <v>0</v>
      </c>
      <c r="Y1460" s="3" t="b">
        <f t="shared" si="73"/>
        <v>0</v>
      </c>
    </row>
    <row r="1461" spans="14:25">
      <c r="N1461" s="34"/>
      <c r="O1461" s="34"/>
      <c r="P1461" s="34"/>
      <c r="Q1461" s="34"/>
      <c r="R1461" s="34"/>
      <c r="S1461" s="38"/>
      <c r="T1461" s="38"/>
      <c r="U1461" s="34"/>
      <c r="V1461" s="255"/>
      <c r="W1461" s="34"/>
      <c r="X1461" s="3" t="b">
        <f t="shared" si="72"/>
        <v>0</v>
      </c>
      <c r="Y1461" s="3" t="b">
        <f t="shared" si="73"/>
        <v>0</v>
      </c>
    </row>
    <row r="1462" spans="14:25">
      <c r="N1462" s="34"/>
      <c r="O1462" s="34"/>
      <c r="P1462" s="34"/>
      <c r="Q1462" s="34"/>
      <c r="R1462" s="34"/>
      <c r="S1462" s="38"/>
      <c r="T1462" s="38"/>
      <c r="U1462" s="34"/>
      <c r="V1462" s="255"/>
      <c r="W1462" s="34"/>
      <c r="X1462" s="3" t="b">
        <f t="shared" si="72"/>
        <v>0</v>
      </c>
      <c r="Y1462" s="3" t="b">
        <f t="shared" si="73"/>
        <v>0</v>
      </c>
    </row>
    <row r="1463" spans="14:25">
      <c r="N1463" s="34"/>
      <c r="O1463" s="34"/>
      <c r="P1463" s="34"/>
      <c r="Q1463" s="34"/>
      <c r="R1463" s="34"/>
      <c r="S1463" s="38"/>
      <c r="T1463" s="38"/>
      <c r="U1463" s="34"/>
      <c r="V1463" s="255"/>
      <c r="W1463" s="34"/>
      <c r="X1463" s="3" t="b">
        <f t="shared" si="72"/>
        <v>0</v>
      </c>
      <c r="Y1463" s="3" t="b">
        <f t="shared" si="73"/>
        <v>0</v>
      </c>
    </row>
    <row r="1464" spans="14:25">
      <c r="N1464" s="34"/>
      <c r="O1464" s="34"/>
      <c r="P1464" s="34"/>
      <c r="Q1464" s="34"/>
      <c r="R1464" s="34"/>
      <c r="S1464" s="38"/>
      <c r="T1464" s="38"/>
      <c r="U1464" s="34"/>
      <c r="V1464" s="255"/>
      <c r="W1464" s="34"/>
      <c r="X1464" s="3" t="b">
        <f t="shared" si="72"/>
        <v>0</v>
      </c>
      <c r="Y1464" s="3" t="b">
        <f t="shared" si="73"/>
        <v>0</v>
      </c>
    </row>
    <row r="1465" spans="14:25">
      <c r="N1465" s="34"/>
      <c r="O1465" s="34"/>
      <c r="P1465" s="34"/>
      <c r="Q1465" s="34"/>
      <c r="R1465" s="34"/>
      <c r="S1465" s="38"/>
      <c r="T1465" s="38"/>
      <c r="U1465" s="34"/>
      <c r="V1465" s="255"/>
      <c r="W1465" s="34"/>
      <c r="X1465" s="3" t="b">
        <f t="shared" si="72"/>
        <v>0</v>
      </c>
      <c r="Y1465" s="3" t="b">
        <f t="shared" si="73"/>
        <v>0</v>
      </c>
    </row>
    <row r="1466" spans="14:25">
      <c r="N1466" s="34"/>
      <c r="O1466" s="34"/>
      <c r="P1466" s="34"/>
      <c r="Q1466" s="34"/>
      <c r="R1466" s="34"/>
      <c r="S1466" s="38"/>
      <c r="T1466" s="38"/>
      <c r="U1466" s="34"/>
      <c r="V1466" s="255"/>
      <c r="W1466" s="34"/>
      <c r="X1466" s="3" t="b">
        <f t="shared" si="72"/>
        <v>0</v>
      </c>
      <c r="Y1466" s="3" t="b">
        <f t="shared" si="73"/>
        <v>0</v>
      </c>
    </row>
    <row r="1467" spans="14:25">
      <c r="N1467" s="34"/>
      <c r="O1467" s="34"/>
      <c r="P1467" s="34"/>
      <c r="Q1467" s="34"/>
      <c r="R1467" s="34"/>
      <c r="S1467" s="38"/>
      <c r="T1467" s="38"/>
      <c r="U1467" s="34"/>
      <c r="V1467" s="255"/>
      <c r="W1467" s="34"/>
      <c r="X1467" s="3" t="b">
        <f t="shared" si="72"/>
        <v>0</v>
      </c>
      <c r="Y1467" s="3" t="b">
        <f t="shared" si="73"/>
        <v>0</v>
      </c>
    </row>
    <row r="1468" spans="14:25">
      <c r="N1468" s="34"/>
      <c r="O1468" s="34"/>
      <c r="P1468" s="34"/>
      <c r="Q1468" s="34"/>
      <c r="R1468" s="34"/>
      <c r="S1468" s="38"/>
      <c r="T1468" s="38"/>
      <c r="U1468" s="34"/>
      <c r="V1468" s="255"/>
      <c r="W1468" s="34"/>
      <c r="X1468" s="3" t="b">
        <f t="shared" si="72"/>
        <v>0</v>
      </c>
      <c r="Y1468" s="3" t="b">
        <f t="shared" si="73"/>
        <v>0</v>
      </c>
    </row>
    <row r="1469" spans="14:25">
      <c r="N1469" s="34"/>
      <c r="O1469" s="34"/>
      <c r="P1469" s="34"/>
      <c r="Q1469" s="34"/>
      <c r="R1469" s="34"/>
      <c r="S1469" s="38"/>
      <c r="T1469" s="38"/>
      <c r="U1469" s="34"/>
      <c r="V1469" s="255"/>
      <c r="W1469" s="34"/>
      <c r="X1469" s="3" t="b">
        <f t="shared" si="72"/>
        <v>0</v>
      </c>
      <c r="Y1469" s="3" t="b">
        <f t="shared" si="73"/>
        <v>0</v>
      </c>
    </row>
    <row r="1470" spans="14:25">
      <c r="N1470" s="34"/>
      <c r="O1470" s="34"/>
      <c r="P1470" s="34"/>
      <c r="Q1470" s="34"/>
      <c r="R1470" s="34"/>
      <c r="S1470" s="38"/>
      <c r="T1470" s="38"/>
      <c r="U1470" s="34"/>
      <c r="V1470" s="255"/>
      <c r="W1470" s="34"/>
      <c r="X1470" s="3" t="b">
        <f t="shared" si="72"/>
        <v>0</v>
      </c>
      <c r="Y1470" s="3" t="b">
        <f t="shared" si="73"/>
        <v>0</v>
      </c>
    </row>
    <row r="1471" spans="14:25">
      <c r="N1471" s="34"/>
      <c r="O1471" s="34"/>
      <c r="P1471" s="34"/>
      <c r="Q1471" s="34"/>
      <c r="R1471" s="34"/>
      <c r="S1471" s="38"/>
      <c r="T1471" s="38"/>
      <c r="U1471" s="34"/>
      <c r="V1471" s="255"/>
      <c r="W1471" s="34"/>
      <c r="X1471" s="3" t="b">
        <f t="shared" si="72"/>
        <v>0</v>
      </c>
      <c r="Y1471" s="3" t="b">
        <f t="shared" si="73"/>
        <v>0</v>
      </c>
    </row>
    <row r="1472" spans="14:25">
      <c r="N1472" s="34"/>
      <c r="O1472" s="34"/>
      <c r="P1472" s="34"/>
      <c r="Q1472" s="34"/>
      <c r="R1472" s="34"/>
      <c r="S1472" s="38"/>
      <c r="T1472" s="38"/>
      <c r="U1472" s="34"/>
      <c r="V1472" s="255"/>
      <c r="W1472" s="34"/>
      <c r="X1472" s="3" t="b">
        <f t="shared" si="72"/>
        <v>0</v>
      </c>
      <c r="Y1472" s="3" t="b">
        <f t="shared" si="73"/>
        <v>0</v>
      </c>
    </row>
    <row r="1473" spans="14:25">
      <c r="N1473" s="34"/>
      <c r="O1473" s="34"/>
      <c r="P1473" s="34"/>
      <c r="Q1473" s="34"/>
      <c r="R1473" s="34"/>
      <c r="S1473" s="38"/>
      <c r="T1473" s="38"/>
      <c r="U1473" s="34"/>
      <c r="V1473" s="255"/>
      <c r="W1473" s="34"/>
      <c r="X1473" s="3" t="b">
        <f t="shared" si="72"/>
        <v>0</v>
      </c>
      <c r="Y1473" s="3" t="b">
        <f t="shared" si="73"/>
        <v>0</v>
      </c>
    </row>
    <row r="1474" spans="14:25">
      <c r="N1474" s="34"/>
      <c r="O1474" s="34"/>
      <c r="P1474" s="34"/>
      <c r="Q1474" s="34"/>
      <c r="R1474" s="34"/>
      <c r="S1474" s="38"/>
      <c r="T1474" s="38"/>
      <c r="U1474" s="34"/>
      <c r="V1474" s="255"/>
      <c r="W1474" s="34"/>
      <c r="X1474" s="3" t="b">
        <f t="shared" si="72"/>
        <v>0</v>
      </c>
      <c r="Y1474" s="3" t="b">
        <f t="shared" si="73"/>
        <v>0</v>
      </c>
    </row>
    <row r="1475" spans="14:25">
      <c r="N1475" s="34"/>
      <c r="O1475" s="34"/>
      <c r="P1475" s="34"/>
      <c r="Q1475" s="34"/>
      <c r="R1475" s="34"/>
      <c r="S1475" s="38"/>
      <c r="T1475" s="38"/>
      <c r="U1475" s="34"/>
      <c r="V1475" s="255"/>
      <c r="W1475" s="34"/>
      <c r="X1475" s="3" t="b">
        <f t="shared" si="72"/>
        <v>0</v>
      </c>
      <c r="Y1475" s="3" t="b">
        <f t="shared" si="73"/>
        <v>0</v>
      </c>
    </row>
    <row r="1476" spans="14:25">
      <c r="N1476" s="34"/>
      <c r="O1476" s="34"/>
      <c r="P1476" s="34"/>
      <c r="Q1476" s="34"/>
      <c r="R1476" s="34"/>
      <c r="S1476" s="38"/>
      <c r="T1476" s="38"/>
      <c r="U1476" s="34"/>
      <c r="V1476" s="255"/>
      <c r="W1476" s="34"/>
      <c r="X1476" s="3" t="b">
        <f t="shared" si="72"/>
        <v>0</v>
      </c>
      <c r="Y1476" s="3" t="b">
        <f t="shared" si="73"/>
        <v>0</v>
      </c>
    </row>
    <row r="1477" spans="14:25">
      <c r="N1477" s="34"/>
      <c r="O1477" s="34"/>
      <c r="P1477" s="34"/>
      <c r="Q1477" s="34"/>
      <c r="R1477" s="34"/>
      <c r="S1477" s="38"/>
      <c r="T1477" s="38"/>
      <c r="U1477" s="34"/>
      <c r="V1477" s="255"/>
      <c r="W1477" s="34"/>
      <c r="X1477" s="3" t="b">
        <f t="shared" si="72"/>
        <v>0</v>
      </c>
      <c r="Y1477" s="3" t="b">
        <f t="shared" si="73"/>
        <v>0</v>
      </c>
    </row>
    <row r="1478" spans="14:25">
      <c r="N1478" s="34"/>
      <c r="O1478" s="34"/>
      <c r="P1478" s="34"/>
      <c r="Q1478" s="34"/>
      <c r="R1478" s="34"/>
      <c r="S1478" s="38"/>
      <c r="T1478" s="38"/>
      <c r="U1478" s="34"/>
      <c r="V1478" s="255"/>
      <c r="W1478" s="34"/>
      <c r="X1478" s="3" t="b">
        <f t="shared" si="72"/>
        <v>0</v>
      </c>
      <c r="Y1478" s="3" t="b">
        <f t="shared" si="73"/>
        <v>0</v>
      </c>
    </row>
    <row r="1479" spans="14:25">
      <c r="N1479" s="34"/>
      <c r="O1479" s="34"/>
      <c r="P1479" s="34"/>
      <c r="Q1479" s="34"/>
      <c r="R1479" s="34"/>
      <c r="S1479" s="38"/>
      <c r="T1479" s="38"/>
      <c r="U1479" s="34"/>
      <c r="V1479" s="255"/>
      <c r="W1479" s="34"/>
      <c r="X1479" s="3" t="b">
        <f t="shared" si="72"/>
        <v>0</v>
      </c>
      <c r="Y1479" s="3" t="b">
        <f t="shared" si="73"/>
        <v>0</v>
      </c>
    </row>
    <row r="1480" spans="14:25">
      <c r="N1480" s="34"/>
      <c r="O1480" s="34"/>
      <c r="P1480" s="34"/>
      <c r="Q1480" s="34"/>
      <c r="R1480" s="34"/>
      <c r="S1480" s="38"/>
      <c r="T1480" s="38"/>
      <c r="U1480" s="34"/>
      <c r="V1480" s="255"/>
      <c r="W1480" s="34"/>
      <c r="X1480" s="3" t="b">
        <f t="shared" si="72"/>
        <v>0</v>
      </c>
      <c r="Y1480" s="3" t="b">
        <f t="shared" si="73"/>
        <v>0</v>
      </c>
    </row>
    <row r="1481" spans="14:25">
      <c r="N1481" s="34"/>
      <c r="O1481" s="34"/>
      <c r="P1481" s="34"/>
      <c r="Q1481" s="34"/>
      <c r="R1481" s="34"/>
      <c r="S1481" s="38"/>
      <c r="T1481" s="38"/>
      <c r="U1481" s="34"/>
      <c r="V1481" s="255"/>
      <c r="W1481" s="34"/>
      <c r="X1481" s="3" t="b">
        <f t="shared" si="72"/>
        <v>0</v>
      </c>
      <c r="Y1481" s="3" t="b">
        <f t="shared" si="73"/>
        <v>0</v>
      </c>
    </row>
    <row r="1482" spans="14:25">
      <c r="N1482" s="34"/>
      <c r="O1482" s="34"/>
      <c r="P1482" s="34"/>
      <c r="Q1482" s="34"/>
      <c r="R1482" s="34"/>
      <c r="S1482" s="38"/>
      <c r="T1482" s="38"/>
      <c r="U1482" s="34"/>
      <c r="V1482" s="255"/>
      <c r="W1482" s="34"/>
      <c r="X1482" s="3" t="b">
        <f t="shared" si="72"/>
        <v>0</v>
      </c>
      <c r="Y1482" s="3" t="b">
        <f t="shared" si="73"/>
        <v>0</v>
      </c>
    </row>
    <row r="1483" spans="14:25">
      <c r="N1483" s="34"/>
      <c r="O1483" s="34"/>
      <c r="P1483" s="34"/>
      <c r="Q1483" s="34"/>
      <c r="R1483" s="34"/>
      <c r="S1483" s="38"/>
      <c r="T1483" s="38"/>
      <c r="U1483" s="34"/>
      <c r="V1483" s="255"/>
      <c r="W1483" s="34"/>
      <c r="X1483" s="3" t="b">
        <f t="shared" si="72"/>
        <v>0</v>
      </c>
      <c r="Y1483" s="3" t="b">
        <f t="shared" si="73"/>
        <v>0</v>
      </c>
    </row>
    <row r="1484" spans="14:25">
      <c r="N1484" s="34"/>
      <c r="O1484" s="34"/>
      <c r="P1484" s="34"/>
      <c r="Q1484" s="34"/>
      <c r="R1484" s="34"/>
      <c r="S1484" s="38"/>
      <c r="T1484" s="38"/>
      <c r="U1484" s="34"/>
      <c r="V1484" s="255"/>
      <c r="W1484" s="34"/>
      <c r="X1484" s="3" t="b">
        <f t="shared" si="72"/>
        <v>0</v>
      </c>
      <c r="Y1484" s="3" t="b">
        <f t="shared" si="73"/>
        <v>0</v>
      </c>
    </row>
    <row r="1485" spans="14:25">
      <c r="N1485" s="34"/>
      <c r="O1485" s="34"/>
      <c r="P1485" s="34"/>
      <c r="Q1485" s="34"/>
      <c r="R1485" s="34"/>
      <c r="S1485" s="38"/>
      <c r="T1485" s="38"/>
      <c r="U1485" s="34"/>
      <c r="V1485" s="255"/>
      <c r="W1485" s="34"/>
      <c r="X1485" s="3" t="b">
        <f t="shared" si="72"/>
        <v>0</v>
      </c>
      <c r="Y1485" s="3" t="b">
        <f t="shared" si="73"/>
        <v>0</v>
      </c>
    </row>
    <row r="1486" spans="14:25">
      <c r="N1486" s="34"/>
      <c r="O1486" s="34"/>
      <c r="P1486" s="34"/>
      <c r="Q1486" s="34"/>
      <c r="R1486" s="34"/>
      <c r="S1486" s="38"/>
      <c r="T1486" s="38"/>
      <c r="U1486" s="34"/>
      <c r="V1486" s="255"/>
      <c r="W1486" s="34"/>
      <c r="X1486" s="3" t="b">
        <f t="shared" si="72"/>
        <v>0</v>
      </c>
      <c r="Y1486" s="3" t="b">
        <f t="shared" si="73"/>
        <v>0</v>
      </c>
    </row>
    <row r="1487" spans="14:25">
      <c r="N1487" s="34"/>
      <c r="O1487" s="34"/>
      <c r="P1487" s="34"/>
      <c r="Q1487" s="34"/>
      <c r="R1487" s="34"/>
      <c r="S1487" s="38"/>
      <c r="T1487" s="38"/>
      <c r="U1487" s="34"/>
      <c r="V1487" s="255"/>
      <c r="W1487" s="34"/>
      <c r="X1487" s="3" t="b">
        <f t="shared" si="72"/>
        <v>0</v>
      </c>
      <c r="Y1487" s="3" t="b">
        <f t="shared" si="73"/>
        <v>0</v>
      </c>
    </row>
    <row r="1488" spans="14:25">
      <c r="N1488" s="34"/>
      <c r="O1488" s="34"/>
      <c r="P1488" s="34"/>
      <c r="Q1488" s="34"/>
      <c r="R1488" s="34"/>
      <c r="S1488" s="38"/>
      <c r="T1488" s="38"/>
      <c r="U1488" s="34"/>
      <c r="V1488" s="255"/>
      <c r="W1488" s="34"/>
      <c r="X1488" s="3" t="b">
        <f t="shared" si="72"/>
        <v>0</v>
      </c>
      <c r="Y1488" s="3" t="b">
        <f t="shared" si="73"/>
        <v>0</v>
      </c>
    </row>
    <row r="1489" spans="14:25">
      <c r="N1489" s="34"/>
      <c r="O1489" s="34"/>
      <c r="P1489" s="34"/>
      <c r="Q1489" s="34"/>
      <c r="R1489" s="34"/>
      <c r="S1489" s="38"/>
      <c r="T1489" s="38"/>
      <c r="U1489" s="34"/>
      <c r="V1489" s="255"/>
      <c r="W1489" s="34"/>
      <c r="X1489" s="3" t="b">
        <f t="shared" si="72"/>
        <v>0</v>
      </c>
      <c r="Y1489" s="3" t="b">
        <f t="shared" si="73"/>
        <v>0</v>
      </c>
    </row>
    <row r="1490" spans="14:25">
      <c r="N1490" s="34"/>
      <c r="O1490" s="34"/>
      <c r="P1490" s="34"/>
      <c r="Q1490" s="34"/>
      <c r="R1490" s="34"/>
      <c r="S1490" s="38"/>
      <c r="T1490" s="38"/>
      <c r="U1490" s="34"/>
      <c r="V1490" s="255"/>
      <c r="W1490" s="34"/>
      <c r="X1490" s="3" t="b">
        <f t="shared" si="72"/>
        <v>0</v>
      </c>
      <c r="Y1490" s="3" t="b">
        <f t="shared" si="73"/>
        <v>0</v>
      </c>
    </row>
    <row r="1491" spans="14:25">
      <c r="N1491" s="34"/>
      <c r="O1491" s="34"/>
      <c r="P1491" s="34"/>
      <c r="Q1491" s="34"/>
      <c r="R1491" s="34"/>
      <c r="S1491" s="38"/>
      <c r="T1491" s="38"/>
      <c r="U1491" s="34"/>
      <c r="V1491" s="255"/>
      <c r="W1491" s="34"/>
      <c r="X1491" s="3" t="b">
        <f t="shared" si="72"/>
        <v>0</v>
      </c>
      <c r="Y1491" s="3" t="b">
        <f t="shared" si="73"/>
        <v>0</v>
      </c>
    </row>
    <row r="1492" spans="14:25">
      <c r="N1492" s="34"/>
      <c r="O1492" s="34"/>
      <c r="P1492" s="34"/>
      <c r="Q1492" s="34"/>
      <c r="R1492" s="34"/>
      <c r="S1492" s="38"/>
      <c r="T1492" s="38"/>
      <c r="U1492" s="34"/>
      <c r="V1492" s="255"/>
      <c r="W1492" s="34"/>
      <c r="X1492" s="3" t="b">
        <f t="shared" si="72"/>
        <v>0</v>
      </c>
      <c r="Y1492" s="3" t="b">
        <f t="shared" si="73"/>
        <v>0</v>
      </c>
    </row>
    <row r="1493" spans="14:25">
      <c r="N1493" s="34"/>
      <c r="O1493" s="34"/>
      <c r="P1493" s="34"/>
      <c r="Q1493" s="34"/>
      <c r="R1493" s="34"/>
      <c r="S1493" s="38"/>
      <c r="T1493" s="38"/>
      <c r="U1493" s="34"/>
      <c r="V1493" s="255"/>
      <c r="W1493" s="34"/>
      <c r="X1493" s="3" t="b">
        <f t="shared" si="72"/>
        <v>0</v>
      </c>
      <c r="Y1493" s="3" t="b">
        <f t="shared" si="73"/>
        <v>0</v>
      </c>
    </row>
    <row r="1494" spans="14:25">
      <c r="N1494" s="34"/>
      <c r="O1494" s="34"/>
      <c r="P1494" s="34"/>
      <c r="Q1494" s="34"/>
      <c r="R1494" s="34"/>
      <c r="S1494" s="38"/>
      <c r="T1494" s="38"/>
      <c r="U1494" s="34"/>
      <c r="V1494" s="255"/>
      <c r="W1494" s="34"/>
      <c r="X1494" s="3" t="b">
        <f t="shared" si="72"/>
        <v>0</v>
      </c>
      <c r="Y1494" s="3" t="b">
        <f t="shared" si="73"/>
        <v>0</v>
      </c>
    </row>
    <row r="1495" spans="14:25">
      <c r="N1495" s="34"/>
      <c r="O1495" s="34"/>
      <c r="P1495" s="34"/>
      <c r="Q1495" s="34"/>
      <c r="R1495" s="34"/>
      <c r="S1495" s="38"/>
      <c r="T1495" s="38"/>
      <c r="U1495" s="34"/>
      <c r="V1495" s="255"/>
      <c r="W1495" s="34"/>
      <c r="X1495" s="3" t="b">
        <f t="shared" si="72"/>
        <v>0</v>
      </c>
      <c r="Y1495" s="3" t="b">
        <f t="shared" si="73"/>
        <v>0</v>
      </c>
    </row>
    <row r="1496" spans="14:25">
      <c r="N1496" s="34"/>
      <c r="O1496" s="34"/>
      <c r="P1496" s="34"/>
      <c r="Q1496" s="34"/>
      <c r="R1496" s="34"/>
      <c r="S1496" s="38"/>
      <c r="T1496" s="38"/>
      <c r="U1496" s="34"/>
      <c r="V1496" s="255"/>
      <c r="W1496" s="34"/>
      <c r="X1496" s="3" t="b">
        <f t="shared" si="72"/>
        <v>0</v>
      </c>
      <c r="Y1496" s="3" t="b">
        <f t="shared" si="73"/>
        <v>0</v>
      </c>
    </row>
    <row r="1497" spans="14:25">
      <c r="N1497" s="34"/>
      <c r="O1497" s="34"/>
      <c r="P1497" s="34"/>
      <c r="Q1497" s="34"/>
      <c r="R1497" s="34"/>
      <c r="S1497" s="38"/>
      <c r="T1497" s="38"/>
      <c r="U1497" s="34"/>
      <c r="V1497" s="255"/>
      <c r="W1497" s="34"/>
      <c r="X1497" s="3" t="b">
        <f t="shared" si="72"/>
        <v>0</v>
      </c>
      <c r="Y1497" s="3" t="b">
        <f t="shared" si="73"/>
        <v>0</v>
      </c>
    </row>
    <row r="1498" spans="14:25">
      <c r="N1498" s="34"/>
      <c r="O1498" s="34"/>
      <c r="P1498" s="34"/>
      <c r="Q1498" s="34"/>
      <c r="R1498" s="34"/>
      <c r="S1498" s="38"/>
      <c r="T1498" s="38"/>
      <c r="U1498" s="34"/>
      <c r="V1498" s="255"/>
      <c r="W1498" s="34"/>
      <c r="X1498" s="3" t="b">
        <f t="shared" si="72"/>
        <v>0</v>
      </c>
      <c r="Y1498" s="3" t="b">
        <f t="shared" si="73"/>
        <v>0</v>
      </c>
    </row>
    <row r="1499" spans="14:25">
      <c r="N1499" s="34"/>
      <c r="O1499" s="34"/>
      <c r="P1499" s="34"/>
      <c r="Q1499" s="34"/>
      <c r="R1499" s="34"/>
      <c r="S1499" s="38"/>
      <c r="T1499" s="38"/>
      <c r="U1499" s="34"/>
      <c r="V1499" s="255"/>
      <c r="W1499" s="34"/>
      <c r="X1499" s="3" t="b">
        <f t="shared" si="72"/>
        <v>0</v>
      </c>
      <c r="Y1499" s="3" t="b">
        <f t="shared" si="73"/>
        <v>0</v>
      </c>
    </row>
    <row r="1500" spans="14:25">
      <c r="N1500" s="34"/>
      <c r="O1500" s="34"/>
      <c r="P1500" s="34"/>
      <c r="Q1500" s="34"/>
      <c r="R1500" s="34"/>
      <c r="S1500" s="38"/>
      <c r="T1500" s="38"/>
      <c r="U1500" s="34"/>
      <c r="V1500" s="255"/>
      <c r="W1500" s="34"/>
      <c r="X1500" s="3" t="b">
        <f t="shared" si="72"/>
        <v>0</v>
      </c>
      <c r="Y1500" s="3" t="b">
        <f t="shared" si="73"/>
        <v>0</v>
      </c>
    </row>
    <row r="1501" spans="14:25">
      <c r="N1501" s="34"/>
      <c r="O1501" s="34"/>
      <c r="P1501" s="34"/>
      <c r="Q1501" s="34"/>
      <c r="R1501" s="34"/>
      <c r="S1501" s="38"/>
      <c r="T1501" s="38"/>
      <c r="U1501" s="34"/>
      <c r="V1501" s="255"/>
      <c r="W1501" s="34"/>
      <c r="X1501" s="3" t="b">
        <f t="shared" si="72"/>
        <v>0</v>
      </c>
      <c r="Y1501" s="3" t="b">
        <f t="shared" si="73"/>
        <v>0</v>
      </c>
    </row>
    <row r="1502" spans="14:25">
      <c r="N1502" s="34"/>
      <c r="O1502" s="34"/>
      <c r="P1502" s="34"/>
      <c r="Q1502" s="34"/>
      <c r="R1502" s="34"/>
      <c r="S1502" s="38"/>
      <c r="T1502" s="38"/>
      <c r="U1502" s="34"/>
      <c r="V1502" s="255"/>
      <c r="W1502" s="34"/>
      <c r="X1502" s="3" t="b">
        <f t="shared" si="72"/>
        <v>0</v>
      </c>
      <c r="Y1502" s="3" t="b">
        <f t="shared" si="73"/>
        <v>0</v>
      </c>
    </row>
    <row r="1503" spans="14:25">
      <c r="N1503" s="34"/>
      <c r="O1503" s="34"/>
      <c r="P1503" s="34"/>
      <c r="Q1503" s="34"/>
      <c r="R1503" s="34"/>
      <c r="S1503" s="38"/>
      <c r="T1503" s="38"/>
      <c r="U1503" s="34"/>
      <c r="V1503" s="255"/>
      <c r="W1503" s="34"/>
      <c r="X1503" s="3" t="b">
        <f t="shared" si="72"/>
        <v>0</v>
      </c>
      <c r="Y1503" s="3" t="b">
        <f t="shared" si="73"/>
        <v>0</v>
      </c>
    </row>
    <row r="1504" spans="14:25">
      <c r="N1504" s="34"/>
      <c r="O1504" s="34"/>
      <c r="P1504" s="34"/>
      <c r="Q1504" s="34"/>
      <c r="R1504" s="34"/>
      <c r="S1504" s="38"/>
      <c r="T1504" s="38"/>
      <c r="U1504" s="34"/>
      <c r="V1504" s="255"/>
      <c r="W1504" s="34"/>
      <c r="X1504" s="3" t="b">
        <f t="shared" si="72"/>
        <v>0</v>
      </c>
      <c r="Y1504" s="3" t="b">
        <f t="shared" si="73"/>
        <v>0</v>
      </c>
    </row>
    <row r="1505" spans="14:25">
      <c r="N1505" s="34"/>
      <c r="O1505" s="34"/>
      <c r="P1505" s="34"/>
      <c r="Q1505" s="34"/>
      <c r="R1505" s="34"/>
      <c r="S1505" s="38"/>
      <c r="T1505" s="38"/>
      <c r="U1505" s="34"/>
      <c r="V1505" s="255"/>
      <c r="W1505" s="34"/>
      <c r="X1505" s="3" t="b">
        <f t="shared" si="72"/>
        <v>0</v>
      </c>
      <c r="Y1505" s="3" t="b">
        <f t="shared" si="73"/>
        <v>0</v>
      </c>
    </row>
    <row r="1506" spans="14:25">
      <c r="N1506" s="34"/>
      <c r="O1506" s="34"/>
      <c r="P1506" s="34"/>
      <c r="Q1506" s="34"/>
      <c r="R1506" s="34"/>
      <c r="S1506" s="38"/>
      <c r="T1506" s="38"/>
      <c r="U1506" s="34"/>
      <c r="V1506" s="255"/>
      <c r="W1506" s="34"/>
      <c r="X1506" s="3" t="b">
        <f t="shared" si="72"/>
        <v>0</v>
      </c>
      <c r="Y1506" s="3" t="b">
        <f t="shared" si="73"/>
        <v>0</v>
      </c>
    </row>
    <row r="1507" spans="14:25">
      <c r="N1507" s="34"/>
      <c r="O1507" s="34"/>
      <c r="P1507" s="34"/>
      <c r="Q1507" s="34"/>
      <c r="R1507" s="34"/>
      <c r="S1507" s="38"/>
      <c r="T1507" s="38"/>
      <c r="U1507" s="34"/>
      <c r="V1507" s="255"/>
      <c r="W1507" s="34"/>
      <c r="X1507" s="3" t="b">
        <f t="shared" si="72"/>
        <v>0</v>
      </c>
      <c r="Y1507" s="3" t="b">
        <f t="shared" si="73"/>
        <v>0</v>
      </c>
    </row>
    <row r="1508" spans="14:25">
      <c r="N1508" s="34" t="s">
        <v>0</v>
      </c>
      <c r="O1508" s="34" t="s">
        <v>1237</v>
      </c>
      <c r="P1508" s="34">
        <v>10</v>
      </c>
      <c r="Q1508" s="34" t="s">
        <v>1233</v>
      </c>
      <c r="R1508" s="34" t="s">
        <v>0</v>
      </c>
      <c r="S1508" s="38">
        <v>43419</v>
      </c>
      <c r="T1508" s="38">
        <v>43419</v>
      </c>
      <c r="U1508" s="34" t="s">
        <v>1275</v>
      </c>
      <c r="V1508" s="255" t="s">
        <v>5534</v>
      </c>
      <c r="W1508" s="34"/>
    </row>
    <row r="1509" spans="14:25">
      <c r="N1509" s="34" t="s">
        <v>0</v>
      </c>
      <c r="O1509" s="34" t="s">
        <v>1234</v>
      </c>
      <c r="P1509" s="34">
        <v>5</v>
      </c>
      <c r="Q1509" s="34" t="s">
        <v>1233</v>
      </c>
      <c r="R1509" s="34" t="s">
        <v>0</v>
      </c>
      <c r="S1509" s="38">
        <v>43419</v>
      </c>
      <c r="T1509" s="38">
        <v>43419</v>
      </c>
      <c r="U1509" s="34" t="s">
        <v>1275</v>
      </c>
      <c r="V1509" s="255" t="s">
        <v>5534</v>
      </c>
      <c r="W1509" s="34"/>
    </row>
    <row r="1510" spans="14:25">
      <c r="N1510" s="34" t="s">
        <v>0</v>
      </c>
      <c r="O1510" s="34" t="s">
        <v>1235</v>
      </c>
      <c r="P1510" s="34">
        <v>5</v>
      </c>
      <c r="Q1510" s="34" t="s">
        <v>1233</v>
      </c>
      <c r="R1510" s="34" t="s">
        <v>0</v>
      </c>
      <c r="S1510" s="38">
        <v>43419</v>
      </c>
      <c r="T1510" s="38">
        <v>43419</v>
      </c>
      <c r="U1510" s="34" t="s">
        <v>1275</v>
      </c>
      <c r="V1510" s="255" t="s">
        <v>5534</v>
      </c>
      <c r="W1510" s="34"/>
    </row>
    <row r="1511" spans="14:25">
      <c r="N1511" s="34" t="s">
        <v>0</v>
      </c>
      <c r="O1511" s="34" t="s">
        <v>1238</v>
      </c>
      <c r="P1511" s="34">
        <v>5</v>
      </c>
      <c r="Q1511" s="34" t="s">
        <v>1233</v>
      </c>
      <c r="R1511" s="34" t="s">
        <v>0</v>
      </c>
      <c r="S1511" s="38">
        <v>43419</v>
      </c>
      <c r="T1511" s="38">
        <v>43419</v>
      </c>
      <c r="U1511" s="34" t="s">
        <v>1275</v>
      </c>
      <c r="V1511" s="255" t="s">
        <v>5534</v>
      </c>
      <c r="W1511" s="34"/>
    </row>
    <row r="1512" spans="14:25">
      <c r="N1512" s="34" t="s">
        <v>203</v>
      </c>
      <c r="O1512" s="34" t="s">
        <v>1236</v>
      </c>
      <c r="P1512" s="34">
        <v>14</v>
      </c>
      <c r="Q1512" s="34" t="s">
        <v>1229</v>
      </c>
      <c r="R1512" s="34" t="s">
        <v>364</v>
      </c>
      <c r="S1512" s="38">
        <v>43421</v>
      </c>
      <c r="T1512" s="38">
        <v>43426</v>
      </c>
      <c r="U1512" s="34" t="s">
        <v>5768</v>
      </c>
      <c r="V1512" s="255" t="s">
        <v>5375</v>
      </c>
      <c r="W1512" s="34"/>
    </row>
    <row r="1513" spans="14:25">
      <c r="N1513" s="34" t="s">
        <v>203</v>
      </c>
      <c r="O1513" s="34" t="s">
        <v>1236</v>
      </c>
      <c r="P1513" s="34">
        <v>10</v>
      </c>
      <c r="Q1513" s="34" t="s">
        <v>1229</v>
      </c>
      <c r="R1513" s="34" t="s">
        <v>364</v>
      </c>
      <c r="S1513" s="38">
        <v>43412</v>
      </c>
      <c r="T1513" s="38">
        <v>43417</v>
      </c>
      <c r="U1513" s="34" t="s">
        <v>5768</v>
      </c>
      <c r="V1513" s="255" t="s">
        <v>5484</v>
      </c>
      <c r="W1513" s="34"/>
    </row>
    <row r="1514" spans="14:25">
      <c r="N1514" s="34"/>
      <c r="O1514" s="34"/>
      <c r="P1514" s="34"/>
      <c r="Q1514" s="34"/>
      <c r="R1514" s="34"/>
      <c r="S1514" s="38"/>
      <c r="T1514" s="38"/>
      <c r="U1514" s="34"/>
      <c r="V1514" s="255"/>
      <c r="W1514" s="34"/>
    </row>
    <row r="1515" spans="14:25">
      <c r="N1515" s="31" t="s">
        <v>203</v>
      </c>
      <c r="O1515" s="31" t="s">
        <v>1234</v>
      </c>
      <c r="P1515" s="31">
        <v>15</v>
      </c>
      <c r="Q1515" s="31"/>
      <c r="R1515" s="31" t="s">
        <v>364</v>
      </c>
      <c r="S1515" s="32">
        <v>43427</v>
      </c>
      <c r="T1515" s="31"/>
      <c r="U1515" s="31" t="s">
        <v>5845</v>
      </c>
      <c r="V1515" s="31" t="s">
        <v>5846</v>
      </c>
      <c r="W1515" s="34"/>
    </row>
    <row r="1516" spans="14:25">
      <c r="N1516" s="31" t="s">
        <v>203</v>
      </c>
      <c r="O1516" s="31" t="s">
        <v>1235</v>
      </c>
      <c r="P1516" s="31">
        <v>22</v>
      </c>
      <c r="Q1516" s="31"/>
      <c r="R1516" s="31" t="s">
        <v>364</v>
      </c>
      <c r="S1516" s="32">
        <v>43427</v>
      </c>
      <c r="T1516" s="31"/>
      <c r="U1516" s="31" t="s">
        <v>5845</v>
      </c>
      <c r="V1516" s="31" t="s">
        <v>5846</v>
      </c>
      <c r="W1516" s="34"/>
    </row>
    <row r="1517" spans="14:25">
      <c r="N1517" s="31" t="s">
        <v>0</v>
      </c>
      <c r="O1517" s="31" t="s">
        <v>1234</v>
      </c>
      <c r="P1517" s="31">
        <v>7</v>
      </c>
      <c r="Q1517" s="31"/>
      <c r="R1517" s="31" t="s">
        <v>364</v>
      </c>
      <c r="S1517" s="32">
        <v>43427</v>
      </c>
      <c r="T1517" s="31"/>
      <c r="U1517" s="31" t="s">
        <v>5845</v>
      </c>
      <c r="V1517" s="31" t="s">
        <v>5847</v>
      </c>
      <c r="W1517" s="34"/>
    </row>
    <row r="1518" spans="14:25">
      <c r="N1518" s="31" t="s">
        <v>0</v>
      </c>
      <c r="O1518" s="31" t="s">
        <v>1235</v>
      </c>
      <c r="P1518" s="31">
        <v>15</v>
      </c>
      <c r="Q1518" s="31"/>
      <c r="R1518" s="31" t="s">
        <v>364</v>
      </c>
      <c r="S1518" s="32">
        <v>43427</v>
      </c>
      <c r="T1518" s="31"/>
      <c r="U1518" s="31" t="s">
        <v>5845</v>
      </c>
      <c r="V1518" s="31" t="s">
        <v>5847</v>
      </c>
      <c r="W1518" s="34"/>
    </row>
    <row r="1519" spans="14:25">
      <c r="N1519" s="34" t="s">
        <v>203</v>
      </c>
      <c r="O1519" s="34" t="s">
        <v>1234</v>
      </c>
      <c r="P1519" s="34">
        <v>15</v>
      </c>
      <c r="Q1519" s="34" t="s">
        <v>1229</v>
      </c>
      <c r="R1519" s="34" t="s">
        <v>364</v>
      </c>
      <c r="S1519" s="38">
        <v>43427</v>
      </c>
      <c r="T1519" s="38">
        <v>43433</v>
      </c>
      <c r="U1519" s="34" t="s">
        <v>5768</v>
      </c>
      <c r="V1519" s="255" t="s">
        <v>5846</v>
      </c>
      <c r="W1519" s="34"/>
    </row>
    <row r="1520" spans="14:25">
      <c r="N1520" s="34" t="s">
        <v>203</v>
      </c>
      <c r="O1520" s="34" t="s">
        <v>1235</v>
      </c>
      <c r="P1520" s="34">
        <v>22</v>
      </c>
      <c r="Q1520" s="34" t="s">
        <v>1229</v>
      </c>
      <c r="R1520" s="34" t="s">
        <v>364</v>
      </c>
      <c r="S1520" s="38">
        <v>43427</v>
      </c>
      <c r="T1520" s="38">
        <v>43433</v>
      </c>
      <c r="U1520" s="34" t="s">
        <v>5768</v>
      </c>
      <c r="V1520" s="255" t="s">
        <v>5846</v>
      </c>
      <c r="W1520" s="34"/>
    </row>
    <row r="1521" spans="14:23">
      <c r="N1521" s="34"/>
      <c r="O1521" s="34"/>
      <c r="P1521" s="34"/>
      <c r="Q1521" s="34"/>
      <c r="R1521" s="34"/>
      <c r="S1521" s="38"/>
      <c r="T1521" s="38"/>
      <c r="U1521" s="34"/>
      <c r="V1521" s="255"/>
      <c r="W1521" s="34"/>
    </row>
    <row r="1522" spans="14:23">
      <c r="N1522" s="34"/>
      <c r="O1522" s="34"/>
      <c r="P1522" s="34"/>
      <c r="Q1522" s="34"/>
      <c r="R1522" s="34"/>
      <c r="S1522" s="38"/>
      <c r="T1522" s="38"/>
      <c r="U1522" s="34"/>
      <c r="V1522" s="255"/>
      <c r="W1522" s="34"/>
    </row>
    <row r="1523" spans="14:23">
      <c r="N1523" s="34"/>
      <c r="O1523" s="34"/>
      <c r="P1523" s="34"/>
      <c r="Q1523" s="34"/>
      <c r="R1523" s="34"/>
      <c r="S1523" s="38"/>
      <c r="T1523" s="38"/>
      <c r="U1523" s="34"/>
      <c r="V1523" s="255"/>
      <c r="W1523" s="34"/>
    </row>
    <row r="1524" spans="14:23">
      <c r="N1524" s="34"/>
      <c r="O1524" s="34"/>
      <c r="P1524" s="34"/>
      <c r="Q1524" s="34"/>
      <c r="R1524" s="34"/>
      <c r="S1524" s="38"/>
      <c r="T1524" s="38"/>
      <c r="U1524" s="34"/>
      <c r="V1524" s="255"/>
      <c r="W1524" s="34"/>
    </row>
    <row r="1525" spans="14:23">
      <c r="N1525" s="34"/>
      <c r="O1525" s="34"/>
      <c r="P1525" s="34"/>
      <c r="Q1525" s="34"/>
      <c r="R1525" s="34"/>
      <c r="S1525" s="38"/>
      <c r="T1525" s="38"/>
      <c r="U1525" s="34"/>
      <c r="V1525" s="255"/>
      <c r="W1525" s="34"/>
    </row>
    <row r="1526" spans="14:23">
      <c r="N1526" s="34"/>
      <c r="O1526" s="34"/>
      <c r="P1526" s="34"/>
      <c r="Q1526" s="34"/>
      <c r="R1526" s="34"/>
      <c r="S1526" s="38"/>
      <c r="T1526" s="38"/>
      <c r="U1526" s="34"/>
      <c r="V1526" s="255"/>
      <c r="W1526" s="34"/>
    </row>
    <row r="1527" spans="14:23">
      <c r="N1527" s="34"/>
      <c r="O1527" s="34"/>
      <c r="P1527" s="34"/>
      <c r="Q1527" s="34"/>
      <c r="R1527" s="34"/>
      <c r="S1527" s="38"/>
      <c r="T1527" s="38"/>
      <c r="U1527" s="34"/>
      <c r="V1527" s="255"/>
      <c r="W1527" s="34"/>
    </row>
    <row r="1528" spans="14:23">
      <c r="N1528" s="34"/>
      <c r="O1528" s="34"/>
      <c r="P1528" s="34"/>
      <c r="Q1528" s="34"/>
      <c r="R1528" s="34"/>
      <c r="S1528" s="38"/>
      <c r="T1528" s="38"/>
      <c r="U1528" s="34"/>
      <c r="V1528" s="255"/>
      <c r="W1528" s="34"/>
    </row>
    <row r="1529" spans="14:23">
      <c r="N1529" s="34"/>
      <c r="O1529" s="34"/>
      <c r="P1529" s="34"/>
      <c r="Q1529" s="34"/>
      <c r="R1529" s="34"/>
      <c r="S1529" s="38"/>
      <c r="T1529" s="38"/>
      <c r="U1529" s="34"/>
      <c r="V1529" s="255"/>
      <c r="W1529" s="34"/>
    </row>
    <row r="1530" spans="14:23">
      <c r="N1530" s="34"/>
      <c r="O1530" s="34"/>
      <c r="P1530" s="34"/>
      <c r="Q1530" s="34"/>
      <c r="R1530" s="34"/>
      <c r="S1530" s="38"/>
      <c r="T1530" s="38"/>
      <c r="U1530" s="34"/>
      <c r="V1530" s="255"/>
      <c r="W1530" s="34"/>
    </row>
    <row r="1531" spans="14:23">
      <c r="N1531" s="34"/>
      <c r="O1531" s="34"/>
      <c r="P1531" s="34"/>
      <c r="Q1531" s="34"/>
      <c r="R1531" s="34"/>
      <c r="S1531" s="38"/>
      <c r="T1531" s="38"/>
      <c r="U1531" s="34"/>
      <c r="V1531" s="255"/>
      <c r="W1531" s="34"/>
    </row>
    <row r="1532" spans="14:23">
      <c r="N1532" s="34"/>
      <c r="O1532" s="34"/>
      <c r="P1532" s="34"/>
      <c r="Q1532" s="34"/>
      <c r="R1532" s="34"/>
      <c r="S1532" s="38"/>
      <c r="T1532" s="38"/>
      <c r="U1532" s="34"/>
      <c r="V1532" s="255"/>
      <c r="W1532" s="34"/>
    </row>
    <row r="1533" spans="14:23">
      <c r="N1533" s="34"/>
      <c r="O1533" s="34"/>
      <c r="P1533" s="34"/>
      <c r="Q1533" s="34"/>
      <c r="R1533" s="34"/>
      <c r="S1533" s="38"/>
      <c r="T1533" s="38"/>
      <c r="U1533" s="34"/>
      <c r="V1533" s="255"/>
      <c r="W1533" s="34"/>
    </row>
    <row r="1534" spans="14:23">
      <c r="N1534" s="34"/>
      <c r="O1534" s="34"/>
      <c r="P1534" s="34"/>
      <c r="Q1534" s="34"/>
      <c r="R1534" s="34"/>
      <c r="S1534" s="38"/>
      <c r="T1534" s="38"/>
      <c r="U1534" s="34"/>
      <c r="V1534" s="255"/>
      <c r="W1534" s="34"/>
    </row>
    <row r="1535" spans="14:23">
      <c r="N1535" s="34"/>
      <c r="O1535" s="34"/>
      <c r="P1535" s="34"/>
      <c r="Q1535" s="34"/>
      <c r="R1535" s="34"/>
      <c r="S1535" s="38"/>
      <c r="T1535" s="38"/>
      <c r="U1535" s="34"/>
      <c r="V1535" s="255"/>
      <c r="W1535" s="34"/>
    </row>
    <row r="1536" spans="14:23">
      <c r="N1536" s="34"/>
      <c r="O1536" s="34"/>
      <c r="P1536" s="34"/>
      <c r="Q1536" s="34"/>
      <c r="R1536" s="34"/>
      <c r="S1536" s="38"/>
      <c r="T1536" s="38"/>
      <c r="U1536" s="34"/>
      <c r="V1536" s="255"/>
      <c r="W1536" s="34"/>
    </row>
    <row r="1537" spans="14:23">
      <c r="N1537" s="34"/>
      <c r="O1537" s="34"/>
      <c r="P1537" s="34"/>
      <c r="Q1537" s="34"/>
      <c r="R1537" s="34"/>
      <c r="S1537" s="38"/>
      <c r="T1537" s="38"/>
      <c r="U1537" s="34"/>
      <c r="V1537" s="255"/>
      <c r="W1537" s="34"/>
    </row>
    <row r="1538" spans="14:23">
      <c r="N1538" s="34"/>
      <c r="O1538" s="34"/>
      <c r="P1538" s="34"/>
      <c r="Q1538" s="34"/>
      <c r="R1538" s="34"/>
      <c r="S1538" s="38"/>
      <c r="T1538" s="38"/>
      <c r="U1538" s="34"/>
      <c r="V1538" s="255"/>
      <c r="W1538" s="34"/>
    </row>
    <row r="1539" spans="14:23">
      <c r="N1539" s="34"/>
      <c r="O1539" s="34"/>
      <c r="P1539" s="34"/>
      <c r="Q1539" s="34"/>
      <c r="R1539" s="34"/>
      <c r="S1539" s="38"/>
      <c r="T1539" s="38"/>
      <c r="U1539" s="34"/>
      <c r="V1539" s="255"/>
      <c r="W1539" s="34"/>
    </row>
    <row r="1540" spans="14:23">
      <c r="N1540" s="34"/>
      <c r="O1540" s="34"/>
      <c r="P1540" s="34"/>
      <c r="Q1540" s="34"/>
      <c r="R1540" s="34"/>
      <c r="S1540" s="38"/>
      <c r="T1540" s="38"/>
      <c r="U1540" s="34"/>
      <c r="V1540" s="255"/>
      <c r="W1540" s="34"/>
    </row>
    <row r="1541" spans="14:23">
      <c r="N1541" s="34"/>
      <c r="O1541" s="34"/>
      <c r="P1541" s="34"/>
      <c r="Q1541" s="34"/>
      <c r="R1541" s="34"/>
      <c r="S1541" s="38"/>
      <c r="T1541" s="38"/>
      <c r="U1541" s="34"/>
      <c r="V1541" s="255"/>
      <c r="W1541" s="34"/>
    </row>
    <row r="1542" spans="14:23">
      <c r="N1542" s="34"/>
      <c r="O1542" s="34"/>
      <c r="P1542" s="34"/>
      <c r="Q1542" s="34"/>
      <c r="R1542" s="34"/>
      <c r="S1542" s="38"/>
      <c r="T1542" s="38"/>
      <c r="U1542" s="34"/>
      <c r="V1542" s="255"/>
      <c r="W1542" s="34"/>
    </row>
    <row r="1543" spans="14:23">
      <c r="N1543" s="34"/>
      <c r="O1543" s="34"/>
      <c r="P1543" s="34"/>
      <c r="Q1543" s="34"/>
      <c r="R1543" s="34"/>
      <c r="S1543" s="38"/>
      <c r="T1543" s="38"/>
      <c r="U1543" s="34"/>
      <c r="V1543" s="255"/>
      <c r="W1543" s="34"/>
    </row>
    <row r="1544" spans="14:23">
      <c r="N1544" s="34"/>
      <c r="O1544" s="34"/>
      <c r="P1544" s="34"/>
      <c r="Q1544" s="34"/>
      <c r="R1544" s="34"/>
      <c r="S1544" s="38"/>
      <c r="T1544" s="38"/>
      <c r="U1544" s="34"/>
      <c r="V1544" s="255"/>
      <c r="W1544" s="34"/>
    </row>
    <row r="1545" spans="14:23">
      <c r="N1545" s="34"/>
      <c r="O1545" s="34"/>
      <c r="P1545" s="34"/>
      <c r="Q1545" s="34"/>
      <c r="R1545" s="34"/>
      <c r="S1545" s="38"/>
      <c r="T1545" s="38"/>
      <c r="U1545" s="34"/>
      <c r="V1545" s="255"/>
      <c r="W1545" s="34"/>
    </row>
    <row r="1546" spans="14:23">
      <c r="N1546" s="34"/>
      <c r="O1546" s="34"/>
      <c r="P1546" s="34"/>
      <c r="Q1546" s="34"/>
      <c r="R1546" s="34"/>
      <c r="S1546" s="38"/>
      <c r="T1546" s="38"/>
      <c r="U1546" s="34"/>
      <c r="V1546" s="255"/>
      <c r="W1546" s="34"/>
    </row>
    <row r="1547" spans="14:23">
      <c r="N1547" s="34"/>
      <c r="O1547" s="34"/>
      <c r="P1547" s="34"/>
      <c r="Q1547" s="34"/>
      <c r="R1547" s="34"/>
      <c r="S1547" s="38"/>
      <c r="T1547" s="38"/>
      <c r="U1547" s="34"/>
      <c r="V1547" s="255"/>
      <c r="W1547" s="34"/>
    </row>
    <row r="1548" spans="14:23">
      <c r="N1548" s="34"/>
      <c r="O1548" s="34"/>
      <c r="P1548" s="34"/>
      <c r="Q1548" s="34"/>
      <c r="R1548" s="34"/>
      <c r="S1548" s="38"/>
      <c r="T1548" s="38"/>
      <c r="U1548" s="34"/>
      <c r="V1548" s="255"/>
      <c r="W1548" s="34"/>
    </row>
    <row r="1549" spans="14:23">
      <c r="N1549" s="34"/>
      <c r="O1549" s="34"/>
      <c r="P1549" s="34"/>
      <c r="Q1549" s="34"/>
      <c r="R1549" s="34"/>
      <c r="S1549" s="38"/>
      <c r="T1549" s="38"/>
      <c r="U1549" s="34"/>
      <c r="V1549" s="255"/>
      <c r="W1549" s="34"/>
    </row>
    <row r="1550" spans="14:23">
      <c r="N1550" s="34"/>
      <c r="O1550" s="34"/>
      <c r="P1550" s="34"/>
      <c r="Q1550" s="34"/>
      <c r="R1550" s="34"/>
      <c r="S1550" s="38"/>
      <c r="T1550" s="38"/>
      <c r="U1550" s="34"/>
      <c r="V1550" s="255"/>
      <c r="W1550" s="34"/>
    </row>
    <row r="1551" spans="14:23">
      <c r="N1551" s="34"/>
      <c r="O1551" s="34"/>
      <c r="P1551" s="34"/>
      <c r="Q1551" s="34"/>
      <c r="R1551" s="34"/>
      <c r="S1551" s="38"/>
      <c r="T1551" s="38"/>
      <c r="U1551" s="34"/>
      <c r="V1551" s="255"/>
      <c r="W1551" s="34"/>
    </row>
    <row r="1552" spans="14:23">
      <c r="N1552" s="34"/>
      <c r="O1552" s="34"/>
      <c r="P1552" s="34"/>
      <c r="Q1552" s="34"/>
      <c r="R1552" s="34"/>
      <c r="S1552" s="38"/>
      <c r="T1552" s="38"/>
      <c r="U1552" s="34"/>
      <c r="V1552" s="255"/>
      <c r="W1552" s="34"/>
    </row>
    <row r="1553" spans="14:23">
      <c r="N1553" s="34"/>
      <c r="O1553" s="34"/>
      <c r="P1553" s="34"/>
      <c r="Q1553" s="34"/>
      <c r="R1553" s="34"/>
      <c r="S1553" s="38"/>
      <c r="T1553" s="38"/>
      <c r="U1553" s="34"/>
      <c r="V1553" s="255"/>
      <c r="W1553" s="34"/>
    </row>
    <row r="1554" spans="14:23">
      <c r="N1554" s="34"/>
      <c r="O1554" s="34"/>
      <c r="P1554" s="34"/>
      <c r="Q1554" s="34"/>
      <c r="R1554" s="34"/>
      <c r="S1554" s="38"/>
      <c r="T1554" s="38"/>
      <c r="U1554" s="34"/>
      <c r="V1554" s="255"/>
      <c r="W1554" s="34"/>
    </row>
    <row r="1555" spans="14:23">
      <c r="N1555" s="34"/>
      <c r="O1555" s="34"/>
      <c r="P1555" s="34"/>
      <c r="Q1555" s="34"/>
      <c r="R1555" s="34"/>
      <c r="S1555" s="38"/>
      <c r="T1555" s="38"/>
      <c r="U1555" s="34"/>
      <c r="V1555" s="255"/>
      <c r="W1555" s="34"/>
    </row>
    <row r="1556" spans="14:23">
      <c r="N1556" s="34"/>
      <c r="O1556" s="34"/>
      <c r="P1556" s="34"/>
      <c r="Q1556" s="34"/>
      <c r="R1556" s="34"/>
      <c r="S1556" s="38"/>
      <c r="T1556" s="38"/>
      <c r="U1556" s="34"/>
      <c r="V1556" s="255"/>
      <c r="W1556" s="34"/>
    </row>
    <row r="1557" spans="14:23">
      <c r="N1557" s="34"/>
      <c r="O1557" s="34"/>
      <c r="P1557" s="34"/>
      <c r="Q1557" s="34"/>
      <c r="R1557" s="34"/>
      <c r="S1557" s="38"/>
      <c r="T1557" s="38"/>
      <c r="U1557" s="34"/>
      <c r="V1557" s="255"/>
      <c r="W1557" s="34"/>
    </row>
    <row r="1558" spans="14:23">
      <c r="N1558" s="34"/>
      <c r="O1558" s="34"/>
      <c r="P1558" s="34"/>
      <c r="Q1558" s="34"/>
      <c r="R1558" s="34"/>
      <c r="S1558" s="38"/>
      <c r="T1558" s="38"/>
      <c r="U1558" s="34"/>
      <c r="V1558" s="255"/>
      <c r="W1558" s="34"/>
    </row>
    <row r="1559" spans="14:23">
      <c r="N1559" s="34"/>
      <c r="O1559" s="34"/>
      <c r="P1559" s="34"/>
      <c r="Q1559" s="34"/>
      <c r="R1559" s="34"/>
      <c r="S1559" s="38"/>
      <c r="T1559" s="38"/>
      <c r="U1559" s="34"/>
      <c r="V1559" s="255"/>
      <c r="W1559" s="34"/>
    </row>
    <row r="1560" spans="14:23">
      <c r="N1560" s="34"/>
      <c r="O1560" s="34"/>
      <c r="P1560" s="34"/>
      <c r="Q1560" s="34"/>
      <c r="R1560" s="34"/>
      <c r="S1560" s="38"/>
      <c r="T1560" s="38"/>
      <c r="U1560" s="34"/>
      <c r="V1560" s="255"/>
      <c r="W1560" s="34"/>
    </row>
    <row r="1561" spans="14:23">
      <c r="N1561" s="34"/>
      <c r="O1561" s="34"/>
      <c r="P1561" s="34"/>
      <c r="Q1561" s="34"/>
      <c r="R1561" s="34"/>
      <c r="S1561" s="38"/>
      <c r="T1561" s="38"/>
      <c r="U1561" s="34"/>
      <c r="V1561" s="255"/>
      <c r="W1561" s="34"/>
    </row>
    <row r="1562" spans="14:23">
      <c r="N1562" s="34"/>
      <c r="O1562" s="34"/>
      <c r="P1562" s="34"/>
      <c r="Q1562" s="34"/>
      <c r="R1562" s="34"/>
      <c r="S1562" s="38"/>
      <c r="T1562" s="38"/>
      <c r="U1562" s="34"/>
      <c r="V1562" s="255"/>
      <c r="W1562" s="34"/>
    </row>
    <row r="1563" spans="14:23">
      <c r="N1563" s="34"/>
      <c r="O1563" s="34"/>
      <c r="P1563" s="34"/>
      <c r="Q1563" s="34"/>
      <c r="R1563" s="34"/>
      <c r="S1563" s="38"/>
      <c r="T1563" s="38"/>
      <c r="U1563" s="34"/>
      <c r="V1563" s="255"/>
      <c r="W1563" s="34"/>
    </row>
    <row r="1564" spans="14:23">
      <c r="N1564" s="34"/>
      <c r="O1564" s="34"/>
      <c r="P1564" s="34"/>
      <c r="Q1564" s="34"/>
      <c r="R1564" s="34"/>
      <c r="S1564" s="38"/>
      <c r="T1564" s="38"/>
      <c r="U1564" s="34"/>
      <c r="V1564" s="255"/>
      <c r="W1564" s="34"/>
    </row>
    <row r="1565" spans="14:23">
      <c r="N1565" s="34"/>
      <c r="O1565" s="34"/>
      <c r="P1565" s="34"/>
      <c r="Q1565" s="34"/>
      <c r="R1565" s="34"/>
      <c r="S1565" s="38"/>
      <c r="T1565" s="38"/>
      <c r="U1565" s="34"/>
      <c r="V1565" s="255"/>
      <c r="W1565" s="34"/>
    </row>
    <row r="1566" spans="14:23">
      <c r="N1566" s="34"/>
      <c r="O1566" s="34"/>
      <c r="P1566" s="34"/>
      <c r="Q1566" s="34"/>
      <c r="R1566" s="34"/>
      <c r="S1566" s="38"/>
      <c r="T1566" s="38"/>
      <c r="U1566" s="34"/>
      <c r="V1566" s="255"/>
      <c r="W1566" s="34"/>
    </row>
    <row r="1567" spans="14:23">
      <c r="N1567" s="34"/>
      <c r="O1567" s="34"/>
      <c r="P1567" s="34"/>
      <c r="Q1567" s="34"/>
      <c r="R1567" s="34"/>
      <c r="S1567" s="38"/>
      <c r="T1567" s="38"/>
      <c r="U1567" s="34"/>
      <c r="V1567" s="255"/>
      <c r="W1567" s="34"/>
    </row>
    <row r="1568" spans="14:23">
      <c r="N1568" s="34"/>
      <c r="O1568" s="34"/>
      <c r="P1568" s="34"/>
      <c r="Q1568" s="34"/>
      <c r="R1568" s="34"/>
      <c r="S1568" s="38"/>
      <c r="T1568" s="38"/>
      <c r="U1568" s="34"/>
      <c r="V1568" s="255"/>
      <c r="W1568" s="34"/>
    </row>
    <row r="1569" spans="14:23">
      <c r="N1569" s="34"/>
      <c r="O1569" s="34"/>
      <c r="P1569" s="34"/>
      <c r="Q1569" s="34"/>
      <c r="R1569" s="34"/>
      <c r="S1569" s="38"/>
      <c r="T1569" s="38"/>
      <c r="U1569" s="34"/>
      <c r="V1569" s="255"/>
      <c r="W1569" s="34"/>
    </row>
    <row r="1570" spans="14:23">
      <c r="N1570" s="34"/>
      <c r="O1570" s="34"/>
      <c r="P1570" s="34"/>
      <c r="Q1570" s="34"/>
      <c r="R1570" s="34"/>
      <c r="S1570" s="38"/>
      <c r="T1570" s="38"/>
      <c r="U1570" s="34"/>
      <c r="V1570" s="255"/>
      <c r="W1570" s="34"/>
    </row>
    <row r="1571" spans="14:23">
      <c r="N1571" s="34"/>
      <c r="O1571" s="34"/>
      <c r="P1571" s="34"/>
      <c r="Q1571" s="34"/>
      <c r="R1571" s="34"/>
      <c r="S1571" s="38"/>
      <c r="T1571" s="38"/>
      <c r="U1571" s="34"/>
      <c r="V1571" s="255"/>
      <c r="W1571" s="34"/>
    </row>
    <row r="1572" spans="14:23">
      <c r="N1572" s="34"/>
      <c r="O1572" s="34"/>
      <c r="P1572" s="34"/>
      <c r="Q1572" s="34"/>
      <c r="R1572" s="34"/>
      <c r="S1572" s="38"/>
      <c r="T1572" s="38"/>
      <c r="U1572" s="34"/>
      <c r="V1572" s="255"/>
      <c r="W1572" s="34"/>
    </row>
    <row r="1573" spans="14:23">
      <c r="N1573" s="34"/>
      <c r="O1573" s="34"/>
      <c r="P1573" s="34"/>
      <c r="Q1573" s="34"/>
      <c r="R1573" s="34"/>
      <c r="S1573" s="38"/>
      <c r="T1573" s="38"/>
      <c r="U1573" s="34"/>
      <c r="V1573" s="255"/>
      <c r="W1573" s="34"/>
    </row>
    <row r="1574" spans="14:23">
      <c r="N1574" s="34"/>
      <c r="O1574" s="34"/>
      <c r="P1574" s="34"/>
      <c r="Q1574" s="34"/>
      <c r="R1574" s="34"/>
      <c r="S1574" s="38"/>
      <c r="T1574" s="38"/>
      <c r="U1574" s="34"/>
      <c r="V1574" s="255"/>
      <c r="W1574" s="34"/>
    </row>
    <row r="1575" spans="14:23">
      <c r="N1575" s="34"/>
      <c r="O1575" s="34"/>
      <c r="P1575" s="34"/>
      <c r="Q1575" s="34"/>
      <c r="R1575" s="34"/>
      <c r="S1575" s="38"/>
      <c r="T1575" s="38"/>
      <c r="U1575" s="34"/>
      <c r="V1575" s="255"/>
      <c r="W1575" s="34"/>
    </row>
    <row r="1576" spans="14:23">
      <c r="N1576" s="34"/>
      <c r="O1576" s="34"/>
      <c r="P1576" s="34"/>
      <c r="Q1576" s="34"/>
      <c r="R1576" s="34"/>
      <c r="S1576" s="38"/>
      <c r="T1576" s="38"/>
      <c r="U1576" s="34"/>
      <c r="V1576" s="255"/>
      <c r="W1576" s="34"/>
    </row>
    <row r="1577" spans="14:23">
      <c r="N1577" s="34"/>
      <c r="O1577" s="34"/>
      <c r="P1577" s="34"/>
      <c r="Q1577" s="34"/>
      <c r="R1577" s="34"/>
      <c r="S1577" s="38"/>
      <c r="T1577" s="38"/>
      <c r="U1577" s="34"/>
      <c r="V1577" s="255"/>
      <c r="W1577" s="34"/>
    </row>
    <row r="1578" spans="14:23">
      <c r="N1578" s="34"/>
      <c r="O1578" s="34"/>
      <c r="P1578" s="34"/>
      <c r="Q1578" s="34"/>
      <c r="R1578" s="34"/>
      <c r="S1578" s="38"/>
      <c r="T1578" s="38"/>
      <c r="U1578" s="34"/>
      <c r="V1578" s="255"/>
      <c r="W1578" s="34"/>
    </row>
    <row r="1579" spans="14:23">
      <c r="N1579" s="34"/>
      <c r="O1579" s="34"/>
      <c r="P1579" s="34"/>
      <c r="Q1579" s="34"/>
      <c r="R1579" s="34"/>
      <c r="S1579" s="38"/>
      <c r="T1579" s="38"/>
      <c r="U1579" s="34"/>
      <c r="V1579" s="255"/>
      <c r="W1579" s="34"/>
    </row>
    <row r="1580" spans="14:23">
      <c r="N1580" s="34"/>
      <c r="O1580" s="34"/>
      <c r="P1580" s="34"/>
      <c r="Q1580" s="34"/>
      <c r="R1580" s="34"/>
      <c r="S1580" s="38"/>
      <c r="T1580" s="38"/>
      <c r="U1580" s="34"/>
      <c r="V1580" s="255"/>
      <c r="W1580" s="34"/>
    </row>
    <row r="1581" spans="14:23">
      <c r="N1581" s="34"/>
      <c r="O1581" s="34"/>
      <c r="P1581" s="34"/>
      <c r="Q1581" s="34"/>
      <c r="R1581" s="34"/>
      <c r="S1581" s="38"/>
      <c r="T1581" s="38"/>
      <c r="U1581" s="34"/>
      <c r="V1581" s="255"/>
      <c r="W1581" s="34"/>
    </row>
    <row r="1582" spans="14:23">
      <c r="N1582" s="34"/>
      <c r="O1582" s="34"/>
      <c r="P1582" s="34"/>
      <c r="Q1582" s="34"/>
      <c r="R1582" s="34"/>
      <c r="S1582" s="38"/>
      <c r="T1582" s="38"/>
      <c r="U1582" s="34"/>
      <c r="V1582" s="255"/>
      <c r="W1582" s="34"/>
    </row>
    <row r="1583" spans="14:23">
      <c r="N1583" s="34"/>
      <c r="O1583" s="34"/>
      <c r="P1583" s="34"/>
      <c r="Q1583" s="34"/>
      <c r="R1583" s="34"/>
      <c r="S1583" s="38"/>
      <c r="T1583" s="38"/>
      <c r="U1583" s="34"/>
      <c r="V1583" s="255"/>
      <c r="W1583" s="34"/>
    </row>
    <row r="1584" spans="14:23">
      <c r="N1584" s="34"/>
      <c r="O1584" s="34"/>
      <c r="P1584" s="34"/>
      <c r="Q1584" s="34"/>
      <c r="R1584" s="34"/>
      <c r="S1584" s="38"/>
      <c r="T1584" s="38"/>
      <c r="U1584" s="34"/>
      <c r="V1584" s="255"/>
      <c r="W1584" s="34"/>
    </row>
    <row r="1585" spans="14:23">
      <c r="N1585" s="34"/>
      <c r="O1585" s="34"/>
      <c r="P1585" s="34"/>
      <c r="Q1585" s="34"/>
      <c r="R1585" s="34"/>
      <c r="S1585" s="38"/>
      <c r="T1585" s="38"/>
      <c r="U1585" s="34"/>
      <c r="V1585" s="255"/>
      <c r="W1585" s="34"/>
    </row>
    <row r="1586" spans="14:23">
      <c r="N1586" s="34"/>
      <c r="O1586" s="34"/>
      <c r="P1586" s="34"/>
      <c r="Q1586" s="34"/>
      <c r="R1586" s="34"/>
      <c r="S1586" s="38"/>
      <c r="T1586" s="38"/>
      <c r="U1586" s="34"/>
      <c r="V1586" s="255"/>
      <c r="W1586" s="34"/>
    </row>
    <row r="1587" spans="14:23">
      <c r="N1587" s="34"/>
      <c r="O1587" s="34"/>
      <c r="P1587" s="34"/>
      <c r="Q1587" s="34"/>
      <c r="R1587" s="34"/>
      <c r="S1587" s="38"/>
      <c r="T1587" s="38"/>
      <c r="U1587" s="34"/>
      <c r="V1587" s="255"/>
      <c r="W1587" s="34"/>
    </row>
    <row r="1588" spans="14:23">
      <c r="N1588" s="34"/>
      <c r="O1588" s="34"/>
      <c r="P1588" s="34"/>
      <c r="Q1588" s="34"/>
      <c r="R1588" s="34"/>
      <c r="S1588" s="38"/>
      <c r="T1588" s="38"/>
      <c r="U1588" s="34"/>
      <c r="V1588" s="255"/>
      <c r="W1588" s="34"/>
    </row>
    <row r="1589" spans="14:23">
      <c r="N1589" s="34"/>
      <c r="O1589" s="34"/>
      <c r="P1589" s="34"/>
      <c r="Q1589" s="34"/>
      <c r="R1589" s="34"/>
      <c r="S1589" s="38"/>
      <c r="T1589" s="38"/>
      <c r="U1589" s="34"/>
      <c r="V1589" s="255"/>
      <c r="W1589" s="34"/>
    </row>
    <row r="1590" spans="14:23">
      <c r="N1590" s="34"/>
      <c r="O1590" s="34"/>
      <c r="P1590" s="34"/>
      <c r="Q1590" s="34"/>
      <c r="R1590" s="34"/>
      <c r="S1590" s="38"/>
      <c r="T1590" s="38"/>
      <c r="U1590" s="34"/>
      <c r="V1590" s="255"/>
      <c r="W1590" s="34"/>
    </row>
    <row r="1591" spans="14:23">
      <c r="N1591" s="34"/>
      <c r="O1591" s="34"/>
      <c r="P1591" s="34"/>
      <c r="Q1591" s="34"/>
      <c r="R1591" s="34"/>
      <c r="S1591" s="38"/>
      <c r="T1591" s="38"/>
      <c r="U1591" s="34"/>
      <c r="V1591" s="255"/>
      <c r="W1591" s="34"/>
    </row>
    <row r="1592" spans="14:23">
      <c r="N1592" s="34"/>
      <c r="O1592" s="34"/>
      <c r="P1592" s="34"/>
      <c r="Q1592" s="34"/>
      <c r="R1592" s="34"/>
      <c r="S1592" s="38"/>
      <c r="T1592" s="38"/>
      <c r="U1592" s="34"/>
      <c r="V1592" s="255"/>
      <c r="W1592" s="34"/>
    </row>
    <row r="1593" spans="14:23">
      <c r="N1593" s="34"/>
      <c r="O1593" s="34"/>
      <c r="P1593" s="34"/>
      <c r="Q1593" s="34"/>
      <c r="R1593" s="34"/>
      <c r="S1593" s="307"/>
      <c r="T1593" s="307"/>
      <c r="U1593" s="34"/>
      <c r="V1593" s="255"/>
      <c r="W1593" s="34"/>
    </row>
    <row r="1594" spans="14:23">
      <c r="N1594" s="34"/>
      <c r="O1594" s="34"/>
      <c r="P1594" s="34"/>
      <c r="Q1594" s="34"/>
      <c r="R1594" s="34"/>
      <c r="S1594" s="34"/>
      <c r="T1594" s="34"/>
      <c r="U1594" s="34"/>
      <c r="V1594" s="255"/>
      <c r="W1594" s="34"/>
    </row>
    <row r="1595" spans="14:23">
      <c r="N1595" s="34"/>
      <c r="O1595" s="34"/>
      <c r="P1595" s="34"/>
      <c r="Q1595" s="34"/>
      <c r="R1595" s="34"/>
      <c r="S1595" s="34"/>
      <c r="T1595" s="34"/>
      <c r="U1595" s="34"/>
      <c r="V1595" s="255"/>
      <c r="W1595" s="34"/>
    </row>
    <row r="1596" spans="14:23">
      <c r="N1596" s="34"/>
      <c r="O1596" s="34"/>
      <c r="P1596" s="34"/>
      <c r="Q1596" s="34"/>
      <c r="R1596" s="34"/>
      <c r="S1596" s="34"/>
      <c r="T1596" s="34"/>
      <c r="U1596" s="34"/>
      <c r="V1596" s="255"/>
      <c r="W1596" s="34"/>
    </row>
    <row r="1597" spans="14:23">
      <c r="N1597" s="34"/>
      <c r="O1597" s="34"/>
      <c r="P1597" s="34"/>
      <c r="Q1597" s="34"/>
      <c r="R1597" s="34"/>
      <c r="S1597" s="34"/>
      <c r="T1597" s="34"/>
      <c r="U1597" s="34"/>
      <c r="V1597" s="255"/>
      <c r="W1597" s="34"/>
    </row>
    <row r="1598" spans="14:23">
      <c r="N1598" s="34"/>
      <c r="O1598" s="34"/>
      <c r="P1598" s="34"/>
      <c r="Q1598" s="34"/>
      <c r="R1598" s="34"/>
      <c r="S1598" s="34"/>
      <c r="T1598" s="34"/>
      <c r="U1598" s="34"/>
      <c r="V1598" s="255"/>
      <c r="W1598" s="34"/>
    </row>
    <row r="1599" spans="14:23">
      <c r="N1599" s="34"/>
      <c r="O1599" s="34"/>
      <c r="P1599" s="34"/>
      <c r="Q1599" s="34"/>
      <c r="R1599" s="34"/>
      <c r="S1599" s="34"/>
      <c r="T1599" s="34"/>
      <c r="U1599" s="34"/>
      <c r="V1599" s="255"/>
      <c r="W1599" s="34"/>
    </row>
    <row r="1600" spans="14:23">
      <c r="N1600" s="34"/>
      <c r="O1600" s="34"/>
      <c r="P1600" s="34"/>
      <c r="Q1600" s="34"/>
      <c r="R1600" s="34"/>
      <c r="S1600" s="34"/>
      <c r="T1600" s="34"/>
      <c r="U1600" s="34"/>
      <c r="V1600" s="255"/>
      <c r="W1600" s="34"/>
    </row>
    <row r="1601" spans="14:23">
      <c r="N1601" s="34"/>
      <c r="O1601" s="34"/>
      <c r="P1601" s="34"/>
      <c r="Q1601" s="34"/>
      <c r="R1601" s="34"/>
      <c r="S1601" s="34"/>
      <c r="T1601" s="34"/>
      <c r="U1601" s="34"/>
      <c r="V1601" s="255"/>
      <c r="W1601" s="34"/>
    </row>
    <row r="1602" spans="14:23">
      <c r="N1602" s="34"/>
      <c r="O1602" s="34"/>
      <c r="P1602" s="34"/>
      <c r="Q1602" s="34"/>
      <c r="R1602" s="34"/>
      <c r="S1602" s="34"/>
      <c r="T1602" s="34"/>
      <c r="U1602" s="34"/>
      <c r="V1602" s="255"/>
      <c r="W1602" s="34"/>
    </row>
    <row r="1603" spans="14:23">
      <c r="N1603" s="34"/>
      <c r="O1603" s="34"/>
      <c r="P1603" s="34"/>
      <c r="Q1603" s="34"/>
      <c r="R1603" s="34"/>
      <c r="S1603" s="34"/>
      <c r="T1603" s="34"/>
      <c r="U1603" s="34"/>
      <c r="V1603" s="255"/>
      <c r="W1603" s="34"/>
    </row>
    <row r="1604" spans="14:23">
      <c r="N1604" s="34"/>
      <c r="O1604" s="34"/>
      <c r="P1604" s="34"/>
      <c r="Q1604" s="34"/>
      <c r="R1604" s="34"/>
      <c r="S1604" s="34"/>
      <c r="T1604" s="34"/>
      <c r="U1604" s="34"/>
      <c r="V1604" s="255"/>
      <c r="W1604" s="34"/>
    </row>
    <row r="1605" spans="14:23">
      <c r="N1605" s="34"/>
      <c r="O1605" s="34"/>
      <c r="P1605" s="34"/>
      <c r="Q1605" s="34"/>
      <c r="R1605" s="34"/>
      <c r="S1605" s="34"/>
      <c r="T1605" s="34"/>
      <c r="U1605" s="34"/>
      <c r="V1605" s="255"/>
      <c r="W1605" s="34"/>
    </row>
    <row r="1606" spans="14:23">
      <c r="N1606" s="34"/>
      <c r="O1606" s="34"/>
      <c r="P1606" s="34"/>
      <c r="Q1606" s="34"/>
      <c r="R1606" s="34"/>
      <c r="S1606" s="34"/>
      <c r="T1606" s="34"/>
      <c r="U1606" s="34"/>
      <c r="V1606" s="255"/>
      <c r="W1606" s="34"/>
    </row>
    <row r="1607" spans="14:23">
      <c r="N1607" s="34"/>
      <c r="O1607" s="34"/>
      <c r="P1607" s="34"/>
      <c r="Q1607" s="34"/>
      <c r="R1607" s="34"/>
      <c r="S1607" s="34"/>
      <c r="T1607" s="34"/>
      <c r="U1607" s="34"/>
      <c r="V1607" s="255"/>
      <c r="W1607" s="34"/>
    </row>
    <row r="1608" spans="14:23">
      <c r="N1608" s="34"/>
      <c r="O1608" s="34"/>
      <c r="P1608" s="34"/>
      <c r="Q1608" s="34"/>
      <c r="R1608" s="34"/>
      <c r="S1608" s="34"/>
      <c r="T1608" s="34"/>
      <c r="U1608" s="34"/>
      <c r="V1608" s="255"/>
      <c r="W1608" s="34"/>
    </row>
    <row r="1609" spans="14:23">
      <c r="N1609" s="34"/>
      <c r="O1609" s="34"/>
      <c r="P1609" s="34"/>
      <c r="Q1609" s="34"/>
      <c r="R1609" s="34"/>
      <c r="S1609" s="34"/>
      <c r="T1609" s="34"/>
      <c r="U1609" s="34"/>
      <c r="V1609" s="255"/>
      <c r="W1609" s="34"/>
    </row>
    <row r="1610" spans="14:23">
      <c r="N1610" s="34"/>
      <c r="O1610" s="34"/>
      <c r="P1610" s="34"/>
      <c r="Q1610" s="34"/>
      <c r="R1610" s="34"/>
      <c r="S1610" s="34"/>
      <c r="T1610" s="34"/>
      <c r="U1610" s="34"/>
      <c r="V1610" s="255"/>
      <c r="W1610" s="34"/>
    </row>
    <row r="1611" spans="14:23">
      <c r="N1611" s="34"/>
      <c r="O1611" s="34"/>
      <c r="P1611" s="34"/>
      <c r="Q1611" s="34"/>
      <c r="R1611" s="34"/>
      <c r="S1611" s="34"/>
      <c r="T1611" s="34"/>
      <c r="U1611" s="34"/>
      <c r="V1611" s="255"/>
      <c r="W1611" s="34"/>
    </row>
    <row r="1612" spans="14:23">
      <c r="N1612" s="34"/>
      <c r="O1612" s="34"/>
      <c r="P1612" s="34"/>
      <c r="Q1612" s="34"/>
      <c r="R1612" s="34"/>
      <c r="S1612" s="34"/>
      <c r="T1612" s="34"/>
      <c r="U1612" s="34"/>
      <c r="V1612" s="255"/>
      <c r="W1612" s="34"/>
    </row>
    <row r="1613" spans="14:23">
      <c r="N1613" s="34"/>
      <c r="O1613" s="34"/>
      <c r="P1613" s="34"/>
      <c r="Q1613" s="34"/>
      <c r="R1613" s="34"/>
      <c r="S1613" s="34"/>
      <c r="T1613" s="34"/>
      <c r="U1613" s="34"/>
      <c r="V1613" s="255"/>
      <c r="W1613" s="34"/>
    </row>
    <row r="1614" spans="14:23">
      <c r="N1614" s="34"/>
      <c r="O1614" s="34"/>
      <c r="P1614" s="34"/>
      <c r="Q1614" s="34"/>
      <c r="R1614" s="34"/>
      <c r="S1614" s="34"/>
      <c r="T1614" s="34"/>
      <c r="U1614" s="34"/>
      <c r="V1614" s="255"/>
      <c r="W1614" s="34"/>
    </row>
    <row r="1615" spans="14:23">
      <c r="N1615" s="34"/>
      <c r="O1615" s="34"/>
      <c r="P1615" s="34"/>
      <c r="Q1615" s="34"/>
      <c r="R1615" s="34"/>
      <c r="S1615" s="34"/>
      <c r="T1615" s="34"/>
      <c r="U1615" s="34"/>
      <c r="V1615" s="255"/>
      <c r="W1615" s="34"/>
    </row>
    <row r="1616" spans="14:23">
      <c r="N1616" s="34"/>
      <c r="O1616" s="34"/>
      <c r="P1616" s="34"/>
      <c r="Q1616" s="34"/>
      <c r="R1616" s="34"/>
      <c r="S1616" s="34"/>
      <c r="T1616" s="34"/>
      <c r="U1616" s="34"/>
      <c r="V1616" s="255"/>
      <c r="W1616" s="34"/>
    </row>
    <row r="1617" spans="14:23">
      <c r="N1617" s="34"/>
      <c r="O1617" s="34"/>
      <c r="P1617" s="34"/>
      <c r="Q1617" s="34"/>
      <c r="R1617" s="34"/>
      <c r="S1617" s="34"/>
      <c r="T1617" s="34"/>
      <c r="U1617" s="34"/>
      <c r="V1617" s="255"/>
      <c r="W1617" s="34"/>
    </row>
    <row r="1618" spans="14:23">
      <c r="N1618" s="34"/>
      <c r="O1618" s="34"/>
      <c r="P1618" s="34"/>
      <c r="Q1618" s="34"/>
      <c r="R1618" s="34"/>
      <c r="S1618" s="34"/>
      <c r="T1618" s="34"/>
      <c r="U1618" s="34"/>
      <c r="V1618" s="255"/>
      <c r="W1618" s="34"/>
    </row>
    <row r="1619" spans="14:23">
      <c r="N1619" s="34"/>
      <c r="O1619" s="34"/>
      <c r="P1619" s="34"/>
      <c r="Q1619" s="34"/>
      <c r="R1619" s="34"/>
      <c r="S1619" s="34"/>
      <c r="T1619" s="34"/>
      <c r="U1619" s="34"/>
      <c r="V1619" s="255"/>
      <c r="W1619" s="34"/>
    </row>
    <row r="1620" spans="14:23">
      <c r="N1620" s="34"/>
      <c r="O1620" s="34"/>
      <c r="P1620" s="34"/>
      <c r="Q1620" s="34"/>
      <c r="R1620" s="34"/>
      <c r="S1620" s="34"/>
      <c r="T1620" s="34"/>
      <c r="U1620" s="34"/>
      <c r="V1620" s="255"/>
      <c r="W1620" s="34"/>
    </row>
    <row r="1621" spans="14:23">
      <c r="N1621" s="34"/>
      <c r="O1621" s="34"/>
      <c r="P1621" s="34"/>
      <c r="Q1621" s="34"/>
      <c r="R1621" s="34"/>
      <c r="S1621" s="34"/>
      <c r="T1621" s="34"/>
      <c r="U1621" s="34"/>
      <c r="V1621" s="255"/>
      <c r="W1621" s="34"/>
    </row>
    <row r="1622" spans="14:23">
      <c r="N1622" s="34"/>
      <c r="O1622" s="34"/>
      <c r="P1622" s="34"/>
      <c r="Q1622" s="34"/>
      <c r="R1622" s="34"/>
      <c r="S1622" s="34"/>
      <c r="T1622" s="34"/>
      <c r="U1622" s="34"/>
      <c r="V1622" s="255"/>
      <c r="W1622" s="34"/>
    </row>
    <row r="1623" spans="14:23">
      <c r="N1623" s="34"/>
      <c r="O1623" s="34"/>
      <c r="P1623" s="34"/>
      <c r="Q1623" s="34"/>
      <c r="R1623" s="34"/>
      <c r="S1623" s="34"/>
      <c r="T1623" s="34"/>
      <c r="U1623" s="34"/>
      <c r="V1623" s="255"/>
      <c r="W1623" s="34"/>
    </row>
    <row r="1624" spans="14:23">
      <c r="N1624" s="34"/>
      <c r="O1624" s="34"/>
      <c r="P1624" s="34"/>
      <c r="Q1624" s="34"/>
      <c r="R1624" s="34"/>
      <c r="S1624" s="34"/>
      <c r="T1624" s="34"/>
      <c r="U1624" s="34"/>
      <c r="V1624" s="255"/>
      <c r="W1624" s="34"/>
    </row>
    <row r="1625" spans="14:23">
      <c r="N1625" s="34"/>
      <c r="O1625" s="34"/>
      <c r="P1625" s="34"/>
      <c r="Q1625" s="34"/>
      <c r="R1625" s="34"/>
      <c r="S1625" s="34"/>
      <c r="T1625" s="34"/>
      <c r="U1625" s="34"/>
      <c r="V1625" s="255"/>
      <c r="W1625" s="34"/>
    </row>
    <row r="1626" spans="14:23">
      <c r="N1626" s="34"/>
      <c r="O1626" s="34"/>
      <c r="P1626" s="34"/>
      <c r="Q1626" s="34"/>
      <c r="R1626" s="34"/>
      <c r="S1626" s="34"/>
      <c r="T1626" s="34"/>
      <c r="U1626" s="34"/>
      <c r="V1626" s="255"/>
      <c r="W1626" s="34"/>
    </row>
    <row r="1627" spans="14:23">
      <c r="N1627" s="34"/>
      <c r="O1627" s="34"/>
      <c r="P1627" s="34"/>
      <c r="Q1627" s="34"/>
      <c r="R1627" s="34"/>
      <c r="S1627" s="34"/>
      <c r="T1627" s="34"/>
      <c r="U1627" s="34"/>
      <c r="V1627" s="255"/>
      <c r="W1627" s="34"/>
    </row>
    <row r="1628" spans="14:23">
      <c r="N1628" s="34"/>
      <c r="O1628" s="34"/>
      <c r="P1628" s="34"/>
      <c r="Q1628" s="34"/>
      <c r="R1628" s="34"/>
      <c r="S1628" s="34"/>
      <c r="T1628" s="34"/>
      <c r="U1628" s="34"/>
      <c r="V1628" s="255"/>
      <c r="W1628" s="34"/>
    </row>
    <row r="1629" spans="14:23">
      <c r="N1629" s="34"/>
      <c r="O1629" s="34"/>
      <c r="P1629" s="34"/>
      <c r="Q1629" s="34"/>
      <c r="R1629" s="34"/>
      <c r="S1629" s="34"/>
      <c r="T1629" s="34"/>
      <c r="U1629" s="34"/>
      <c r="V1629" s="255"/>
      <c r="W1629" s="34"/>
    </row>
    <row r="1630" spans="14:23">
      <c r="N1630" s="34"/>
      <c r="O1630" s="34"/>
      <c r="P1630" s="34"/>
      <c r="Q1630" s="34"/>
      <c r="R1630" s="34"/>
      <c r="S1630" s="34"/>
      <c r="T1630" s="34"/>
      <c r="U1630" s="34"/>
      <c r="V1630" s="255"/>
      <c r="W1630" s="34"/>
    </row>
    <row r="1631" spans="14:23">
      <c r="N1631" s="34"/>
      <c r="O1631" s="34"/>
      <c r="P1631" s="34"/>
      <c r="Q1631" s="34"/>
      <c r="R1631" s="34"/>
      <c r="S1631" s="34"/>
      <c r="T1631" s="34"/>
      <c r="U1631" s="34"/>
      <c r="V1631" s="255"/>
      <c r="W1631" s="34"/>
    </row>
    <row r="1632" spans="14:23">
      <c r="N1632" s="34"/>
      <c r="O1632" s="34"/>
      <c r="P1632" s="34"/>
      <c r="Q1632" s="34"/>
      <c r="R1632" s="34"/>
      <c r="S1632" s="34"/>
      <c r="T1632" s="34"/>
      <c r="U1632" s="34"/>
      <c r="V1632" s="255"/>
      <c r="W1632" s="34"/>
    </row>
    <row r="1633" spans="14:23">
      <c r="N1633" s="34"/>
      <c r="O1633" s="34"/>
      <c r="P1633" s="34"/>
      <c r="Q1633" s="34"/>
      <c r="R1633" s="34"/>
      <c r="S1633" s="34"/>
      <c r="T1633" s="34"/>
      <c r="U1633" s="34"/>
      <c r="V1633" s="255"/>
      <c r="W1633" s="34"/>
    </row>
    <row r="1634" spans="14:23">
      <c r="N1634" s="34"/>
      <c r="O1634" s="34"/>
      <c r="P1634" s="34"/>
      <c r="Q1634" s="34"/>
      <c r="R1634" s="34"/>
      <c r="S1634" s="34"/>
      <c r="T1634" s="34"/>
      <c r="U1634" s="34"/>
      <c r="V1634" s="255"/>
      <c r="W1634" s="34"/>
    </row>
    <row r="1635" spans="14:23">
      <c r="N1635" s="34"/>
      <c r="O1635" s="34"/>
      <c r="P1635" s="34"/>
      <c r="Q1635" s="34"/>
      <c r="R1635" s="34"/>
      <c r="S1635" s="34"/>
      <c r="T1635" s="34"/>
      <c r="U1635" s="34"/>
      <c r="V1635" s="255"/>
      <c r="W1635" s="34"/>
    </row>
    <row r="1636" spans="14:23">
      <c r="N1636" s="34"/>
      <c r="O1636" s="34"/>
      <c r="P1636" s="34"/>
      <c r="Q1636" s="34"/>
      <c r="R1636" s="34"/>
      <c r="S1636" s="34"/>
      <c r="T1636" s="34"/>
      <c r="U1636" s="34"/>
      <c r="V1636" s="255"/>
      <c r="W1636" s="34"/>
    </row>
    <row r="1637" spans="14:23">
      <c r="N1637" s="34"/>
      <c r="O1637" s="34"/>
      <c r="P1637" s="34"/>
      <c r="Q1637" s="34"/>
      <c r="R1637" s="34"/>
      <c r="S1637" s="34"/>
      <c r="T1637" s="34"/>
      <c r="U1637" s="34"/>
      <c r="V1637" s="255"/>
      <c r="W1637" s="34"/>
    </row>
    <row r="1638" spans="14:23">
      <c r="N1638" s="34"/>
      <c r="O1638" s="34"/>
      <c r="P1638" s="34"/>
      <c r="Q1638" s="34"/>
      <c r="R1638" s="34"/>
      <c r="S1638" s="34"/>
      <c r="T1638" s="34"/>
      <c r="U1638" s="34"/>
      <c r="V1638" s="255"/>
      <c r="W1638" s="34"/>
    </row>
    <row r="1639" spans="14:23">
      <c r="N1639" s="34"/>
      <c r="O1639" s="34"/>
      <c r="P1639" s="34"/>
      <c r="Q1639" s="34"/>
      <c r="R1639" s="34"/>
      <c r="S1639" s="34"/>
      <c r="T1639" s="34"/>
      <c r="U1639" s="34"/>
      <c r="V1639" s="255"/>
      <c r="W1639" s="34"/>
    </row>
    <row r="1640" spans="14:23">
      <c r="N1640" s="34"/>
      <c r="O1640" s="34"/>
      <c r="P1640" s="34"/>
      <c r="Q1640" s="34"/>
      <c r="R1640" s="34"/>
      <c r="S1640" s="34"/>
      <c r="T1640" s="34"/>
      <c r="U1640" s="34"/>
      <c r="V1640" s="255"/>
      <c r="W1640" s="34"/>
    </row>
    <row r="1641" spans="14:23">
      <c r="N1641" s="34"/>
      <c r="O1641" s="34"/>
      <c r="P1641" s="34"/>
      <c r="Q1641" s="34"/>
      <c r="R1641" s="34"/>
      <c r="S1641" s="34"/>
      <c r="T1641" s="34"/>
      <c r="U1641" s="34"/>
      <c r="V1641" s="255"/>
      <c r="W1641" s="34"/>
    </row>
    <row r="1642" spans="14:23">
      <c r="N1642" s="34"/>
      <c r="O1642" s="34"/>
      <c r="P1642" s="34"/>
      <c r="Q1642" s="34"/>
      <c r="R1642" s="34"/>
      <c r="S1642" s="34"/>
      <c r="T1642" s="34"/>
      <c r="U1642" s="34"/>
      <c r="V1642" s="255"/>
      <c r="W1642" s="34"/>
    </row>
    <row r="1643" spans="14:23">
      <c r="N1643" s="34"/>
      <c r="O1643" s="34"/>
      <c r="P1643" s="34"/>
      <c r="Q1643" s="34"/>
      <c r="R1643" s="34"/>
      <c r="S1643" s="34"/>
      <c r="T1643" s="34"/>
      <c r="U1643" s="34"/>
      <c r="V1643" s="255"/>
      <c r="W1643" s="34"/>
    </row>
    <row r="1644" spans="14:23">
      <c r="N1644" s="34"/>
      <c r="O1644" s="34"/>
      <c r="P1644" s="34"/>
      <c r="Q1644" s="34"/>
      <c r="R1644" s="34"/>
      <c r="S1644" s="34"/>
      <c r="T1644" s="34"/>
      <c r="U1644" s="34"/>
      <c r="V1644" s="255"/>
      <c r="W1644" s="34"/>
    </row>
    <row r="1645" spans="14:23">
      <c r="N1645" s="34"/>
      <c r="O1645" s="34"/>
      <c r="P1645" s="34"/>
      <c r="Q1645" s="34"/>
      <c r="R1645" s="34"/>
      <c r="S1645" s="34"/>
      <c r="T1645" s="34"/>
      <c r="U1645" s="34"/>
      <c r="V1645" s="255"/>
      <c r="W1645" s="34"/>
    </row>
    <row r="1646" spans="14:23">
      <c r="N1646" s="34"/>
      <c r="O1646" s="34"/>
      <c r="P1646" s="34"/>
      <c r="Q1646" s="34"/>
      <c r="R1646" s="34"/>
      <c r="S1646" s="34"/>
      <c r="T1646" s="34"/>
      <c r="U1646" s="34"/>
      <c r="V1646" s="255"/>
      <c r="W1646" s="34"/>
    </row>
    <row r="1647" spans="14:23">
      <c r="N1647" s="34"/>
      <c r="O1647" s="34"/>
      <c r="P1647" s="34"/>
      <c r="Q1647" s="34"/>
      <c r="R1647" s="34"/>
      <c r="S1647" s="34"/>
      <c r="T1647" s="34"/>
      <c r="U1647" s="34"/>
      <c r="V1647" s="255"/>
      <c r="W1647" s="34"/>
    </row>
    <row r="1648" spans="14:23">
      <c r="N1648" s="34"/>
      <c r="O1648" s="34"/>
      <c r="P1648" s="34"/>
      <c r="Q1648" s="34"/>
      <c r="R1648" s="34"/>
      <c r="S1648" s="34"/>
      <c r="T1648" s="34"/>
      <c r="U1648" s="34"/>
      <c r="V1648" s="255"/>
      <c r="W1648" s="34"/>
    </row>
    <row r="1649" spans="14:23">
      <c r="N1649" s="34"/>
      <c r="O1649" s="34"/>
      <c r="P1649" s="34"/>
      <c r="Q1649" s="34"/>
      <c r="R1649" s="34"/>
      <c r="S1649" s="34"/>
      <c r="T1649" s="34"/>
      <c r="U1649" s="34"/>
      <c r="V1649" s="255"/>
      <c r="W1649" s="34"/>
    </row>
    <row r="1650" spans="14:23">
      <c r="N1650" s="34"/>
      <c r="O1650" s="34"/>
      <c r="P1650" s="34"/>
      <c r="Q1650" s="34"/>
      <c r="R1650" s="34"/>
      <c r="S1650" s="34"/>
      <c r="T1650" s="34"/>
      <c r="U1650" s="34"/>
      <c r="V1650" s="255"/>
      <c r="W1650" s="34"/>
    </row>
    <row r="1651" spans="14:23">
      <c r="N1651" s="34"/>
      <c r="O1651" s="34"/>
      <c r="P1651" s="34"/>
      <c r="Q1651" s="34"/>
      <c r="R1651" s="34"/>
      <c r="S1651" s="34"/>
      <c r="T1651" s="34"/>
      <c r="U1651" s="34"/>
      <c r="V1651" s="255"/>
      <c r="W1651" s="34"/>
    </row>
    <row r="1652" spans="14:23">
      <c r="N1652" s="34"/>
      <c r="O1652" s="34"/>
      <c r="P1652" s="34"/>
      <c r="Q1652" s="34"/>
      <c r="R1652" s="34"/>
      <c r="S1652" s="34"/>
      <c r="T1652" s="34"/>
      <c r="U1652" s="34"/>
      <c r="V1652" s="255"/>
      <c r="W1652" s="34"/>
    </row>
    <row r="1653" spans="14:23">
      <c r="N1653" s="34"/>
      <c r="O1653" s="34"/>
      <c r="P1653" s="34"/>
      <c r="Q1653" s="34"/>
      <c r="R1653" s="34"/>
      <c r="S1653" s="34"/>
      <c r="T1653" s="34"/>
      <c r="U1653" s="34"/>
      <c r="V1653" s="255"/>
      <c r="W1653" s="34"/>
    </row>
    <row r="1654" spans="14:23">
      <c r="N1654" s="34"/>
      <c r="O1654" s="34"/>
      <c r="P1654" s="34"/>
      <c r="Q1654" s="34"/>
      <c r="R1654" s="34"/>
      <c r="S1654" s="34"/>
      <c r="T1654" s="34"/>
      <c r="U1654" s="34"/>
      <c r="V1654" s="255"/>
      <c r="W1654" s="34"/>
    </row>
    <row r="1655" spans="14:23">
      <c r="N1655" s="34"/>
      <c r="O1655" s="34"/>
      <c r="P1655" s="34"/>
      <c r="Q1655" s="34"/>
      <c r="R1655" s="34"/>
      <c r="S1655" s="34"/>
      <c r="T1655" s="34"/>
      <c r="U1655" s="34"/>
      <c r="V1655" s="255"/>
      <c r="W1655" s="34"/>
    </row>
    <row r="1656" spans="14:23">
      <c r="N1656" s="34"/>
      <c r="O1656" s="34"/>
      <c r="P1656" s="34"/>
      <c r="Q1656" s="34"/>
      <c r="R1656" s="34"/>
      <c r="S1656" s="34"/>
      <c r="T1656" s="34"/>
      <c r="U1656" s="34"/>
      <c r="V1656" s="255"/>
      <c r="W1656" s="34"/>
    </row>
    <row r="1657" spans="14:23">
      <c r="N1657" s="34"/>
      <c r="O1657" s="34"/>
      <c r="P1657" s="34"/>
      <c r="Q1657" s="34"/>
      <c r="R1657" s="34"/>
      <c r="S1657" s="34"/>
      <c r="T1657" s="34"/>
      <c r="U1657" s="34"/>
      <c r="V1657" s="255"/>
      <c r="W1657" s="34"/>
    </row>
    <row r="1658" spans="14:23">
      <c r="N1658" s="34"/>
      <c r="O1658" s="34"/>
      <c r="P1658" s="34"/>
      <c r="Q1658" s="34"/>
      <c r="R1658" s="34"/>
      <c r="S1658" s="34"/>
      <c r="T1658" s="34"/>
      <c r="U1658" s="34"/>
      <c r="V1658" s="255"/>
      <c r="W1658" s="34"/>
    </row>
    <row r="1659" spans="14:23">
      <c r="N1659" s="34"/>
      <c r="O1659" s="34"/>
      <c r="P1659" s="34"/>
      <c r="Q1659" s="34"/>
      <c r="R1659" s="34"/>
      <c r="S1659" s="34"/>
      <c r="T1659" s="34"/>
      <c r="U1659" s="34"/>
      <c r="V1659" s="255"/>
      <c r="W1659" s="34"/>
    </row>
    <row r="1660" spans="14:23">
      <c r="N1660" s="34"/>
      <c r="O1660" s="34"/>
      <c r="P1660" s="34"/>
      <c r="Q1660" s="34"/>
      <c r="R1660" s="34"/>
      <c r="S1660" s="34"/>
      <c r="T1660" s="34"/>
      <c r="U1660" s="34"/>
      <c r="V1660" s="255"/>
      <c r="W1660" s="34"/>
    </row>
    <row r="1661" spans="14:23">
      <c r="N1661" s="34"/>
      <c r="O1661" s="34"/>
      <c r="P1661" s="34"/>
      <c r="Q1661" s="34"/>
      <c r="R1661" s="34"/>
      <c r="S1661" s="34"/>
      <c r="T1661" s="34"/>
      <c r="U1661" s="34"/>
      <c r="V1661" s="255"/>
      <c r="W1661" s="34"/>
    </row>
    <row r="1662" spans="14:23">
      <c r="N1662" s="34"/>
      <c r="O1662" s="34"/>
      <c r="P1662" s="34"/>
      <c r="Q1662" s="34"/>
      <c r="R1662" s="34"/>
      <c r="S1662" s="34"/>
      <c r="T1662" s="34"/>
      <c r="U1662" s="34"/>
      <c r="V1662" s="255"/>
      <c r="W1662" s="34"/>
    </row>
    <row r="1663" spans="14:23">
      <c r="N1663" s="34"/>
      <c r="O1663" s="34"/>
      <c r="P1663" s="34"/>
      <c r="Q1663" s="34"/>
      <c r="R1663" s="34"/>
      <c r="S1663" s="34"/>
      <c r="T1663" s="34"/>
      <c r="U1663" s="34"/>
      <c r="V1663" s="255"/>
      <c r="W1663" s="34"/>
    </row>
    <row r="1664" spans="14:23">
      <c r="N1664" s="34"/>
      <c r="O1664" s="34"/>
      <c r="P1664" s="34"/>
      <c r="Q1664" s="34"/>
      <c r="R1664" s="34"/>
      <c r="S1664" s="34"/>
      <c r="T1664" s="34"/>
      <c r="U1664" s="34"/>
      <c r="V1664" s="255"/>
      <c r="W1664" s="34"/>
    </row>
    <row r="1665" spans="14:23">
      <c r="N1665" s="34"/>
      <c r="O1665" s="34"/>
      <c r="P1665" s="34"/>
      <c r="Q1665" s="34"/>
      <c r="R1665" s="34"/>
      <c r="S1665" s="34"/>
      <c r="T1665" s="34"/>
      <c r="U1665" s="34"/>
      <c r="V1665" s="255"/>
      <c r="W1665" s="34"/>
    </row>
    <row r="1666" spans="14:23">
      <c r="N1666" s="34"/>
      <c r="O1666" s="34"/>
      <c r="P1666" s="34"/>
      <c r="Q1666" s="34"/>
      <c r="R1666" s="34"/>
      <c r="S1666" s="34"/>
      <c r="T1666" s="34"/>
      <c r="U1666" s="34"/>
      <c r="V1666" s="255"/>
      <c r="W1666" s="34"/>
    </row>
    <row r="1667" spans="14:23">
      <c r="N1667" s="34"/>
      <c r="O1667" s="34"/>
      <c r="P1667" s="34"/>
      <c r="Q1667" s="34"/>
      <c r="R1667" s="34"/>
      <c r="S1667" s="34"/>
      <c r="T1667" s="34"/>
      <c r="U1667" s="34"/>
      <c r="V1667" s="255"/>
      <c r="W1667" s="34"/>
    </row>
    <row r="1668" spans="14:23">
      <c r="N1668" s="34"/>
      <c r="O1668" s="34"/>
      <c r="P1668" s="34"/>
      <c r="Q1668" s="34"/>
      <c r="R1668" s="34"/>
      <c r="S1668" s="34"/>
      <c r="T1668" s="34"/>
      <c r="U1668" s="34"/>
      <c r="V1668" s="255"/>
      <c r="W1668" s="34"/>
    </row>
    <row r="1669" spans="14:23">
      <c r="N1669" s="34"/>
      <c r="O1669" s="34"/>
      <c r="P1669" s="34"/>
      <c r="Q1669" s="34"/>
      <c r="R1669" s="34"/>
      <c r="S1669" s="34"/>
      <c r="T1669" s="34"/>
      <c r="U1669" s="34"/>
      <c r="V1669" s="255"/>
      <c r="W1669" s="34"/>
    </row>
    <row r="1670" spans="14:23">
      <c r="N1670" s="34"/>
      <c r="O1670" s="34"/>
      <c r="P1670" s="34"/>
      <c r="Q1670" s="34"/>
      <c r="R1670" s="34"/>
      <c r="S1670" s="34"/>
      <c r="T1670" s="34"/>
      <c r="U1670" s="34"/>
      <c r="V1670" s="255"/>
      <c r="W1670" s="34"/>
    </row>
    <row r="1671" spans="14:23">
      <c r="N1671" s="34"/>
      <c r="O1671" s="34"/>
      <c r="P1671" s="34"/>
      <c r="Q1671" s="34"/>
      <c r="R1671" s="34"/>
      <c r="S1671" s="34"/>
      <c r="T1671" s="34"/>
      <c r="U1671" s="34"/>
      <c r="V1671" s="255"/>
      <c r="W1671" s="34"/>
    </row>
    <row r="1672" spans="14:23">
      <c r="N1672" s="34"/>
      <c r="O1672" s="34"/>
      <c r="P1672" s="34"/>
      <c r="Q1672" s="34"/>
      <c r="R1672" s="34"/>
      <c r="S1672" s="34"/>
      <c r="T1672" s="34"/>
      <c r="U1672" s="34"/>
      <c r="V1672" s="255"/>
      <c r="W1672" s="34"/>
    </row>
    <row r="1673" spans="14:23">
      <c r="N1673" s="34"/>
      <c r="O1673" s="34"/>
      <c r="P1673" s="34"/>
      <c r="Q1673" s="34"/>
      <c r="R1673" s="34"/>
      <c r="S1673" s="34"/>
      <c r="T1673" s="34"/>
      <c r="U1673" s="34"/>
      <c r="V1673" s="255"/>
      <c r="W1673" s="34"/>
    </row>
    <row r="1674" spans="14:23">
      <c r="N1674" s="34"/>
      <c r="O1674" s="34"/>
      <c r="P1674" s="34"/>
      <c r="Q1674" s="34"/>
      <c r="R1674" s="34"/>
      <c r="S1674" s="34"/>
      <c r="T1674" s="34"/>
      <c r="U1674" s="34"/>
      <c r="V1674" s="255"/>
      <c r="W1674" s="34"/>
    </row>
    <row r="1675" spans="14:23">
      <c r="N1675" s="34"/>
      <c r="O1675" s="34"/>
      <c r="P1675" s="34"/>
      <c r="Q1675" s="34"/>
      <c r="R1675" s="34"/>
      <c r="S1675" s="34"/>
      <c r="T1675" s="34"/>
      <c r="U1675" s="34"/>
      <c r="V1675" s="255"/>
      <c r="W1675" s="34"/>
    </row>
    <row r="1676" spans="14:23">
      <c r="N1676" s="34"/>
      <c r="O1676" s="34"/>
      <c r="P1676" s="34"/>
      <c r="Q1676" s="34"/>
      <c r="R1676" s="34"/>
      <c r="S1676" s="34"/>
      <c r="T1676" s="34"/>
      <c r="U1676" s="34"/>
      <c r="V1676" s="255"/>
      <c r="W1676" s="34"/>
    </row>
    <row r="1677" spans="14:23">
      <c r="N1677" s="34"/>
      <c r="O1677" s="34"/>
      <c r="P1677" s="34"/>
      <c r="Q1677" s="34"/>
      <c r="R1677" s="34"/>
      <c r="S1677" s="34"/>
      <c r="T1677" s="34"/>
      <c r="U1677" s="34"/>
      <c r="V1677" s="255"/>
      <c r="W1677" s="34"/>
    </row>
    <row r="1678" spans="14:23">
      <c r="N1678" s="34"/>
      <c r="O1678" s="34"/>
      <c r="P1678" s="34"/>
      <c r="Q1678" s="34"/>
      <c r="R1678" s="34"/>
      <c r="S1678" s="34"/>
      <c r="T1678" s="34"/>
      <c r="U1678" s="34"/>
      <c r="V1678" s="255"/>
      <c r="W1678" s="34"/>
    </row>
    <row r="1679" spans="14:23">
      <c r="N1679" s="34"/>
      <c r="O1679" s="34"/>
      <c r="P1679" s="34"/>
      <c r="Q1679" s="34"/>
      <c r="R1679" s="34"/>
      <c r="S1679" s="34"/>
      <c r="T1679" s="34"/>
      <c r="U1679" s="34"/>
      <c r="V1679" s="255"/>
      <c r="W1679" s="34"/>
    </row>
    <row r="1680" spans="14:23">
      <c r="N1680" s="34"/>
      <c r="O1680" s="34"/>
      <c r="P1680" s="34"/>
      <c r="Q1680" s="34"/>
      <c r="R1680" s="34"/>
      <c r="S1680" s="34"/>
      <c r="T1680" s="34"/>
      <c r="U1680" s="34"/>
      <c r="V1680" s="255"/>
      <c r="W1680" s="34"/>
    </row>
    <row r="1681" spans="14:23">
      <c r="N1681" s="34"/>
      <c r="O1681" s="34"/>
      <c r="P1681" s="34"/>
      <c r="Q1681" s="34"/>
      <c r="R1681" s="34"/>
      <c r="S1681" s="34"/>
      <c r="T1681" s="34"/>
      <c r="U1681" s="34"/>
      <c r="V1681" s="255"/>
      <c r="W1681" s="34"/>
    </row>
    <row r="1682" spans="14:23">
      <c r="N1682" s="34"/>
      <c r="O1682" s="34"/>
      <c r="P1682" s="34"/>
      <c r="Q1682" s="34"/>
      <c r="R1682" s="34"/>
      <c r="S1682" s="34"/>
      <c r="T1682" s="34"/>
      <c r="U1682" s="34"/>
      <c r="V1682" s="255"/>
      <c r="W1682" s="34"/>
    </row>
    <row r="1683" spans="14:23">
      <c r="N1683" s="34"/>
      <c r="O1683" s="34"/>
      <c r="P1683" s="34"/>
      <c r="Q1683" s="34"/>
      <c r="R1683" s="34"/>
      <c r="S1683" s="34"/>
      <c r="T1683" s="34"/>
      <c r="U1683" s="34"/>
      <c r="V1683" s="255"/>
      <c r="W1683" s="34"/>
    </row>
    <row r="1684" spans="14:23">
      <c r="N1684" s="34"/>
      <c r="O1684" s="34"/>
      <c r="P1684" s="34"/>
      <c r="Q1684" s="34"/>
      <c r="R1684" s="34"/>
      <c r="S1684" s="34"/>
      <c r="T1684" s="34"/>
      <c r="U1684" s="34"/>
      <c r="V1684" s="255"/>
      <c r="W1684" s="34"/>
    </row>
    <row r="1685" spans="14:23">
      <c r="N1685" s="34"/>
      <c r="O1685" s="34"/>
      <c r="P1685" s="34"/>
      <c r="Q1685" s="34"/>
      <c r="R1685" s="34"/>
      <c r="S1685" s="34"/>
      <c r="T1685" s="34"/>
      <c r="U1685" s="34"/>
      <c r="V1685" s="255"/>
      <c r="W1685" s="34"/>
    </row>
    <row r="1686" spans="14:23">
      <c r="N1686" s="34"/>
      <c r="O1686" s="34"/>
      <c r="P1686" s="34"/>
      <c r="Q1686" s="34"/>
      <c r="R1686" s="34"/>
      <c r="S1686" s="34"/>
      <c r="T1686" s="34"/>
      <c r="U1686" s="34"/>
      <c r="V1686" s="255"/>
      <c r="W1686" s="34"/>
    </row>
    <row r="1687" spans="14:23">
      <c r="N1687" s="34"/>
      <c r="O1687" s="34"/>
      <c r="P1687" s="34"/>
      <c r="Q1687" s="34"/>
      <c r="R1687" s="34"/>
      <c r="S1687" s="34"/>
      <c r="T1687" s="34"/>
      <c r="U1687" s="34"/>
      <c r="V1687" s="255"/>
      <c r="W1687" s="34"/>
    </row>
    <row r="1688" spans="14:23">
      <c r="N1688" s="34"/>
      <c r="O1688" s="34"/>
      <c r="P1688" s="34"/>
      <c r="Q1688" s="34"/>
      <c r="R1688" s="34"/>
      <c r="S1688" s="34"/>
      <c r="T1688" s="34"/>
      <c r="U1688" s="34"/>
      <c r="V1688" s="255"/>
      <c r="W1688" s="34"/>
    </row>
    <row r="1689" spans="14:23">
      <c r="N1689" s="34"/>
      <c r="O1689" s="34"/>
      <c r="P1689" s="34"/>
      <c r="Q1689" s="34"/>
      <c r="R1689" s="34"/>
      <c r="S1689" s="34"/>
      <c r="T1689" s="34"/>
      <c r="U1689" s="34"/>
      <c r="V1689" s="255"/>
      <c r="W1689" s="34"/>
    </row>
    <row r="1690" spans="14:23">
      <c r="N1690" s="34"/>
      <c r="O1690" s="34"/>
      <c r="P1690" s="34"/>
      <c r="Q1690" s="34"/>
      <c r="R1690" s="34"/>
      <c r="S1690" s="34"/>
      <c r="T1690" s="34"/>
      <c r="U1690" s="34"/>
      <c r="V1690" s="255"/>
      <c r="W1690" s="34"/>
    </row>
    <row r="1691" spans="14:23">
      <c r="N1691" s="34"/>
      <c r="O1691" s="34"/>
      <c r="P1691" s="34"/>
      <c r="Q1691" s="34"/>
      <c r="R1691" s="34"/>
      <c r="S1691" s="34"/>
      <c r="T1691" s="34"/>
      <c r="U1691" s="34"/>
      <c r="V1691" s="255"/>
      <c r="W1691" s="34"/>
    </row>
    <row r="1692" spans="14:23">
      <c r="N1692" s="34"/>
      <c r="O1692" s="34"/>
      <c r="P1692" s="34"/>
      <c r="Q1692" s="34"/>
      <c r="R1692" s="34"/>
      <c r="S1692" s="34"/>
      <c r="T1692" s="34"/>
      <c r="U1692" s="34"/>
      <c r="V1692" s="255"/>
      <c r="W1692" s="34"/>
    </row>
    <row r="1693" spans="14:23">
      <c r="N1693" s="34"/>
      <c r="O1693" s="34"/>
      <c r="P1693" s="34"/>
      <c r="Q1693" s="34"/>
      <c r="R1693" s="34"/>
      <c r="S1693" s="34"/>
      <c r="T1693" s="34"/>
      <c r="U1693" s="34"/>
      <c r="V1693" s="255"/>
      <c r="W1693" s="34"/>
    </row>
    <row r="1694" spans="14:23">
      <c r="N1694" s="34"/>
      <c r="O1694" s="34"/>
      <c r="P1694" s="34"/>
      <c r="Q1694" s="34"/>
      <c r="R1694" s="34"/>
      <c r="S1694" s="34"/>
      <c r="T1694" s="34"/>
      <c r="U1694" s="34"/>
      <c r="V1694" s="255"/>
      <c r="W1694" s="34"/>
    </row>
    <row r="1695" spans="14:23">
      <c r="N1695" s="34"/>
      <c r="O1695" s="34"/>
      <c r="P1695" s="34"/>
      <c r="Q1695" s="34"/>
      <c r="R1695" s="34"/>
      <c r="S1695" s="34"/>
      <c r="T1695" s="34"/>
      <c r="U1695" s="34"/>
      <c r="V1695" s="255"/>
      <c r="W1695" s="34"/>
    </row>
    <row r="1696" spans="14:23">
      <c r="N1696" s="34"/>
      <c r="O1696" s="34"/>
      <c r="P1696" s="34"/>
      <c r="Q1696" s="34"/>
      <c r="R1696" s="34"/>
      <c r="S1696" s="34"/>
      <c r="T1696" s="34"/>
      <c r="U1696" s="34"/>
      <c r="V1696" s="255"/>
      <c r="W1696" s="34"/>
    </row>
    <row r="1697" spans="14:23">
      <c r="N1697" s="34"/>
      <c r="O1697" s="34"/>
      <c r="P1697" s="34"/>
      <c r="Q1697" s="34"/>
      <c r="R1697" s="34"/>
      <c r="S1697" s="34"/>
      <c r="T1697" s="34"/>
      <c r="U1697" s="34"/>
      <c r="V1697" s="255"/>
      <c r="W1697" s="34"/>
    </row>
    <row r="1698" spans="14:23">
      <c r="N1698" s="34"/>
      <c r="O1698" s="34"/>
      <c r="P1698" s="34"/>
      <c r="Q1698" s="34"/>
      <c r="R1698" s="34"/>
      <c r="S1698" s="34"/>
      <c r="T1698" s="34"/>
      <c r="U1698" s="34"/>
      <c r="V1698" s="255"/>
      <c r="W1698" s="34"/>
    </row>
    <row r="1699" spans="14:23">
      <c r="N1699" s="34"/>
      <c r="O1699" s="34"/>
      <c r="P1699" s="34"/>
      <c r="Q1699" s="34"/>
      <c r="R1699" s="34"/>
      <c r="S1699" s="34"/>
      <c r="T1699" s="34"/>
      <c r="U1699" s="34"/>
      <c r="V1699" s="255"/>
      <c r="W1699" s="34"/>
    </row>
    <row r="1700" spans="14:23">
      <c r="N1700" s="34"/>
      <c r="O1700" s="34"/>
      <c r="P1700" s="34"/>
      <c r="Q1700" s="34"/>
      <c r="R1700" s="34"/>
      <c r="S1700" s="34"/>
      <c r="T1700" s="34"/>
      <c r="U1700" s="34"/>
      <c r="V1700" s="255"/>
      <c r="W1700" s="34"/>
    </row>
    <row r="1701" spans="14:23">
      <c r="N1701" s="34"/>
      <c r="O1701" s="34"/>
      <c r="P1701" s="34"/>
      <c r="Q1701" s="34"/>
      <c r="R1701" s="34"/>
      <c r="S1701" s="34"/>
      <c r="T1701" s="34"/>
      <c r="U1701" s="34"/>
      <c r="V1701" s="255"/>
      <c r="W1701" s="34"/>
    </row>
    <row r="1702" spans="14:23">
      <c r="N1702" s="34"/>
      <c r="O1702" s="34"/>
      <c r="P1702" s="34"/>
      <c r="Q1702" s="34"/>
      <c r="R1702" s="34"/>
      <c r="S1702" s="34"/>
      <c r="T1702" s="34"/>
      <c r="U1702" s="34"/>
      <c r="V1702" s="255"/>
      <c r="W1702" s="34"/>
    </row>
    <row r="1703" spans="14:23">
      <c r="N1703" s="34"/>
      <c r="O1703" s="34"/>
      <c r="P1703" s="34"/>
      <c r="Q1703" s="34"/>
      <c r="R1703" s="34"/>
      <c r="S1703" s="34"/>
      <c r="T1703" s="34"/>
      <c r="U1703" s="34"/>
      <c r="V1703" s="255"/>
      <c r="W1703" s="34"/>
    </row>
    <row r="1704" spans="14:23">
      <c r="N1704" s="34"/>
      <c r="O1704" s="34"/>
      <c r="P1704" s="34"/>
      <c r="Q1704" s="34"/>
      <c r="R1704" s="34"/>
      <c r="S1704" s="34"/>
      <c r="T1704" s="34"/>
      <c r="U1704" s="34"/>
      <c r="V1704" s="255"/>
      <c r="W1704" s="34"/>
    </row>
    <row r="1705" spans="14:23">
      <c r="N1705" s="34"/>
      <c r="O1705" s="34"/>
      <c r="P1705" s="34"/>
      <c r="Q1705" s="34"/>
      <c r="R1705" s="34"/>
      <c r="S1705" s="34"/>
      <c r="T1705" s="34"/>
      <c r="U1705" s="34"/>
      <c r="V1705" s="255"/>
      <c r="W1705" s="34"/>
    </row>
    <row r="1706" spans="14:23">
      <c r="N1706" s="34"/>
      <c r="O1706" s="34"/>
      <c r="P1706" s="34"/>
      <c r="Q1706" s="34"/>
      <c r="R1706" s="34"/>
      <c r="S1706" s="34"/>
      <c r="T1706" s="34"/>
      <c r="U1706" s="34"/>
      <c r="V1706" s="255"/>
      <c r="W1706" s="34"/>
    </row>
    <row r="1707" spans="14:23">
      <c r="N1707" s="34"/>
      <c r="O1707" s="34"/>
      <c r="P1707" s="34"/>
      <c r="Q1707" s="34"/>
      <c r="R1707" s="34"/>
      <c r="S1707" s="34"/>
      <c r="T1707" s="34"/>
      <c r="U1707" s="34"/>
      <c r="V1707" s="255"/>
      <c r="W1707" s="34"/>
    </row>
    <row r="1708" spans="14:23">
      <c r="N1708" s="34"/>
      <c r="O1708" s="34"/>
      <c r="P1708" s="34"/>
      <c r="Q1708" s="34"/>
      <c r="R1708" s="34"/>
      <c r="S1708" s="34"/>
      <c r="T1708" s="34"/>
      <c r="U1708" s="34"/>
      <c r="V1708" s="255"/>
      <c r="W1708" s="34"/>
    </row>
    <row r="1709" spans="14:23">
      <c r="N1709" s="34"/>
      <c r="O1709" s="34"/>
      <c r="P1709" s="34"/>
      <c r="Q1709" s="34"/>
      <c r="R1709" s="34"/>
      <c r="S1709" s="34"/>
      <c r="T1709" s="34"/>
      <c r="U1709" s="34"/>
      <c r="V1709" s="255"/>
      <c r="W1709" s="34"/>
    </row>
    <row r="1710" spans="14:23">
      <c r="N1710" s="34"/>
      <c r="O1710" s="34"/>
      <c r="P1710" s="34"/>
      <c r="Q1710" s="34"/>
      <c r="R1710" s="34"/>
      <c r="S1710" s="34"/>
      <c r="T1710" s="34"/>
      <c r="U1710" s="34"/>
      <c r="V1710" s="255"/>
      <c r="W1710" s="34"/>
    </row>
    <row r="1711" spans="14:23">
      <c r="N1711" s="34"/>
      <c r="O1711" s="34"/>
      <c r="P1711" s="34"/>
      <c r="Q1711" s="34"/>
      <c r="R1711" s="34"/>
      <c r="S1711" s="34"/>
      <c r="T1711" s="34"/>
      <c r="U1711" s="34"/>
      <c r="V1711" s="255"/>
      <c r="W1711" s="34"/>
    </row>
    <row r="1712" spans="14:23">
      <c r="N1712" s="34"/>
      <c r="O1712" s="34"/>
      <c r="P1712" s="34"/>
      <c r="Q1712" s="34"/>
      <c r="R1712" s="34"/>
      <c r="S1712" s="34"/>
      <c r="T1712" s="34"/>
      <c r="U1712" s="34"/>
      <c r="V1712" s="255"/>
      <c r="W1712" s="34"/>
    </row>
    <row r="1713" spans="14:23">
      <c r="N1713" s="34"/>
      <c r="O1713" s="34"/>
      <c r="P1713" s="34"/>
      <c r="Q1713" s="34"/>
      <c r="R1713" s="34"/>
      <c r="S1713" s="34"/>
      <c r="T1713" s="34"/>
      <c r="U1713" s="34"/>
      <c r="V1713" s="255"/>
      <c r="W1713" s="34"/>
    </row>
    <row r="1714" spans="14:23">
      <c r="N1714" s="34"/>
      <c r="O1714" s="34"/>
      <c r="P1714" s="34"/>
      <c r="Q1714" s="34"/>
      <c r="R1714" s="34"/>
      <c r="S1714" s="34"/>
      <c r="T1714" s="34"/>
      <c r="U1714" s="34"/>
      <c r="V1714" s="255"/>
      <c r="W1714" s="34"/>
    </row>
    <row r="1715" spans="14:23">
      <c r="N1715" s="34"/>
      <c r="O1715" s="34"/>
      <c r="P1715" s="34"/>
      <c r="Q1715" s="34"/>
      <c r="R1715" s="34"/>
      <c r="S1715" s="34"/>
      <c r="T1715" s="34"/>
      <c r="U1715" s="34"/>
      <c r="V1715" s="255"/>
      <c r="W1715" s="34"/>
    </row>
    <row r="1716" spans="14:23">
      <c r="N1716" s="34"/>
      <c r="O1716" s="34"/>
      <c r="P1716" s="34"/>
      <c r="Q1716" s="34"/>
      <c r="R1716" s="34"/>
      <c r="S1716" s="34"/>
      <c r="T1716" s="34"/>
      <c r="U1716" s="34"/>
      <c r="V1716" s="255"/>
      <c r="W1716" s="34"/>
    </row>
    <row r="1717" spans="14:23">
      <c r="N1717" s="34"/>
      <c r="O1717" s="34"/>
      <c r="P1717" s="34"/>
      <c r="Q1717" s="34"/>
      <c r="R1717" s="34"/>
      <c r="S1717" s="34"/>
      <c r="T1717" s="34"/>
      <c r="U1717" s="34"/>
      <c r="V1717" s="255"/>
      <c r="W1717" s="34"/>
    </row>
    <row r="1718" spans="14:23">
      <c r="N1718" s="34"/>
      <c r="O1718" s="34"/>
      <c r="P1718" s="34"/>
      <c r="Q1718" s="34"/>
      <c r="R1718" s="34"/>
      <c r="S1718" s="34"/>
      <c r="T1718" s="34"/>
      <c r="U1718" s="34"/>
      <c r="V1718" s="255"/>
      <c r="W1718" s="34"/>
    </row>
    <row r="1719" spans="14:23">
      <c r="N1719" s="34"/>
      <c r="O1719" s="34"/>
      <c r="P1719" s="34"/>
      <c r="Q1719" s="34"/>
      <c r="R1719" s="34"/>
      <c r="S1719" s="34"/>
      <c r="T1719" s="34"/>
      <c r="U1719" s="34"/>
      <c r="V1719" s="255"/>
      <c r="W1719" s="34"/>
    </row>
    <row r="1720" spans="14:23">
      <c r="N1720" s="34"/>
      <c r="O1720" s="34"/>
      <c r="P1720" s="34"/>
      <c r="Q1720" s="34"/>
      <c r="R1720" s="34"/>
      <c r="S1720" s="34"/>
      <c r="T1720" s="34"/>
      <c r="U1720" s="34"/>
      <c r="V1720" s="255"/>
      <c r="W1720" s="34"/>
    </row>
    <row r="1721" spans="14:23">
      <c r="N1721" s="34"/>
      <c r="O1721" s="34"/>
      <c r="P1721" s="34"/>
      <c r="Q1721" s="34"/>
      <c r="R1721" s="34"/>
      <c r="S1721" s="34"/>
      <c r="T1721" s="34"/>
      <c r="U1721" s="34"/>
      <c r="V1721" s="255"/>
      <c r="W1721" s="34"/>
    </row>
    <row r="1722" spans="14:23">
      <c r="N1722" s="34"/>
      <c r="O1722" s="34"/>
      <c r="P1722" s="34"/>
      <c r="Q1722" s="34"/>
      <c r="R1722" s="34"/>
      <c r="S1722" s="34"/>
      <c r="T1722" s="34"/>
      <c r="U1722" s="34"/>
      <c r="V1722" s="255"/>
      <c r="W1722" s="34"/>
    </row>
    <row r="1723" spans="14:23">
      <c r="N1723" s="34"/>
      <c r="O1723" s="34"/>
      <c r="P1723" s="34"/>
      <c r="Q1723" s="34"/>
      <c r="R1723" s="34"/>
      <c r="S1723" s="34"/>
      <c r="T1723" s="34"/>
      <c r="U1723" s="34"/>
      <c r="V1723" s="255"/>
      <c r="W1723" s="34"/>
    </row>
    <row r="1724" spans="14:23">
      <c r="N1724" s="34"/>
      <c r="O1724" s="34"/>
      <c r="P1724" s="34"/>
      <c r="Q1724" s="34"/>
      <c r="R1724" s="34"/>
      <c r="S1724" s="34"/>
      <c r="T1724" s="34"/>
      <c r="U1724" s="34"/>
      <c r="V1724" s="255"/>
      <c r="W1724" s="34"/>
    </row>
    <row r="1725" spans="14:23">
      <c r="N1725" s="34"/>
      <c r="O1725" s="34"/>
      <c r="P1725" s="34"/>
      <c r="Q1725" s="34"/>
      <c r="R1725" s="34"/>
      <c r="S1725" s="34"/>
      <c r="T1725" s="34"/>
      <c r="U1725" s="34"/>
      <c r="V1725" s="255"/>
      <c r="W1725" s="34"/>
    </row>
    <row r="1726" spans="14:23">
      <c r="N1726" s="34"/>
      <c r="O1726" s="34"/>
      <c r="P1726" s="34"/>
      <c r="Q1726" s="34"/>
      <c r="R1726" s="34"/>
      <c r="S1726" s="34"/>
      <c r="T1726" s="34"/>
      <c r="U1726" s="34"/>
      <c r="V1726" s="255"/>
      <c r="W1726" s="34"/>
    </row>
    <row r="1727" spans="14:23">
      <c r="N1727" s="34"/>
      <c r="O1727" s="34"/>
      <c r="P1727" s="34"/>
      <c r="Q1727" s="34"/>
      <c r="R1727" s="34"/>
      <c r="S1727" s="34"/>
      <c r="T1727" s="34"/>
      <c r="U1727" s="34"/>
      <c r="V1727" s="255"/>
      <c r="W1727" s="34"/>
    </row>
    <row r="1728" spans="14:23">
      <c r="N1728" s="34"/>
      <c r="O1728" s="34"/>
      <c r="P1728" s="34"/>
      <c r="Q1728" s="34"/>
      <c r="R1728" s="34"/>
      <c r="S1728" s="34"/>
      <c r="T1728" s="34"/>
      <c r="U1728" s="34"/>
      <c r="V1728" s="255"/>
      <c r="W1728" s="34"/>
    </row>
    <row r="1729" spans="14:23">
      <c r="N1729" s="34"/>
      <c r="O1729" s="34"/>
      <c r="P1729" s="34"/>
      <c r="Q1729" s="34"/>
      <c r="R1729" s="34"/>
      <c r="S1729" s="34"/>
      <c r="T1729" s="34"/>
      <c r="U1729" s="34"/>
      <c r="V1729" s="255"/>
      <c r="W1729" s="34"/>
    </row>
    <row r="1730" spans="14:23">
      <c r="N1730" s="34"/>
      <c r="O1730" s="34"/>
      <c r="P1730" s="34"/>
      <c r="Q1730" s="34"/>
      <c r="R1730" s="34"/>
      <c r="S1730" s="34"/>
      <c r="T1730" s="34"/>
      <c r="U1730" s="34"/>
      <c r="V1730" s="255"/>
      <c r="W1730" s="34"/>
    </row>
    <row r="1731" spans="14:23">
      <c r="N1731" s="34"/>
      <c r="O1731" s="34"/>
      <c r="P1731" s="34"/>
      <c r="Q1731" s="34"/>
      <c r="R1731" s="34"/>
      <c r="S1731" s="34"/>
      <c r="T1731" s="34"/>
      <c r="U1731" s="34"/>
      <c r="V1731" s="255"/>
      <c r="W1731" s="34"/>
    </row>
    <row r="1732" spans="14:23">
      <c r="N1732" s="34"/>
      <c r="O1732" s="34"/>
      <c r="P1732" s="34"/>
      <c r="Q1732" s="34"/>
      <c r="R1732" s="34"/>
      <c r="S1732" s="34"/>
      <c r="T1732" s="34"/>
      <c r="U1732" s="34"/>
      <c r="V1732" s="255"/>
      <c r="W1732" s="34"/>
    </row>
    <row r="1733" spans="14:23">
      <c r="N1733" s="34"/>
      <c r="O1733" s="34"/>
      <c r="P1733" s="34"/>
      <c r="Q1733" s="34"/>
      <c r="R1733" s="34"/>
      <c r="S1733" s="34"/>
      <c r="T1733" s="34"/>
      <c r="U1733" s="34"/>
      <c r="V1733" s="255"/>
      <c r="W1733" s="34"/>
    </row>
    <row r="1734" spans="14:23">
      <c r="N1734" s="34"/>
      <c r="O1734" s="34"/>
      <c r="P1734" s="34"/>
      <c r="Q1734" s="34"/>
      <c r="R1734" s="34"/>
      <c r="S1734" s="34"/>
      <c r="T1734" s="34"/>
      <c r="U1734" s="34"/>
      <c r="V1734" s="255"/>
      <c r="W1734" s="34"/>
    </row>
    <row r="1735" spans="14:23">
      <c r="N1735" s="34"/>
      <c r="O1735" s="34"/>
      <c r="P1735" s="34"/>
      <c r="Q1735" s="34"/>
      <c r="R1735" s="34"/>
      <c r="S1735" s="34"/>
      <c r="T1735" s="34"/>
      <c r="U1735" s="34"/>
      <c r="V1735" s="255"/>
      <c r="W1735" s="34"/>
    </row>
    <row r="1736" spans="14:23">
      <c r="N1736" s="34"/>
      <c r="O1736" s="34"/>
      <c r="P1736" s="34"/>
      <c r="Q1736" s="34"/>
      <c r="R1736" s="34"/>
      <c r="S1736" s="34"/>
      <c r="T1736" s="34"/>
      <c r="U1736" s="34"/>
      <c r="V1736" s="255"/>
      <c r="W1736" s="34"/>
    </row>
    <row r="1737" spans="14:23">
      <c r="N1737" s="34"/>
      <c r="O1737" s="34"/>
      <c r="P1737" s="34"/>
      <c r="Q1737" s="34"/>
      <c r="R1737" s="34"/>
      <c r="S1737" s="34"/>
      <c r="T1737" s="34"/>
      <c r="U1737" s="34"/>
      <c r="V1737" s="255"/>
      <c r="W1737" s="34"/>
    </row>
    <row r="1738" spans="14:23">
      <c r="N1738" s="34"/>
      <c r="O1738" s="34"/>
      <c r="P1738" s="34"/>
      <c r="Q1738" s="34"/>
      <c r="R1738" s="34"/>
      <c r="S1738" s="34"/>
      <c r="T1738" s="34"/>
      <c r="U1738" s="34"/>
      <c r="V1738" s="255"/>
      <c r="W1738" s="34"/>
    </row>
    <row r="1739" spans="14:23">
      <c r="N1739" s="34"/>
      <c r="O1739" s="34"/>
      <c r="P1739" s="34"/>
      <c r="Q1739" s="34"/>
      <c r="R1739" s="34"/>
      <c r="S1739" s="34"/>
      <c r="T1739" s="34"/>
      <c r="U1739" s="34"/>
      <c r="V1739" s="255"/>
      <c r="W1739" s="34"/>
    </row>
    <row r="1740" spans="14:23">
      <c r="N1740" s="34"/>
      <c r="O1740" s="34"/>
      <c r="P1740" s="34"/>
      <c r="Q1740" s="34"/>
      <c r="R1740" s="34"/>
      <c r="S1740" s="34"/>
      <c r="T1740" s="34"/>
      <c r="U1740" s="34"/>
      <c r="V1740" s="255"/>
      <c r="W1740" s="34"/>
    </row>
    <row r="1741" spans="14:23">
      <c r="N1741" s="34"/>
      <c r="O1741" s="34"/>
      <c r="P1741" s="34"/>
      <c r="Q1741" s="34"/>
      <c r="R1741" s="34"/>
      <c r="S1741" s="34"/>
      <c r="T1741" s="34"/>
      <c r="U1741" s="34"/>
      <c r="V1741" s="255"/>
      <c r="W1741" s="34"/>
    </row>
    <row r="1742" spans="14:23">
      <c r="N1742" s="34"/>
      <c r="O1742" s="34"/>
      <c r="P1742" s="34"/>
      <c r="Q1742" s="34"/>
      <c r="R1742" s="34"/>
      <c r="S1742" s="34"/>
      <c r="T1742" s="34"/>
      <c r="U1742" s="34"/>
      <c r="V1742" s="255"/>
      <c r="W1742" s="34"/>
    </row>
    <row r="1743" spans="14:23">
      <c r="N1743" s="34"/>
      <c r="O1743" s="34"/>
      <c r="P1743" s="34"/>
      <c r="Q1743" s="34"/>
      <c r="R1743" s="34"/>
      <c r="S1743" s="34"/>
      <c r="T1743" s="34"/>
      <c r="U1743" s="34"/>
      <c r="V1743" s="255"/>
      <c r="W1743" s="34"/>
    </row>
    <row r="1744" spans="14:23">
      <c r="N1744" s="34"/>
      <c r="O1744" s="34"/>
      <c r="P1744" s="34"/>
      <c r="Q1744" s="34"/>
      <c r="R1744" s="34"/>
      <c r="S1744" s="34"/>
      <c r="T1744" s="34"/>
      <c r="U1744" s="34"/>
      <c r="V1744" s="255"/>
      <c r="W1744" s="34"/>
    </row>
    <row r="1745" spans="14:23">
      <c r="N1745" s="34"/>
      <c r="O1745" s="34"/>
      <c r="P1745" s="34"/>
      <c r="Q1745" s="34"/>
      <c r="R1745" s="34"/>
      <c r="S1745" s="34"/>
      <c r="T1745" s="34"/>
      <c r="U1745" s="34"/>
      <c r="V1745" s="255"/>
      <c r="W1745" s="34"/>
    </row>
    <row r="1746" spans="14:23">
      <c r="N1746" s="34"/>
      <c r="O1746" s="34"/>
      <c r="P1746" s="34"/>
      <c r="Q1746" s="34"/>
      <c r="R1746" s="34"/>
      <c r="S1746" s="34"/>
      <c r="T1746" s="34"/>
      <c r="U1746" s="34"/>
      <c r="V1746" s="255"/>
      <c r="W1746" s="34"/>
    </row>
    <row r="1747" spans="14:23">
      <c r="N1747" s="34"/>
      <c r="O1747" s="34"/>
      <c r="P1747" s="34"/>
      <c r="Q1747" s="34"/>
      <c r="R1747" s="34"/>
      <c r="S1747" s="34"/>
      <c r="T1747" s="34"/>
      <c r="U1747" s="34"/>
      <c r="V1747" s="255"/>
      <c r="W1747" s="34"/>
    </row>
    <row r="1748" spans="14:23">
      <c r="N1748" s="34"/>
      <c r="O1748" s="34"/>
      <c r="P1748" s="34"/>
      <c r="Q1748" s="34"/>
      <c r="R1748" s="34"/>
      <c r="S1748" s="34"/>
      <c r="T1748" s="34"/>
      <c r="U1748" s="34"/>
      <c r="V1748" s="255"/>
      <c r="W1748" s="34"/>
    </row>
    <row r="1749" spans="14:23">
      <c r="N1749" s="34"/>
      <c r="O1749" s="34"/>
      <c r="P1749" s="34"/>
      <c r="Q1749" s="34"/>
      <c r="R1749" s="34"/>
      <c r="S1749" s="34"/>
      <c r="T1749" s="34"/>
      <c r="U1749" s="34"/>
      <c r="V1749" s="255"/>
      <c r="W1749" s="34"/>
    </row>
    <row r="1750" spans="14:23">
      <c r="N1750" s="34"/>
      <c r="O1750" s="34"/>
      <c r="P1750" s="34"/>
      <c r="Q1750" s="34"/>
      <c r="R1750" s="34"/>
      <c r="S1750" s="34"/>
      <c r="T1750" s="34"/>
      <c r="U1750" s="34"/>
      <c r="V1750" s="255"/>
      <c r="W1750" s="34"/>
    </row>
    <row r="1751" spans="14:23">
      <c r="N1751" s="34"/>
      <c r="O1751" s="34"/>
      <c r="P1751" s="34"/>
      <c r="Q1751" s="34"/>
      <c r="R1751" s="34"/>
      <c r="S1751" s="34"/>
      <c r="T1751" s="34"/>
      <c r="U1751" s="34"/>
      <c r="V1751" s="255"/>
      <c r="W1751" s="34"/>
    </row>
    <row r="1752" spans="14:23">
      <c r="N1752" s="34"/>
      <c r="O1752" s="34"/>
      <c r="P1752" s="34"/>
      <c r="Q1752" s="34"/>
      <c r="R1752" s="34"/>
      <c r="S1752" s="34"/>
      <c r="T1752" s="34"/>
      <c r="U1752" s="34"/>
      <c r="V1752" s="255"/>
      <c r="W1752" s="34"/>
    </row>
    <row r="1753" spans="14:23">
      <c r="N1753" s="34"/>
      <c r="O1753" s="34"/>
      <c r="P1753" s="34"/>
      <c r="Q1753" s="34"/>
      <c r="R1753" s="34"/>
      <c r="S1753" s="34"/>
      <c r="T1753" s="34"/>
      <c r="U1753" s="34"/>
      <c r="V1753" s="255"/>
      <c r="W1753" s="34"/>
    </row>
    <row r="1754" spans="14:23">
      <c r="N1754" s="34"/>
      <c r="O1754" s="34"/>
      <c r="P1754" s="34"/>
      <c r="Q1754" s="34"/>
      <c r="R1754" s="34"/>
      <c r="S1754" s="34"/>
      <c r="T1754" s="34"/>
      <c r="U1754" s="34"/>
      <c r="V1754" s="255"/>
      <c r="W1754" s="34"/>
    </row>
    <row r="1755" spans="14:23">
      <c r="N1755" s="34"/>
      <c r="O1755" s="34"/>
      <c r="P1755" s="34"/>
      <c r="Q1755" s="34"/>
      <c r="R1755" s="34"/>
      <c r="S1755" s="34"/>
      <c r="T1755" s="34"/>
      <c r="U1755" s="34"/>
      <c r="V1755" s="255"/>
      <c r="W1755" s="34"/>
    </row>
    <row r="1756" spans="14:23">
      <c r="N1756" s="34"/>
      <c r="O1756" s="34"/>
      <c r="P1756" s="34"/>
      <c r="Q1756" s="34"/>
      <c r="R1756" s="34"/>
      <c r="S1756" s="34"/>
      <c r="T1756" s="34"/>
      <c r="U1756" s="34"/>
      <c r="V1756" s="255"/>
      <c r="W1756" s="34"/>
    </row>
    <row r="1757" spans="14:23">
      <c r="N1757" s="34"/>
      <c r="O1757" s="34"/>
      <c r="P1757" s="34"/>
      <c r="Q1757" s="34"/>
      <c r="R1757" s="34"/>
      <c r="S1757" s="34"/>
      <c r="T1757" s="34"/>
      <c r="U1757" s="34"/>
      <c r="V1757" s="255"/>
      <c r="W1757" s="34"/>
    </row>
    <row r="1758" spans="14:23">
      <c r="N1758" s="34"/>
      <c r="O1758" s="34"/>
      <c r="P1758" s="34"/>
      <c r="Q1758" s="34"/>
      <c r="R1758" s="34"/>
      <c r="S1758" s="34"/>
      <c r="T1758" s="34"/>
      <c r="U1758" s="34"/>
      <c r="V1758" s="255"/>
      <c r="W1758" s="34"/>
    </row>
    <row r="1759" spans="14:23">
      <c r="N1759" s="34"/>
      <c r="O1759" s="34"/>
      <c r="P1759" s="34"/>
      <c r="Q1759" s="34"/>
      <c r="R1759" s="34"/>
      <c r="S1759" s="34"/>
      <c r="T1759" s="34"/>
      <c r="U1759" s="34"/>
      <c r="V1759" s="255"/>
      <c r="W1759" s="34"/>
    </row>
    <row r="1760" spans="14:23">
      <c r="N1760" s="34"/>
      <c r="O1760" s="34"/>
      <c r="P1760" s="34"/>
      <c r="Q1760" s="34"/>
      <c r="R1760" s="34"/>
      <c r="S1760" s="34"/>
      <c r="T1760" s="34"/>
      <c r="U1760" s="34"/>
      <c r="V1760" s="255"/>
      <c r="W1760" s="34"/>
    </row>
    <row r="1761" spans="14:23">
      <c r="N1761" s="34"/>
      <c r="O1761" s="34"/>
      <c r="P1761" s="34"/>
      <c r="Q1761" s="34"/>
      <c r="R1761" s="34"/>
      <c r="S1761" s="34"/>
      <c r="T1761" s="34"/>
      <c r="U1761" s="34"/>
      <c r="V1761" s="255"/>
      <c r="W1761" s="34"/>
    </row>
    <row r="1762" spans="14:23">
      <c r="N1762" s="34"/>
      <c r="O1762" s="34"/>
      <c r="P1762" s="34"/>
      <c r="Q1762" s="34"/>
      <c r="R1762" s="34"/>
      <c r="S1762" s="34"/>
      <c r="T1762" s="34"/>
      <c r="U1762" s="34"/>
      <c r="V1762" s="255"/>
      <c r="W1762" s="34"/>
    </row>
    <row r="1763" spans="14:23">
      <c r="N1763" s="34"/>
      <c r="O1763" s="34"/>
      <c r="P1763" s="34"/>
      <c r="Q1763" s="34"/>
      <c r="R1763" s="34"/>
      <c r="S1763" s="34"/>
      <c r="T1763" s="34"/>
      <c r="U1763" s="34"/>
      <c r="V1763" s="255"/>
      <c r="W1763" s="34"/>
    </row>
    <row r="1764" spans="14:23">
      <c r="N1764" s="34"/>
      <c r="O1764" s="34"/>
      <c r="P1764" s="34"/>
      <c r="Q1764" s="34"/>
      <c r="R1764" s="34"/>
      <c r="S1764" s="34"/>
      <c r="T1764" s="34"/>
      <c r="U1764" s="34"/>
      <c r="V1764" s="255"/>
      <c r="W1764" s="34"/>
    </row>
    <row r="1765" spans="14:23">
      <c r="N1765" s="34"/>
      <c r="O1765" s="34"/>
      <c r="P1765" s="34"/>
      <c r="Q1765" s="34"/>
      <c r="R1765" s="34"/>
      <c r="S1765" s="34"/>
      <c r="T1765" s="34"/>
      <c r="U1765" s="34"/>
      <c r="V1765" s="255"/>
      <c r="W1765" s="34"/>
    </row>
    <row r="1766" spans="14:23">
      <c r="N1766" s="34"/>
      <c r="O1766" s="34"/>
      <c r="P1766" s="34"/>
      <c r="Q1766" s="34"/>
      <c r="R1766" s="34"/>
      <c r="S1766" s="34"/>
      <c r="T1766" s="34"/>
      <c r="U1766" s="34"/>
      <c r="V1766" s="255"/>
      <c r="W1766" s="34"/>
    </row>
    <row r="1767" spans="14:23">
      <c r="N1767" s="34"/>
      <c r="O1767" s="34"/>
      <c r="P1767" s="34"/>
      <c r="Q1767" s="34"/>
      <c r="R1767" s="34"/>
      <c r="S1767" s="34"/>
      <c r="T1767" s="34"/>
      <c r="U1767" s="34"/>
      <c r="V1767" s="255"/>
      <c r="W1767" s="34"/>
    </row>
    <row r="1768" spans="14:23">
      <c r="N1768" s="34"/>
      <c r="O1768" s="34"/>
      <c r="P1768" s="34"/>
      <c r="Q1768" s="34"/>
      <c r="R1768" s="34"/>
      <c r="S1768" s="34"/>
      <c r="T1768" s="34"/>
      <c r="U1768" s="34"/>
      <c r="V1768" s="255"/>
      <c r="W1768" s="34"/>
    </row>
    <row r="1769" spans="14:23">
      <c r="N1769" s="34"/>
      <c r="O1769" s="34"/>
      <c r="P1769" s="34"/>
      <c r="Q1769" s="34"/>
      <c r="R1769" s="34"/>
      <c r="S1769" s="34"/>
      <c r="T1769" s="34"/>
      <c r="U1769" s="34"/>
      <c r="V1769" s="255"/>
      <c r="W1769" s="34"/>
    </row>
    <row r="1770" spans="14:23">
      <c r="N1770" s="34"/>
      <c r="O1770" s="34"/>
      <c r="P1770" s="34"/>
      <c r="Q1770" s="34"/>
      <c r="R1770" s="34"/>
      <c r="S1770" s="34"/>
      <c r="T1770" s="34"/>
      <c r="U1770" s="34"/>
      <c r="V1770" s="255"/>
      <c r="W1770" s="34"/>
    </row>
    <row r="1771" spans="14:23">
      <c r="N1771" s="34"/>
      <c r="O1771" s="34"/>
      <c r="P1771" s="34"/>
      <c r="Q1771" s="34"/>
      <c r="R1771" s="34"/>
      <c r="S1771" s="34"/>
      <c r="T1771" s="34"/>
      <c r="U1771" s="34"/>
      <c r="V1771" s="255"/>
      <c r="W1771" s="34"/>
    </row>
    <row r="1772" spans="14:23">
      <c r="N1772" s="34"/>
      <c r="O1772" s="34"/>
      <c r="P1772" s="34"/>
      <c r="Q1772" s="34"/>
      <c r="R1772" s="34"/>
      <c r="S1772" s="34"/>
      <c r="T1772" s="34"/>
      <c r="U1772" s="34"/>
      <c r="V1772" s="255"/>
      <c r="W1772" s="34"/>
    </row>
    <row r="1773" spans="14:23">
      <c r="N1773" s="34"/>
      <c r="O1773" s="34"/>
      <c r="P1773" s="34"/>
      <c r="Q1773" s="34"/>
      <c r="R1773" s="34"/>
      <c r="S1773" s="34"/>
      <c r="T1773" s="34"/>
      <c r="U1773" s="34"/>
      <c r="V1773" s="255"/>
      <c r="W1773" s="34"/>
    </row>
    <row r="1774" spans="14:23">
      <c r="N1774" s="34"/>
      <c r="O1774" s="34"/>
      <c r="P1774" s="34"/>
      <c r="Q1774" s="34"/>
      <c r="R1774" s="34"/>
      <c r="S1774" s="34"/>
      <c r="T1774" s="34"/>
      <c r="U1774" s="34"/>
      <c r="V1774" s="255"/>
      <c r="W1774" s="34"/>
    </row>
    <row r="1775" spans="14:23">
      <c r="N1775" s="34"/>
      <c r="O1775" s="34"/>
      <c r="P1775" s="34"/>
      <c r="Q1775" s="34"/>
      <c r="R1775" s="34"/>
      <c r="S1775" s="34"/>
      <c r="T1775" s="34"/>
      <c r="U1775" s="34"/>
      <c r="V1775" s="255"/>
      <c r="W1775" s="34"/>
    </row>
    <row r="1776" spans="14:23">
      <c r="N1776" s="34"/>
      <c r="O1776" s="34"/>
      <c r="P1776" s="34"/>
      <c r="Q1776" s="34"/>
      <c r="R1776" s="34"/>
      <c r="S1776" s="34"/>
      <c r="T1776" s="34"/>
      <c r="U1776" s="34"/>
      <c r="V1776" s="255"/>
      <c r="W1776" s="34"/>
    </row>
    <row r="1777" spans="14:23">
      <c r="N1777" s="34"/>
      <c r="O1777" s="34"/>
      <c r="P1777" s="34"/>
      <c r="Q1777" s="34"/>
      <c r="R1777" s="34"/>
      <c r="S1777" s="34"/>
      <c r="T1777" s="34"/>
      <c r="U1777" s="34"/>
      <c r="V1777" s="255"/>
      <c r="W1777" s="34"/>
    </row>
    <row r="1778" spans="14:23">
      <c r="N1778" s="34"/>
      <c r="O1778" s="34"/>
      <c r="P1778" s="34"/>
      <c r="Q1778" s="34"/>
      <c r="R1778" s="34"/>
      <c r="S1778" s="34"/>
      <c r="T1778" s="34"/>
      <c r="U1778" s="34"/>
      <c r="V1778" s="255"/>
      <c r="W1778" s="34"/>
    </row>
    <row r="1779" spans="14:23">
      <c r="N1779" s="34"/>
      <c r="O1779" s="34"/>
      <c r="P1779" s="34"/>
      <c r="Q1779" s="34"/>
      <c r="R1779" s="34"/>
      <c r="S1779" s="34"/>
      <c r="T1779" s="34"/>
      <c r="U1779" s="34"/>
      <c r="V1779" s="255"/>
      <c r="W1779" s="34"/>
    </row>
    <row r="1780" spans="14:23">
      <c r="N1780" s="34"/>
      <c r="O1780" s="34"/>
      <c r="P1780" s="34"/>
      <c r="Q1780" s="34"/>
      <c r="R1780" s="34"/>
      <c r="S1780" s="34"/>
      <c r="T1780" s="34"/>
      <c r="U1780" s="34"/>
      <c r="V1780" s="255"/>
      <c r="W1780" s="34"/>
    </row>
    <row r="1781" spans="14:23">
      <c r="N1781" s="34"/>
      <c r="O1781" s="34"/>
      <c r="P1781" s="34"/>
      <c r="Q1781" s="34"/>
      <c r="R1781" s="34"/>
      <c r="S1781" s="34"/>
      <c r="T1781" s="34"/>
      <c r="U1781" s="34"/>
      <c r="V1781" s="255"/>
      <c r="W1781" s="34"/>
    </row>
    <row r="1782" spans="14:23">
      <c r="N1782" s="34"/>
      <c r="O1782" s="34"/>
      <c r="P1782" s="34"/>
      <c r="Q1782" s="34"/>
      <c r="R1782" s="34"/>
      <c r="S1782" s="34"/>
      <c r="T1782" s="34"/>
      <c r="U1782" s="34"/>
      <c r="V1782" s="255"/>
      <c r="W1782" s="34"/>
    </row>
    <row r="1783" spans="14:23">
      <c r="N1783" s="34"/>
      <c r="O1783" s="34"/>
      <c r="P1783" s="34"/>
      <c r="Q1783" s="34"/>
      <c r="R1783" s="34"/>
      <c r="S1783" s="34"/>
      <c r="T1783" s="34"/>
      <c r="U1783" s="34"/>
      <c r="V1783" s="255"/>
      <c r="W1783" s="34"/>
    </row>
    <row r="1784" spans="14:23">
      <c r="N1784" s="34"/>
      <c r="O1784" s="34"/>
      <c r="P1784" s="34"/>
      <c r="Q1784" s="34"/>
      <c r="R1784" s="34"/>
      <c r="S1784" s="34"/>
      <c r="T1784" s="34"/>
      <c r="U1784" s="34"/>
      <c r="V1784" s="255"/>
      <c r="W1784" s="34"/>
    </row>
    <row r="1785" spans="14:23">
      <c r="N1785" s="34"/>
      <c r="O1785" s="34"/>
      <c r="P1785" s="34"/>
      <c r="Q1785" s="34"/>
      <c r="R1785" s="34"/>
      <c r="S1785" s="34"/>
      <c r="T1785" s="34"/>
      <c r="U1785" s="34"/>
      <c r="V1785" s="255"/>
      <c r="W1785" s="34"/>
    </row>
    <row r="1786" spans="14:23">
      <c r="N1786" s="34"/>
      <c r="O1786" s="34"/>
      <c r="P1786" s="34"/>
      <c r="Q1786" s="34"/>
      <c r="R1786" s="34"/>
      <c r="S1786" s="34"/>
      <c r="T1786" s="34"/>
      <c r="U1786" s="34"/>
      <c r="V1786" s="255"/>
      <c r="W1786" s="34"/>
    </row>
    <row r="1787" spans="14:23">
      <c r="N1787" s="34"/>
      <c r="O1787" s="34"/>
      <c r="P1787" s="34"/>
      <c r="Q1787" s="34"/>
      <c r="R1787" s="34"/>
      <c r="S1787" s="34"/>
      <c r="T1787" s="34"/>
      <c r="U1787" s="34"/>
      <c r="V1787" s="255"/>
      <c r="W1787" s="34"/>
    </row>
    <row r="1788" spans="14:23">
      <c r="N1788" s="34"/>
      <c r="O1788" s="34"/>
      <c r="P1788" s="34"/>
      <c r="Q1788" s="34"/>
      <c r="R1788" s="34"/>
      <c r="S1788" s="34"/>
      <c r="T1788" s="34"/>
      <c r="U1788" s="34"/>
      <c r="V1788" s="255"/>
      <c r="W1788" s="34"/>
    </row>
    <row r="1789" spans="14:23">
      <c r="N1789" s="34"/>
      <c r="O1789" s="34"/>
      <c r="P1789" s="34"/>
      <c r="Q1789" s="34"/>
      <c r="R1789" s="34"/>
      <c r="S1789" s="34"/>
      <c r="T1789" s="34"/>
      <c r="U1789" s="34"/>
      <c r="V1789" s="255"/>
      <c r="W1789" s="34"/>
    </row>
    <row r="1790" spans="14:23">
      <c r="N1790" s="34"/>
      <c r="O1790" s="34"/>
      <c r="P1790" s="34"/>
      <c r="Q1790" s="34"/>
      <c r="R1790" s="34"/>
      <c r="S1790" s="34"/>
      <c r="T1790" s="34"/>
      <c r="U1790" s="34"/>
      <c r="V1790" s="255"/>
      <c r="W1790" s="34"/>
    </row>
    <row r="1791" spans="14:23">
      <c r="N1791" s="34"/>
      <c r="O1791" s="34"/>
      <c r="P1791" s="34"/>
      <c r="Q1791" s="34"/>
      <c r="R1791" s="34"/>
      <c r="S1791" s="34"/>
      <c r="T1791" s="34"/>
      <c r="U1791" s="34"/>
      <c r="V1791" s="255"/>
      <c r="W1791" s="34"/>
    </row>
    <row r="1792" spans="14:23">
      <c r="N1792" s="34"/>
      <c r="O1792" s="34"/>
      <c r="P1792" s="34"/>
      <c r="Q1792" s="34"/>
      <c r="R1792" s="34"/>
      <c r="S1792" s="34"/>
      <c r="T1792" s="34"/>
      <c r="U1792" s="34"/>
      <c r="V1792" s="255"/>
      <c r="W1792" s="34"/>
    </row>
    <row r="1793" spans="14:23">
      <c r="N1793" s="34"/>
      <c r="O1793" s="34"/>
      <c r="P1793" s="34"/>
      <c r="Q1793" s="34"/>
      <c r="R1793" s="34"/>
      <c r="S1793" s="34"/>
      <c r="T1793" s="34"/>
      <c r="U1793" s="34"/>
      <c r="V1793" s="255"/>
      <c r="W1793" s="34"/>
    </row>
    <row r="1794" spans="14:23">
      <c r="N1794" s="34"/>
      <c r="O1794" s="34"/>
      <c r="P1794" s="34"/>
      <c r="Q1794" s="34"/>
      <c r="R1794" s="34"/>
      <c r="S1794" s="34"/>
      <c r="T1794" s="34"/>
      <c r="U1794" s="34"/>
      <c r="V1794" s="255"/>
      <c r="W1794" s="34"/>
    </row>
    <row r="1795" spans="14:23">
      <c r="N1795" s="34"/>
      <c r="O1795" s="34"/>
      <c r="P1795" s="34"/>
      <c r="Q1795" s="34"/>
      <c r="R1795" s="34"/>
      <c r="S1795" s="34"/>
      <c r="T1795" s="34"/>
      <c r="U1795" s="34"/>
      <c r="V1795" s="255"/>
      <c r="W1795" s="34"/>
    </row>
    <row r="1796" spans="14:23">
      <c r="N1796" s="34"/>
      <c r="O1796" s="34"/>
      <c r="P1796" s="34"/>
      <c r="Q1796" s="34"/>
      <c r="R1796" s="34"/>
      <c r="S1796" s="34"/>
      <c r="T1796" s="34"/>
      <c r="U1796" s="34"/>
      <c r="V1796" s="255"/>
      <c r="W1796" s="34"/>
    </row>
    <row r="1797" spans="14:23">
      <c r="N1797" s="34"/>
      <c r="O1797" s="34"/>
      <c r="P1797" s="34"/>
      <c r="Q1797" s="34"/>
      <c r="R1797" s="34"/>
      <c r="S1797" s="34"/>
      <c r="T1797" s="34"/>
      <c r="U1797" s="34"/>
      <c r="V1797" s="255"/>
      <c r="W1797" s="34"/>
    </row>
    <row r="1798" spans="14:23">
      <c r="N1798" s="34"/>
      <c r="O1798" s="34"/>
      <c r="P1798" s="34"/>
      <c r="Q1798" s="34"/>
      <c r="R1798" s="34"/>
      <c r="S1798" s="34"/>
      <c r="T1798" s="34"/>
      <c r="U1798" s="34"/>
      <c r="V1798" s="255"/>
      <c r="W1798" s="34"/>
    </row>
    <row r="1799" spans="14:23">
      <c r="N1799" s="34"/>
      <c r="O1799" s="34"/>
      <c r="P1799" s="34"/>
      <c r="Q1799" s="34"/>
      <c r="R1799" s="34"/>
      <c r="S1799" s="34"/>
      <c r="T1799" s="34"/>
      <c r="U1799" s="34"/>
      <c r="V1799" s="255"/>
      <c r="W1799" s="34"/>
    </row>
    <row r="1800" spans="14:23">
      <c r="N1800" s="34"/>
      <c r="O1800" s="34"/>
      <c r="P1800" s="34"/>
      <c r="Q1800" s="34"/>
      <c r="R1800" s="34"/>
      <c r="S1800" s="34"/>
      <c r="T1800" s="34"/>
      <c r="U1800" s="34"/>
      <c r="V1800" s="255"/>
      <c r="W1800" s="34"/>
    </row>
    <row r="1801" spans="14:23">
      <c r="N1801" s="34"/>
      <c r="O1801" s="34"/>
      <c r="P1801" s="34"/>
      <c r="Q1801" s="34"/>
      <c r="R1801" s="34"/>
      <c r="S1801" s="34"/>
      <c r="T1801" s="34"/>
      <c r="U1801" s="34"/>
      <c r="V1801" s="255"/>
      <c r="W1801" s="34"/>
    </row>
    <row r="1802" spans="14:23">
      <c r="N1802" s="34"/>
      <c r="O1802" s="34"/>
      <c r="P1802" s="34"/>
      <c r="Q1802" s="34"/>
      <c r="R1802" s="34"/>
      <c r="S1802" s="34"/>
      <c r="T1802" s="34"/>
      <c r="U1802" s="34"/>
      <c r="V1802" s="255"/>
      <c r="W1802" s="34"/>
    </row>
    <row r="1803" spans="14:23">
      <c r="N1803" s="34"/>
      <c r="O1803" s="34"/>
      <c r="P1803" s="34"/>
      <c r="Q1803" s="34"/>
      <c r="R1803" s="34"/>
      <c r="S1803" s="34"/>
      <c r="T1803" s="34"/>
      <c r="U1803" s="34"/>
      <c r="V1803" s="255"/>
      <c r="W1803" s="34"/>
    </row>
    <row r="1804" spans="14:23">
      <c r="N1804" s="34"/>
      <c r="O1804" s="34"/>
      <c r="P1804" s="34"/>
      <c r="Q1804" s="34"/>
      <c r="R1804" s="34"/>
      <c r="S1804" s="34"/>
      <c r="T1804" s="34"/>
      <c r="U1804" s="34"/>
      <c r="V1804" s="255"/>
      <c r="W1804" s="34"/>
    </row>
    <row r="1805" spans="14:23">
      <c r="N1805" s="34"/>
      <c r="O1805" s="34"/>
      <c r="P1805" s="34"/>
      <c r="Q1805" s="34"/>
      <c r="R1805" s="34"/>
      <c r="S1805" s="34"/>
      <c r="T1805" s="34"/>
      <c r="U1805" s="34"/>
      <c r="V1805" s="255"/>
      <c r="W1805" s="34"/>
    </row>
    <row r="1806" spans="14:23">
      <c r="N1806" s="34"/>
      <c r="O1806" s="34"/>
      <c r="P1806" s="34"/>
      <c r="Q1806" s="34"/>
      <c r="R1806" s="34"/>
      <c r="S1806" s="34"/>
      <c r="T1806" s="34"/>
      <c r="U1806" s="34"/>
      <c r="V1806" s="255"/>
      <c r="W1806" s="34"/>
    </row>
    <row r="1807" spans="14:23">
      <c r="N1807" s="34"/>
      <c r="O1807" s="34"/>
      <c r="P1807" s="34"/>
      <c r="Q1807" s="34"/>
      <c r="R1807" s="34"/>
      <c r="S1807" s="34"/>
      <c r="T1807" s="34"/>
      <c r="U1807" s="34"/>
      <c r="V1807" s="255"/>
      <c r="W1807" s="34"/>
    </row>
    <row r="1808" spans="14:23">
      <c r="N1808" s="34"/>
      <c r="O1808" s="34"/>
      <c r="P1808" s="34"/>
      <c r="Q1808" s="34"/>
      <c r="R1808" s="34"/>
      <c r="S1808" s="34"/>
      <c r="T1808" s="34"/>
      <c r="U1808" s="34"/>
      <c r="V1808" s="255"/>
      <c r="W1808" s="34"/>
    </row>
    <row r="1809" spans="14:23">
      <c r="N1809" s="34"/>
      <c r="O1809" s="34"/>
      <c r="P1809" s="34"/>
      <c r="Q1809" s="34"/>
      <c r="R1809" s="34"/>
      <c r="S1809" s="34"/>
      <c r="T1809" s="34"/>
      <c r="U1809" s="34"/>
      <c r="V1809" s="255"/>
      <c r="W1809" s="34"/>
    </row>
    <row r="1810" spans="14:23">
      <c r="N1810" s="34"/>
      <c r="O1810" s="34"/>
      <c r="P1810" s="34"/>
      <c r="Q1810" s="34"/>
      <c r="R1810" s="34"/>
      <c r="S1810" s="34"/>
      <c r="T1810" s="34"/>
      <c r="U1810" s="34"/>
      <c r="V1810" s="255"/>
      <c r="W1810" s="34"/>
    </row>
    <row r="1811" spans="14:23">
      <c r="N1811" s="34"/>
      <c r="O1811" s="34"/>
      <c r="P1811" s="34"/>
      <c r="Q1811" s="34"/>
      <c r="R1811" s="34"/>
      <c r="S1811" s="34"/>
      <c r="T1811" s="34"/>
      <c r="U1811" s="34"/>
      <c r="V1811" s="255"/>
      <c r="W1811" s="34"/>
    </row>
    <row r="1812" spans="14:23">
      <c r="N1812" s="34"/>
      <c r="O1812" s="34"/>
      <c r="P1812" s="34"/>
      <c r="Q1812" s="34"/>
      <c r="R1812" s="34"/>
      <c r="S1812" s="34"/>
      <c r="T1812" s="34"/>
      <c r="U1812" s="34"/>
      <c r="V1812" s="255"/>
      <c r="W1812" s="34"/>
    </row>
    <row r="1813" spans="14:23">
      <c r="N1813" s="34"/>
      <c r="O1813" s="34"/>
      <c r="P1813" s="34"/>
      <c r="Q1813" s="34"/>
      <c r="R1813" s="34"/>
      <c r="S1813" s="34"/>
      <c r="T1813" s="34"/>
      <c r="U1813" s="34"/>
      <c r="V1813" s="255"/>
      <c r="W1813" s="34"/>
    </row>
    <row r="1814" spans="14:23">
      <c r="N1814" s="34"/>
      <c r="O1814" s="34"/>
      <c r="P1814" s="34"/>
      <c r="Q1814" s="34"/>
      <c r="R1814" s="34"/>
      <c r="S1814" s="34"/>
      <c r="T1814" s="34"/>
      <c r="U1814" s="34"/>
      <c r="V1814" s="255"/>
      <c r="W1814" s="34"/>
    </row>
    <row r="1815" spans="14:23">
      <c r="N1815" s="34"/>
      <c r="O1815" s="34"/>
      <c r="P1815" s="34"/>
      <c r="Q1815" s="34"/>
      <c r="R1815" s="34"/>
      <c r="S1815" s="34"/>
      <c r="T1815" s="34"/>
      <c r="U1815" s="34"/>
      <c r="V1815" s="255"/>
      <c r="W1815" s="34"/>
    </row>
    <row r="1816" spans="14:23">
      <c r="N1816" s="34"/>
      <c r="O1816" s="34"/>
      <c r="P1816" s="34"/>
      <c r="Q1816" s="34"/>
      <c r="R1816" s="34"/>
      <c r="S1816" s="34"/>
      <c r="T1816" s="34"/>
      <c r="U1816" s="34"/>
      <c r="V1816" s="255"/>
      <c r="W1816" s="34"/>
    </row>
    <row r="1817" spans="14:23">
      <c r="N1817" s="34"/>
      <c r="O1817" s="34"/>
      <c r="P1817" s="34"/>
      <c r="Q1817" s="34"/>
      <c r="R1817" s="34"/>
      <c r="S1817" s="34"/>
      <c r="T1817" s="34"/>
      <c r="U1817" s="34"/>
      <c r="V1817" s="255"/>
      <c r="W1817" s="34"/>
    </row>
    <row r="1818" spans="14:23">
      <c r="N1818" s="34"/>
      <c r="O1818" s="34"/>
      <c r="P1818" s="34"/>
      <c r="Q1818" s="34"/>
      <c r="R1818" s="34"/>
      <c r="S1818" s="34"/>
      <c r="T1818" s="34"/>
      <c r="U1818" s="34"/>
      <c r="V1818" s="255"/>
      <c r="W1818" s="34"/>
    </row>
    <row r="1819" spans="14:23">
      <c r="N1819" s="34"/>
      <c r="O1819" s="34"/>
      <c r="P1819" s="34"/>
      <c r="Q1819" s="34"/>
      <c r="R1819" s="34"/>
      <c r="S1819" s="34"/>
      <c r="T1819" s="34"/>
      <c r="U1819" s="34"/>
      <c r="V1819" s="255"/>
      <c r="W1819" s="34"/>
    </row>
    <row r="1820" spans="14:23">
      <c r="N1820" s="34"/>
      <c r="O1820" s="34"/>
      <c r="P1820" s="34"/>
      <c r="Q1820" s="34"/>
      <c r="R1820" s="34"/>
      <c r="S1820" s="34"/>
      <c r="T1820" s="34"/>
      <c r="U1820" s="34"/>
      <c r="V1820" s="255"/>
      <c r="W1820" s="34"/>
    </row>
    <row r="1821" spans="14:23">
      <c r="N1821" s="34"/>
      <c r="O1821" s="34"/>
      <c r="P1821" s="34"/>
      <c r="Q1821" s="34"/>
      <c r="R1821" s="34"/>
      <c r="S1821" s="34"/>
      <c r="T1821" s="34"/>
      <c r="U1821" s="34"/>
      <c r="V1821" s="255"/>
      <c r="W1821" s="34"/>
    </row>
    <row r="1822" spans="14:23">
      <c r="N1822" s="34"/>
      <c r="O1822" s="34"/>
      <c r="P1822" s="34"/>
      <c r="Q1822" s="34"/>
      <c r="R1822" s="34"/>
      <c r="S1822" s="34"/>
      <c r="T1822" s="34"/>
      <c r="U1822" s="34"/>
      <c r="V1822" s="255"/>
      <c r="W1822" s="34"/>
    </row>
    <row r="1823" spans="14:23">
      <c r="N1823" s="34"/>
      <c r="O1823" s="34"/>
      <c r="P1823" s="34"/>
      <c r="Q1823" s="34"/>
      <c r="R1823" s="34"/>
      <c r="S1823" s="34"/>
      <c r="T1823" s="34"/>
      <c r="U1823" s="34"/>
      <c r="V1823" s="255"/>
      <c r="W1823" s="34"/>
    </row>
    <row r="1824" spans="14:23">
      <c r="N1824" s="34"/>
      <c r="O1824" s="34"/>
      <c r="P1824" s="34"/>
      <c r="Q1824" s="34"/>
      <c r="R1824" s="34"/>
      <c r="S1824" s="34"/>
      <c r="T1824" s="34"/>
      <c r="U1824" s="34"/>
      <c r="V1824" s="255"/>
      <c r="W1824" s="34"/>
    </row>
    <row r="1825" spans="14:23">
      <c r="N1825" s="34"/>
      <c r="O1825" s="34"/>
      <c r="P1825" s="34"/>
      <c r="Q1825" s="34"/>
      <c r="R1825" s="34"/>
      <c r="S1825" s="34"/>
      <c r="T1825" s="34"/>
      <c r="U1825" s="34"/>
      <c r="V1825" s="255"/>
      <c r="W1825" s="34"/>
    </row>
    <row r="1826" spans="14:23">
      <c r="N1826" s="34"/>
      <c r="O1826" s="34"/>
      <c r="P1826" s="34"/>
      <c r="Q1826" s="34"/>
      <c r="R1826" s="34"/>
      <c r="S1826" s="34"/>
      <c r="T1826" s="34"/>
      <c r="U1826" s="34"/>
      <c r="V1826" s="255"/>
      <c r="W1826" s="34"/>
    </row>
    <row r="1827" spans="14:23">
      <c r="N1827" s="34"/>
      <c r="O1827" s="34"/>
      <c r="P1827" s="34"/>
      <c r="Q1827" s="34"/>
      <c r="R1827" s="34"/>
      <c r="S1827" s="34"/>
      <c r="T1827" s="34"/>
      <c r="U1827" s="34"/>
      <c r="V1827" s="255"/>
      <c r="W1827" s="34"/>
    </row>
    <row r="1828" spans="14:23">
      <c r="N1828" s="34"/>
      <c r="O1828" s="34"/>
      <c r="P1828" s="34"/>
      <c r="Q1828" s="34"/>
      <c r="R1828" s="34"/>
      <c r="S1828" s="34"/>
      <c r="T1828" s="34"/>
      <c r="U1828" s="34"/>
      <c r="V1828" s="255"/>
      <c r="W1828" s="34"/>
    </row>
    <row r="1829" spans="14:23">
      <c r="N1829" s="34"/>
      <c r="O1829" s="34"/>
      <c r="P1829" s="34"/>
      <c r="Q1829" s="34"/>
      <c r="R1829" s="34"/>
      <c r="S1829" s="34"/>
      <c r="T1829" s="34"/>
      <c r="U1829" s="34"/>
      <c r="V1829" s="255"/>
      <c r="W1829" s="34"/>
    </row>
    <row r="1830" spans="14:23">
      <c r="N1830" s="34"/>
      <c r="O1830" s="34"/>
      <c r="P1830" s="34"/>
      <c r="Q1830" s="34"/>
      <c r="R1830" s="34"/>
      <c r="S1830" s="34"/>
      <c r="T1830" s="34"/>
      <c r="U1830" s="34"/>
      <c r="V1830" s="255"/>
      <c r="W1830" s="34"/>
    </row>
    <row r="1831" spans="14:23">
      <c r="N1831" s="34"/>
      <c r="O1831" s="34"/>
      <c r="P1831" s="34"/>
      <c r="Q1831" s="34"/>
      <c r="R1831" s="34"/>
      <c r="S1831" s="34"/>
      <c r="T1831" s="34"/>
      <c r="U1831" s="34"/>
      <c r="V1831" s="255"/>
      <c r="W1831" s="34"/>
    </row>
    <row r="1832" spans="14:23">
      <c r="N1832" s="34"/>
      <c r="O1832" s="34"/>
      <c r="P1832" s="34"/>
      <c r="Q1832" s="34"/>
      <c r="R1832" s="34"/>
      <c r="S1832" s="34"/>
      <c r="T1832" s="34"/>
      <c r="U1832" s="34"/>
      <c r="V1832" s="255"/>
      <c r="W1832" s="34"/>
    </row>
    <row r="1833" spans="14:23">
      <c r="N1833" s="34"/>
      <c r="O1833" s="34"/>
      <c r="P1833" s="34"/>
      <c r="Q1833" s="34"/>
      <c r="R1833" s="34"/>
      <c r="S1833" s="34"/>
      <c r="T1833" s="34"/>
      <c r="U1833" s="34"/>
      <c r="V1833" s="255"/>
      <c r="W1833" s="34"/>
    </row>
    <row r="1834" spans="14:23">
      <c r="N1834" s="34"/>
      <c r="O1834" s="34"/>
      <c r="P1834" s="34"/>
      <c r="Q1834" s="34"/>
      <c r="R1834" s="34"/>
      <c r="S1834" s="34"/>
      <c r="T1834" s="34"/>
      <c r="U1834" s="34"/>
      <c r="V1834" s="255"/>
      <c r="W1834" s="34"/>
    </row>
    <row r="1835" spans="14:23">
      <c r="N1835" s="34"/>
      <c r="O1835" s="34"/>
      <c r="P1835" s="34"/>
      <c r="Q1835" s="34"/>
      <c r="R1835" s="34"/>
      <c r="S1835" s="34"/>
      <c r="T1835" s="34"/>
      <c r="U1835" s="34"/>
      <c r="V1835" s="255"/>
      <c r="W1835" s="34"/>
    </row>
    <row r="1836" spans="14:23">
      <c r="N1836" s="34"/>
      <c r="O1836" s="34"/>
      <c r="P1836" s="34"/>
      <c r="Q1836" s="34"/>
      <c r="R1836" s="34"/>
      <c r="S1836" s="34"/>
      <c r="T1836" s="34"/>
      <c r="U1836" s="34"/>
      <c r="V1836" s="255"/>
      <c r="W1836" s="34"/>
    </row>
    <row r="1837" spans="14:23">
      <c r="N1837" s="34"/>
      <c r="O1837" s="34"/>
      <c r="P1837" s="34"/>
      <c r="Q1837" s="34"/>
      <c r="R1837" s="34"/>
      <c r="S1837" s="34"/>
      <c r="T1837" s="34"/>
      <c r="U1837" s="34"/>
      <c r="V1837" s="255"/>
      <c r="W1837" s="34"/>
    </row>
    <row r="1838" spans="14:23">
      <c r="N1838" s="34"/>
      <c r="O1838" s="34"/>
      <c r="P1838" s="34"/>
      <c r="Q1838" s="34"/>
      <c r="R1838" s="34"/>
      <c r="S1838" s="34"/>
      <c r="T1838" s="34"/>
      <c r="U1838" s="34"/>
      <c r="V1838" s="255"/>
      <c r="W1838" s="34"/>
    </row>
    <row r="1839" spans="14:23">
      <c r="N1839" s="34"/>
      <c r="O1839" s="34"/>
      <c r="P1839" s="34"/>
      <c r="Q1839" s="34"/>
      <c r="R1839" s="34"/>
      <c r="S1839" s="34"/>
      <c r="T1839" s="34"/>
      <c r="U1839" s="34"/>
      <c r="V1839" s="255"/>
      <c r="W1839" s="34"/>
    </row>
    <row r="1840" spans="14:23">
      <c r="N1840" s="34"/>
      <c r="O1840" s="34"/>
      <c r="P1840" s="34"/>
      <c r="Q1840" s="34"/>
      <c r="R1840" s="34"/>
      <c r="S1840" s="34"/>
      <c r="T1840" s="34"/>
      <c r="U1840" s="34"/>
      <c r="V1840" s="255"/>
      <c r="W1840" s="34"/>
    </row>
    <row r="1841" spans="14:23">
      <c r="N1841" s="34"/>
      <c r="O1841" s="34"/>
      <c r="P1841" s="34"/>
      <c r="Q1841" s="34"/>
      <c r="R1841" s="34"/>
      <c r="S1841" s="34"/>
      <c r="T1841" s="34"/>
      <c r="U1841" s="34"/>
      <c r="V1841" s="255"/>
      <c r="W1841" s="34"/>
    </row>
    <row r="1842" spans="14:23">
      <c r="N1842" s="34"/>
      <c r="O1842" s="34"/>
      <c r="P1842" s="34"/>
      <c r="Q1842" s="34"/>
      <c r="R1842" s="34"/>
      <c r="S1842" s="34"/>
      <c r="T1842" s="34"/>
      <c r="U1842" s="34"/>
      <c r="V1842" s="255"/>
      <c r="W1842" s="34"/>
    </row>
    <row r="1843" spans="14:23">
      <c r="N1843" s="34"/>
      <c r="O1843" s="34"/>
      <c r="P1843" s="34"/>
      <c r="Q1843" s="34"/>
      <c r="R1843" s="34"/>
      <c r="S1843" s="34"/>
      <c r="T1843" s="34"/>
      <c r="U1843" s="34"/>
      <c r="V1843" s="255"/>
      <c r="W1843" s="34"/>
    </row>
    <row r="1844" spans="14:23">
      <c r="N1844" s="34"/>
      <c r="O1844" s="34"/>
      <c r="P1844" s="34"/>
      <c r="Q1844" s="34"/>
      <c r="R1844" s="34"/>
      <c r="S1844" s="34"/>
      <c r="T1844" s="34"/>
      <c r="U1844" s="34"/>
      <c r="V1844" s="255"/>
      <c r="W1844" s="34"/>
    </row>
    <row r="1845" spans="14:23">
      <c r="N1845" s="34"/>
      <c r="O1845" s="34"/>
      <c r="P1845" s="34"/>
      <c r="Q1845" s="34"/>
      <c r="R1845" s="34"/>
      <c r="S1845" s="34"/>
      <c r="T1845" s="34"/>
      <c r="U1845" s="34"/>
      <c r="V1845" s="255"/>
      <c r="W1845" s="34"/>
    </row>
    <row r="1846" spans="14:23">
      <c r="N1846" s="34"/>
      <c r="O1846" s="34"/>
      <c r="P1846" s="34"/>
      <c r="Q1846" s="34"/>
      <c r="R1846" s="34"/>
      <c r="S1846" s="34"/>
      <c r="T1846" s="34"/>
      <c r="U1846" s="34"/>
      <c r="V1846" s="255"/>
      <c r="W1846" s="34"/>
    </row>
    <row r="1847" spans="14:23">
      <c r="N1847" s="34"/>
      <c r="O1847" s="34"/>
      <c r="P1847" s="34"/>
      <c r="Q1847" s="34"/>
      <c r="R1847" s="34"/>
      <c r="S1847" s="34"/>
      <c r="T1847" s="34"/>
      <c r="U1847" s="34"/>
      <c r="V1847" s="255"/>
      <c r="W1847" s="34"/>
    </row>
    <row r="1848" spans="14:23">
      <c r="N1848" s="34"/>
      <c r="O1848" s="34"/>
      <c r="P1848" s="34"/>
      <c r="Q1848" s="34"/>
      <c r="R1848" s="34"/>
      <c r="S1848" s="34"/>
      <c r="T1848" s="34"/>
      <c r="U1848" s="34"/>
      <c r="V1848" s="255"/>
      <c r="W1848" s="34"/>
    </row>
    <row r="1849" spans="14:23">
      <c r="N1849" s="34"/>
      <c r="O1849" s="34"/>
      <c r="P1849" s="34"/>
      <c r="Q1849" s="34"/>
      <c r="R1849" s="34"/>
      <c r="S1849" s="34"/>
      <c r="T1849" s="34"/>
      <c r="U1849" s="34"/>
      <c r="V1849" s="255"/>
      <c r="W1849" s="34"/>
    </row>
    <row r="1850" spans="14:23">
      <c r="N1850" s="34"/>
      <c r="O1850" s="34"/>
      <c r="P1850" s="34"/>
      <c r="Q1850" s="34"/>
      <c r="R1850" s="34"/>
      <c r="S1850" s="34"/>
      <c r="T1850" s="34"/>
      <c r="U1850" s="34"/>
      <c r="V1850" s="255"/>
      <c r="W1850" s="34"/>
    </row>
    <row r="1851" spans="14:23">
      <c r="N1851" s="34"/>
      <c r="O1851" s="34"/>
      <c r="P1851" s="34"/>
      <c r="Q1851" s="34"/>
      <c r="R1851" s="34"/>
      <c r="S1851" s="34"/>
      <c r="T1851" s="34"/>
      <c r="U1851" s="34"/>
      <c r="V1851" s="255"/>
      <c r="W1851" s="34"/>
    </row>
    <row r="1852" spans="14:23">
      <c r="N1852" s="34"/>
      <c r="O1852" s="34"/>
      <c r="P1852" s="34"/>
      <c r="Q1852" s="34"/>
      <c r="R1852" s="34"/>
      <c r="S1852" s="34"/>
      <c r="T1852" s="34"/>
      <c r="U1852" s="34"/>
      <c r="V1852" s="255"/>
      <c r="W1852" s="34"/>
    </row>
    <row r="1853" spans="14:23">
      <c r="N1853" s="34"/>
      <c r="O1853" s="34"/>
      <c r="P1853" s="34"/>
      <c r="Q1853" s="34"/>
      <c r="R1853" s="34"/>
      <c r="S1853" s="34"/>
      <c r="T1853" s="34"/>
      <c r="U1853" s="34"/>
      <c r="V1853" s="255"/>
      <c r="W1853" s="34"/>
    </row>
    <row r="1854" spans="14:23">
      <c r="N1854" s="34"/>
      <c r="O1854" s="34"/>
      <c r="P1854" s="34"/>
      <c r="Q1854" s="34"/>
      <c r="R1854" s="34"/>
      <c r="S1854" s="34"/>
      <c r="T1854" s="34"/>
      <c r="U1854" s="34"/>
      <c r="V1854" s="255"/>
      <c r="W1854" s="34"/>
    </row>
    <row r="1855" spans="14:23">
      <c r="N1855" s="34"/>
      <c r="O1855" s="34"/>
      <c r="P1855" s="34"/>
      <c r="Q1855" s="34"/>
      <c r="R1855" s="34"/>
      <c r="S1855" s="34"/>
      <c r="T1855" s="34"/>
      <c r="U1855" s="34"/>
      <c r="V1855" s="255"/>
      <c r="W1855" s="34"/>
    </row>
    <row r="1856" spans="14:23">
      <c r="N1856" s="34"/>
      <c r="O1856" s="34"/>
      <c r="P1856" s="34"/>
      <c r="Q1856" s="34"/>
      <c r="R1856" s="34"/>
      <c r="S1856" s="34"/>
      <c r="T1856" s="34"/>
      <c r="U1856" s="34"/>
      <c r="V1856" s="255"/>
      <c r="W1856" s="34"/>
    </row>
    <row r="1857" spans="14:23">
      <c r="N1857" s="34"/>
      <c r="O1857" s="34"/>
      <c r="P1857" s="34"/>
      <c r="Q1857" s="34"/>
      <c r="R1857" s="34"/>
      <c r="S1857" s="34"/>
      <c r="T1857" s="34"/>
      <c r="U1857" s="34"/>
      <c r="V1857" s="255"/>
      <c r="W1857" s="34"/>
    </row>
    <row r="1858" spans="14:23">
      <c r="N1858" s="34"/>
      <c r="O1858" s="34"/>
      <c r="P1858" s="34"/>
      <c r="Q1858" s="34"/>
      <c r="R1858" s="34"/>
      <c r="S1858" s="34"/>
      <c r="T1858" s="34"/>
      <c r="U1858" s="34"/>
      <c r="V1858" s="255"/>
      <c r="W1858" s="34"/>
    </row>
    <row r="1859" spans="14:23">
      <c r="N1859" s="34"/>
      <c r="O1859" s="34"/>
      <c r="P1859" s="34"/>
      <c r="Q1859" s="34"/>
      <c r="R1859" s="34"/>
      <c r="S1859" s="34"/>
      <c r="T1859" s="34"/>
      <c r="U1859" s="34"/>
      <c r="V1859" s="255"/>
      <c r="W1859" s="34"/>
    </row>
    <row r="1860" spans="14:23">
      <c r="N1860" s="34"/>
      <c r="O1860" s="34"/>
      <c r="P1860" s="34"/>
      <c r="Q1860" s="34"/>
      <c r="R1860" s="34"/>
      <c r="S1860" s="34"/>
      <c r="T1860" s="34"/>
      <c r="U1860" s="34"/>
      <c r="V1860" s="255"/>
      <c r="W1860" s="34"/>
    </row>
    <row r="1861" spans="14:23">
      <c r="N1861" s="34"/>
      <c r="O1861" s="34"/>
      <c r="P1861" s="34"/>
      <c r="Q1861" s="34"/>
      <c r="R1861" s="34"/>
      <c r="S1861" s="34"/>
      <c r="T1861" s="34"/>
      <c r="U1861" s="34"/>
      <c r="V1861" s="255"/>
      <c r="W1861" s="34"/>
    </row>
    <row r="1862" spans="14:23">
      <c r="N1862" s="34"/>
      <c r="O1862" s="34"/>
      <c r="P1862" s="34"/>
      <c r="Q1862" s="34"/>
      <c r="R1862" s="34"/>
      <c r="S1862" s="34"/>
      <c r="T1862" s="34"/>
      <c r="U1862" s="34"/>
      <c r="V1862" s="255"/>
      <c r="W1862" s="34"/>
    </row>
    <row r="1863" spans="14:23">
      <c r="N1863" s="34"/>
      <c r="O1863" s="34"/>
      <c r="P1863" s="34"/>
      <c r="Q1863" s="34"/>
      <c r="R1863" s="34"/>
      <c r="S1863" s="34"/>
      <c r="T1863" s="34"/>
      <c r="U1863" s="34"/>
      <c r="V1863" s="255"/>
      <c r="W1863" s="34"/>
    </row>
    <row r="1864" spans="14:23">
      <c r="N1864" s="34"/>
      <c r="O1864" s="34"/>
      <c r="P1864" s="34"/>
      <c r="Q1864" s="34"/>
      <c r="R1864" s="34"/>
      <c r="S1864" s="34"/>
      <c r="T1864" s="34"/>
      <c r="U1864" s="34"/>
      <c r="V1864" s="255"/>
      <c r="W1864" s="34"/>
    </row>
    <row r="1865" spans="14:23">
      <c r="N1865" s="34"/>
      <c r="O1865" s="34"/>
      <c r="P1865" s="34"/>
      <c r="Q1865" s="34"/>
      <c r="R1865" s="34"/>
      <c r="S1865" s="34"/>
      <c r="T1865" s="34"/>
      <c r="U1865" s="34"/>
      <c r="V1865" s="255"/>
      <c r="W1865" s="34"/>
    </row>
    <row r="1866" spans="14:23">
      <c r="N1866" s="34"/>
      <c r="O1866" s="34"/>
      <c r="P1866" s="34"/>
      <c r="Q1866" s="34"/>
      <c r="R1866" s="34"/>
      <c r="S1866" s="34"/>
      <c r="T1866" s="34"/>
      <c r="U1866" s="34"/>
      <c r="V1866" s="255"/>
      <c r="W1866" s="34"/>
    </row>
    <row r="1867" spans="14:23">
      <c r="N1867" s="34"/>
      <c r="O1867" s="34"/>
      <c r="P1867" s="34"/>
      <c r="Q1867" s="34"/>
      <c r="R1867" s="34"/>
      <c r="S1867" s="34"/>
      <c r="T1867" s="34"/>
      <c r="U1867" s="34"/>
      <c r="V1867" s="255"/>
      <c r="W1867" s="34"/>
    </row>
    <row r="1868" spans="14:23">
      <c r="N1868" s="34"/>
      <c r="O1868" s="34"/>
      <c r="P1868" s="34"/>
      <c r="Q1868" s="34"/>
      <c r="R1868" s="34"/>
      <c r="S1868" s="34"/>
      <c r="T1868" s="34"/>
      <c r="U1868" s="34"/>
      <c r="V1868" s="255"/>
      <c r="W1868" s="34"/>
    </row>
    <row r="1869" spans="14:23">
      <c r="N1869" s="34"/>
      <c r="O1869" s="34"/>
      <c r="P1869" s="34"/>
      <c r="Q1869" s="34"/>
      <c r="R1869" s="34"/>
      <c r="S1869" s="34"/>
      <c r="T1869" s="34"/>
      <c r="U1869" s="34"/>
      <c r="V1869" s="255"/>
      <c r="W1869" s="34"/>
    </row>
    <row r="1870" spans="14:23">
      <c r="N1870" s="34"/>
      <c r="O1870" s="34"/>
      <c r="P1870" s="34"/>
      <c r="Q1870" s="34"/>
      <c r="R1870" s="34"/>
      <c r="S1870" s="34"/>
      <c r="T1870" s="34"/>
      <c r="U1870" s="34"/>
      <c r="V1870" s="255"/>
      <c r="W1870" s="34"/>
    </row>
    <row r="1871" spans="14:23">
      <c r="N1871" s="34"/>
      <c r="O1871" s="34"/>
      <c r="P1871" s="34"/>
      <c r="Q1871" s="34"/>
      <c r="R1871" s="34"/>
      <c r="S1871" s="34"/>
      <c r="T1871" s="34"/>
      <c r="U1871" s="34"/>
      <c r="V1871" s="255"/>
      <c r="W1871" s="34"/>
    </row>
    <row r="1872" spans="14:23">
      <c r="N1872" s="34"/>
      <c r="O1872" s="34"/>
      <c r="P1872" s="34"/>
      <c r="Q1872" s="34"/>
      <c r="R1872" s="34"/>
      <c r="S1872" s="34"/>
      <c r="T1872" s="34"/>
      <c r="U1872" s="34"/>
      <c r="V1872" s="255"/>
      <c r="W1872" s="34"/>
    </row>
    <row r="1873" spans="14:23">
      <c r="N1873" s="34"/>
      <c r="O1873" s="34"/>
      <c r="P1873" s="34"/>
      <c r="Q1873" s="34"/>
      <c r="R1873" s="34"/>
      <c r="S1873" s="34"/>
      <c r="T1873" s="34"/>
      <c r="U1873" s="34"/>
      <c r="V1873" s="255"/>
      <c r="W1873" s="34"/>
    </row>
    <row r="1874" spans="14:23">
      <c r="N1874" s="34"/>
      <c r="O1874" s="34"/>
      <c r="P1874" s="34"/>
      <c r="Q1874" s="34"/>
      <c r="R1874" s="34"/>
      <c r="S1874" s="34"/>
      <c r="T1874" s="34"/>
      <c r="U1874" s="34"/>
      <c r="V1874" s="255"/>
      <c r="W1874" s="34"/>
    </row>
    <row r="1875" spans="14:23">
      <c r="N1875" s="34"/>
      <c r="O1875" s="34"/>
      <c r="P1875" s="34"/>
      <c r="Q1875" s="34"/>
      <c r="R1875" s="34"/>
      <c r="S1875" s="34"/>
      <c r="T1875" s="34"/>
      <c r="U1875" s="34"/>
      <c r="V1875" s="255"/>
      <c r="W1875" s="34"/>
    </row>
    <row r="1876" spans="14:23">
      <c r="N1876" s="34"/>
      <c r="O1876" s="34"/>
      <c r="P1876" s="34"/>
      <c r="Q1876" s="34"/>
      <c r="R1876" s="34"/>
      <c r="S1876" s="34"/>
      <c r="T1876" s="34"/>
      <c r="U1876" s="34"/>
      <c r="V1876" s="255"/>
      <c r="W1876" s="34"/>
    </row>
    <row r="1877" spans="14:23">
      <c r="N1877" s="34"/>
      <c r="O1877" s="34"/>
      <c r="P1877" s="34"/>
      <c r="Q1877" s="34"/>
      <c r="R1877" s="34"/>
      <c r="S1877" s="34"/>
      <c r="T1877" s="34"/>
      <c r="U1877" s="34"/>
      <c r="V1877" s="255"/>
      <c r="W1877" s="34"/>
    </row>
    <row r="1878" spans="14:23">
      <c r="N1878" s="34"/>
      <c r="O1878" s="34"/>
      <c r="P1878" s="34"/>
      <c r="Q1878" s="34"/>
      <c r="R1878" s="34"/>
      <c r="S1878" s="34"/>
      <c r="T1878" s="34"/>
      <c r="U1878" s="34"/>
      <c r="V1878" s="255"/>
      <c r="W1878" s="34"/>
    </row>
    <row r="1879" spans="14:23">
      <c r="N1879" s="34"/>
      <c r="O1879" s="34"/>
      <c r="P1879" s="34"/>
      <c r="Q1879" s="34"/>
      <c r="R1879" s="34"/>
      <c r="S1879" s="34"/>
      <c r="T1879" s="34"/>
      <c r="U1879" s="34"/>
      <c r="V1879" s="255"/>
      <c r="W1879" s="34"/>
    </row>
    <row r="1880" spans="14:23">
      <c r="N1880" s="34"/>
      <c r="O1880" s="34"/>
      <c r="P1880" s="34"/>
      <c r="Q1880" s="34"/>
      <c r="R1880" s="34"/>
      <c r="S1880" s="34"/>
      <c r="T1880" s="34"/>
      <c r="U1880" s="34"/>
      <c r="V1880" s="255"/>
      <c r="W1880" s="34"/>
    </row>
    <row r="1881" spans="14:23">
      <c r="N1881" s="34"/>
      <c r="O1881" s="34"/>
      <c r="P1881" s="34"/>
      <c r="Q1881" s="34"/>
      <c r="R1881" s="34"/>
      <c r="S1881" s="34"/>
      <c r="T1881" s="34"/>
      <c r="U1881" s="34"/>
      <c r="V1881" s="255"/>
      <c r="W1881" s="34"/>
    </row>
    <row r="1882" spans="14:23">
      <c r="N1882" s="34"/>
      <c r="O1882" s="34"/>
      <c r="P1882" s="34"/>
      <c r="Q1882" s="34"/>
      <c r="R1882" s="34"/>
      <c r="S1882" s="34"/>
      <c r="T1882" s="34"/>
      <c r="U1882" s="34"/>
      <c r="V1882" s="255"/>
      <c r="W1882" s="34"/>
    </row>
    <row r="1883" spans="14:23">
      <c r="N1883" s="34"/>
      <c r="O1883" s="34"/>
      <c r="P1883" s="34"/>
      <c r="Q1883" s="34"/>
      <c r="R1883" s="34"/>
      <c r="S1883" s="34"/>
      <c r="T1883" s="34"/>
      <c r="U1883" s="34"/>
      <c r="V1883" s="255"/>
      <c r="W1883" s="34"/>
    </row>
    <row r="1884" spans="14:23">
      <c r="N1884" s="34"/>
      <c r="O1884" s="34"/>
      <c r="P1884" s="34"/>
      <c r="Q1884" s="34"/>
      <c r="R1884" s="34"/>
      <c r="S1884" s="34"/>
      <c r="T1884" s="34"/>
      <c r="U1884" s="34"/>
      <c r="V1884" s="255"/>
      <c r="W1884" s="34"/>
    </row>
    <row r="1885" spans="14:23">
      <c r="N1885" s="34"/>
      <c r="O1885" s="34"/>
      <c r="P1885" s="34"/>
      <c r="Q1885" s="34"/>
      <c r="R1885" s="34"/>
      <c r="S1885" s="34"/>
      <c r="T1885" s="34"/>
      <c r="U1885" s="34"/>
      <c r="V1885" s="255"/>
      <c r="W1885" s="34"/>
    </row>
    <row r="1886" spans="14:23">
      <c r="N1886" s="34"/>
      <c r="O1886" s="34"/>
      <c r="P1886" s="34"/>
      <c r="Q1886" s="34"/>
      <c r="R1886" s="34"/>
      <c r="S1886" s="34"/>
      <c r="T1886" s="34"/>
      <c r="U1886" s="34"/>
      <c r="V1886" s="255"/>
      <c r="W1886" s="34"/>
    </row>
    <row r="1887" spans="14:23">
      <c r="N1887" s="34"/>
      <c r="O1887" s="34"/>
      <c r="P1887" s="34"/>
      <c r="Q1887" s="34"/>
      <c r="R1887" s="34"/>
      <c r="S1887" s="34"/>
      <c r="T1887" s="34"/>
      <c r="U1887" s="34"/>
      <c r="V1887" s="255"/>
      <c r="W1887" s="34"/>
    </row>
    <row r="1888" spans="14:23">
      <c r="N1888" s="34"/>
      <c r="O1888" s="34"/>
      <c r="P1888" s="34"/>
      <c r="Q1888" s="34"/>
      <c r="R1888" s="34"/>
      <c r="S1888" s="34"/>
      <c r="T1888" s="34"/>
      <c r="U1888" s="34"/>
      <c r="V1888" s="255"/>
      <c r="W1888" s="34"/>
    </row>
    <row r="1889" spans="14:23">
      <c r="N1889" s="34"/>
      <c r="O1889" s="34"/>
      <c r="P1889" s="34"/>
      <c r="Q1889" s="34"/>
      <c r="R1889" s="34"/>
      <c r="S1889" s="34"/>
      <c r="T1889" s="34"/>
      <c r="U1889" s="34"/>
      <c r="V1889" s="255"/>
      <c r="W1889" s="34"/>
    </row>
    <row r="1890" spans="14:23">
      <c r="N1890" s="34"/>
      <c r="O1890" s="34"/>
      <c r="P1890" s="34"/>
      <c r="Q1890" s="34"/>
      <c r="R1890" s="34"/>
      <c r="S1890" s="34"/>
      <c r="T1890" s="34"/>
      <c r="U1890" s="34"/>
      <c r="V1890" s="255"/>
      <c r="W1890" s="34"/>
    </row>
    <row r="1891" spans="14:23">
      <c r="N1891" s="34"/>
      <c r="O1891" s="34"/>
      <c r="P1891" s="34"/>
      <c r="Q1891" s="34"/>
      <c r="R1891" s="34"/>
      <c r="S1891" s="34"/>
      <c r="T1891" s="34"/>
      <c r="U1891" s="34"/>
      <c r="V1891" s="255"/>
      <c r="W1891" s="34"/>
    </row>
    <row r="1892" spans="14:23">
      <c r="N1892" s="34"/>
      <c r="O1892" s="34"/>
      <c r="P1892" s="34"/>
      <c r="Q1892" s="34"/>
      <c r="R1892" s="34"/>
      <c r="S1892" s="34"/>
      <c r="T1892" s="34"/>
      <c r="U1892" s="34"/>
      <c r="V1892" s="255"/>
      <c r="W1892" s="34"/>
    </row>
    <row r="1893" spans="14:23">
      <c r="N1893" s="34"/>
      <c r="O1893" s="34"/>
      <c r="P1893" s="34"/>
      <c r="Q1893" s="34"/>
      <c r="R1893" s="34"/>
      <c r="S1893" s="34"/>
      <c r="T1893" s="34"/>
      <c r="U1893" s="34"/>
      <c r="V1893" s="255"/>
      <c r="W1893" s="34"/>
    </row>
    <row r="1894" spans="14:23">
      <c r="N1894" s="34"/>
      <c r="O1894" s="34"/>
      <c r="P1894" s="34"/>
      <c r="Q1894" s="34"/>
      <c r="R1894" s="34"/>
      <c r="S1894" s="34"/>
      <c r="T1894" s="34"/>
      <c r="U1894" s="34"/>
      <c r="V1894" s="255"/>
      <c r="W1894" s="34"/>
    </row>
    <row r="1895" spans="14:23">
      <c r="N1895" s="34"/>
      <c r="O1895" s="34"/>
      <c r="P1895" s="34"/>
      <c r="Q1895" s="34"/>
      <c r="R1895" s="34"/>
      <c r="S1895" s="34"/>
      <c r="T1895" s="34"/>
      <c r="U1895" s="34"/>
      <c r="V1895" s="255"/>
      <c r="W1895" s="34"/>
    </row>
    <row r="1896" spans="14:23">
      <c r="N1896" s="34"/>
      <c r="O1896" s="34"/>
      <c r="P1896" s="34"/>
      <c r="Q1896" s="34"/>
      <c r="R1896" s="34"/>
      <c r="S1896" s="34"/>
      <c r="T1896" s="34"/>
      <c r="U1896" s="34"/>
      <c r="V1896" s="255"/>
      <c r="W1896" s="34"/>
    </row>
    <row r="1897" spans="14:23">
      <c r="N1897" s="34"/>
      <c r="O1897" s="34"/>
      <c r="P1897" s="34"/>
      <c r="Q1897" s="34"/>
      <c r="R1897" s="34"/>
      <c r="S1897" s="34"/>
      <c r="T1897" s="34"/>
      <c r="U1897" s="34"/>
      <c r="V1897" s="255"/>
      <c r="W1897" s="34"/>
    </row>
    <row r="1898" spans="14:23">
      <c r="N1898" s="34"/>
      <c r="O1898" s="34"/>
      <c r="P1898" s="34"/>
      <c r="Q1898" s="34"/>
      <c r="R1898" s="34"/>
      <c r="S1898" s="34"/>
      <c r="T1898" s="34"/>
      <c r="U1898" s="34"/>
      <c r="V1898" s="255"/>
      <c r="W1898" s="34"/>
    </row>
    <row r="1899" spans="14:23">
      <c r="N1899" s="34"/>
      <c r="O1899" s="34"/>
      <c r="P1899" s="34"/>
      <c r="Q1899" s="34"/>
      <c r="R1899" s="34"/>
      <c r="S1899" s="34"/>
      <c r="T1899" s="34"/>
      <c r="U1899" s="34"/>
      <c r="V1899" s="255"/>
      <c r="W1899" s="34"/>
    </row>
    <row r="1900" spans="14:23">
      <c r="N1900" s="34"/>
      <c r="O1900" s="34"/>
      <c r="P1900" s="34"/>
      <c r="Q1900" s="34"/>
      <c r="R1900" s="34"/>
      <c r="S1900" s="34"/>
      <c r="T1900" s="34"/>
      <c r="U1900" s="34"/>
      <c r="V1900" s="255"/>
      <c r="W1900" s="34"/>
    </row>
    <row r="1901" spans="14:23">
      <c r="N1901" s="34"/>
      <c r="O1901" s="34"/>
      <c r="P1901" s="34"/>
      <c r="Q1901" s="34"/>
      <c r="R1901" s="34"/>
      <c r="S1901" s="34"/>
      <c r="T1901" s="34"/>
      <c r="U1901" s="34"/>
      <c r="V1901" s="255"/>
      <c r="W1901" s="34"/>
    </row>
    <row r="1902" spans="14:23">
      <c r="N1902" s="34"/>
      <c r="O1902" s="34"/>
      <c r="P1902" s="34"/>
      <c r="Q1902" s="34"/>
      <c r="R1902" s="34"/>
      <c r="S1902" s="34"/>
      <c r="T1902" s="34"/>
      <c r="U1902" s="34"/>
      <c r="V1902" s="255"/>
      <c r="W1902" s="34"/>
    </row>
    <row r="1903" spans="14:23">
      <c r="N1903" s="34"/>
      <c r="O1903" s="34"/>
      <c r="P1903" s="34"/>
      <c r="Q1903" s="34"/>
      <c r="R1903" s="34"/>
      <c r="S1903" s="34"/>
      <c r="T1903" s="34"/>
      <c r="U1903" s="34"/>
      <c r="V1903" s="255"/>
      <c r="W1903" s="34"/>
    </row>
    <row r="1904" spans="14:23">
      <c r="N1904" s="34"/>
      <c r="O1904" s="34"/>
      <c r="P1904" s="34"/>
      <c r="Q1904" s="34"/>
      <c r="R1904" s="34"/>
      <c r="S1904" s="34"/>
      <c r="T1904" s="34"/>
      <c r="U1904" s="34"/>
      <c r="V1904" s="255"/>
      <c r="W1904" s="34"/>
    </row>
    <row r="1905" spans="14:23">
      <c r="N1905" s="34"/>
      <c r="O1905" s="34"/>
      <c r="P1905" s="34"/>
      <c r="Q1905" s="34"/>
      <c r="R1905" s="34"/>
      <c r="S1905" s="34"/>
      <c r="T1905" s="34"/>
      <c r="U1905" s="34"/>
      <c r="V1905" s="255"/>
      <c r="W1905" s="34"/>
    </row>
    <row r="1906" spans="14:23">
      <c r="N1906" s="34"/>
      <c r="O1906" s="34"/>
      <c r="P1906" s="34"/>
      <c r="Q1906" s="34"/>
      <c r="R1906" s="34"/>
      <c r="S1906" s="34"/>
      <c r="T1906" s="34"/>
      <c r="U1906" s="34"/>
      <c r="V1906" s="255"/>
      <c r="W1906" s="34"/>
    </row>
    <row r="1907" spans="14:23">
      <c r="N1907" s="34"/>
      <c r="O1907" s="34"/>
      <c r="P1907" s="34"/>
      <c r="Q1907" s="34"/>
      <c r="R1907" s="34"/>
      <c r="S1907" s="34"/>
      <c r="T1907" s="34"/>
      <c r="U1907" s="34"/>
      <c r="V1907" s="255"/>
      <c r="W1907" s="34"/>
    </row>
    <row r="1908" spans="14:23">
      <c r="N1908" s="34"/>
      <c r="O1908" s="34"/>
      <c r="P1908" s="34"/>
      <c r="Q1908" s="34"/>
      <c r="R1908" s="34"/>
      <c r="S1908" s="34"/>
      <c r="T1908" s="34"/>
      <c r="U1908" s="34"/>
      <c r="V1908" s="255"/>
      <c r="W1908" s="34"/>
    </row>
    <row r="1909" spans="14:23">
      <c r="N1909" s="34"/>
      <c r="O1909" s="34"/>
      <c r="P1909" s="34"/>
      <c r="Q1909" s="34"/>
      <c r="R1909" s="34"/>
      <c r="S1909" s="34"/>
      <c r="T1909" s="34"/>
      <c r="U1909" s="34"/>
      <c r="V1909" s="255"/>
      <c r="W1909" s="34"/>
    </row>
    <row r="1910" spans="14:23">
      <c r="N1910" s="34"/>
      <c r="O1910" s="34"/>
      <c r="P1910" s="34"/>
      <c r="Q1910" s="34"/>
      <c r="R1910" s="34"/>
      <c r="S1910" s="34"/>
      <c r="T1910" s="34"/>
      <c r="U1910" s="34"/>
      <c r="V1910" s="255"/>
      <c r="W1910" s="34"/>
    </row>
    <row r="1911" spans="14:23">
      <c r="N1911" s="34"/>
      <c r="O1911" s="34"/>
      <c r="P1911" s="34"/>
      <c r="Q1911" s="34"/>
      <c r="R1911" s="34"/>
      <c r="S1911" s="34"/>
      <c r="T1911" s="34"/>
      <c r="U1911" s="34"/>
      <c r="V1911" s="255"/>
      <c r="W1911" s="34"/>
    </row>
    <row r="1912" spans="14:23">
      <c r="N1912" s="34"/>
      <c r="O1912" s="34"/>
      <c r="P1912" s="34"/>
      <c r="Q1912" s="34"/>
      <c r="R1912" s="34"/>
      <c r="S1912" s="34"/>
      <c r="T1912" s="34"/>
      <c r="U1912" s="34"/>
      <c r="V1912" s="255"/>
      <c r="W1912" s="34"/>
    </row>
    <row r="1913" spans="14:23">
      <c r="N1913" s="34"/>
      <c r="O1913" s="34"/>
      <c r="P1913" s="34"/>
      <c r="Q1913" s="34"/>
      <c r="R1913" s="34"/>
      <c r="S1913" s="34"/>
      <c r="T1913" s="34"/>
      <c r="U1913" s="34"/>
      <c r="V1913" s="255"/>
      <c r="W1913" s="34"/>
    </row>
    <row r="1914" spans="14:23">
      <c r="N1914" s="34"/>
      <c r="O1914" s="34"/>
      <c r="P1914" s="34"/>
      <c r="Q1914" s="34"/>
      <c r="R1914" s="34"/>
      <c r="S1914" s="34"/>
      <c r="T1914" s="34"/>
      <c r="U1914" s="34"/>
      <c r="V1914" s="255"/>
      <c r="W1914" s="34"/>
    </row>
    <row r="1915" spans="14:23">
      <c r="N1915" s="34"/>
      <c r="O1915" s="34"/>
      <c r="P1915" s="34"/>
      <c r="Q1915" s="34"/>
      <c r="R1915" s="34"/>
      <c r="S1915" s="34"/>
      <c r="T1915" s="34"/>
      <c r="U1915" s="34"/>
      <c r="V1915" s="255"/>
      <c r="W1915" s="34"/>
    </row>
    <row r="1916" spans="14:23">
      <c r="N1916" s="34"/>
      <c r="O1916" s="34"/>
      <c r="P1916" s="34"/>
      <c r="Q1916" s="34"/>
      <c r="R1916" s="34"/>
      <c r="S1916" s="34"/>
      <c r="T1916" s="34"/>
      <c r="U1916" s="34"/>
      <c r="V1916" s="255"/>
      <c r="W1916" s="34"/>
    </row>
    <row r="1917" spans="14:23">
      <c r="N1917" s="34"/>
      <c r="O1917" s="34"/>
      <c r="P1917" s="34"/>
      <c r="Q1917" s="34"/>
      <c r="R1917" s="34"/>
      <c r="S1917" s="34"/>
      <c r="T1917" s="34"/>
      <c r="U1917" s="34"/>
      <c r="V1917" s="255"/>
      <c r="W1917" s="34"/>
    </row>
    <row r="1918" spans="14:23">
      <c r="N1918" s="34"/>
      <c r="O1918" s="34"/>
      <c r="P1918" s="34"/>
      <c r="Q1918" s="34"/>
      <c r="R1918" s="34"/>
      <c r="S1918" s="34"/>
      <c r="T1918" s="34"/>
      <c r="U1918" s="34"/>
      <c r="V1918" s="255"/>
      <c r="W1918" s="34"/>
    </row>
    <row r="1919" spans="14:23">
      <c r="N1919" s="34"/>
      <c r="O1919" s="34"/>
      <c r="P1919" s="34"/>
      <c r="Q1919" s="34"/>
      <c r="R1919" s="34"/>
      <c r="S1919" s="34"/>
      <c r="T1919" s="34"/>
      <c r="U1919" s="34"/>
      <c r="V1919" s="255"/>
      <c r="W1919" s="34"/>
    </row>
    <row r="1920" spans="14:23">
      <c r="N1920" s="34"/>
      <c r="O1920" s="34"/>
      <c r="P1920" s="34"/>
      <c r="Q1920" s="34"/>
      <c r="R1920" s="34"/>
      <c r="S1920" s="34"/>
      <c r="T1920" s="34"/>
      <c r="U1920" s="34"/>
      <c r="V1920" s="255"/>
      <c r="W1920" s="34"/>
    </row>
    <row r="1921" spans="14:23">
      <c r="N1921" s="34"/>
      <c r="O1921" s="34"/>
      <c r="P1921" s="34"/>
      <c r="Q1921" s="34"/>
      <c r="R1921" s="34"/>
      <c r="S1921" s="34"/>
      <c r="T1921" s="34"/>
      <c r="U1921" s="34"/>
      <c r="V1921" s="255"/>
      <c r="W1921" s="34"/>
    </row>
    <row r="1922" spans="14:23">
      <c r="N1922" s="34"/>
      <c r="O1922" s="34"/>
      <c r="P1922" s="34"/>
      <c r="Q1922" s="34"/>
      <c r="R1922" s="34"/>
      <c r="S1922" s="34"/>
      <c r="T1922" s="34"/>
      <c r="U1922" s="34"/>
      <c r="V1922" s="255"/>
      <c r="W1922" s="34"/>
    </row>
    <row r="1923" spans="14:23">
      <c r="N1923" s="34"/>
      <c r="O1923" s="34"/>
      <c r="P1923" s="34"/>
      <c r="Q1923" s="34"/>
      <c r="R1923" s="34"/>
      <c r="S1923" s="34"/>
      <c r="T1923" s="34"/>
      <c r="U1923" s="34"/>
      <c r="V1923" s="255"/>
      <c r="W1923" s="34"/>
    </row>
    <row r="1924" spans="14:23">
      <c r="N1924" s="34"/>
      <c r="O1924" s="34"/>
      <c r="P1924" s="34"/>
      <c r="Q1924" s="34"/>
      <c r="R1924" s="34"/>
      <c r="S1924" s="34"/>
      <c r="T1924" s="34"/>
      <c r="U1924" s="34"/>
      <c r="V1924" s="255"/>
      <c r="W1924" s="34"/>
    </row>
    <row r="1925" spans="14:23">
      <c r="N1925" s="34"/>
      <c r="O1925" s="34"/>
      <c r="P1925" s="34"/>
      <c r="Q1925" s="34"/>
      <c r="R1925" s="34"/>
      <c r="S1925" s="34"/>
      <c r="T1925" s="34"/>
      <c r="U1925" s="34"/>
      <c r="V1925" s="255"/>
      <c r="W1925" s="34"/>
    </row>
    <row r="1926" spans="14:23">
      <c r="N1926" s="34"/>
      <c r="O1926" s="34"/>
      <c r="P1926" s="34"/>
      <c r="Q1926" s="34"/>
      <c r="R1926" s="34"/>
      <c r="S1926" s="34"/>
      <c r="T1926" s="34"/>
      <c r="U1926" s="34"/>
      <c r="V1926" s="255"/>
      <c r="W1926" s="34"/>
    </row>
    <row r="1927" spans="14:23">
      <c r="N1927" s="34"/>
      <c r="O1927" s="34"/>
      <c r="P1927" s="34"/>
      <c r="Q1927" s="34"/>
      <c r="R1927" s="34"/>
      <c r="S1927" s="34"/>
      <c r="T1927" s="34"/>
      <c r="U1927" s="34"/>
      <c r="V1927" s="255"/>
      <c r="W1927" s="34"/>
    </row>
    <row r="1928" spans="14:23">
      <c r="N1928" s="34"/>
      <c r="O1928" s="34"/>
      <c r="P1928" s="34"/>
      <c r="Q1928" s="34"/>
      <c r="R1928" s="34"/>
      <c r="S1928" s="34"/>
      <c r="T1928" s="34"/>
      <c r="U1928" s="34"/>
      <c r="V1928" s="255"/>
      <c r="W1928" s="34"/>
    </row>
    <row r="1929" spans="14:23">
      <c r="N1929" s="34"/>
      <c r="O1929" s="34"/>
      <c r="P1929" s="34"/>
      <c r="Q1929" s="34"/>
      <c r="R1929" s="34"/>
      <c r="S1929" s="34"/>
      <c r="T1929" s="34"/>
      <c r="U1929" s="34"/>
      <c r="V1929" s="255"/>
      <c r="W1929" s="34"/>
    </row>
    <row r="1930" spans="14:23">
      <c r="N1930" s="34"/>
      <c r="O1930" s="34"/>
      <c r="P1930" s="34"/>
      <c r="Q1930" s="34"/>
      <c r="R1930" s="34"/>
      <c r="S1930" s="34"/>
      <c r="T1930" s="34"/>
      <c r="U1930" s="34"/>
      <c r="V1930" s="255"/>
      <c r="W1930" s="34"/>
    </row>
    <row r="1931" spans="14:23">
      <c r="N1931" s="34"/>
      <c r="O1931" s="34"/>
      <c r="P1931" s="34"/>
      <c r="Q1931" s="34"/>
      <c r="R1931" s="34"/>
      <c r="S1931" s="34"/>
      <c r="T1931" s="34"/>
      <c r="U1931" s="34"/>
      <c r="V1931" s="255"/>
      <c r="W1931" s="34"/>
    </row>
    <row r="1932" spans="14:23">
      <c r="N1932" s="34"/>
      <c r="O1932" s="34"/>
      <c r="P1932" s="34"/>
      <c r="Q1932" s="34"/>
      <c r="R1932" s="34"/>
      <c r="S1932" s="34"/>
      <c r="T1932" s="34"/>
      <c r="U1932" s="34"/>
      <c r="V1932" s="255"/>
      <c r="W1932" s="34"/>
    </row>
    <row r="1933" spans="14:23">
      <c r="N1933" s="34"/>
      <c r="O1933" s="34"/>
      <c r="P1933" s="34"/>
      <c r="Q1933" s="34"/>
      <c r="R1933" s="34"/>
      <c r="S1933" s="34"/>
      <c r="T1933" s="34"/>
      <c r="U1933" s="34"/>
      <c r="V1933" s="255"/>
      <c r="W1933" s="34"/>
    </row>
    <row r="1934" spans="14:23">
      <c r="N1934" s="34"/>
      <c r="O1934" s="34"/>
      <c r="P1934" s="34"/>
      <c r="Q1934" s="34"/>
      <c r="R1934" s="34"/>
      <c r="S1934" s="34"/>
      <c r="T1934" s="34"/>
      <c r="U1934" s="34"/>
      <c r="V1934" s="255"/>
      <c r="W1934" s="34"/>
    </row>
    <row r="1935" spans="14:23">
      <c r="N1935" s="34"/>
      <c r="O1935" s="34"/>
      <c r="P1935" s="34"/>
      <c r="Q1935" s="34"/>
      <c r="R1935" s="34"/>
      <c r="S1935" s="34"/>
      <c r="T1935" s="34"/>
      <c r="U1935" s="34"/>
      <c r="V1935" s="255"/>
      <c r="W1935" s="34"/>
    </row>
    <row r="1936" spans="14:23">
      <c r="N1936" s="34"/>
      <c r="O1936" s="34"/>
      <c r="P1936" s="34"/>
      <c r="Q1936" s="34"/>
      <c r="R1936" s="34"/>
      <c r="S1936" s="34"/>
      <c r="T1936" s="34"/>
      <c r="U1936" s="34"/>
      <c r="V1936" s="255"/>
      <c r="W1936" s="34"/>
    </row>
    <row r="1937" spans="14:23">
      <c r="N1937" s="34"/>
      <c r="O1937" s="34"/>
      <c r="P1937" s="34"/>
      <c r="Q1937" s="34"/>
      <c r="R1937" s="34"/>
      <c r="S1937" s="34"/>
      <c r="T1937" s="34"/>
      <c r="U1937" s="34"/>
      <c r="V1937" s="255"/>
      <c r="W1937" s="34"/>
    </row>
    <row r="1938" spans="14:23">
      <c r="N1938" s="34"/>
      <c r="O1938" s="34"/>
      <c r="P1938" s="34"/>
      <c r="Q1938" s="34"/>
      <c r="R1938" s="34"/>
      <c r="S1938" s="34"/>
      <c r="T1938" s="34"/>
      <c r="U1938" s="34"/>
      <c r="V1938" s="255"/>
      <c r="W1938" s="34"/>
    </row>
    <row r="1939" spans="14:23">
      <c r="N1939" s="34"/>
      <c r="O1939" s="34"/>
      <c r="P1939" s="34"/>
      <c r="Q1939" s="34"/>
      <c r="R1939" s="34"/>
      <c r="S1939" s="34"/>
      <c r="T1939" s="34"/>
      <c r="U1939" s="34"/>
      <c r="V1939" s="255"/>
      <c r="W1939" s="34"/>
    </row>
    <row r="1940" spans="14:23">
      <c r="N1940" s="34"/>
      <c r="O1940" s="34"/>
      <c r="P1940" s="34"/>
      <c r="Q1940" s="34"/>
      <c r="R1940" s="34"/>
      <c r="S1940" s="34"/>
      <c r="T1940" s="34"/>
      <c r="U1940" s="34"/>
      <c r="V1940" s="255"/>
      <c r="W1940" s="34"/>
    </row>
    <row r="1941" spans="14:23">
      <c r="N1941" s="34"/>
      <c r="O1941" s="34"/>
      <c r="P1941" s="34"/>
      <c r="Q1941" s="34"/>
      <c r="R1941" s="34"/>
      <c r="S1941" s="34"/>
      <c r="T1941" s="34"/>
      <c r="U1941" s="34"/>
      <c r="V1941" s="255"/>
      <c r="W1941" s="34"/>
    </row>
    <row r="1942" spans="14:23">
      <c r="N1942" s="34"/>
      <c r="O1942" s="34"/>
      <c r="P1942" s="34"/>
      <c r="Q1942" s="34"/>
      <c r="R1942" s="34"/>
      <c r="S1942" s="34"/>
      <c r="T1942" s="34"/>
      <c r="U1942" s="34"/>
      <c r="V1942" s="255"/>
      <c r="W1942" s="34"/>
    </row>
    <row r="1943" spans="14:23">
      <c r="N1943" s="34"/>
      <c r="O1943" s="34"/>
      <c r="P1943" s="34"/>
      <c r="Q1943" s="34"/>
      <c r="R1943" s="34"/>
      <c r="S1943" s="34"/>
      <c r="T1943" s="34"/>
      <c r="U1943" s="34"/>
      <c r="V1943" s="255"/>
      <c r="W1943" s="34"/>
    </row>
    <row r="1944" spans="14:23">
      <c r="N1944" s="34"/>
      <c r="O1944" s="34"/>
      <c r="P1944" s="34"/>
      <c r="Q1944" s="34"/>
      <c r="R1944" s="34"/>
      <c r="S1944" s="34"/>
      <c r="T1944" s="34"/>
      <c r="U1944" s="34"/>
      <c r="V1944" s="255"/>
      <c r="W1944" s="34"/>
    </row>
    <row r="1945" spans="14:23">
      <c r="N1945" s="34"/>
      <c r="O1945" s="34"/>
      <c r="P1945" s="34"/>
      <c r="Q1945" s="34"/>
      <c r="R1945" s="34"/>
      <c r="S1945" s="34"/>
      <c r="T1945" s="34"/>
      <c r="U1945" s="34"/>
      <c r="V1945" s="255"/>
      <c r="W1945" s="34"/>
    </row>
    <row r="1946" spans="14:23">
      <c r="N1946" s="34"/>
      <c r="O1946" s="34"/>
      <c r="P1946" s="34"/>
      <c r="Q1946" s="34"/>
      <c r="R1946" s="34"/>
      <c r="S1946" s="34"/>
      <c r="T1946" s="34"/>
      <c r="U1946" s="34"/>
      <c r="V1946" s="255"/>
      <c r="W1946" s="34"/>
    </row>
    <row r="1947" spans="14:23">
      <c r="N1947" s="34"/>
      <c r="O1947" s="34"/>
      <c r="P1947" s="34"/>
      <c r="Q1947" s="34"/>
      <c r="R1947" s="34"/>
      <c r="S1947" s="34"/>
      <c r="T1947" s="34"/>
      <c r="U1947" s="34"/>
      <c r="V1947" s="255"/>
      <c r="W1947" s="34"/>
    </row>
    <row r="1948" spans="14:23">
      <c r="N1948" s="34"/>
      <c r="O1948" s="34"/>
      <c r="P1948" s="34"/>
      <c r="Q1948" s="34"/>
      <c r="R1948" s="34"/>
      <c r="S1948" s="34"/>
      <c r="T1948" s="34"/>
      <c r="U1948" s="34"/>
      <c r="V1948" s="255"/>
      <c r="W1948" s="34"/>
    </row>
    <row r="1949" spans="14:23">
      <c r="N1949" s="34"/>
      <c r="O1949" s="34"/>
      <c r="P1949" s="34"/>
      <c r="Q1949" s="34"/>
      <c r="R1949" s="34"/>
      <c r="S1949" s="34"/>
      <c r="T1949" s="34"/>
      <c r="U1949" s="34"/>
      <c r="V1949" s="255"/>
      <c r="W1949" s="34"/>
    </row>
    <row r="1950" spans="14:23">
      <c r="N1950" s="34"/>
      <c r="O1950" s="34"/>
      <c r="P1950" s="34"/>
      <c r="Q1950" s="34"/>
      <c r="R1950" s="34"/>
      <c r="S1950" s="34"/>
      <c r="T1950" s="34"/>
      <c r="U1950" s="34"/>
      <c r="V1950" s="255"/>
      <c r="W1950" s="34"/>
    </row>
    <row r="1951" spans="14:23">
      <c r="N1951" s="34"/>
      <c r="O1951" s="34"/>
      <c r="P1951" s="34"/>
      <c r="Q1951" s="34"/>
      <c r="R1951" s="34"/>
      <c r="S1951" s="34"/>
      <c r="T1951" s="34"/>
      <c r="U1951" s="34"/>
      <c r="V1951" s="255"/>
      <c r="W1951" s="34"/>
    </row>
    <row r="1952" spans="14:23">
      <c r="N1952" s="34"/>
      <c r="O1952" s="34"/>
      <c r="P1952" s="34"/>
      <c r="Q1952" s="34"/>
      <c r="R1952" s="34"/>
      <c r="S1952" s="34"/>
      <c r="T1952" s="34"/>
      <c r="U1952" s="34"/>
      <c r="V1952" s="255"/>
      <c r="W1952" s="34"/>
    </row>
    <row r="1953" spans="14:23">
      <c r="N1953" s="34"/>
      <c r="O1953" s="34"/>
      <c r="P1953" s="34"/>
      <c r="Q1953" s="34"/>
      <c r="R1953" s="34"/>
      <c r="S1953" s="34"/>
      <c r="T1953" s="34"/>
      <c r="U1953" s="34"/>
      <c r="V1953" s="255"/>
      <c r="W1953" s="34"/>
    </row>
    <row r="1954" spans="14:23">
      <c r="N1954" s="34"/>
      <c r="O1954" s="34"/>
      <c r="P1954" s="34"/>
      <c r="Q1954" s="34"/>
      <c r="R1954" s="34"/>
      <c r="S1954" s="34"/>
      <c r="T1954" s="34"/>
      <c r="U1954" s="34"/>
      <c r="V1954" s="255"/>
      <c r="W1954" s="34"/>
    </row>
    <row r="1955" spans="14:23">
      <c r="N1955" s="34"/>
      <c r="O1955" s="34"/>
      <c r="P1955" s="34"/>
      <c r="Q1955" s="34"/>
      <c r="R1955" s="34"/>
      <c r="S1955" s="34"/>
      <c r="T1955" s="34"/>
      <c r="U1955" s="34"/>
      <c r="V1955" s="255"/>
      <c r="W1955" s="34"/>
    </row>
    <row r="1956" spans="14:23">
      <c r="N1956" s="34"/>
      <c r="O1956" s="34"/>
      <c r="P1956" s="34"/>
      <c r="Q1956" s="34"/>
      <c r="R1956" s="34"/>
      <c r="S1956" s="34"/>
      <c r="T1956" s="34"/>
      <c r="U1956" s="34"/>
      <c r="V1956" s="255"/>
      <c r="W1956" s="34"/>
    </row>
    <row r="1957" spans="14:23">
      <c r="N1957" s="34"/>
      <c r="O1957" s="34"/>
      <c r="P1957" s="34"/>
      <c r="Q1957" s="34"/>
      <c r="R1957" s="34"/>
      <c r="S1957" s="34"/>
      <c r="T1957" s="34"/>
      <c r="U1957" s="34"/>
      <c r="V1957" s="255"/>
      <c r="W1957" s="34"/>
    </row>
    <row r="1958" spans="14:23">
      <c r="N1958" s="34"/>
      <c r="O1958" s="34"/>
      <c r="P1958" s="34"/>
      <c r="Q1958" s="34"/>
      <c r="R1958" s="34"/>
      <c r="S1958" s="34"/>
      <c r="T1958" s="34"/>
      <c r="U1958" s="34"/>
      <c r="V1958" s="255"/>
      <c r="W1958" s="34"/>
    </row>
    <row r="1959" spans="14:23">
      <c r="N1959" s="34"/>
      <c r="O1959" s="34"/>
      <c r="P1959" s="34"/>
      <c r="Q1959" s="34"/>
      <c r="R1959" s="34"/>
      <c r="S1959" s="34"/>
      <c r="T1959" s="34"/>
      <c r="U1959" s="34"/>
      <c r="V1959" s="255"/>
      <c r="W1959" s="34"/>
    </row>
    <row r="1960" spans="14:23">
      <c r="N1960" s="34"/>
      <c r="O1960" s="34"/>
      <c r="P1960" s="34"/>
      <c r="Q1960" s="34"/>
      <c r="R1960" s="34"/>
      <c r="S1960" s="34"/>
      <c r="T1960" s="34"/>
      <c r="U1960" s="34"/>
      <c r="V1960" s="255"/>
      <c r="W1960" s="34"/>
    </row>
    <row r="1961" spans="14:23">
      <c r="N1961" s="34"/>
      <c r="O1961" s="34"/>
      <c r="P1961" s="34"/>
      <c r="Q1961" s="34"/>
      <c r="R1961" s="34"/>
      <c r="S1961" s="34"/>
      <c r="T1961" s="34"/>
      <c r="U1961" s="34"/>
      <c r="V1961" s="255"/>
      <c r="W1961" s="34"/>
    </row>
    <row r="1962" spans="14:23">
      <c r="N1962" s="34"/>
      <c r="O1962" s="34"/>
      <c r="P1962" s="34"/>
      <c r="Q1962" s="34"/>
      <c r="R1962" s="34"/>
      <c r="S1962" s="34"/>
      <c r="T1962" s="34"/>
      <c r="U1962" s="34"/>
      <c r="V1962" s="255"/>
      <c r="W1962" s="34"/>
    </row>
    <row r="1963" spans="14:23">
      <c r="N1963" s="34"/>
      <c r="O1963" s="34"/>
      <c r="P1963" s="34"/>
      <c r="Q1963" s="34"/>
      <c r="R1963" s="34"/>
      <c r="S1963" s="34"/>
      <c r="T1963" s="34"/>
      <c r="U1963" s="34"/>
      <c r="V1963" s="255"/>
      <c r="W1963" s="34"/>
    </row>
    <row r="1964" spans="14:23">
      <c r="N1964" s="34"/>
      <c r="O1964" s="34"/>
      <c r="P1964" s="34"/>
      <c r="Q1964" s="34"/>
      <c r="R1964" s="34"/>
      <c r="S1964" s="34"/>
      <c r="T1964" s="34"/>
      <c r="U1964" s="34"/>
      <c r="V1964" s="255"/>
      <c r="W1964" s="34"/>
    </row>
    <row r="1965" spans="14:23">
      <c r="N1965" s="34"/>
      <c r="O1965" s="34"/>
      <c r="P1965" s="34"/>
      <c r="Q1965" s="34"/>
      <c r="R1965" s="34"/>
      <c r="S1965" s="34"/>
      <c r="T1965" s="34"/>
      <c r="U1965" s="34"/>
      <c r="V1965" s="255"/>
      <c r="W1965" s="34"/>
    </row>
    <row r="1966" spans="14:23">
      <c r="N1966" s="34"/>
      <c r="O1966" s="34"/>
      <c r="P1966" s="34"/>
      <c r="Q1966" s="34"/>
      <c r="R1966" s="34"/>
      <c r="S1966" s="34"/>
      <c r="T1966" s="34"/>
      <c r="U1966" s="34"/>
      <c r="V1966" s="255"/>
      <c r="W1966" s="34"/>
    </row>
    <row r="1967" spans="14:23">
      <c r="N1967" s="34"/>
      <c r="O1967" s="34"/>
      <c r="P1967" s="34"/>
      <c r="Q1967" s="34"/>
      <c r="R1967" s="34"/>
      <c r="S1967" s="34"/>
      <c r="T1967" s="34"/>
      <c r="U1967" s="34"/>
      <c r="V1967" s="255"/>
      <c r="W1967" s="34"/>
    </row>
    <row r="1968" spans="14:23">
      <c r="N1968" s="34"/>
      <c r="O1968" s="34"/>
      <c r="P1968" s="34"/>
      <c r="Q1968" s="34"/>
      <c r="R1968" s="34"/>
      <c r="S1968" s="34"/>
      <c r="T1968" s="34"/>
      <c r="U1968" s="34"/>
      <c r="V1968" s="255"/>
      <c r="W1968" s="34"/>
    </row>
    <row r="1969" spans="14:23">
      <c r="N1969" s="34"/>
      <c r="O1969" s="34"/>
      <c r="P1969" s="34"/>
      <c r="Q1969" s="34"/>
      <c r="R1969" s="34"/>
      <c r="S1969" s="34"/>
      <c r="T1969" s="34"/>
      <c r="U1969" s="34"/>
      <c r="V1969" s="255"/>
      <c r="W1969" s="34"/>
    </row>
    <row r="1970" spans="14:23">
      <c r="N1970" s="34"/>
      <c r="O1970" s="34"/>
      <c r="P1970" s="34"/>
      <c r="Q1970" s="34"/>
      <c r="R1970" s="34"/>
      <c r="S1970" s="34"/>
      <c r="T1970" s="34"/>
      <c r="U1970" s="34"/>
      <c r="V1970" s="255"/>
      <c r="W1970" s="34"/>
    </row>
    <row r="1971" spans="14:23">
      <c r="N1971" s="34"/>
      <c r="O1971" s="34"/>
      <c r="P1971" s="34"/>
      <c r="Q1971" s="34"/>
      <c r="R1971" s="34"/>
      <c r="S1971" s="34"/>
      <c r="T1971" s="34"/>
      <c r="U1971" s="34"/>
      <c r="V1971" s="255"/>
      <c r="W1971" s="34"/>
    </row>
    <row r="1972" spans="14:23">
      <c r="N1972" s="34"/>
      <c r="O1972" s="34"/>
      <c r="P1972" s="34"/>
      <c r="Q1972" s="34"/>
      <c r="R1972" s="34"/>
      <c r="S1972" s="34"/>
      <c r="T1972" s="34"/>
      <c r="U1972" s="34"/>
      <c r="V1972" s="255"/>
      <c r="W1972" s="34"/>
    </row>
    <row r="1973" spans="14:23">
      <c r="N1973" s="34"/>
      <c r="O1973" s="34"/>
      <c r="P1973" s="34"/>
      <c r="Q1973" s="34"/>
      <c r="R1973" s="34"/>
      <c r="S1973" s="34"/>
      <c r="T1973" s="34"/>
      <c r="U1973" s="34"/>
      <c r="V1973" s="255"/>
      <c r="W1973" s="34"/>
    </row>
    <row r="1974" spans="14:23">
      <c r="N1974" s="34"/>
      <c r="O1974" s="34"/>
      <c r="P1974" s="34"/>
      <c r="Q1974" s="34"/>
      <c r="R1974" s="34"/>
      <c r="S1974" s="34"/>
      <c r="T1974" s="34"/>
      <c r="U1974" s="34"/>
      <c r="V1974" s="255"/>
      <c r="W1974" s="34"/>
    </row>
    <row r="1975" spans="14:23">
      <c r="N1975" s="34"/>
      <c r="O1975" s="34"/>
      <c r="P1975" s="34"/>
      <c r="Q1975" s="34"/>
      <c r="R1975" s="34"/>
      <c r="S1975" s="34"/>
      <c r="T1975" s="34"/>
      <c r="U1975" s="34"/>
      <c r="V1975" s="255"/>
      <c r="W1975" s="34"/>
    </row>
    <row r="1976" spans="14:23">
      <c r="N1976" s="34"/>
      <c r="O1976" s="34"/>
      <c r="P1976" s="34"/>
      <c r="Q1976" s="34"/>
      <c r="R1976" s="34"/>
      <c r="S1976" s="34"/>
      <c r="T1976" s="34"/>
      <c r="U1976" s="34"/>
      <c r="V1976" s="255"/>
      <c r="W1976" s="34"/>
    </row>
    <row r="1977" spans="14:23">
      <c r="N1977" s="34"/>
      <c r="O1977" s="34"/>
      <c r="P1977" s="34"/>
      <c r="Q1977" s="34"/>
      <c r="R1977" s="34"/>
      <c r="S1977" s="34"/>
      <c r="T1977" s="34"/>
      <c r="U1977" s="34"/>
      <c r="V1977" s="255"/>
      <c r="W1977" s="34"/>
    </row>
    <row r="1978" spans="14:23">
      <c r="N1978" s="34"/>
      <c r="O1978" s="34"/>
      <c r="P1978" s="34"/>
      <c r="Q1978" s="34"/>
      <c r="R1978" s="34"/>
      <c r="S1978" s="34"/>
      <c r="T1978" s="34"/>
      <c r="U1978" s="34"/>
      <c r="V1978" s="255"/>
      <c r="W1978" s="34"/>
    </row>
    <row r="1979" spans="14:23">
      <c r="N1979" s="34"/>
      <c r="O1979" s="34"/>
      <c r="P1979" s="34"/>
      <c r="Q1979" s="34"/>
      <c r="R1979" s="34"/>
      <c r="S1979" s="34"/>
      <c r="T1979" s="34"/>
      <c r="U1979" s="34"/>
      <c r="V1979" s="255"/>
      <c r="W1979" s="34"/>
    </row>
    <row r="1980" spans="14:23">
      <c r="N1980" s="34"/>
      <c r="O1980" s="34"/>
      <c r="P1980" s="34"/>
      <c r="Q1980" s="34"/>
      <c r="R1980" s="34"/>
      <c r="S1980" s="34"/>
      <c r="T1980" s="34"/>
      <c r="U1980" s="34"/>
      <c r="V1980" s="255"/>
      <c r="W1980" s="34"/>
    </row>
    <row r="1981" spans="14:23">
      <c r="N1981" s="34"/>
      <c r="O1981" s="34"/>
      <c r="P1981" s="34"/>
      <c r="Q1981" s="34"/>
      <c r="R1981" s="34"/>
      <c r="S1981" s="34"/>
      <c r="T1981" s="34"/>
      <c r="U1981" s="34"/>
      <c r="V1981" s="255"/>
      <c r="W1981" s="34"/>
    </row>
    <row r="1982" spans="14:23">
      <c r="N1982" s="34"/>
      <c r="O1982" s="34"/>
      <c r="P1982" s="34"/>
      <c r="Q1982" s="34"/>
      <c r="R1982" s="34"/>
      <c r="S1982" s="34"/>
      <c r="T1982" s="34"/>
      <c r="U1982" s="34"/>
      <c r="V1982" s="255"/>
      <c r="W1982" s="34"/>
    </row>
    <row r="1983" spans="14:23">
      <c r="N1983" s="34"/>
      <c r="O1983" s="34"/>
      <c r="P1983" s="34"/>
      <c r="Q1983" s="34"/>
      <c r="R1983" s="34"/>
      <c r="S1983" s="34"/>
      <c r="T1983" s="34"/>
      <c r="U1983" s="34"/>
      <c r="V1983" s="255"/>
      <c r="W1983" s="34"/>
    </row>
    <row r="1984" spans="14:23">
      <c r="N1984" s="34"/>
      <c r="O1984" s="34"/>
      <c r="P1984" s="34"/>
      <c r="Q1984" s="34"/>
      <c r="R1984" s="34"/>
      <c r="S1984" s="34"/>
      <c r="T1984" s="34"/>
      <c r="U1984" s="34"/>
      <c r="V1984" s="255"/>
      <c r="W1984" s="34"/>
    </row>
    <row r="1985" spans="14:23">
      <c r="N1985" s="34"/>
      <c r="O1985" s="34"/>
      <c r="P1985" s="34"/>
      <c r="Q1985" s="34"/>
      <c r="R1985" s="34"/>
      <c r="S1985" s="34"/>
      <c r="T1985" s="34"/>
      <c r="U1985" s="34"/>
      <c r="V1985" s="255"/>
      <c r="W1985" s="34"/>
    </row>
    <row r="1986" spans="14:23">
      <c r="N1986" s="34"/>
      <c r="O1986" s="34"/>
      <c r="P1986" s="34"/>
      <c r="Q1986" s="34"/>
      <c r="R1986" s="34"/>
      <c r="S1986" s="34"/>
      <c r="T1986" s="34"/>
      <c r="U1986" s="34"/>
      <c r="V1986" s="255"/>
      <c r="W1986" s="34"/>
    </row>
    <row r="1987" spans="14:23">
      <c r="N1987" s="34"/>
      <c r="O1987" s="34"/>
      <c r="P1987" s="34"/>
      <c r="Q1987" s="34"/>
      <c r="R1987" s="34"/>
      <c r="S1987" s="34"/>
      <c r="T1987" s="34"/>
      <c r="U1987" s="34"/>
      <c r="V1987" s="255"/>
      <c r="W1987" s="34"/>
    </row>
    <row r="1988" spans="14:23">
      <c r="N1988" s="34"/>
      <c r="O1988" s="34"/>
      <c r="P1988" s="34"/>
      <c r="Q1988" s="34"/>
      <c r="R1988" s="34"/>
      <c r="S1988" s="34"/>
      <c r="T1988" s="34"/>
      <c r="U1988" s="34"/>
      <c r="V1988" s="255"/>
      <c r="W1988" s="34"/>
    </row>
    <row r="1989" spans="14:23">
      <c r="N1989" s="34"/>
      <c r="O1989" s="34"/>
      <c r="P1989" s="34"/>
      <c r="Q1989" s="34"/>
      <c r="R1989" s="34"/>
      <c r="S1989" s="34"/>
      <c r="T1989" s="34"/>
      <c r="U1989" s="34"/>
      <c r="V1989" s="255"/>
      <c r="W1989" s="34"/>
    </row>
    <row r="1990" spans="14:23">
      <c r="N1990" s="34"/>
      <c r="O1990" s="34"/>
      <c r="P1990" s="34"/>
      <c r="Q1990" s="34"/>
      <c r="R1990" s="34"/>
      <c r="S1990" s="34"/>
      <c r="T1990" s="34"/>
      <c r="U1990" s="34"/>
      <c r="V1990" s="255"/>
      <c r="W1990" s="34"/>
    </row>
    <row r="1991" spans="14:23">
      <c r="N1991" s="34"/>
      <c r="O1991" s="34"/>
      <c r="P1991" s="34"/>
      <c r="Q1991" s="34"/>
      <c r="R1991" s="34"/>
      <c r="S1991" s="34"/>
      <c r="T1991" s="34"/>
      <c r="U1991" s="34"/>
      <c r="V1991" s="255"/>
      <c r="W1991" s="34"/>
    </row>
    <row r="1992" spans="14:23">
      <c r="N1992" s="34"/>
      <c r="O1992" s="34"/>
      <c r="P1992" s="34"/>
      <c r="Q1992" s="34"/>
      <c r="R1992" s="34"/>
      <c r="S1992" s="34"/>
      <c r="T1992" s="34"/>
      <c r="U1992" s="34"/>
      <c r="V1992" s="255"/>
      <c r="W1992" s="34"/>
    </row>
    <row r="1993" spans="14:23">
      <c r="N1993" s="34"/>
      <c r="O1993" s="34"/>
      <c r="P1993" s="34"/>
      <c r="Q1993" s="34"/>
      <c r="R1993" s="34"/>
      <c r="S1993" s="34"/>
      <c r="T1993" s="34"/>
      <c r="U1993" s="34"/>
      <c r="V1993" s="255"/>
      <c r="W1993" s="34"/>
    </row>
    <row r="1994" spans="14:23">
      <c r="N1994" s="34"/>
      <c r="O1994" s="34"/>
      <c r="P1994" s="34"/>
      <c r="Q1994" s="34"/>
      <c r="R1994" s="34"/>
      <c r="S1994" s="34"/>
      <c r="T1994" s="34"/>
      <c r="U1994" s="34"/>
      <c r="V1994" s="255"/>
      <c r="W1994" s="34"/>
    </row>
    <row r="1995" spans="14:23">
      <c r="N1995" s="34"/>
      <c r="O1995" s="34"/>
      <c r="P1995" s="34"/>
      <c r="Q1995" s="34"/>
      <c r="R1995" s="34"/>
      <c r="S1995" s="34"/>
      <c r="T1995" s="34"/>
      <c r="U1995" s="34"/>
      <c r="V1995" s="255"/>
      <c r="W1995" s="34"/>
    </row>
    <row r="1996" spans="14:23">
      <c r="N1996" s="34"/>
      <c r="O1996" s="34"/>
      <c r="P1996" s="34"/>
      <c r="Q1996" s="34"/>
      <c r="R1996" s="34"/>
      <c r="S1996" s="34"/>
      <c r="T1996" s="34"/>
      <c r="U1996" s="34"/>
      <c r="V1996" s="255"/>
      <c r="W1996" s="34"/>
    </row>
    <row r="1997" spans="14:23">
      <c r="N1997" s="34"/>
      <c r="O1997" s="34"/>
      <c r="P1997" s="34"/>
      <c r="Q1997" s="34"/>
      <c r="R1997" s="34"/>
      <c r="S1997" s="34"/>
      <c r="T1997" s="34"/>
      <c r="U1997" s="34"/>
      <c r="V1997" s="255"/>
      <c r="W1997" s="34"/>
    </row>
    <row r="1998" spans="14:23">
      <c r="N1998" s="34"/>
      <c r="O1998" s="34"/>
      <c r="P1998" s="34"/>
      <c r="Q1998" s="34"/>
      <c r="R1998" s="34"/>
      <c r="S1998" s="34"/>
      <c r="T1998" s="34"/>
      <c r="U1998" s="34"/>
      <c r="V1998" s="255"/>
      <c r="W1998" s="34"/>
    </row>
    <row r="1999" spans="14:23">
      <c r="N1999" s="34"/>
      <c r="O1999" s="34"/>
      <c r="P1999" s="34"/>
      <c r="Q1999" s="34"/>
      <c r="R1999" s="34"/>
      <c r="S1999" s="34"/>
      <c r="T1999" s="34"/>
      <c r="U1999" s="34"/>
      <c r="V1999" s="255"/>
      <c r="W1999" s="34"/>
    </row>
    <row r="2000" spans="14:23">
      <c r="N2000" s="34"/>
      <c r="O2000" s="34"/>
      <c r="P2000" s="34"/>
      <c r="Q2000" s="34"/>
      <c r="R2000" s="34"/>
      <c r="S2000" s="34"/>
      <c r="T2000" s="34"/>
      <c r="U2000" s="34"/>
      <c r="V2000" s="255"/>
      <c r="W2000" s="34"/>
    </row>
    <row r="2001" spans="14:23">
      <c r="N2001" s="34"/>
      <c r="O2001" s="34"/>
      <c r="P2001" s="34"/>
      <c r="Q2001" s="34"/>
      <c r="R2001" s="34"/>
      <c r="S2001" s="34"/>
      <c r="T2001" s="34"/>
      <c r="U2001" s="34"/>
      <c r="V2001" s="255"/>
      <c r="W2001" s="34"/>
    </row>
    <row r="2002" spans="14:23">
      <c r="N2002" s="34"/>
      <c r="O2002" s="34"/>
      <c r="P2002" s="34"/>
      <c r="Q2002" s="34"/>
      <c r="R2002" s="34"/>
      <c r="S2002" s="34"/>
      <c r="T2002" s="34"/>
      <c r="U2002" s="34"/>
      <c r="V2002" s="255"/>
      <c r="W2002" s="34"/>
    </row>
    <row r="2003" spans="14:23">
      <c r="N2003" s="34"/>
      <c r="O2003" s="34"/>
      <c r="P2003" s="34"/>
      <c r="Q2003" s="34"/>
      <c r="R2003" s="34"/>
      <c r="S2003" s="34"/>
      <c r="T2003" s="34"/>
      <c r="U2003" s="34"/>
      <c r="V2003" s="255"/>
      <c r="W2003" s="34"/>
    </row>
    <row r="2004" spans="14:23">
      <c r="N2004" s="34"/>
      <c r="O2004" s="34"/>
      <c r="P2004" s="34"/>
      <c r="Q2004" s="34"/>
      <c r="R2004" s="34"/>
      <c r="S2004" s="34"/>
      <c r="T2004" s="34"/>
      <c r="U2004" s="34"/>
      <c r="V2004" s="255"/>
      <c r="W2004" s="34"/>
    </row>
    <row r="2005" spans="14:23">
      <c r="N2005" s="34"/>
      <c r="O2005" s="34"/>
      <c r="P2005" s="34"/>
      <c r="Q2005" s="34"/>
      <c r="R2005" s="34"/>
      <c r="S2005" s="34"/>
      <c r="T2005" s="34"/>
      <c r="U2005" s="34"/>
      <c r="V2005" s="255"/>
      <c r="W2005" s="34"/>
    </row>
    <row r="2006" spans="14:23">
      <c r="N2006" s="34"/>
      <c r="O2006" s="34"/>
      <c r="P2006" s="34"/>
      <c r="Q2006" s="34"/>
      <c r="R2006" s="34"/>
      <c r="S2006" s="34"/>
      <c r="T2006" s="34"/>
      <c r="U2006" s="34"/>
      <c r="V2006" s="255"/>
      <c r="W2006" s="34"/>
    </row>
    <row r="2007" spans="14:23">
      <c r="N2007" s="34"/>
      <c r="O2007" s="34"/>
      <c r="P2007" s="34"/>
      <c r="Q2007" s="34"/>
      <c r="R2007" s="34"/>
      <c r="S2007" s="34"/>
      <c r="T2007" s="34"/>
      <c r="U2007" s="34"/>
      <c r="V2007" s="255"/>
      <c r="W2007" s="34"/>
    </row>
    <row r="2008" spans="14:23">
      <c r="N2008" s="34"/>
      <c r="O2008" s="34"/>
      <c r="P2008" s="34"/>
      <c r="Q2008" s="34"/>
      <c r="R2008" s="34"/>
      <c r="S2008" s="34"/>
      <c r="T2008" s="34"/>
      <c r="U2008" s="34"/>
      <c r="V2008" s="255"/>
      <c r="W2008" s="34"/>
    </row>
    <row r="2009" spans="14:23">
      <c r="N2009" s="34"/>
      <c r="O2009" s="34"/>
      <c r="P2009" s="34"/>
      <c r="Q2009" s="34"/>
      <c r="R2009" s="34"/>
      <c r="S2009" s="34"/>
      <c r="T2009" s="34"/>
      <c r="U2009" s="34"/>
      <c r="V2009" s="255"/>
      <c r="W2009" s="34"/>
    </row>
    <row r="2010" spans="14:23">
      <c r="N2010" s="34"/>
      <c r="O2010" s="34"/>
      <c r="P2010" s="34"/>
      <c r="Q2010" s="34"/>
      <c r="R2010" s="34"/>
      <c r="S2010" s="34"/>
      <c r="T2010" s="34"/>
      <c r="U2010" s="34"/>
      <c r="V2010" s="255"/>
      <c r="W2010" s="34"/>
    </row>
    <row r="2011" spans="14:23">
      <c r="N2011" s="34"/>
      <c r="O2011" s="34"/>
      <c r="P2011" s="34"/>
      <c r="Q2011" s="34"/>
      <c r="R2011" s="34"/>
      <c r="S2011" s="34"/>
      <c r="T2011" s="34"/>
      <c r="U2011" s="34"/>
      <c r="V2011" s="255"/>
      <c r="W2011" s="34"/>
    </row>
    <row r="2012" spans="14:23">
      <c r="N2012" s="34"/>
      <c r="O2012" s="34"/>
      <c r="P2012" s="34"/>
      <c r="Q2012" s="34"/>
      <c r="R2012" s="34"/>
      <c r="S2012" s="34"/>
      <c r="T2012" s="34"/>
      <c r="U2012" s="34"/>
      <c r="V2012" s="255"/>
      <c r="W2012" s="34"/>
    </row>
    <row r="2013" spans="14:23">
      <c r="N2013" s="34"/>
      <c r="O2013" s="34"/>
      <c r="P2013" s="34"/>
      <c r="Q2013" s="34"/>
      <c r="R2013" s="34"/>
      <c r="S2013" s="34"/>
      <c r="T2013" s="34"/>
      <c r="U2013" s="34"/>
      <c r="V2013" s="255"/>
      <c r="W2013" s="34"/>
    </row>
    <row r="2014" spans="14:23">
      <c r="N2014" s="34"/>
      <c r="O2014" s="34"/>
      <c r="P2014" s="34"/>
      <c r="Q2014" s="34"/>
      <c r="R2014" s="34"/>
      <c r="S2014" s="34"/>
      <c r="T2014" s="34"/>
      <c r="U2014" s="34"/>
      <c r="V2014" s="255"/>
      <c r="W2014" s="34"/>
    </row>
    <row r="2015" spans="14:23">
      <c r="N2015" s="34"/>
      <c r="O2015" s="34"/>
      <c r="P2015" s="34"/>
      <c r="Q2015" s="34"/>
      <c r="R2015" s="34"/>
      <c r="S2015" s="34"/>
      <c r="T2015" s="34"/>
      <c r="U2015" s="34"/>
      <c r="V2015" s="255"/>
      <c r="W2015" s="34"/>
    </row>
    <row r="2016" spans="14:23">
      <c r="N2016" s="34"/>
      <c r="O2016" s="34"/>
      <c r="P2016" s="34"/>
      <c r="Q2016" s="34"/>
      <c r="R2016" s="34"/>
      <c r="S2016" s="34"/>
      <c r="T2016" s="34"/>
      <c r="U2016" s="34"/>
      <c r="V2016" s="255"/>
      <c r="W2016" s="34"/>
    </row>
    <row r="2017" spans="14:23">
      <c r="N2017" s="34"/>
      <c r="O2017" s="34"/>
      <c r="P2017" s="34"/>
      <c r="Q2017" s="34"/>
      <c r="R2017" s="34"/>
      <c r="S2017" s="34"/>
      <c r="T2017" s="34"/>
      <c r="U2017" s="34"/>
      <c r="V2017" s="255"/>
      <c r="W2017" s="34"/>
    </row>
    <row r="2018" spans="14:23">
      <c r="N2018" s="34"/>
      <c r="O2018" s="34"/>
      <c r="P2018" s="34"/>
      <c r="Q2018" s="34"/>
      <c r="R2018" s="34"/>
      <c r="S2018" s="34"/>
      <c r="T2018" s="34"/>
      <c r="U2018" s="34"/>
      <c r="V2018" s="255"/>
      <c r="W2018" s="34"/>
    </row>
    <row r="2019" spans="14:23">
      <c r="N2019" s="34"/>
      <c r="O2019" s="34"/>
      <c r="P2019" s="34"/>
      <c r="Q2019" s="34"/>
      <c r="R2019" s="34"/>
      <c r="S2019" s="34"/>
      <c r="T2019" s="34"/>
      <c r="U2019" s="34"/>
      <c r="V2019" s="255"/>
      <c r="W2019" s="34"/>
    </row>
    <row r="2020" spans="14:23">
      <c r="N2020" s="34"/>
      <c r="O2020" s="34"/>
      <c r="P2020" s="34"/>
      <c r="Q2020" s="34"/>
      <c r="R2020" s="34"/>
      <c r="S2020" s="34"/>
      <c r="T2020" s="34"/>
      <c r="U2020" s="34"/>
      <c r="V2020" s="255"/>
      <c r="W2020" s="34"/>
    </row>
    <row r="2021" spans="14:23">
      <c r="N2021" s="34"/>
      <c r="O2021" s="34"/>
      <c r="P2021" s="34"/>
      <c r="Q2021" s="34"/>
      <c r="R2021" s="34"/>
      <c r="S2021" s="34"/>
      <c r="T2021" s="34"/>
      <c r="U2021" s="34"/>
      <c r="V2021" s="255"/>
      <c r="W2021" s="34"/>
    </row>
    <row r="2022" spans="14:23">
      <c r="N2022" s="34"/>
      <c r="O2022" s="34"/>
      <c r="P2022" s="34"/>
      <c r="Q2022" s="34"/>
      <c r="R2022" s="34"/>
      <c r="S2022" s="34"/>
      <c r="T2022" s="34"/>
      <c r="U2022" s="34"/>
      <c r="V2022" s="255"/>
      <c r="W2022" s="34"/>
    </row>
    <row r="2023" spans="14:23">
      <c r="N2023" s="34"/>
      <c r="O2023" s="34"/>
      <c r="P2023" s="34"/>
      <c r="Q2023" s="34"/>
      <c r="R2023" s="34"/>
      <c r="S2023" s="34"/>
      <c r="T2023" s="34"/>
      <c r="U2023" s="34"/>
      <c r="V2023" s="255"/>
      <c r="W2023" s="34"/>
    </row>
    <row r="2024" spans="14:23">
      <c r="N2024" s="34"/>
      <c r="O2024" s="34"/>
      <c r="P2024" s="34"/>
      <c r="Q2024" s="34"/>
      <c r="R2024" s="34"/>
      <c r="S2024" s="34"/>
      <c r="T2024" s="34"/>
      <c r="U2024" s="34"/>
      <c r="V2024" s="255"/>
      <c r="W2024" s="34"/>
    </row>
    <row r="2025" spans="14:23">
      <c r="N2025" s="34"/>
      <c r="O2025" s="34"/>
      <c r="P2025" s="34"/>
      <c r="Q2025" s="34"/>
      <c r="R2025" s="34"/>
      <c r="S2025" s="34"/>
      <c r="T2025" s="34"/>
      <c r="U2025" s="34"/>
      <c r="V2025" s="255"/>
      <c r="W2025" s="34"/>
    </row>
    <row r="2026" spans="14:23">
      <c r="N2026" s="34"/>
      <c r="O2026" s="34"/>
      <c r="P2026" s="34"/>
      <c r="Q2026" s="34"/>
      <c r="R2026" s="34"/>
      <c r="S2026" s="34"/>
      <c r="T2026" s="34"/>
      <c r="U2026" s="34"/>
      <c r="V2026" s="255"/>
      <c r="W2026" s="34"/>
    </row>
    <row r="2027" spans="14:23">
      <c r="N2027" s="34"/>
      <c r="O2027" s="34"/>
      <c r="P2027" s="34"/>
      <c r="Q2027" s="34"/>
      <c r="R2027" s="34"/>
      <c r="S2027" s="34"/>
      <c r="T2027" s="34"/>
      <c r="U2027" s="34"/>
      <c r="V2027" s="255"/>
      <c r="W2027" s="34"/>
    </row>
    <row r="2028" spans="14:23">
      <c r="N2028" s="34"/>
      <c r="O2028" s="34"/>
      <c r="P2028" s="34"/>
      <c r="Q2028" s="34"/>
      <c r="R2028" s="34"/>
      <c r="S2028" s="34"/>
      <c r="T2028" s="34"/>
      <c r="U2028" s="34"/>
      <c r="V2028" s="255"/>
      <c r="W2028" s="34"/>
    </row>
    <row r="2029" spans="14:23">
      <c r="N2029" s="34"/>
      <c r="O2029" s="34"/>
      <c r="P2029" s="34"/>
      <c r="Q2029" s="34"/>
      <c r="R2029" s="34"/>
      <c r="S2029" s="34"/>
      <c r="T2029" s="34"/>
      <c r="U2029" s="34"/>
      <c r="V2029" s="255"/>
      <c r="W2029" s="34"/>
    </row>
    <row r="2030" spans="14:23">
      <c r="N2030" s="34"/>
      <c r="O2030" s="34"/>
      <c r="P2030" s="34"/>
      <c r="Q2030" s="34"/>
      <c r="R2030" s="34"/>
      <c r="S2030" s="34"/>
      <c r="T2030" s="34"/>
      <c r="U2030" s="34"/>
      <c r="V2030" s="255"/>
      <c r="W2030" s="34"/>
    </row>
    <row r="2031" spans="14:23">
      <c r="N2031" s="34"/>
      <c r="O2031" s="34"/>
      <c r="P2031" s="34"/>
      <c r="Q2031" s="34"/>
      <c r="R2031" s="34"/>
      <c r="S2031" s="34"/>
      <c r="T2031" s="34"/>
      <c r="U2031" s="34"/>
      <c r="V2031" s="255"/>
      <c r="W2031" s="34"/>
    </row>
    <row r="2032" spans="14:23">
      <c r="N2032" s="34"/>
      <c r="O2032" s="34"/>
      <c r="P2032" s="34"/>
      <c r="Q2032" s="34"/>
      <c r="R2032" s="34"/>
      <c r="S2032" s="34"/>
      <c r="T2032" s="34"/>
      <c r="U2032" s="34"/>
      <c r="V2032" s="255"/>
      <c r="W2032" s="34"/>
    </row>
    <row r="2033" spans="14:23">
      <c r="N2033" s="34"/>
      <c r="O2033" s="34"/>
      <c r="P2033" s="34"/>
      <c r="Q2033" s="34"/>
      <c r="R2033" s="34"/>
      <c r="S2033" s="34"/>
      <c r="T2033" s="34"/>
      <c r="U2033" s="34"/>
      <c r="V2033" s="255"/>
      <c r="W2033" s="34"/>
    </row>
    <row r="2034" spans="14:23">
      <c r="N2034" s="34"/>
      <c r="O2034" s="34"/>
      <c r="P2034" s="34"/>
      <c r="Q2034" s="34"/>
      <c r="R2034" s="34"/>
      <c r="S2034" s="34"/>
      <c r="T2034" s="34"/>
      <c r="U2034" s="34"/>
      <c r="V2034" s="255"/>
      <c r="W2034" s="34"/>
    </row>
    <row r="2035" spans="14:23">
      <c r="N2035" s="34"/>
      <c r="O2035" s="34"/>
      <c r="P2035" s="34"/>
      <c r="Q2035" s="34"/>
      <c r="R2035" s="34"/>
      <c r="S2035" s="34"/>
      <c r="T2035" s="34"/>
      <c r="U2035" s="34"/>
      <c r="V2035" s="255"/>
      <c r="W2035" s="34"/>
    </row>
    <row r="2036" spans="14:23">
      <c r="N2036" s="34"/>
      <c r="O2036" s="34"/>
      <c r="P2036" s="34"/>
      <c r="Q2036" s="34"/>
      <c r="R2036" s="34"/>
      <c r="S2036" s="34"/>
      <c r="T2036" s="34"/>
      <c r="U2036" s="34"/>
      <c r="V2036" s="255"/>
      <c r="W2036" s="34"/>
    </row>
    <row r="2037" spans="14:23">
      <c r="N2037" s="34"/>
      <c r="O2037" s="34"/>
      <c r="P2037" s="34"/>
      <c r="Q2037" s="34"/>
      <c r="R2037" s="34"/>
      <c r="S2037" s="34"/>
      <c r="T2037" s="34"/>
      <c r="U2037" s="34"/>
      <c r="V2037" s="255"/>
      <c r="W2037" s="34"/>
    </row>
    <row r="2038" spans="14:23">
      <c r="N2038" s="34"/>
      <c r="O2038" s="34"/>
      <c r="P2038" s="34"/>
      <c r="Q2038" s="34"/>
      <c r="R2038" s="34"/>
      <c r="S2038" s="34"/>
      <c r="T2038" s="34"/>
      <c r="U2038" s="34"/>
      <c r="V2038" s="255"/>
      <c r="W2038" s="34"/>
    </row>
    <row r="2039" spans="14:23">
      <c r="N2039" s="34"/>
      <c r="O2039" s="34"/>
      <c r="P2039" s="34"/>
      <c r="Q2039" s="34"/>
      <c r="R2039" s="34"/>
      <c r="S2039" s="34"/>
      <c r="T2039" s="34"/>
      <c r="U2039" s="34"/>
      <c r="V2039" s="255"/>
      <c r="W2039" s="34"/>
    </row>
    <row r="2040" spans="14:23">
      <c r="N2040" s="34"/>
      <c r="O2040" s="34"/>
      <c r="P2040" s="34"/>
      <c r="Q2040" s="34"/>
      <c r="R2040" s="34"/>
      <c r="S2040" s="34"/>
      <c r="T2040" s="34"/>
      <c r="U2040" s="34"/>
      <c r="V2040" s="255"/>
      <c r="W2040" s="34"/>
    </row>
    <row r="2041" spans="14:23">
      <c r="N2041" s="34"/>
      <c r="O2041" s="34"/>
      <c r="P2041" s="34"/>
      <c r="Q2041" s="34"/>
      <c r="R2041" s="34"/>
      <c r="S2041" s="34"/>
      <c r="T2041" s="34"/>
      <c r="U2041" s="34"/>
      <c r="V2041" s="255"/>
      <c r="W2041" s="34"/>
    </row>
    <row r="2042" spans="14:23">
      <c r="N2042" s="34"/>
      <c r="O2042" s="34"/>
      <c r="P2042" s="34"/>
      <c r="Q2042" s="34"/>
      <c r="R2042" s="34"/>
      <c r="S2042" s="34"/>
      <c r="T2042" s="34"/>
      <c r="U2042" s="34"/>
      <c r="V2042" s="255"/>
      <c r="W2042" s="34"/>
    </row>
    <row r="2043" spans="14:23">
      <c r="N2043" s="34"/>
      <c r="O2043" s="34"/>
      <c r="P2043" s="34"/>
      <c r="Q2043" s="34"/>
      <c r="R2043" s="34"/>
      <c r="S2043" s="34"/>
      <c r="T2043" s="34"/>
      <c r="U2043" s="34"/>
      <c r="V2043" s="255"/>
      <c r="W2043" s="34"/>
    </row>
    <row r="2044" spans="14:23">
      <c r="N2044" s="34"/>
      <c r="O2044" s="34"/>
      <c r="P2044" s="34"/>
      <c r="Q2044" s="34"/>
      <c r="R2044" s="34"/>
      <c r="S2044" s="34"/>
      <c r="T2044" s="34"/>
      <c r="U2044" s="34"/>
      <c r="V2044" s="255"/>
      <c r="W2044" s="34"/>
    </row>
    <row r="2045" spans="14:23">
      <c r="N2045" s="34"/>
      <c r="O2045" s="34"/>
      <c r="P2045" s="34"/>
      <c r="Q2045" s="34"/>
      <c r="R2045" s="34"/>
      <c r="S2045" s="34"/>
      <c r="T2045" s="34"/>
      <c r="U2045" s="34"/>
      <c r="V2045" s="255"/>
      <c r="W2045" s="34"/>
    </row>
    <row r="2046" spans="14:23">
      <c r="N2046" s="34"/>
      <c r="O2046" s="34"/>
      <c r="P2046" s="34"/>
      <c r="Q2046" s="34"/>
      <c r="R2046" s="34"/>
      <c r="S2046" s="34"/>
      <c r="T2046" s="34"/>
      <c r="U2046" s="34"/>
      <c r="V2046" s="255"/>
      <c r="W2046" s="34"/>
    </row>
    <row r="2047" spans="14:23">
      <c r="N2047" s="34"/>
      <c r="O2047" s="34"/>
      <c r="P2047" s="34"/>
      <c r="Q2047" s="34"/>
      <c r="R2047" s="34"/>
      <c r="S2047" s="34"/>
      <c r="T2047" s="34"/>
      <c r="U2047" s="34"/>
      <c r="V2047" s="255"/>
      <c r="W2047" s="34"/>
    </row>
    <row r="2048" spans="14:23">
      <c r="N2048" s="34"/>
      <c r="O2048" s="34"/>
      <c r="P2048" s="34"/>
      <c r="Q2048" s="34"/>
      <c r="R2048" s="34"/>
      <c r="S2048" s="34"/>
      <c r="T2048" s="34"/>
      <c r="U2048" s="34"/>
      <c r="V2048" s="255"/>
      <c r="W2048" s="34"/>
    </row>
    <row r="2049" spans="14:23">
      <c r="N2049" s="34"/>
      <c r="O2049" s="34"/>
      <c r="P2049" s="34"/>
      <c r="Q2049" s="34"/>
      <c r="R2049" s="34"/>
      <c r="S2049" s="34"/>
      <c r="T2049" s="34"/>
      <c r="U2049" s="34"/>
      <c r="V2049" s="255"/>
      <c r="W2049" s="34"/>
    </row>
    <row r="2050" spans="14:23">
      <c r="N2050" s="34"/>
      <c r="O2050" s="34"/>
      <c r="P2050" s="34"/>
      <c r="Q2050" s="34"/>
      <c r="R2050" s="34"/>
      <c r="S2050" s="34"/>
      <c r="T2050" s="34"/>
      <c r="U2050" s="34"/>
      <c r="V2050" s="255"/>
      <c r="W2050" s="34"/>
    </row>
    <row r="2051" spans="14:23">
      <c r="N2051" s="34"/>
      <c r="O2051" s="34"/>
      <c r="P2051" s="34"/>
      <c r="Q2051" s="34"/>
      <c r="R2051" s="34"/>
      <c r="S2051" s="34"/>
      <c r="T2051" s="34"/>
      <c r="U2051" s="34"/>
      <c r="V2051" s="255"/>
      <c r="W2051" s="34"/>
    </row>
    <row r="2052" spans="14:23">
      <c r="N2052" s="34"/>
      <c r="O2052" s="34"/>
      <c r="P2052" s="34"/>
      <c r="Q2052" s="34"/>
      <c r="R2052" s="34"/>
      <c r="S2052" s="34"/>
      <c r="T2052" s="34"/>
      <c r="U2052" s="34"/>
      <c r="V2052" s="255"/>
      <c r="W2052" s="34"/>
    </row>
    <row r="2053" spans="14:23">
      <c r="N2053" s="34"/>
      <c r="O2053" s="34"/>
      <c r="P2053" s="34"/>
      <c r="Q2053" s="34"/>
      <c r="R2053" s="34"/>
      <c r="S2053" s="34"/>
      <c r="T2053" s="34"/>
      <c r="U2053" s="34"/>
      <c r="V2053" s="255"/>
      <c r="W2053" s="34"/>
    </row>
    <row r="2054" spans="14:23">
      <c r="N2054" s="34"/>
      <c r="O2054" s="34"/>
      <c r="P2054" s="34"/>
      <c r="Q2054" s="34"/>
      <c r="R2054" s="34"/>
      <c r="S2054" s="34"/>
      <c r="T2054" s="34"/>
      <c r="U2054" s="34"/>
      <c r="V2054" s="255"/>
      <c r="W2054" s="34"/>
    </row>
    <row r="2055" spans="14:23">
      <c r="N2055" s="34"/>
      <c r="O2055" s="34"/>
      <c r="P2055" s="34"/>
      <c r="Q2055" s="34"/>
      <c r="R2055" s="34"/>
      <c r="S2055" s="34"/>
      <c r="T2055" s="34"/>
      <c r="U2055" s="34"/>
      <c r="V2055" s="255"/>
      <c r="W2055" s="34"/>
    </row>
    <row r="2056" spans="14:23">
      <c r="N2056" s="34"/>
      <c r="O2056" s="34"/>
      <c r="P2056" s="34"/>
      <c r="Q2056" s="34"/>
      <c r="R2056" s="34"/>
      <c r="S2056" s="34"/>
      <c r="T2056" s="34"/>
      <c r="U2056" s="34"/>
      <c r="V2056" s="255"/>
      <c r="W2056" s="34"/>
    </row>
    <row r="2057" spans="14:23">
      <c r="N2057" s="34"/>
      <c r="O2057" s="34"/>
      <c r="P2057" s="34"/>
      <c r="Q2057" s="34"/>
      <c r="R2057" s="34"/>
      <c r="S2057" s="34"/>
      <c r="T2057" s="34"/>
      <c r="U2057" s="34"/>
      <c r="V2057" s="255"/>
      <c r="W2057" s="34"/>
    </row>
    <row r="2058" spans="14:23">
      <c r="N2058" s="34"/>
      <c r="O2058" s="34"/>
      <c r="P2058" s="34"/>
      <c r="Q2058" s="34"/>
      <c r="R2058" s="34"/>
      <c r="S2058" s="34"/>
      <c r="T2058" s="34"/>
      <c r="U2058" s="34"/>
      <c r="V2058" s="255"/>
      <c r="W2058" s="34"/>
    </row>
    <row r="2059" spans="14:23">
      <c r="N2059" s="34"/>
      <c r="O2059" s="34"/>
      <c r="P2059" s="34"/>
      <c r="Q2059" s="34"/>
      <c r="R2059" s="34"/>
      <c r="S2059" s="34"/>
      <c r="T2059" s="34"/>
      <c r="U2059" s="34"/>
      <c r="V2059" s="255"/>
      <c r="W2059" s="34"/>
    </row>
    <row r="2060" spans="14:23">
      <c r="N2060" s="34"/>
      <c r="O2060" s="34"/>
      <c r="P2060" s="34"/>
      <c r="Q2060" s="34"/>
      <c r="R2060" s="34"/>
      <c r="S2060" s="34"/>
      <c r="T2060" s="34"/>
      <c r="U2060" s="34"/>
      <c r="V2060" s="255"/>
      <c r="W2060" s="34"/>
    </row>
    <row r="2061" spans="14:23">
      <c r="N2061" s="34"/>
      <c r="O2061" s="34"/>
      <c r="P2061" s="34"/>
      <c r="Q2061" s="34"/>
      <c r="R2061" s="34"/>
      <c r="S2061" s="34"/>
      <c r="T2061" s="34"/>
      <c r="U2061" s="34"/>
      <c r="V2061" s="255"/>
      <c r="W2061" s="34"/>
    </row>
    <row r="2062" spans="14:23">
      <c r="N2062" s="34"/>
      <c r="O2062" s="34"/>
      <c r="P2062" s="34"/>
      <c r="Q2062" s="34"/>
      <c r="R2062" s="34"/>
      <c r="S2062" s="34"/>
      <c r="T2062" s="34"/>
      <c r="U2062" s="34"/>
      <c r="V2062" s="255"/>
      <c r="W2062" s="34"/>
    </row>
    <row r="2063" spans="14:23">
      <c r="N2063" s="34"/>
      <c r="O2063" s="34"/>
      <c r="P2063" s="34"/>
      <c r="Q2063" s="34"/>
      <c r="R2063" s="34"/>
      <c r="S2063" s="34"/>
      <c r="T2063" s="34"/>
      <c r="U2063" s="34"/>
      <c r="V2063" s="255"/>
      <c r="W2063" s="34"/>
    </row>
    <row r="2064" spans="14:23">
      <c r="N2064" s="34"/>
      <c r="O2064" s="34"/>
      <c r="P2064" s="34"/>
      <c r="Q2064" s="34"/>
      <c r="R2064" s="34"/>
      <c r="S2064" s="34"/>
      <c r="T2064" s="34"/>
      <c r="U2064" s="34"/>
      <c r="V2064" s="255"/>
      <c r="W2064" s="34"/>
    </row>
    <row r="2065" spans="14:23">
      <c r="N2065" s="34"/>
      <c r="O2065" s="34"/>
      <c r="P2065" s="34"/>
      <c r="Q2065" s="34"/>
      <c r="R2065" s="34"/>
      <c r="S2065" s="34"/>
      <c r="T2065" s="34"/>
      <c r="U2065" s="34"/>
      <c r="V2065" s="255"/>
      <c r="W2065" s="34"/>
    </row>
    <row r="2066" spans="14:23">
      <c r="N2066" s="34"/>
      <c r="O2066" s="34"/>
      <c r="P2066" s="34"/>
      <c r="Q2066" s="34"/>
      <c r="R2066" s="34"/>
      <c r="S2066" s="34"/>
      <c r="T2066" s="34"/>
      <c r="U2066" s="34"/>
      <c r="V2066" s="255"/>
      <c r="W2066" s="34"/>
    </row>
    <row r="2067" spans="14:23">
      <c r="N2067" s="34"/>
      <c r="O2067" s="34"/>
      <c r="P2067" s="34"/>
      <c r="Q2067" s="34"/>
      <c r="R2067" s="34"/>
      <c r="S2067" s="34"/>
      <c r="T2067" s="34"/>
      <c r="U2067" s="34"/>
      <c r="V2067" s="255"/>
      <c r="W2067" s="34"/>
    </row>
    <row r="2068" spans="14:23">
      <c r="N2068" s="34"/>
      <c r="O2068" s="34"/>
      <c r="P2068" s="34"/>
      <c r="Q2068" s="34"/>
      <c r="R2068" s="34"/>
      <c r="S2068" s="34"/>
      <c r="T2068" s="34"/>
      <c r="U2068" s="34"/>
      <c r="V2068" s="255"/>
      <c r="W2068" s="34"/>
    </row>
    <row r="2069" spans="14:23">
      <c r="N2069" s="34"/>
      <c r="O2069" s="34"/>
      <c r="P2069" s="34"/>
      <c r="Q2069" s="34"/>
      <c r="R2069" s="34"/>
      <c r="S2069" s="34"/>
      <c r="T2069" s="34"/>
      <c r="U2069" s="34"/>
      <c r="V2069" s="255"/>
      <c r="W2069" s="34"/>
    </row>
    <row r="2070" spans="14:23">
      <c r="N2070" s="34"/>
      <c r="O2070" s="34"/>
      <c r="P2070" s="34"/>
      <c r="Q2070" s="34"/>
      <c r="R2070" s="34"/>
      <c r="S2070" s="34"/>
      <c r="T2070" s="34"/>
      <c r="U2070" s="34"/>
      <c r="V2070" s="255"/>
      <c r="W2070" s="34"/>
    </row>
    <row r="2071" spans="14:23">
      <c r="N2071" s="34"/>
      <c r="O2071" s="34"/>
      <c r="P2071" s="34"/>
      <c r="Q2071" s="34"/>
      <c r="R2071" s="34"/>
      <c r="S2071" s="34"/>
      <c r="T2071" s="34"/>
      <c r="U2071" s="34"/>
      <c r="V2071" s="255"/>
      <c r="W2071" s="34"/>
    </row>
    <row r="2072" spans="14:23">
      <c r="N2072" s="34"/>
      <c r="O2072" s="34"/>
      <c r="P2072" s="34"/>
      <c r="Q2072" s="34"/>
      <c r="R2072" s="34"/>
      <c r="S2072" s="34"/>
      <c r="T2072" s="34"/>
      <c r="U2072" s="34"/>
      <c r="V2072" s="255"/>
      <c r="W2072" s="34"/>
    </row>
    <row r="2073" spans="14:23">
      <c r="N2073" s="34"/>
      <c r="O2073" s="34"/>
      <c r="P2073" s="34"/>
      <c r="Q2073" s="34"/>
      <c r="R2073" s="34"/>
      <c r="S2073" s="34"/>
      <c r="T2073" s="34"/>
      <c r="U2073" s="34"/>
      <c r="V2073" s="255"/>
      <c r="W2073" s="34"/>
    </row>
    <row r="2074" spans="14:23">
      <c r="N2074" s="34"/>
      <c r="O2074" s="34"/>
      <c r="P2074" s="34"/>
      <c r="Q2074" s="34"/>
      <c r="R2074" s="34"/>
      <c r="S2074" s="34"/>
      <c r="T2074" s="34"/>
      <c r="U2074" s="34"/>
      <c r="V2074" s="255"/>
      <c r="W2074" s="34"/>
    </row>
    <row r="2075" spans="14:23">
      <c r="N2075" s="34"/>
      <c r="O2075" s="34"/>
      <c r="P2075" s="34"/>
      <c r="Q2075" s="34"/>
      <c r="R2075" s="34"/>
      <c r="S2075" s="34"/>
      <c r="T2075" s="34"/>
      <c r="U2075" s="34"/>
      <c r="V2075" s="255"/>
      <c r="W2075" s="34"/>
    </row>
    <row r="2076" spans="14:23">
      <c r="N2076" s="34"/>
      <c r="O2076" s="34"/>
      <c r="P2076" s="34"/>
      <c r="Q2076" s="34"/>
      <c r="R2076" s="34"/>
      <c r="S2076" s="34"/>
      <c r="T2076" s="34"/>
      <c r="U2076" s="34"/>
      <c r="V2076" s="255"/>
      <c r="W2076" s="34"/>
    </row>
    <row r="2077" spans="14:23">
      <c r="N2077" s="34"/>
      <c r="O2077" s="34"/>
      <c r="P2077" s="34"/>
      <c r="Q2077" s="34"/>
      <c r="R2077" s="34"/>
      <c r="S2077" s="34"/>
      <c r="T2077" s="34"/>
      <c r="U2077" s="34"/>
      <c r="V2077" s="255"/>
      <c r="W2077" s="34"/>
    </row>
    <row r="2078" spans="14:23">
      <c r="N2078" s="34"/>
      <c r="O2078" s="34"/>
      <c r="P2078" s="34"/>
      <c r="Q2078" s="34"/>
      <c r="R2078" s="34"/>
      <c r="S2078" s="34"/>
      <c r="T2078" s="34"/>
      <c r="U2078" s="34"/>
      <c r="V2078" s="255"/>
      <c r="W2078" s="34"/>
    </row>
    <row r="2079" spans="14:23">
      <c r="N2079" s="34"/>
      <c r="O2079" s="34"/>
      <c r="P2079" s="34"/>
      <c r="Q2079" s="34"/>
      <c r="R2079" s="34"/>
      <c r="S2079" s="34"/>
      <c r="T2079" s="34"/>
      <c r="U2079" s="34"/>
      <c r="V2079" s="255"/>
      <c r="W2079" s="34"/>
    </row>
    <row r="2080" spans="14:23">
      <c r="N2080" s="34"/>
      <c r="O2080" s="34"/>
      <c r="P2080" s="34"/>
      <c r="Q2080" s="34"/>
      <c r="R2080" s="34"/>
      <c r="S2080" s="34"/>
      <c r="T2080" s="34"/>
      <c r="U2080" s="34"/>
      <c r="V2080" s="255"/>
      <c r="W2080" s="34"/>
    </row>
    <row r="2081" spans="14:23">
      <c r="N2081" s="34"/>
      <c r="O2081" s="34"/>
      <c r="P2081" s="34"/>
      <c r="Q2081" s="34"/>
      <c r="R2081" s="34"/>
      <c r="S2081" s="34"/>
      <c r="T2081" s="34"/>
      <c r="U2081" s="34"/>
      <c r="V2081" s="255"/>
      <c r="W2081" s="34"/>
    </row>
    <row r="2082" spans="14:23">
      <c r="N2082" s="34"/>
      <c r="O2082" s="34"/>
      <c r="P2082" s="34"/>
      <c r="Q2082" s="34"/>
      <c r="R2082" s="34"/>
      <c r="S2082" s="34"/>
      <c r="T2082" s="34"/>
      <c r="U2082" s="34"/>
      <c r="V2082" s="255"/>
      <c r="W2082" s="34"/>
    </row>
    <row r="2083" spans="14:23">
      <c r="N2083" s="34"/>
      <c r="O2083" s="34"/>
      <c r="P2083" s="34"/>
      <c r="Q2083" s="34"/>
      <c r="R2083" s="34"/>
      <c r="S2083" s="34"/>
      <c r="T2083" s="34"/>
      <c r="U2083" s="34"/>
      <c r="V2083" s="255"/>
      <c r="W2083" s="34"/>
    </row>
    <row r="2084" spans="14:23">
      <c r="N2084" s="34"/>
      <c r="O2084" s="34"/>
      <c r="P2084" s="34"/>
      <c r="Q2084" s="34"/>
      <c r="R2084" s="34"/>
      <c r="S2084" s="34"/>
      <c r="T2084" s="34"/>
      <c r="U2084" s="34"/>
      <c r="V2084" s="255"/>
      <c r="W2084" s="34"/>
    </row>
    <row r="2085" spans="14:23">
      <c r="N2085" s="34"/>
      <c r="O2085" s="34"/>
      <c r="P2085" s="34"/>
      <c r="Q2085" s="34"/>
      <c r="R2085" s="34"/>
      <c r="S2085" s="34"/>
      <c r="T2085" s="34"/>
      <c r="U2085" s="34"/>
      <c r="V2085" s="255"/>
      <c r="W2085" s="34"/>
    </row>
    <row r="2086" spans="14:23">
      <c r="N2086" s="34"/>
      <c r="O2086" s="34"/>
      <c r="P2086" s="34"/>
      <c r="Q2086" s="34"/>
      <c r="R2086" s="34"/>
      <c r="S2086" s="34"/>
      <c r="T2086" s="34"/>
      <c r="U2086" s="34"/>
      <c r="V2086" s="255"/>
      <c r="W2086" s="34"/>
    </row>
    <row r="2087" spans="14:23">
      <c r="N2087" s="34"/>
      <c r="O2087" s="34"/>
      <c r="P2087" s="34"/>
      <c r="Q2087" s="34"/>
      <c r="R2087" s="34"/>
      <c r="S2087" s="34"/>
      <c r="T2087" s="34"/>
      <c r="U2087" s="34"/>
      <c r="V2087" s="255"/>
      <c r="W2087" s="34"/>
    </row>
    <row r="2088" spans="14:23">
      <c r="N2088" s="34"/>
      <c r="O2088" s="34"/>
      <c r="P2088" s="34"/>
      <c r="Q2088" s="34"/>
      <c r="R2088" s="34"/>
      <c r="S2088" s="34"/>
      <c r="T2088" s="34"/>
      <c r="U2088" s="34"/>
      <c r="V2088" s="255"/>
      <c r="W2088" s="34"/>
    </row>
    <row r="2089" spans="14:23">
      <c r="N2089" s="34"/>
      <c r="O2089" s="34"/>
      <c r="P2089" s="34"/>
      <c r="Q2089" s="34"/>
      <c r="R2089" s="34"/>
      <c r="S2089" s="34"/>
      <c r="T2089" s="34"/>
      <c r="U2089" s="34"/>
      <c r="V2089" s="255"/>
      <c r="W2089" s="34"/>
    </row>
    <row r="2090" spans="14:23">
      <c r="N2090" s="34"/>
      <c r="O2090" s="34"/>
      <c r="P2090" s="34"/>
      <c r="Q2090" s="34"/>
      <c r="R2090" s="34"/>
      <c r="S2090" s="34"/>
      <c r="T2090" s="34"/>
      <c r="U2090" s="34"/>
      <c r="V2090" s="255"/>
      <c r="W2090" s="34"/>
    </row>
    <row r="2091" spans="14:23">
      <c r="N2091" s="34"/>
      <c r="O2091" s="34"/>
      <c r="P2091" s="34"/>
      <c r="Q2091" s="34"/>
      <c r="R2091" s="34"/>
      <c r="S2091" s="34"/>
      <c r="T2091" s="34"/>
      <c r="U2091" s="34"/>
      <c r="V2091" s="255"/>
      <c r="W2091" s="34"/>
    </row>
    <row r="2092" spans="14:23">
      <c r="N2092" s="34"/>
      <c r="O2092" s="34"/>
      <c r="P2092" s="34"/>
      <c r="Q2092" s="34"/>
      <c r="R2092" s="34"/>
      <c r="S2092" s="34"/>
      <c r="T2092" s="34"/>
      <c r="U2092" s="34"/>
      <c r="V2092" s="255"/>
      <c r="W2092" s="34"/>
    </row>
    <row r="2093" spans="14:23">
      <c r="N2093" s="34"/>
      <c r="O2093" s="34"/>
      <c r="P2093" s="34"/>
      <c r="Q2093" s="34"/>
      <c r="R2093" s="34"/>
      <c r="S2093" s="34"/>
      <c r="T2093" s="34"/>
      <c r="U2093" s="34"/>
      <c r="V2093" s="255"/>
      <c r="W2093" s="34"/>
    </row>
    <row r="2094" spans="14:23">
      <c r="N2094" s="34"/>
      <c r="O2094" s="34"/>
      <c r="P2094" s="34"/>
      <c r="Q2094" s="34"/>
      <c r="R2094" s="34"/>
      <c r="S2094" s="34"/>
      <c r="T2094" s="34"/>
      <c r="U2094" s="34"/>
      <c r="V2094" s="255"/>
      <c r="W2094" s="34"/>
    </row>
    <row r="2095" spans="14:23">
      <c r="N2095" s="34"/>
      <c r="O2095" s="34"/>
      <c r="P2095" s="34"/>
      <c r="Q2095" s="34"/>
      <c r="R2095" s="34"/>
      <c r="S2095" s="34"/>
      <c r="T2095" s="34"/>
      <c r="U2095" s="34"/>
      <c r="V2095" s="255"/>
      <c r="W2095" s="34"/>
    </row>
    <row r="2096" spans="14:23">
      <c r="N2096" s="34"/>
      <c r="O2096" s="34"/>
      <c r="P2096" s="34"/>
      <c r="Q2096" s="34"/>
      <c r="R2096" s="34"/>
      <c r="S2096" s="34"/>
      <c r="T2096" s="34"/>
      <c r="U2096" s="34"/>
      <c r="V2096" s="255"/>
      <c r="W2096" s="34"/>
    </row>
    <row r="2097" spans="14:23">
      <c r="N2097" s="34"/>
      <c r="O2097" s="34"/>
      <c r="P2097" s="34"/>
      <c r="Q2097" s="34"/>
      <c r="R2097" s="34"/>
      <c r="S2097" s="34"/>
      <c r="T2097" s="34"/>
      <c r="U2097" s="34"/>
      <c r="V2097" s="255"/>
      <c r="W2097" s="34"/>
    </row>
    <row r="2098" spans="14:23">
      <c r="N2098" s="34"/>
      <c r="O2098" s="34"/>
      <c r="P2098" s="34"/>
      <c r="Q2098" s="34"/>
      <c r="R2098" s="34"/>
      <c r="S2098" s="34"/>
      <c r="T2098" s="34"/>
      <c r="U2098" s="34"/>
      <c r="V2098" s="255"/>
      <c r="W2098" s="34"/>
    </row>
    <row r="2099" spans="14:23">
      <c r="N2099" s="34"/>
      <c r="O2099" s="34"/>
      <c r="P2099" s="34"/>
      <c r="Q2099" s="34"/>
      <c r="R2099" s="34"/>
      <c r="S2099" s="34"/>
      <c r="T2099" s="34"/>
      <c r="U2099" s="34"/>
      <c r="V2099" s="255"/>
      <c r="W2099" s="34"/>
    </row>
    <row r="2100" spans="14:23">
      <c r="N2100" s="34"/>
      <c r="O2100" s="34"/>
      <c r="P2100" s="34"/>
      <c r="Q2100" s="34"/>
      <c r="R2100" s="34"/>
      <c r="S2100" s="34"/>
      <c r="T2100" s="34"/>
      <c r="U2100" s="34"/>
      <c r="V2100" s="255"/>
      <c r="W2100" s="34"/>
    </row>
    <row r="2101" spans="14:23">
      <c r="N2101" s="34"/>
      <c r="O2101" s="34"/>
      <c r="P2101" s="34"/>
      <c r="Q2101" s="34"/>
      <c r="R2101" s="34"/>
      <c r="S2101" s="34"/>
      <c r="T2101" s="34"/>
      <c r="U2101" s="34"/>
      <c r="V2101" s="255"/>
      <c r="W2101" s="34"/>
    </row>
    <row r="2102" spans="14:23">
      <c r="N2102" s="34"/>
      <c r="O2102" s="34"/>
      <c r="P2102" s="34"/>
      <c r="Q2102" s="34"/>
      <c r="R2102" s="34"/>
      <c r="S2102" s="34"/>
      <c r="T2102" s="34"/>
      <c r="U2102" s="34"/>
      <c r="V2102" s="255"/>
      <c r="W2102" s="34"/>
    </row>
    <row r="2103" spans="14:23">
      <c r="N2103" s="34"/>
      <c r="O2103" s="34"/>
      <c r="P2103" s="34"/>
      <c r="Q2103" s="34"/>
      <c r="R2103" s="34"/>
      <c r="S2103" s="34"/>
      <c r="T2103" s="34"/>
      <c r="U2103" s="34"/>
      <c r="V2103" s="255"/>
      <c r="W2103" s="34"/>
    </row>
    <row r="2104" spans="14:23">
      <c r="N2104" s="34"/>
      <c r="O2104" s="34"/>
      <c r="P2104" s="34"/>
      <c r="Q2104" s="34"/>
      <c r="R2104" s="34"/>
      <c r="S2104" s="34"/>
      <c r="T2104" s="34"/>
      <c r="U2104" s="34"/>
      <c r="V2104" s="255"/>
      <c r="W2104" s="34"/>
    </row>
    <row r="2105" spans="14:23">
      <c r="N2105" s="34"/>
      <c r="O2105" s="34"/>
      <c r="P2105" s="34"/>
      <c r="Q2105" s="34"/>
      <c r="R2105" s="34"/>
      <c r="S2105" s="34"/>
      <c r="T2105" s="34"/>
      <c r="U2105" s="34"/>
      <c r="V2105" s="255"/>
      <c r="W2105" s="34"/>
    </row>
    <row r="2106" spans="14:23">
      <c r="N2106" s="34"/>
      <c r="O2106" s="34"/>
      <c r="P2106" s="34"/>
      <c r="Q2106" s="34"/>
      <c r="R2106" s="34"/>
      <c r="S2106" s="34"/>
      <c r="T2106" s="34"/>
      <c r="U2106" s="34"/>
      <c r="V2106" s="255"/>
      <c r="W2106" s="34"/>
    </row>
    <row r="2107" spans="14:23">
      <c r="N2107" s="34"/>
      <c r="O2107" s="34"/>
      <c r="P2107" s="34"/>
      <c r="Q2107" s="34"/>
      <c r="R2107" s="34"/>
      <c r="S2107" s="34"/>
      <c r="T2107" s="34"/>
      <c r="U2107" s="34"/>
      <c r="V2107" s="255"/>
      <c r="W2107" s="34"/>
    </row>
    <row r="2108" spans="14:23">
      <c r="N2108" s="34"/>
      <c r="O2108" s="34"/>
      <c r="P2108" s="34"/>
      <c r="Q2108" s="34"/>
      <c r="R2108" s="34"/>
      <c r="S2108" s="34"/>
      <c r="T2108" s="34"/>
      <c r="U2108" s="34"/>
      <c r="V2108" s="255"/>
      <c r="W2108" s="34"/>
    </row>
    <row r="2109" spans="14:23">
      <c r="N2109" s="34"/>
      <c r="O2109" s="34"/>
      <c r="P2109" s="34"/>
      <c r="Q2109" s="34"/>
      <c r="R2109" s="34"/>
      <c r="S2109" s="34"/>
      <c r="T2109" s="34"/>
      <c r="U2109" s="34"/>
      <c r="V2109" s="255"/>
      <c r="W2109" s="34"/>
    </row>
    <row r="2110" spans="14:23">
      <c r="N2110" s="34"/>
      <c r="O2110" s="34"/>
      <c r="P2110" s="34"/>
      <c r="Q2110" s="34"/>
      <c r="R2110" s="34"/>
      <c r="S2110" s="34"/>
      <c r="T2110" s="34"/>
      <c r="U2110" s="34"/>
      <c r="V2110" s="255"/>
      <c r="W2110" s="34"/>
    </row>
    <row r="2111" spans="14:23">
      <c r="N2111" s="34"/>
      <c r="O2111" s="34"/>
      <c r="P2111" s="34"/>
      <c r="Q2111" s="34"/>
      <c r="R2111" s="34"/>
      <c r="S2111" s="34"/>
      <c r="T2111" s="34"/>
      <c r="U2111" s="34"/>
      <c r="V2111" s="255"/>
      <c r="W2111" s="34"/>
    </row>
    <row r="2112" spans="14:23">
      <c r="N2112" s="34"/>
      <c r="O2112" s="34"/>
      <c r="P2112" s="34"/>
      <c r="Q2112" s="34"/>
      <c r="R2112" s="34"/>
      <c r="S2112" s="34"/>
      <c r="T2112" s="34"/>
      <c r="U2112" s="34"/>
      <c r="V2112" s="255"/>
      <c r="W2112" s="34"/>
    </row>
    <row r="2113" spans="14:23">
      <c r="N2113" s="34"/>
      <c r="O2113" s="34"/>
      <c r="P2113" s="34"/>
      <c r="Q2113" s="34"/>
      <c r="R2113" s="34"/>
      <c r="S2113" s="34"/>
      <c r="T2113" s="34"/>
      <c r="U2113" s="34"/>
      <c r="V2113" s="255"/>
      <c r="W2113" s="34"/>
    </row>
    <row r="2114" spans="14:23">
      <c r="N2114" s="34"/>
      <c r="O2114" s="34"/>
      <c r="P2114" s="34"/>
      <c r="Q2114" s="34"/>
      <c r="R2114" s="34"/>
      <c r="S2114" s="34"/>
      <c r="T2114" s="34"/>
      <c r="U2114" s="34"/>
      <c r="V2114" s="255"/>
      <c r="W2114" s="34"/>
    </row>
    <row r="2115" spans="14:23">
      <c r="N2115" s="34"/>
      <c r="O2115" s="34"/>
      <c r="P2115" s="34"/>
      <c r="Q2115" s="34"/>
      <c r="R2115" s="34"/>
      <c r="S2115" s="34"/>
      <c r="T2115" s="34"/>
      <c r="U2115" s="34"/>
      <c r="V2115" s="255"/>
      <c r="W2115" s="34"/>
    </row>
    <row r="2116" spans="14:23">
      <c r="N2116" s="34"/>
      <c r="O2116" s="34"/>
      <c r="P2116" s="34"/>
      <c r="Q2116" s="34"/>
      <c r="R2116" s="34"/>
      <c r="S2116" s="34"/>
      <c r="T2116" s="34"/>
      <c r="U2116" s="34"/>
      <c r="V2116" s="255"/>
      <c r="W2116" s="34"/>
    </row>
    <row r="2117" spans="14:23">
      <c r="N2117" s="34"/>
      <c r="O2117" s="34"/>
      <c r="P2117" s="34"/>
      <c r="Q2117" s="34"/>
      <c r="R2117" s="34"/>
      <c r="S2117" s="34"/>
      <c r="T2117" s="34"/>
      <c r="U2117" s="34"/>
      <c r="V2117" s="255"/>
      <c r="W2117" s="34"/>
    </row>
    <row r="2118" spans="14:23">
      <c r="N2118" s="34"/>
      <c r="O2118" s="34"/>
      <c r="P2118" s="34"/>
      <c r="Q2118" s="34"/>
      <c r="R2118" s="34"/>
      <c r="S2118" s="34"/>
      <c r="T2118" s="34"/>
      <c r="U2118" s="34"/>
      <c r="V2118" s="255"/>
      <c r="W2118" s="34"/>
    </row>
    <row r="2119" spans="14:23">
      <c r="N2119" s="34"/>
      <c r="O2119" s="34"/>
      <c r="P2119" s="34"/>
      <c r="Q2119" s="34"/>
      <c r="R2119" s="34"/>
      <c r="S2119" s="34"/>
      <c r="T2119" s="34"/>
      <c r="U2119" s="34"/>
      <c r="V2119" s="255"/>
      <c r="W2119" s="34"/>
    </row>
    <row r="2120" spans="14:23">
      <c r="N2120" s="34"/>
      <c r="O2120" s="34"/>
      <c r="P2120" s="34"/>
      <c r="Q2120" s="34"/>
      <c r="R2120" s="34"/>
      <c r="S2120" s="34"/>
      <c r="T2120" s="34"/>
      <c r="U2120" s="34"/>
      <c r="V2120" s="255"/>
      <c r="W2120" s="34"/>
    </row>
    <row r="2121" spans="14:23">
      <c r="N2121" s="34"/>
      <c r="O2121" s="34"/>
      <c r="P2121" s="34"/>
      <c r="Q2121" s="34"/>
      <c r="R2121" s="34"/>
      <c r="S2121" s="34"/>
      <c r="T2121" s="34"/>
      <c r="U2121" s="34"/>
      <c r="V2121" s="255"/>
      <c r="W2121" s="34"/>
    </row>
    <row r="2122" spans="14:23">
      <c r="N2122" s="34"/>
      <c r="O2122" s="34"/>
      <c r="P2122" s="34"/>
      <c r="Q2122" s="34"/>
      <c r="R2122" s="34"/>
      <c r="S2122" s="34"/>
      <c r="T2122" s="34"/>
      <c r="U2122" s="34"/>
      <c r="V2122" s="255"/>
      <c r="W2122" s="34"/>
    </row>
    <row r="2123" spans="14:23">
      <c r="N2123" s="34"/>
      <c r="O2123" s="34"/>
      <c r="P2123" s="34"/>
      <c r="Q2123" s="34"/>
      <c r="R2123" s="34"/>
      <c r="S2123" s="34"/>
      <c r="T2123" s="34"/>
      <c r="U2123" s="34"/>
      <c r="V2123" s="255"/>
      <c r="W2123" s="34"/>
    </row>
    <row r="2124" spans="14:23">
      <c r="N2124" s="34"/>
      <c r="O2124" s="34"/>
      <c r="P2124" s="34"/>
      <c r="Q2124" s="34"/>
      <c r="R2124" s="34"/>
      <c r="S2124" s="34"/>
      <c r="T2124" s="34"/>
      <c r="U2124" s="34"/>
      <c r="V2124" s="255"/>
      <c r="W2124" s="34"/>
    </row>
    <row r="2125" spans="14:23">
      <c r="N2125" s="34"/>
      <c r="O2125" s="34"/>
      <c r="P2125" s="34"/>
      <c r="Q2125" s="34"/>
      <c r="R2125" s="34"/>
      <c r="S2125" s="34"/>
      <c r="T2125" s="34"/>
      <c r="U2125" s="34"/>
      <c r="V2125" s="255"/>
      <c r="W2125" s="34"/>
    </row>
    <row r="2126" spans="14:23">
      <c r="N2126" s="34"/>
      <c r="O2126" s="34"/>
      <c r="P2126" s="34"/>
      <c r="Q2126" s="34"/>
      <c r="R2126" s="34"/>
      <c r="S2126" s="34"/>
      <c r="T2126" s="34"/>
      <c r="U2126" s="34"/>
      <c r="V2126" s="255"/>
      <c r="W2126" s="34"/>
    </row>
    <row r="2127" spans="14:23">
      <c r="N2127" s="34"/>
      <c r="O2127" s="34"/>
      <c r="P2127" s="34"/>
      <c r="Q2127" s="34"/>
      <c r="R2127" s="34"/>
      <c r="S2127" s="34"/>
      <c r="T2127" s="34"/>
      <c r="U2127" s="34"/>
      <c r="V2127" s="255"/>
      <c r="W2127" s="34"/>
    </row>
    <row r="2128" spans="14:23">
      <c r="N2128" s="34"/>
      <c r="O2128" s="34"/>
      <c r="P2128" s="34"/>
      <c r="Q2128" s="34"/>
      <c r="R2128" s="34"/>
      <c r="S2128" s="34"/>
      <c r="T2128" s="34"/>
      <c r="U2128" s="34"/>
      <c r="V2128" s="255"/>
      <c r="W2128" s="34"/>
    </row>
    <row r="2129" spans="14:23">
      <c r="N2129" s="34"/>
      <c r="O2129" s="34"/>
      <c r="P2129" s="34"/>
      <c r="Q2129" s="34"/>
      <c r="R2129" s="34"/>
      <c r="S2129" s="34"/>
      <c r="T2129" s="34"/>
      <c r="U2129" s="34"/>
      <c r="V2129" s="255"/>
      <c r="W2129" s="34"/>
    </row>
    <row r="2130" spans="14:23">
      <c r="N2130" s="34"/>
      <c r="O2130" s="34"/>
      <c r="P2130" s="34"/>
      <c r="Q2130" s="34"/>
      <c r="R2130" s="34"/>
      <c r="S2130" s="34"/>
      <c r="T2130" s="34"/>
      <c r="U2130" s="34"/>
      <c r="V2130" s="255"/>
      <c r="W2130" s="34"/>
    </row>
    <row r="2131" spans="14:23">
      <c r="N2131" s="34"/>
      <c r="O2131" s="34"/>
      <c r="P2131" s="34"/>
      <c r="Q2131" s="34"/>
      <c r="R2131" s="34"/>
      <c r="S2131" s="34"/>
      <c r="T2131" s="34"/>
      <c r="U2131" s="34"/>
      <c r="V2131" s="255"/>
      <c r="W2131" s="34"/>
    </row>
    <row r="2132" spans="14:23">
      <c r="N2132" s="34"/>
      <c r="O2132" s="34"/>
      <c r="P2132" s="34"/>
      <c r="Q2132" s="34"/>
      <c r="R2132" s="34"/>
      <c r="S2132" s="34"/>
      <c r="T2132" s="34"/>
      <c r="U2132" s="34"/>
      <c r="V2132" s="255"/>
      <c r="W2132" s="34"/>
    </row>
    <row r="2133" spans="14:23">
      <c r="N2133" s="34"/>
      <c r="O2133" s="34"/>
      <c r="P2133" s="34"/>
      <c r="Q2133" s="34"/>
      <c r="R2133" s="34"/>
      <c r="S2133" s="34"/>
      <c r="T2133" s="34"/>
      <c r="U2133" s="34"/>
      <c r="V2133" s="255"/>
      <c r="W2133" s="34"/>
    </row>
    <row r="2134" spans="14:23">
      <c r="N2134" s="34"/>
      <c r="O2134" s="34"/>
      <c r="P2134" s="34"/>
      <c r="Q2134" s="34"/>
      <c r="R2134" s="34"/>
      <c r="S2134" s="34"/>
      <c r="T2134" s="34"/>
      <c r="U2134" s="34"/>
      <c r="V2134" s="255"/>
      <c r="W2134" s="34"/>
    </row>
    <row r="2135" spans="14:23">
      <c r="N2135" s="34"/>
      <c r="O2135" s="34"/>
      <c r="P2135" s="34"/>
      <c r="Q2135" s="34"/>
      <c r="R2135" s="34"/>
      <c r="S2135" s="34"/>
      <c r="T2135" s="34"/>
      <c r="U2135" s="34"/>
      <c r="V2135" s="255"/>
      <c r="W2135" s="34"/>
    </row>
    <row r="2136" spans="14:23">
      <c r="N2136" s="34"/>
      <c r="O2136" s="34"/>
      <c r="P2136" s="34"/>
      <c r="Q2136" s="34"/>
      <c r="R2136" s="34"/>
      <c r="S2136" s="34"/>
      <c r="T2136" s="34"/>
      <c r="U2136" s="34"/>
      <c r="V2136" s="255"/>
      <c r="W2136" s="34"/>
    </row>
    <row r="2137" spans="14:23">
      <c r="N2137" s="34"/>
      <c r="O2137" s="34"/>
      <c r="P2137" s="34"/>
      <c r="Q2137" s="34"/>
      <c r="R2137" s="34"/>
      <c r="S2137" s="34"/>
      <c r="T2137" s="34"/>
      <c r="U2137" s="34"/>
      <c r="V2137" s="255"/>
      <c r="W2137" s="34"/>
    </row>
    <row r="2138" spans="14:23">
      <c r="N2138" s="34"/>
      <c r="O2138" s="34"/>
      <c r="P2138" s="34"/>
      <c r="Q2138" s="34"/>
      <c r="R2138" s="34"/>
      <c r="S2138" s="34"/>
      <c r="T2138" s="34"/>
      <c r="U2138" s="34"/>
      <c r="V2138" s="255"/>
      <c r="W2138" s="34"/>
    </row>
    <row r="2139" spans="14:23">
      <c r="N2139" s="34"/>
      <c r="O2139" s="34"/>
      <c r="P2139" s="34"/>
      <c r="Q2139" s="34"/>
      <c r="R2139" s="34"/>
      <c r="S2139" s="34"/>
      <c r="T2139" s="34"/>
      <c r="U2139" s="34"/>
      <c r="V2139" s="255"/>
      <c r="W2139" s="34"/>
    </row>
    <row r="2140" spans="14:23">
      <c r="N2140" s="34"/>
      <c r="O2140" s="34"/>
      <c r="P2140" s="34"/>
      <c r="Q2140" s="34"/>
      <c r="R2140" s="34"/>
      <c r="S2140" s="34"/>
      <c r="T2140" s="34"/>
      <c r="U2140" s="34"/>
      <c r="V2140" s="255"/>
      <c r="W2140" s="34"/>
    </row>
    <row r="2141" spans="14:23">
      <c r="N2141" s="34"/>
      <c r="O2141" s="34"/>
      <c r="P2141" s="34"/>
      <c r="Q2141" s="34"/>
      <c r="R2141" s="34"/>
      <c r="S2141" s="34"/>
      <c r="T2141" s="34"/>
      <c r="U2141" s="34"/>
      <c r="V2141" s="255"/>
      <c r="W2141" s="34"/>
    </row>
    <row r="2142" spans="14:23">
      <c r="N2142" s="34"/>
      <c r="O2142" s="34"/>
      <c r="P2142" s="34"/>
      <c r="Q2142" s="34"/>
      <c r="R2142" s="34"/>
      <c r="S2142" s="34"/>
      <c r="T2142" s="34"/>
      <c r="U2142" s="34"/>
      <c r="V2142" s="255"/>
      <c r="W2142" s="34"/>
    </row>
    <row r="2143" spans="14:23">
      <c r="N2143" s="34"/>
      <c r="O2143" s="34"/>
      <c r="P2143" s="34"/>
      <c r="Q2143" s="34"/>
      <c r="R2143" s="34"/>
      <c r="S2143" s="34"/>
      <c r="T2143" s="34"/>
      <c r="U2143" s="34"/>
      <c r="V2143" s="255"/>
      <c r="W2143" s="34"/>
    </row>
    <row r="2144" spans="14:23">
      <c r="N2144" s="34"/>
      <c r="O2144" s="34"/>
      <c r="P2144" s="34"/>
      <c r="Q2144" s="34"/>
      <c r="R2144" s="34"/>
      <c r="S2144" s="34"/>
      <c r="T2144" s="34"/>
      <c r="U2144" s="34"/>
      <c r="V2144" s="255"/>
      <c r="W2144" s="34"/>
    </row>
    <row r="2145" spans="14:23">
      <c r="N2145" s="34"/>
      <c r="O2145" s="34"/>
      <c r="P2145" s="34"/>
      <c r="Q2145" s="34"/>
      <c r="R2145" s="34"/>
      <c r="S2145" s="34"/>
      <c r="T2145" s="34"/>
      <c r="U2145" s="34"/>
      <c r="V2145" s="255"/>
      <c r="W2145" s="34"/>
    </row>
    <row r="2146" spans="14:23">
      <c r="N2146" s="34"/>
      <c r="O2146" s="34"/>
      <c r="P2146" s="34"/>
      <c r="Q2146" s="34"/>
      <c r="R2146" s="34"/>
      <c r="S2146" s="34"/>
      <c r="T2146" s="34"/>
      <c r="U2146" s="34"/>
      <c r="V2146" s="255"/>
      <c r="W2146" s="34"/>
    </row>
    <row r="2147" spans="14:23">
      <c r="N2147" s="34"/>
      <c r="O2147" s="34"/>
      <c r="P2147" s="34"/>
      <c r="Q2147" s="34"/>
      <c r="R2147" s="34"/>
      <c r="S2147" s="34"/>
      <c r="T2147" s="34"/>
      <c r="U2147" s="34"/>
      <c r="V2147" s="255"/>
      <c r="W2147" s="34"/>
    </row>
    <row r="2148" spans="14:23">
      <c r="N2148" s="34"/>
      <c r="O2148" s="34"/>
      <c r="P2148" s="34"/>
      <c r="Q2148" s="34"/>
      <c r="R2148" s="34"/>
      <c r="S2148" s="34"/>
      <c r="T2148" s="34"/>
      <c r="U2148" s="34"/>
      <c r="V2148" s="255"/>
      <c r="W2148" s="34"/>
    </row>
    <row r="2149" spans="14:23">
      <c r="N2149" s="34"/>
      <c r="O2149" s="34"/>
      <c r="P2149" s="34"/>
      <c r="Q2149" s="34"/>
      <c r="R2149" s="34"/>
      <c r="S2149" s="34"/>
      <c r="T2149" s="34"/>
      <c r="U2149" s="34"/>
      <c r="V2149" s="255"/>
      <c r="W2149" s="34"/>
    </row>
    <row r="2150" spans="14:23">
      <c r="N2150" s="34"/>
      <c r="O2150" s="34"/>
      <c r="P2150" s="34"/>
      <c r="Q2150" s="34"/>
      <c r="R2150" s="34"/>
      <c r="S2150" s="34"/>
      <c r="T2150" s="34"/>
      <c r="U2150" s="34"/>
      <c r="V2150" s="255"/>
      <c r="W2150" s="34"/>
    </row>
    <row r="2151" spans="14:23">
      <c r="N2151" s="34"/>
      <c r="O2151" s="34"/>
      <c r="P2151" s="34"/>
      <c r="Q2151" s="34"/>
      <c r="R2151" s="34"/>
      <c r="S2151" s="34"/>
      <c r="T2151" s="34"/>
      <c r="U2151" s="34"/>
      <c r="V2151" s="255"/>
      <c r="W2151" s="34"/>
    </row>
    <row r="2152" spans="14:23">
      <c r="N2152" s="34"/>
      <c r="O2152" s="34"/>
      <c r="P2152" s="34"/>
      <c r="Q2152" s="34"/>
      <c r="R2152" s="34"/>
      <c r="S2152" s="34"/>
      <c r="T2152" s="34"/>
      <c r="U2152" s="34"/>
      <c r="V2152" s="255"/>
      <c r="W2152" s="34"/>
    </row>
    <row r="2153" spans="14:23">
      <c r="N2153" s="34"/>
      <c r="O2153" s="34"/>
      <c r="P2153" s="34"/>
      <c r="Q2153" s="34"/>
      <c r="R2153" s="34"/>
      <c r="S2153" s="34"/>
      <c r="T2153" s="34"/>
      <c r="U2153" s="34"/>
      <c r="V2153" s="255"/>
      <c r="W2153" s="34"/>
    </row>
    <row r="2154" spans="14:23">
      <c r="N2154" s="34"/>
      <c r="O2154" s="34"/>
      <c r="P2154" s="34"/>
      <c r="Q2154" s="34"/>
      <c r="R2154" s="34"/>
      <c r="S2154" s="34"/>
      <c r="T2154" s="34"/>
      <c r="U2154" s="34"/>
      <c r="V2154" s="255"/>
      <c r="W2154" s="34"/>
    </row>
    <row r="2155" spans="14:23">
      <c r="N2155" s="34"/>
      <c r="O2155" s="34"/>
      <c r="P2155" s="34"/>
      <c r="Q2155" s="34"/>
      <c r="R2155" s="34"/>
      <c r="S2155" s="34"/>
      <c r="T2155" s="34"/>
      <c r="U2155" s="34"/>
      <c r="V2155" s="255"/>
      <c r="W2155" s="34"/>
    </row>
    <row r="2156" spans="14:23">
      <c r="N2156" s="34"/>
      <c r="O2156" s="34"/>
      <c r="P2156" s="34"/>
      <c r="Q2156" s="34"/>
      <c r="R2156" s="34"/>
      <c r="S2156" s="34"/>
      <c r="T2156" s="34"/>
      <c r="U2156" s="34"/>
      <c r="V2156" s="255"/>
      <c r="W2156" s="34"/>
    </row>
    <row r="2157" spans="14:23">
      <c r="N2157" s="34"/>
      <c r="O2157" s="34"/>
      <c r="P2157" s="34"/>
      <c r="Q2157" s="34"/>
      <c r="R2157" s="34"/>
      <c r="S2157" s="34"/>
      <c r="T2157" s="34"/>
      <c r="U2157" s="34"/>
      <c r="V2157" s="255"/>
      <c r="W2157" s="34"/>
    </row>
    <row r="2158" spans="14:23">
      <c r="N2158" s="34"/>
      <c r="O2158" s="34"/>
      <c r="P2158" s="34"/>
      <c r="Q2158" s="34"/>
      <c r="R2158" s="34"/>
      <c r="S2158" s="34"/>
      <c r="T2158" s="34"/>
      <c r="U2158" s="34"/>
      <c r="V2158" s="255"/>
      <c r="W2158" s="34"/>
    </row>
    <row r="2159" spans="14:23">
      <c r="N2159" s="34"/>
      <c r="O2159" s="34"/>
      <c r="P2159" s="34"/>
      <c r="Q2159" s="34"/>
      <c r="R2159" s="34"/>
      <c r="S2159" s="34"/>
      <c r="T2159" s="34"/>
      <c r="U2159" s="34"/>
      <c r="V2159" s="255"/>
      <c r="W2159" s="34"/>
    </row>
    <row r="2160" spans="14:23">
      <c r="N2160" s="34"/>
      <c r="O2160" s="34"/>
      <c r="P2160" s="34"/>
      <c r="Q2160" s="34"/>
      <c r="R2160" s="34"/>
      <c r="S2160" s="34"/>
      <c r="T2160" s="34"/>
      <c r="U2160" s="34"/>
      <c r="V2160" s="255"/>
      <c r="W2160" s="34"/>
    </row>
    <row r="2161" spans="14:23">
      <c r="N2161" s="34"/>
      <c r="O2161" s="34"/>
      <c r="P2161" s="34"/>
      <c r="Q2161" s="34"/>
      <c r="R2161" s="34"/>
      <c r="S2161" s="34"/>
      <c r="T2161" s="34"/>
      <c r="U2161" s="34"/>
      <c r="V2161" s="255"/>
      <c r="W2161" s="34"/>
    </row>
    <row r="2162" spans="14:23">
      <c r="N2162" s="34"/>
      <c r="O2162" s="34"/>
      <c r="P2162" s="34"/>
      <c r="Q2162" s="34"/>
      <c r="R2162" s="34"/>
      <c r="S2162" s="34"/>
      <c r="T2162" s="34"/>
      <c r="U2162" s="34"/>
      <c r="V2162" s="255"/>
      <c r="W2162" s="34"/>
    </row>
    <row r="2163" spans="14:23">
      <c r="N2163" s="34"/>
      <c r="O2163" s="34"/>
      <c r="P2163" s="34"/>
      <c r="Q2163" s="34"/>
      <c r="R2163" s="34"/>
      <c r="S2163" s="34"/>
      <c r="T2163" s="34"/>
      <c r="U2163" s="34"/>
      <c r="V2163" s="255"/>
      <c r="W2163" s="34"/>
    </row>
    <row r="2164" spans="14:23">
      <c r="N2164" s="34"/>
      <c r="O2164" s="34"/>
      <c r="P2164" s="34"/>
      <c r="Q2164" s="34"/>
      <c r="R2164" s="34"/>
      <c r="S2164" s="34"/>
      <c r="T2164" s="34"/>
      <c r="U2164" s="34"/>
      <c r="V2164" s="255"/>
      <c r="W2164" s="34"/>
    </row>
    <row r="2165" spans="14:23">
      <c r="N2165" s="34"/>
      <c r="O2165" s="34"/>
      <c r="P2165" s="34"/>
      <c r="Q2165" s="34"/>
      <c r="R2165" s="34"/>
      <c r="S2165" s="34"/>
      <c r="T2165" s="34"/>
      <c r="U2165" s="34"/>
      <c r="V2165" s="255"/>
      <c r="W2165" s="34"/>
    </row>
    <row r="2166" spans="14:23">
      <c r="N2166" s="34"/>
      <c r="O2166" s="34"/>
      <c r="P2166" s="34"/>
      <c r="Q2166" s="34"/>
      <c r="R2166" s="34"/>
      <c r="S2166" s="34"/>
      <c r="T2166" s="34"/>
      <c r="U2166" s="34"/>
      <c r="V2166" s="255"/>
      <c r="W2166" s="34"/>
    </row>
    <row r="2167" spans="14:23">
      <c r="N2167" s="34"/>
      <c r="O2167" s="34"/>
      <c r="P2167" s="34"/>
      <c r="Q2167" s="34"/>
      <c r="R2167" s="34"/>
      <c r="S2167" s="34"/>
      <c r="T2167" s="34"/>
      <c r="U2167" s="34"/>
      <c r="V2167" s="255"/>
      <c r="W2167" s="34"/>
    </row>
    <row r="2168" spans="14:23">
      <c r="N2168" s="34"/>
      <c r="O2168" s="34"/>
      <c r="P2168" s="34"/>
      <c r="Q2168" s="34"/>
      <c r="R2168" s="34"/>
      <c r="S2168" s="34"/>
      <c r="T2168" s="34"/>
      <c r="U2168" s="34"/>
      <c r="V2168" s="255"/>
      <c r="W2168" s="34"/>
    </row>
    <row r="2169" spans="14:23">
      <c r="N2169" s="34"/>
      <c r="O2169" s="34"/>
      <c r="P2169" s="34"/>
      <c r="Q2169" s="34"/>
      <c r="R2169" s="34"/>
      <c r="S2169" s="34"/>
      <c r="T2169" s="34"/>
      <c r="U2169" s="34"/>
      <c r="V2169" s="255"/>
      <c r="W2169" s="34"/>
    </row>
    <row r="2170" spans="14:23">
      <c r="N2170" s="34"/>
      <c r="O2170" s="34"/>
      <c r="P2170" s="34"/>
      <c r="Q2170" s="34"/>
      <c r="R2170" s="34"/>
      <c r="S2170" s="34"/>
      <c r="T2170" s="34"/>
      <c r="U2170" s="34"/>
      <c r="V2170" s="255"/>
      <c r="W2170" s="34"/>
    </row>
    <row r="2171" spans="14:23">
      <c r="N2171" s="34"/>
      <c r="O2171" s="34"/>
      <c r="P2171" s="34"/>
      <c r="Q2171" s="34"/>
      <c r="R2171" s="34"/>
      <c r="S2171" s="34"/>
      <c r="T2171" s="34"/>
      <c r="U2171" s="34"/>
      <c r="V2171" s="255"/>
      <c r="W2171" s="34"/>
    </row>
    <row r="2172" spans="14:23">
      <c r="N2172" s="34"/>
      <c r="O2172" s="34"/>
      <c r="P2172" s="34"/>
      <c r="Q2172" s="34"/>
      <c r="R2172" s="34"/>
      <c r="S2172" s="34"/>
      <c r="T2172" s="34"/>
      <c r="U2172" s="34"/>
      <c r="V2172" s="255"/>
      <c r="W2172" s="34"/>
    </row>
    <row r="2173" spans="14:23">
      <c r="N2173" s="34"/>
      <c r="O2173" s="34"/>
      <c r="P2173" s="34"/>
      <c r="Q2173" s="34"/>
      <c r="R2173" s="34"/>
      <c r="S2173" s="34"/>
      <c r="T2173" s="34"/>
      <c r="U2173" s="34"/>
      <c r="V2173" s="255"/>
      <c r="W2173" s="34"/>
    </row>
    <row r="2174" spans="14:23">
      <c r="N2174" s="34"/>
      <c r="O2174" s="34"/>
      <c r="P2174" s="34"/>
      <c r="Q2174" s="34"/>
      <c r="R2174" s="34"/>
      <c r="S2174" s="34"/>
      <c r="T2174" s="34"/>
      <c r="U2174" s="34"/>
      <c r="V2174" s="255"/>
      <c r="W2174" s="34"/>
    </row>
    <row r="2175" spans="14:23">
      <c r="N2175" s="34"/>
      <c r="O2175" s="34"/>
      <c r="P2175" s="34"/>
      <c r="Q2175" s="34"/>
      <c r="R2175" s="34"/>
      <c r="S2175" s="34"/>
      <c r="T2175" s="34"/>
      <c r="U2175" s="34"/>
      <c r="V2175" s="255"/>
      <c r="W2175" s="34"/>
    </row>
    <row r="2176" spans="14:23">
      <c r="N2176" s="34"/>
      <c r="O2176" s="34"/>
      <c r="P2176" s="34"/>
      <c r="Q2176" s="34"/>
      <c r="R2176" s="34"/>
      <c r="S2176" s="34"/>
      <c r="T2176" s="34"/>
      <c r="U2176" s="34"/>
      <c r="V2176" s="255"/>
      <c r="W2176" s="34"/>
    </row>
    <row r="2177" spans="14:23">
      <c r="N2177" s="34"/>
      <c r="O2177" s="34"/>
      <c r="P2177" s="34"/>
      <c r="Q2177" s="34"/>
      <c r="R2177" s="34"/>
      <c r="S2177" s="34"/>
      <c r="T2177" s="34"/>
      <c r="U2177" s="34"/>
      <c r="V2177" s="255"/>
      <c r="W2177" s="34"/>
    </row>
    <row r="2178" spans="14:23">
      <c r="N2178" s="34"/>
      <c r="O2178" s="34"/>
      <c r="P2178" s="34"/>
      <c r="Q2178" s="34"/>
      <c r="R2178" s="34"/>
      <c r="S2178" s="34"/>
      <c r="T2178" s="34"/>
      <c r="U2178" s="34"/>
      <c r="V2178" s="255"/>
      <c r="W2178" s="34"/>
    </row>
    <row r="2179" spans="14:23">
      <c r="N2179" s="34"/>
      <c r="O2179" s="34"/>
      <c r="P2179" s="34"/>
      <c r="Q2179" s="34"/>
      <c r="R2179" s="34"/>
      <c r="S2179" s="34"/>
      <c r="T2179" s="34"/>
      <c r="U2179" s="34"/>
      <c r="V2179" s="255"/>
      <c r="W2179" s="34"/>
    </row>
    <row r="2180" spans="14:23">
      <c r="N2180" s="34"/>
      <c r="O2180" s="34"/>
      <c r="P2180" s="34"/>
      <c r="Q2180" s="34"/>
      <c r="R2180" s="34"/>
      <c r="S2180" s="34"/>
      <c r="T2180" s="34"/>
      <c r="U2180" s="34"/>
      <c r="V2180" s="255"/>
      <c r="W2180" s="34"/>
    </row>
    <row r="2181" spans="14:23">
      <c r="N2181" s="34"/>
      <c r="O2181" s="34"/>
      <c r="P2181" s="34"/>
      <c r="Q2181" s="34"/>
      <c r="R2181" s="34"/>
      <c r="S2181" s="34"/>
      <c r="T2181" s="34"/>
      <c r="U2181" s="34"/>
      <c r="V2181" s="255"/>
      <c r="W2181" s="34"/>
    </row>
    <row r="2182" spans="14:23">
      <c r="N2182" s="34"/>
      <c r="O2182" s="34"/>
      <c r="P2182" s="34"/>
      <c r="Q2182" s="34"/>
      <c r="R2182" s="34"/>
      <c r="S2182" s="34"/>
      <c r="T2182" s="34"/>
      <c r="U2182" s="34"/>
      <c r="V2182" s="255"/>
      <c r="W2182" s="34"/>
    </row>
    <row r="2183" spans="14:23">
      <c r="N2183" s="34"/>
      <c r="O2183" s="34"/>
      <c r="P2183" s="34"/>
      <c r="Q2183" s="34"/>
      <c r="R2183" s="34"/>
      <c r="S2183" s="34"/>
      <c r="T2183" s="34"/>
      <c r="U2183" s="34"/>
      <c r="V2183" s="255"/>
      <c r="W2183" s="34"/>
    </row>
    <row r="2184" spans="14:23">
      <c r="N2184" s="34"/>
      <c r="O2184" s="34"/>
      <c r="P2184" s="34"/>
      <c r="Q2184" s="34"/>
      <c r="R2184" s="34"/>
      <c r="S2184" s="34"/>
      <c r="T2184" s="34"/>
      <c r="U2184" s="34"/>
      <c r="V2184" s="255"/>
      <c r="W2184" s="34"/>
    </row>
    <row r="2185" spans="14:23">
      <c r="N2185" s="34"/>
      <c r="O2185" s="34"/>
      <c r="P2185" s="34"/>
      <c r="Q2185" s="34"/>
      <c r="R2185" s="34"/>
      <c r="S2185" s="34"/>
      <c r="T2185" s="34"/>
      <c r="U2185" s="34"/>
      <c r="V2185" s="255"/>
      <c r="W2185" s="34"/>
    </row>
    <row r="2186" spans="14:23">
      <c r="N2186" s="34"/>
      <c r="O2186" s="34"/>
      <c r="P2186" s="34"/>
      <c r="Q2186" s="34"/>
      <c r="R2186" s="34"/>
      <c r="S2186" s="34"/>
      <c r="T2186" s="34"/>
      <c r="U2186" s="34"/>
      <c r="V2186" s="255"/>
      <c r="W2186" s="34"/>
    </row>
    <row r="2187" spans="14:23">
      <c r="N2187" s="34"/>
      <c r="O2187" s="34"/>
      <c r="P2187" s="34"/>
      <c r="Q2187" s="34"/>
      <c r="R2187" s="34"/>
      <c r="S2187" s="34"/>
      <c r="T2187" s="34"/>
      <c r="U2187" s="34"/>
      <c r="V2187" s="255"/>
      <c r="W2187" s="34"/>
    </row>
    <row r="2188" spans="14:23">
      <c r="N2188" s="34"/>
      <c r="O2188" s="34"/>
      <c r="P2188" s="34"/>
      <c r="Q2188" s="34"/>
      <c r="R2188" s="34"/>
      <c r="S2188" s="34"/>
      <c r="T2188" s="34"/>
      <c r="U2188" s="34"/>
      <c r="V2188" s="255"/>
      <c r="W2188" s="34"/>
    </row>
    <row r="2189" spans="14:23">
      <c r="N2189" s="34"/>
      <c r="O2189" s="34"/>
      <c r="P2189" s="34"/>
      <c r="Q2189" s="34"/>
      <c r="R2189" s="34"/>
      <c r="S2189" s="34"/>
      <c r="T2189" s="34"/>
      <c r="U2189" s="34"/>
      <c r="V2189" s="255"/>
      <c r="W2189" s="34"/>
    </row>
    <row r="2190" spans="14:23">
      <c r="N2190" s="34"/>
      <c r="O2190" s="34"/>
      <c r="P2190" s="34"/>
      <c r="Q2190" s="34"/>
      <c r="R2190" s="34"/>
      <c r="S2190" s="34"/>
      <c r="T2190" s="34"/>
      <c r="U2190" s="34"/>
      <c r="V2190" s="255"/>
      <c r="W2190" s="34"/>
    </row>
    <row r="2191" spans="14:23">
      <c r="N2191" s="34"/>
      <c r="O2191" s="34"/>
      <c r="P2191" s="34"/>
      <c r="Q2191" s="34"/>
      <c r="R2191" s="34"/>
      <c r="S2191" s="34"/>
      <c r="T2191" s="34"/>
      <c r="U2191" s="34"/>
      <c r="V2191" s="255"/>
      <c r="W2191" s="34"/>
    </row>
    <row r="2192" spans="14:23">
      <c r="N2192" s="34"/>
      <c r="O2192" s="34"/>
      <c r="P2192" s="34"/>
      <c r="Q2192" s="34"/>
      <c r="R2192" s="34"/>
      <c r="S2192" s="34"/>
      <c r="T2192" s="34"/>
      <c r="U2192" s="34"/>
      <c r="V2192" s="255"/>
      <c r="W2192" s="34"/>
    </row>
    <row r="2193" spans="14:23">
      <c r="N2193" s="34"/>
      <c r="O2193" s="34"/>
      <c r="P2193" s="34"/>
      <c r="Q2193" s="34"/>
      <c r="R2193" s="34"/>
      <c r="S2193" s="34"/>
      <c r="T2193" s="34"/>
      <c r="U2193" s="34"/>
      <c r="V2193" s="255"/>
      <c r="W2193" s="34"/>
    </row>
    <row r="2194" spans="14:23">
      <c r="N2194" s="34"/>
      <c r="O2194" s="34"/>
      <c r="P2194" s="34"/>
      <c r="Q2194" s="34"/>
      <c r="R2194" s="34"/>
      <c r="S2194" s="34"/>
      <c r="T2194" s="34"/>
      <c r="U2194" s="34"/>
      <c r="V2194" s="255"/>
      <c r="W2194" s="34"/>
    </row>
    <row r="2195" spans="14:23">
      <c r="N2195" s="34"/>
      <c r="O2195" s="34"/>
      <c r="P2195" s="34"/>
      <c r="Q2195" s="34"/>
      <c r="R2195" s="34"/>
      <c r="S2195" s="34"/>
      <c r="T2195" s="34"/>
      <c r="U2195" s="34"/>
      <c r="V2195" s="255"/>
      <c r="W2195" s="34"/>
    </row>
    <row r="2196" spans="14:23">
      <c r="N2196" s="34"/>
      <c r="O2196" s="34"/>
      <c r="P2196" s="34"/>
      <c r="Q2196" s="34"/>
      <c r="R2196" s="34"/>
      <c r="S2196" s="34"/>
      <c r="T2196" s="34"/>
      <c r="U2196" s="34"/>
      <c r="V2196" s="255"/>
      <c r="W2196" s="34"/>
    </row>
    <row r="2197" spans="14:23">
      <c r="N2197" s="34"/>
      <c r="O2197" s="34"/>
      <c r="P2197" s="34"/>
      <c r="Q2197" s="34"/>
      <c r="R2197" s="34"/>
      <c r="S2197" s="34"/>
      <c r="T2197" s="34"/>
      <c r="U2197" s="34"/>
      <c r="V2197" s="255"/>
      <c r="W2197" s="34"/>
    </row>
    <row r="2198" spans="14:23">
      <c r="N2198" s="34"/>
      <c r="O2198" s="34"/>
      <c r="P2198" s="34"/>
      <c r="Q2198" s="34"/>
      <c r="R2198" s="34"/>
      <c r="S2198" s="34"/>
      <c r="T2198" s="34"/>
      <c r="U2198" s="34"/>
      <c r="V2198" s="255"/>
      <c r="W2198" s="34"/>
    </row>
    <row r="2199" spans="14:23">
      <c r="N2199" s="34"/>
      <c r="O2199" s="34"/>
      <c r="P2199" s="34"/>
      <c r="Q2199" s="34"/>
      <c r="R2199" s="34"/>
      <c r="S2199" s="34"/>
      <c r="T2199" s="34"/>
      <c r="U2199" s="34"/>
      <c r="V2199" s="255"/>
      <c r="W2199" s="34"/>
    </row>
    <row r="2200" spans="14:23">
      <c r="N2200" s="34"/>
      <c r="O2200" s="34"/>
      <c r="P2200" s="34"/>
      <c r="Q2200" s="34"/>
      <c r="R2200" s="34"/>
      <c r="S2200" s="34"/>
      <c r="T2200" s="34"/>
      <c r="U2200" s="34"/>
      <c r="V2200" s="255"/>
      <c r="W2200" s="34"/>
    </row>
    <row r="2201" spans="14:23">
      <c r="N2201" s="34"/>
      <c r="O2201" s="34"/>
      <c r="P2201" s="34"/>
      <c r="Q2201" s="34"/>
      <c r="R2201" s="34"/>
      <c r="S2201" s="34"/>
      <c r="T2201" s="34"/>
      <c r="U2201" s="34"/>
      <c r="V2201" s="255"/>
      <c r="W2201" s="34"/>
    </row>
    <row r="2202" spans="14:23">
      <c r="N2202" s="34"/>
      <c r="O2202" s="34"/>
      <c r="P2202" s="34"/>
      <c r="Q2202" s="34"/>
      <c r="R2202" s="34"/>
      <c r="S2202" s="34"/>
      <c r="T2202" s="34"/>
      <c r="U2202" s="34"/>
      <c r="V2202" s="255"/>
      <c r="W2202" s="34"/>
    </row>
    <row r="2203" spans="14:23">
      <c r="N2203" s="34"/>
      <c r="O2203" s="34"/>
      <c r="P2203" s="34"/>
      <c r="Q2203" s="34"/>
      <c r="R2203" s="34"/>
      <c r="S2203" s="34"/>
      <c r="T2203" s="34"/>
      <c r="U2203" s="34"/>
      <c r="V2203" s="255"/>
      <c r="W2203" s="34"/>
    </row>
    <row r="2204" spans="14:23">
      <c r="N2204" s="34"/>
      <c r="O2204" s="34"/>
      <c r="P2204" s="34"/>
      <c r="Q2204" s="34"/>
      <c r="R2204" s="34"/>
      <c r="S2204" s="34"/>
      <c r="T2204" s="34"/>
      <c r="U2204" s="34"/>
      <c r="V2204" s="255"/>
      <c r="W2204" s="34"/>
    </row>
    <row r="2205" spans="14:23">
      <c r="N2205" s="34"/>
      <c r="O2205" s="34"/>
      <c r="P2205" s="34"/>
      <c r="Q2205" s="34"/>
      <c r="R2205" s="34"/>
      <c r="S2205" s="34"/>
      <c r="T2205" s="34"/>
      <c r="U2205" s="34"/>
      <c r="V2205" s="255"/>
      <c r="W2205" s="34"/>
    </row>
    <row r="2206" spans="14:23">
      <c r="N2206" s="34"/>
      <c r="O2206" s="34"/>
      <c r="P2206" s="34"/>
      <c r="Q2206" s="34"/>
      <c r="R2206" s="34"/>
      <c r="S2206" s="34"/>
      <c r="T2206" s="34"/>
      <c r="U2206" s="34"/>
      <c r="V2206" s="255"/>
      <c r="W2206" s="34"/>
    </row>
    <row r="2207" spans="14:23">
      <c r="N2207" s="34"/>
      <c r="O2207" s="34"/>
      <c r="P2207" s="34"/>
      <c r="Q2207" s="34"/>
      <c r="R2207" s="34"/>
      <c r="S2207" s="34"/>
      <c r="T2207" s="34"/>
      <c r="U2207" s="34"/>
      <c r="V2207" s="255"/>
      <c r="W2207" s="34"/>
    </row>
    <row r="2208" spans="14:23">
      <c r="N2208" s="34"/>
      <c r="O2208" s="34"/>
      <c r="P2208" s="34"/>
      <c r="Q2208" s="34"/>
      <c r="R2208" s="34"/>
      <c r="S2208" s="34"/>
      <c r="T2208" s="34"/>
      <c r="U2208" s="34"/>
      <c r="V2208" s="255"/>
      <c r="W2208" s="34"/>
    </row>
    <row r="2209" spans="14:23">
      <c r="N2209" s="34"/>
      <c r="O2209" s="34"/>
      <c r="P2209" s="34"/>
      <c r="Q2209" s="34"/>
      <c r="R2209" s="34"/>
      <c r="S2209" s="34"/>
      <c r="T2209" s="34"/>
      <c r="U2209" s="34"/>
      <c r="V2209" s="255"/>
      <c r="W2209" s="34"/>
    </row>
    <row r="2210" spans="14:23">
      <c r="N2210" s="34"/>
      <c r="O2210" s="34"/>
      <c r="P2210" s="34"/>
      <c r="Q2210" s="34"/>
      <c r="R2210" s="34"/>
      <c r="S2210" s="34"/>
      <c r="T2210" s="34"/>
      <c r="U2210" s="34"/>
      <c r="V2210" s="255"/>
      <c r="W2210" s="34"/>
    </row>
    <row r="2211" spans="14:23">
      <c r="N2211" s="34"/>
      <c r="O2211" s="34"/>
      <c r="P2211" s="34"/>
      <c r="Q2211" s="34"/>
      <c r="R2211" s="34"/>
      <c r="S2211" s="34"/>
      <c r="T2211" s="34"/>
      <c r="U2211" s="34"/>
      <c r="V2211" s="255"/>
      <c r="W2211" s="34"/>
    </row>
    <row r="2212" spans="14:23">
      <c r="N2212" s="34"/>
      <c r="O2212" s="34"/>
      <c r="P2212" s="34"/>
      <c r="Q2212" s="34"/>
      <c r="R2212" s="34"/>
      <c r="S2212" s="34"/>
      <c r="T2212" s="34"/>
      <c r="U2212" s="34"/>
      <c r="V2212" s="255"/>
      <c r="W2212" s="34"/>
    </row>
    <row r="2213" spans="14:23">
      <c r="N2213" s="34"/>
      <c r="O2213" s="34"/>
      <c r="P2213" s="34"/>
      <c r="Q2213" s="34"/>
      <c r="R2213" s="34"/>
      <c r="S2213" s="34"/>
      <c r="T2213" s="34"/>
      <c r="U2213" s="34"/>
      <c r="V2213" s="255"/>
      <c r="W2213" s="34"/>
    </row>
    <row r="2214" spans="14:23">
      <c r="N2214" s="34"/>
      <c r="O2214" s="34"/>
      <c r="P2214" s="34"/>
      <c r="Q2214" s="34"/>
      <c r="R2214" s="34"/>
      <c r="S2214" s="34"/>
      <c r="T2214" s="34"/>
      <c r="U2214" s="34"/>
      <c r="V2214" s="255"/>
      <c r="W2214" s="34"/>
    </row>
    <row r="2215" spans="14:23">
      <c r="N2215" s="34"/>
      <c r="O2215" s="34"/>
      <c r="P2215" s="34"/>
      <c r="Q2215" s="34"/>
      <c r="R2215" s="34"/>
      <c r="S2215" s="34"/>
      <c r="T2215" s="34"/>
      <c r="U2215" s="34"/>
      <c r="V2215" s="255"/>
      <c r="W2215" s="34"/>
    </row>
    <row r="2216" spans="14:23">
      <c r="N2216" s="34"/>
      <c r="O2216" s="34"/>
      <c r="P2216" s="34"/>
      <c r="Q2216" s="34"/>
      <c r="R2216" s="34"/>
      <c r="S2216" s="34"/>
      <c r="T2216" s="34"/>
      <c r="U2216" s="34"/>
      <c r="V2216" s="255"/>
      <c r="W2216" s="34"/>
    </row>
    <row r="2217" spans="14:23">
      <c r="N2217" s="34"/>
      <c r="O2217" s="34"/>
      <c r="P2217" s="34"/>
      <c r="Q2217" s="34"/>
      <c r="R2217" s="34"/>
      <c r="S2217" s="34"/>
      <c r="T2217" s="34"/>
      <c r="U2217" s="34"/>
      <c r="V2217" s="255"/>
      <c r="W2217" s="34"/>
    </row>
    <row r="2218" spans="14:23">
      <c r="N2218" s="34"/>
      <c r="O2218" s="34"/>
      <c r="P2218" s="34"/>
      <c r="Q2218" s="34"/>
      <c r="R2218" s="34"/>
      <c r="S2218" s="34"/>
      <c r="T2218" s="34"/>
      <c r="U2218" s="34"/>
      <c r="V2218" s="255"/>
      <c r="W2218" s="34"/>
    </row>
    <row r="2219" spans="14:23">
      <c r="N2219" s="34"/>
      <c r="O2219" s="34"/>
      <c r="P2219" s="34"/>
      <c r="Q2219" s="34"/>
      <c r="R2219" s="34"/>
      <c r="S2219" s="34"/>
      <c r="T2219" s="34"/>
      <c r="U2219" s="34"/>
      <c r="V2219" s="255"/>
      <c r="W2219" s="34"/>
    </row>
    <row r="2220" spans="14:23">
      <c r="N2220" s="34"/>
      <c r="O2220" s="34"/>
      <c r="P2220" s="34"/>
      <c r="Q2220" s="34"/>
      <c r="R2220" s="34"/>
      <c r="S2220" s="34"/>
      <c r="T2220" s="34"/>
      <c r="U2220" s="34"/>
      <c r="V2220" s="255"/>
      <c r="W2220" s="34"/>
    </row>
    <row r="2221" spans="14:23">
      <c r="N2221" s="34"/>
      <c r="O2221" s="34"/>
      <c r="P2221" s="34"/>
      <c r="Q2221" s="34"/>
      <c r="R2221" s="34"/>
      <c r="S2221" s="34"/>
      <c r="T2221" s="34"/>
      <c r="U2221" s="34"/>
      <c r="V2221" s="255"/>
      <c r="W2221" s="34"/>
    </row>
    <row r="2222" spans="14:23">
      <c r="N2222" s="34"/>
      <c r="O2222" s="34"/>
      <c r="P2222" s="34"/>
      <c r="Q2222" s="34"/>
      <c r="R2222" s="34"/>
      <c r="S2222" s="34"/>
      <c r="T2222" s="34"/>
      <c r="U2222" s="34"/>
      <c r="V2222" s="255"/>
      <c r="W2222" s="34"/>
    </row>
    <row r="2223" spans="14:23">
      <c r="N2223" s="34"/>
      <c r="O2223" s="34"/>
      <c r="P2223" s="34"/>
      <c r="Q2223" s="34"/>
      <c r="R2223" s="34"/>
      <c r="S2223" s="34"/>
      <c r="T2223" s="34"/>
      <c r="U2223" s="34"/>
      <c r="V2223" s="255"/>
      <c r="W2223" s="34"/>
    </row>
    <row r="2224" spans="14:23">
      <c r="N2224" s="34"/>
      <c r="O2224" s="34"/>
      <c r="P2224" s="34"/>
      <c r="Q2224" s="34"/>
      <c r="R2224" s="34"/>
      <c r="S2224" s="34"/>
      <c r="T2224" s="34"/>
      <c r="U2224" s="34"/>
      <c r="V2224" s="255"/>
      <c r="W2224" s="34"/>
    </row>
    <row r="2225" spans="14:23">
      <c r="N2225" s="34"/>
      <c r="O2225" s="34"/>
      <c r="P2225" s="34"/>
      <c r="Q2225" s="34"/>
      <c r="R2225" s="34"/>
      <c r="S2225" s="34"/>
      <c r="T2225" s="34"/>
      <c r="U2225" s="34"/>
      <c r="V2225" s="255"/>
      <c r="W2225" s="34"/>
    </row>
    <row r="2226" spans="14:23">
      <c r="N2226" s="34"/>
      <c r="O2226" s="34"/>
      <c r="P2226" s="34"/>
      <c r="Q2226" s="34"/>
      <c r="R2226" s="34"/>
      <c r="S2226" s="34"/>
      <c r="T2226" s="34"/>
      <c r="U2226" s="34"/>
      <c r="V2226" s="255"/>
      <c r="W2226" s="34"/>
    </row>
    <row r="2227" spans="14:23">
      <c r="N2227" s="34"/>
      <c r="O2227" s="34"/>
      <c r="P2227" s="34"/>
      <c r="Q2227" s="34"/>
      <c r="R2227" s="34"/>
      <c r="S2227" s="34"/>
      <c r="T2227" s="34"/>
      <c r="U2227" s="34"/>
      <c r="V2227" s="255"/>
      <c r="W2227" s="34"/>
    </row>
    <row r="2228" spans="14:23">
      <c r="N2228" s="34"/>
      <c r="O2228" s="34"/>
      <c r="P2228" s="34"/>
      <c r="Q2228" s="34"/>
      <c r="R2228" s="34"/>
      <c r="S2228" s="34"/>
      <c r="T2228" s="34"/>
      <c r="U2228" s="34"/>
      <c r="V2228" s="255"/>
      <c r="W2228" s="34"/>
    </row>
    <row r="2229" spans="14:23">
      <c r="N2229" s="34"/>
      <c r="O2229" s="34"/>
      <c r="P2229" s="34"/>
      <c r="Q2229" s="34"/>
      <c r="R2229" s="34"/>
      <c r="S2229" s="34"/>
      <c r="T2229" s="34"/>
      <c r="U2229" s="34"/>
      <c r="V2229" s="255"/>
      <c r="W2229" s="34"/>
    </row>
    <row r="2230" spans="14:23">
      <c r="N2230" s="34"/>
      <c r="O2230" s="34"/>
      <c r="P2230" s="34"/>
      <c r="Q2230" s="34"/>
      <c r="R2230" s="34"/>
      <c r="S2230" s="34"/>
      <c r="T2230" s="34"/>
      <c r="U2230" s="34"/>
      <c r="V2230" s="255"/>
      <c r="W2230" s="34"/>
    </row>
    <row r="2231" spans="14:23">
      <c r="N2231" s="34"/>
      <c r="O2231" s="34"/>
      <c r="P2231" s="34"/>
      <c r="Q2231" s="34"/>
      <c r="R2231" s="34"/>
      <c r="S2231" s="34"/>
      <c r="T2231" s="34"/>
      <c r="U2231" s="34"/>
      <c r="V2231" s="255"/>
      <c r="W2231" s="34"/>
    </row>
    <row r="2232" spans="14:23">
      <c r="N2232" s="34"/>
      <c r="O2232" s="34"/>
      <c r="P2232" s="34"/>
      <c r="Q2232" s="34"/>
      <c r="R2232" s="34"/>
      <c r="S2232" s="34"/>
      <c r="T2232" s="34"/>
      <c r="U2232" s="34"/>
      <c r="V2232" s="255"/>
      <c r="W2232" s="34"/>
    </row>
    <row r="2233" spans="14:23">
      <c r="N2233" s="34"/>
      <c r="O2233" s="34"/>
      <c r="P2233" s="34"/>
      <c r="Q2233" s="34"/>
      <c r="R2233" s="34"/>
      <c r="S2233" s="34"/>
      <c r="T2233" s="34"/>
      <c r="U2233" s="34"/>
      <c r="V2233" s="255"/>
      <c r="W2233" s="34"/>
    </row>
    <row r="2234" spans="14:23">
      <c r="N2234" s="34"/>
      <c r="O2234" s="34"/>
      <c r="P2234" s="34"/>
      <c r="Q2234" s="34"/>
      <c r="R2234" s="34"/>
      <c r="S2234" s="34"/>
      <c r="T2234" s="34"/>
      <c r="U2234" s="34"/>
      <c r="V2234" s="255"/>
      <c r="W2234" s="34"/>
    </row>
    <row r="2235" spans="14:23">
      <c r="N2235" s="34"/>
      <c r="O2235" s="34"/>
      <c r="P2235" s="34"/>
      <c r="Q2235" s="34"/>
      <c r="R2235" s="34"/>
      <c r="S2235" s="34"/>
      <c r="T2235" s="34"/>
      <c r="U2235" s="34"/>
      <c r="V2235" s="255"/>
      <c r="W2235" s="34"/>
    </row>
    <row r="2236" spans="14:23">
      <c r="N2236" s="34"/>
      <c r="O2236" s="34"/>
      <c r="P2236" s="34"/>
      <c r="Q2236" s="34"/>
      <c r="R2236" s="34"/>
      <c r="S2236" s="34"/>
      <c r="T2236" s="34"/>
      <c r="U2236" s="34"/>
      <c r="V2236" s="255"/>
      <c r="W2236" s="34"/>
    </row>
    <row r="2237" spans="14:23">
      <c r="N2237" s="34"/>
      <c r="O2237" s="34"/>
      <c r="P2237" s="34"/>
      <c r="Q2237" s="34"/>
      <c r="R2237" s="34"/>
      <c r="S2237" s="34"/>
      <c r="T2237" s="34"/>
      <c r="U2237" s="34"/>
      <c r="V2237" s="255"/>
      <c r="W2237" s="34"/>
    </row>
    <row r="2238" spans="14:23">
      <c r="N2238" s="34"/>
      <c r="O2238" s="34"/>
      <c r="P2238" s="34"/>
      <c r="Q2238" s="34"/>
      <c r="R2238" s="34"/>
      <c r="S2238" s="34"/>
      <c r="T2238" s="34"/>
      <c r="U2238" s="34"/>
      <c r="V2238" s="255"/>
      <c r="W2238" s="34"/>
    </row>
    <row r="2239" spans="14:23">
      <c r="N2239" s="34"/>
      <c r="O2239" s="34"/>
      <c r="P2239" s="34"/>
      <c r="Q2239" s="34"/>
      <c r="R2239" s="34"/>
      <c r="S2239" s="34"/>
      <c r="T2239" s="34"/>
      <c r="U2239" s="34"/>
      <c r="V2239" s="255"/>
      <c r="W2239" s="34"/>
    </row>
    <row r="2240" spans="14:23">
      <c r="N2240" s="34"/>
      <c r="O2240" s="34"/>
      <c r="P2240" s="34"/>
      <c r="Q2240" s="34"/>
      <c r="R2240" s="34"/>
      <c r="S2240" s="34"/>
      <c r="T2240" s="34"/>
      <c r="U2240" s="34"/>
      <c r="V2240" s="255"/>
      <c r="W2240" s="34"/>
    </row>
    <row r="2241" spans="14:23">
      <c r="N2241" s="34"/>
      <c r="O2241" s="34"/>
      <c r="P2241" s="34"/>
      <c r="Q2241" s="34"/>
      <c r="R2241" s="34"/>
      <c r="S2241" s="34"/>
      <c r="T2241" s="34"/>
      <c r="U2241" s="34"/>
      <c r="V2241" s="255"/>
      <c r="W2241" s="34"/>
    </row>
    <row r="2242" spans="14:23">
      <c r="N2242" s="34"/>
      <c r="O2242" s="34"/>
      <c r="P2242" s="34"/>
      <c r="Q2242" s="34"/>
      <c r="R2242" s="34"/>
      <c r="S2242" s="34"/>
      <c r="T2242" s="34"/>
      <c r="U2242" s="34"/>
      <c r="V2242" s="255"/>
      <c r="W2242" s="34"/>
    </row>
    <row r="2243" spans="14:23">
      <c r="N2243" s="34"/>
      <c r="O2243" s="34"/>
      <c r="P2243" s="34"/>
      <c r="Q2243" s="34"/>
      <c r="R2243" s="34"/>
      <c r="S2243" s="34"/>
      <c r="T2243" s="34"/>
      <c r="U2243" s="34"/>
      <c r="V2243" s="255"/>
      <c r="W2243" s="34"/>
    </row>
    <row r="2244" spans="14:23">
      <c r="N2244" s="34"/>
      <c r="O2244" s="34"/>
      <c r="P2244" s="34"/>
      <c r="Q2244" s="34"/>
      <c r="R2244" s="34"/>
      <c r="S2244" s="34"/>
      <c r="T2244" s="34"/>
      <c r="U2244" s="34"/>
      <c r="V2244" s="255"/>
      <c r="W2244" s="34"/>
    </row>
    <row r="2245" spans="14:23">
      <c r="N2245" s="34"/>
      <c r="O2245" s="34"/>
      <c r="P2245" s="34"/>
      <c r="Q2245" s="34"/>
      <c r="R2245" s="34"/>
      <c r="S2245" s="34"/>
      <c r="T2245" s="34"/>
      <c r="U2245" s="34"/>
      <c r="V2245" s="255"/>
      <c r="W2245" s="34"/>
    </row>
    <row r="2246" spans="14:23">
      <c r="N2246" s="34"/>
      <c r="O2246" s="34"/>
      <c r="P2246" s="34"/>
      <c r="Q2246" s="34"/>
      <c r="R2246" s="34"/>
      <c r="S2246" s="34"/>
      <c r="T2246" s="34"/>
      <c r="U2246" s="34"/>
      <c r="V2246" s="255"/>
      <c r="W2246" s="34"/>
    </row>
    <row r="2247" spans="14:23">
      <c r="N2247" s="34"/>
      <c r="O2247" s="34"/>
      <c r="P2247" s="34"/>
      <c r="Q2247" s="34"/>
      <c r="R2247" s="34"/>
      <c r="S2247" s="34"/>
      <c r="T2247" s="34"/>
      <c r="U2247" s="34"/>
      <c r="V2247" s="255"/>
      <c r="W2247" s="34"/>
    </row>
    <row r="2248" spans="14:23">
      <c r="N2248" s="34"/>
      <c r="O2248" s="34"/>
      <c r="P2248" s="34"/>
      <c r="Q2248" s="34"/>
      <c r="R2248" s="34"/>
      <c r="S2248" s="34"/>
      <c r="T2248" s="34"/>
      <c r="U2248" s="34"/>
      <c r="V2248" s="255"/>
      <c r="W2248" s="34"/>
    </row>
    <row r="2249" spans="14:23">
      <c r="N2249" s="34"/>
      <c r="O2249" s="34"/>
      <c r="P2249" s="34"/>
      <c r="Q2249" s="34"/>
      <c r="R2249" s="34"/>
      <c r="S2249" s="34"/>
      <c r="T2249" s="34"/>
      <c r="U2249" s="34"/>
      <c r="V2249" s="255"/>
      <c r="W2249" s="34"/>
    </row>
    <row r="2250" spans="14:23">
      <c r="N2250" s="34"/>
      <c r="O2250" s="34"/>
      <c r="P2250" s="34"/>
      <c r="Q2250" s="34"/>
      <c r="R2250" s="34"/>
      <c r="S2250" s="34"/>
      <c r="T2250" s="34"/>
      <c r="U2250" s="34"/>
      <c r="V2250" s="255"/>
      <c r="W2250" s="34"/>
    </row>
    <row r="2251" spans="14:23">
      <c r="N2251" s="34"/>
      <c r="O2251" s="34"/>
      <c r="P2251" s="34"/>
      <c r="Q2251" s="34"/>
      <c r="R2251" s="34"/>
      <c r="S2251" s="34"/>
      <c r="T2251" s="34"/>
      <c r="U2251" s="34"/>
      <c r="V2251" s="255"/>
      <c r="W2251" s="34"/>
    </row>
    <row r="2252" spans="14:23">
      <c r="N2252" s="34"/>
      <c r="O2252" s="34"/>
      <c r="P2252" s="34"/>
      <c r="Q2252" s="34"/>
      <c r="R2252" s="34"/>
      <c r="S2252" s="34"/>
      <c r="T2252" s="34"/>
      <c r="U2252" s="34"/>
      <c r="V2252" s="255"/>
      <c r="W2252" s="34"/>
    </row>
    <row r="2253" spans="14:23">
      <c r="N2253" s="34"/>
      <c r="O2253" s="34"/>
      <c r="P2253" s="34"/>
      <c r="Q2253" s="34"/>
      <c r="R2253" s="34"/>
      <c r="S2253" s="34"/>
      <c r="T2253" s="34"/>
      <c r="U2253" s="34"/>
      <c r="V2253" s="255"/>
      <c r="W2253" s="34"/>
    </row>
    <row r="2254" spans="14:23">
      <c r="N2254" s="34"/>
      <c r="O2254" s="34"/>
      <c r="P2254" s="34"/>
      <c r="Q2254" s="34"/>
      <c r="R2254" s="34"/>
      <c r="S2254" s="34"/>
      <c r="T2254" s="34"/>
      <c r="U2254" s="34"/>
      <c r="V2254" s="255"/>
      <c r="W2254" s="34"/>
    </row>
    <row r="2255" spans="14:23">
      <c r="N2255" s="34"/>
      <c r="O2255" s="34"/>
      <c r="P2255" s="34"/>
      <c r="Q2255" s="34"/>
      <c r="R2255" s="34"/>
      <c r="S2255" s="34"/>
      <c r="T2255" s="34"/>
      <c r="U2255" s="34"/>
      <c r="V2255" s="255"/>
      <c r="W2255" s="34"/>
    </row>
    <row r="2256" spans="14:23">
      <c r="N2256" s="34"/>
      <c r="O2256" s="34"/>
      <c r="P2256" s="34"/>
      <c r="Q2256" s="34"/>
      <c r="R2256" s="34"/>
      <c r="S2256" s="34"/>
      <c r="T2256" s="34"/>
      <c r="U2256" s="34"/>
      <c r="V2256" s="255"/>
      <c r="W2256" s="34"/>
    </row>
    <row r="2257" spans="14:23">
      <c r="N2257" s="34"/>
      <c r="O2257" s="34"/>
      <c r="P2257" s="34"/>
      <c r="Q2257" s="34"/>
      <c r="R2257" s="34"/>
      <c r="S2257" s="34"/>
      <c r="T2257" s="34"/>
      <c r="U2257" s="34"/>
      <c r="V2257" s="255"/>
      <c r="W2257" s="34"/>
    </row>
    <row r="2258" spans="14:23">
      <c r="N2258" s="34"/>
      <c r="O2258" s="34"/>
      <c r="P2258" s="34"/>
      <c r="Q2258" s="34"/>
      <c r="R2258" s="34"/>
      <c r="S2258" s="34"/>
      <c r="T2258" s="34"/>
      <c r="U2258" s="34"/>
      <c r="V2258" s="255"/>
      <c r="W2258" s="34"/>
    </row>
    <row r="2259" spans="14:23">
      <c r="N2259" s="34"/>
      <c r="O2259" s="34"/>
      <c r="P2259" s="34"/>
      <c r="Q2259" s="34"/>
      <c r="R2259" s="34"/>
      <c r="S2259" s="34"/>
      <c r="T2259" s="34"/>
      <c r="U2259" s="34"/>
      <c r="V2259" s="255"/>
      <c r="W2259" s="34"/>
    </row>
    <row r="2260" spans="14:23">
      <c r="N2260" s="34"/>
      <c r="O2260" s="34"/>
      <c r="P2260" s="34"/>
      <c r="Q2260" s="34"/>
      <c r="R2260" s="34"/>
      <c r="S2260" s="34"/>
      <c r="T2260" s="34"/>
      <c r="U2260" s="34"/>
      <c r="V2260" s="255"/>
      <c r="W2260" s="34"/>
    </row>
    <row r="2261" spans="14:23">
      <c r="N2261" s="34"/>
      <c r="O2261" s="34"/>
      <c r="P2261" s="34"/>
      <c r="Q2261" s="34"/>
      <c r="R2261" s="34"/>
      <c r="S2261" s="34"/>
      <c r="T2261" s="34"/>
      <c r="U2261" s="34"/>
      <c r="V2261" s="255"/>
      <c r="W2261" s="34"/>
    </row>
    <row r="2262" spans="14:23">
      <c r="N2262" s="34"/>
      <c r="O2262" s="34"/>
      <c r="P2262" s="34"/>
      <c r="Q2262" s="34"/>
      <c r="R2262" s="34"/>
      <c r="S2262" s="34"/>
      <c r="T2262" s="34"/>
      <c r="U2262" s="34"/>
      <c r="V2262" s="255"/>
      <c r="W2262" s="34"/>
    </row>
    <row r="2263" spans="14:23">
      <c r="N2263" s="34"/>
      <c r="O2263" s="34"/>
      <c r="P2263" s="34"/>
      <c r="Q2263" s="34"/>
      <c r="R2263" s="34"/>
      <c r="S2263" s="34"/>
      <c r="T2263" s="34"/>
      <c r="U2263" s="34"/>
      <c r="V2263" s="255"/>
      <c r="W2263" s="34"/>
    </row>
    <row r="2264" spans="14:23">
      <c r="N2264" s="34"/>
      <c r="O2264" s="34"/>
      <c r="P2264" s="34"/>
      <c r="Q2264" s="34"/>
      <c r="R2264" s="34"/>
      <c r="S2264" s="34"/>
      <c r="T2264" s="34"/>
      <c r="U2264" s="34"/>
      <c r="V2264" s="255"/>
      <c r="W2264" s="34"/>
    </row>
    <row r="2265" spans="14:23">
      <c r="N2265" s="34"/>
      <c r="O2265" s="34"/>
      <c r="P2265" s="34"/>
      <c r="Q2265" s="34"/>
      <c r="R2265" s="34"/>
      <c r="S2265" s="34"/>
      <c r="T2265" s="34"/>
      <c r="U2265" s="34"/>
      <c r="V2265" s="255"/>
      <c r="W2265" s="34"/>
    </row>
    <row r="2266" spans="14:23">
      <c r="N2266" s="34"/>
      <c r="O2266" s="34"/>
      <c r="P2266" s="34"/>
      <c r="Q2266" s="34"/>
      <c r="R2266" s="34"/>
      <c r="S2266" s="34"/>
      <c r="T2266" s="34"/>
      <c r="U2266" s="34"/>
      <c r="V2266" s="255"/>
      <c r="W2266" s="34"/>
    </row>
    <row r="2267" spans="14:23">
      <c r="N2267" s="34"/>
      <c r="O2267" s="34"/>
      <c r="P2267" s="34"/>
      <c r="Q2267" s="34"/>
      <c r="R2267" s="34"/>
      <c r="S2267" s="34"/>
      <c r="T2267" s="34"/>
      <c r="U2267" s="34"/>
      <c r="V2267" s="255"/>
      <c r="W2267" s="34"/>
    </row>
    <row r="2268" spans="14:23">
      <c r="N2268" s="34"/>
      <c r="O2268" s="34"/>
      <c r="P2268" s="34"/>
      <c r="Q2268" s="34"/>
      <c r="R2268" s="34"/>
      <c r="S2268" s="34"/>
      <c r="T2268" s="34"/>
      <c r="U2268" s="34"/>
      <c r="V2268" s="255"/>
      <c r="W2268" s="34"/>
    </row>
    <row r="2269" spans="14:23">
      <c r="N2269" s="34"/>
      <c r="O2269" s="34"/>
      <c r="P2269" s="34"/>
      <c r="Q2269" s="34"/>
      <c r="R2269" s="34"/>
      <c r="S2269" s="34"/>
      <c r="T2269" s="34"/>
      <c r="U2269" s="34"/>
      <c r="V2269" s="255"/>
      <c r="W2269" s="34"/>
    </row>
    <row r="2270" spans="14:23">
      <c r="N2270" s="34"/>
      <c r="O2270" s="34"/>
      <c r="P2270" s="34"/>
      <c r="Q2270" s="34"/>
      <c r="R2270" s="34"/>
      <c r="S2270" s="34"/>
      <c r="T2270" s="34"/>
      <c r="U2270" s="34"/>
      <c r="V2270" s="255"/>
      <c r="W2270" s="34"/>
    </row>
    <row r="2271" spans="14:23">
      <c r="N2271" s="34"/>
      <c r="O2271" s="34"/>
      <c r="P2271" s="34"/>
      <c r="Q2271" s="34"/>
      <c r="R2271" s="34"/>
      <c r="S2271" s="34"/>
      <c r="T2271" s="34"/>
      <c r="U2271" s="34"/>
      <c r="V2271" s="255"/>
      <c r="W2271" s="34"/>
    </row>
    <row r="2272" spans="14:23">
      <c r="N2272" s="34"/>
      <c r="O2272" s="34"/>
      <c r="P2272" s="34"/>
      <c r="Q2272" s="34"/>
      <c r="R2272" s="34"/>
      <c r="S2272" s="34"/>
      <c r="T2272" s="34"/>
      <c r="U2272" s="34"/>
      <c r="V2272" s="255"/>
      <c r="W2272" s="34"/>
    </row>
    <row r="2273" spans="14:23">
      <c r="N2273" s="34"/>
      <c r="O2273" s="34"/>
      <c r="P2273" s="34"/>
      <c r="Q2273" s="34"/>
      <c r="R2273" s="34"/>
      <c r="S2273" s="34"/>
      <c r="T2273" s="34"/>
      <c r="U2273" s="34"/>
      <c r="V2273" s="255"/>
      <c r="W2273" s="34"/>
    </row>
    <row r="2274" spans="14:23">
      <c r="N2274" s="34"/>
      <c r="O2274" s="34"/>
      <c r="P2274" s="34"/>
      <c r="Q2274" s="34"/>
      <c r="R2274" s="34"/>
      <c r="S2274" s="34"/>
      <c r="T2274" s="34"/>
      <c r="U2274" s="34"/>
      <c r="V2274" s="255"/>
      <c r="W2274" s="34"/>
    </row>
    <row r="2275" spans="14:23">
      <c r="N2275" s="34"/>
      <c r="O2275" s="34"/>
      <c r="P2275" s="34"/>
      <c r="Q2275" s="34"/>
      <c r="R2275" s="34"/>
      <c r="S2275" s="34"/>
      <c r="T2275" s="34"/>
      <c r="U2275" s="34"/>
      <c r="V2275" s="255"/>
      <c r="W2275" s="34"/>
    </row>
    <row r="2276" spans="14:23">
      <c r="N2276" s="34"/>
      <c r="O2276" s="34"/>
      <c r="P2276" s="34"/>
      <c r="Q2276" s="34"/>
      <c r="R2276" s="34"/>
      <c r="S2276" s="34"/>
      <c r="T2276" s="34"/>
      <c r="U2276" s="34"/>
      <c r="V2276" s="255"/>
      <c r="W2276" s="34"/>
    </row>
    <row r="2277" spans="14:23">
      <c r="N2277" s="34"/>
      <c r="O2277" s="34"/>
      <c r="P2277" s="34"/>
      <c r="Q2277" s="34"/>
      <c r="R2277" s="34"/>
      <c r="S2277" s="34"/>
      <c r="T2277" s="34"/>
      <c r="U2277" s="34"/>
      <c r="V2277" s="255"/>
      <c r="W2277" s="34"/>
    </row>
    <row r="2278" spans="14:23">
      <c r="N2278" s="34"/>
      <c r="O2278" s="34"/>
      <c r="P2278" s="34"/>
      <c r="Q2278" s="34"/>
      <c r="R2278" s="34"/>
      <c r="S2278" s="34"/>
      <c r="T2278" s="34"/>
      <c r="U2278" s="34"/>
      <c r="V2278" s="255"/>
      <c r="W2278" s="34"/>
    </row>
    <row r="2279" spans="14:23">
      <c r="N2279" s="34"/>
      <c r="O2279" s="34"/>
      <c r="P2279" s="34"/>
      <c r="Q2279" s="34"/>
      <c r="R2279" s="34"/>
      <c r="S2279" s="34"/>
      <c r="T2279" s="34"/>
      <c r="U2279" s="34"/>
      <c r="V2279" s="255"/>
      <c r="W2279" s="34"/>
    </row>
    <row r="2280" spans="14:23">
      <c r="N2280" s="34"/>
      <c r="O2280" s="34"/>
      <c r="P2280" s="34"/>
      <c r="Q2280" s="34"/>
      <c r="R2280" s="34"/>
      <c r="S2280" s="34"/>
      <c r="T2280" s="34"/>
      <c r="U2280" s="34"/>
      <c r="V2280" s="255"/>
      <c r="W2280" s="34"/>
    </row>
    <row r="2281" spans="14:23">
      <c r="N2281" s="34"/>
      <c r="O2281" s="34"/>
      <c r="P2281" s="34"/>
      <c r="Q2281" s="34"/>
      <c r="R2281" s="34"/>
      <c r="S2281" s="34"/>
      <c r="T2281" s="34"/>
      <c r="U2281" s="34"/>
      <c r="V2281" s="255"/>
      <c r="W2281" s="34"/>
    </row>
    <row r="2282" spans="14:23">
      <c r="N2282" s="34"/>
      <c r="O2282" s="34"/>
      <c r="P2282" s="34"/>
      <c r="Q2282" s="34"/>
      <c r="R2282" s="34"/>
      <c r="S2282" s="34"/>
      <c r="T2282" s="34"/>
      <c r="U2282" s="34"/>
      <c r="V2282" s="255"/>
      <c r="W2282" s="34"/>
    </row>
    <row r="2283" spans="14:23">
      <c r="N2283" s="34"/>
      <c r="O2283" s="34"/>
      <c r="P2283" s="34"/>
      <c r="Q2283" s="34"/>
      <c r="R2283" s="34"/>
      <c r="S2283" s="34"/>
      <c r="T2283" s="34"/>
      <c r="U2283" s="34"/>
      <c r="V2283" s="255"/>
      <c r="W2283" s="34"/>
    </row>
    <row r="2284" spans="14:23">
      <c r="N2284" s="34"/>
      <c r="O2284" s="34"/>
      <c r="P2284" s="34"/>
      <c r="Q2284" s="34"/>
      <c r="R2284" s="34"/>
      <c r="S2284" s="34"/>
      <c r="T2284" s="34"/>
      <c r="U2284" s="34"/>
      <c r="V2284" s="255"/>
      <c r="W2284" s="34"/>
    </row>
    <row r="2285" spans="14:23">
      <c r="N2285" s="34"/>
      <c r="O2285" s="34"/>
      <c r="P2285" s="34"/>
      <c r="Q2285" s="34"/>
      <c r="R2285" s="34"/>
      <c r="S2285" s="34"/>
      <c r="T2285" s="34"/>
      <c r="U2285" s="34"/>
      <c r="V2285" s="255"/>
      <c r="W2285" s="34"/>
    </row>
    <row r="2286" spans="14:23">
      <c r="N2286" s="34"/>
      <c r="O2286" s="34"/>
      <c r="P2286" s="34"/>
      <c r="Q2286" s="34"/>
      <c r="R2286" s="34"/>
      <c r="S2286" s="34"/>
      <c r="T2286" s="34"/>
      <c r="U2286" s="34"/>
      <c r="V2286" s="255"/>
      <c r="W2286" s="34"/>
    </row>
    <row r="2287" spans="14:23">
      <c r="N2287" s="34"/>
      <c r="O2287" s="34"/>
      <c r="P2287" s="34"/>
      <c r="Q2287" s="34"/>
      <c r="R2287" s="34"/>
      <c r="S2287" s="34"/>
      <c r="T2287" s="34"/>
      <c r="U2287" s="34"/>
      <c r="V2287" s="255"/>
      <c r="W2287" s="34"/>
    </row>
    <row r="2288" spans="14:23">
      <c r="N2288" s="34"/>
      <c r="O2288" s="34"/>
      <c r="P2288" s="34"/>
      <c r="Q2288" s="34"/>
      <c r="R2288" s="34"/>
      <c r="S2288" s="34"/>
      <c r="T2288" s="34"/>
      <c r="U2288" s="34"/>
      <c r="V2288" s="255"/>
      <c r="W2288" s="34"/>
    </row>
    <row r="2289" spans="14:23">
      <c r="N2289" s="34"/>
      <c r="O2289" s="34"/>
      <c r="P2289" s="34"/>
      <c r="Q2289" s="34"/>
      <c r="R2289" s="34"/>
      <c r="S2289" s="34"/>
      <c r="T2289" s="34"/>
      <c r="U2289" s="34"/>
      <c r="V2289" s="255"/>
      <c r="W2289" s="34"/>
    </row>
    <row r="2290" spans="14:23">
      <c r="N2290" s="34"/>
      <c r="O2290" s="34"/>
      <c r="P2290" s="34"/>
      <c r="Q2290" s="34"/>
      <c r="R2290" s="34"/>
      <c r="S2290" s="34"/>
      <c r="T2290" s="34"/>
      <c r="U2290" s="34"/>
      <c r="V2290" s="255"/>
      <c r="W2290" s="34"/>
    </row>
    <row r="2291" spans="14:23">
      <c r="N2291" s="34"/>
      <c r="O2291" s="34"/>
      <c r="P2291" s="34"/>
      <c r="Q2291" s="34"/>
      <c r="R2291" s="34"/>
      <c r="S2291" s="34"/>
      <c r="T2291" s="34"/>
      <c r="U2291" s="34"/>
      <c r="V2291" s="255"/>
      <c r="W2291" s="34"/>
    </row>
    <row r="2292" spans="14:23">
      <c r="N2292" s="34"/>
      <c r="O2292" s="34"/>
      <c r="P2292" s="34"/>
      <c r="Q2292" s="34"/>
      <c r="R2292" s="34"/>
      <c r="S2292" s="34"/>
      <c r="T2292" s="34"/>
      <c r="U2292" s="34"/>
      <c r="V2292" s="255"/>
      <c r="W2292" s="34"/>
    </row>
    <row r="2293" spans="14:23">
      <c r="N2293" s="34"/>
      <c r="O2293" s="34"/>
      <c r="P2293" s="34"/>
      <c r="Q2293" s="34"/>
      <c r="R2293" s="34"/>
      <c r="S2293" s="34"/>
      <c r="T2293" s="34"/>
      <c r="U2293" s="34"/>
      <c r="V2293" s="255"/>
      <c r="W2293" s="34"/>
    </row>
    <row r="2294" spans="14:23">
      <c r="N2294" s="34"/>
      <c r="O2294" s="34"/>
      <c r="P2294" s="34"/>
      <c r="Q2294" s="34"/>
      <c r="R2294" s="34"/>
      <c r="S2294" s="34"/>
      <c r="T2294" s="34"/>
      <c r="U2294" s="34"/>
      <c r="V2294" s="255"/>
      <c r="W2294" s="34"/>
    </row>
    <row r="2295" spans="14:23">
      <c r="N2295" s="34"/>
      <c r="O2295" s="34"/>
      <c r="P2295" s="34"/>
      <c r="Q2295" s="34"/>
      <c r="R2295" s="34"/>
      <c r="S2295" s="34"/>
      <c r="T2295" s="34"/>
      <c r="U2295" s="34"/>
      <c r="V2295" s="255"/>
      <c r="W2295" s="34"/>
    </row>
    <row r="2296" spans="14:23">
      <c r="N2296" s="34"/>
      <c r="O2296" s="34"/>
      <c r="P2296" s="34"/>
      <c r="Q2296" s="34"/>
      <c r="R2296" s="34"/>
      <c r="S2296" s="34"/>
      <c r="T2296" s="34"/>
      <c r="U2296" s="34"/>
      <c r="V2296" s="255"/>
      <c r="W2296" s="34"/>
    </row>
    <row r="2297" spans="14:23">
      <c r="N2297" s="34"/>
      <c r="O2297" s="34"/>
      <c r="P2297" s="34"/>
      <c r="Q2297" s="34"/>
      <c r="R2297" s="34"/>
      <c r="S2297" s="34"/>
      <c r="T2297" s="34"/>
      <c r="U2297" s="34"/>
      <c r="V2297" s="255"/>
      <c r="W2297" s="34"/>
    </row>
    <row r="2298" spans="14:23">
      <c r="N2298" s="34"/>
      <c r="O2298" s="34"/>
      <c r="P2298" s="34"/>
      <c r="Q2298" s="34"/>
      <c r="R2298" s="34"/>
      <c r="S2298" s="34"/>
      <c r="T2298" s="34"/>
      <c r="U2298" s="34"/>
      <c r="V2298" s="255"/>
      <c r="W2298" s="34"/>
    </row>
    <row r="2299" spans="14:23">
      <c r="N2299" s="34"/>
      <c r="O2299" s="34"/>
      <c r="P2299" s="34"/>
      <c r="Q2299" s="34"/>
      <c r="R2299" s="34"/>
      <c r="S2299" s="34"/>
      <c r="T2299" s="34"/>
      <c r="U2299" s="34"/>
      <c r="V2299" s="255"/>
      <c r="W2299" s="34"/>
    </row>
    <row r="2300" spans="14:23">
      <c r="N2300" s="34"/>
      <c r="O2300" s="34"/>
      <c r="P2300" s="34"/>
      <c r="Q2300" s="34"/>
      <c r="R2300" s="34"/>
      <c r="S2300" s="34"/>
      <c r="T2300" s="34"/>
      <c r="U2300" s="34"/>
      <c r="V2300" s="255"/>
      <c r="W2300" s="34"/>
    </row>
    <row r="2301" spans="14:23">
      <c r="N2301" s="34"/>
      <c r="O2301" s="34"/>
      <c r="P2301" s="34"/>
      <c r="Q2301" s="34"/>
      <c r="R2301" s="34"/>
      <c r="S2301" s="34"/>
      <c r="T2301" s="34"/>
      <c r="U2301" s="34"/>
      <c r="V2301" s="255"/>
      <c r="W2301" s="34"/>
    </row>
    <row r="2302" spans="14:23">
      <c r="N2302" s="34"/>
      <c r="O2302" s="34"/>
      <c r="P2302" s="34"/>
      <c r="Q2302" s="34"/>
      <c r="R2302" s="34"/>
      <c r="S2302" s="34"/>
      <c r="T2302" s="34"/>
      <c r="U2302" s="34"/>
      <c r="V2302" s="255"/>
      <c r="W2302" s="34"/>
    </row>
    <row r="2303" spans="14:23">
      <c r="N2303" s="34"/>
      <c r="O2303" s="34"/>
      <c r="P2303" s="34"/>
      <c r="Q2303" s="34"/>
      <c r="R2303" s="34"/>
      <c r="S2303" s="34"/>
      <c r="T2303" s="34"/>
      <c r="U2303" s="34"/>
      <c r="V2303" s="255"/>
      <c r="W2303" s="34"/>
    </row>
    <row r="2304" spans="14:23">
      <c r="N2304" s="34"/>
      <c r="O2304" s="34"/>
      <c r="P2304" s="34"/>
      <c r="Q2304" s="34"/>
      <c r="R2304" s="34"/>
      <c r="S2304" s="34"/>
      <c r="T2304" s="34"/>
      <c r="U2304" s="34"/>
      <c r="V2304" s="255"/>
      <c r="W2304" s="34"/>
    </row>
    <row r="2305" spans="14:23">
      <c r="N2305" s="34"/>
      <c r="O2305" s="34"/>
      <c r="P2305" s="34"/>
      <c r="Q2305" s="34"/>
      <c r="R2305" s="34"/>
      <c r="S2305" s="34"/>
      <c r="T2305" s="34"/>
      <c r="U2305" s="34"/>
      <c r="V2305" s="255"/>
      <c r="W2305" s="34"/>
    </row>
    <row r="2306" spans="14:23">
      <c r="N2306" s="34"/>
      <c r="O2306" s="34"/>
      <c r="P2306" s="34"/>
      <c r="Q2306" s="34"/>
      <c r="R2306" s="34"/>
      <c r="S2306" s="34"/>
      <c r="T2306" s="34"/>
      <c r="U2306" s="34"/>
      <c r="V2306" s="255"/>
      <c r="W2306" s="34"/>
    </row>
    <row r="2307" spans="14:23">
      <c r="N2307" s="34"/>
      <c r="O2307" s="34"/>
      <c r="P2307" s="34"/>
      <c r="Q2307" s="34"/>
      <c r="R2307" s="34"/>
      <c r="S2307" s="34"/>
      <c r="T2307" s="34"/>
      <c r="U2307" s="34"/>
      <c r="V2307" s="255"/>
      <c r="W2307" s="34"/>
    </row>
    <row r="2308" spans="14:23">
      <c r="N2308" s="34"/>
      <c r="O2308" s="34"/>
      <c r="P2308" s="34"/>
      <c r="Q2308" s="34"/>
      <c r="R2308" s="34"/>
      <c r="S2308" s="34"/>
      <c r="T2308" s="34"/>
      <c r="U2308" s="34"/>
      <c r="V2308" s="255"/>
      <c r="W2308" s="34"/>
    </row>
    <row r="2309" spans="14:23">
      <c r="N2309" s="34"/>
      <c r="O2309" s="34"/>
      <c r="P2309" s="34"/>
      <c r="Q2309" s="34"/>
      <c r="R2309" s="34"/>
      <c r="S2309" s="34"/>
      <c r="T2309" s="34"/>
      <c r="U2309" s="34"/>
      <c r="V2309" s="255"/>
      <c r="W2309" s="34"/>
    </row>
    <row r="2310" spans="14:23">
      <c r="N2310" s="34"/>
      <c r="O2310" s="34"/>
      <c r="P2310" s="34"/>
      <c r="Q2310" s="34"/>
      <c r="R2310" s="34"/>
      <c r="S2310" s="34"/>
      <c r="T2310" s="34"/>
      <c r="U2310" s="34"/>
      <c r="V2310" s="255"/>
      <c r="W2310" s="34"/>
    </row>
    <row r="2311" spans="14:23">
      <c r="N2311" s="34"/>
      <c r="O2311" s="34"/>
      <c r="P2311" s="34"/>
      <c r="Q2311" s="34"/>
      <c r="R2311" s="34"/>
      <c r="S2311" s="34"/>
      <c r="T2311" s="34"/>
      <c r="U2311" s="34"/>
      <c r="V2311" s="255"/>
      <c r="W2311" s="34"/>
    </row>
    <row r="2312" spans="14:23">
      <c r="N2312" s="34"/>
      <c r="O2312" s="34"/>
      <c r="P2312" s="34"/>
      <c r="Q2312" s="34"/>
      <c r="R2312" s="34"/>
      <c r="S2312" s="34"/>
      <c r="T2312" s="34"/>
      <c r="U2312" s="34"/>
      <c r="V2312" s="255"/>
      <c r="W2312" s="34"/>
    </row>
    <row r="2313" spans="14:23">
      <c r="N2313" s="34"/>
      <c r="O2313" s="34"/>
      <c r="P2313" s="34"/>
      <c r="Q2313" s="34"/>
      <c r="R2313" s="34"/>
      <c r="S2313" s="34"/>
      <c r="T2313" s="34"/>
      <c r="U2313" s="34"/>
      <c r="V2313" s="255"/>
      <c r="W2313" s="34"/>
    </row>
    <row r="2314" spans="14:23">
      <c r="N2314" s="34"/>
      <c r="O2314" s="34"/>
      <c r="P2314" s="34"/>
      <c r="Q2314" s="34"/>
      <c r="R2314" s="34"/>
      <c r="S2314" s="34"/>
      <c r="T2314" s="34"/>
      <c r="U2314" s="34"/>
      <c r="V2314" s="255"/>
      <c r="W2314" s="34"/>
    </row>
    <row r="2315" spans="14:23">
      <c r="N2315" s="34"/>
      <c r="O2315" s="34"/>
      <c r="P2315" s="34"/>
      <c r="Q2315" s="34"/>
      <c r="R2315" s="34"/>
      <c r="S2315" s="34"/>
      <c r="T2315" s="34"/>
      <c r="U2315" s="34"/>
      <c r="V2315" s="255"/>
      <c r="W2315" s="34"/>
    </row>
    <row r="2316" spans="14:23">
      <c r="N2316" s="34"/>
      <c r="O2316" s="34"/>
      <c r="P2316" s="34"/>
      <c r="Q2316" s="34"/>
      <c r="R2316" s="34"/>
      <c r="S2316" s="34"/>
      <c r="T2316" s="34"/>
      <c r="U2316" s="34"/>
      <c r="V2316" s="255"/>
      <c r="W2316" s="34"/>
    </row>
    <row r="2317" spans="14:23">
      <c r="N2317" s="34"/>
      <c r="O2317" s="34"/>
      <c r="P2317" s="34"/>
      <c r="Q2317" s="34"/>
      <c r="R2317" s="34"/>
      <c r="S2317" s="34"/>
      <c r="T2317" s="34"/>
      <c r="U2317" s="34"/>
      <c r="V2317" s="255"/>
      <c r="W2317" s="34"/>
    </row>
    <row r="2318" spans="14:23">
      <c r="N2318" s="34"/>
      <c r="O2318" s="34"/>
      <c r="P2318" s="34"/>
      <c r="Q2318" s="34"/>
      <c r="R2318" s="34"/>
      <c r="S2318" s="34"/>
      <c r="T2318" s="34"/>
      <c r="U2318" s="34"/>
      <c r="V2318" s="255"/>
      <c r="W2318" s="34"/>
    </row>
    <row r="2319" spans="14:23">
      <c r="N2319" s="34"/>
      <c r="O2319" s="34"/>
      <c r="P2319" s="34"/>
      <c r="Q2319" s="34"/>
      <c r="R2319" s="34"/>
      <c r="S2319" s="34"/>
      <c r="T2319" s="34"/>
      <c r="U2319" s="34"/>
      <c r="V2319" s="255"/>
      <c r="W2319" s="34"/>
    </row>
    <row r="2320" spans="14:23">
      <c r="N2320" s="34"/>
      <c r="O2320" s="34"/>
      <c r="P2320" s="34"/>
      <c r="Q2320" s="34"/>
      <c r="R2320" s="34"/>
      <c r="S2320" s="34"/>
      <c r="T2320" s="34"/>
      <c r="U2320" s="34"/>
      <c r="V2320" s="255"/>
      <c r="W2320" s="34"/>
    </row>
    <row r="2321" spans="14:23">
      <c r="N2321" s="34"/>
      <c r="O2321" s="34"/>
      <c r="P2321" s="34"/>
      <c r="Q2321" s="34"/>
      <c r="R2321" s="34"/>
      <c r="S2321" s="34"/>
      <c r="T2321" s="34"/>
      <c r="U2321" s="34"/>
      <c r="V2321" s="255"/>
      <c r="W2321" s="34"/>
    </row>
    <row r="2322" spans="14:23">
      <c r="N2322" s="34"/>
      <c r="O2322" s="34"/>
      <c r="P2322" s="34"/>
      <c r="Q2322" s="34"/>
      <c r="R2322" s="34"/>
      <c r="S2322" s="34"/>
      <c r="T2322" s="34"/>
      <c r="U2322" s="34"/>
      <c r="V2322" s="255"/>
      <c r="W2322" s="34"/>
    </row>
    <row r="2323" spans="14:23">
      <c r="N2323" s="34"/>
      <c r="O2323" s="34"/>
      <c r="P2323" s="34"/>
      <c r="Q2323" s="34"/>
      <c r="R2323" s="34"/>
      <c r="S2323" s="34"/>
      <c r="T2323" s="34"/>
      <c r="U2323" s="34"/>
      <c r="V2323" s="255"/>
      <c r="W2323" s="34"/>
    </row>
    <row r="2324" spans="14:23">
      <c r="N2324" s="34"/>
      <c r="O2324" s="34"/>
      <c r="P2324" s="34"/>
      <c r="Q2324" s="34"/>
      <c r="R2324" s="34"/>
      <c r="S2324" s="34"/>
      <c r="T2324" s="34"/>
      <c r="U2324" s="34"/>
      <c r="V2324" s="255"/>
      <c r="W2324" s="34"/>
    </row>
    <row r="2325" spans="14:23">
      <c r="N2325" s="34"/>
      <c r="O2325" s="34"/>
      <c r="P2325" s="34"/>
      <c r="Q2325" s="34"/>
      <c r="R2325" s="34"/>
      <c r="S2325" s="34"/>
      <c r="T2325" s="34"/>
      <c r="U2325" s="34"/>
      <c r="V2325" s="255"/>
      <c r="W2325" s="34"/>
    </row>
    <row r="2326" spans="14:23">
      <c r="N2326" s="34"/>
      <c r="O2326" s="34"/>
      <c r="P2326" s="34"/>
      <c r="Q2326" s="34"/>
      <c r="R2326" s="34"/>
      <c r="S2326" s="34"/>
      <c r="T2326" s="34"/>
      <c r="U2326" s="34"/>
      <c r="V2326" s="255"/>
      <c r="W2326" s="34"/>
    </row>
    <row r="2327" spans="14:23">
      <c r="N2327" s="34"/>
      <c r="O2327" s="34"/>
      <c r="P2327" s="34"/>
      <c r="Q2327" s="34"/>
      <c r="R2327" s="34"/>
      <c r="S2327" s="34"/>
      <c r="T2327" s="34"/>
      <c r="U2327" s="34"/>
      <c r="V2327" s="255"/>
      <c r="W2327" s="34"/>
    </row>
    <row r="2328" spans="14:23">
      <c r="N2328" s="34"/>
      <c r="O2328" s="34"/>
      <c r="P2328" s="34"/>
      <c r="Q2328" s="34"/>
      <c r="R2328" s="34"/>
      <c r="S2328" s="34"/>
      <c r="T2328" s="34"/>
      <c r="U2328" s="34"/>
      <c r="V2328" s="255"/>
      <c r="W2328" s="34"/>
    </row>
    <row r="2329" spans="14:23">
      <c r="N2329" s="34"/>
      <c r="O2329" s="34"/>
      <c r="P2329" s="34"/>
      <c r="Q2329" s="34"/>
      <c r="R2329" s="34"/>
      <c r="S2329" s="34"/>
      <c r="T2329" s="34"/>
      <c r="U2329" s="34"/>
      <c r="V2329" s="255"/>
      <c r="W2329" s="34"/>
    </row>
    <row r="2330" spans="14:23">
      <c r="N2330" s="34"/>
      <c r="O2330" s="34"/>
      <c r="P2330" s="34"/>
      <c r="Q2330" s="34"/>
      <c r="R2330" s="34"/>
      <c r="S2330" s="34"/>
      <c r="T2330" s="34"/>
      <c r="U2330" s="34"/>
      <c r="V2330" s="255"/>
      <c r="W2330" s="34"/>
    </row>
    <row r="2331" spans="14:23">
      <c r="N2331" s="34"/>
      <c r="O2331" s="34"/>
      <c r="P2331" s="34"/>
      <c r="Q2331" s="34"/>
      <c r="R2331" s="34"/>
      <c r="S2331" s="34"/>
      <c r="T2331" s="34"/>
      <c r="U2331" s="34"/>
      <c r="V2331" s="255"/>
      <c r="W2331" s="34"/>
    </row>
    <row r="2332" spans="14:23">
      <c r="N2332" s="34"/>
      <c r="O2332" s="34"/>
      <c r="P2332" s="34"/>
      <c r="Q2332" s="34"/>
      <c r="R2332" s="34"/>
      <c r="S2332" s="34"/>
      <c r="T2332" s="34"/>
      <c r="U2332" s="34"/>
      <c r="V2332" s="255"/>
      <c r="W2332" s="34"/>
    </row>
    <row r="2333" spans="14:23">
      <c r="N2333" s="34"/>
      <c r="O2333" s="34"/>
      <c r="P2333" s="34"/>
      <c r="Q2333" s="34"/>
      <c r="R2333" s="34"/>
      <c r="S2333" s="34"/>
      <c r="T2333" s="34"/>
      <c r="U2333" s="34"/>
      <c r="V2333" s="255"/>
      <c r="W2333" s="34"/>
    </row>
    <row r="2334" spans="14:23">
      <c r="N2334" s="34"/>
      <c r="O2334" s="34"/>
      <c r="P2334" s="34"/>
      <c r="Q2334" s="34"/>
      <c r="R2334" s="34"/>
      <c r="S2334" s="34"/>
      <c r="T2334" s="34"/>
      <c r="U2334" s="34"/>
      <c r="V2334" s="255"/>
      <c r="W2334" s="34"/>
    </row>
    <row r="2335" spans="14:23">
      <c r="N2335" s="34"/>
      <c r="O2335" s="34"/>
      <c r="P2335" s="34"/>
      <c r="Q2335" s="34"/>
      <c r="R2335" s="34"/>
      <c r="S2335" s="34"/>
      <c r="T2335" s="34"/>
      <c r="U2335" s="34"/>
      <c r="V2335" s="255"/>
      <c r="W2335" s="34"/>
    </row>
    <row r="2336" spans="14:23">
      <c r="N2336" s="34"/>
      <c r="O2336" s="34"/>
      <c r="P2336" s="34"/>
      <c r="Q2336" s="34"/>
      <c r="R2336" s="34"/>
      <c r="S2336" s="34"/>
      <c r="T2336" s="34"/>
      <c r="U2336" s="34"/>
      <c r="V2336" s="255"/>
      <c r="W2336" s="34"/>
    </row>
    <row r="2337" spans="14:23">
      <c r="N2337" s="34"/>
      <c r="O2337" s="34"/>
      <c r="P2337" s="34"/>
      <c r="Q2337" s="34"/>
      <c r="R2337" s="34"/>
      <c r="S2337" s="34"/>
      <c r="T2337" s="34"/>
      <c r="U2337" s="34"/>
      <c r="V2337" s="255"/>
      <c r="W2337" s="34"/>
    </row>
    <row r="2338" spans="14:23">
      <c r="N2338" s="34"/>
      <c r="O2338" s="34"/>
      <c r="P2338" s="34"/>
      <c r="Q2338" s="34"/>
      <c r="R2338" s="34"/>
      <c r="S2338" s="34"/>
      <c r="T2338" s="34"/>
      <c r="U2338" s="34"/>
      <c r="V2338" s="255"/>
      <c r="W2338" s="34"/>
    </row>
    <row r="2339" spans="14:23">
      <c r="N2339" s="34"/>
      <c r="O2339" s="34"/>
      <c r="P2339" s="34"/>
      <c r="Q2339" s="34"/>
      <c r="R2339" s="34"/>
      <c r="S2339" s="34"/>
      <c r="T2339" s="34"/>
      <c r="U2339" s="34"/>
      <c r="V2339" s="255"/>
      <c r="W2339" s="34"/>
    </row>
    <row r="2340" spans="14:23">
      <c r="N2340" s="34"/>
      <c r="O2340" s="34"/>
      <c r="P2340" s="34"/>
      <c r="Q2340" s="34"/>
      <c r="R2340" s="34"/>
      <c r="S2340" s="34"/>
      <c r="T2340" s="34"/>
      <c r="U2340" s="34"/>
      <c r="V2340" s="255"/>
      <c r="W2340" s="34"/>
    </row>
    <row r="2341" spans="14:23">
      <c r="N2341" s="34"/>
      <c r="O2341" s="34"/>
      <c r="P2341" s="34"/>
      <c r="Q2341" s="34"/>
      <c r="R2341" s="34"/>
      <c r="S2341" s="34"/>
      <c r="T2341" s="34"/>
      <c r="U2341" s="34"/>
      <c r="V2341" s="255"/>
      <c r="W2341" s="34"/>
    </row>
    <row r="2342" spans="14:23">
      <c r="N2342" s="34"/>
      <c r="O2342" s="34"/>
      <c r="P2342" s="34"/>
      <c r="Q2342" s="34"/>
      <c r="R2342" s="34"/>
      <c r="S2342" s="34"/>
      <c r="T2342" s="34"/>
      <c r="U2342" s="34"/>
      <c r="V2342" s="255"/>
      <c r="W2342" s="34"/>
    </row>
    <row r="2343" spans="14:23">
      <c r="N2343" s="34"/>
      <c r="O2343" s="34"/>
      <c r="P2343" s="34"/>
      <c r="Q2343" s="34"/>
      <c r="R2343" s="34"/>
      <c r="S2343" s="34"/>
      <c r="T2343" s="34"/>
      <c r="U2343" s="34"/>
      <c r="V2343" s="255"/>
      <c r="W2343" s="34"/>
    </row>
    <row r="2344" spans="14:23">
      <c r="N2344" s="34"/>
      <c r="O2344" s="34"/>
      <c r="P2344" s="34"/>
      <c r="Q2344" s="34"/>
      <c r="R2344" s="34"/>
      <c r="S2344" s="34"/>
      <c r="T2344" s="34"/>
      <c r="U2344" s="34"/>
      <c r="V2344" s="255"/>
      <c r="W2344" s="34"/>
    </row>
    <row r="2345" spans="14:23">
      <c r="N2345" s="34"/>
      <c r="O2345" s="34"/>
      <c r="P2345" s="34"/>
      <c r="Q2345" s="34"/>
      <c r="R2345" s="34"/>
      <c r="S2345" s="34"/>
      <c r="T2345" s="34"/>
      <c r="U2345" s="34"/>
      <c r="V2345" s="255"/>
      <c r="W2345" s="34"/>
    </row>
    <row r="2346" spans="14:23">
      <c r="N2346" s="34"/>
      <c r="O2346" s="34"/>
      <c r="P2346" s="34"/>
      <c r="Q2346" s="34"/>
      <c r="R2346" s="34"/>
      <c r="S2346" s="34"/>
      <c r="T2346" s="34"/>
      <c r="U2346" s="34"/>
      <c r="V2346" s="255"/>
      <c r="W2346" s="34"/>
    </row>
    <row r="2347" spans="14:23">
      <c r="N2347" s="34"/>
      <c r="O2347" s="34"/>
      <c r="P2347" s="34"/>
      <c r="Q2347" s="34"/>
      <c r="R2347" s="34"/>
      <c r="S2347" s="34"/>
      <c r="T2347" s="34"/>
      <c r="U2347" s="34"/>
      <c r="V2347" s="255"/>
      <c r="W2347" s="34"/>
    </row>
    <row r="2348" spans="14:23">
      <c r="N2348" s="34"/>
      <c r="O2348" s="34"/>
      <c r="P2348" s="34"/>
      <c r="Q2348" s="34"/>
      <c r="R2348" s="34"/>
      <c r="S2348" s="34"/>
      <c r="T2348" s="34"/>
      <c r="U2348" s="34"/>
      <c r="V2348" s="255"/>
      <c r="W2348" s="34"/>
    </row>
    <row r="2349" spans="14:23">
      <c r="N2349" s="34"/>
      <c r="O2349" s="34"/>
      <c r="P2349" s="34"/>
      <c r="Q2349" s="34"/>
      <c r="R2349" s="34"/>
      <c r="S2349" s="34"/>
      <c r="T2349" s="34"/>
      <c r="U2349" s="34"/>
      <c r="V2349" s="255"/>
      <c r="W2349" s="34"/>
    </row>
    <row r="2350" spans="14:23">
      <c r="N2350" s="34"/>
      <c r="O2350" s="34"/>
      <c r="P2350" s="34"/>
      <c r="Q2350" s="34"/>
      <c r="R2350" s="34"/>
      <c r="S2350" s="34"/>
      <c r="T2350" s="34"/>
      <c r="U2350" s="34"/>
      <c r="V2350" s="255"/>
      <c r="W2350" s="34"/>
    </row>
    <row r="2351" spans="14:23">
      <c r="N2351" s="34"/>
      <c r="O2351" s="34"/>
      <c r="P2351" s="34"/>
      <c r="Q2351" s="34"/>
      <c r="R2351" s="34"/>
      <c r="S2351" s="34"/>
      <c r="T2351" s="34"/>
      <c r="U2351" s="34"/>
      <c r="V2351" s="255"/>
      <c r="W2351" s="34"/>
    </row>
    <row r="2352" spans="14:23">
      <c r="N2352" s="34"/>
      <c r="O2352" s="34"/>
      <c r="P2352" s="34"/>
      <c r="Q2352" s="34"/>
      <c r="R2352" s="34"/>
      <c r="S2352" s="34"/>
      <c r="T2352" s="34"/>
      <c r="U2352" s="34"/>
      <c r="V2352" s="255"/>
      <c r="W2352" s="34"/>
    </row>
    <row r="2353" spans="14:23">
      <c r="N2353" s="34"/>
      <c r="O2353" s="34"/>
      <c r="P2353" s="34"/>
      <c r="Q2353" s="34"/>
      <c r="R2353" s="34"/>
      <c r="S2353" s="34"/>
      <c r="T2353" s="34"/>
      <c r="U2353" s="34"/>
      <c r="V2353" s="255"/>
      <c r="W2353" s="34"/>
    </row>
    <row r="2354" spans="14:23">
      <c r="N2354" s="34"/>
      <c r="O2354" s="34"/>
      <c r="P2354" s="34"/>
      <c r="Q2354" s="34"/>
      <c r="R2354" s="34"/>
      <c r="S2354" s="34"/>
      <c r="T2354" s="34"/>
      <c r="U2354" s="34"/>
      <c r="V2354" s="255"/>
      <c r="W2354" s="34"/>
    </row>
    <row r="2355" spans="14:23">
      <c r="N2355" s="34"/>
      <c r="O2355" s="34"/>
      <c r="P2355" s="34"/>
      <c r="Q2355" s="34"/>
      <c r="R2355" s="34"/>
      <c r="S2355" s="34"/>
      <c r="T2355" s="34"/>
      <c r="U2355" s="34"/>
      <c r="V2355" s="255"/>
      <c r="W2355" s="34"/>
    </row>
    <row r="2356" spans="14:23">
      <c r="N2356" s="34"/>
      <c r="O2356" s="34"/>
      <c r="P2356" s="34"/>
      <c r="Q2356" s="34"/>
      <c r="R2356" s="34"/>
      <c r="S2356" s="34"/>
      <c r="T2356" s="34"/>
      <c r="U2356" s="34"/>
      <c r="V2356" s="255"/>
      <c r="W2356" s="34"/>
    </row>
    <row r="2357" spans="14:23">
      <c r="N2357" s="34"/>
      <c r="O2357" s="34"/>
      <c r="P2357" s="34"/>
      <c r="Q2357" s="34"/>
      <c r="R2357" s="34"/>
      <c r="S2357" s="34"/>
      <c r="T2357" s="34"/>
      <c r="U2357" s="34"/>
      <c r="V2357" s="255"/>
      <c r="W2357" s="34"/>
    </row>
    <row r="2358" spans="14:23">
      <c r="N2358" s="34"/>
      <c r="O2358" s="34"/>
      <c r="P2358" s="34"/>
      <c r="Q2358" s="34"/>
      <c r="R2358" s="34"/>
      <c r="S2358" s="34"/>
      <c r="T2358" s="34"/>
      <c r="U2358" s="34"/>
      <c r="V2358" s="255"/>
      <c r="W2358" s="34"/>
    </row>
    <row r="2359" spans="14:23">
      <c r="N2359" s="34"/>
      <c r="O2359" s="34"/>
      <c r="P2359" s="34"/>
      <c r="Q2359" s="34"/>
      <c r="R2359" s="34"/>
      <c r="S2359" s="34"/>
      <c r="T2359" s="34"/>
      <c r="U2359" s="34"/>
      <c r="V2359" s="255"/>
      <c r="W2359" s="34"/>
    </row>
    <row r="2360" spans="14:23">
      <c r="N2360" s="34"/>
      <c r="O2360" s="34"/>
      <c r="P2360" s="34"/>
      <c r="Q2360" s="34"/>
      <c r="R2360" s="34"/>
      <c r="S2360" s="34"/>
      <c r="T2360" s="34"/>
      <c r="U2360" s="34"/>
      <c r="V2360" s="255"/>
      <c r="W2360" s="34"/>
    </row>
    <row r="2361" spans="14:23">
      <c r="N2361" s="34"/>
      <c r="O2361" s="34"/>
      <c r="P2361" s="34"/>
      <c r="Q2361" s="34"/>
      <c r="R2361" s="34"/>
      <c r="S2361" s="34"/>
      <c r="T2361" s="34"/>
      <c r="U2361" s="34"/>
      <c r="V2361" s="255"/>
      <c r="W2361" s="34"/>
    </row>
    <row r="2362" spans="14:23">
      <c r="N2362" s="34"/>
      <c r="O2362" s="34"/>
      <c r="P2362" s="34"/>
      <c r="Q2362" s="34"/>
      <c r="R2362" s="34"/>
      <c r="S2362" s="34"/>
      <c r="T2362" s="34"/>
      <c r="U2362" s="34"/>
      <c r="V2362" s="255"/>
      <c r="W2362" s="34"/>
    </row>
    <row r="2363" spans="14:23">
      <c r="N2363" s="34"/>
      <c r="O2363" s="34"/>
      <c r="P2363" s="34"/>
      <c r="Q2363" s="34"/>
      <c r="R2363" s="34"/>
      <c r="S2363" s="34"/>
      <c r="T2363" s="34"/>
      <c r="U2363" s="34"/>
      <c r="V2363" s="255"/>
      <c r="W2363" s="34"/>
    </row>
    <row r="2364" spans="14:23">
      <c r="N2364" s="34"/>
      <c r="O2364" s="34"/>
      <c r="P2364" s="34"/>
      <c r="Q2364" s="34"/>
      <c r="R2364" s="34"/>
      <c r="S2364" s="34"/>
      <c r="T2364" s="34"/>
      <c r="U2364" s="34"/>
      <c r="V2364" s="255"/>
      <c r="W2364" s="34"/>
    </row>
    <row r="2365" spans="14:23">
      <c r="N2365" s="34"/>
      <c r="O2365" s="34"/>
      <c r="P2365" s="34"/>
      <c r="Q2365" s="34"/>
      <c r="R2365" s="34"/>
      <c r="S2365" s="34"/>
      <c r="T2365" s="34"/>
      <c r="U2365" s="34"/>
      <c r="V2365" s="255"/>
      <c r="W2365" s="34"/>
    </row>
    <row r="2366" spans="14:23">
      <c r="N2366" s="34"/>
      <c r="O2366" s="34"/>
      <c r="P2366" s="34"/>
      <c r="Q2366" s="34"/>
      <c r="R2366" s="34"/>
      <c r="S2366" s="34"/>
      <c r="T2366" s="34"/>
      <c r="U2366" s="34"/>
      <c r="V2366" s="255"/>
      <c r="W2366" s="34"/>
    </row>
    <row r="2367" spans="14:23">
      <c r="N2367" s="34"/>
      <c r="O2367" s="34"/>
      <c r="P2367" s="34"/>
      <c r="Q2367" s="34"/>
      <c r="R2367" s="34"/>
      <c r="S2367" s="34"/>
      <c r="T2367" s="34"/>
      <c r="U2367" s="34"/>
      <c r="V2367" s="255"/>
      <c r="W2367" s="34"/>
    </row>
    <row r="2368" spans="14:23">
      <c r="N2368" s="34"/>
      <c r="O2368" s="34"/>
      <c r="P2368" s="34"/>
      <c r="Q2368" s="34"/>
      <c r="R2368" s="34"/>
      <c r="S2368" s="34"/>
      <c r="T2368" s="34"/>
      <c r="U2368" s="34"/>
      <c r="V2368" s="255"/>
      <c r="W2368" s="34"/>
    </row>
    <row r="2369" spans="14:23">
      <c r="N2369" s="34"/>
      <c r="O2369" s="34"/>
      <c r="P2369" s="34"/>
      <c r="Q2369" s="34"/>
      <c r="R2369" s="34"/>
      <c r="S2369" s="34"/>
      <c r="T2369" s="34"/>
      <c r="U2369" s="34"/>
      <c r="V2369" s="255"/>
      <c r="W2369" s="34"/>
    </row>
    <row r="2370" spans="14:23">
      <c r="N2370" s="34"/>
      <c r="O2370" s="34"/>
      <c r="P2370" s="34"/>
      <c r="Q2370" s="34"/>
      <c r="R2370" s="34"/>
      <c r="S2370" s="34"/>
      <c r="T2370" s="34"/>
      <c r="U2370" s="34"/>
      <c r="V2370" s="255"/>
      <c r="W2370" s="34"/>
    </row>
    <row r="2371" spans="14:23">
      <c r="N2371" s="34"/>
      <c r="O2371" s="34"/>
      <c r="P2371" s="34"/>
      <c r="Q2371" s="34"/>
      <c r="R2371" s="34"/>
      <c r="S2371" s="34"/>
      <c r="T2371" s="34"/>
      <c r="U2371" s="34"/>
      <c r="V2371" s="255"/>
      <c r="W2371" s="34"/>
    </row>
    <row r="2372" spans="14:23">
      <c r="N2372" s="34"/>
      <c r="O2372" s="34"/>
      <c r="P2372" s="34"/>
      <c r="Q2372" s="34"/>
      <c r="R2372" s="34"/>
      <c r="S2372" s="34"/>
      <c r="T2372" s="34"/>
      <c r="U2372" s="34"/>
      <c r="V2372" s="255"/>
      <c r="W2372" s="34"/>
    </row>
    <row r="2373" spans="14:23">
      <c r="N2373" s="34"/>
      <c r="O2373" s="34"/>
      <c r="P2373" s="34"/>
      <c r="Q2373" s="34"/>
      <c r="R2373" s="34"/>
      <c r="S2373" s="34"/>
      <c r="T2373" s="34"/>
      <c r="U2373" s="34"/>
      <c r="V2373" s="255"/>
      <c r="W2373" s="34"/>
    </row>
    <row r="2374" spans="14:23">
      <c r="N2374" s="34"/>
      <c r="O2374" s="34"/>
      <c r="P2374" s="34"/>
      <c r="Q2374" s="34"/>
      <c r="R2374" s="34"/>
      <c r="S2374" s="34"/>
      <c r="T2374" s="34"/>
      <c r="U2374" s="34"/>
      <c r="V2374" s="255"/>
      <c r="W2374" s="34"/>
    </row>
    <row r="2375" spans="14:23">
      <c r="N2375" s="34"/>
      <c r="O2375" s="34"/>
      <c r="P2375" s="34"/>
      <c r="Q2375" s="34"/>
      <c r="R2375" s="34"/>
      <c r="S2375" s="34"/>
      <c r="T2375" s="34"/>
      <c r="U2375" s="34"/>
      <c r="V2375" s="255"/>
      <c r="W2375" s="34"/>
    </row>
    <row r="2376" spans="14:23">
      <c r="N2376" s="34"/>
      <c r="O2376" s="34"/>
      <c r="P2376" s="34"/>
      <c r="Q2376" s="34"/>
      <c r="R2376" s="34"/>
      <c r="S2376" s="34"/>
      <c r="T2376" s="34"/>
      <c r="U2376" s="34"/>
      <c r="V2376" s="255"/>
      <c r="W2376" s="34"/>
    </row>
    <row r="2377" spans="14:23">
      <c r="N2377" s="34"/>
      <c r="O2377" s="34"/>
      <c r="P2377" s="34"/>
      <c r="Q2377" s="34"/>
      <c r="R2377" s="34"/>
      <c r="S2377" s="34"/>
      <c r="T2377" s="34"/>
      <c r="U2377" s="34"/>
      <c r="V2377" s="255"/>
      <c r="W2377" s="34"/>
    </row>
    <row r="2378" spans="14:23">
      <c r="N2378" s="34"/>
      <c r="O2378" s="34"/>
      <c r="P2378" s="34"/>
      <c r="Q2378" s="34"/>
      <c r="R2378" s="34"/>
      <c r="S2378" s="34"/>
      <c r="T2378" s="34"/>
      <c r="U2378" s="34"/>
      <c r="V2378" s="255"/>
      <c r="W2378" s="34"/>
    </row>
    <row r="2379" spans="14:23">
      <c r="N2379" s="34"/>
      <c r="O2379" s="34"/>
      <c r="P2379" s="34"/>
      <c r="Q2379" s="34"/>
      <c r="R2379" s="34"/>
      <c r="S2379" s="34"/>
      <c r="T2379" s="34"/>
      <c r="U2379" s="34"/>
      <c r="V2379" s="255"/>
      <c r="W2379" s="34"/>
    </row>
    <row r="2380" spans="14:23">
      <c r="N2380" s="34"/>
      <c r="O2380" s="34"/>
      <c r="P2380" s="34"/>
      <c r="Q2380" s="34"/>
      <c r="R2380" s="34"/>
      <c r="S2380" s="34"/>
      <c r="T2380" s="34"/>
      <c r="U2380" s="34"/>
      <c r="V2380" s="255"/>
      <c r="W2380" s="34"/>
    </row>
    <row r="2381" spans="14:23">
      <c r="N2381" s="34"/>
      <c r="O2381" s="34"/>
      <c r="P2381" s="34"/>
      <c r="Q2381" s="34"/>
      <c r="R2381" s="34"/>
      <c r="S2381" s="34"/>
      <c r="T2381" s="34"/>
      <c r="U2381" s="34"/>
      <c r="V2381" s="255"/>
      <c r="W2381" s="34"/>
    </row>
    <row r="2382" spans="14:23">
      <c r="N2382" s="34"/>
      <c r="O2382" s="34"/>
      <c r="P2382" s="34"/>
      <c r="Q2382" s="34"/>
      <c r="R2382" s="34"/>
      <c r="S2382" s="34"/>
      <c r="T2382" s="34"/>
      <c r="U2382" s="34"/>
      <c r="V2382" s="255"/>
      <c r="W2382" s="34"/>
    </row>
    <row r="2383" spans="14:23">
      <c r="N2383" s="34"/>
      <c r="O2383" s="34"/>
      <c r="P2383" s="34"/>
      <c r="Q2383" s="34"/>
      <c r="R2383" s="34"/>
      <c r="S2383" s="34"/>
      <c r="T2383" s="34"/>
      <c r="U2383" s="34"/>
      <c r="V2383" s="255"/>
      <c r="W2383" s="34"/>
    </row>
    <row r="2384" spans="14:23">
      <c r="N2384" s="34"/>
      <c r="O2384" s="34"/>
      <c r="P2384" s="34"/>
      <c r="Q2384" s="34"/>
      <c r="R2384" s="34"/>
      <c r="S2384" s="34"/>
      <c r="T2384" s="34"/>
      <c r="U2384" s="34"/>
      <c r="V2384" s="255"/>
      <c r="W2384" s="34"/>
    </row>
    <row r="2385" spans="14:23">
      <c r="N2385" s="34"/>
      <c r="O2385" s="34"/>
      <c r="P2385" s="34"/>
      <c r="Q2385" s="34"/>
      <c r="R2385" s="34"/>
      <c r="S2385" s="34"/>
      <c r="T2385" s="34"/>
      <c r="U2385" s="34"/>
      <c r="V2385" s="255"/>
      <c r="W2385" s="34"/>
    </row>
    <row r="2386" spans="14:23">
      <c r="N2386" s="34"/>
      <c r="O2386" s="34"/>
      <c r="P2386" s="34"/>
      <c r="Q2386" s="34"/>
      <c r="R2386" s="34"/>
      <c r="S2386" s="34"/>
      <c r="T2386" s="34"/>
      <c r="U2386" s="34"/>
      <c r="V2386" s="255"/>
      <c r="W2386" s="34"/>
    </row>
    <row r="2387" spans="14:23">
      <c r="N2387" s="34"/>
      <c r="O2387" s="34"/>
      <c r="P2387" s="34"/>
      <c r="Q2387" s="34"/>
      <c r="R2387" s="34"/>
      <c r="S2387" s="34"/>
      <c r="T2387" s="34"/>
      <c r="U2387" s="34"/>
      <c r="V2387" s="255"/>
      <c r="W2387" s="34"/>
    </row>
    <row r="2388" spans="14:23">
      <c r="N2388" s="34"/>
      <c r="O2388" s="34"/>
      <c r="P2388" s="34"/>
      <c r="Q2388" s="34"/>
      <c r="R2388" s="34"/>
      <c r="S2388" s="34"/>
      <c r="T2388" s="34"/>
      <c r="U2388" s="34"/>
      <c r="V2388" s="255"/>
      <c r="W2388" s="34"/>
    </row>
    <row r="2389" spans="14:23">
      <c r="N2389" s="34"/>
      <c r="O2389" s="34"/>
      <c r="P2389" s="34"/>
      <c r="Q2389" s="34"/>
      <c r="R2389" s="34"/>
      <c r="S2389" s="34"/>
      <c r="T2389" s="34"/>
      <c r="U2389" s="34"/>
      <c r="V2389" s="255"/>
      <c r="W2389" s="34"/>
    </row>
    <row r="2390" spans="14:23">
      <c r="N2390" s="34"/>
      <c r="O2390" s="34"/>
      <c r="P2390" s="34"/>
      <c r="Q2390" s="34"/>
      <c r="R2390" s="34"/>
      <c r="S2390" s="34"/>
      <c r="T2390" s="34"/>
      <c r="U2390" s="34"/>
      <c r="V2390" s="255"/>
      <c r="W2390" s="34"/>
    </row>
    <row r="2391" spans="14:23">
      <c r="N2391" s="34"/>
      <c r="O2391" s="34"/>
      <c r="P2391" s="34"/>
      <c r="Q2391" s="34"/>
      <c r="R2391" s="34"/>
      <c r="S2391" s="34"/>
      <c r="T2391" s="34"/>
      <c r="U2391" s="34"/>
      <c r="V2391" s="255"/>
      <c r="W2391" s="34"/>
    </row>
    <row r="2392" spans="14:23">
      <c r="N2392" s="34"/>
      <c r="O2392" s="34"/>
      <c r="P2392" s="34"/>
      <c r="Q2392" s="34"/>
      <c r="R2392" s="34"/>
      <c r="S2392" s="34"/>
      <c r="T2392" s="34"/>
      <c r="U2392" s="34"/>
      <c r="V2392" s="255"/>
      <c r="W2392" s="34"/>
    </row>
    <row r="2393" spans="14:23">
      <c r="N2393" s="34"/>
      <c r="O2393" s="34"/>
      <c r="P2393" s="34"/>
      <c r="Q2393" s="34"/>
      <c r="R2393" s="34"/>
      <c r="S2393" s="34"/>
      <c r="T2393" s="34"/>
      <c r="U2393" s="34"/>
      <c r="V2393" s="255"/>
      <c r="W2393" s="34"/>
    </row>
    <row r="2394" spans="14:23">
      <c r="N2394" s="34"/>
      <c r="O2394" s="34"/>
      <c r="P2394" s="34"/>
      <c r="Q2394" s="34"/>
      <c r="R2394" s="34"/>
      <c r="S2394" s="34"/>
      <c r="T2394" s="34"/>
      <c r="U2394" s="34"/>
      <c r="V2394" s="255"/>
      <c r="W2394" s="34"/>
    </row>
    <row r="2395" spans="14:23">
      <c r="N2395" s="34"/>
      <c r="O2395" s="34"/>
      <c r="P2395" s="34"/>
      <c r="Q2395" s="34"/>
      <c r="R2395" s="34"/>
      <c r="S2395" s="34"/>
      <c r="T2395" s="34"/>
      <c r="U2395" s="34"/>
      <c r="V2395" s="255"/>
      <c r="W2395" s="34"/>
    </row>
    <row r="2396" spans="14:23">
      <c r="N2396" s="34"/>
      <c r="O2396" s="34"/>
      <c r="P2396" s="34"/>
      <c r="Q2396" s="34"/>
      <c r="R2396" s="34"/>
      <c r="S2396" s="34"/>
      <c r="T2396" s="34"/>
      <c r="U2396" s="34"/>
      <c r="V2396" s="255"/>
      <c r="W2396" s="34"/>
    </row>
    <row r="2397" spans="14:23">
      <c r="N2397" s="34"/>
      <c r="O2397" s="34"/>
      <c r="P2397" s="34"/>
      <c r="Q2397" s="34"/>
      <c r="R2397" s="34"/>
      <c r="S2397" s="34"/>
      <c r="T2397" s="34"/>
      <c r="U2397" s="34"/>
      <c r="V2397" s="255"/>
      <c r="W2397" s="34"/>
    </row>
    <row r="2398" spans="14:23">
      <c r="N2398" s="34"/>
      <c r="O2398" s="34"/>
      <c r="P2398" s="34"/>
      <c r="Q2398" s="34"/>
      <c r="R2398" s="34"/>
      <c r="S2398" s="34"/>
      <c r="T2398" s="34"/>
      <c r="U2398" s="34"/>
      <c r="V2398" s="255"/>
      <c r="W2398" s="34"/>
    </row>
    <row r="2399" spans="14:23">
      <c r="N2399" s="34"/>
      <c r="O2399" s="34"/>
      <c r="P2399" s="34"/>
      <c r="Q2399" s="34"/>
      <c r="R2399" s="34"/>
      <c r="S2399" s="34"/>
      <c r="T2399" s="34"/>
      <c r="U2399" s="34"/>
      <c r="V2399" s="255"/>
      <c r="W2399" s="34"/>
    </row>
    <row r="2400" spans="14:23">
      <c r="N2400" s="34"/>
      <c r="O2400" s="34"/>
      <c r="P2400" s="34"/>
      <c r="Q2400" s="34"/>
      <c r="R2400" s="34"/>
      <c r="S2400" s="34"/>
      <c r="T2400" s="34"/>
      <c r="U2400" s="34"/>
      <c r="V2400" s="255"/>
      <c r="W2400" s="34"/>
    </row>
    <row r="2401" spans="14:23">
      <c r="N2401" s="34"/>
      <c r="O2401" s="34"/>
      <c r="P2401" s="34"/>
      <c r="Q2401" s="34"/>
      <c r="R2401" s="34"/>
      <c r="S2401" s="34"/>
      <c r="T2401" s="34"/>
      <c r="U2401" s="34"/>
      <c r="V2401" s="255"/>
      <c r="W2401" s="34"/>
    </row>
    <row r="2402" spans="14:23">
      <c r="N2402" s="34"/>
      <c r="O2402" s="34"/>
      <c r="P2402" s="34"/>
      <c r="Q2402" s="34"/>
      <c r="R2402" s="34"/>
      <c r="S2402" s="34"/>
      <c r="T2402" s="34"/>
      <c r="U2402" s="34"/>
      <c r="V2402" s="255"/>
      <c r="W2402" s="34"/>
    </row>
    <row r="2403" spans="14:23">
      <c r="N2403" s="34"/>
      <c r="O2403" s="34"/>
      <c r="P2403" s="34"/>
      <c r="Q2403" s="34"/>
      <c r="R2403" s="34"/>
      <c r="S2403" s="34"/>
      <c r="T2403" s="34"/>
      <c r="U2403" s="34"/>
      <c r="V2403" s="255"/>
      <c r="W2403" s="34"/>
    </row>
    <row r="2404" spans="14:23">
      <c r="N2404" s="34"/>
      <c r="O2404" s="34"/>
      <c r="P2404" s="34"/>
      <c r="Q2404" s="34"/>
      <c r="R2404" s="34"/>
      <c r="S2404" s="34"/>
      <c r="T2404" s="34"/>
      <c r="U2404" s="34"/>
      <c r="V2404" s="255"/>
      <c r="W2404" s="34"/>
    </row>
    <row r="2405" spans="14:23">
      <c r="N2405" s="34"/>
      <c r="O2405" s="34"/>
      <c r="P2405" s="34"/>
      <c r="Q2405" s="34"/>
      <c r="R2405" s="34"/>
      <c r="S2405" s="34"/>
      <c r="T2405" s="34"/>
      <c r="U2405" s="34"/>
      <c r="V2405" s="255"/>
      <c r="W2405" s="34"/>
    </row>
    <row r="2406" spans="14:23">
      <c r="N2406" s="34"/>
      <c r="O2406" s="34"/>
      <c r="P2406" s="34"/>
      <c r="Q2406" s="34"/>
      <c r="R2406" s="34"/>
      <c r="S2406" s="34"/>
      <c r="T2406" s="34"/>
      <c r="U2406" s="34"/>
      <c r="V2406" s="255"/>
      <c r="W2406" s="34"/>
    </row>
    <row r="2407" spans="14:23">
      <c r="N2407" s="34"/>
      <c r="O2407" s="34"/>
      <c r="P2407" s="34"/>
      <c r="Q2407" s="34"/>
      <c r="R2407" s="34"/>
      <c r="S2407" s="34"/>
      <c r="T2407" s="34"/>
      <c r="U2407" s="34"/>
      <c r="V2407" s="255"/>
      <c r="W2407" s="34"/>
    </row>
    <row r="2408" spans="14:23">
      <c r="N2408" s="34"/>
      <c r="O2408" s="34"/>
      <c r="P2408" s="34"/>
      <c r="Q2408" s="34"/>
      <c r="R2408" s="34"/>
      <c r="S2408" s="34"/>
      <c r="T2408" s="34"/>
      <c r="U2408" s="34"/>
      <c r="V2408" s="255"/>
      <c r="W2408" s="34"/>
    </row>
    <row r="2409" spans="14:23">
      <c r="N2409" s="34"/>
      <c r="O2409" s="34"/>
      <c r="P2409" s="34"/>
      <c r="Q2409" s="34"/>
      <c r="R2409" s="34"/>
      <c r="S2409" s="34"/>
      <c r="T2409" s="34"/>
      <c r="U2409" s="34"/>
      <c r="V2409" s="255"/>
      <c r="W2409" s="34"/>
    </row>
    <row r="2410" spans="14:23">
      <c r="N2410" s="34"/>
      <c r="O2410" s="34"/>
      <c r="P2410" s="34"/>
      <c r="Q2410" s="34"/>
      <c r="R2410" s="34"/>
      <c r="S2410" s="34"/>
      <c r="T2410" s="34"/>
      <c r="U2410" s="34"/>
      <c r="V2410" s="255"/>
      <c r="W2410" s="34"/>
    </row>
    <row r="2411" spans="14:23">
      <c r="N2411" s="34"/>
      <c r="O2411" s="34"/>
      <c r="P2411" s="34"/>
      <c r="Q2411" s="34"/>
      <c r="R2411" s="34"/>
      <c r="S2411" s="34"/>
      <c r="T2411" s="34"/>
      <c r="U2411" s="34"/>
      <c r="V2411" s="255"/>
      <c r="W2411" s="34"/>
    </row>
    <row r="2412" spans="14:23">
      <c r="N2412" s="34"/>
      <c r="O2412" s="34"/>
      <c r="P2412" s="34"/>
      <c r="Q2412" s="34"/>
      <c r="R2412" s="34"/>
      <c r="S2412" s="34"/>
      <c r="T2412" s="34"/>
      <c r="U2412" s="34"/>
      <c r="V2412" s="255"/>
      <c r="W2412" s="34"/>
    </row>
    <row r="2413" spans="14:23">
      <c r="N2413" s="34"/>
      <c r="O2413" s="34"/>
      <c r="P2413" s="34"/>
      <c r="Q2413" s="34"/>
      <c r="R2413" s="34"/>
      <c r="S2413" s="34"/>
      <c r="T2413" s="34"/>
      <c r="U2413" s="34"/>
      <c r="V2413" s="255"/>
      <c r="W2413" s="34"/>
    </row>
    <row r="2414" spans="14:23">
      <c r="N2414" s="34"/>
      <c r="O2414" s="34"/>
      <c r="P2414" s="34"/>
      <c r="Q2414" s="34"/>
      <c r="R2414" s="34"/>
      <c r="S2414" s="34"/>
      <c r="T2414" s="34"/>
      <c r="U2414" s="34"/>
      <c r="V2414" s="255"/>
      <c r="W2414" s="34"/>
    </row>
    <row r="2415" spans="14:23">
      <c r="N2415" s="34"/>
      <c r="O2415" s="34"/>
      <c r="P2415" s="34"/>
      <c r="Q2415" s="34"/>
      <c r="R2415" s="34"/>
      <c r="S2415" s="34"/>
      <c r="T2415" s="34"/>
      <c r="U2415" s="34"/>
      <c r="V2415" s="255"/>
      <c r="W2415" s="34"/>
    </row>
    <row r="2416" spans="14:23">
      <c r="N2416" s="34"/>
      <c r="O2416" s="34"/>
      <c r="P2416" s="34"/>
      <c r="Q2416" s="34"/>
      <c r="R2416" s="34"/>
      <c r="S2416" s="34"/>
      <c r="T2416" s="34"/>
      <c r="U2416" s="34"/>
      <c r="V2416" s="255"/>
      <c r="W2416" s="34"/>
    </row>
    <row r="2417" spans="14:23">
      <c r="N2417" s="34"/>
      <c r="O2417" s="34"/>
      <c r="P2417" s="34"/>
      <c r="Q2417" s="34"/>
      <c r="R2417" s="34"/>
      <c r="S2417" s="34"/>
      <c r="T2417" s="34"/>
      <c r="U2417" s="34"/>
      <c r="V2417" s="255"/>
      <c r="W2417" s="34"/>
    </row>
    <row r="2418" spans="14:23">
      <c r="N2418" s="34"/>
      <c r="O2418" s="34"/>
      <c r="P2418" s="34"/>
      <c r="Q2418" s="34"/>
      <c r="R2418" s="34"/>
      <c r="S2418" s="34"/>
      <c r="T2418" s="34"/>
      <c r="U2418" s="34"/>
      <c r="V2418" s="255"/>
      <c r="W2418" s="34"/>
    </row>
    <row r="2419" spans="14:23">
      <c r="N2419" s="34"/>
      <c r="O2419" s="34"/>
      <c r="P2419" s="34"/>
      <c r="Q2419" s="34"/>
      <c r="R2419" s="34"/>
      <c r="S2419" s="34"/>
      <c r="T2419" s="34"/>
      <c r="U2419" s="34"/>
      <c r="V2419" s="255"/>
      <c r="W2419" s="34"/>
    </row>
    <row r="2420" spans="14:23">
      <c r="N2420" s="34"/>
      <c r="O2420" s="34"/>
      <c r="P2420" s="34"/>
      <c r="Q2420" s="34"/>
      <c r="R2420" s="34"/>
      <c r="S2420" s="34"/>
      <c r="T2420" s="34"/>
      <c r="U2420" s="34"/>
      <c r="V2420" s="255"/>
      <c r="W2420" s="34"/>
    </row>
    <row r="2421" spans="14:23">
      <c r="N2421" s="34"/>
      <c r="O2421" s="34"/>
      <c r="P2421" s="34"/>
      <c r="Q2421" s="34"/>
      <c r="R2421" s="34"/>
      <c r="S2421" s="34"/>
      <c r="T2421" s="34"/>
      <c r="U2421" s="34"/>
      <c r="V2421" s="255"/>
      <c r="W2421" s="34"/>
    </row>
    <row r="2422" spans="14:23">
      <c r="N2422" s="34"/>
      <c r="O2422" s="34"/>
      <c r="P2422" s="34"/>
      <c r="Q2422" s="34"/>
      <c r="R2422" s="34"/>
      <c r="S2422" s="34"/>
      <c r="T2422" s="34"/>
      <c r="U2422" s="34"/>
      <c r="V2422" s="255"/>
      <c r="W2422" s="34"/>
    </row>
    <row r="2423" spans="14:23">
      <c r="N2423" s="34"/>
      <c r="O2423" s="34"/>
      <c r="P2423" s="34"/>
      <c r="Q2423" s="34"/>
      <c r="R2423" s="34"/>
      <c r="S2423" s="34"/>
      <c r="T2423" s="34"/>
      <c r="U2423" s="34"/>
      <c r="V2423" s="255"/>
      <c r="W2423" s="34"/>
    </row>
    <row r="2424" spans="14:23">
      <c r="N2424" s="34"/>
      <c r="O2424" s="34"/>
      <c r="P2424" s="34"/>
      <c r="Q2424" s="34"/>
      <c r="R2424" s="34"/>
      <c r="S2424" s="34"/>
      <c r="T2424" s="34"/>
      <c r="U2424" s="34"/>
      <c r="V2424" s="255"/>
      <c r="W2424" s="34"/>
    </row>
    <row r="2425" spans="14:23">
      <c r="N2425" s="34"/>
      <c r="O2425" s="34"/>
      <c r="P2425" s="34"/>
      <c r="Q2425" s="34"/>
      <c r="R2425" s="34"/>
      <c r="S2425" s="34"/>
      <c r="T2425" s="34"/>
      <c r="U2425" s="34"/>
      <c r="V2425" s="255"/>
      <c r="W2425" s="34"/>
    </row>
    <row r="2426" spans="14:23">
      <c r="N2426" s="34"/>
      <c r="O2426" s="34"/>
      <c r="P2426" s="34"/>
      <c r="Q2426" s="34"/>
      <c r="R2426" s="34"/>
      <c r="S2426" s="34"/>
      <c r="T2426" s="34"/>
      <c r="U2426" s="34"/>
      <c r="V2426" s="255"/>
      <c r="W2426" s="34"/>
    </row>
    <row r="2427" spans="14:23">
      <c r="N2427" s="34"/>
      <c r="O2427" s="34"/>
      <c r="P2427" s="34"/>
      <c r="Q2427" s="34"/>
      <c r="R2427" s="34"/>
      <c r="S2427" s="34"/>
      <c r="T2427" s="34"/>
      <c r="U2427" s="34"/>
      <c r="V2427" s="255"/>
      <c r="W2427" s="34"/>
    </row>
    <row r="2428" spans="14:23">
      <c r="N2428" s="34"/>
      <c r="O2428" s="34"/>
      <c r="P2428" s="34"/>
      <c r="Q2428" s="34"/>
      <c r="R2428" s="34"/>
      <c r="S2428" s="34"/>
      <c r="T2428" s="34"/>
      <c r="U2428" s="34"/>
      <c r="V2428" s="255"/>
      <c r="W2428" s="34"/>
    </row>
    <row r="2429" spans="14:23">
      <c r="N2429" s="34"/>
      <c r="O2429" s="34"/>
      <c r="P2429" s="34"/>
      <c r="Q2429" s="34"/>
      <c r="R2429" s="34"/>
      <c r="S2429" s="34"/>
      <c r="T2429" s="34"/>
      <c r="U2429" s="34"/>
      <c r="V2429" s="255"/>
      <c r="W2429" s="34"/>
    </row>
    <row r="2430" spans="14:23">
      <c r="N2430" s="34"/>
      <c r="O2430" s="34"/>
      <c r="P2430" s="34"/>
      <c r="Q2430" s="34"/>
      <c r="R2430" s="34"/>
      <c r="S2430" s="34"/>
      <c r="T2430" s="34"/>
      <c r="U2430" s="34"/>
      <c r="V2430" s="255"/>
      <c r="W2430" s="34"/>
    </row>
    <row r="2431" spans="14:23">
      <c r="N2431" s="34"/>
      <c r="O2431" s="34"/>
      <c r="P2431" s="34"/>
      <c r="Q2431" s="34"/>
      <c r="R2431" s="34"/>
      <c r="S2431" s="34"/>
      <c r="T2431" s="34"/>
      <c r="U2431" s="34"/>
      <c r="V2431" s="255"/>
      <c r="W2431" s="34"/>
    </row>
    <row r="2432" spans="14:23">
      <c r="N2432" s="34"/>
      <c r="O2432" s="34"/>
      <c r="P2432" s="34"/>
      <c r="Q2432" s="34"/>
      <c r="R2432" s="34"/>
      <c r="S2432" s="34"/>
      <c r="T2432" s="34"/>
      <c r="U2432" s="34"/>
      <c r="V2432" s="255"/>
      <c r="W2432" s="34"/>
    </row>
    <row r="2433" spans="14:23">
      <c r="N2433" s="34"/>
      <c r="O2433" s="34"/>
      <c r="P2433" s="34"/>
      <c r="Q2433" s="34"/>
      <c r="R2433" s="34"/>
      <c r="S2433" s="34"/>
      <c r="T2433" s="34"/>
      <c r="U2433" s="34"/>
      <c r="V2433" s="255"/>
      <c r="W2433" s="34"/>
    </row>
    <row r="2434" spans="14:23">
      <c r="N2434" s="34"/>
      <c r="O2434" s="34"/>
      <c r="P2434" s="34"/>
      <c r="Q2434" s="34"/>
      <c r="R2434" s="34"/>
      <c r="S2434" s="34"/>
      <c r="T2434" s="34"/>
      <c r="U2434" s="34"/>
      <c r="V2434" s="255"/>
      <c r="W2434" s="34"/>
    </row>
    <row r="2435" spans="14:23">
      <c r="N2435" s="34"/>
      <c r="O2435" s="34"/>
      <c r="P2435" s="34"/>
      <c r="Q2435" s="34"/>
      <c r="R2435" s="34"/>
      <c r="S2435" s="34"/>
      <c r="T2435" s="34"/>
      <c r="U2435" s="34"/>
      <c r="V2435" s="255"/>
      <c r="W2435" s="34"/>
    </row>
    <row r="2436" spans="14:23">
      <c r="N2436" s="34"/>
      <c r="O2436" s="34"/>
      <c r="P2436" s="34"/>
      <c r="Q2436" s="34"/>
      <c r="R2436" s="34"/>
      <c r="S2436" s="34"/>
      <c r="T2436" s="34"/>
      <c r="U2436" s="34"/>
      <c r="V2436" s="255"/>
      <c r="W2436" s="34"/>
    </row>
    <row r="2437" spans="14:23">
      <c r="N2437" s="34"/>
      <c r="O2437" s="34"/>
      <c r="P2437" s="34"/>
      <c r="Q2437" s="34"/>
      <c r="R2437" s="34"/>
      <c r="S2437" s="34"/>
      <c r="T2437" s="34"/>
      <c r="U2437" s="34"/>
      <c r="V2437" s="255"/>
      <c r="W2437" s="34"/>
    </row>
    <row r="2438" spans="14:23">
      <c r="N2438" s="34"/>
      <c r="O2438" s="34"/>
      <c r="P2438" s="34"/>
      <c r="Q2438" s="34"/>
      <c r="R2438" s="34"/>
      <c r="S2438" s="34"/>
      <c r="T2438" s="34"/>
      <c r="U2438" s="34"/>
      <c r="V2438" s="255"/>
      <c r="W2438" s="34"/>
    </row>
    <row r="2439" spans="14:23">
      <c r="N2439" s="34"/>
      <c r="O2439" s="34"/>
      <c r="P2439" s="34"/>
      <c r="Q2439" s="34"/>
      <c r="R2439" s="34"/>
      <c r="S2439" s="34"/>
      <c r="T2439" s="34"/>
      <c r="U2439" s="34"/>
      <c r="V2439" s="255"/>
      <c r="W2439" s="34"/>
    </row>
    <row r="2440" spans="14:23">
      <c r="N2440" s="34"/>
      <c r="O2440" s="34"/>
      <c r="P2440" s="34"/>
      <c r="Q2440" s="34"/>
      <c r="R2440" s="34"/>
      <c r="S2440" s="34"/>
      <c r="T2440" s="34"/>
      <c r="U2440" s="34"/>
      <c r="V2440" s="255"/>
      <c r="W2440" s="34"/>
    </row>
    <row r="2441" spans="14:23">
      <c r="N2441" s="34"/>
      <c r="O2441" s="34"/>
      <c r="P2441" s="34"/>
      <c r="Q2441" s="34"/>
      <c r="R2441" s="34"/>
      <c r="S2441" s="34"/>
      <c r="T2441" s="34"/>
      <c r="U2441" s="34"/>
      <c r="V2441" s="255"/>
      <c r="W2441" s="34"/>
    </row>
    <row r="2442" spans="14:23">
      <c r="N2442" s="34"/>
      <c r="O2442" s="34"/>
      <c r="P2442" s="34"/>
      <c r="Q2442" s="34"/>
      <c r="R2442" s="34"/>
      <c r="S2442" s="34"/>
      <c r="T2442" s="34"/>
      <c r="U2442" s="34"/>
      <c r="V2442" s="255"/>
      <c r="W2442" s="34"/>
    </row>
    <row r="2443" spans="14:23">
      <c r="N2443" s="34"/>
      <c r="O2443" s="34"/>
      <c r="P2443" s="34"/>
      <c r="Q2443" s="34"/>
      <c r="R2443" s="34"/>
      <c r="S2443" s="34"/>
      <c r="T2443" s="34"/>
      <c r="U2443" s="34"/>
      <c r="V2443" s="255"/>
      <c r="W2443" s="34"/>
    </row>
    <row r="2444" spans="14:23">
      <c r="N2444" s="34"/>
      <c r="O2444" s="34"/>
      <c r="P2444" s="34"/>
      <c r="Q2444" s="34"/>
      <c r="R2444" s="34"/>
      <c r="S2444" s="34"/>
      <c r="T2444" s="34"/>
      <c r="U2444" s="34"/>
      <c r="V2444" s="255"/>
      <c r="W2444" s="34"/>
    </row>
    <row r="2445" spans="14:23">
      <c r="N2445" s="34"/>
      <c r="O2445" s="34"/>
      <c r="P2445" s="34"/>
      <c r="Q2445" s="34"/>
      <c r="R2445" s="34"/>
      <c r="S2445" s="34"/>
      <c r="T2445" s="34"/>
      <c r="U2445" s="34"/>
      <c r="V2445" s="255"/>
      <c r="W2445" s="34"/>
    </row>
    <row r="2446" spans="14:23">
      <c r="N2446" s="34"/>
      <c r="O2446" s="34"/>
      <c r="P2446" s="34"/>
      <c r="Q2446" s="34"/>
      <c r="R2446" s="34"/>
      <c r="S2446" s="34"/>
      <c r="T2446" s="34"/>
      <c r="U2446" s="34"/>
      <c r="V2446" s="255"/>
      <c r="W2446" s="34"/>
    </row>
    <row r="2447" spans="14:23">
      <c r="N2447" s="34"/>
      <c r="O2447" s="34"/>
      <c r="P2447" s="34"/>
      <c r="Q2447" s="34"/>
      <c r="R2447" s="34"/>
      <c r="S2447" s="34"/>
      <c r="T2447" s="34"/>
      <c r="U2447" s="34"/>
      <c r="V2447" s="255"/>
      <c r="W2447" s="34"/>
    </row>
    <row r="2448" spans="14:23">
      <c r="N2448" s="34"/>
      <c r="O2448" s="34"/>
      <c r="P2448" s="34"/>
      <c r="Q2448" s="34"/>
      <c r="R2448" s="34"/>
      <c r="S2448" s="34"/>
      <c r="T2448" s="34"/>
      <c r="U2448" s="34"/>
      <c r="V2448" s="255"/>
      <c r="W2448" s="34"/>
    </row>
    <row r="2449" spans="14:23">
      <c r="N2449" s="34"/>
      <c r="O2449" s="34"/>
      <c r="P2449" s="34"/>
      <c r="Q2449" s="34"/>
      <c r="R2449" s="34"/>
      <c r="S2449" s="34"/>
      <c r="T2449" s="34"/>
      <c r="U2449" s="34"/>
      <c r="V2449" s="255"/>
      <c r="W2449" s="34"/>
    </row>
    <row r="2450" spans="14:23">
      <c r="N2450" s="34"/>
      <c r="O2450" s="34"/>
      <c r="P2450" s="34"/>
      <c r="Q2450" s="34"/>
      <c r="R2450" s="34"/>
      <c r="S2450" s="34"/>
      <c r="T2450" s="34"/>
      <c r="U2450" s="34"/>
      <c r="V2450" s="255"/>
      <c r="W2450" s="34"/>
    </row>
    <row r="2451" spans="14:23">
      <c r="N2451" s="34"/>
      <c r="O2451" s="34"/>
      <c r="P2451" s="34"/>
      <c r="Q2451" s="34"/>
      <c r="R2451" s="34"/>
      <c r="S2451" s="34"/>
      <c r="T2451" s="34"/>
      <c r="U2451" s="34"/>
      <c r="V2451" s="255"/>
      <c r="W2451" s="34"/>
    </row>
    <row r="2452" spans="14:23">
      <c r="N2452" s="34"/>
      <c r="O2452" s="34"/>
      <c r="P2452" s="34"/>
      <c r="Q2452" s="34"/>
      <c r="R2452" s="34"/>
      <c r="S2452" s="34"/>
      <c r="T2452" s="34"/>
      <c r="U2452" s="34"/>
      <c r="V2452" s="255"/>
      <c r="W2452" s="34"/>
    </row>
    <row r="2453" spans="14:23">
      <c r="N2453" s="34"/>
      <c r="O2453" s="34"/>
      <c r="P2453" s="34"/>
      <c r="Q2453" s="34"/>
      <c r="R2453" s="34"/>
      <c r="S2453" s="34"/>
      <c r="T2453" s="34"/>
      <c r="U2453" s="34"/>
      <c r="V2453" s="255"/>
      <c r="W2453" s="34"/>
    </row>
    <row r="2454" spans="14:23">
      <c r="N2454" s="34"/>
      <c r="O2454" s="34"/>
      <c r="P2454" s="34"/>
      <c r="Q2454" s="34"/>
      <c r="R2454" s="34"/>
      <c r="S2454" s="34"/>
      <c r="T2454" s="34"/>
      <c r="U2454" s="34"/>
      <c r="V2454" s="255"/>
      <c r="W2454" s="34"/>
    </row>
    <row r="2455" spans="14:23">
      <c r="N2455" s="34"/>
      <c r="O2455" s="34"/>
      <c r="P2455" s="34"/>
      <c r="Q2455" s="34"/>
      <c r="R2455" s="34"/>
      <c r="S2455" s="34"/>
      <c r="T2455" s="34"/>
      <c r="U2455" s="34"/>
      <c r="V2455" s="255"/>
      <c r="W2455" s="34"/>
    </row>
    <row r="2456" spans="14:23">
      <c r="N2456" s="34"/>
      <c r="O2456" s="34"/>
      <c r="P2456" s="34"/>
      <c r="Q2456" s="34"/>
      <c r="R2456" s="34"/>
      <c r="S2456" s="34"/>
      <c r="T2456" s="34"/>
      <c r="U2456" s="34"/>
      <c r="V2456" s="255"/>
      <c r="W2456" s="34"/>
    </row>
    <row r="2457" spans="14:23">
      <c r="N2457" s="34"/>
      <c r="O2457" s="34"/>
      <c r="P2457" s="34"/>
      <c r="Q2457" s="34"/>
      <c r="R2457" s="34"/>
      <c r="S2457" s="34"/>
      <c r="T2457" s="34"/>
      <c r="U2457" s="34"/>
      <c r="V2457" s="255"/>
      <c r="W2457" s="34"/>
    </row>
    <row r="2458" spans="14:23">
      <c r="N2458" s="34"/>
      <c r="O2458" s="34"/>
      <c r="P2458" s="34"/>
      <c r="Q2458" s="34"/>
      <c r="R2458" s="34"/>
      <c r="S2458" s="34"/>
      <c r="T2458" s="34"/>
      <c r="U2458" s="34"/>
      <c r="V2458" s="255"/>
      <c r="W2458" s="34"/>
    </row>
    <row r="2459" spans="14:23">
      <c r="N2459" s="34"/>
      <c r="O2459" s="34"/>
      <c r="P2459" s="34"/>
      <c r="Q2459" s="34"/>
      <c r="R2459" s="34"/>
      <c r="S2459" s="34"/>
      <c r="T2459" s="34"/>
      <c r="U2459" s="34"/>
      <c r="V2459" s="255"/>
      <c r="W2459" s="34"/>
    </row>
    <row r="2460" spans="14:23">
      <c r="N2460" s="34"/>
      <c r="O2460" s="34"/>
      <c r="P2460" s="34"/>
      <c r="Q2460" s="34"/>
      <c r="R2460" s="34"/>
      <c r="S2460" s="34"/>
      <c r="T2460" s="34"/>
      <c r="U2460" s="34"/>
      <c r="V2460" s="255"/>
      <c r="W2460" s="34"/>
    </row>
    <row r="2461" spans="14:23">
      <c r="N2461" s="34"/>
      <c r="O2461" s="34"/>
      <c r="P2461" s="34"/>
      <c r="Q2461" s="34"/>
      <c r="R2461" s="34"/>
      <c r="S2461" s="34"/>
      <c r="T2461" s="34"/>
      <c r="U2461" s="34"/>
      <c r="V2461" s="255"/>
      <c r="W2461" s="34"/>
    </row>
    <row r="2462" spans="14:23">
      <c r="N2462" s="34"/>
      <c r="O2462" s="34"/>
      <c r="P2462" s="34"/>
      <c r="Q2462" s="34"/>
      <c r="R2462" s="34"/>
      <c r="S2462" s="34"/>
      <c r="T2462" s="34"/>
      <c r="U2462" s="34"/>
      <c r="V2462" s="255"/>
      <c r="W2462" s="34"/>
    </row>
    <row r="2463" spans="14:23">
      <c r="N2463" s="34"/>
      <c r="O2463" s="34"/>
      <c r="P2463" s="34"/>
      <c r="Q2463" s="34"/>
      <c r="R2463" s="34"/>
      <c r="S2463" s="34"/>
      <c r="T2463" s="34"/>
      <c r="U2463" s="34"/>
      <c r="V2463" s="255"/>
      <c r="W2463" s="34"/>
    </row>
    <row r="2464" spans="14:23">
      <c r="N2464" s="34"/>
      <c r="O2464" s="34"/>
      <c r="P2464" s="34"/>
      <c r="Q2464" s="34"/>
      <c r="R2464" s="34"/>
      <c r="S2464" s="34"/>
      <c r="T2464" s="34"/>
      <c r="U2464" s="34"/>
      <c r="V2464" s="255"/>
      <c r="W2464" s="34"/>
    </row>
    <row r="2465" spans="14:23">
      <c r="N2465" s="34"/>
      <c r="O2465" s="34"/>
      <c r="P2465" s="34"/>
      <c r="Q2465" s="34"/>
      <c r="R2465" s="34"/>
      <c r="S2465" s="34"/>
      <c r="T2465" s="34"/>
      <c r="U2465" s="34"/>
      <c r="V2465" s="255"/>
      <c r="W2465" s="34"/>
    </row>
    <row r="2466" spans="14:23">
      <c r="N2466" s="34"/>
      <c r="O2466" s="34"/>
      <c r="P2466" s="34"/>
      <c r="Q2466" s="34"/>
      <c r="R2466" s="34"/>
      <c r="S2466" s="34"/>
      <c r="T2466" s="34"/>
      <c r="U2466" s="34"/>
      <c r="V2466" s="255"/>
      <c r="W2466" s="34"/>
    </row>
    <row r="2467" spans="14:23">
      <c r="N2467" s="34"/>
      <c r="O2467" s="34"/>
      <c r="P2467" s="34"/>
      <c r="Q2467" s="34"/>
      <c r="R2467" s="34"/>
      <c r="S2467" s="34"/>
      <c r="T2467" s="34"/>
      <c r="U2467" s="34"/>
      <c r="V2467" s="255"/>
      <c r="W2467" s="34"/>
    </row>
    <row r="2468" spans="14:23">
      <c r="N2468" s="34"/>
      <c r="O2468" s="34"/>
      <c r="P2468" s="34"/>
      <c r="Q2468" s="34"/>
      <c r="R2468" s="34"/>
      <c r="S2468" s="34"/>
      <c r="T2468" s="34"/>
      <c r="U2468" s="34"/>
      <c r="V2468" s="255"/>
      <c r="W2468" s="34"/>
    </row>
    <row r="2469" spans="14:23">
      <c r="N2469" s="34"/>
      <c r="O2469" s="34"/>
      <c r="P2469" s="34"/>
      <c r="Q2469" s="34"/>
      <c r="R2469" s="34"/>
      <c r="S2469" s="34"/>
      <c r="T2469" s="34"/>
      <c r="U2469" s="34"/>
      <c r="V2469" s="255"/>
      <c r="W2469" s="34"/>
    </row>
    <row r="2470" spans="14:23">
      <c r="N2470" s="34"/>
      <c r="O2470" s="34"/>
      <c r="P2470" s="34"/>
      <c r="Q2470" s="34"/>
      <c r="R2470" s="34"/>
      <c r="S2470" s="34"/>
      <c r="T2470" s="34"/>
      <c r="U2470" s="34"/>
      <c r="V2470" s="255"/>
      <c r="W2470" s="34"/>
    </row>
    <row r="2471" spans="14:23">
      <c r="N2471" s="34"/>
      <c r="O2471" s="34"/>
      <c r="P2471" s="34"/>
      <c r="Q2471" s="34"/>
      <c r="R2471" s="34"/>
      <c r="S2471" s="34"/>
      <c r="T2471" s="34"/>
      <c r="U2471" s="34"/>
      <c r="V2471" s="255"/>
      <c r="W2471" s="34"/>
    </row>
    <row r="2472" spans="14:23">
      <c r="N2472" s="34"/>
      <c r="O2472" s="34"/>
      <c r="P2472" s="34"/>
      <c r="Q2472" s="34"/>
      <c r="R2472" s="34"/>
      <c r="S2472" s="34"/>
      <c r="T2472" s="34"/>
      <c r="U2472" s="34"/>
      <c r="V2472" s="255"/>
      <c r="W2472" s="34"/>
    </row>
    <row r="2473" spans="14:23">
      <c r="N2473" s="34"/>
      <c r="O2473" s="34"/>
      <c r="P2473" s="34"/>
      <c r="Q2473" s="34"/>
      <c r="R2473" s="34"/>
      <c r="S2473" s="34"/>
      <c r="T2473" s="34"/>
      <c r="U2473" s="34"/>
      <c r="V2473" s="255"/>
      <c r="W2473" s="34"/>
    </row>
    <row r="2474" spans="14:23">
      <c r="N2474" s="34"/>
      <c r="O2474" s="34"/>
      <c r="P2474" s="34"/>
      <c r="Q2474" s="34"/>
      <c r="R2474" s="34"/>
      <c r="S2474" s="34"/>
      <c r="T2474" s="34"/>
      <c r="U2474" s="34"/>
      <c r="V2474" s="255"/>
      <c r="W2474" s="34"/>
    </row>
    <row r="2475" spans="14:23">
      <c r="N2475" s="34"/>
      <c r="O2475" s="34"/>
      <c r="P2475" s="34"/>
      <c r="Q2475" s="34"/>
      <c r="R2475" s="34"/>
      <c r="S2475" s="34"/>
      <c r="T2475" s="34"/>
      <c r="U2475" s="34"/>
      <c r="V2475" s="255"/>
      <c r="W2475" s="34"/>
    </row>
    <row r="2476" spans="14:23">
      <c r="N2476" s="34"/>
      <c r="O2476" s="34"/>
      <c r="P2476" s="34"/>
      <c r="Q2476" s="34"/>
      <c r="R2476" s="34"/>
      <c r="S2476" s="34"/>
      <c r="T2476" s="34"/>
      <c r="U2476" s="34"/>
      <c r="V2476" s="255"/>
      <c r="W2476" s="34"/>
    </row>
    <row r="2477" spans="14:23">
      <c r="N2477" s="34"/>
      <c r="O2477" s="34"/>
      <c r="P2477" s="34"/>
      <c r="Q2477" s="34"/>
      <c r="R2477" s="34"/>
      <c r="S2477" s="34"/>
      <c r="T2477" s="34"/>
      <c r="U2477" s="34"/>
      <c r="V2477" s="255"/>
      <c r="W2477" s="34"/>
    </row>
    <row r="2478" spans="14:23">
      <c r="N2478" s="34"/>
      <c r="O2478" s="34"/>
      <c r="P2478" s="34"/>
      <c r="Q2478" s="34"/>
      <c r="R2478" s="34"/>
      <c r="S2478" s="34"/>
      <c r="T2478" s="34"/>
      <c r="U2478" s="34"/>
      <c r="V2478" s="255"/>
      <c r="W2478" s="34"/>
    </row>
    <row r="2479" spans="14:23">
      <c r="N2479" s="34"/>
      <c r="O2479" s="34"/>
      <c r="P2479" s="34"/>
      <c r="Q2479" s="34"/>
      <c r="R2479" s="34"/>
      <c r="S2479" s="34"/>
      <c r="T2479" s="34"/>
      <c r="U2479" s="34"/>
      <c r="V2479" s="255"/>
      <c r="W2479" s="34"/>
    </row>
    <row r="2480" spans="14:23">
      <c r="N2480" s="34"/>
      <c r="O2480" s="34"/>
      <c r="P2480" s="34"/>
      <c r="Q2480" s="34"/>
      <c r="R2480" s="34"/>
      <c r="S2480" s="34"/>
      <c r="T2480" s="34"/>
      <c r="U2480" s="34"/>
      <c r="V2480" s="255"/>
      <c r="W2480" s="34"/>
    </row>
    <row r="2481" spans="14:23">
      <c r="N2481" s="34"/>
      <c r="O2481" s="34"/>
      <c r="P2481" s="34"/>
      <c r="Q2481" s="34"/>
      <c r="R2481" s="34"/>
      <c r="S2481" s="34"/>
      <c r="T2481" s="34"/>
      <c r="U2481" s="34"/>
      <c r="V2481" s="255"/>
      <c r="W2481" s="34"/>
    </row>
    <row r="2482" spans="14:23">
      <c r="N2482" s="34"/>
      <c r="O2482" s="34"/>
      <c r="P2482" s="34"/>
      <c r="Q2482" s="34"/>
      <c r="R2482" s="34"/>
      <c r="S2482" s="34"/>
      <c r="T2482" s="34"/>
      <c r="U2482" s="34"/>
      <c r="V2482" s="255"/>
      <c r="W2482" s="34"/>
    </row>
    <row r="2483" spans="14:23">
      <c r="N2483" s="34"/>
      <c r="O2483" s="34"/>
      <c r="P2483" s="34"/>
      <c r="Q2483" s="34"/>
      <c r="R2483" s="34"/>
      <c r="S2483" s="34"/>
      <c r="T2483" s="34"/>
      <c r="U2483" s="34"/>
      <c r="V2483" s="255"/>
      <c r="W2483" s="34"/>
    </row>
    <row r="2484" spans="14:23">
      <c r="N2484" s="34"/>
      <c r="O2484" s="34"/>
      <c r="P2484" s="34"/>
      <c r="Q2484" s="34"/>
      <c r="R2484" s="34"/>
      <c r="S2484" s="34"/>
      <c r="T2484" s="34"/>
      <c r="U2484" s="34"/>
      <c r="V2484" s="255"/>
      <c r="W2484" s="34"/>
    </row>
    <row r="2485" spans="14:23">
      <c r="N2485" s="34"/>
      <c r="O2485" s="34"/>
      <c r="P2485" s="34"/>
      <c r="Q2485" s="34"/>
      <c r="R2485" s="34"/>
      <c r="S2485" s="34"/>
      <c r="T2485" s="34"/>
      <c r="U2485" s="34"/>
      <c r="V2485" s="255"/>
      <c r="W2485" s="34"/>
    </row>
    <row r="2486" spans="14:23">
      <c r="N2486" s="34"/>
      <c r="O2486" s="34"/>
      <c r="P2486" s="34"/>
      <c r="Q2486" s="34"/>
      <c r="R2486" s="34"/>
      <c r="S2486" s="34"/>
      <c r="T2486" s="34"/>
      <c r="U2486" s="34"/>
      <c r="V2486" s="255"/>
      <c r="W2486" s="34"/>
    </row>
    <row r="2487" spans="14:23">
      <c r="N2487" s="34"/>
      <c r="O2487" s="34"/>
      <c r="P2487" s="34"/>
      <c r="Q2487" s="34"/>
      <c r="R2487" s="34"/>
      <c r="S2487" s="34"/>
      <c r="T2487" s="34"/>
      <c r="U2487" s="34"/>
      <c r="V2487" s="255"/>
      <c r="W2487" s="34"/>
    </row>
    <row r="2488" spans="14:23">
      <c r="N2488" s="34"/>
      <c r="O2488" s="34"/>
      <c r="P2488" s="34"/>
      <c r="Q2488" s="34"/>
      <c r="R2488" s="34"/>
      <c r="S2488" s="34"/>
      <c r="T2488" s="34"/>
      <c r="U2488" s="34"/>
      <c r="V2488" s="255"/>
      <c r="W2488" s="34"/>
    </row>
    <row r="2489" spans="14:23">
      <c r="N2489" s="34"/>
      <c r="O2489" s="34"/>
      <c r="P2489" s="34"/>
      <c r="Q2489" s="34"/>
      <c r="R2489" s="34"/>
      <c r="S2489" s="34"/>
      <c r="T2489" s="34"/>
      <c r="U2489" s="34"/>
      <c r="V2489" s="255"/>
      <c r="W2489" s="34"/>
    </row>
    <row r="2490" spans="14:23">
      <c r="N2490" s="34"/>
      <c r="O2490" s="34"/>
      <c r="P2490" s="34"/>
      <c r="Q2490" s="34"/>
      <c r="R2490" s="34"/>
      <c r="S2490" s="34"/>
      <c r="T2490" s="34"/>
      <c r="U2490" s="34"/>
      <c r="V2490" s="255"/>
      <c r="W2490" s="34"/>
    </row>
    <row r="2491" spans="14:23">
      <c r="N2491" s="34"/>
      <c r="O2491" s="34"/>
      <c r="P2491" s="34"/>
      <c r="Q2491" s="34"/>
      <c r="R2491" s="34"/>
      <c r="S2491" s="34"/>
      <c r="T2491" s="34"/>
      <c r="U2491" s="34"/>
      <c r="V2491" s="255"/>
      <c r="W2491" s="34"/>
    </row>
    <row r="2492" spans="14:23">
      <c r="N2492" s="34"/>
      <c r="O2492" s="34"/>
      <c r="P2492" s="34"/>
      <c r="Q2492" s="34"/>
      <c r="R2492" s="34"/>
      <c r="S2492" s="34"/>
      <c r="T2492" s="34"/>
      <c r="U2492" s="34"/>
      <c r="V2492" s="255"/>
      <c r="W2492" s="34"/>
    </row>
    <row r="2493" spans="14:23">
      <c r="N2493" s="34"/>
      <c r="O2493" s="34"/>
      <c r="P2493" s="34"/>
      <c r="Q2493" s="34"/>
      <c r="R2493" s="34"/>
      <c r="S2493" s="34"/>
      <c r="T2493" s="34"/>
      <c r="U2493" s="34"/>
      <c r="V2493" s="255"/>
      <c r="W2493" s="34"/>
    </row>
    <row r="2494" spans="14:23">
      <c r="N2494" s="34"/>
      <c r="O2494" s="34"/>
      <c r="P2494" s="34"/>
      <c r="Q2494" s="34"/>
      <c r="R2494" s="34"/>
      <c r="S2494" s="34"/>
      <c r="T2494" s="34"/>
      <c r="U2494" s="34"/>
      <c r="V2494" s="255"/>
      <c r="W2494" s="34"/>
    </row>
    <row r="2495" spans="14:23">
      <c r="N2495" s="34"/>
      <c r="O2495" s="34"/>
      <c r="P2495" s="34"/>
      <c r="Q2495" s="34"/>
      <c r="R2495" s="34"/>
      <c r="S2495" s="34"/>
      <c r="T2495" s="34"/>
      <c r="U2495" s="34"/>
      <c r="V2495" s="255"/>
      <c r="W2495" s="34"/>
    </row>
    <row r="2496" spans="14:23">
      <c r="N2496" s="34"/>
      <c r="O2496" s="34"/>
      <c r="P2496" s="34"/>
      <c r="Q2496" s="34"/>
      <c r="R2496" s="34"/>
      <c r="S2496" s="34"/>
      <c r="T2496" s="34"/>
      <c r="U2496" s="34"/>
      <c r="V2496" s="255"/>
      <c r="W2496" s="34"/>
    </row>
    <row r="2497" spans="14:23">
      <c r="N2497" s="34"/>
      <c r="O2497" s="34"/>
      <c r="P2497" s="34"/>
      <c r="Q2497" s="34"/>
      <c r="R2497" s="34"/>
      <c r="S2497" s="34"/>
      <c r="T2497" s="34"/>
      <c r="U2497" s="34"/>
      <c r="V2497" s="255"/>
      <c r="W2497" s="34"/>
    </row>
    <row r="2498" spans="14:23">
      <c r="N2498" s="34"/>
      <c r="O2498" s="34"/>
      <c r="P2498" s="34"/>
      <c r="Q2498" s="34"/>
      <c r="R2498" s="34"/>
      <c r="S2498" s="34"/>
      <c r="T2498" s="34"/>
      <c r="U2498" s="34"/>
      <c r="V2498" s="255"/>
      <c r="W2498" s="34"/>
    </row>
    <row r="2499" spans="14:23">
      <c r="N2499" s="34"/>
      <c r="O2499" s="34"/>
      <c r="P2499" s="34"/>
      <c r="Q2499" s="34"/>
      <c r="R2499" s="34"/>
      <c r="S2499" s="34"/>
      <c r="T2499" s="34"/>
      <c r="U2499" s="34"/>
      <c r="V2499" s="255"/>
      <c r="W2499" s="34"/>
    </row>
    <row r="2500" spans="14:23">
      <c r="N2500" s="34"/>
      <c r="O2500" s="34"/>
      <c r="P2500" s="34"/>
      <c r="Q2500" s="34"/>
      <c r="R2500" s="34"/>
      <c r="S2500" s="34"/>
      <c r="T2500" s="34"/>
      <c r="U2500" s="34"/>
      <c r="V2500" s="255"/>
      <c r="W2500" s="34"/>
    </row>
    <row r="2501" spans="14:23">
      <c r="N2501" s="34"/>
      <c r="O2501" s="34"/>
      <c r="P2501" s="34"/>
      <c r="Q2501" s="34"/>
      <c r="R2501" s="34"/>
      <c r="S2501" s="34"/>
      <c r="T2501" s="34"/>
      <c r="U2501" s="34"/>
      <c r="V2501" s="255"/>
      <c r="W2501" s="34"/>
    </row>
    <row r="2502" spans="14:23">
      <c r="N2502" s="34"/>
      <c r="O2502" s="34"/>
      <c r="P2502" s="34"/>
      <c r="Q2502" s="34"/>
      <c r="R2502" s="34"/>
      <c r="S2502" s="34"/>
      <c r="T2502" s="34"/>
      <c r="U2502" s="34"/>
      <c r="V2502" s="255"/>
      <c r="W2502" s="34"/>
    </row>
    <row r="2503" spans="14:23">
      <c r="N2503" s="34"/>
      <c r="O2503" s="34"/>
      <c r="P2503" s="34"/>
      <c r="Q2503" s="34"/>
      <c r="R2503" s="34"/>
      <c r="S2503" s="34"/>
      <c r="T2503" s="34"/>
      <c r="U2503" s="34"/>
      <c r="V2503" s="255"/>
      <c r="W2503" s="34"/>
    </row>
    <row r="2504" spans="14:23">
      <c r="N2504" s="34"/>
      <c r="O2504" s="34"/>
      <c r="P2504" s="34"/>
      <c r="Q2504" s="34"/>
      <c r="R2504" s="34"/>
      <c r="S2504" s="34"/>
      <c r="T2504" s="34"/>
      <c r="U2504" s="34"/>
      <c r="V2504" s="255"/>
      <c r="W2504" s="34"/>
    </row>
    <row r="2505" spans="14:23">
      <c r="N2505" s="34"/>
      <c r="O2505" s="34"/>
      <c r="P2505" s="34"/>
      <c r="Q2505" s="34"/>
      <c r="R2505" s="34"/>
      <c r="S2505" s="34"/>
      <c r="T2505" s="34"/>
      <c r="U2505" s="34"/>
      <c r="V2505" s="255"/>
      <c r="W2505" s="34"/>
    </row>
    <row r="2506" spans="14:23">
      <c r="N2506" s="34"/>
      <c r="O2506" s="34"/>
      <c r="P2506" s="34"/>
      <c r="Q2506" s="34"/>
      <c r="R2506" s="34"/>
      <c r="S2506" s="34"/>
      <c r="T2506" s="34"/>
      <c r="U2506" s="34"/>
      <c r="V2506" s="255"/>
      <c r="W2506" s="34"/>
    </row>
    <row r="2507" spans="14:23">
      <c r="N2507" s="34"/>
      <c r="O2507" s="34"/>
      <c r="P2507" s="34"/>
      <c r="Q2507" s="34"/>
      <c r="R2507" s="34"/>
      <c r="S2507" s="34"/>
      <c r="T2507" s="34"/>
      <c r="U2507" s="34"/>
      <c r="V2507" s="255"/>
      <c r="W2507" s="34"/>
    </row>
    <row r="2508" spans="14:23">
      <c r="N2508" s="34"/>
      <c r="O2508" s="34"/>
      <c r="P2508" s="34"/>
      <c r="Q2508" s="34"/>
      <c r="R2508" s="34"/>
      <c r="S2508" s="34"/>
      <c r="T2508" s="34"/>
      <c r="U2508" s="34"/>
      <c r="V2508" s="255"/>
      <c r="W2508" s="34"/>
    </row>
    <row r="2509" spans="14:23">
      <c r="N2509" s="34"/>
      <c r="O2509" s="34"/>
      <c r="P2509" s="34"/>
      <c r="Q2509" s="34"/>
      <c r="R2509" s="34"/>
      <c r="S2509" s="34"/>
      <c r="T2509" s="34"/>
      <c r="U2509" s="34"/>
      <c r="V2509" s="255"/>
      <c r="W2509" s="34"/>
    </row>
    <row r="2510" spans="14:23">
      <c r="N2510" s="34"/>
      <c r="O2510" s="34"/>
      <c r="P2510" s="34"/>
      <c r="Q2510" s="34"/>
      <c r="R2510" s="34"/>
      <c r="S2510" s="34"/>
      <c r="T2510" s="34"/>
      <c r="U2510" s="34"/>
      <c r="V2510" s="255"/>
      <c r="W2510" s="34"/>
    </row>
    <row r="2511" spans="14:23">
      <c r="N2511" s="34"/>
      <c r="O2511" s="34"/>
      <c r="P2511" s="34"/>
      <c r="Q2511" s="34"/>
      <c r="R2511" s="34"/>
      <c r="S2511" s="34"/>
      <c r="T2511" s="34"/>
      <c r="U2511" s="34"/>
      <c r="V2511" s="255"/>
      <c r="W2511" s="34"/>
    </row>
    <row r="2512" spans="14:23">
      <c r="N2512" s="34"/>
      <c r="O2512" s="34"/>
      <c r="P2512" s="34"/>
      <c r="Q2512" s="34"/>
      <c r="R2512" s="34"/>
      <c r="S2512" s="34"/>
      <c r="T2512" s="34"/>
      <c r="U2512" s="34"/>
      <c r="V2512" s="255"/>
      <c r="W2512" s="34"/>
    </row>
    <row r="2513" spans="14:23">
      <c r="N2513" s="34"/>
      <c r="O2513" s="34"/>
      <c r="P2513" s="34"/>
      <c r="Q2513" s="34"/>
      <c r="R2513" s="34"/>
      <c r="S2513" s="34"/>
      <c r="T2513" s="34"/>
      <c r="U2513" s="34"/>
      <c r="V2513" s="255"/>
      <c r="W2513" s="34"/>
    </row>
    <row r="2514" spans="14:23">
      <c r="N2514" s="34"/>
      <c r="O2514" s="34"/>
      <c r="P2514" s="34"/>
      <c r="Q2514" s="34"/>
      <c r="R2514" s="34"/>
      <c r="S2514" s="34"/>
      <c r="T2514" s="34"/>
      <c r="U2514" s="34"/>
      <c r="V2514" s="255"/>
      <c r="W2514" s="34"/>
    </row>
    <row r="2515" spans="14:23">
      <c r="N2515" s="34"/>
      <c r="O2515" s="34"/>
      <c r="P2515" s="34"/>
      <c r="Q2515" s="34"/>
      <c r="R2515" s="34"/>
      <c r="S2515" s="34"/>
      <c r="T2515" s="34"/>
      <c r="U2515" s="34"/>
      <c r="V2515" s="255"/>
      <c r="W2515" s="34"/>
    </row>
    <row r="2516" spans="14:23">
      <c r="N2516" s="34"/>
      <c r="O2516" s="34"/>
      <c r="P2516" s="34"/>
      <c r="Q2516" s="34"/>
      <c r="R2516" s="34"/>
      <c r="S2516" s="34"/>
      <c r="T2516" s="34"/>
      <c r="U2516" s="34"/>
      <c r="V2516" s="255"/>
      <c r="W2516" s="34"/>
    </row>
    <row r="2517" spans="14:23">
      <c r="N2517" s="34"/>
      <c r="O2517" s="34"/>
      <c r="P2517" s="34"/>
      <c r="Q2517" s="34"/>
      <c r="R2517" s="34"/>
      <c r="S2517" s="34"/>
      <c r="T2517" s="34"/>
      <c r="U2517" s="34"/>
      <c r="V2517" s="255"/>
      <c r="W2517" s="34"/>
    </row>
    <row r="2518" spans="14:23">
      <c r="N2518" s="34"/>
      <c r="O2518" s="34"/>
      <c r="P2518" s="34"/>
      <c r="Q2518" s="34"/>
      <c r="R2518" s="34"/>
      <c r="S2518" s="34"/>
      <c r="T2518" s="34"/>
      <c r="U2518" s="34"/>
      <c r="V2518" s="255"/>
      <c r="W2518" s="34"/>
    </row>
    <row r="2519" spans="14:23">
      <c r="N2519" s="34"/>
      <c r="O2519" s="34"/>
      <c r="P2519" s="34"/>
      <c r="Q2519" s="34"/>
      <c r="R2519" s="34"/>
      <c r="S2519" s="34"/>
      <c r="T2519" s="34"/>
      <c r="U2519" s="34"/>
      <c r="V2519" s="255"/>
      <c r="W2519" s="34"/>
    </row>
    <row r="2520" spans="14:23">
      <c r="N2520" s="34"/>
      <c r="O2520" s="34"/>
      <c r="P2520" s="34"/>
      <c r="Q2520" s="34"/>
      <c r="R2520" s="34"/>
      <c r="S2520" s="34"/>
      <c r="T2520" s="34"/>
      <c r="U2520" s="34"/>
      <c r="V2520" s="255"/>
      <c r="W2520" s="34"/>
    </row>
    <row r="2521" spans="14:23">
      <c r="N2521" s="34"/>
      <c r="O2521" s="34"/>
      <c r="P2521" s="34"/>
      <c r="Q2521" s="34"/>
      <c r="R2521" s="34"/>
      <c r="S2521" s="34"/>
      <c r="T2521" s="34"/>
      <c r="U2521" s="34"/>
      <c r="V2521" s="255"/>
      <c r="W2521" s="34"/>
    </row>
    <row r="2522" spans="14:23">
      <c r="N2522" s="34"/>
      <c r="O2522" s="34"/>
      <c r="P2522" s="34"/>
      <c r="Q2522" s="34"/>
      <c r="R2522" s="34"/>
      <c r="S2522" s="34"/>
      <c r="T2522" s="34"/>
      <c r="U2522" s="34"/>
      <c r="V2522" s="255"/>
      <c r="W2522" s="34"/>
    </row>
    <row r="2523" spans="14:23">
      <c r="N2523" s="34"/>
      <c r="O2523" s="34"/>
      <c r="P2523" s="34"/>
      <c r="Q2523" s="34"/>
      <c r="R2523" s="34"/>
      <c r="S2523" s="34"/>
      <c r="T2523" s="34"/>
      <c r="U2523" s="34"/>
      <c r="V2523" s="255"/>
      <c r="W2523" s="34"/>
    </row>
    <row r="2524" spans="14:23">
      <c r="N2524" s="34"/>
      <c r="O2524" s="34"/>
      <c r="P2524" s="34"/>
      <c r="Q2524" s="34"/>
      <c r="R2524" s="34"/>
      <c r="S2524" s="34"/>
      <c r="T2524" s="34"/>
      <c r="U2524" s="34"/>
      <c r="V2524" s="255"/>
      <c r="W2524" s="34"/>
    </row>
    <row r="2525" spans="14:23">
      <c r="N2525" s="34"/>
      <c r="O2525" s="34"/>
      <c r="P2525" s="34"/>
      <c r="Q2525" s="34"/>
      <c r="R2525" s="34"/>
      <c r="S2525" s="34"/>
      <c r="T2525" s="34"/>
      <c r="U2525" s="34"/>
      <c r="V2525" s="255"/>
      <c r="W2525" s="34"/>
    </row>
    <row r="2526" spans="14:23">
      <c r="N2526" s="34"/>
      <c r="O2526" s="34"/>
      <c r="P2526" s="34"/>
      <c r="Q2526" s="34"/>
      <c r="R2526" s="34"/>
      <c r="S2526" s="34"/>
      <c r="T2526" s="34"/>
      <c r="U2526" s="34"/>
      <c r="V2526" s="255"/>
      <c r="W2526" s="34"/>
    </row>
    <row r="2527" spans="14:23">
      <c r="N2527" s="34"/>
      <c r="O2527" s="34"/>
      <c r="P2527" s="34"/>
      <c r="Q2527" s="34"/>
      <c r="R2527" s="34"/>
      <c r="S2527" s="34"/>
      <c r="T2527" s="34"/>
      <c r="U2527" s="34"/>
      <c r="V2527" s="255"/>
      <c r="W2527" s="34"/>
    </row>
    <row r="2528" spans="14:23">
      <c r="N2528" s="34"/>
      <c r="O2528" s="34"/>
      <c r="P2528" s="34"/>
      <c r="Q2528" s="34"/>
      <c r="R2528" s="34"/>
      <c r="S2528" s="34"/>
      <c r="T2528" s="34"/>
      <c r="U2528" s="34"/>
      <c r="V2528" s="255"/>
      <c r="W2528" s="34"/>
    </row>
    <row r="2529" spans="14:23">
      <c r="N2529" s="34"/>
      <c r="O2529" s="34"/>
      <c r="P2529" s="34"/>
      <c r="Q2529" s="34"/>
      <c r="R2529" s="34"/>
      <c r="S2529" s="34"/>
      <c r="T2529" s="34"/>
      <c r="U2529" s="34"/>
      <c r="V2529" s="255"/>
      <c r="W2529" s="34"/>
    </row>
    <row r="2530" spans="14:23">
      <c r="N2530" s="34"/>
      <c r="O2530" s="34"/>
      <c r="P2530" s="34"/>
      <c r="Q2530" s="34"/>
      <c r="R2530" s="34"/>
      <c r="S2530" s="34"/>
      <c r="T2530" s="34"/>
      <c r="U2530" s="34"/>
      <c r="V2530" s="255"/>
      <c r="W2530" s="34"/>
    </row>
    <row r="2531" spans="14:23">
      <c r="N2531" s="34"/>
      <c r="O2531" s="34"/>
      <c r="P2531" s="34"/>
      <c r="Q2531" s="34"/>
      <c r="R2531" s="34"/>
      <c r="S2531" s="34"/>
      <c r="T2531" s="34"/>
      <c r="U2531" s="34"/>
      <c r="V2531" s="255"/>
      <c r="W2531" s="34"/>
    </row>
    <row r="2532" spans="14:23">
      <c r="N2532" s="34"/>
      <c r="O2532" s="34"/>
      <c r="P2532" s="34"/>
      <c r="Q2532" s="34"/>
      <c r="R2532" s="34"/>
      <c r="S2532" s="34"/>
      <c r="T2532" s="34"/>
      <c r="U2532" s="34"/>
      <c r="V2532" s="255"/>
      <c r="W2532" s="34"/>
    </row>
    <row r="2533" spans="14:23">
      <c r="N2533" s="34"/>
      <c r="O2533" s="34"/>
      <c r="P2533" s="34"/>
      <c r="Q2533" s="34"/>
      <c r="R2533" s="34"/>
      <c r="S2533" s="34"/>
      <c r="T2533" s="34"/>
      <c r="U2533" s="34"/>
      <c r="V2533" s="255"/>
      <c r="W2533" s="34"/>
    </row>
    <row r="2534" spans="14:23">
      <c r="N2534" s="34"/>
      <c r="O2534" s="34"/>
      <c r="P2534" s="34"/>
      <c r="Q2534" s="34"/>
      <c r="R2534" s="34"/>
      <c r="S2534" s="34"/>
      <c r="T2534" s="34"/>
      <c r="U2534" s="34"/>
      <c r="V2534" s="255"/>
      <c r="W2534" s="34"/>
    </row>
    <row r="2535" spans="14:23">
      <c r="N2535" s="34"/>
      <c r="O2535" s="34"/>
      <c r="P2535" s="34"/>
      <c r="Q2535" s="34"/>
      <c r="R2535" s="34"/>
      <c r="S2535" s="34"/>
      <c r="T2535" s="34"/>
      <c r="U2535" s="34"/>
      <c r="V2535" s="255"/>
      <c r="W2535" s="34"/>
    </row>
    <row r="2536" spans="14:23">
      <c r="N2536" s="34"/>
      <c r="O2536" s="34"/>
      <c r="P2536" s="34"/>
      <c r="Q2536" s="34"/>
      <c r="R2536" s="34"/>
      <c r="S2536" s="34"/>
      <c r="T2536" s="34"/>
      <c r="U2536" s="34"/>
      <c r="V2536" s="255"/>
      <c r="W2536" s="34"/>
    </row>
    <row r="2537" spans="14:23">
      <c r="N2537" s="34"/>
      <c r="O2537" s="34"/>
      <c r="P2537" s="34"/>
      <c r="Q2537" s="34"/>
      <c r="R2537" s="34"/>
      <c r="S2537" s="34"/>
      <c r="T2537" s="34"/>
      <c r="U2537" s="34"/>
      <c r="V2537" s="255"/>
      <c r="W2537" s="34"/>
    </row>
    <row r="2538" spans="14:23">
      <c r="N2538" s="34"/>
      <c r="O2538" s="34"/>
      <c r="P2538" s="34"/>
      <c r="Q2538" s="34"/>
      <c r="R2538" s="34"/>
      <c r="S2538" s="34"/>
      <c r="T2538" s="34"/>
      <c r="U2538" s="34"/>
      <c r="V2538" s="255"/>
      <c r="W2538" s="34"/>
    </row>
    <row r="2539" spans="14:23">
      <c r="N2539" s="34"/>
      <c r="O2539" s="34"/>
      <c r="P2539" s="34"/>
      <c r="Q2539" s="34"/>
      <c r="R2539" s="34"/>
      <c r="S2539" s="34"/>
      <c r="T2539" s="34"/>
      <c r="U2539" s="34"/>
      <c r="V2539" s="255"/>
      <c r="W2539" s="34"/>
    </row>
    <row r="2540" spans="14:23">
      <c r="N2540" s="34"/>
      <c r="O2540" s="34"/>
      <c r="P2540" s="34"/>
      <c r="Q2540" s="34"/>
      <c r="R2540" s="34"/>
      <c r="S2540" s="34"/>
      <c r="T2540" s="34"/>
      <c r="U2540" s="34"/>
      <c r="V2540" s="255"/>
      <c r="W2540" s="34"/>
    </row>
    <row r="2541" spans="14:23">
      <c r="N2541" s="34"/>
      <c r="O2541" s="34"/>
      <c r="P2541" s="34"/>
      <c r="Q2541" s="34"/>
      <c r="R2541" s="34"/>
      <c r="S2541" s="34"/>
      <c r="T2541" s="34"/>
      <c r="U2541" s="34"/>
      <c r="V2541" s="255"/>
      <c r="W2541" s="34"/>
    </row>
    <row r="2542" spans="14:23">
      <c r="N2542" s="34"/>
      <c r="O2542" s="34"/>
      <c r="P2542" s="34"/>
      <c r="Q2542" s="34"/>
      <c r="R2542" s="34"/>
      <c r="S2542" s="34"/>
      <c r="T2542" s="34"/>
      <c r="U2542" s="34"/>
      <c r="V2542" s="255"/>
      <c r="W2542" s="34"/>
    </row>
    <row r="2543" spans="14:23">
      <c r="N2543" s="34"/>
      <c r="O2543" s="34"/>
      <c r="P2543" s="34"/>
      <c r="Q2543" s="34"/>
      <c r="R2543" s="34"/>
      <c r="S2543" s="34"/>
      <c r="T2543" s="34"/>
      <c r="U2543" s="34"/>
      <c r="V2543" s="255"/>
      <c r="W2543" s="34"/>
    </row>
    <row r="2544" spans="14:23">
      <c r="N2544" s="34"/>
      <c r="O2544" s="34"/>
      <c r="P2544" s="34"/>
      <c r="Q2544" s="34"/>
      <c r="R2544" s="34"/>
      <c r="S2544" s="34"/>
      <c r="T2544" s="34"/>
      <c r="U2544" s="34"/>
      <c r="V2544" s="255"/>
      <c r="W2544" s="34"/>
    </row>
    <row r="2545" spans="14:23">
      <c r="N2545" s="34"/>
      <c r="O2545" s="34"/>
      <c r="P2545" s="34"/>
      <c r="Q2545" s="34"/>
      <c r="R2545" s="34"/>
      <c r="S2545" s="34"/>
      <c r="T2545" s="34"/>
      <c r="U2545" s="34"/>
      <c r="V2545" s="255"/>
      <c r="W2545" s="34"/>
    </row>
    <row r="2546" spans="14:23">
      <c r="N2546" s="34"/>
      <c r="O2546" s="34"/>
      <c r="P2546" s="34"/>
      <c r="Q2546" s="34"/>
      <c r="R2546" s="34"/>
      <c r="S2546" s="34"/>
      <c r="T2546" s="34"/>
      <c r="U2546" s="34"/>
      <c r="V2546" s="255"/>
      <c r="W2546" s="34"/>
    </row>
    <row r="2547" spans="14:23">
      <c r="N2547" s="34"/>
      <c r="O2547" s="34"/>
      <c r="P2547" s="34"/>
      <c r="Q2547" s="34"/>
      <c r="R2547" s="34"/>
      <c r="S2547" s="34"/>
      <c r="T2547" s="34"/>
      <c r="U2547" s="34"/>
      <c r="V2547" s="255"/>
      <c r="W2547" s="34"/>
    </row>
    <row r="2548" spans="14:23">
      <c r="N2548" s="34"/>
      <c r="O2548" s="34"/>
      <c r="P2548" s="34"/>
      <c r="Q2548" s="34"/>
      <c r="R2548" s="34"/>
      <c r="S2548" s="34"/>
      <c r="T2548" s="34"/>
      <c r="U2548" s="34"/>
      <c r="V2548" s="255"/>
      <c r="W2548" s="34"/>
    </row>
    <row r="2549" spans="14:23">
      <c r="N2549" s="34"/>
      <c r="O2549" s="34"/>
      <c r="P2549" s="34"/>
      <c r="Q2549" s="34"/>
      <c r="R2549" s="34"/>
      <c r="S2549" s="34"/>
      <c r="T2549" s="34"/>
      <c r="U2549" s="34"/>
      <c r="V2549" s="255"/>
      <c r="W2549" s="34"/>
    </row>
    <row r="2550" spans="14:23">
      <c r="N2550" s="34"/>
      <c r="O2550" s="34"/>
      <c r="P2550" s="34"/>
      <c r="Q2550" s="34"/>
      <c r="R2550" s="34"/>
      <c r="S2550" s="34"/>
      <c r="T2550" s="34"/>
      <c r="U2550" s="34"/>
      <c r="V2550" s="255"/>
      <c r="W2550" s="34"/>
    </row>
    <row r="2551" spans="14:23">
      <c r="N2551" s="34"/>
      <c r="O2551" s="34"/>
      <c r="P2551" s="34"/>
      <c r="Q2551" s="34"/>
      <c r="R2551" s="34"/>
      <c r="S2551" s="34"/>
      <c r="T2551" s="34"/>
      <c r="U2551" s="34"/>
      <c r="V2551" s="255"/>
      <c r="W2551" s="34"/>
    </row>
    <row r="2552" spans="14:23">
      <c r="N2552" s="34"/>
      <c r="O2552" s="34"/>
      <c r="P2552" s="34"/>
      <c r="Q2552" s="34"/>
      <c r="R2552" s="34"/>
      <c r="S2552" s="34"/>
      <c r="T2552" s="34"/>
      <c r="U2552" s="34"/>
      <c r="V2552" s="255"/>
      <c r="W2552" s="34"/>
    </row>
    <row r="2553" spans="14:23">
      <c r="N2553" s="34"/>
      <c r="O2553" s="34"/>
      <c r="P2553" s="34"/>
      <c r="Q2553" s="34"/>
      <c r="R2553" s="34"/>
      <c r="S2553" s="34"/>
      <c r="T2553" s="34"/>
      <c r="U2553" s="34"/>
      <c r="V2553" s="255"/>
      <c r="W2553" s="34"/>
    </row>
    <row r="2554" spans="14:23">
      <c r="N2554" s="34"/>
      <c r="O2554" s="34"/>
      <c r="P2554" s="34"/>
      <c r="Q2554" s="34"/>
      <c r="R2554" s="34"/>
      <c r="S2554" s="34"/>
      <c r="T2554" s="34"/>
      <c r="U2554" s="34"/>
      <c r="V2554" s="255"/>
      <c r="W2554" s="34"/>
    </row>
    <row r="2555" spans="14:23">
      <c r="N2555" s="34"/>
      <c r="O2555" s="34"/>
      <c r="P2555" s="34"/>
      <c r="Q2555" s="34"/>
      <c r="R2555" s="34"/>
      <c r="S2555" s="34"/>
      <c r="T2555" s="34"/>
      <c r="U2555" s="34"/>
      <c r="V2555" s="255"/>
      <c r="W2555" s="34"/>
    </row>
    <row r="2556" spans="14:23">
      <c r="N2556" s="34"/>
      <c r="O2556" s="34"/>
      <c r="P2556" s="34"/>
      <c r="Q2556" s="34"/>
      <c r="R2556" s="34"/>
      <c r="S2556" s="34"/>
      <c r="T2556" s="34"/>
      <c r="U2556" s="34"/>
      <c r="V2556" s="255"/>
      <c r="W2556" s="34"/>
    </row>
    <row r="2557" spans="14:23">
      <c r="N2557" s="34"/>
      <c r="O2557" s="34"/>
      <c r="P2557" s="34"/>
      <c r="Q2557" s="34"/>
      <c r="R2557" s="34"/>
      <c r="S2557" s="34"/>
      <c r="T2557" s="34"/>
      <c r="U2557" s="34"/>
      <c r="V2557" s="255"/>
      <c r="W2557" s="34"/>
    </row>
    <row r="2558" spans="14:23">
      <c r="N2558" s="34"/>
      <c r="O2558" s="34"/>
      <c r="P2558" s="34"/>
      <c r="Q2558" s="34"/>
      <c r="R2558" s="34"/>
      <c r="S2558" s="34"/>
      <c r="T2558" s="34"/>
      <c r="U2558" s="34"/>
      <c r="V2558" s="255"/>
      <c r="W2558" s="34"/>
    </row>
    <row r="2559" spans="14:23">
      <c r="N2559" s="34"/>
      <c r="O2559" s="34"/>
      <c r="P2559" s="34"/>
      <c r="Q2559" s="34"/>
      <c r="R2559" s="34"/>
      <c r="S2559" s="34"/>
      <c r="T2559" s="34"/>
      <c r="U2559" s="34"/>
      <c r="V2559" s="255"/>
      <c r="W2559" s="34"/>
    </row>
    <row r="2560" spans="14:23">
      <c r="N2560" s="34"/>
      <c r="O2560" s="34"/>
      <c r="P2560" s="34"/>
      <c r="Q2560" s="34"/>
      <c r="R2560" s="34"/>
      <c r="S2560" s="34"/>
      <c r="T2560" s="34"/>
      <c r="U2560" s="34"/>
      <c r="V2560" s="255"/>
      <c r="W2560" s="34"/>
    </row>
    <row r="2561" spans="14:23">
      <c r="N2561" s="34"/>
      <c r="O2561" s="34"/>
      <c r="P2561" s="34"/>
      <c r="Q2561" s="34"/>
      <c r="R2561" s="34"/>
      <c r="S2561" s="34"/>
      <c r="T2561" s="34"/>
      <c r="U2561" s="34"/>
      <c r="V2561" s="255"/>
      <c r="W2561" s="34"/>
    </row>
    <row r="2562" spans="14:23">
      <c r="N2562" s="34"/>
      <c r="O2562" s="34"/>
      <c r="P2562" s="34"/>
      <c r="Q2562" s="34"/>
      <c r="R2562" s="34"/>
      <c r="S2562" s="34"/>
      <c r="T2562" s="34"/>
      <c r="U2562" s="34"/>
      <c r="V2562" s="255"/>
      <c r="W2562" s="34"/>
    </row>
    <row r="2563" spans="14:23">
      <c r="N2563" s="34"/>
      <c r="O2563" s="34"/>
      <c r="P2563" s="34"/>
      <c r="Q2563" s="34"/>
      <c r="R2563" s="34"/>
      <c r="S2563" s="34"/>
      <c r="T2563" s="34"/>
      <c r="U2563" s="34"/>
      <c r="V2563" s="255"/>
      <c r="W2563" s="34"/>
    </row>
    <row r="2564" spans="14:23">
      <c r="N2564" s="34"/>
      <c r="O2564" s="34"/>
      <c r="P2564" s="34"/>
      <c r="Q2564" s="34"/>
      <c r="R2564" s="34"/>
      <c r="S2564" s="34"/>
      <c r="T2564" s="34"/>
      <c r="U2564" s="34"/>
      <c r="V2564" s="255"/>
      <c r="W2564" s="34"/>
    </row>
    <row r="2565" spans="14:23">
      <c r="N2565" s="34"/>
      <c r="O2565" s="34"/>
      <c r="P2565" s="34"/>
      <c r="Q2565" s="34"/>
      <c r="R2565" s="34"/>
      <c r="S2565" s="34"/>
      <c r="T2565" s="34"/>
      <c r="U2565" s="34"/>
      <c r="V2565" s="255"/>
      <c r="W2565" s="34"/>
    </row>
    <row r="2566" spans="14:23">
      <c r="N2566" s="34"/>
      <c r="O2566" s="34"/>
      <c r="P2566" s="34"/>
      <c r="Q2566" s="34"/>
      <c r="R2566" s="34"/>
      <c r="S2566" s="34"/>
      <c r="T2566" s="34"/>
      <c r="U2566" s="34"/>
      <c r="V2566" s="255"/>
      <c r="W2566" s="34"/>
    </row>
    <row r="2567" spans="14:23">
      <c r="N2567" s="34"/>
      <c r="O2567" s="34"/>
      <c r="P2567" s="34"/>
      <c r="Q2567" s="34"/>
      <c r="R2567" s="34"/>
      <c r="S2567" s="34"/>
      <c r="T2567" s="34"/>
      <c r="U2567" s="34"/>
      <c r="V2567" s="255"/>
      <c r="W2567" s="34"/>
    </row>
    <row r="2568" spans="14:23">
      <c r="N2568" s="34"/>
      <c r="O2568" s="34"/>
      <c r="P2568" s="34"/>
      <c r="Q2568" s="34"/>
      <c r="R2568" s="34"/>
      <c r="S2568" s="34"/>
      <c r="T2568" s="34"/>
      <c r="U2568" s="34"/>
      <c r="V2568" s="255"/>
      <c r="W2568" s="34"/>
    </row>
    <row r="2569" spans="14:23">
      <c r="N2569" s="34"/>
      <c r="O2569" s="34"/>
      <c r="P2569" s="34"/>
      <c r="Q2569" s="34"/>
      <c r="R2569" s="34"/>
      <c r="S2569" s="34"/>
      <c r="T2569" s="34"/>
      <c r="U2569" s="34"/>
      <c r="V2569" s="255"/>
      <c r="W2569" s="34"/>
    </row>
    <row r="2570" spans="14:23">
      <c r="N2570" s="34"/>
      <c r="O2570" s="34"/>
      <c r="P2570" s="34"/>
      <c r="Q2570" s="34"/>
      <c r="R2570" s="34"/>
      <c r="S2570" s="34"/>
      <c r="T2570" s="34"/>
      <c r="U2570" s="34"/>
      <c r="V2570" s="255"/>
      <c r="W2570" s="34"/>
    </row>
    <row r="2571" spans="14:23">
      <c r="N2571" s="34"/>
      <c r="O2571" s="34"/>
      <c r="P2571" s="34"/>
      <c r="Q2571" s="34"/>
      <c r="R2571" s="34"/>
      <c r="S2571" s="34"/>
      <c r="T2571" s="34"/>
      <c r="U2571" s="34"/>
      <c r="V2571" s="255"/>
      <c r="W2571" s="34"/>
    </row>
    <row r="2572" spans="14:23">
      <c r="N2572" s="34"/>
      <c r="O2572" s="34"/>
      <c r="P2572" s="34"/>
      <c r="Q2572" s="34"/>
      <c r="R2572" s="34"/>
      <c r="S2572" s="34"/>
      <c r="T2572" s="34"/>
      <c r="U2572" s="34"/>
      <c r="V2572" s="255"/>
      <c r="W2572" s="34"/>
    </row>
    <row r="2573" spans="14:23">
      <c r="N2573" s="34"/>
      <c r="O2573" s="34"/>
      <c r="P2573" s="34"/>
      <c r="Q2573" s="34"/>
      <c r="R2573" s="34"/>
      <c r="S2573" s="34"/>
      <c r="T2573" s="34"/>
      <c r="U2573" s="34"/>
      <c r="V2573" s="255"/>
      <c r="W2573" s="34"/>
    </row>
    <row r="2574" spans="14:23">
      <c r="N2574" s="34"/>
      <c r="O2574" s="34"/>
      <c r="P2574" s="34"/>
      <c r="Q2574" s="34"/>
      <c r="R2574" s="34"/>
      <c r="S2574" s="34"/>
      <c r="T2574" s="34"/>
      <c r="U2574" s="34"/>
      <c r="V2574" s="255"/>
      <c r="W2574" s="34"/>
    </row>
    <row r="2575" spans="14:23">
      <c r="N2575" s="34"/>
      <c r="O2575" s="34"/>
      <c r="P2575" s="34"/>
      <c r="Q2575" s="34"/>
      <c r="R2575" s="34"/>
      <c r="S2575" s="34"/>
      <c r="T2575" s="34"/>
      <c r="U2575" s="34"/>
      <c r="V2575" s="255"/>
      <c r="W2575" s="34"/>
    </row>
    <row r="2576" spans="14:23">
      <c r="N2576" s="34"/>
      <c r="O2576" s="34"/>
      <c r="P2576" s="34"/>
      <c r="Q2576" s="34"/>
      <c r="R2576" s="34"/>
      <c r="S2576" s="34"/>
      <c r="T2576" s="34"/>
      <c r="U2576" s="34"/>
      <c r="V2576" s="255"/>
      <c r="W2576" s="34"/>
    </row>
    <row r="2577" spans="14:23">
      <c r="N2577" s="34"/>
      <c r="O2577" s="34"/>
      <c r="P2577" s="34"/>
      <c r="Q2577" s="34"/>
      <c r="R2577" s="34"/>
      <c r="S2577" s="34"/>
      <c r="T2577" s="34"/>
      <c r="U2577" s="34"/>
      <c r="V2577" s="255"/>
      <c r="W2577" s="34"/>
    </row>
    <row r="2578" spans="14:23">
      <c r="N2578" s="34"/>
      <c r="O2578" s="34"/>
      <c r="P2578" s="34"/>
      <c r="Q2578" s="34"/>
      <c r="R2578" s="34"/>
      <c r="S2578" s="34"/>
      <c r="T2578" s="34"/>
      <c r="U2578" s="34"/>
      <c r="V2578" s="255"/>
      <c r="W2578" s="34"/>
    </row>
    <row r="2579" spans="14:23">
      <c r="N2579" s="34"/>
      <c r="O2579" s="34"/>
      <c r="P2579" s="34"/>
      <c r="Q2579" s="34"/>
      <c r="R2579" s="34"/>
      <c r="S2579" s="34"/>
      <c r="T2579" s="34"/>
      <c r="U2579" s="34"/>
      <c r="V2579" s="255"/>
      <c r="W2579" s="34"/>
    </row>
    <row r="2580" spans="14:23">
      <c r="N2580" s="34"/>
      <c r="O2580" s="34"/>
      <c r="P2580" s="34"/>
      <c r="Q2580" s="34"/>
      <c r="R2580" s="34"/>
      <c r="S2580" s="34"/>
      <c r="T2580" s="34"/>
      <c r="U2580" s="34"/>
      <c r="V2580" s="255"/>
      <c r="W2580" s="34"/>
    </row>
    <row r="2581" spans="14:23">
      <c r="N2581" s="34"/>
      <c r="O2581" s="34"/>
      <c r="P2581" s="34"/>
      <c r="Q2581" s="34"/>
      <c r="R2581" s="34"/>
      <c r="S2581" s="34"/>
      <c r="T2581" s="34"/>
      <c r="U2581" s="34"/>
      <c r="V2581" s="255"/>
      <c r="W2581" s="34"/>
    </row>
    <row r="2582" spans="14:23">
      <c r="N2582" s="34"/>
      <c r="O2582" s="34"/>
      <c r="P2582" s="34"/>
      <c r="Q2582" s="34"/>
      <c r="R2582" s="34"/>
      <c r="S2582" s="34"/>
      <c r="T2582" s="34"/>
      <c r="U2582" s="34"/>
      <c r="V2582" s="255"/>
      <c r="W2582" s="34"/>
    </row>
    <row r="2583" spans="14:23">
      <c r="N2583" s="34"/>
      <c r="O2583" s="34"/>
      <c r="P2583" s="34"/>
      <c r="Q2583" s="34"/>
      <c r="R2583" s="34"/>
      <c r="S2583" s="34"/>
      <c r="T2583" s="34"/>
      <c r="U2583" s="34"/>
      <c r="V2583" s="255"/>
      <c r="W2583" s="34"/>
    </row>
    <row r="2584" spans="14:23">
      <c r="N2584" s="34"/>
      <c r="O2584" s="34"/>
      <c r="P2584" s="34"/>
      <c r="Q2584" s="34"/>
      <c r="R2584" s="34"/>
      <c r="S2584" s="34"/>
      <c r="T2584" s="34"/>
      <c r="U2584" s="34"/>
      <c r="V2584" s="255"/>
      <c r="W2584" s="34"/>
    </row>
    <row r="2585" spans="14:23">
      <c r="N2585" s="34"/>
      <c r="O2585" s="34"/>
      <c r="P2585" s="34"/>
      <c r="Q2585" s="34"/>
      <c r="R2585" s="34"/>
      <c r="S2585" s="34"/>
      <c r="T2585" s="34"/>
      <c r="U2585" s="34"/>
      <c r="V2585" s="255"/>
      <c r="W2585" s="34"/>
    </row>
    <row r="2586" spans="14:23">
      <c r="N2586" s="34"/>
      <c r="O2586" s="34"/>
      <c r="P2586" s="34"/>
      <c r="Q2586" s="34"/>
      <c r="R2586" s="34"/>
      <c r="S2586" s="34"/>
      <c r="T2586" s="34"/>
      <c r="U2586" s="34"/>
      <c r="V2586" s="255"/>
      <c r="W2586" s="34"/>
    </row>
    <row r="2587" spans="14:23">
      <c r="N2587" s="34"/>
      <c r="O2587" s="34"/>
      <c r="P2587" s="34"/>
      <c r="Q2587" s="34"/>
      <c r="R2587" s="34"/>
      <c r="S2587" s="34"/>
      <c r="T2587" s="34"/>
      <c r="U2587" s="34"/>
      <c r="V2587" s="255"/>
      <c r="W2587" s="34"/>
    </row>
    <row r="2588" spans="14:23">
      <c r="N2588" s="34"/>
      <c r="O2588" s="34"/>
      <c r="P2588" s="34"/>
      <c r="Q2588" s="34"/>
      <c r="R2588" s="34"/>
      <c r="S2588" s="34"/>
      <c r="T2588" s="34"/>
      <c r="U2588" s="34"/>
      <c r="V2588" s="255"/>
      <c r="W2588" s="34"/>
    </row>
    <row r="2589" spans="14:23">
      <c r="N2589" s="34"/>
      <c r="O2589" s="34"/>
      <c r="P2589" s="34"/>
      <c r="Q2589" s="34"/>
      <c r="R2589" s="34"/>
      <c r="S2589" s="34"/>
      <c r="T2589" s="34"/>
      <c r="U2589" s="34"/>
      <c r="V2589" s="255"/>
      <c r="W2589" s="34"/>
    </row>
    <row r="2590" spans="14:23">
      <c r="N2590" s="34"/>
      <c r="O2590" s="34"/>
      <c r="P2590" s="34"/>
      <c r="Q2590" s="34"/>
      <c r="R2590" s="34"/>
      <c r="S2590" s="34"/>
      <c r="T2590" s="34"/>
      <c r="U2590" s="34"/>
      <c r="V2590" s="255"/>
      <c r="W2590" s="34"/>
    </row>
    <row r="2591" spans="14:23">
      <c r="N2591" s="34"/>
      <c r="O2591" s="34"/>
      <c r="P2591" s="34"/>
      <c r="Q2591" s="34"/>
      <c r="R2591" s="34"/>
      <c r="S2591" s="34"/>
      <c r="T2591" s="34"/>
      <c r="U2591" s="34"/>
      <c r="V2591" s="255"/>
      <c r="W2591" s="34"/>
    </row>
    <row r="2592" spans="14:23">
      <c r="N2592" s="34"/>
      <c r="O2592" s="34"/>
      <c r="P2592" s="34"/>
      <c r="Q2592" s="34"/>
      <c r="R2592" s="34"/>
      <c r="S2592" s="34"/>
      <c r="T2592" s="34"/>
      <c r="U2592" s="34"/>
      <c r="V2592" s="255"/>
      <c r="W2592" s="34"/>
    </row>
    <row r="2593" spans="14:23">
      <c r="N2593" s="34"/>
      <c r="O2593" s="34"/>
      <c r="P2593" s="34"/>
      <c r="Q2593" s="34"/>
      <c r="R2593" s="34"/>
      <c r="S2593" s="34"/>
      <c r="T2593" s="34"/>
      <c r="U2593" s="34"/>
      <c r="V2593" s="255"/>
      <c r="W2593" s="34"/>
    </row>
    <row r="2594" spans="14:23">
      <c r="N2594" s="34"/>
      <c r="O2594" s="34"/>
      <c r="P2594" s="34"/>
      <c r="Q2594" s="34"/>
      <c r="R2594" s="34"/>
      <c r="S2594" s="34"/>
      <c r="T2594" s="34"/>
      <c r="U2594" s="34"/>
      <c r="V2594" s="255"/>
      <c r="W2594" s="34"/>
    </row>
    <row r="2595" spans="14:23">
      <c r="N2595" s="34"/>
      <c r="O2595" s="34"/>
      <c r="P2595" s="34"/>
      <c r="Q2595" s="34"/>
      <c r="R2595" s="34"/>
      <c r="S2595" s="34"/>
      <c r="T2595" s="34"/>
      <c r="U2595" s="34"/>
      <c r="V2595" s="255"/>
      <c r="W2595" s="34"/>
    </row>
    <row r="2596" spans="14:23">
      <c r="N2596" s="34"/>
      <c r="O2596" s="34"/>
      <c r="P2596" s="34"/>
      <c r="Q2596" s="34"/>
      <c r="R2596" s="34"/>
      <c r="S2596" s="34"/>
      <c r="T2596" s="34"/>
      <c r="U2596" s="34"/>
      <c r="V2596" s="255"/>
      <c r="W2596" s="34"/>
    </row>
    <row r="2597" spans="14:23">
      <c r="N2597" s="34"/>
      <c r="O2597" s="34"/>
      <c r="P2597" s="34"/>
      <c r="Q2597" s="34"/>
      <c r="R2597" s="34"/>
      <c r="S2597" s="34"/>
      <c r="T2597" s="34"/>
      <c r="U2597" s="34"/>
      <c r="V2597" s="255"/>
      <c r="W2597" s="34"/>
    </row>
    <row r="2598" spans="14:23">
      <c r="N2598" s="34"/>
      <c r="O2598" s="34"/>
      <c r="P2598" s="34"/>
      <c r="Q2598" s="34"/>
      <c r="R2598" s="34"/>
      <c r="S2598" s="34"/>
      <c r="T2598" s="34"/>
      <c r="U2598" s="34"/>
      <c r="V2598" s="255"/>
      <c r="W2598" s="34"/>
    </row>
    <row r="2599" spans="14:23">
      <c r="N2599" s="34"/>
      <c r="O2599" s="34"/>
      <c r="P2599" s="34"/>
      <c r="Q2599" s="34"/>
      <c r="R2599" s="34"/>
      <c r="S2599" s="34"/>
      <c r="T2599" s="34"/>
      <c r="U2599" s="34"/>
      <c r="V2599" s="255"/>
      <c r="W2599" s="34"/>
    </row>
    <row r="2600" spans="14:23">
      <c r="N2600" s="34"/>
      <c r="O2600" s="34"/>
      <c r="P2600" s="34"/>
      <c r="Q2600" s="34"/>
      <c r="R2600" s="34"/>
      <c r="S2600" s="34"/>
      <c r="T2600" s="34"/>
      <c r="U2600" s="34"/>
      <c r="V2600" s="255"/>
      <c r="W2600" s="34"/>
    </row>
    <row r="2601" spans="14:23">
      <c r="N2601" s="34"/>
      <c r="O2601" s="34"/>
      <c r="P2601" s="34"/>
      <c r="Q2601" s="34"/>
      <c r="R2601" s="34"/>
      <c r="S2601" s="34"/>
      <c r="T2601" s="34"/>
      <c r="U2601" s="34"/>
      <c r="V2601" s="255"/>
      <c r="W2601" s="34"/>
    </row>
    <row r="2602" spans="14:23">
      <c r="N2602" s="34"/>
      <c r="O2602" s="34"/>
      <c r="P2602" s="34"/>
      <c r="Q2602" s="34"/>
      <c r="R2602" s="34"/>
      <c r="S2602" s="34"/>
      <c r="T2602" s="34"/>
      <c r="U2602" s="34"/>
      <c r="V2602" s="255"/>
      <c r="W2602" s="34"/>
    </row>
    <row r="2603" spans="14:23">
      <c r="N2603" s="34"/>
      <c r="O2603" s="34"/>
      <c r="P2603" s="34"/>
      <c r="Q2603" s="34"/>
      <c r="R2603" s="34"/>
      <c r="S2603" s="34"/>
      <c r="T2603" s="34"/>
      <c r="U2603" s="34"/>
      <c r="V2603" s="255"/>
      <c r="W2603" s="34"/>
    </row>
    <row r="2604" spans="14:23">
      <c r="N2604" s="34"/>
      <c r="O2604" s="34"/>
      <c r="P2604" s="34"/>
      <c r="Q2604" s="34"/>
      <c r="R2604" s="34"/>
      <c r="S2604" s="34"/>
      <c r="T2604" s="34"/>
      <c r="U2604" s="34"/>
      <c r="V2604" s="255"/>
      <c r="W2604" s="34"/>
    </row>
    <row r="2605" spans="14:23">
      <c r="N2605" s="34"/>
      <c r="O2605" s="34"/>
      <c r="P2605" s="34"/>
      <c r="Q2605" s="34"/>
      <c r="R2605" s="34"/>
      <c r="S2605" s="34"/>
      <c r="T2605" s="34"/>
      <c r="U2605" s="34"/>
      <c r="V2605" s="255"/>
      <c r="W2605" s="34"/>
    </row>
    <row r="2606" spans="14:23">
      <c r="N2606" s="34"/>
      <c r="O2606" s="34"/>
      <c r="P2606" s="34"/>
      <c r="Q2606" s="34"/>
      <c r="R2606" s="34"/>
      <c r="S2606" s="34"/>
      <c r="T2606" s="34"/>
      <c r="U2606" s="34"/>
      <c r="V2606" s="255"/>
      <c r="W2606" s="34"/>
    </row>
    <row r="2607" spans="14:23">
      <c r="N2607" s="34"/>
      <c r="O2607" s="34"/>
      <c r="P2607" s="34"/>
      <c r="Q2607" s="34"/>
      <c r="R2607" s="34"/>
      <c r="S2607" s="34"/>
      <c r="T2607" s="34"/>
      <c r="U2607" s="34"/>
      <c r="V2607" s="255"/>
      <c r="W2607" s="34"/>
    </row>
    <row r="2608" spans="14:23">
      <c r="N2608" s="34"/>
      <c r="O2608" s="34"/>
      <c r="P2608" s="34"/>
      <c r="Q2608" s="34"/>
      <c r="R2608" s="34"/>
      <c r="S2608" s="34"/>
      <c r="T2608" s="34"/>
      <c r="U2608" s="34"/>
      <c r="V2608" s="255"/>
      <c r="W2608" s="34"/>
    </row>
    <row r="2609" spans="14:23">
      <c r="N2609" s="34"/>
      <c r="O2609" s="34"/>
      <c r="P2609" s="34"/>
      <c r="Q2609" s="34"/>
      <c r="R2609" s="34"/>
      <c r="S2609" s="34"/>
      <c r="T2609" s="34"/>
      <c r="U2609" s="34"/>
      <c r="V2609" s="255"/>
      <c r="W2609" s="34"/>
    </row>
    <row r="2610" spans="14:23">
      <c r="N2610" s="34"/>
      <c r="O2610" s="34"/>
      <c r="P2610" s="34"/>
      <c r="Q2610" s="34"/>
      <c r="R2610" s="34"/>
      <c r="S2610" s="34"/>
      <c r="T2610" s="34"/>
      <c r="U2610" s="34"/>
      <c r="V2610" s="255"/>
      <c r="W2610" s="34"/>
    </row>
    <row r="2611" spans="14:23">
      <c r="N2611" s="34"/>
      <c r="O2611" s="34"/>
      <c r="P2611" s="34"/>
      <c r="Q2611" s="34"/>
      <c r="R2611" s="34"/>
      <c r="S2611" s="34"/>
      <c r="T2611" s="34"/>
      <c r="U2611" s="34"/>
      <c r="V2611" s="255"/>
      <c r="W2611" s="34"/>
    </row>
    <row r="2612" spans="14:23">
      <c r="N2612" s="34"/>
      <c r="O2612" s="34"/>
      <c r="P2612" s="34"/>
      <c r="Q2612" s="34"/>
      <c r="R2612" s="34"/>
      <c r="S2612" s="34"/>
      <c r="T2612" s="34"/>
      <c r="U2612" s="34"/>
      <c r="V2612" s="255"/>
      <c r="W2612" s="34"/>
    </row>
    <row r="2613" spans="14:23">
      <c r="N2613" s="34"/>
      <c r="O2613" s="34"/>
      <c r="P2613" s="34"/>
      <c r="Q2613" s="34"/>
      <c r="R2613" s="34"/>
      <c r="S2613" s="34"/>
      <c r="T2613" s="34"/>
      <c r="U2613" s="34"/>
      <c r="V2613" s="255"/>
      <c r="W2613" s="34"/>
    </row>
    <row r="2614" spans="14:23">
      <c r="N2614" s="34"/>
      <c r="O2614" s="34"/>
      <c r="P2614" s="34"/>
      <c r="Q2614" s="34"/>
      <c r="R2614" s="34"/>
      <c r="S2614" s="34"/>
      <c r="T2614" s="34"/>
      <c r="U2614" s="34"/>
      <c r="V2614" s="255"/>
      <c r="W2614" s="34"/>
    </row>
    <row r="2615" spans="14:23">
      <c r="N2615" s="34"/>
      <c r="O2615" s="34"/>
      <c r="P2615" s="34"/>
      <c r="Q2615" s="34"/>
      <c r="R2615" s="34"/>
      <c r="S2615" s="34"/>
      <c r="T2615" s="34"/>
      <c r="U2615" s="34"/>
      <c r="V2615" s="255"/>
      <c r="W2615" s="34"/>
    </row>
    <row r="2616" spans="14:23">
      <c r="N2616" s="34"/>
      <c r="O2616" s="34"/>
      <c r="P2616" s="34"/>
      <c r="Q2616" s="34"/>
      <c r="R2616" s="34"/>
      <c r="S2616" s="34"/>
      <c r="T2616" s="34"/>
      <c r="U2616" s="34"/>
      <c r="V2616" s="255"/>
      <c r="W2616" s="34"/>
    </row>
    <row r="2617" spans="14:23">
      <c r="N2617" s="34"/>
      <c r="O2617" s="34"/>
      <c r="P2617" s="34"/>
      <c r="Q2617" s="34"/>
      <c r="R2617" s="34"/>
      <c r="S2617" s="34"/>
      <c r="T2617" s="34"/>
      <c r="U2617" s="34"/>
      <c r="V2617" s="255"/>
      <c r="W2617" s="34"/>
    </row>
    <row r="2618" spans="14:23">
      <c r="N2618" s="34"/>
      <c r="O2618" s="34"/>
      <c r="P2618" s="34"/>
      <c r="Q2618" s="34"/>
      <c r="R2618" s="34"/>
      <c r="S2618" s="34"/>
      <c r="T2618" s="34"/>
      <c r="U2618" s="34"/>
      <c r="V2618" s="255"/>
      <c r="W2618" s="34"/>
    </row>
    <row r="2619" spans="14:23">
      <c r="N2619" s="34"/>
      <c r="O2619" s="34"/>
      <c r="P2619" s="34"/>
      <c r="Q2619" s="34"/>
      <c r="R2619" s="34"/>
      <c r="S2619" s="34"/>
      <c r="T2619" s="34"/>
      <c r="U2619" s="34"/>
      <c r="V2619" s="255"/>
      <c r="W2619" s="34"/>
    </row>
    <row r="2620" spans="14:23">
      <c r="N2620" s="34"/>
      <c r="O2620" s="34"/>
      <c r="P2620" s="34"/>
      <c r="Q2620" s="34"/>
      <c r="R2620" s="34"/>
      <c r="S2620" s="34"/>
      <c r="T2620" s="34"/>
      <c r="U2620" s="34"/>
      <c r="V2620" s="255"/>
      <c r="W2620" s="34"/>
    </row>
    <row r="2621" spans="14:23">
      <c r="N2621" s="34"/>
      <c r="O2621" s="34"/>
      <c r="P2621" s="34"/>
      <c r="Q2621" s="34"/>
      <c r="R2621" s="34"/>
      <c r="S2621" s="34"/>
      <c r="T2621" s="34"/>
      <c r="U2621" s="34"/>
      <c r="V2621" s="255"/>
      <c r="W2621" s="34"/>
    </row>
    <row r="2622" spans="14:23">
      <c r="N2622" s="34"/>
      <c r="O2622" s="34"/>
      <c r="P2622" s="34"/>
      <c r="Q2622" s="34"/>
      <c r="R2622" s="34"/>
      <c r="S2622" s="34"/>
      <c r="T2622" s="34"/>
      <c r="U2622" s="34"/>
      <c r="V2622" s="255"/>
      <c r="W2622" s="34"/>
    </row>
    <row r="2623" spans="14:23">
      <c r="N2623" s="34"/>
      <c r="O2623" s="34"/>
      <c r="P2623" s="34"/>
      <c r="Q2623" s="34"/>
      <c r="R2623" s="34"/>
      <c r="S2623" s="34"/>
      <c r="T2623" s="34"/>
      <c r="U2623" s="34"/>
      <c r="V2623" s="255"/>
      <c r="W2623" s="34"/>
    </row>
    <row r="2624" spans="14:23">
      <c r="N2624" s="34"/>
      <c r="O2624" s="34"/>
      <c r="P2624" s="34"/>
      <c r="Q2624" s="34"/>
      <c r="R2624" s="34"/>
      <c r="S2624" s="34"/>
      <c r="T2624" s="34"/>
      <c r="U2624" s="34"/>
      <c r="V2624" s="255"/>
      <c r="W2624" s="34"/>
    </row>
    <row r="2625" spans="14:23">
      <c r="N2625" s="34"/>
      <c r="O2625" s="34"/>
      <c r="P2625" s="34"/>
      <c r="Q2625" s="34"/>
      <c r="R2625" s="34"/>
      <c r="S2625" s="34"/>
      <c r="T2625" s="34"/>
      <c r="U2625" s="34"/>
      <c r="V2625" s="255"/>
      <c r="W2625" s="34"/>
    </row>
    <row r="2626" spans="14:23">
      <c r="N2626" s="34"/>
      <c r="O2626" s="34"/>
      <c r="P2626" s="34"/>
      <c r="Q2626" s="34"/>
      <c r="R2626" s="34"/>
      <c r="S2626" s="34"/>
      <c r="T2626" s="34"/>
      <c r="U2626" s="34"/>
      <c r="V2626" s="255"/>
      <c r="W2626" s="34"/>
    </row>
    <row r="2627" spans="14:23">
      <c r="N2627" s="34"/>
      <c r="O2627" s="34"/>
      <c r="P2627" s="34"/>
      <c r="Q2627" s="34"/>
      <c r="R2627" s="34"/>
      <c r="S2627" s="34"/>
      <c r="T2627" s="34"/>
      <c r="U2627" s="34"/>
      <c r="V2627" s="255"/>
      <c r="W2627" s="34"/>
    </row>
    <row r="2628" spans="14:23">
      <c r="N2628" s="34"/>
      <c r="O2628" s="34"/>
      <c r="P2628" s="34"/>
      <c r="Q2628" s="34"/>
      <c r="R2628" s="34"/>
      <c r="S2628" s="34"/>
      <c r="T2628" s="34"/>
      <c r="U2628" s="34"/>
      <c r="V2628" s="255"/>
      <c r="W2628" s="34"/>
    </row>
    <row r="2629" spans="14:23">
      <c r="N2629" s="34"/>
      <c r="O2629" s="34"/>
      <c r="P2629" s="34"/>
      <c r="Q2629" s="34"/>
      <c r="R2629" s="34"/>
      <c r="S2629" s="34"/>
      <c r="T2629" s="34"/>
      <c r="U2629" s="34"/>
      <c r="V2629" s="255"/>
      <c r="W2629" s="34"/>
    </row>
    <row r="2630" spans="14:23">
      <c r="N2630" s="34"/>
      <c r="O2630" s="34"/>
      <c r="P2630" s="34"/>
      <c r="Q2630" s="34"/>
      <c r="R2630" s="34"/>
      <c r="S2630" s="34"/>
      <c r="T2630" s="34"/>
      <c r="U2630" s="34"/>
      <c r="V2630" s="255"/>
      <c r="W2630" s="34"/>
    </row>
    <row r="2631" spans="14:23">
      <c r="N2631" s="34"/>
      <c r="O2631" s="34"/>
      <c r="P2631" s="34"/>
      <c r="Q2631" s="34"/>
      <c r="R2631" s="34"/>
      <c r="S2631" s="34"/>
      <c r="T2631" s="34"/>
      <c r="U2631" s="34"/>
      <c r="V2631" s="255"/>
      <c r="W2631" s="34"/>
    </row>
    <row r="2632" spans="14:23">
      <c r="N2632" s="34"/>
      <c r="O2632" s="34"/>
      <c r="P2632" s="34"/>
      <c r="Q2632" s="34"/>
      <c r="R2632" s="34"/>
      <c r="S2632" s="34"/>
      <c r="T2632" s="34"/>
      <c r="U2632" s="34"/>
      <c r="V2632" s="255"/>
      <c r="W2632" s="34"/>
    </row>
    <row r="2633" spans="14:23">
      <c r="N2633" s="34"/>
      <c r="O2633" s="34"/>
      <c r="P2633" s="34"/>
      <c r="Q2633" s="34"/>
      <c r="R2633" s="34"/>
      <c r="S2633" s="34"/>
      <c r="T2633" s="34"/>
      <c r="U2633" s="34"/>
      <c r="V2633" s="255"/>
      <c r="W2633" s="34"/>
    </row>
    <row r="2634" spans="14:23">
      <c r="N2634" s="34"/>
      <c r="O2634" s="34"/>
      <c r="P2634" s="34"/>
      <c r="Q2634" s="34"/>
      <c r="R2634" s="34"/>
      <c r="S2634" s="34"/>
      <c r="T2634" s="34"/>
      <c r="U2634" s="34"/>
      <c r="V2634" s="255"/>
      <c r="W2634" s="34"/>
    </row>
    <row r="2635" spans="14:23">
      <c r="N2635" s="34"/>
      <c r="O2635" s="34"/>
      <c r="P2635" s="34"/>
      <c r="Q2635" s="34"/>
      <c r="R2635" s="34"/>
      <c r="S2635" s="34"/>
      <c r="T2635" s="34"/>
      <c r="U2635" s="34"/>
      <c r="V2635" s="255"/>
      <c r="W2635" s="34"/>
    </row>
    <row r="2636" spans="14:23">
      <c r="N2636" s="34"/>
      <c r="O2636" s="34"/>
      <c r="P2636" s="34"/>
      <c r="Q2636" s="34"/>
      <c r="R2636" s="34"/>
      <c r="S2636" s="34"/>
      <c r="T2636" s="34"/>
      <c r="U2636" s="34"/>
      <c r="V2636" s="255"/>
      <c r="W2636" s="34"/>
    </row>
    <row r="2637" spans="14:23">
      <c r="N2637" s="34"/>
      <c r="O2637" s="34"/>
      <c r="P2637" s="34"/>
      <c r="Q2637" s="34"/>
      <c r="R2637" s="34"/>
      <c r="S2637" s="34"/>
      <c r="T2637" s="34"/>
      <c r="U2637" s="34"/>
      <c r="V2637" s="255"/>
      <c r="W2637" s="34"/>
    </row>
    <row r="2638" spans="14:23">
      <c r="N2638" s="34"/>
      <c r="O2638" s="34"/>
      <c r="P2638" s="34"/>
      <c r="Q2638" s="34"/>
      <c r="R2638" s="34"/>
      <c r="S2638" s="34"/>
      <c r="T2638" s="34"/>
      <c r="U2638" s="34"/>
      <c r="V2638" s="255"/>
      <c r="W2638" s="34"/>
    </row>
    <row r="2639" spans="14:23">
      <c r="N2639" s="34"/>
      <c r="O2639" s="34"/>
      <c r="P2639" s="34"/>
      <c r="Q2639" s="34"/>
      <c r="R2639" s="34"/>
      <c r="S2639" s="34"/>
      <c r="T2639" s="34"/>
      <c r="U2639" s="34"/>
      <c r="V2639" s="255"/>
      <c r="W2639" s="34"/>
    </row>
    <row r="2640" spans="14:23">
      <c r="N2640" s="34"/>
      <c r="O2640" s="34"/>
      <c r="P2640" s="34"/>
      <c r="Q2640" s="34"/>
      <c r="R2640" s="34"/>
      <c r="S2640" s="34"/>
      <c r="T2640" s="34"/>
      <c r="U2640" s="34"/>
      <c r="V2640" s="255"/>
      <c r="W2640" s="34"/>
    </row>
    <row r="2641" spans="14:23">
      <c r="N2641" s="34"/>
      <c r="O2641" s="34"/>
      <c r="P2641" s="34"/>
      <c r="Q2641" s="34"/>
      <c r="R2641" s="34"/>
      <c r="S2641" s="34"/>
      <c r="T2641" s="34"/>
      <c r="U2641" s="34"/>
      <c r="V2641" s="255"/>
      <c r="W2641" s="34"/>
    </row>
    <row r="2642" spans="14:23">
      <c r="N2642" s="34"/>
      <c r="O2642" s="34"/>
      <c r="P2642" s="34"/>
      <c r="Q2642" s="34"/>
      <c r="R2642" s="34"/>
      <c r="S2642" s="34"/>
      <c r="T2642" s="34"/>
      <c r="U2642" s="34"/>
      <c r="V2642" s="255"/>
      <c r="W2642" s="34"/>
    </row>
    <row r="2643" spans="14:23">
      <c r="N2643" s="34"/>
      <c r="O2643" s="34"/>
      <c r="P2643" s="34"/>
      <c r="Q2643" s="34"/>
      <c r="R2643" s="34"/>
      <c r="S2643" s="34"/>
      <c r="T2643" s="34"/>
      <c r="U2643" s="34"/>
      <c r="V2643" s="255"/>
      <c r="W2643" s="34"/>
    </row>
    <row r="2644" spans="14:23">
      <c r="N2644" s="34"/>
      <c r="O2644" s="34"/>
      <c r="P2644" s="34"/>
      <c r="Q2644" s="34"/>
      <c r="R2644" s="34"/>
      <c r="S2644" s="34"/>
      <c r="T2644" s="34"/>
      <c r="U2644" s="34"/>
      <c r="V2644" s="255"/>
      <c r="W2644" s="34"/>
    </row>
    <row r="2645" spans="14:23">
      <c r="N2645" s="34"/>
      <c r="O2645" s="34"/>
      <c r="P2645" s="34"/>
      <c r="Q2645" s="34"/>
      <c r="R2645" s="34"/>
      <c r="S2645" s="34"/>
      <c r="T2645" s="34"/>
      <c r="U2645" s="34"/>
      <c r="V2645" s="255"/>
      <c r="W2645" s="34"/>
    </row>
    <row r="2646" spans="14:23">
      <c r="N2646" s="34"/>
      <c r="O2646" s="34"/>
      <c r="P2646" s="34"/>
      <c r="Q2646" s="34"/>
      <c r="R2646" s="34"/>
      <c r="S2646" s="34"/>
      <c r="T2646" s="34"/>
      <c r="U2646" s="34"/>
      <c r="V2646" s="255"/>
      <c r="W2646" s="34"/>
    </row>
    <row r="2647" spans="14:23">
      <c r="N2647" s="34"/>
      <c r="O2647" s="34"/>
      <c r="P2647" s="34"/>
      <c r="Q2647" s="34"/>
      <c r="R2647" s="34"/>
      <c r="S2647" s="34"/>
      <c r="T2647" s="34"/>
      <c r="U2647" s="34"/>
      <c r="V2647" s="255"/>
      <c r="W2647" s="34"/>
    </row>
    <row r="2648" spans="14:23">
      <c r="N2648" s="34"/>
      <c r="O2648" s="34"/>
      <c r="P2648" s="34"/>
      <c r="Q2648" s="34"/>
      <c r="R2648" s="34"/>
      <c r="S2648" s="34"/>
      <c r="T2648" s="34"/>
      <c r="U2648" s="34"/>
      <c r="V2648" s="255"/>
      <c r="W2648" s="34"/>
    </row>
    <row r="2649" spans="14:23">
      <c r="N2649" s="34"/>
      <c r="O2649" s="34"/>
      <c r="P2649" s="34"/>
      <c r="Q2649" s="34"/>
      <c r="R2649" s="34"/>
      <c r="S2649" s="34"/>
      <c r="T2649" s="34"/>
      <c r="U2649" s="34"/>
      <c r="V2649" s="255"/>
      <c r="W2649" s="34"/>
    </row>
    <row r="2650" spans="14:23">
      <c r="N2650" s="34"/>
      <c r="O2650" s="34"/>
      <c r="P2650" s="34"/>
      <c r="Q2650" s="34"/>
      <c r="R2650" s="34"/>
      <c r="S2650" s="34"/>
      <c r="T2650" s="34"/>
      <c r="U2650" s="34"/>
      <c r="V2650" s="255"/>
      <c r="W2650" s="34"/>
    </row>
    <row r="2651" spans="14:23">
      <c r="N2651" s="34"/>
      <c r="O2651" s="34"/>
      <c r="P2651" s="34"/>
      <c r="Q2651" s="34"/>
      <c r="R2651" s="34"/>
      <c r="S2651" s="34"/>
      <c r="T2651" s="34"/>
      <c r="U2651" s="34"/>
      <c r="V2651" s="255"/>
      <c r="W2651" s="34"/>
    </row>
    <row r="2652" spans="14:23">
      <c r="N2652" s="34"/>
      <c r="O2652" s="34"/>
      <c r="P2652" s="34"/>
      <c r="Q2652" s="34"/>
      <c r="R2652" s="34"/>
      <c r="S2652" s="34"/>
      <c r="T2652" s="34"/>
      <c r="U2652" s="34"/>
      <c r="V2652" s="255"/>
      <c r="W2652" s="34"/>
    </row>
    <row r="2653" spans="14:23">
      <c r="N2653" s="34"/>
      <c r="O2653" s="34"/>
      <c r="P2653" s="34"/>
      <c r="Q2653" s="34"/>
      <c r="R2653" s="34"/>
      <c r="S2653" s="34"/>
      <c r="T2653" s="34"/>
      <c r="U2653" s="34"/>
      <c r="V2653" s="255"/>
      <c r="W2653" s="34"/>
    </row>
    <row r="2654" spans="14:23">
      <c r="N2654" s="34"/>
      <c r="O2654" s="34"/>
      <c r="P2654" s="34"/>
      <c r="Q2654" s="34"/>
      <c r="R2654" s="34"/>
      <c r="S2654" s="34"/>
      <c r="T2654" s="34"/>
      <c r="U2654" s="34"/>
      <c r="V2654" s="255"/>
      <c r="W2654" s="34"/>
    </row>
    <row r="2655" spans="14:23">
      <c r="N2655" s="34"/>
      <c r="O2655" s="34"/>
      <c r="P2655" s="34"/>
      <c r="Q2655" s="34"/>
      <c r="R2655" s="34"/>
      <c r="S2655" s="34"/>
      <c r="T2655" s="34"/>
      <c r="U2655" s="34"/>
      <c r="V2655" s="255"/>
      <c r="W2655" s="34"/>
    </row>
    <row r="2656" spans="14:23">
      <c r="N2656" s="34"/>
      <c r="O2656" s="34"/>
      <c r="P2656" s="34"/>
      <c r="Q2656" s="34"/>
      <c r="R2656" s="34"/>
      <c r="S2656" s="34"/>
      <c r="T2656" s="34"/>
      <c r="U2656" s="34"/>
      <c r="V2656" s="255"/>
      <c r="W2656" s="34"/>
    </row>
    <row r="2657" spans="14:23">
      <c r="N2657" s="34"/>
      <c r="O2657" s="34"/>
      <c r="P2657" s="34"/>
      <c r="Q2657" s="34"/>
      <c r="R2657" s="34"/>
      <c r="S2657" s="34"/>
      <c r="T2657" s="34"/>
      <c r="U2657" s="34"/>
      <c r="V2657" s="255"/>
      <c r="W2657" s="34"/>
    </row>
    <row r="2658" spans="14:23">
      <c r="N2658" s="34"/>
      <c r="O2658" s="34"/>
      <c r="P2658" s="34"/>
      <c r="Q2658" s="34"/>
      <c r="R2658" s="34"/>
      <c r="S2658" s="34"/>
      <c r="T2658" s="34"/>
      <c r="U2658" s="34"/>
      <c r="V2658" s="255"/>
      <c r="W2658" s="34"/>
    </row>
    <row r="2659" spans="14:23">
      <c r="N2659" s="34"/>
      <c r="O2659" s="34"/>
      <c r="P2659" s="34"/>
      <c r="Q2659" s="34"/>
      <c r="R2659" s="34"/>
      <c r="S2659" s="34"/>
      <c r="T2659" s="34"/>
      <c r="U2659" s="34"/>
      <c r="V2659" s="255"/>
      <c r="W2659" s="34"/>
    </row>
    <row r="2660" spans="14:23">
      <c r="N2660" s="34"/>
      <c r="O2660" s="34"/>
      <c r="P2660" s="34"/>
      <c r="Q2660" s="34"/>
      <c r="R2660" s="34"/>
      <c r="S2660" s="34"/>
      <c r="T2660" s="34"/>
      <c r="U2660" s="34"/>
      <c r="V2660" s="255"/>
      <c r="W2660" s="34"/>
    </row>
    <row r="2661" spans="14:23">
      <c r="N2661" s="34"/>
      <c r="O2661" s="34"/>
      <c r="P2661" s="34"/>
      <c r="Q2661" s="34"/>
      <c r="R2661" s="34"/>
      <c r="S2661" s="34"/>
      <c r="T2661" s="34"/>
      <c r="U2661" s="34"/>
      <c r="V2661" s="255"/>
      <c r="W2661" s="34"/>
    </row>
    <row r="2662" spans="14:23">
      <c r="N2662" s="34"/>
      <c r="O2662" s="34"/>
      <c r="P2662" s="34"/>
      <c r="Q2662" s="34"/>
      <c r="R2662" s="34"/>
      <c r="S2662" s="34"/>
      <c r="T2662" s="34"/>
      <c r="U2662" s="34"/>
      <c r="V2662" s="255"/>
      <c r="W2662" s="34"/>
    </row>
    <row r="2663" spans="14:23">
      <c r="N2663" s="34"/>
      <c r="O2663" s="34"/>
      <c r="P2663" s="34"/>
      <c r="Q2663" s="34"/>
      <c r="R2663" s="34"/>
      <c r="S2663" s="34"/>
      <c r="T2663" s="34"/>
      <c r="U2663" s="34"/>
      <c r="V2663" s="255"/>
      <c r="W2663" s="34"/>
    </row>
    <row r="2664" spans="14:23">
      <c r="N2664" s="34"/>
      <c r="O2664" s="34"/>
      <c r="P2664" s="34"/>
      <c r="Q2664" s="34"/>
      <c r="R2664" s="34"/>
      <c r="S2664" s="34"/>
      <c r="T2664" s="34"/>
      <c r="U2664" s="34"/>
      <c r="V2664" s="255"/>
      <c r="W2664" s="34"/>
    </row>
    <row r="2665" spans="14:23">
      <c r="N2665" s="34"/>
      <c r="O2665" s="34"/>
      <c r="P2665" s="34"/>
      <c r="Q2665" s="34"/>
      <c r="R2665" s="34"/>
      <c r="S2665" s="34"/>
      <c r="T2665" s="34"/>
      <c r="U2665" s="34"/>
      <c r="V2665" s="255"/>
      <c r="W2665" s="34"/>
    </row>
    <row r="2666" spans="14:23">
      <c r="N2666" s="34"/>
      <c r="O2666" s="34"/>
      <c r="P2666" s="34"/>
      <c r="Q2666" s="34"/>
      <c r="R2666" s="34"/>
      <c r="S2666" s="34"/>
      <c r="T2666" s="34"/>
      <c r="U2666" s="34"/>
      <c r="V2666" s="255"/>
      <c r="W2666" s="34"/>
    </row>
    <row r="2667" spans="14:23">
      <c r="N2667" s="34"/>
      <c r="O2667" s="34"/>
      <c r="P2667" s="34"/>
      <c r="Q2667" s="34"/>
      <c r="R2667" s="34"/>
      <c r="S2667" s="34"/>
      <c r="T2667" s="34"/>
      <c r="U2667" s="34"/>
      <c r="V2667" s="255"/>
      <c r="W2667" s="34"/>
    </row>
    <row r="2668" spans="14:23">
      <c r="N2668" s="34"/>
      <c r="O2668" s="34"/>
      <c r="P2668" s="34"/>
      <c r="Q2668" s="34"/>
      <c r="R2668" s="34"/>
      <c r="S2668" s="34"/>
      <c r="T2668" s="34"/>
      <c r="U2668" s="34"/>
      <c r="V2668" s="255"/>
      <c r="W2668" s="34"/>
    </row>
    <row r="2669" spans="14:23">
      <c r="N2669" s="34"/>
      <c r="O2669" s="34"/>
      <c r="P2669" s="34"/>
      <c r="Q2669" s="34"/>
      <c r="R2669" s="34"/>
      <c r="S2669" s="34"/>
      <c r="T2669" s="34"/>
      <c r="U2669" s="34"/>
      <c r="V2669" s="255"/>
      <c r="W2669" s="34"/>
    </row>
    <row r="2670" spans="14:23">
      <c r="N2670" s="34"/>
      <c r="O2670" s="34"/>
      <c r="P2670" s="34"/>
      <c r="Q2670" s="34"/>
      <c r="R2670" s="34"/>
      <c r="S2670" s="34"/>
      <c r="T2670" s="34"/>
      <c r="U2670" s="34"/>
      <c r="V2670" s="255"/>
      <c r="W2670" s="34"/>
    </row>
    <row r="2671" spans="14:23">
      <c r="N2671" s="34"/>
      <c r="O2671" s="34"/>
      <c r="P2671" s="34"/>
      <c r="Q2671" s="34"/>
      <c r="R2671" s="34"/>
      <c r="S2671" s="34"/>
      <c r="T2671" s="34"/>
      <c r="U2671" s="34"/>
      <c r="V2671" s="255"/>
      <c r="W2671" s="34"/>
    </row>
    <row r="2672" spans="14:23">
      <c r="N2672" s="34"/>
      <c r="O2672" s="34"/>
      <c r="P2672" s="34"/>
      <c r="Q2672" s="34"/>
      <c r="R2672" s="34"/>
      <c r="S2672" s="34"/>
      <c r="T2672" s="34"/>
      <c r="U2672" s="34"/>
      <c r="V2672" s="255"/>
      <c r="W2672" s="34"/>
    </row>
    <row r="2673" spans="14:23">
      <c r="N2673" s="34"/>
      <c r="O2673" s="34"/>
      <c r="P2673" s="34"/>
      <c r="Q2673" s="34"/>
      <c r="R2673" s="34"/>
      <c r="S2673" s="34"/>
      <c r="T2673" s="34"/>
      <c r="U2673" s="34"/>
      <c r="V2673" s="255"/>
      <c r="W2673" s="34"/>
    </row>
    <row r="2674" spans="14:23">
      <c r="N2674" s="34"/>
      <c r="O2674" s="34"/>
      <c r="P2674" s="34"/>
      <c r="Q2674" s="34"/>
      <c r="R2674" s="34"/>
      <c r="S2674" s="34"/>
      <c r="T2674" s="34"/>
      <c r="U2674" s="34"/>
      <c r="V2674" s="255"/>
      <c r="W2674" s="34"/>
    </row>
    <row r="2675" spans="14:23">
      <c r="N2675" s="34"/>
      <c r="O2675" s="34"/>
      <c r="P2675" s="34"/>
      <c r="Q2675" s="34"/>
      <c r="R2675" s="34"/>
      <c r="S2675" s="34"/>
      <c r="T2675" s="34"/>
      <c r="U2675" s="34"/>
      <c r="V2675" s="255"/>
      <c r="W2675" s="34"/>
    </row>
    <row r="2676" spans="14:23">
      <c r="N2676" s="34"/>
      <c r="O2676" s="34"/>
      <c r="P2676" s="34"/>
      <c r="Q2676" s="34"/>
      <c r="R2676" s="34"/>
      <c r="S2676" s="34"/>
      <c r="T2676" s="34"/>
      <c r="U2676" s="34"/>
      <c r="V2676" s="255"/>
      <c r="W2676" s="34"/>
    </row>
    <row r="2677" spans="14:23">
      <c r="N2677" s="34"/>
      <c r="O2677" s="34"/>
      <c r="P2677" s="34"/>
      <c r="Q2677" s="34"/>
      <c r="R2677" s="34"/>
      <c r="S2677" s="34"/>
      <c r="T2677" s="34"/>
      <c r="U2677" s="34"/>
      <c r="V2677" s="255"/>
      <c r="W2677" s="34"/>
    </row>
    <row r="2678" spans="14:23">
      <c r="N2678" s="34"/>
      <c r="O2678" s="34"/>
      <c r="P2678" s="34"/>
      <c r="Q2678" s="34"/>
      <c r="R2678" s="34"/>
      <c r="S2678" s="34"/>
      <c r="T2678" s="34"/>
      <c r="U2678" s="34"/>
      <c r="V2678" s="255"/>
      <c r="W2678" s="34"/>
    </row>
    <row r="2679" spans="14:23">
      <c r="N2679" s="34"/>
      <c r="O2679" s="34"/>
      <c r="P2679" s="34"/>
      <c r="Q2679" s="34"/>
      <c r="R2679" s="34"/>
      <c r="S2679" s="34"/>
      <c r="T2679" s="34"/>
      <c r="U2679" s="34"/>
      <c r="V2679" s="255"/>
      <c r="W2679" s="34"/>
    </row>
    <row r="2680" spans="14:23">
      <c r="N2680" s="34"/>
      <c r="O2680" s="34"/>
      <c r="P2680" s="34"/>
      <c r="Q2680" s="34"/>
      <c r="R2680" s="34"/>
      <c r="S2680" s="34"/>
      <c r="T2680" s="34"/>
      <c r="U2680" s="34"/>
      <c r="V2680" s="255"/>
      <c r="W2680" s="34"/>
    </row>
    <row r="2681" spans="14:23">
      <c r="N2681" s="34"/>
      <c r="O2681" s="34"/>
      <c r="P2681" s="34"/>
      <c r="Q2681" s="34"/>
      <c r="R2681" s="34"/>
      <c r="S2681" s="34"/>
      <c r="T2681" s="34"/>
      <c r="U2681" s="34"/>
      <c r="V2681" s="255"/>
      <c r="W2681" s="34"/>
    </row>
    <row r="2682" spans="14:23">
      <c r="N2682" s="34"/>
      <c r="O2682" s="34"/>
      <c r="P2682" s="34"/>
      <c r="Q2682" s="34"/>
      <c r="R2682" s="34"/>
      <c r="S2682" s="34"/>
      <c r="T2682" s="34"/>
      <c r="U2682" s="34"/>
      <c r="V2682" s="255"/>
      <c r="W2682" s="34"/>
    </row>
    <row r="2683" spans="14:23">
      <c r="N2683" s="34"/>
      <c r="O2683" s="34"/>
      <c r="P2683" s="34"/>
      <c r="Q2683" s="34"/>
      <c r="R2683" s="34"/>
      <c r="S2683" s="34"/>
      <c r="T2683" s="34"/>
      <c r="U2683" s="34"/>
      <c r="V2683" s="255"/>
      <c r="W2683" s="34"/>
    </row>
    <row r="2684" spans="14:23">
      <c r="N2684" s="34"/>
      <c r="O2684" s="34"/>
      <c r="P2684" s="34"/>
      <c r="Q2684" s="34"/>
      <c r="R2684" s="34"/>
      <c r="S2684" s="34"/>
      <c r="T2684" s="34"/>
      <c r="U2684" s="34"/>
      <c r="V2684" s="255"/>
      <c r="W2684" s="34"/>
    </row>
    <row r="2685" spans="14:23">
      <c r="N2685" s="34"/>
      <c r="O2685" s="34"/>
      <c r="P2685" s="34"/>
      <c r="Q2685" s="34"/>
      <c r="R2685" s="34"/>
      <c r="S2685" s="34"/>
      <c r="T2685" s="34"/>
      <c r="U2685" s="34"/>
      <c r="V2685" s="255"/>
      <c r="W2685" s="34"/>
    </row>
    <row r="2686" spans="14:23">
      <c r="N2686" s="34"/>
      <c r="O2686" s="34"/>
      <c r="P2686" s="34"/>
      <c r="Q2686" s="34"/>
      <c r="R2686" s="34"/>
      <c r="S2686" s="34"/>
      <c r="T2686" s="34"/>
      <c r="U2686" s="34"/>
      <c r="V2686" s="255"/>
      <c r="W2686" s="34"/>
    </row>
    <row r="2687" spans="14:23">
      <c r="N2687" s="34"/>
      <c r="O2687" s="34"/>
      <c r="P2687" s="34"/>
      <c r="Q2687" s="34"/>
      <c r="R2687" s="34"/>
      <c r="S2687" s="34"/>
      <c r="T2687" s="34"/>
      <c r="U2687" s="34"/>
      <c r="V2687" s="255"/>
      <c r="W2687" s="34"/>
    </row>
    <row r="2688" spans="14:23">
      <c r="N2688" s="34"/>
      <c r="O2688" s="34"/>
      <c r="P2688" s="34"/>
      <c r="Q2688" s="34"/>
      <c r="R2688" s="34"/>
      <c r="S2688" s="34"/>
      <c r="T2688" s="34"/>
      <c r="U2688" s="34"/>
      <c r="V2688" s="255"/>
      <c r="W2688" s="34"/>
    </row>
    <row r="2689" spans="14:23">
      <c r="N2689" s="34"/>
      <c r="O2689" s="34"/>
      <c r="P2689" s="34"/>
      <c r="Q2689" s="34"/>
      <c r="R2689" s="34"/>
      <c r="S2689" s="34"/>
      <c r="T2689" s="34"/>
      <c r="U2689" s="34"/>
      <c r="V2689" s="255"/>
      <c r="W2689" s="34"/>
    </row>
    <row r="2690" spans="14:23">
      <c r="N2690" s="34"/>
      <c r="O2690" s="34"/>
      <c r="P2690" s="34"/>
      <c r="Q2690" s="34"/>
      <c r="R2690" s="34"/>
      <c r="S2690" s="34"/>
      <c r="T2690" s="34"/>
      <c r="U2690" s="34"/>
      <c r="V2690" s="255"/>
      <c r="W2690" s="34"/>
    </row>
    <row r="2691" spans="14:23">
      <c r="N2691" s="34"/>
      <c r="O2691" s="34"/>
      <c r="P2691" s="34"/>
      <c r="Q2691" s="34"/>
      <c r="R2691" s="34"/>
      <c r="S2691" s="34"/>
      <c r="T2691" s="34"/>
      <c r="U2691" s="34"/>
      <c r="V2691" s="255"/>
      <c r="W2691" s="34"/>
    </row>
    <row r="2692" spans="14:23">
      <c r="N2692" s="34"/>
      <c r="O2692" s="34"/>
      <c r="P2692" s="34"/>
      <c r="Q2692" s="34"/>
      <c r="R2692" s="34"/>
      <c r="S2692" s="34"/>
      <c r="T2692" s="34"/>
      <c r="U2692" s="34"/>
      <c r="V2692" s="255"/>
      <c r="W2692" s="34"/>
    </row>
    <row r="2693" spans="14:23">
      <c r="N2693" s="34"/>
      <c r="O2693" s="34"/>
      <c r="P2693" s="34"/>
      <c r="Q2693" s="34"/>
      <c r="R2693" s="34"/>
      <c r="S2693" s="34"/>
      <c r="T2693" s="34"/>
      <c r="U2693" s="34"/>
      <c r="V2693" s="255"/>
      <c r="W2693" s="34"/>
    </row>
    <row r="2694" spans="14:23">
      <c r="N2694" s="34"/>
      <c r="O2694" s="34"/>
      <c r="P2694" s="34"/>
      <c r="Q2694" s="34"/>
      <c r="R2694" s="34"/>
      <c r="S2694" s="34"/>
      <c r="T2694" s="34"/>
      <c r="U2694" s="34"/>
      <c r="V2694" s="255"/>
      <c r="W2694" s="34"/>
    </row>
    <row r="2695" spans="14:23">
      <c r="N2695" s="34"/>
      <c r="O2695" s="34"/>
      <c r="P2695" s="34"/>
      <c r="Q2695" s="34"/>
      <c r="R2695" s="34"/>
      <c r="S2695" s="34"/>
      <c r="T2695" s="34"/>
      <c r="U2695" s="34"/>
      <c r="V2695" s="255"/>
      <c r="W2695" s="34"/>
    </row>
    <row r="2696" spans="14:23">
      <c r="N2696" s="34"/>
      <c r="O2696" s="34"/>
      <c r="P2696" s="34"/>
      <c r="Q2696" s="34"/>
      <c r="R2696" s="34"/>
      <c r="S2696" s="34"/>
      <c r="T2696" s="34"/>
      <c r="U2696" s="34"/>
      <c r="V2696" s="255"/>
      <c r="W2696" s="34"/>
    </row>
    <row r="2697" spans="14:23">
      <c r="N2697" s="34"/>
      <c r="O2697" s="34"/>
      <c r="P2697" s="34"/>
      <c r="Q2697" s="34"/>
      <c r="R2697" s="34"/>
      <c r="S2697" s="34"/>
      <c r="T2697" s="34"/>
      <c r="U2697" s="34"/>
      <c r="V2697" s="255"/>
      <c r="W2697" s="34"/>
    </row>
    <row r="2698" spans="14:23">
      <c r="N2698" s="34"/>
      <c r="O2698" s="34"/>
      <c r="P2698" s="34"/>
      <c r="Q2698" s="34"/>
      <c r="R2698" s="34"/>
      <c r="S2698" s="34"/>
      <c r="T2698" s="34"/>
      <c r="U2698" s="34"/>
      <c r="V2698" s="255"/>
      <c r="W2698" s="34"/>
    </row>
    <row r="2699" spans="14:23">
      <c r="N2699" s="34"/>
      <c r="O2699" s="34"/>
      <c r="P2699" s="34"/>
      <c r="Q2699" s="34"/>
      <c r="R2699" s="34"/>
      <c r="S2699" s="34"/>
      <c r="T2699" s="34"/>
      <c r="U2699" s="34"/>
      <c r="V2699" s="255"/>
      <c r="W2699" s="34"/>
    </row>
    <row r="2700" spans="14:23">
      <c r="N2700" s="34"/>
      <c r="O2700" s="34"/>
      <c r="P2700" s="34"/>
      <c r="Q2700" s="34"/>
      <c r="R2700" s="34"/>
      <c r="S2700" s="34"/>
      <c r="T2700" s="34"/>
      <c r="U2700" s="34"/>
      <c r="V2700" s="255"/>
      <c r="W2700" s="34"/>
    </row>
    <row r="2701" spans="14:23">
      <c r="N2701" s="34"/>
      <c r="O2701" s="34"/>
      <c r="P2701" s="34"/>
      <c r="Q2701" s="34"/>
      <c r="R2701" s="34"/>
      <c r="S2701" s="34"/>
      <c r="T2701" s="34"/>
      <c r="U2701" s="34"/>
      <c r="V2701" s="255"/>
      <c r="W2701" s="34"/>
    </row>
    <row r="2702" spans="14:23">
      <c r="N2702" s="34"/>
      <c r="O2702" s="34"/>
      <c r="P2702" s="34"/>
      <c r="Q2702" s="34"/>
      <c r="R2702" s="34"/>
      <c r="S2702" s="34"/>
      <c r="T2702" s="34"/>
      <c r="U2702" s="34"/>
      <c r="V2702" s="255"/>
      <c r="W2702" s="34"/>
    </row>
    <row r="2703" spans="14:23">
      <c r="N2703" s="34"/>
      <c r="O2703" s="34"/>
      <c r="P2703" s="34"/>
      <c r="Q2703" s="34"/>
      <c r="R2703" s="34"/>
      <c r="S2703" s="34"/>
      <c r="T2703" s="34"/>
      <c r="U2703" s="34"/>
      <c r="V2703" s="255"/>
      <c r="W2703" s="34"/>
    </row>
    <row r="2704" spans="14:23">
      <c r="N2704" s="34"/>
      <c r="O2704" s="34"/>
      <c r="P2704" s="34"/>
      <c r="Q2704" s="34"/>
      <c r="R2704" s="34"/>
      <c r="S2704" s="34"/>
      <c r="T2704" s="34"/>
      <c r="U2704" s="34"/>
      <c r="V2704" s="255"/>
      <c r="W2704" s="34"/>
    </row>
    <row r="2705" spans="14:23">
      <c r="N2705" s="34"/>
      <c r="O2705" s="34"/>
      <c r="P2705" s="34"/>
      <c r="Q2705" s="34"/>
      <c r="R2705" s="34"/>
      <c r="S2705" s="34"/>
      <c r="T2705" s="34"/>
      <c r="U2705" s="34"/>
      <c r="V2705" s="255"/>
      <c r="W2705" s="34"/>
    </row>
    <row r="2706" spans="14:23">
      <c r="N2706" s="34"/>
      <c r="O2706" s="34"/>
      <c r="P2706" s="34"/>
      <c r="Q2706" s="34"/>
      <c r="R2706" s="34"/>
      <c r="S2706" s="34"/>
      <c r="T2706" s="34"/>
      <c r="U2706" s="34"/>
      <c r="V2706" s="255"/>
      <c r="W2706" s="34"/>
    </row>
    <row r="2707" spans="14:23">
      <c r="N2707" s="34"/>
      <c r="O2707" s="34"/>
      <c r="P2707" s="34"/>
      <c r="Q2707" s="34"/>
      <c r="R2707" s="34"/>
      <c r="S2707" s="34"/>
      <c r="T2707" s="34"/>
      <c r="U2707" s="34"/>
      <c r="V2707" s="255"/>
      <c r="W2707" s="34"/>
    </row>
    <row r="2708" spans="14:23">
      <c r="N2708" s="34"/>
      <c r="O2708" s="34"/>
      <c r="P2708" s="34"/>
      <c r="Q2708" s="34"/>
      <c r="R2708" s="34"/>
      <c r="S2708" s="34"/>
      <c r="T2708" s="34"/>
      <c r="U2708" s="34"/>
      <c r="V2708" s="255"/>
      <c r="W2708" s="34"/>
    </row>
    <row r="2709" spans="14:23">
      <c r="N2709" s="34"/>
      <c r="O2709" s="34"/>
      <c r="P2709" s="34"/>
      <c r="Q2709" s="34"/>
      <c r="R2709" s="34"/>
      <c r="S2709" s="34"/>
      <c r="T2709" s="34"/>
      <c r="U2709" s="34"/>
      <c r="V2709" s="255"/>
      <c r="W2709" s="34"/>
    </row>
    <row r="2710" spans="14:23">
      <c r="N2710" s="34"/>
      <c r="O2710" s="34"/>
      <c r="P2710" s="34"/>
      <c r="Q2710" s="34"/>
      <c r="R2710" s="34"/>
      <c r="S2710" s="34"/>
      <c r="T2710" s="34"/>
      <c r="U2710" s="34"/>
      <c r="V2710" s="255"/>
      <c r="W2710" s="34"/>
    </row>
    <row r="2711" spans="14:23">
      <c r="N2711" s="34"/>
      <c r="O2711" s="34"/>
      <c r="P2711" s="34"/>
      <c r="Q2711" s="34"/>
      <c r="R2711" s="34"/>
      <c r="S2711" s="34"/>
      <c r="T2711" s="34"/>
      <c r="U2711" s="34"/>
      <c r="V2711" s="255"/>
      <c r="W2711" s="34"/>
    </row>
    <row r="2712" spans="14:23">
      <c r="N2712" s="34"/>
      <c r="O2712" s="34"/>
      <c r="P2712" s="34"/>
      <c r="Q2712" s="34"/>
      <c r="R2712" s="34"/>
      <c r="S2712" s="34"/>
      <c r="T2712" s="34"/>
      <c r="U2712" s="34"/>
      <c r="V2712" s="255"/>
      <c r="W2712" s="34"/>
    </row>
    <row r="2713" spans="14:23">
      <c r="N2713" s="34"/>
      <c r="O2713" s="34"/>
      <c r="P2713" s="34"/>
      <c r="Q2713" s="34"/>
      <c r="R2713" s="34"/>
      <c r="S2713" s="34"/>
      <c r="T2713" s="34"/>
      <c r="U2713" s="34"/>
      <c r="V2713" s="255"/>
      <c r="W2713" s="34"/>
    </row>
    <row r="2714" spans="14:23">
      <c r="N2714" s="34"/>
      <c r="O2714" s="34"/>
      <c r="P2714" s="34"/>
      <c r="Q2714" s="34"/>
      <c r="R2714" s="34"/>
      <c r="S2714" s="34"/>
      <c r="T2714" s="34"/>
      <c r="U2714" s="34"/>
      <c r="V2714" s="255"/>
      <c r="W2714" s="34"/>
    </row>
    <row r="2715" spans="14:23">
      <c r="N2715" s="34"/>
      <c r="O2715" s="34"/>
      <c r="P2715" s="34"/>
      <c r="Q2715" s="34"/>
      <c r="R2715" s="34"/>
      <c r="S2715" s="34"/>
      <c r="T2715" s="34"/>
      <c r="U2715" s="34"/>
      <c r="V2715" s="255"/>
      <c r="W2715" s="34"/>
    </row>
    <row r="2716" spans="14:23">
      <c r="N2716" s="34"/>
      <c r="O2716" s="34"/>
      <c r="P2716" s="34"/>
      <c r="Q2716" s="34"/>
      <c r="R2716" s="34"/>
      <c r="S2716" s="34"/>
      <c r="T2716" s="34"/>
      <c r="U2716" s="34"/>
      <c r="V2716" s="255"/>
      <c r="W2716" s="34"/>
    </row>
    <row r="2717" spans="14:23">
      <c r="N2717" s="34"/>
      <c r="O2717" s="34"/>
      <c r="P2717" s="34"/>
      <c r="Q2717" s="34"/>
      <c r="R2717" s="34"/>
      <c r="S2717" s="34"/>
      <c r="T2717" s="34"/>
      <c r="U2717" s="34"/>
      <c r="V2717" s="255"/>
      <c r="W2717" s="34"/>
    </row>
    <row r="2718" spans="14:23">
      <c r="N2718" s="34"/>
      <c r="O2718" s="34"/>
      <c r="P2718" s="34"/>
      <c r="Q2718" s="34"/>
      <c r="R2718" s="34"/>
      <c r="S2718" s="34"/>
      <c r="T2718" s="34"/>
      <c r="U2718" s="34"/>
      <c r="V2718" s="255"/>
      <c r="W2718" s="34"/>
    </row>
    <row r="2719" spans="14:23">
      <c r="N2719" s="34"/>
      <c r="O2719" s="34"/>
      <c r="P2719" s="34"/>
      <c r="Q2719" s="34"/>
      <c r="R2719" s="34"/>
      <c r="S2719" s="34"/>
      <c r="T2719" s="34"/>
      <c r="U2719" s="34"/>
      <c r="V2719" s="255"/>
      <c r="W2719" s="34"/>
    </row>
    <row r="2720" spans="14:23">
      <c r="N2720" s="34"/>
      <c r="O2720" s="34"/>
      <c r="P2720" s="34"/>
      <c r="Q2720" s="34"/>
      <c r="R2720" s="34"/>
      <c r="S2720" s="34"/>
      <c r="T2720" s="34"/>
      <c r="U2720" s="34"/>
      <c r="V2720" s="255"/>
      <c r="W2720" s="34"/>
    </row>
    <row r="2721" spans="14:23">
      <c r="N2721" s="34"/>
      <c r="O2721" s="34"/>
      <c r="P2721" s="34"/>
      <c r="Q2721" s="34"/>
      <c r="R2721" s="34"/>
      <c r="S2721" s="34"/>
      <c r="T2721" s="34"/>
      <c r="U2721" s="34"/>
      <c r="V2721" s="255"/>
      <c r="W2721" s="34"/>
    </row>
    <row r="2722" spans="14:23">
      <c r="N2722" s="34"/>
      <c r="O2722" s="34"/>
      <c r="P2722" s="34"/>
      <c r="Q2722" s="34"/>
      <c r="R2722" s="34"/>
      <c r="S2722" s="34"/>
      <c r="T2722" s="34"/>
      <c r="U2722" s="34"/>
      <c r="V2722" s="255"/>
      <c r="W2722" s="34"/>
    </row>
    <row r="2723" spans="14:23">
      <c r="N2723" s="34"/>
      <c r="O2723" s="34"/>
      <c r="P2723" s="34"/>
      <c r="Q2723" s="34"/>
      <c r="R2723" s="34"/>
      <c r="S2723" s="34"/>
      <c r="T2723" s="34"/>
      <c r="U2723" s="34"/>
      <c r="V2723" s="255"/>
      <c r="W2723" s="34"/>
    </row>
    <row r="2724" spans="14:23">
      <c r="N2724" s="34"/>
      <c r="O2724" s="34"/>
      <c r="P2724" s="34"/>
      <c r="Q2724" s="34"/>
      <c r="R2724" s="34"/>
      <c r="S2724" s="34"/>
      <c r="T2724" s="34"/>
      <c r="U2724" s="34"/>
      <c r="V2724" s="255"/>
      <c r="W2724" s="34"/>
    </row>
    <row r="2725" spans="14:23">
      <c r="N2725" s="34"/>
      <c r="O2725" s="34"/>
      <c r="P2725" s="34"/>
      <c r="Q2725" s="34"/>
      <c r="R2725" s="34"/>
      <c r="S2725" s="34"/>
      <c r="T2725" s="34"/>
      <c r="U2725" s="34"/>
      <c r="V2725" s="255"/>
      <c r="W2725" s="34"/>
    </row>
    <row r="2726" spans="14:23">
      <c r="N2726" s="34"/>
      <c r="O2726" s="34"/>
      <c r="P2726" s="34"/>
      <c r="Q2726" s="34"/>
      <c r="R2726" s="34"/>
      <c r="S2726" s="34"/>
      <c r="T2726" s="34"/>
      <c r="U2726" s="34"/>
      <c r="V2726" s="255"/>
      <c r="W2726" s="34"/>
    </row>
    <row r="2727" spans="14:23">
      <c r="N2727" s="34"/>
      <c r="O2727" s="34"/>
      <c r="P2727" s="34"/>
      <c r="Q2727" s="34"/>
      <c r="R2727" s="34"/>
      <c r="S2727" s="34"/>
      <c r="T2727" s="34"/>
      <c r="U2727" s="34"/>
      <c r="V2727" s="255"/>
      <c r="W2727" s="34"/>
    </row>
    <row r="2728" spans="14:23">
      <c r="N2728" s="34"/>
      <c r="O2728" s="34"/>
      <c r="P2728" s="34"/>
      <c r="Q2728" s="34"/>
      <c r="R2728" s="34"/>
      <c r="S2728" s="34"/>
      <c r="T2728" s="34"/>
      <c r="U2728" s="34"/>
      <c r="V2728" s="255"/>
      <c r="W2728" s="34"/>
    </row>
    <row r="2729" spans="14:23">
      <c r="N2729" s="34"/>
      <c r="O2729" s="34"/>
      <c r="P2729" s="34"/>
      <c r="Q2729" s="34"/>
      <c r="R2729" s="34"/>
      <c r="S2729" s="34"/>
      <c r="T2729" s="34"/>
      <c r="U2729" s="34"/>
      <c r="V2729" s="255"/>
      <c r="W2729" s="34"/>
    </row>
    <row r="2730" spans="14:23">
      <c r="N2730" s="34"/>
      <c r="O2730" s="34"/>
      <c r="P2730" s="34"/>
      <c r="Q2730" s="34"/>
      <c r="R2730" s="34"/>
      <c r="S2730" s="34"/>
      <c r="T2730" s="34"/>
      <c r="U2730" s="34"/>
      <c r="V2730" s="255"/>
      <c r="W2730" s="34"/>
    </row>
    <row r="2731" spans="14:23">
      <c r="N2731" s="34"/>
      <c r="O2731" s="34"/>
      <c r="P2731" s="34"/>
      <c r="Q2731" s="34"/>
      <c r="R2731" s="34"/>
      <c r="S2731" s="34"/>
      <c r="T2731" s="34"/>
      <c r="U2731" s="34"/>
      <c r="V2731" s="255"/>
      <c r="W2731" s="34"/>
    </row>
    <row r="2732" spans="14:23">
      <c r="N2732" s="34"/>
      <c r="O2732" s="34"/>
      <c r="P2732" s="34"/>
      <c r="Q2732" s="34"/>
      <c r="R2732" s="34"/>
      <c r="S2732" s="34"/>
      <c r="T2732" s="34"/>
      <c r="U2732" s="34"/>
      <c r="V2732" s="255"/>
      <c r="W2732" s="34"/>
    </row>
    <row r="2733" spans="14:23">
      <c r="N2733" s="34"/>
      <c r="O2733" s="34"/>
      <c r="P2733" s="34"/>
      <c r="Q2733" s="34"/>
      <c r="R2733" s="34"/>
      <c r="S2733" s="34"/>
      <c r="T2733" s="34"/>
      <c r="U2733" s="34"/>
      <c r="V2733" s="255"/>
      <c r="W2733" s="34"/>
    </row>
    <row r="2734" spans="14:23">
      <c r="N2734" s="34"/>
      <c r="O2734" s="34"/>
      <c r="P2734" s="34"/>
      <c r="Q2734" s="34"/>
      <c r="R2734" s="34"/>
      <c r="S2734" s="34"/>
      <c r="T2734" s="34"/>
      <c r="U2734" s="34"/>
      <c r="V2734" s="255"/>
      <c r="W2734" s="34"/>
    </row>
    <row r="2735" spans="14:23">
      <c r="N2735" s="34"/>
      <c r="O2735" s="34"/>
      <c r="P2735" s="34"/>
      <c r="Q2735" s="34"/>
      <c r="R2735" s="34"/>
      <c r="S2735" s="34"/>
      <c r="T2735" s="34"/>
      <c r="U2735" s="34"/>
      <c r="V2735" s="255"/>
      <c r="W2735" s="34"/>
    </row>
    <row r="2736" spans="14:23">
      <c r="N2736" s="34"/>
      <c r="O2736" s="34"/>
      <c r="P2736" s="34"/>
      <c r="Q2736" s="34"/>
      <c r="R2736" s="34"/>
      <c r="S2736" s="34"/>
      <c r="T2736" s="34"/>
      <c r="U2736" s="34"/>
      <c r="V2736" s="255"/>
      <c r="W2736" s="34"/>
    </row>
    <row r="2737" spans="14:23">
      <c r="N2737" s="34"/>
      <c r="O2737" s="34"/>
      <c r="P2737" s="34"/>
      <c r="Q2737" s="34"/>
      <c r="R2737" s="34"/>
      <c r="S2737" s="34"/>
      <c r="T2737" s="34"/>
      <c r="U2737" s="34"/>
      <c r="V2737" s="255"/>
      <c r="W2737" s="34"/>
    </row>
    <row r="2738" spans="14:23">
      <c r="N2738" s="34"/>
      <c r="O2738" s="34"/>
      <c r="P2738" s="34"/>
      <c r="Q2738" s="34"/>
      <c r="R2738" s="34"/>
      <c r="S2738" s="34"/>
      <c r="T2738" s="34"/>
      <c r="U2738" s="34"/>
      <c r="V2738" s="255"/>
      <c r="W2738" s="34"/>
    </row>
    <row r="2739" spans="14:23">
      <c r="N2739" s="34"/>
      <c r="O2739" s="34"/>
      <c r="P2739" s="34"/>
      <c r="Q2739" s="34"/>
      <c r="R2739" s="34"/>
      <c r="S2739" s="34"/>
      <c r="T2739" s="34"/>
      <c r="U2739" s="34"/>
      <c r="V2739" s="255"/>
      <c r="W2739" s="34"/>
    </row>
    <row r="2740" spans="14:23">
      <c r="N2740" s="34"/>
      <c r="O2740" s="34"/>
      <c r="P2740" s="34"/>
      <c r="Q2740" s="34"/>
      <c r="R2740" s="34"/>
      <c r="S2740" s="34"/>
      <c r="T2740" s="34"/>
      <c r="U2740" s="34"/>
      <c r="V2740" s="255"/>
      <c r="W2740" s="34"/>
    </row>
    <row r="2741" spans="14:23">
      <c r="N2741" s="34"/>
      <c r="O2741" s="34"/>
      <c r="P2741" s="34"/>
      <c r="Q2741" s="34"/>
      <c r="R2741" s="34"/>
      <c r="S2741" s="34"/>
      <c r="T2741" s="34"/>
      <c r="U2741" s="34"/>
      <c r="V2741" s="255"/>
      <c r="W2741" s="34"/>
    </row>
    <row r="2742" spans="14:23">
      <c r="N2742" s="34"/>
      <c r="O2742" s="34"/>
      <c r="P2742" s="34"/>
      <c r="Q2742" s="34"/>
      <c r="R2742" s="34"/>
      <c r="S2742" s="34"/>
      <c r="T2742" s="34"/>
      <c r="U2742" s="34"/>
      <c r="V2742" s="255"/>
      <c r="W2742" s="34"/>
    </row>
    <row r="2743" spans="14:23">
      <c r="N2743" s="34"/>
      <c r="O2743" s="34"/>
      <c r="P2743" s="34"/>
      <c r="Q2743" s="34"/>
      <c r="R2743" s="34"/>
      <c r="S2743" s="34"/>
      <c r="T2743" s="34"/>
      <c r="U2743" s="34"/>
      <c r="V2743" s="255"/>
      <c r="W2743" s="34"/>
    </row>
    <row r="2744" spans="14:23">
      <c r="N2744" s="34"/>
      <c r="O2744" s="34"/>
      <c r="P2744" s="34"/>
      <c r="Q2744" s="34"/>
      <c r="R2744" s="34"/>
      <c r="S2744" s="34"/>
      <c r="T2744" s="34"/>
      <c r="U2744" s="34"/>
      <c r="V2744" s="255"/>
      <c r="W2744" s="34"/>
    </row>
    <row r="2745" spans="14:23">
      <c r="N2745" s="34"/>
      <c r="O2745" s="34"/>
      <c r="P2745" s="34"/>
      <c r="Q2745" s="34"/>
      <c r="R2745" s="34"/>
      <c r="S2745" s="34"/>
      <c r="T2745" s="34"/>
      <c r="U2745" s="34"/>
      <c r="V2745" s="255"/>
      <c r="W2745" s="34"/>
    </row>
    <row r="2746" spans="14:23">
      <c r="N2746" s="34"/>
      <c r="O2746" s="34"/>
      <c r="P2746" s="34"/>
      <c r="Q2746" s="34"/>
      <c r="R2746" s="34"/>
      <c r="S2746" s="34"/>
      <c r="T2746" s="34"/>
      <c r="U2746" s="34"/>
      <c r="V2746" s="255"/>
      <c r="W2746" s="34"/>
    </row>
    <row r="2747" spans="14:23">
      <c r="N2747" s="34"/>
      <c r="O2747" s="34"/>
      <c r="P2747" s="34"/>
      <c r="Q2747" s="34"/>
      <c r="R2747" s="34"/>
      <c r="S2747" s="34"/>
      <c r="T2747" s="34"/>
      <c r="U2747" s="34"/>
      <c r="V2747" s="255"/>
      <c r="W2747" s="34"/>
    </row>
    <row r="2748" spans="14:23">
      <c r="N2748" s="34"/>
      <c r="O2748" s="34"/>
      <c r="P2748" s="34"/>
      <c r="Q2748" s="34"/>
      <c r="R2748" s="34"/>
      <c r="S2748" s="34"/>
      <c r="T2748" s="34"/>
      <c r="U2748" s="34"/>
      <c r="V2748" s="255"/>
      <c r="W2748" s="34"/>
    </row>
    <row r="2749" spans="14:23">
      <c r="N2749" s="34"/>
      <c r="O2749" s="34"/>
      <c r="P2749" s="34"/>
      <c r="Q2749" s="34"/>
      <c r="R2749" s="34"/>
      <c r="S2749" s="34"/>
      <c r="T2749" s="34"/>
      <c r="U2749" s="34"/>
      <c r="V2749" s="255"/>
      <c r="W2749" s="34"/>
    </row>
    <row r="2750" spans="14:23">
      <c r="N2750" s="34"/>
      <c r="O2750" s="34"/>
      <c r="P2750" s="34"/>
      <c r="Q2750" s="34"/>
      <c r="R2750" s="34"/>
      <c r="S2750" s="34"/>
      <c r="T2750" s="34"/>
      <c r="U2750" s="34"/>
      <c r="V2750" s="255"/>
      <c r="W2750" s="34"/>
    </row>
    <row r="2751" spans="14:23">
      <c r="N2751" s="34"/>
      <c r="O2751" s="34"/>
      <c r="P2751" s="34"/>
      <c r="Q2751" s="34"/>
      <c r="R2751" s="34"/>
      <c r="S2751" s="34"/>
      <c r="T2751" s="34"/>
      <c r="U2751" s="34"/>
      <c r="V2751" s="255"/>
      <c r="W2751" s="34"/>
    </row>
    <row r="2752" spans="14:23">
      <c r="N2752" s="34"/>
      <c r="O2752" s="34"/>
      <c r="P2752" s="34"/>
      <c r="Q2752" s="34"/>
      <c r="R2752" s="34"/>
      <c r="S2752" s="34"/>
      <c r="T2752" s="34"/>
      <c r="U2752" s="34"/>
      <c r="V2752" s="255"/>
      <c r="W2752" s="34"/>
    </row>
    <row r="2753" spans="14:23">
      <c r="N2753" s="34"/>
      <c r="O2753" s="34"/>
      <c r="P2753" s="34"/>
      <c r="Q2753" s="34"/>
      <c r="R2753" s="34"/>
      <c r="S2753" s="34"/>
      <c r="T2753" s="34"/>
      <c r="U2753" s="34"/>
      <c r="V2753" s="255"/>
      <c r="W2753" s="34"/>
    </row>
    <row r="2754" spans="14:23">
      <c r="N2754" s="34"/>
      <c r="O2754" s="34"/>
      <c r="P2754" s="34"/>
      <c r="Q2754" s="34"/>
      <c r="R2754" s="34"/>
      <c r="S2754" s="34"/>
      <c r="T2754" s="34"/>
      <c r="U2754" s="34"/>
      <c r="V2754" s="255"/>
      <c r="W2754" s="34"/>
    </row>
    <row r="2755" spans="14:23">
      <c r="N2755" s="34"/>
      <c r="O2755" s="34"/>
      <c r="P2755" s="34"/>
      <c r="Q2755" s="34"/>
      <c r="R2755" s="34"/>
      <c r="S2755" s="34"/>
      <c r="T2755" s="34"/>
      <c r="U2755" s="34"/>
      <c r="V2755" s="255"/>
      <c r="W2755" s="34"/>
    </row>
    <row r="2756" spans="14:23">
      <c r="N2756" s="34"/>
      <c r="O2756" s="34"/>
      <c r="P2756" s="34"/>
      <c r="Q2756" s="34"/>
      <c r="R2756" s="34"/>
      <c r="S2756" s="34"/>
      <c r="T2756" s="34"/>
      <c r="U2756" s="34"/>
      <c r="V2756" s="255"/>
      <c r="W2756" s="34"/>
    </row>
    <row r="2757" spans="14:23">
      <c r="N2757" s="34"/>
      <c r="O2757" s="34"/>
      <c r="P2757" s="34"/>
      <c r="Q2757" s="34"/>
      <c r="R2757" s="34"/>
      <c r="S2757" s="34"/>
      <c r="T2757" s="34"/>
      <c r="U2757" s="34"/>
      <c r="V2757" s="255"/>
      <c r="W2757" s="34"/>
    </row>
    <row r="2758" spans="14:23">
      <c r="N2758" s="34"/>
      <c r="O2758" s="34"/>
      <c r="P2758" s="34"/>
      <c r="Q2758" s="34"/>
      <c r="R2758" s="34"/>
      <c r="S2758" s="34"/>
      <c r="T2758" s="34"/>
      <c r="U2758" s="34"/>
      <c r="V2758" s="255"/>
      <c r="W2758" s="34"/>
    </row>
    <row r="2759" spans="14:23">
      <c r="N2759" s="34"/>
      <c r="O2759" s="34"/>
      <c r="P2759" s="34"/>
      <c r="Q2759" s="34"/>
      <c r="R2759" s="34"/>
      <c r="S2759" s="34"/>
      <c r="T2759" s="34"/>
      <c r="U2759" s="34"/>
      <c r="V2759" s="255"/>
      <c r="W2759" s="34"/>
    </row>
    <row r="2760" spans="14:23">
      <c r="N2760" s="34"/>
      <c r="O2760" s="34"/>
      <c r="P2760" s="34"/>
      <c r="Q2760" s="34"/>
      <c r="R2760" s="34"/>
      <c r="S2760" s="34"/>
      <c r="T2760" s="34"/>
      <c r="U2760" s="34"/>
      <c r="V2760" s="255"/>
      <c r="W2760" s="34"/>
    </row>
    <row r="2761" spans="14:23">
      <c r="N2761" s="34"/>
      <c r="O2761" s="34"/>
      <c r="P2761" s="34"/>
      <c r="Q2761" s="34"/>
      <c r="R2761" s="34"/>
      <c r="S2761" s="34"/>
      <c r="T2761" s="34"/>
      <c r="U2761" s="34"/>
      <c r="V2761" s="255"/>
      <c r="W2761" s="34"/>
    </row>
    <row r="2762" spans="14:23">
      <c r="N2762" s="34"/>
      <c r="O2762" s="34"/>
      <c r="P2762" s="34"/>
      <c r="Q2762" s="34"/>
      <c r="R2762" s="34"/>
      <c r="S2762" s="34"/>
      <c r="T2762" s="34"/>
      <c r="U2762" s="34"/>
      <c r="V2762" s="255"/>
      <c r="W2762" s="34"/>
    </row>
    <row r="2763" spans="14:23">
      <c r="N2763" s="34"/>
      <c r="O2763" s="34"/>
      <c r="P2763" s="34"/>
      <c r="Q2763" s="34"/>
      <c r="R2763" s="34"/>
      <c r="S2763" s="34"/>
      <c r="T2763" s="34"/>
      <c r="U2763" s="34"/>
      <c r="V2763" s="255"/>
      <c r="W2763" s="34"/>
    </row>
    <row r="2764" spans="14:23">
      <c r="N2764" s="34"/>
      <c r="O2764" s="34"/>
      <c r="P2764" s="34"/>
      <c r="Q2764" s="34"/>
      <c r="R2764" s="34"/>
      <c r="S2764" s="34"/>
      <c r="T2764" s="34"/>
      <c r="U2764" s="34"/>
      <c r="V2764" s="255"/>
      <c r="W2764" s="34"/>
    </row>
    <row r="2765" spans="14:23">
      <c r="N2765" s="34"/>
      <c r="O2765" s="34"/>
      <c r="P2765" s="34"/>
      <c r="Q2765" s="34"/>
      <c r="R2765" s="34"/>
      <c r="S2765" s="34"/>
      <c r="T2765" s="34"/>
      <c r="U2765" s="34"/>
      <c r="V2765" s="255"/>
      <c r="W2765" s="34"/>
    </row>
    <row r="2766" spans="14:23">
      <c r="N2766" s="34"/>
      <c r="O2766" s="34"/>
      <c r="P2766" s="34"/>
      <c r="Q2766" s="34"/>
      <c r="R2766" s="34"/>
      <c r="S2766" s="34"/>
      <c r="T2766" s="34"/>
      <c r="U2766" s="34"/>
      <c r="V2766" s="255"/>
      <c r="W2766" s="34"/>
    </row>
    <row r="2767" spans="14:23">
      <c r="N2767" s="34"/>
      <c r="O2767" s="34"/>
      <c r="P2767" s="34"/>
      <c r="Q2767" s="34"/>
      <c r="R2767" s="34"/>
      <c r="S2767" s="34"/>
      <c r="T2767" s="34"/>
      <c r="U2767" s="34"/>
      <c r="V2767" s="255"/>
      <c r="W2767" s="34"/>
    </row>
    <row r="2768" spans="14:23">
      <c r="N2768" s="34"/>
      <c r="O2768" s="34"/>
      <c r="P2768" s="34"/>
      <c r="Q2768" s="34"/>
      <c r="R2768" s="34"/>
      <c r="S2768" s="34"/>
      <c r="T2768" s="34"/>
      <c r="U2768" s="34"/>
      <c r="V2768" s="255"/>
      <c r="W2768" s="34"/>
    </row>
    <row r="2769" spans="14:23">
      <c r="N2769" s="34"/>
      <c r="O2769" s="34"/>
      <c r="P2769" s="34"/>
      <c r="Q2769" s="34"/>
      <c r="R2769" s="34"/>
      <c r="S2769" s="34"/>
      <c r="T2769" s="34"/>
      <c r="U2769" s="34"/>
      <c r="V2769" s="255"/>
      <c r="W2769" s="34"/>
    </row>
    <row r="2770" spans="14:23">
      <c r="N2770" s="34"/>
      <c r="O2770" s="34"/>
      <c r="P2770" s="34"/>
      <c r="Q2770" s="34"/>
      <c r="R2770" s="34"/>
      <c r="S2770" s="34"/>
      <c r="T2770" s="34"/>
      <c r="U2770" s="34"/>
      <c r="V2770" s="255"/>
      <c r="W2770" s="34"/>
    </row>
    <row r="2771" spans="14:23">
      <c r="N2771" s="34"/>
      <c r="O2771" s="34"/>
      <c r="P2771" s="34"/>
      <c r="Q2771" s="34"/>
      <c r="R2771" s="34"/>
      <c r="S2771" s="34"/>
      <c r="T2771" s="34"/>
      <c r="U2771" s="34"/>
      <c r="V2771" s="255"/>
      <c r="W2771" s="34"/>
    </row>
    <row r="2772" spans="14:23">
      <c r="N2772" s="34"/>
      <c r="O2772" s="34"/>
      <c r="P2772" s="34"/>
      <c r="Q2772" s="34"/>
      <c r="R2772" s="34"/>
      <c r="S2772" s="34"/>
      <c r="T2772" s="34"/>
      <c r="U2772" s="34"/>
      <c r="V2772" s="255"/>
      <c r="W2772" s="34"/>
    </row>
    <row r="2773" spans="14:23">
      <c r="N2773" s="34"/>
      <c r="O2773" s="34"/>
      <c r="P2773" s="34"/>
      <c r="Q2773" s="34"/>
      <c r="R2773" s="34"/>
      <c r="S2773" s="34"/>
      <c r="T2773" s="34"/>
      <c r="U2773" s="34"/>
      <c r="V2773" s="255"/>
      <c r="W2773" s="34"/>
    </row>
    <row r="2774" spans="14:23">
      <c r="N2774" s="34"/>
      <c r="O2774" s="34"/>
      <c r="P2774" s="34"/>
      <c r="Q2774" s="34"/>
      <c r="R2774" s="34"/>
      <c r="S2774" s="34"/>
      <c r="T2774" s="34"/>
      <c r="U2774" s="34"/>
      <c r="V2774" s="255"/>
      <c r="W2774" s="34"/>
    </row>
    <row r="2775" spans="14:23">
      <c r="N2775" s="34"/>
      <c r="O2775" s="34"/>
      <c r="P2775" s="34"/>
      <c r="Q2775" s="34"/>
      <c r="R2775" s="34"/>
      <c r="S2775" s="34"/>
      <c r="T2775" s="34"/>
      <c r="U2775" s="34"/>
      <c r="V2775" s="255"/>
      <c r="W2775" s="34"/>
    </row>
    <row r="2776" spans="14:23">
      <c r="N2776" s="34"/>
      <c r="O2776" s="34"/>
      <c r="P2776" s="34"/>
      <c r="Q2776" s="34"/>
      <c r="R2776" s="34"/>
      <c r="S2776" s="34"/>
      <c r="T2776" s="34"/>
      <c r="U2776" s="34"/>
      <c r="V2776" s="255"/>
      <c r="W2776" s="34"/>
    </row>
    <row r="2777" spans="14:23">
      <c r="N2777" s="34"/>
      <c r="O2777" s="34"/>
      <c r="P2777" s="34"/>
      <c r="Q2777" s="34"/>
      <c r="R2777" s="34"/>
      <c r="S2777" s="34"/>
      <c r="T2777" s="34"/>
      <c r="U2777" s="34"/>
      <c r="V2777" s="255"/>
      <c r="W2777" s="34"/>
    </row>
    <row r="2778" spans="14:23">
      <c r="N2778" s="34"/>
      <c r="O2778" s="34"/>
      <c r="P2778" s="34"/>
      <c r="Q2778" s="34"/>
      <c r="R2778" s="34"/>
      <c r="S2778" s="34"/>
      <c r="T2778" s="34"/>
      <c r="U2778" s="34"/>
      <c r="V2778" s="255"/>
      <c r="W2778" s="34"/>
    </row>
    <row r="2779" spans="14:23">
      <c r="N2779" s="34"/>
      <c r="O2779" s="34"/>
      <c r="P2779" s="34"/>
      <c r="Q2779" s="34"/>
      <c r="R2779" s="34"/>
      <c r="S2779" s="34"/>
      <c r="T2779" s="34"/>
      <c r="U2779" s="34"/>
      <c r="V2779" s="255"/>
      <c r="W2779" s="34"/>
    </row>
    <row r="2780" spans="14:23">
      <c r="N2780" s="34"/>
      <c r="O2780" s="34"/>
      <c r="P2780" s="34"/>
      <c r="Q2780" s="34"/>
      <c r="R2780" s="34"/>
      <c r="S2780" s="34"/>
      <c r="T2780" s="34"/>
      <c r="U2780" s="34"/>
      <c r="V2780" s="255"/>
      <c r="W2780" s="34"/>
    </row>
    <row r="2781" spans="14:23">
      <c r="N2781" s="34"/>
      <c r="O2781" s="34"/>
      <c r="P2781" s="34"/>
      <c r="Q2781" s="34"/>
      <c r="R2781" s="34"/>
      <c r="S2781" s="34"/>
      <c r="T2781" s="34"/>
      <c r="U2781" s="34"/>
      <c r="V2781" s="255"/>
      <c r="W2781" s="34"/>
    </row>
    <row r="2782" spans="14:23">
      <c r="N2782" s="34"/>
      <c r="O2782" s="34"/>
      <c r="P2782" s="34"/>
      <c r="Q2782" s="34"/>
      <c r="R2782" s="34"/>
      <c r="S2782" s="34"/>
      <c r="T2782" s="34"/>
      <c r="U2782" s="34"/>
      <c r="V2782" s="255"/>
      <c r="W2782" s="34"/>
    </row>
    <row r="2783" spans="14:23">
      <c r="N2783" s="34"/>
      <c r="O2783" s="34"/>
      <c r="P2783" s="34"/>
      <c r="Q2783" s="34"/>
      <c r="R2783" s="34"/>
      <c r="S2783" s="34"/>
      <c r="T2783" s="34"/>
      <c r="U2783" s="34"/>
      <c r="V2783" s="255"/>
      <c r="W2783" s="34"/>
    </row>
    <row r="2784" spans="14:23">
      <c r="N2784" s="34"/>
      <c r="O2784" s="34"/>
      <c r="P2784" s="34"/>
      <c r="Q2784" s="34"/>
      <c r="R2784" s="34"/>
      <c r="S2784" s="34"/>
      <c r="T2784" s="34"/>
      <c r="U2784" s="34"/>
      <c r="V2784" s="255"/>
      <c r="W2784" s="34"/>
    </row>
    <row r="2785" spans="14:23">
      <c r="N2785" s="34"/>
      <c r="O2785" s="34"/>
      <c r="P2785" s="34"/>
      <c r="Q2785" s="34"/>
      <c r="R2785" s="34"/>
      <c r="S2785" s="34"/>
      <c r="T2785" s="34"/>
      <c r="U2785" s="34"/>
      <c r="V2785" s="255"/>
      <c r="W2785" s="34"/>
    </row>
    <row r="2786" spans="14:23">
      <c r="N2786" s="34"/>
      <c r="O2786" s="34"/>
      <c r="P2786" s="34"/>
      <c r="Q2786" s="34"/>
      <c r="R2786" s="34"/>
      <c r="S2786" s="34"/>
      <c r="T2786" s="34"/>
      <c r="U2786" s="34"/>
      <c r="V2786" s="255"/>
      <c r="W2786" s="34"/>
    </row>
    <row r="2787" spans="14:23">
      <c r="N2787" s="34"/>
      <c r="O2787" s="34"/>
      <c r="P2787" s="34"/>
      <c r="Q2787" s="34"/>
      <c r="R2787" s="34"/>
      <c r="S2787" s="34"/>
      <c r="T2787" s="34"/>
      <c r="U2787" s="34"/>
      <c r="V2787" s="255"/>
      <c r="W2787" s="34"/>
    </row>
    <row r="2788" spans="14:23">
      <c r="N2788" s="34"/>
      <c r="O2788" s="34"/>
      <c r="P2788" s="34"/>
      <c r="Q2788" s="34"/>
      <c r="R2788" s="34"/>
      <c r="S2788" s="34"/>
      <c r="T2788" s="34"/>
      <c r="U2788" s="34"/>
      <c r="V2788" s="255"/>
      <c r="W2788" s="34"/>
    </row>
    <row r="2789" spans="14:23">
      <c r="N2789" s="34"/>
      <c r="O2789" s="34"/>
      <c r="P2789" s="34"/>
      <c r="Q2789" s="34"/>
      <c r="R2789" s="34"/>
      <c r="S2789" s="34"/>
      <c r="T2789" s="34"/>
      <c r="U2789" s="34"/>
      <c r="V2789" s="255"/>
      <c r="W2789" s="34"/>
    </row>
    <row r="2790" spans="14:23">
      <c r="N2790" s="34"/>
      <c r="O2790" s="34"/>
      <c r="P2790" s="34"/>
      <c r="Q2790" s="34"/>
      <c r="R2790" s="34"/>
      <c r="S2790" s="34"/>
      <c r="T2790" s="34"/>
      <c r="U2790" s="34"/>
      <c r="V2790" s="255"/>
      <c r="W2790" s="34"/>
    </row>
    <row r="2791" spans="14:23">
      <c r="N2791" s="34"/>
      <c r="O2791" s="34"/>
      <c r="P2791" s="34"/>
      <c r="Q2791" s="34"/>
      <c r="R2791" s="34"/>
      <c r="S2791" s="34"/>
      <c r="T2791" s="34"/>
      <c r="U2791" s="34"/>
      <c r="V2791" s="255"/>
      <c r="W2791" s="34"/>
    </row>
    <row r="2792" spans="14:23">
      <c r="N2792" s="34"/>
      <c r="O2792" s="34"/>
      <c r="P2792" s="34"/>
      <c r="Q2792" s="34"/>
      <c r="R2792" s="34"/>
      <c r="S2792" s="34"/>
      <c r="T2792" s="34"/>
      <c r="U2792" s="34"/>
      <c r="V2792" s="255"/>
      <c r="W2792" s="34"/>
    </row>
    <row r="2793" spans="14:23">
      <c r="N2793" s="34"/>
      <c r="O2793" s="34"/>
      <c r="P2793" s="34"/>
      <c r="Q2793" s="34"/>
      <c r="R2793" s="34"/>
      <c r="S2793" s="34"/>
      <c r="T2793" s="34"/>
      <c r="U2793" s="34"/>
      <c r="V2793" s="255"/>
      <c r="W2793" s="34"/>
    </row>
    <row r="2794" spans="14:23">
      <c r="N2794" s="34"/>
      <c r="O2794" s="34"/>
      <c r="P2794" s="34"/>
      <c r="Q2794" s="34"/>
      <c r="R2794" s="34"/>
      <c r="S2794" s="34"/>
      <c r="T2794" s="34"/>
      <c r="U2794" s="34"/>
      <c r="V2794" s="255"/>
      <c r="W2794" s="34"/>
    </row>
    <row r="2795" spans="14:23">
      <c r="N2795" s="34"/>
      <c r="O2795" s="34"/>
      <c r="P2795" s="34"/>
      <c r="Q2795" s="34"/>
      <c r="R2795" s="34"/>
      <c r="S2795" s="34"/>
      <c r="T2795" s="34"/>
      <c r="U2795" s="34"/>
      <c r="V2795" s="255"/>
      <c r="W2795" s="34"/>
    </row>
    <row r="2796" spans="14:23">
      <c r="N2796" s="34"/>
      <c r="O2796" s="34"/>
      <c r="P2796" s="34"/>
      <c r="Q2796" s="34"/>
      <c r="R2796" s="34"/>
      <c r="S2796" s="34"/>
      <c r="T2796" s="34"/>
      <c r="U2796" s="34"/>
      <c r="V2796" s="255"/>
      <c r="W2796" s="34"/>
    </row>
    <row r="2797" spans="14:23">
      <c r="N2797" s="34"/>
      <c r="O2797" s="34"/>
      <c r="P2797" s="34"/>
      <c r="Q2797" s="34"/>
      <c r="R2797" s="34"/>
      <c r="S2797" s="34"/>
      <c r="T2797" s="34"/>
      <c r="U2797" s="34"/>
      <c r="V2797" s="255"/>
      <c r="W2797" s="34"/>
    </row>
    <row r="2798" spans="14:23">
      <c r="N2798" s="34"/>
      <c r="O2798" s="34"/>
      <c r="P2798" s="34"/>
      <c r="Q2798" s="34"/>
      <c r="R2798" s="34"/>
      <c r="S2798" s="34"/>
      <c r="T2798" s="34"/>
      <c r="U2798" s="34"/>
      <c r="V2798" s="255"/>
      <c r="W2798" s="34"/>
    </row>
    <row r="2799" spans="14:23">
      <c r="N2799" s="34"/>
      <c r="O2799" s="34"/>
      <c r="P2799" s="34"/>
      <c r="Q2799" s="34"/>
      <c r="R2799" s="34"/>
      <c r="S2799" s="34"/>
      <c r="T2799" s="34"/>
      <c r="U2799" s="34"/>
      <c r="V2799" s="255"/>
      <c r="W2799" s="34"/>
    </row>
    <row r="2800" spans="14:23">
      <c r="N2800" s="34"/>
      <c r="O2800" s="34"/>
      <c r="P2800" s="34"/>
      <c r="Q2800" s="34"/>
      <c r="R2800" s="34"/>
      <c r="S2800" s="34"/>
      <c r="T2800" s="34"/>
      <c r="U2800" s="34"/>
      <c r="V2800" s="255"/>
      <c r="W2800" s="34"/>
    </row>
    <row r="2801" spans="14:23">
      <c r="N2801" s="34"/>
      <c r="O2801" s="34"/>
      <c r="P2801" s="34"/>
      <c r="Q2801" s="34"/>
      <c r="R2801" s="34"/>
      <c r="S2801" s="34"/>
      <c r="T2801" s="34"/>
      <c r="U2801" s="34"/>
      <c r="V2801" s="255"/>
      <c r="W2801" s="34"/>
    </row>
    <row r="2802" spans="14:23">
      <c r="N2802" s="34"/>
      <c r="O2802" s="34"/>
      <c r="P2802" s="34"/>
      <c r="Q2802" s="34"/>
      <c r="R2802" s="34"/>
      <c r="S2802" s="34"/>
      <c r="T2802" s="34"/>
      <c r="U2802" s="34"/>
      <c r="V2802" s="255"/>
      <c r="W2802" s="34"/>
    </row>
    <row r="2803" spans="14:23">
      <c r="N2803" s="34"/>
      <c r="O2803" s="34"/>
      <c r="P2803" s="34"/>
      <c r="Q2803" s="34"/>
      <c r="R2803" s="34"/>
      <c r="S2803" s="34"/>
      <c r="T2803" s="34"/>
      <c r="U2803" s="34"/>
      <c r="V2803" s="255"/>
      <c r="W2803" s="34"/>
    </row>
    <row r="2804" spans="14:23">
      <c r="N2804" s="34"/>
      <c r="O2804" s="34"/>
      <c r="P2804" s="34"/>
      <c r="Q2804" s="34"/>
      <c r="R2804" s="34"/>
      <c r="S2804" s="34"/>
      <c r="T2804" s="34"/>
      <c r="U2804" s="34"/>
      <c r="V2804" s="255"/>
      <c r="W2804" s="34"/>
    </row>
    <row r="2805" spans="14:23">
      <c r="N2805" s="34"/>
      <c r="O2805" s="34"/>
      <c r="P2805" s="34"/>
      <c r="Q2805" s="34"/>
      <c r="R2805" s="34"/>
      <c r="S2805" s="34"/>
      <c r="T2805" s="34"/>
      <c r="U2805" s="34"/>
      <c r="V2805" s="255"/>
      <c r="W2805" s="34"/>
    </row>
    <row r="2806" spans="14:23">
      <c r="N2806" s="34"/>
      <c r="O2806" s="34"/>
      <c r="P2806" s="34"/>
      <c r="Q2806" s="34"/>
      <c r="R2806" s="34"/>
      <c r="S2806" s="34"/>
      <c r="T2806" s="34"/>
      <c r="U2806" s="34"/>
      <c r="V2806" s="255"/>
      <c r="W2806" s="34"/>
    </row>
    <row r="2807" spans="14:23">
      <c r="N2807" s="34"/>
      <c r="O2807" s="34"/>
      <c r="P2807" s="34"/>
      <c r="Q2807" s="34"/>
      <c r="R2807" s="34"/>
      <c r="S2807" s="34"/>
      <c r="T2807" s="34"/>
      <c r="U2807" s="34"/>
      <c r="V2807" s="255"/>
      <c r="W2807" s="34"/>
    </row>
    <row r="2808" spans="14:23">
      <c r="N2808" s="34"/>
      <c r="O2808" s="34"/>
      <c r="P2808" s="34"/>
      <c r="Q2808" s="34"/>
      <c r="R2808" s="34"/>
      <c r="S2808" s="34"/>
      <c r="T2808" s="34"/>
      <c r="U2808" s="34"/>
      <c r="V2808" s="255"/>
      <c r="W2808" s="34"/>
    </row>
    <row r="2809" spans="14:23">
      <c r="N2809" s="34"/>
      <c r="O2809" s="34"/>
      <c r="P2809" s="34"/>
      <c r="Q2809" s="34"/>
      <c r="R2809" s="34"/>
      <c r="S2809" s="34"/>
      <c r="T2809" s="34"/>
      <c r="U2809" s="34"/>
      <c r="V2809" s="255"/>
      <c r="W2809" s="34"/>
    </row>
    <row r="2810" spans="14:23">
      <c r="N2810" s="34"/>
      <c r="O2810" s="34"/>
      <c r="P2810" s="34"/>
      <c r="Q2810" s="34"/>
      <c r="R2810" s="34"/>
      <c r="S2810" s="34"/>
      <c r="T2810" s="34"/>
      <c r="U2810" s="34"/>
      <c r="V2810" s="255"/>
      <c r="W2810" s="34"/>
    </row>
    <row r="2811" spans="14:23">
      <c r="N2811" s="34"/>
      <c r="O2811" s="34"/>
      <c r="P2811" s="34"/>
      <c r="Q2811" s="34"/>
      <c r="R2811" s="34"/>
      <c r="S2811" s="34"/>
      <c r="T2811" s="34"/>
      <c r="U2811" s="34"/>
      <c r="V2811" s="255"/>
      <c r="W2811" s="34"/>
    </row>
    <row r="2812" spans="14:23">
      <c r="N2812" s="34"/>
      <c r="O2812" s="34"/>
      <c r="P2812" s="34"/>
      <c r="Q2812" s="34"/>
      <c r="R2812" s="34"/>
      <c r="S2812" s="34"/>
      <c r="T2812" s="34"/>
      <c r="U2812" s="34"/>
      <c r="V2812" s="255"/>
      <c r="W2812" s="34"/>
    </row>
    <row r="2813" spans="14:23">
      <c r="N2813" s="34"/>
      <c r="O2813" s="34"/>
      <c r="P2813" s="34"/>
      <c r="Q2813" s="34"/>
      <c r="R2813" s="34"/>
      <c r="S2813" s="34"/>
      <c r="T2813" s="34"/>
      <c r="U2813" s="34"/>
      <c r="V2813" s="255"/>
      <c r="W2813" s="34"/>
    </row>
    <row r="2814" spans="14:23">
      <c r="N2814" s="34"/>
      <c r="O2814" s="34"/>
      <c r="P2814" s="34"/>
      <c r="Q2814" s="34"/>
      <c r="R2814" s="34"/>
      <c r="S2814" s="34"/>
      <c r="T2814" s="34"/>
      <c r="U2814" s="34"/>
      <c r="V2814" s="255"/>
      <c r="W2814" s="34"/>
    </row>
    <row r="2815" spans="14:23">
      <c r="N2815" s="34"/>
      <c r="O2815" s="34"/>
      <c r="P2815" s="34"/>
      <c r="Q2815" s="34"/>
      <c r="R2815" s="34"/>
      <c r="S2815" s="34"/>
      <c r="T2815" s="34"/>
      <c r="U2815" s="34"/>
      <c r="V2815" s="255"/>
      <c r="W2815" s="34"/>
    </row>
    <row r="2816" spans="14:23">
      <c r="N2816" s="34"/>
      <c r="O2816" s="34"/>
      <c r="P2816" s="34"/>
      <c r="Q2816" s="34"/>
      <c r="R2816" s="34"/>
      <c r="S2816" s="34"/>
      <c r="T2816" s="34"/>
      <c r="U2816" s="34"/>
      <c r="V2816" s="255"/>
      <c r="W2816" s="34"/>
    </row>
    <row r="2817" spans="14:23">
      <c r="N2817" s="34"/>
      <c r="O2817" s="34"/>
      <c r="P2817" s="34"/>
      <c r="Q2817" s="34"/>
      <c r="R2817" s="34"/>
      <c r="S2817" s="34"/>
      <c r="T2817" s="34"/>
      <c r="U2817" s="34"/>
      <c r="V2817" s="255"/>
      <c r="W2817" s="34"/>
    </row>
    <row r="2818" spans="14:23">
      <c r="N2818" s="34"/>
      <c r="O2818" s="34"/>
      <c r="P2818" s="34"/>
      <c r="Q2818" s="34"/>
      <c r="R2818" s="34"/>
      <c r="S2818" s="34"/>
      <c r="T2818" s="34"/>
      <c r="U2818" s="34"/>
      <c r="V2818" s="255"/>
      <c r="W2818" s="34"/>
    </row>
    <row r="2819" spans="14:23">
      <c r="N2819" s="34"/>
      <c r="O2819" s="34"/>
      <c r="P2819" s="34"/>
      <c r="Q2819" s="34"/>
      <c r="R2819" s="34"/>
      <c r="S2819" s="34"/>
      <c r="T2819" s="34"/>
      <c r="U2819" s="34"/>
      <c r="V2819" s="255"/>
      <c r="W2819" s="34"/>
    </row>
    <row r="2820" spans="14:23">
      <c r="N2820" s="34"/>
      <c r="O2820" s="34"/>
      <c r="P2820" s="34"/>
      <c r="Q2820" s="34"/>
      <c r="R2820" s="34"/>
      <c r="S2820" s="34"/>
      <c r="T2820" s="34"/>
      <c r="U2820" s="34"/>
      <c r="V2820" s="255"/>
      <c r="W2820" s="34"/>
    </row>
    <row r="2821" spans="14:23">
      <c r="N2821" s="34"/>
      <c r="O2821" s="34"/>
      <c r="P2821" s="34"/>
      <c r="Q2821" s="34"/>
      <c r="R2821" s="34"/>
      <c r="S2821" s="34"/>
      <c r="T2821" s="34"/>
      <c r="U2821" s="34"/>
      <c r="V2821" s="255"/>
      <c r="W2821" s="34"/>
    </row>
    <row r="2822" spans="14:23">
      <c r="N2822" s="34"/>
      <c r="O2822" s="34"/>
      <c r="P2822" s="34"/>
      <c r="Q2822" s="34"/>
      <c r="R2822" s="34"/>
      <c r="S2822" s="34"/>
      <c r="T2822" s="34"/>
      <c r="U2822" s="34"/>
      <c r="V2822" s="255"/>
      <c r="W2822" s="34"/>
    </row>
    <row r="2823" spans="14:23">
      <c r="N2823" s="34"/>
      <c r="O2823" s="34"/>
      <c r="P2823" s="34"/>
      <c r="Q2823" s="34"/>
      <c r="R2823" s="34"/>
      <c r="S2823" s="34"/>
      <c r="T2823" s="34"/>
      <c r="U2823" s="34"/>
      <c r="V2823" s="255"/>
      <c r="W2823" s="34"/>
    </row>
    <row r="2824" spans="14:23">
      <c r="N2824" s="34"/>
      <c r="O2824" s="34"/>
      <c r="P2824" s="34"/>
      <c r="Q2824" s="34"/>
      <c r="R2824" s="34"/>
      <c r="S2824" s="34"/>
      <c r="T2824" s="34"/>
      <c r="U2824" s="34"/>
      <c r="V2824" s="255"/>
      <c r="W2824" s="34"/>
    </row>
    <row r="2825" spans="14:23">
      <c r="N2825" s="34"/>
      <c r="O2825" s="34"/>
      <c r="P2825" s="34"/>
      <c r="Q2825" s="34"/>
      <c r="R2825" s="34"/>
      <c r="S2825" s="34"/>
      <c r="T2825" s="34"/>
      <c r="U2825" s="34"/>
      <c r="V2825" s="255"/>
      <c r="W2825" s="34"/>
    </row>
    <row r="2826" spans="14:23">
      <c r="N2826" s="34"/>
      <c r="O2826" s="34"/>
      <c r="P2826" s="34"/>
      <c r="Q2826" s="34"/>
      <c r="R2826" s="34"/>
      <c r="S2826" s="34"/>
      <c r="T2826" s="34"/>
      <c r="U2826" s="34"/>
      <c r="V2826" s="255"/>
      <c r="W2826" s="34"/>
    </row>
    <row r="2827" spans="14:23">
      <c r="N2827" s="34"/>
      <c r="O2827" s="34"/>
      <c r="P2827" s="34"/>
      <c r="Q2827" s="34"/>
      <c r="R2827" s="34"/>
      <c r="S2827" s="34"/>
      <c r="T2827" s="34"/>
      <c r="U2827" s="34"/>
      <c r="V2827" s="255"/>
      <c r="W2827" s="34"/>
    </row>
    <row r="2828" spans="14:23">
      <c r="N2828" s="34"/>
      <c r="O2828" s="34"/>
      <c r="P2828" s="34"/>
      <c r="Q2828" s="34"/>
      <c r="R2828" s="34"/>
      <c r="S2828" s="34"/>
      <c r="T2828" s="34"/>
      <c r="U2828" s="34"/>
      <c r="V2828" s="255"/>
      <c r="W2828" s="34"/>
    </row>
    <row r="2829" spans="14:23">
      <c r="N2829" s="34"/>
      <c r="O2829" s="34"/>
      <c r="P2829" s="34"/>
      <c r="Q2829" s="34"/>
      <c r="R2829" s="34"/>
      <c r="S2829" s="34"/>
      <c r="T2829" s="34"/>
      <c r="U2829" s="34"/>
      <c r="V2829" s="255"/>
      <c r="W2829" s="34"/>
    </row>
    <row r="2830" spans="14:23">
      <c r="N2830" s="34"/>
      <c r="O2830" s="34"/>
      <c r="P2830" s="34"/>
      <c r="Q2830" s="34"/>
      <c r="R2830" s="34"/>
      <c r="S2830" s="34"/>
      <c r="T2830" s="34"/>
      <c r="U2830" s="34"/>
      <c r="V2830" s="255"/>
      <c r="W2830" s="34"/>
    </row>
    <row r="2831" spans="14:23">
      <c r="N2831" s="34"/>
      <c r="O2831" s="34"/>
      <c r="P2831" s="34"/>
      <c r="Q2831" s="34"/>
      <c r="R2831" s="34"/>
      <c r="S2831" s="34"/>
      <c r="T2831" s="34"/>
      <c r="U2831" s="34"/>
      <c r="V2831" s="255"/>
      <c r="W2831" s="34"/>
    </row>
    <row r="2832" spans="14:23">
      <c r="N2832" s="34"/>
      <c r="O2832" s="34"/>
      <c r="P2832" s="34"/>
      <c r="Q2832" s="34"/>
      <c r="R2832" s="34"/>
      <c r="S2832" s="34"/>
      <c r="T2832" s="34"/>
      <c r="U2832" s="34"/>
      <c r="V2832" s="255"/>
      <c r="W2832" s="34"/>
    </row>
    <row r="2833" spans="14:23">
      <c r="N2833" s="34"/>
      <c r="O2833" s="34"/>
      <c r="P2833" s="34"/>
      <c r="Q2833" s="34"/>
      <c r="R2833" s="34"/>
      <c r="S2833" s="34"/>
      <c r="T2833" s="34"/>
      <c r="U2833" s="34"/>
      <c r="V2833" s="255"/>
      <c r="W2833" s="34"/>
    </row>
    <row r="2834" spans="14:23">
      <c r="N2834" s="34"/>
      <c r="O2834" s="34"/>
      <c r="P2834" s="34"/>
      <c r="Q2834" s="34"/>
      <c r="R2834" s="34"/>
      <c r="S2834" s="34"/>
      <c r="T2834" s="34"/>
      <c r="U2834" s="34"/>
      <c r="V2834" s="255"/>
      <c r="W2834" s="34"/>
    </row>
    <row r="2835" spans="14:23">
      <c r="N2835" s="34"/>
      <c r="O2835" s="34"/>
      <c r="P2835" s="34"/>
      <c r="Q2835" s="34"/>
      <c r="R2835" s="34"/>
      <c r="S2835" s="34"/>
      <c r="T2835" s="34"/>
      <c r="U2835" s="34"/>
      <c r="V2835" s="255"/>
      <c r="W2835" s="34"/>
    </row>
    <row r="2836" spans="14:23">
      <c r="N2836" s="34"/>
      <c r="O2836" s="34"/>
      <c r="P2836" s="34"/>
      <c r="Q2836" s="34"/>
      <c r="R2836" s="34"/>
      <c r="S2836" s="34"/>
      <c r="T2836" s="34"/>
      <c r="U2836" s="34"/>
      <c r="V2836" s="255"/>
      <c r="W2836" s="34"/>
    </row>
    <row r="2837" spans="14:23">
      <c r="N2837" s="34"/>
      <c r="O2837" s="34"/>
      <c r="P2837" s="34"/>
      <c r="Q2837" s="34"/>
      <c r="R2837" s="34"/>
      <c r="S2837" s="34"/>
      <c r="T2837" s="34"/>
      <c r="U2837" s="34"/>
      <c r="V2837" s="255"/>
      <c r="W2837" s="34"/>
    </row>
    <row r="2838" spans="14:23">
      <c r="N2838" s="34"/>
      <c r="O2838" s="34"/>
      <c r="P2838" s="34"/>
      <c r="Q2838" s="34"/>
      <c r="R2838" s="34"/>
      <c r="S2838" s="34"/>
      <c r="T2838" s="34"/>
      <c r="U2838" s="34"/>
      <c r="V2838" s="255"/>
      <c r="W2838" s="34"/>
    </row>
    <row r="2839" spans="14:23">
      <c r="N2839" s="34"/>
      <c r="O2839" s="34"/>
      <c r="P2839" s="34"/>
      <c r="Q2839" s="34"/>
      <c r="R2839" s="34"/>
      <c r="S2839" s="34"/>
      <c r="T2839" s="34"/>
      <c r="U2839" s="34"/>
      <c r="V2839" s="255"/>
      <c r="W2839" s="34"/>
    </row>
    <row r="2840" spans="14:23">
      <c r="N2840" s="34"/>
      <c r="O2840" s="34"/>
      <c r="P2840" s="34"/>
      <c r="Q2840" s="34"/>
      <c r="R2840" s="34"/>
      <c r="S2840" s="34"/>
      <c r="T2840" s="34"/>
      <c r="U2840" s="34"/>
      <c r="V2840" s="255"/>
      <c r="W2840" s="34"/>
    </row>
    <row r="2841" spans="14:23">
      <c r="N2841" s="34"/>
      <c r="O2841" s="34"/>
      <c r="P2841" s="34"/>
      <c r="Q2841" s="34"/>
      <c r="R2841" s="34"/>
      <c r="S2841" s="34"/>
      <c r="T2841" s="34"/>
      <c r="U2841" s="34"/>
      <c r="V2841" s="255"/>
      <c r="W2841" s="34"/>
    </row>
    <row r="2842" spans="14:23">
      <c r="N2842" s="34"/>
      <c r="O2842" s="34"/>
      <c r="P2842" s="34"/>
      <c r="Q2842" s="34"/>
      <c r="R2842" s="34"/>
      <c r="S2842" s="34"/>
      <c r="T2842" s="34"/>
      <c r="U2842" s="34"/>
      <c r="V2842" s="255"/>
      <c r="W2842" s="34"/>
    </row>
    <row r="2843" spans="14:23">
      <c r="N2843" s="34"/>
      <c r="O2843" s="34"/>
      <c r="P2843" s="34"/>
      <c r="Q2843" s="34"/>
      <c r="R2843" s="34"/>
      <c r="S2843" s="34"/>
      <c r="T2843" s="34"/>
      <c r="U2843" s="34"/>
      <c r="V2843" s="255"/>
      <c r="W2843" s="34"/>
    </row>
    <row r="2844" spans="14:23">
      <c r="N2844" s="34"/>
      <c r="O2844" s="34"/>
      <c r="P2844" s="34"/>
      <c r="Q2844" s="34"/>
      <c r="R2844" s="34"/>
      <c r="S2844" s="34"/>
      <c r="T2844" s="34"/>
      <c r="U2844" s="34"/>
      <c r="V2844" s="255"/>
      <c r="W2844" s="34"/>
    </row>
    <row r="2845" spans="14:23">
      <c r="N2845" s="34"/>
      <c r="O2845" s="34"/>
      <c r="P2845" s="34"/>
      <c r="Q2845" s="34"/>
      <c r="R2845" s="34"/>
      <c r="S2845" s="34"/>
      <c r="T2845" s="34"/>
      <c r="U2845" s="34"/>
      <c r="V2845" s="255"/>
      <c r="W2845" s="34"/>
    </row>
    <row r="2846" spans="14:23">
      <c r="N2846" s="34"/>
      <c r="O2846" s="34"/>
      <c r="P2846" s="34"/>
      <c r="Q2846" s="34"/>
      <c r="R2846" s="34"/>
      <c r="S2846" s="34"/>
      <c r="T2846" s="34"/>
      <c r="U2846" s="34"/>
      <c r="V2846" s="255"/>
      <c r="W2846" s="34"/>
    </row>
    <row r="2847" spans="14:23">
      <c r="N2847" s="34"/>
      <c r="O2847" s="34"/>
      <c r="P2847" s="34"/>
      <c r="Q2847" s="34"/>
      <c r="R2847" s="34"/>
      <c r="S2847" s="34"/>
      <c r="T2847" s="34"/>
      <c r="U2847" s="34"/>
      <c r="V2847" s="255"/>
      <c r="W2847" s="34"/>
    </row>
    <row r="2848" spans="14:23">
      <c r="N2848" s="34"/>
      <c r="O2848" s="34"/>
      <c r="P2848" s="34"/>
      <c r="Q2848" s="34"/>
      <c r="R2848" s="34"/>
      <c r="S2848" s="34"/>
      <c r="T2848" s="34"/>
      <c r="U2848" s="34"/>
      <c r="V2848" s="255"/>
      <c r="W2848" s="34"/>
    </row>
    <row r="2849" spans="14:23">
      <c r="N2849" s="34"/>
      <c r="O2849" s="34"/>
      <c r="P2849" s="34"/>
      <c r="Q2849" s="34"/>
      <c r="R2849" s="34"/>
      <c r="S2849" s="34"/>
      <c r="T2849" s="34"/>
      <c r="U2849" s="34"/>
      <c r="V2849" s="255"/>
      <c r="W2849" s="34"/>
    </row>
    <row r="2850" spans="14:23">
      <c r="N2850" s="34"/>
      <c r="O2850" s="34"/>
      <c r="P2850" s="34"/>
      <c r="Q2850" s="34"/>
      <c r="R2850" s="34"/>
      <c r="S2850" s="34"/>
      <c r="T2850" s="34"/>
      <c r="U2850" s="34"/>
      <c r="V2850" s="255"/>
      <c r="W2850" s="34"/>
    </row>
    <row r="2851" spans="14:23">
      <c r="N2851" s="34"/>
      <c r="O2851" s="34"/>
      <c r="P2851" s="34"/>
      <c r="Q2851" s="34"/>
      <c r="R2851" s="34"/>
      <c r="S2851" s="34"/>
      <c r="T2851" s="34"/>
      <c r="U2851" s="34"/>
      <c r="V2851" s="255"/>
      <c r="W2851" s="34"/>
    </row>
    <row r="2852" spans="14:23">
      <c r="N2852" s="34"/>
      <c r="O2852" s="34"/>
      <c r="P2852" s="34"/>
      <c r="Q2852" s="34"/>
      <c r="R2852" s="34"/>
      <c r="S2852" s="34"/>
      <c r="T2852" s="34"/>
      <c r="U2852" s="34"/>
      <c r="V2852" s="255"/>
      <c r="W2852" s="34"/>
    </row>
    <row r="2853" spans="14:23">
      <c r="N2853" s="34"/>
      <c r="O2853" s="34"/>
      <c r="P2853" s="34"/>
      <c r="Q2853" s="34"/>
      <c r="R2853" s="34"/>
      <c r="S2853" s="34"/>
      <c r="T2853" s="34"/>
      <c r="U2853" s="34"/>
      <c r="V2853" s="255"/>
      <c r="W2853" s="34"/>
    </row>
    <row r="2854" spans="14:23">
      <c r="N2854" s="34"/>
      <c r="O2854" s="34"/>
      <c r="P2854" s="34"/>
      <c r="Q2854" s="34"/>
      <c r="R2854" s="34"/>
      <c r="S2854" s="34"/>
      <c r="T2854" s="34"/>
      <c r="U2854" s="34"/>
      <c r="V2854" s="255"/>
      <c r="W2854" s="34"/>
    </row>
    <row r="2855" spans="14:23">
      <c r="N2855" s="34"/>
      <c r="O2855" s="34"/>
      <c r="P2855" s="34"/>
      <c r="Q2855" s="34"/>
      <c r="R2855" s="34"/>
      <c r="S2855" s="34"/>
      <c r="T2855" s="34"/>
      <c r="U2855" s="34"/>
      <c r="V2855" s="255"/>
      <c r="W2855" s="34"/>
    </row>
    <row r="2856" spans="14:23">
      <c r="N2856" s="34"/>
      <c r="O2856" s="34"/>
      <c r="P2856" s="34"/>
      <c r="Q2856" s="34"/>
      <c r="R2856" s="34"/>
      <c r="S2856" s="34"/>
      <c r="T2856" s="34"/>
      <c r="U2856" s="34"/>
      <c r="V2856" s="255"/>
      <c r="W2856" s="34"/>
    </row>
    <row r="2857" spans="14:23">
      <c r="N2857" s="34"/>
      <c r="O2857" s="34"/>
      <c r="P2857" s="34"/>
      <c r="Q2857" s="34"/>
      <c r="R2857" s="34"/>
      <c r="S2857" s="34"/>
      <c r="T2857" s="34"/>
      <c r="U2857" s="34"/>
      <c r="V2857" s="255"/>
      <c r="W2857" s="34"/>
    </row>
    <row r="2858" spans="14:23">
      <c r="N2858" s="34"/>
      <c r="O2858" s="34"/>
      <c r="P2858" s="34"/>
      <c r="Q2858" s="34"/>
      <c r="R2858" s="34"/>
      <c r="S2858" s="34"/>
      <c r="T2858" s="34"/>
      <c r="U2858" s="34"/>
      <c r="V2858" s="255"/>
      <c r="W2858" s="34"/>
    </row>
    <row r="2859" spans="14:23">
      <c r="N2859" s="34"/>
      <c r="O2859" s="34"/>
      <c r="P2859" s="34"/>
      <c r="Q2859" s="34"/>
      <c r="R2859" s="34"/>
      <c r="S2859" s="34"/>
      <c r="T2859" s="34"/>
      <c r="U2859" s="34"/>
      <c r="V2859" s="255"/>
      <c r="W2859" s="34"/>
    </row>
    <row r="2860" spans="14:23">
      <c r="N2860" s="34"/>
      <c r="O2860" s="34"/>
      <c r="P2860" s="34"/>
      <c r="Q2860" s="34"/>
      <c r="R2860" s="34"/>
      <c r="S2860" s="34"/>
      <c r="T2860" s="34"/>
      <c r="U2860" s="34"/>
      <c r="V2860" s="255"/>
      <c r="W2860" s="34"/>
    </row>
    <row r="2861" spans="14:23">
      <c r="N2861" s="34"/>
      <c r="O2861" s="34"/>
      <c r="P2861" s="34"/>
      <c r="Q2861" s="34"/>
      <c r="R2861" s="34"/>
      <c r="S2861" s="34"/>
      <c r="T2861" s="34"/>
      <c r="U2861" s="34"/>
      <c r="V2861" s="255"/>
      <c r="W2861" s="34"/>
    </row>
    <row r="2862" spans="14:23">
      <c r="N2862" s="34"/>
      <c r="O2862" s="34"/>
      <c r="P2862" s="34"/>
      <c r="Q2862" s="34"/>
      <c r="R2862" s="34"/>
      <c r="S2862" s="34"/>
      <c r="T2862" s="34"/>
      <c r="U2862" s="34"/>
      <c r="V2862" s="255"/>
      <c r="W2862" s="34"/>
    </row>
    <row r="2863" spans="14:23">
      <c r="N2863" s="34"/>
      <c r="O2863" s="34"/>
      <c r="P2863" s="34"/>
      <c r="Q2863" s="34"/>
      <c r="R2863" s="34"/>
      <c r="S2863" s="34"/>
      <c r="T2863" s="34"/>
      <c r="U2863" s="34"/>
      <c r="V2863" s="255"/>
      <c r="W2863" s="34"/>
    </row>
    <row r="2864" spans="14:23">
      <c r="N2864" s="34"/>
      <c r="O2864" s="34"/>
      <c r="P2864" s="34"/>
      <c r="Q2864" s="34"/>
      <c r="R2864" s="34"/>
      <c r="S2864" s="34"/>
      <c r="T2864" s="34"/>
      <c r="U2864" s="34"/>
      <c r="V2864" s="255"/>
      <c r="W2864" s="34"/>
    </row>
    <row r="2865" spans="14:23">
      <c r="N2865" s="34"/>
      <c r="O2865" s="34"/>
      <c r="P2865" s="34"/>
      <c r="Q2865" s="34"/>
      <c r="R2865" s="34"/>
      <c r="S2865" s="34"/>
      <c r="T2865" s="34"/>
      <c r="U2865" s="34"/>
      <c r="V2865" s="255"/>
      <c r="W2865" s="34"/>
    </row>
    <row r="2866" spans="14:23">
      <c r="N2866" s="34"/>
      <c r="O2866" s="34"/>
      <c r="P2866" s="34"/>
      <c r="Q2866" s="34"/>
      <c r="R2866" s="34"/>
      <c r="S2866" s="34"/>
      <c r="T2866" s="34"/>
      <c r="U2866" s="34"/>
      <c r="V2866" s="255"/>
      <c r="W2866" s="34"/>
    </row>
    <row r="2867" spans="14:23">
      <c r="N2867" s="34"/>
      <c r="O2867" s="34"/>
      <c r="P2867" s="34"/>
      <c r="Q2867" s="34"/>
      <c r="R2867" s="34"/>
      <c r="S2867" s="34"/>
      <c r="T2867" s="34"/>
      <c r="U2867" s="34"/>
      <c r="V2867" s="255"/>
      <c r="W2867" s="34"/>
    </row>
    <row r="2868" spans="14:23">
      <c r="N2868" s="34"/>
      <c r="O2868" s="34"/>
      <c r="P2868" s="34"/>
      <c r="Q2868" s="34"/>
      <c r="R2868" s="34"/>
      <c r="S2868" s="34"/>
      <c r="T2868" s="34"/>
      <c r="U2868" s="34"/>
      <c r="V2868" s="255"/>
      <c r="W2868" s="34"/>
    </row>
    <row r="2869" spans="14:23">
      <c r="N2869" s="34"/>
      <c r="O2869" s="34"/>
      <c r="P2869" s="34"/>
      <c r="Q2869" s="34"/>
      <c r="R2869" s="34"/>
      <c r="S2869" s="34"/>
      <c r="T2869" s="34"/>
      <c r="U2869" s="34"/>
      <c r="V2869" s="255"/>
      <c r="W2869" s="34"/>
    </row>
    <row r="2870" spans="14:23">
      <c r="N2870" s="34"/>
      <c r="O2870" s="34"/>
      <c r="P2870" s="34"/>
      <c r="Q2870" s="34"/>
      <c r="R2870" s="34"/>
      <c r="S2870" s="34"/>
      <c r="T2870" s="34"/>
      <c r="U2870" s="34"/>
      <c r="V2870" s="255"/>
      <c r="W2870" s="34"/>
    </row>
    <row r="2871" spans="14:23">
      <c r="N2871" s="34"/>
      <c r="O2871" s="34"/>
      <c r="P2871" s="34"/>
      <c r="Q2871" s="34"/>
      <c r="R2871" s="34"/>
      <c r="S2871" s="34"/>
      <c r="T2871" s="34"/>
      <c r="U2871" s="34"/>
      <c r="V2871" s="255"/>
      <c r="W2871" s="34"/>
    </row>
    <row r="2872" spans="14:23">
      <c r="N2872" s="34"/>
      <c r="O2872" s="34"/>
      <c r="P2872" s="34"/>
      <c r="Q2872" s="34"/>
      <c r="R2872" s="34"/>
      <c r="S2872" s="34"/>
      <c r="T2872" s="34"/>
      <c r="U2872" s="34"/>
      <c r="V2872" s="255"/>
      <c r="W2872" s="34"/>
    </row>
    <row r="2873" spans="14:23">
      <c r="N2873" s="34"/>
      <c r="O2873" s="34"/>
      <c r="P2873" s="34"/>
      <c r="Q2873" s="34"/>
      <c r="R2873" s="34"/>
      <c r="S2873" s="34"/>
      <c r="T2873" s="34"/>
      <c r="U2873" s="34"/>
      <c r="V2873" s="255"/>
      <c r="W2873" s="34"/>
    </row>
    <row r="2874" spans="14:23">
      <c r="N2874" s="34"/>
      <c r="O2874" s="34"/>
      <c r="P2874" s="34"/>
      <c r="Q2874" s="34"/>
      <c r="R2874" s="34"/>
      <c r="S2874" s="34"/>
      <c r="T2874" s="34"/>
      <c r="U2874" s="34"/>
      <c r="V2874" s="255"/>
      <c r="W2874" s="34"/>
    </row>
    <row r="2875" spans="14:23">
      <c r="N2875" s="34"/>
      <c r="O2875" s="34"/>
      <c r="P2875" s="34"/>
      <c r="Q2875" s="34"/>
      <c r="R2875" s="34"/>
      <c r="S2875" s="34"/>
      <c r="T2875" s="34"/>
      <c r="U2875" s="34"/>
      <c r="V2875" s="255"/>
      <c r="W2875" s="34"/>
    </row>
    <row r="2876" spans="14:23">
      <c r="N2876" s="34"/>
      <c r="O2876" s="34"/>
      <c r="P2876" s="34"/>
      <c r="Q2876" s="34"/>
      <c r="R2876" s="34"/>
      <c r="S2876" s="34"/>
      <c r="T2876" s="34"/>
      <c r="U2876" s="34"/>
      <c r="V2876" s="255"/>
      <c r="W2876" s="34"/>
    </row>
    <row r="2877" spans="14:23">
      <c r="N2877" s="34"/>
      <c r="O2877" s="34"/>
      <c r="P2877" s="34"/>
      <c r="Q2877" s="34"/>
      <c r="R2877" s="34"/>
      <c r="S2877" s="34"/>
      <c r="T2877" s="34"/>
      <c r="U2877" s="34"/>
      <c r="V2877" s="255"/>
      <c r="W2877" s="34"/>
    </row>
    <row r="2878" spans="14:23">
      <c r="N2878" s="34"/>
      <c r="O2878" s="34"/>
      <c r="P2878" s="34"/>
      <c r="Q2878" s="34"/>
      <c r="R2878" s="34"/>
      <c r="S2878" s="34"/>
      <c r="T2878" s="34"/>
      <c r="U2878" s="34"/>
      <c r="V2878" s="255"/>
      <c r="W2878" s="34"/>
    </row>
    <row r="2879" spans="14:23">
      <c r="N2879" s="34"/>
      <c r="O2879" s="34"/>
      <c r="P2879" s="34"/>
      <c r="Q2879" s="34"/>
      <c r="R2879" s="34"/>
      <c r="S2879" s="34"/>
      <c r="T2879" s="34"/>
      <c r="U2879" s="34"/>
      <c r="V2879" s="255"/>
      <c r="W2879" s="34"/>
    </row>
    <row r="2880" spans="14:23">
      <c r="N2880" s="34"/>
      <c r="O2880" s="34"/>
      <c r="P2880" s="34"/>
      <c r="Q2880" s="34"/>
      <c r="R2880" s="34"/>
      <c r="S2880" s="34"/>
      <c r="T2880" s="34"/>
      <c r="U2880" s="34"/>
      <c r="V2880" s="255"/>
      <c r="W2880" s="34"/>
    </row>
    <row r="2881" spans="14:23">
      <c r="N2881" s="34"/>
      <c r="O2881" s="34"/>
      <c r="P2881" s="34"/>
      <c r="Q2881" s="34"/>
      <c r="R2881" s="34"/>
      <c r="S2881" s="34"/>
      <c r="T2881" s="34"/>
      <c r="U2881" s="34"/>
      <c r="V2881" s="255"/>
      <c r="W2881" s="34"/>
    </row>
    <row r="2882" spans="14:23">
      <c r="N2882" s="34"/>
      <c r="O2882" s="34"/>
      <c r="P2882" s="34"/>
      <c r="Q2882" s="34"/>
      <c r="R2882" s="34"/>
      <c r="S2882" s="34"/>
      <c r="T2882" s="34"/>
      <c r="U2882" s="34"/>
      <c r="V2882" s="255"/>
      <c r="W2882" s="34"/>
    </row>
    <row r="2883" spans="14:23">
      <c r="N2883" s="34"/>
      <c r="O2883" s="34"/>
      <c r="P2883" s="34"/>
      <c r="Q2883" s="34"/>
      <c r="R2883" s="34"/>
      <c r="S2883" s="34"/>
      <c r="T2883" s="34"/>
      <c r="U2883" s="34"/>
      <c r="V2883" s="255"/>
      <c r="W2883" s="34"/>
    </row>
    <row r="2884" spans="14:23">
      <c r="N2884" s="34"/>
      <c r="O2884" s="34"/>
      <c r="P2884" s="34"/>
      <c r="Q2884" s="34"/>
      <c r="R2884" s="34"/>
      <c r="S2884" s="34"/>
      <c r="T2884" s="34"/>
      <c r="U2884" s="34"/>
      <c r="V2884" s="255"/>
      <c r="W2884" s="34"/>
    </row>
    <row r="2885" spans="14:23">
      <c r="N2885" s="34"/>
      <c r="O2885" s="34"/>
      <c r="P2885" s="34"/>
      <c r="Q2885" s="34"/>
      <c r="R2885" s="34"/>
      <c r="S2885" s="34"/>
      <c r="T2885" s="34"/>
      <c r="U2885" s="34"/>
      <c r="V2885" s="255"/>
      <c r="W2885" s="34"/>
    </row>
    <row r="2886" spans="14:23">
      <c r="N2886" s="34"/>
      <c r="O2886" s="34"/>
      <c r="P2886" s="34"/>
      <c r="Q2886" s="34"/>
      <c r="R2886" s="34"/>
      <c r="S2886" s="34"/>
      <c r="T2886" s="34"/>
      <c r="U2886" s="34"/>
      <c r="V2886" s="255"/>
      <c r="W2886" s="34"/>
    </row>
    <row r="2887" spans="14:23">
      <c r="N2887" s="34"/>
      <c r="O2887" s="34"/>
      <c r="P2887" s="34"/>
      <c r="Q2887" s="34"/>
      <c r="R2887" s="34"/>
      <c r="S2887" s="34"/>
      <c r="T2887" s="34"/>
      <c r="U2887" s="34"/>
      <c r="V2887" s="255"/>
      <c r="W2887" s="34"/>
    </row>
    <row r="2888" spans="14:23">
      <c r="N2888" s="34"/>
      <c r="O2888" s="34"/>
      <c r="P2888" s="34"/>
      <c r="Q2888" s="34"/>
      <c r="R2888" s="34"/>
      <c r="S2888" s="34"/>
      <c r="T2888" s="34"/>
      <c r="U2888" s="34"/>
      <c r="V2888" s="255"/>
      <c r="W2888" s="34"/>
    </row>
    <row r="2889" spans="14:23">
      <c r="N2889" s="34"/>
      <c r="O2889" s="34"/>
      <c r="P2889" s="34"/>
      <c r="Q2889" s="34"/>
      <c r="R2889" s="34"/>
      <c r="S2889" s="34"/>
      <c r="T2889" s="34"/>
      <c r="U2889" s="34"/>
      <c r="V2889" s="255"/>
      <c r="W2889" s="34"/>
    </row>
    <row r="2890" spans="14:23">
      <c r="N2890" s="34"/>
      <c r="O2890" s="34"/>
      <c r="P2890" s="34"/>
      <c r="Q2890" s="34"/>
      <c r="R2890" s="34"/>
      <c r="S2890" s="34"/>
      <c r="T2890" s="34"/>
      <c r="U2890" s="34"/>
      <c r="V2890" s="255"/>
      <c r="W2890" s="34"/>
    </row>
    <row r="2891" spans="14:23">
      <c r="N2891" s="34"/>
      <c r="O2891" s="34"/>
      <c r="P2891" s="34"/>
      <c r="Q2891" s="34"/>
      <c r="R2891" s="34"/>
      <c r="S2891" s="34"/>
      <c r="T2891" s="34"/>
      <c r="U2891" s="34"/>
      <c r="V2891" s="255"/>
      <c r="W2891" s="34"/>
    </row>
    <row r="2892" spans="14:23">
      <c r="N2892" s="34"/>
      <c r="O2892" s="34"/>
      <c r="P2892" s="34"/>
      <c r="Q2892" s="34"/>
      <c r="R2892" s="34"/>
      <c r="S2892" s="34"/>
      <c r="T2892" s="34"/>
      <c r="U2892" s="34"/>
      <c r="V2892" s="255"/>
      <c r="W2892" s="34"/>
    </row>
    <row r="2893" spans="14:23">
      <c r="N2893" s="34"/>
      <c r="O2893" s="34"/>
      <c r="P2893" s="34"/>
      <c r="Q2893" s="34"/>
      <c r="R2893" s="34"/>
      <c r="S2893" s="34"/>
      <c r="T2893" s="34"/>
      <c r="U2893" s="34"/>
      <c r="V2893" s="255"/>
      <c r="W2893" s="34"/>
    </row>
    <row r="2894" spans="14:23">
      <c r="N2894" s="34"/>
      <c r="O2894" s="34"/>
      <c r="P2894" s="34"/>
      <c r="Q2894" s="34"/>
      <c r="R2894" s="34"/>
      <c r="S2894" s="34"/>
      <c r="T2894" s="34"/>
      <c r="U2894" s="34"/>
      <c r="V2894" s="255"/>
      <c r="W2894" s="34"/>
    </row>
    <row r="2895" spans="14:23">
      <c r="N2895" s="34"/>
      <c r="O2895" s="34"/>
      <c r="P2895" s="34"/>
      <c r="Q2895" s="34"/>
      <c r="R2895" s="34"/>
      <c r="S2895" s="34"/>
      <c r="T2895" s="34"/>
      <c r="U2895" s="34"/>
      <c r="V2895" s="255"/>
      <c r="W2895" s="34"/>
    </row>
    <row r="2896" spans="14:23">
      <c r="N2896" s="34"/>
      <c r="O2896" s="34"/>
      <c r="P2896" s="34"/>
      <c r="Q2896" s="34"/>
      <c r="R2896" s="34"/>
      <c r="S2896" s="34"/>
      <c r="T2896" s="34"/>
      <c r="U2896" s="34"/>
      <c r="V2896" s="255"/>
      <c r="W2896" s="34"/>
    </row>
    <row r="2897" spans="14:23">
      <c r="N2897" s="34"/>
      <c r="O2897" s="34"/>
      <c r="P2897" s="34"/>
      <c r="Q2897" s="34"/>
      <c r="R2897" s="34"/>
      <c r="S2897" s="34"/>
      <c r="T2897" s="34"/>
      <c r="U2897" s="34"/>
      <c r="V2897" s="255"/>
      <c r="W2897" s="34"/>
    </row>
    <row r="2898" spans="14:23">
      <c r="N2898" s="34"/>
      <c r="O2898" s="34"/>
      <c r="P2898" s="34"/>
      <c r="Q2898" s="34"/>
      <c r="R2898" s="34"/>
      <c r="S2898" s="34"/>
      <c r="T2898" s="34"/>
      <c r="U2898" s="34"/>
      <c r="V2898" s="255"/>
      <c r="W2898" s="34"/>
    </row>
    <row r="2899" spans="14:23">
      <c r="N2899" s="34"/>
      <c r="O2899" s="34"/>
      <c r="P2899" s="34"/>
      <c r="Q2899" s="34"/>
      <c r="R2899" s="34"/>
      <c r="S2899" s="34"/>
      <c r="T2899" s="34"/>
      <c r="U2899" s="34"/>
      <c r="V2899" s="255"/>
      <c r="W2899" s="34"/>
    </row>
    <row r="2900" spans="14:23">
      <c r="N2900" s="34"/>
      <c r="O2900" s="34"/>
      <c r="P2900" s="34"/>
      <c r="Q2900" s="34"/>
      <c r="R2900" s="34"/>
      <c r="S2900" s="34"/>
      <c r="T2900" s="34"/>
      <c r="U2900" s="34"/>
      <c r="V2900" s="255"/>
      <c r="W2900" s="34"/>
    </row>
    <row r="2901" spans="14:23">
      <c r="N2901" s="34"/>
      <c r="O2901" s="34"/>
      <c r="P2901" s="34"/>
      <c r="Q2901" s="34"/>
      <c r="R2901" s="34"/>
      <c r="S2901" s="34"/>
      <c r="T2901" s="34"/>
      <c r="U2901" s="34"/>
      <c r="V2901" s="255"/>
      <c r="W2901" s="34"/>
    </row>
    <row r="2902" spans="14:23">
      <c r="N2902" s="34"/>
      <c r="O2902" s="34"/>
      <c r="P2902" s="34"/>
      <c r="Q2902" s="34"/>
      <c r="R2902" s="34"/>
      <c r="S2902" s="34"/>
      <c r="T2902" s="34"/>
      <c r="U2902" s="34"/>
      <c r="V2902" s="255"/>
      <c r="W2902" s="34"/>
    </row>
    <row r="2903" spans="14:23">
      <c r="N2903" s="34"/>
      <c r="O2903" s="34"/>
      <c r="P2903" s="34"/>
      <c r="Q2903" s="34"/>
      <c r="R2903" s="34"/>
      <c r="S2903" s="34"/>
      <c r="T2903" s="34"/>
      <c r="U2903" s="34"/>
      <c r="V2903" s="255"/>
      <c r="W2903" s="34"/>
    </row>
    <row r="2904" spans="14:23">
      <c r="N2904" s="34"/>
      <c r="O2904" s="34"/>
      <c r="P2904" s="34"/>
      <c r="Q2904" s="34"/>
      <c r="R2904" s="34"/>
      <c r="S2904" s="34"/>
      <c r="T2904" s="34"/>
      <c r="U2904" s="34"/>
      <c r="V2904" s="255"/>
      <c r="W2904" s="34"/>
    </row>
    <row r="2905" spans="14:23">
      <c r="N2905" s="34"/>
      <c r="O2905" s="34"/>
      <c r="P2905" s="34"/>
      <c r="Q2905" s="34"/>
      <c r="R2905" s="34"/>
      <c r="S2905" s="34"/>
      <c r="T2905" s="34"/>
      <c r="U2905" s="34"/>
      <c r="V2905" s="255"/>
      <c r="W2905" s="34"/>
    </row>
    <row r="2906" spans="14:23">
      <c r="N2906" s="34"/>
      <c r="O2906" s="34"/>
      <c r="P2906" s="34"/>
      <c r="Q2906" s="34"/>
      <c r="R2906" s="34"/>
      <c r="S2906" s="34"/>
      <c r="T2906" s="34"/>
      <c r="U2906" s="34"/>
      <c r="V2906" s="255"/>
      <c r="W2906" s="34"/>
    </row>
    <row r="2907" spans="14:23">
      <c r="N2907" s="34"/>
      <c r="O2907" s="34"/>
      <c r="P2907" s="34"/>
      <c r="Q2907" s="34"/>
      <c r="R2907" s="34"/>
      <c r="S2907" s="34"/>
      <c r="T2907" s="34"/>
      <c r="U2907" s="34"/>
      <c r="V2907" s="255"/>
      <c r="W2907" s="34"/>
    </row>
    <row r="2908" spans="14:23">
      <c r="N2908" s="34"/>
      <c r="O2908" s="34"/>
      <c r="P2908" s="34"/>
      <c r="Q2908" s="34"/>
      <c r="R2908" s="34"/>
      <c r="S2908" s="34"/>
      <c r="T2908" s="34"/>
      <c r="U2908" s="34"/>
      <c r="V2908" s="255"/>
      <c r="W2908" s="34"/>
    </row>
    <row r="2909" spans="14:23">
      <c r="N2909" s="34"/>
      <c r="O2909" s="34"/>
      <c r="P2909" s="34"/>
      <c r="Q2909" s="34"/>
      <c r="R2909" s="34"/>
      <c r="S2909" s="34"/>
      <c r="T2909" s="34"/>
      <c r="U2909" s="34"/>
      <c r="V2909" s="255"/>
      <c r="W2909" s="34"/>
    </row>
    <row r="2910" spans="14:23">
      <c r="N2910" s="34"/>
      <c r="O2910" s="34"/>
      <c r="P2910" s="34"/>
      <c r="Q2910" s="34"/>
      <c r="R2910" s="34"/>
      <c r="S2910" s="34"/>
      <c r="T2910" s="34"/>
      <c r="U2910" s="34"/>
      <c r="V2910" s="255"/>
      <c r="W2910" s="34"/>
    </row>
    <row r="2911" spans="14:23">
      <c r="N2911" s="34"/>
      <c r="O2911" s="34"/>
      <c r="P2911" s="34"/>
      <c r="Q2911" s="34"/>
      <c r="R2911" s="34"/>
      <c r="S2911" s="34"/>
      <c r="T2911" s="34"/>
      <c r="U2911" s="34"/>
      <c r="V2911" s="255"/>
      <c r="W2911" s="34"/>
    </row>
    <row r="2912" spans="14:23">
      <c r="N2912" s="34"/>
      <c r="O2912" s="34"/>
      <c r="P2912" s="34"/>
      <c r="Q2912" s="34"/>
      <c r="R2912" s="34"/>
      <c r="S2912" s="34"/>
      <c r="T2912" s="34"/>
      <c r="U2912" s="34"/>
      <c r="V2912" s="255"/>
      <c r="W2912" s="34"/>
    </row>
    <row r="2913" spans="14:23">
      <c r="N2913" s="34"/>
      <c r="O2913" s="34"/>
      <c r="P2913" s="34"/>
      <c r="Q2913" s="34"/>
      <c r="R2913" s="34"/>
      <c r="S2913" s="34"/>
      <c r="T2913" s="34"/>
      <c r="U2913" s="34"/>
      <c r="V2913" s="255"/>
      <c r="W2913" s="34"/>
    </row>
    <row r="2914" spans="14:23">
      <c r="N2914" s="34"/>
      <c r="O2914" s="34"/>
      <c r="P2914" s="34"/>
      <c r="Q2914" s="34"/>
      <c r="R2914" s="34"/>
      <c r="S2914" s="34"/>
      <c r="T2914" s="34"/>
      <c r="U2914" s="34"/>
      <c r="V2914" s="255"/>
      <c r="W2914" s="34"/>
    </row>
    <row r="2915" spans="14:23">
      <c r="N2915" s="34"/>
      <c r="O2915" s="34"/>
      <c r="P2915" s="34"/>
      <c r="Q2915" s="34"/>
      <c r="R2915" s="34"/>
      <c r="S2915" s="34"/>
      <c r="T2915" s="34"/>
      <c r="U2915" s="34"/>
      <c r="V2915" s="255"/>
      <c r="W2915" s="34"/>
    </row>
    <row r="2916" spans="14:23">
      <c r="N2916" s="34"/>
      <c r="O2916" s="34"/>
      <c r="P2916" s="34"/>
      <c r="Q2916" s="34"/>
      <c r="R2916" s="34"/>
      <c r="S2916" s="34"/>
      <c r="T2916" s="34"/>
      <c r="U2916" s="34"/>
      <c r="V2916" s="255"/>
      <c r="W2916" s="34"/>
    </row>
    <row r="2917" spans="14:23">
      <c r="N2917" s="34"/>
      <c r="O2917" s="34"/>
      <c r="P2917" s="34"/>
      <c r="Q2917" s="34"/>
      <c r="R2917" s="34"/>
      <c r="S2917" s="34"/>
      <c r="T2917" s="34"/>
      <c r="U2917" s="34"/>
      <c r="V2917" s="255"/>
      <c r="W2917" s="34"/>
    </row>
    <row r="2918" spans="14:23">
      <c r="N2918" s="34"/>
      <c r="O2918" s="34"/>
      <c r="P2918" s="34"/>
      <c r="Q2918" s="34"/>
      <c r="R2918" s="34"/>
      <c r="S2918" s="34"/>
      <c r="T2918" s="34"/>
      <c r="U2918" s="34"/>
      <c r="V2918" s="255"/>
      <c r="W2918" s="34"/>
    </row>
    <row r="2919" spans="14:23">
      <c r="N2919" s="34"/>
      <c r="O2919" s="34"/>
      <c r="P2919" s="34"/>
      <c r="Q2919" s="34"/>
      <c r="R2919" s="34"/>
      <c r="S2919" s="34"/>
      <c r="T2919" s="34"/>
      <c r="U2919" s="34"/>
      <c r="V2919" s="255"/>
      <c r="W2919" s="34"/>
    </row>
    <row r="2920" spans="14:23">
      <c r="N2920" s="34"/>
      <c r="O2920" s="34"/>
      <c r="P2920" s="34"/>
      <c r="Q2920" s="34"/>
      <c r="R2920" s="34"/>
      <c r="S2920" s="34"/>
      <c r="T2920" s="34"/>
      <c r="U2920" s="34"/>
      <c r="V2920" s="255"/>
      <c r="W2920" s="34"/>
    </row>
    <row r="2921" spans="14:23">
      <c r="N2921" s="34"/>
      <c r="O2921" s="34"/>
      <c r="P2921" s="34"/>
      <c r="Q2921" s="34"/>
      <c r="R2921" s="34"/>
      <c r="S2921" s="34"/>
      <c r="T2921" s="34"/>
      <c r="U2921" s="34"/>
      <c r="V2921" s="255"/>
      <c r="W2921" s="34"/>
    </row>
    <row r="2922" spans="14:23">
      <c r="N2922" s="34"/>
      <c r="O2922" s="34"/>
      <c r="P2922" s="34"/>
      <c r="Q2922" s="34"/>
      <c r="R2922" s="34"/>
      <c r="S2922" s="34"/>
      <c r="T2922" s="34"/>
      <c r="U2922" s="34"/>
      <c r="V2922" s="255"/>
      <c r="W2922" s="34"/>
    </row>
    <row r="2923" spans="14:23">
      <c r="N2923" s="34"/>
      <c r="O2923" s="34"/>
      <c r="P2923" s="34"/>
      <c r="Q2923" s="34"/>
      <c r="R2923" s="34"/>
      <c r="S2923" s="34"/>
      <c r="T2923" s="34"/>
      <c r="U2923" s="34"/>
      <c r="V2923" s="255"/>
      <c r="W2923" s="34"/>
    </row>
    <row r="2924" spans="14:23">
      <c r="N2924" s="34"/>
      <c r="O2924" s="34"/>
      <c r="P2924" s="34"/>
      <c r="Q2924" s="34"/>
      <c r="R2924" s="34"/>
      <c r="S2924" s="34"/>
      <c r="T2924" s="34"/>
      <c r="U2924" s="34"/>
      <c r="V2924" s="255"/>
      <c r="W2924" s="34"/>
    </row>
    <row r="2925" spans="14:23">
      <c r="N2925" s="34"/>
      <c r="O2925" s="34"/>
      <c r="P2925" s="34"/>
      <c r="Q2925" s="34"/>
      <c r="R2925" s="34"/>
      <c r="S2925" s="34"/>
      <c r="T2925" s="34"/>
      <c r="U2925" s="34"/>
      <c r="V2925" s="255"/>
      <c r="W2925" s="34"/>
    </row>
    <row r="2926" spans="14:23">
      <c r="N2926" s="34"/>
      <c r="O2926" s="34"/>
      <c r="P2926" s="34"/>
      <c r="Q2926" s="34"/>
      <c r="R2926" s="34"/>
      <c r="S2926" s="34"/>
      <c r="T2926" s="34"/>
      <c r="U2926" s="34"/>
      <c r="V2926" s="255"/>
      <c r="W2926" s="34"/>
    </row>
    <row r="2927" spans="14:23">
      <c r="N2927" s="34"/>
      <c r="O2927" s="34"/>
      <c r="P2927" s="34"/>
      <c r="Q2927" s="34"/>
      <c r="R2927" s="34"/>
      <c r="S2927" s="34"/>
      <c r="T2927" s="34"/>
      <c r="U2927" s="34"/>
      <c r="V2927" s="255"/>
      <c r="W2927" s="34"/>
    </row>
    <row r="2928" spans="14:23">
      <c r="N2928" s="34"/>
      <c r="O2928" s="34"/>
      <c r="P2928" s="34"/>
      <c r="Q2928" s="34"/>
      <c r="R2928" s="34"/>
      <c r="S2928" s="34"/>
      <c r="T2928" s="34"/>
      <c r="U2928" s="34"/>
      <c r="V2928" s="255"/>
      <c r="W2928" s="34"/>
    </row>
    <row r="2929" spans="14:23">
      <c r="N2929" s="34"/>
      <c r="O2929" s="34"/>
      <c r="P2929" s="34"/>
      <c r="Q2929" s="34"/>
      <c r="R2929" s="34"/>
      <c r="S2929" s="34"/>
      <c r="T2929" s="34"/>
      <c r="U2929" s="34"/>
      <c r="V2929" s="255"/>
      <c r="W2929" s="34"/>
    </row>
    <row r="2930" spans="14:23">
      <c r="N2930" s="34"/>
      <c r="O2930" s="34"/>
      <c r="P2930" s="34"/>
      <c r="Q2930" s="34"/>
      <c r="R2930" s="34"/>
      <c r="S2930" s="34"/>
      <c r="T2930" s="34"/>
      <c r="U2930" s="34"/>
      <c r="V2930" s="255"/>
      <c r="W2930" s="34"/>
    </row>
    <row r="2931" spans="14:23">
      <c r="N2931" s="34"/>
      <c r="O2931" s="34"/>
      <c r="P2931" s="34"/>
      <c r="Q2931" s="34"/>
      <c r="R2931" s="34"/>
      <c r="S2931" s="34"/>
      <c r="T2931" s="34"/>
      <c r="U2931" s="34"/>
      <c r="V2931" s="255"/>
      <c r="W2931" s="34"/>
    </row>
    <row r="2932" spans="14:23">
      <c r="N2932" s="34"/>
      <c r="O2932" s="34"/>
      <c r="P2932" s="34"/>
      <c r="Q2932" s="34"/>
      <c r="R2932" s="34"/>
      <c r="S2932" s="34"/>
      <c r="T2932" s="34"/>
      <c r="U2932" s="34"/>
      <c r="V2932" s="255"/>
      <c r="W2932" s="34"/>
    </row>
    <row r="2933" spans="14:23">
      <c r="N2933" s="34"/>
      <c r="O2933" s="34"/>
      <c r="P2933" s="34"/>
      <c r="Q2933" s="34"/>
      <c r="R2933" s="34"/>
      <c r="S2933" s="34"/>
      <c r="T2933" s="34"/>
      <c r="U2933" s="34"/>
      <c r="V2933" s="255"/>
      <c r="W2933" s="34"/>
    </row>
    <row r="2934" spans="14:23">
      <c r="N2934" s="34"/>
      <c r="O2934" s="34"/>
      <c r="P2934" s="34"/>
      <c r="Q2934" s="34"/>
      <c r="R2934" s="34"/>
      <c r="S2934" s="34"/>
      <c r="T2934" s="34"/>
      <c r="U2934" s="34"/>
      <c r="V2934" s="255"/>
      <c r="W2934" s="34"/>
    </row>
    <row r="2935" spans="14:23">
      <c r="N2935" s="34"/>
      <c r="O2935" s="34"/>
      <c r="P2935" s="34"/>
      <c r="Q2935" s="34"/>
      <c r="R2935" s="34"/>
      <c r="S2935" s="34"/>
      <c r="T2935" s="34"/>
      <c r="U2935" s="34"/>
      <c r="V2935" s="255"/>
      <c r="W2935" s="34"/>
    </row>
    <row r="2936" spans="14:23">
      <c r="N2936" s="34"/>
      <c r="O2936" s="34"/>
      <c r="P2936" s="34"/>
      <c r="Q2936" s="34"/>
      <c r="R2936" s="34"/>
      <c r="S2936" s="34"/>
      <c r="T2936" s="34"/>
      <c r="U2936" s="34"/>
      <c r="V2936" s="255"/>
      <c r="W2936" s="34"/>
    </row>
    <row r="2937" spans="14:23">
      <c r="N2937" s="34"/>
      <c r="O2937" s="34"/>
      <c r="P2937" s="34"/>
      <c r="Q2937" s="34"/>
      <c r="R2937" s="34"/>
      <c r="S2937" s="34"/>
      <c r="T2937" s="34"/>
      <c r="U2937" s="34"/>
      <c r="V2937" s="255"/>
      <c r="W2937" s="34"/>
    </row>
    <row r="2938" spans="14:23">
      <c r="N2938" s="34"/>
      <c r="O2938" s="34"/>
      <c r="P2938" s="34"/>
      <c r="Q2938" s="34"/>
      <c r="R2938" s="34"/>
      <c r="S2938" s="34"/>
      <c r="T2938" s="34"/>
      <c r="U2938" s="34"/>
      <c r="V2938" s="255"/>
      <c r="W2938" s="34"/>
    </row>
    <row r="2939" spans="14:23">
      <c r="N2939" s="34"/>
      <c r="O2939" s="34"/>
      <c r="P2939" s="34"/>
      <c r="Q2939" s="34"/>
      <c r="R2939" s="34"/>
      <c r="S2939" s="34"/>
      <c r="T2939" s="34"/>
      <c r="U2939" s="34"/>
      <c r="V2939" s="255"/>
      <c r="W2939" s="34"/>
    </row>
    <row r="2940" spans="14:23">
      <c r="N2940" s="34"/>
      <c r="O2940" s="34"/>
      <c r="P2940" s="34"/>
      <c r="Q2940" s="34"/>
      <c r="R2940" s="34"/>
      <c r="S2940" s="34"/>
      <c r="T2940" s="34"/>
      <c r="U2940" s="34"/>
      <c r="V2940" s="255"/>
      <c r="W2940" s="34"/>
    </row>
    <row r="2941" spans="14:23">
      <c r="N2941" s="34"/>
      <c r="O2941" s="34"/>
      <c r="P2941" s="34"/>
      <c r="Q2941" s="34"/>
      <c r="R2941" s="34"/>
      <c r="S2941" s="34"/>
      <c r="T2941" s="34"/>
      <c r="U2941" s="34"/>
      <c r="V2941" s="255"/>
      <c r="W2941" s="34"/>
    </row>
    <row r="2942" spans="14:23">
      <c r="N2942" s="34"/>
      <c r="O2942" s="34"/>
      <c r="P2942" s="34"/>
      <c r="Q2942" s="34"/>
      <c r="R2942" s="34"/>
      <c r="S2942" s="34"/>
      <c r="T2942" s="34"/>
      <c r="U2942" s="34"/>
      <c r="V2942" s="255"/>
      <c r="W2942" s="34"/>
    </row>
    <row r="2943" spans="14:23">
      <c r="N2943" s="34"/>
      <c r="O2943" s="34"/>
      <c r="P2943" s="34"/>
      <c r="Q2943" s="34"/>
      <c r="R2943" s="34"/>
      <c r="S2943" s="34"/>
      <c r="T2943" s="34"/>
      <c r="U2943" s="34"/>
      <c r="V2943" s="255"/>
      <c r="W2943" s="34"/>
    </row>
    <row r="2944" spans="14:23">
      <c r="N2944" s="34"/>
      <c r="O2944" s="34"/>
      <c r="P2944" s="34"/>
      <c r="Q2944" s="34"/>
      <c r="R2944" s="34"/>
      <c r="S2944" s="34"/>
      <c r="T2944" s="34"/>
      <c r="U2944" s="34"/>
      <c r="V2944" s="255"/>
      <c r="W2944" s="34"/>
    </row>
    <row r="2945" spans="14:23">
      <c r="N2945" s="34"/>
      <c r="O2945" s="34"/>
      <c r="P2945" s="34"/>
      <c r="Q2945" s="34"/>
      <c r="R2945" s="34"/>
      <c r="S2945" s="34"/>
      <c r="T2945" s="34"/>
      <c r="U2945" s="34"/>
      <c r="V2945" s="255"/>
      <c r="W2945" s="34"/>
    </row>
    <row r="2946" spans="14:23">
      <c r="N2946" s="34"/>
      <c r="O2946" s="34"/>
      <c r="P2946" s="34"/>
      <c r="Q2946" s="34"/>
      <c r="R2946" s="34"/>
      <c r="S2946" s="34"/>
      <c r="T2946" s="34"/>
      <c r="U2946" s="34"/>
      <c r="V2946" s="255"/>
      <c r="W2946" s="34"/>
    </row>
    <row r="2947" spans="14:23">
      <c r="N2947" s="34"/>
      <c r="O2947" s="34"/>
      <c r="P2947" s="34"/>
      <c r="Q2947" s="34"/>
      <c r="R2947" s="34"/>
      <c r="S2947" s="34"/>
      <c r="T2947" s="34"/>
      <c r="U2947" s="34"/>
      <c r="V2947" s="255"/>
      <c r="W2947" s="34"/>
    </row>
    <row r="2948" spans="14:23">
      <c r="N2948" s="34"/>
      <c r="O2948" s="34"/>
      <c r="P2948" s="34"/>
      <c r="Q2948" s="34"/>
      <c r="R2948" s="34"/>
      <c r="S2948" s="34"/>
      <c r="T2948" s="34"/>
      <c r="U2948" s="34"/>
      <c r="V2948" s="255"/>
      <c r="W2948" s="34"/>
    </row>
    <row r="2949" spans="14:23">
      <c r="N2949" s="34"/>
      <c r="O2949" s="34"/>
      <c r="P2949" s="34"/>
      <c r="Q2949" s="34"/>
      <c r="R2949" s="34"/>
      <c r="S2949" s="34"/>
      <c r="T2949" s="34"/>
      <c r="U2949" s="34"/>
      <c r="V2949" s="255"/>
      <c r="W2949" s="34"/>
    </row>
  </sheetData>
  <sheetProtection formatCells="0" autoFilter="0"/>
  <autoFilter ref="N1:X1520"/>
  <phoneticPr fontId="131" type="noConversion"/>
  <conditionalFormatting sqref="B33:L38">
    <cfRule type="cellIs" dxfId="1" priority="1" operator="greaterThan">
      <formula>0</formula>
    </cfRule>
    <cfRule type="cellIs" dxfId="0" priority="2" operator="lessThan">
      <formula>0</formula>
    </cfRule>
  </conditionalFormatting>
  <dataValidations count="1">
    <dataValidation type="date" allowBlank="1" showInputMessage="1" showErrorMessage="1" sqref="S2:S248 S250:S543 T2:T543 S761:T791 S793:T809 S544:T759 S811:T1048576">
      <formula1>43101</formula1>
      <formula2>44562</formula2>
    </dataValidation>
  </dataValidations>
  <pageMargins left="0.69930555555555596" right="0.69930555555555596" top="0.75" bottom="0.75" header="0.3" footer="0.3"/>
  <pageSetup paperSize="9" orientation="portrait" r:id="rId1"/>
  <customProperties>
    <customPr name="Guid" r:id="rId2"/>
  </customPropertie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Values!$E$5:$E$17</xm:f>
          </x14:formula1>
          <xm:sqref>O761:O791 O793:O809 O1:O759 O811:O1048576</xm:sqref>
        </x14:dataValidation>
        <x14:dataValidation type="list" allowBlank="1" showInputMessage="1" showErrorMessage="1">
          <x14:formula1>
            <xm:f>Values!$A$5:$A$8</xm:f>
          </x14:formula1>
          <xm:sqref>Q761:Q791 Q793:Q809 Q1:Q759 Q811:Q1048576</xm:sqref>
        </x14:dataValidation>
        <x14:dataValidation type="list" allowBlank="1" showInputMessage="1" showErrorMessage="1">
          <x14:formula1>
            <xm:f>Values!$C$5:$C$12</xm:f>
          </x14:formula1>
          <xm:sqref>R761:R791 N761:N791 R793:R809 N793:N809 N1:N759 R1:R759 N811:N1048576 R811:R1048576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9"/>
  <sheetViews>
    <sheetView workbookViewId="0"/>
  </sheetViews>
  <sheetFormatPr defaultRowHeight="15"/>
  <sheetData>
    <row r="1" spans="1:256">
      <c r="A1" t="s">
        <v>7144</v>
      </c>
      <c r="E1" t="e">
        <f>(Table1[])/"'E4!)}B"</f>
        <v>#VALUE!</v>
      </c>
      <c r="F1" t="e">
        <f>Nodes!A:A*"'E4!%"</f>
        <v>#VALUE!</v>
      </c>
      <c r="G1" t="e">
        <f>Nodes!B:B*"'E4!&amp;"</f>
        <v>#VALUE!</v>
      </c>
      <c r="H1" t="e">
        <f>Nodes!C:C*"'E4!'"</f>
        <v>#VALUE!</v>
      </c>
      <c r="I1" t="e">
        <f>Nodes!D:D*"'E4!("</f>
        <v>#VALUE!</v>
      </c>
      <c r="J1" t="e">
        <f>Nodes!E:E*"'E4!)"</f>
        <v>#VALUE!</v>
      </c>
      <c r="K1" t="e">
        <f>Nodes!F:F*"'E4!."</f>
        <v>#VALUE!</v>
      </c>
      <c r="L1" t="e">
        <f>Nodes!G:G*"'E4!/"</f>
        <v>#VALUE!</v>
      </c>
      <c r="M1" t="e">
        <f>Nodes!H:H*"'E4!0"</f>
        <v>#VALUE!</v>
      </c>
      <c r="N1" t="e">
        <f>Nodes!I:I*"'E4!1"</f>
        <v>#VALUE!</v>
      </c>
      <c r="O1" t="e">
        <f>Nodes!J:J*"'E4!2"</f>
        <v>#VALUE!</v>
      </c>
      <c r="P1" t="e">
        <f>Nodes!K:K*"'E4!3"</f>
        <v>#VALUE!</v>
      </c>
      <c r="Q1" t="e">
        <f>Nodes!L:L*"'E4!4"</f>
        <v>#VALUE!</v>
      </c>
      <c r="R1" t="e">
        <f>Nodes!M:M*"'E4!5"</f>
        <v>#VALUE!</v>
      </c>
      <c r="S1" t="e">
        <f>Nodes!N:N*"'E4!6"</f>
        <v>#VALUE!</v>
      </c>
      <c r="T1" t="e">
        <f>Nodes!O:O*"'E4!7"</f>
        <v>#VALUE!</v>
      </c>
      <c r="U1" t="e">
        <f>Nodes!P:P*"'E4!8"</f>
        <v>#VALUE!</v>
      </c>
      <c r="V1" t="e">
        <f>Nodes!Q:Q*"'E4!9"</f>
        <v>#VALUE!</v>
      </c>
      <c r="W1" t="e">
        <f>Nodes!R:R*"'E4!:"</f>
        <v>#VALUE!</v>
      </c>
      <c r="X1" t="e">
        <f>Nodes!S:S*"'E4!;"</f>
        <v>#VALUE!</v>
      </c>
      <c r="Y1" t="e">
        <f>Nodes!T:T*"'E4!&lt;"</f>
        <v>#VALUE!</v>
      </c>
      <c r="Z1" t="e">
        <f>Nodes!U:U*"'E4!="</f>
        <v>#VALUE!</v>
      </c>
      <c r="AA1" t="e">
        <f>Nodes!V:V*"'E4!&gt;"</f>
        <v>#VALUE!</v>
      </c>
      <c r="AB1" t="e">
        <f>Nodes!W:W*"'E4!?"</f>
        <v>#VALUE!</v>
      </c>
      <c r="AC1" t="e">
        <f>Nodes!X:X*"'E4!@"</f>
        <v>#VALUE!</v>
      </c>
      <c r="AD1" t="e">
        <f>Nodes!Y:Y*"'E4!A"</f>
        <v>#VALUE!</v>
      </c>
      <c r="AE1" t="e">
        <f>Nodes!Z:Z*"'E4!B"</f>
        <v>#VALUE!</v>
      </c>
      <c r="AF1" t="e">
        <f>Nodes!AA:AA*"'E4!C"</f>
        <v>#VALUE!</v>
      </c>
      <c r="AG1" t="e">
        <f>Nodes!AB:AB*"'E4!D"</f>
        <v>#VALUE!</v>
      </c>
      <c r="AH1" t="e">
        <f>Nodes!AC:AC*"'E4!E"</f>
        <v>#VALUE!</v>
      </c>
      <c r="AI1" t="e">
        <f>Nodes!AD:AD*"'E4!F"</f>
        <v>#VALUE!</v>
      </c>
      <c r="AJ1" t="e">
        <f>Nodes!AE:AE*"'E4!G"</f>
        <v>#VALUE!</v>
      </c>
      <c r="AK1" t="e">
        <f>Nodes!AF:AF*"'E4!H"</f>
        <v>#VALUE!</v>
      </c>
      <c r="AL1" t="e">
        <f>Nodes!AG:AG*"'E4!I"</f>
        <v>#VALUE!</v>
      </c>
      <c r="AM1" t="e">
        <f>Nodes!AH:AH*"'E4!J"</f>
        <v>#VALUE!</v>
      </c>
      <c r="AN1" t="e">
        <f>Nodes!AI:AI*"'E4!K"</f>
        <v>#VALUE!</v>
      </c>
      <c r="AO1" t="e">
        <f>Nodes!AJ:AJ*"'E4!L"</f>
        <v>#VALUE!</v>
      </c>
      <c r="AP1" t="e">
        <f>Nodes!AK:AK*"'E4!M"</f>
        <v>#VALUE!</v>
      </c>
      <c r="AQ1" t="e">
        <f>Nodes!AL:AL*"'E4!N"</f>
        <v>#VALUE!</v>
      </c>
      <c r="AR1" t="e">
        <f>Nodes!AM:AM*"'E4!O"</f>
        <v>#VALUE!</v>
      </c>
      <c r="AS1" t="e">
        <f>Nodes!AN:AN*"'E4!P"</f>
        <v>#VALUE!</v>
      </c>
      <c r="AT1" t="e">
        <f>Nodes!AO:AO*"'E4!Q"</f>
        <v>#VALUE!</v>
      </c>
      <c r="AU1" t="e">
        <f>Nodes!AP:AP*"'E4!R"</f>
        <v>#VALUE!</v>
      </c>
      <c r="AV1" t="e">
        <f>Nodes!AQ:AQ*"'E4!S"</f>
        <v>#VALUE!</v>
      </c>
      <c r="AW1" t="e">
        <f>Nodes!AR:AR*"'E4!T"</f>
        <v>#VALUE!</v>
      </c>
      <c r="AX1" t="e">
        <f>Nodes!AS:AS*"'E4!U"</f>
        <v>#VALUE!</v>
      </c>
      <c r="AY1" t="e">
        <f>Nodes!AT:AT*"'E4!V"</f>
        <v>#VALUE!</v>
      </c>
      <c r="AZ1" t="e">
        <f>Nodes!AU:AU*"'E4!W"</f>
        <v>#VALUE!</v>
      </c>
      <c r="BA1" t="e">
        <f>Nodes!AV:AV*"'E4!X"</f>
        <v>#VALUE!</v>
      </c>
      <c r="BB1" t="e">
        <f>Nodes!AW:AW*"'E4!Y"</f>
        <v>#VALUE!</v>
      </c>
      <c r="BC1" t="e">
        <f>Nodes!AX:AX*"'E4!Z"</f>
        <v>#VALUE!</v>
      </c>
      <c r="BD1" t="e">
        <f>Nodes!AY:AY*"'E4!["</f>
        <v>#VALUE!</v>
      </c>
      <c r="BE1" t="e">
        <f>Nodes!AZ:AZ*"'E4!\"</f>
        <v>#VALUE!</v>
      </c>
      <c r="BF1" t="e">
        <f>Nodes!BA:BA*"'E4!]"</f>
        <v>#VALUE!</v>
      </c>
      <c r="BG1" t="e">
        <f>Nodes!BB:BB*"'E4!^"</f>
        <v>#VALUE!</v>
      </c>
      <c r="BH1" t="e">
        <f>Nodes!BC:BC*"'E4!_"</f>
        <v>#VALUE!</v>
      </c>
      <c r="BI1" t="e">
        <f>Nodes!BD:BD*"'E4!`"</f>
        <v>#VALUE!</v>
      </c>
      <c r="BJ1" t="e">
        <f>Nodes!BE:BE*"'E4!a"</f>
        <v>#VALUE!</v>
      </c>
      <c r="BK1" t="e">
        <f>Nodes!BF:BF*"'E4!b"</f>
        <v>#VALUE!</v>
      </c>
      <c r="BL1" t="e">
        <f>Nodes!BG:BG*"'E4!c"</f>
        <v>#VALUE!</v>
      </c>
      <c r="BM1" t="e">
        <f>Nodes!BH:BH*"'E4!d"</f>
        <v>#VALUE!</v>
      </c>
      <c r="BN1" t="e">
        <f>Nodes!BI:BI*"'E4!e"</f>
        <v>#VALUE!</v>
      </c>
      <c r="BO1" t="e">
        <f>Nodes!BJ:BJ*"'E4!f"</f>
        <v>#VALUE!</v>
      </c>
      <c r="BP1" t="e">
        <f>Nodes!BK:BK*"'E4!g"</f>
        <v>#VALUE!</v>
      </c>
      <c r="BQ1" t="e">
        <f>Nodes!BL:BL*"'E4!h"</f>
        <v>#VALUE!</v>
      </c>
      <c r="BR1" t="e">
        <f>Nodes!BM:BM*"'E4!i"</f>
        <v>#VALUE!</v>
      </c>
      <c r="BS1" t="e">
        <f>Nodes!BN:BN*"'E4!j"</f>
        <v>#VALUE!</v>
      </c>
      <c r="BT1" t="e">
        <f>Nodes!BO:BO*"'E4!k"</f>
        <v>#VALUE!</v>
      </c>
      <c r="BU1" t="e">
        <f>Nodes!BP:BP*"'E4!l"</f>
        <v>#VALUE!</v>
      </c>
      <c r="BV1" t="e">
        <f>Nodes!BQ:BQ*"'E4!m"</f>
        <v>#VALUE!</v>
      </c>
      <c r="BW1" t="e">
        <f>Nodes!BR:BR*"'E4!n"</f>
        <v>#VALUE!</v>
      </c>
      <c r="BX1" t="e">
        <f>Nodes!BS:BS*"'E4!o"</f>
        <v>#VALUE!</v>
      </c>
      <c r="BY1" t="e">
        <f>Nodes!BT:BT*"'E4!p"</f>
        <v>#VALUE!</v>
      </c>
      <c r="BZ1" t="e">
        <f>Nodes!BU:BU*"'E4!q"</f>
        <v>#VALUE!</v>
      </c>
      <c r="CA1" t="e">
        <f>Nodes!BV:BV*"'E4!r"</f>
        <v>#VALUE!</v>
      </c>
      <c r="CB1" t="e">
        <f>Nodes!BW:BW*"'E4!s"</f>
        <v>#VALUE!</v>
      </c>
      <c r="CC1" t="e">
        <f>Nodes!BX:BX*"'E4!t"</f>
        <v>#VALUE!</v>
      </c>
      <c r="CD1" t="e">
        <f>Nodes!BY:BY*"'E4!u"</f>
        <v>#VALUE!</v>
      </c>
      <c r="CE1" t="e">
        <f>Nodes!BZ:BZ*"'E4!v"</f>
        <v>#VALUE!</v>
      </c>
      <c r="CF1" t="e">
        <f>Nodes!CA:CA*"'E4!w"</f>
        <v>#VALUE!</v>
      </c>
      <c r="CG1" t="e">
        <f>Nodes!CB:CB*"'E4!x"</f>
        <v>#VALUE!</v>
      </c>
      <c r="CH1" t="e">
        <f>Nodes!CC:CC*"'E4!y"</f>
        <v>#VALUE!</v>
      </c>
      <c r="CI1" t="e">
        <f>Nodes!CD:CD*"'E4!z"</f>
        <v>#VALUE!</v>
      </c>
      <c r="CJ1" t="e">
        <f>Nodes!1:1-"'E4!{"</f>
        <v>#VALUE!</v>
      </c>
      <c r="CK1" t="e">
        <f>Nodes!2:2-"'E4!|"</f>
        <v>#VALUE!</v>
      </c>
      <c r="CL1" t="e">
        <f>Nodes!3:3-"'E4!}"</f>
        <v>#VALUE!</v>
      </c>
      <c r="CM1" t="e">
        <f>Nodes!4:4-"'E4!~"</f>
        <v>#VALUE!</v>
      </c>
      <c r="CN1" t="e">
        <f>Nodes!5:5-"'E4!$#"</f>
        <v>#VALUE!</v>
      </c>
      <c r="CO1" t="e">
        <f>Nodes!6:6-"'E4!$$"</f>
        <v>#VALUE!</v>
      </c>
      <c r="CP1" t="e">
        <f>Nodes!7:7-"'E4!$%"</f>
        <v>#VALUE!</v>
      </c>
      <c r="CQ1" t="e">
        <f>Nodes!8:8-"'E4!$&amp;"</f>
        <v>#VALUE!</v>
      </c>
      <c r="CR1" t="e">
        <f>Nodes!9:9-"'E4!$'"</f>
        <v>#VALUE!</v>
      </c>
      <c r="CS1" t="e">
        <f>Nodes!10:10-"'E4!$("</f>
        <v>#VALUE!</v>
      </c>
      <c r="CT1" t="e">
        <f>Nodes!11:11-"'E4!$)"</f>
        <v>#VALUE!</v>
      </c>
      <c r="CU1" t="e">
        <f>Nodes!12:12-"'E4!$."</f>
        <v>#VALUE!</v>
      </c>
      <c r="CV1" t="e">
        <f>Nodes!13:13-"'E4!$/"</f>
        <v>#VALUE!</v>
      </c>
      <c r="CW1" t="e">
        <f>Nodes!14:14-"'E4!$0"</f>
        <v>#VALUE!</v>
      </c>
      <c r="CX1" t="e">
        <f>Nodes!15:15-"'E4!$1"</f>
        <v>#VALUE!</v>
      </c>
      <c r="CY1" t="e">
        <f>Nodes!16:16-"'E4!$2"</f>
        <v>#VALUE!</v>
      </c>
      <c r="CZ1" t="e">
        <f>Nodes!17:17-"'E4!$3"</f>
        <v>#VALUE!</v>
      </c>
      <c r="DA1" t="e">
        <f>Nodes!18:18-"'E4!$4"</f>
        <v>#VALUE!</v>
      </c>
      <c r="DB1" t="e">
        <f>Nodes!19:19-"'E4!$5"</f>
        <v>#VALUE!</v>
      </c>
      <c r="DC1" t="e">
        <f>Nodes!20:20-"'E4!$6"</f>
        <v>#VALUE!</v>
      </c>
      <c r="DD1" t="e">
        <f>Nodes!21:21-"'E4!$7"</f>
        <v>#VALUE!</v>
      </c>
      <c r="DE1" t="e">
        <f>Nodes!22:22-"'E4!$8"</f>
        <v>#VALUE!</v>
      </c>
      <c r="DF1" t="e">
        <f>Nodes!23:23-"'E4!$9"</f>
        <v>#VALUE!</v>
      </c>
      <c r="DG1" t="e">
        <f>Nodes!24:24-"'E4!$:"</f>
        <v>#VALUE!</v>
      </c>
      <c r="DH1" t="e">
        <f>Nodes!25:25-"'E4!$;"</f>
        <v>#VALUE!</v>
      </c>
      <c r="DI1" t="e">
        <f>Nodes!26:26-"'E4!$&lt;"</f>
        <v>#VALUE!</v>
      </c>
      <c r="DJ1" t="e">
        <f>Nodes!27:27-"'E4!$="</f>
        <v>#VALUE!</v>
      </c>
      <c r="DK1" t="e">
        <f>Nodes!28:28-"'E4!$&gt;"</f>
        <v>#VALUE!</v>
      </c>
      <c r="DL1" t="e">
        <f>Nodes!29:29-"'E4!$?"</f>
        <v>#VALUE!</v>
      </c>
      <c r="DM1" t="e">
        <f>Nodes!30:30-"'E4!$@"</f>
        <v>#VALUE!</v>
      </c>
      <c r="DN1" t="e">
        <f>Nodes!31:31-"'E4!$A"</f>
        <v>#VALUE!</v>
      </c>
      <c r="DO1" t="e">
        <f>Nodes!32:32-"'E4!$B"</f>
        <v>#VALUE!</v>
      </c>
      <c r="DP1" t="e">
        <f>Nodes!33:33-"'E4!$C"</f>
        <v>#VALUE!</v>
      </c>
      <c r="DQ1" t="e">
        <f>Nodes!34:34-"'E4!$D"</f>
        <v>#VALUE!</v>
      </c>
      <c r="DR1" t="e">
        <f>Nodes!35:35-"'E4!$E"</f>
        <v>#VALUE!</v>
      </c>
      <c r="DS1" t="e">
        <f>Nodes!36:36-"'E4!$F"</f>
        <v>#VALUE!</v>
      </c>
      <c r="DT1" t="e">
        <f>Nodes!37:37-"'E4!$G"</f>
        <v>#VALUE!</v>
      </c>
      <c r="DU1" t="e">
        <f>Nodes!38:38-"'E4!$H"</f>
        <v>#VALUE!</v>
      </c>
      <c r="DV1" t="e">
        <f>Nodes!39:39-"'E4!$I"</f>
        <v>#VALUE!</v>
      </c>
      <c r="DW1" t="e">
        <f>Nodes!40:40-"'E4!$J"</f>
        <v>#VALUE!</v>
      </c>
      <c r="DX1" t="e">
        <f>Nodes!41:41-"'E4!$K"</f>
        <v>#VALUE!</v>
      </c>
      <c r="DY1" t="e">
        <f>Nodes!42:42-"'E4!$L"</f>
        <v>#VALUE!</v>
      </c>
      <c r="DZ1" t="e">
        <f>Nodes!43:43-"'E4!$M"</f>
        <v>#VALUE!</v>
      </c>
      <c r="EA1" t="e">
        <f>Nodes!44:44-"'E4!$N"</f>
        <v>#VALUE!</v>
      </c>
      <c r="EB1" t="e">
        <f>Nodes!45:45-"'E4!$O"</f>
        <v>#VALUE!</v>
      </c>
      <c r="EC1" t="e">
        <f>Nodes!46:46-"'E4!$P"</f>
        <v>#VALUE!</v>
      </c>
      <c r="ED1" t="e">
        <f>Nodes!47:47-"'E4!$Q"</f>
        <v>#VALUE!</v>
      </c>
      <c r="EE1" t="e">
        <f>Nodes!48:48-"'E4!$R"</f>
        <v>#VALUE!</v>
      </c>
      <c r="EF1" t="e">
        <f>Nodes!49:49-"'E4!$S"</f>
        <v>#VALUE!</v>
      </c>
      <c r="EG1" t="e">
        <f>Nodes!50:50-"'E4!$T"</f>
        <v>#VALUE!</v>
      </c>
      <c r="EH1" t="e">
        <f>Nodes!51:51-"'E4!$U"</f>
        <v>#VALUE!</v>
      </c>
      <c r="EI1" t="e">
        <f>Nodes!52:52-"'E4!$V"</f>
        <v>#VALUE!</v>
      </c>
      <c r="EJ1" t="e">
        <f>Nodes!53:53-"'E4!$W"</f>
        <v>#VALUE!</v>
      </c>
      <c r="EK1" t="e">
        <f>Nodes!54:54-"'E4!$X"</f>
        <v>#VALUE!</v>
      </c>
      <c r="EL1" t="e">
        <f>Nodes!55:55-"'E4!$Y"</f>
        <v>#VALUE!</v>
      </c>
      <c r="EM1" t="e">
        <f>Nodes!56:56-"'E4!$Z"</f>
        <v>#VALUE!</v>
      </c>
      <c r="EN1" t="e">
        <f>Nodes!57:57-"'E4!$["</f>
        <v>#VALUE!</v>
      </c>
      <c r="EO1" t="e">
        <f>Nodes!58:58-"'E4!$\"</f>
        <v>#VALUE!</v>
      </c>
      <c r="EP1" t="e">
        <f>Nodes!59:59-"'E4!$]"</f>
        <v>#VALUE!</v>
      </c>
      <c r="EQ1" t="e">
        <f>Nodes!60:60-"'E4!$^"</f>
        <v>#VALUE!</v>
      </c>
      <c r="ER1" t="e">
        <f>Nodes!61:61-"'E4!$_"</f>
        <v>#VALUE!</v>
      </c>
      <c r="ES1" t="e">
        <f>Nodes!62:62-"'E4!$`"</f>
        <v>#VALUE!</v>
      </c>
      <c r="ET1" t="e">
        <f>Nodes!63:63-"'E4!$a"</f>
        <v>#VALUE!</v>
      </c>
      <c r="EU1" t="e">
        <f>Nodes!64:64-"'E4!$b"</f>
        <v>#VALUE!</v>
      </c>
      <c r="EV1" t="e">
        <f>Nodes!65:65-"'E4!$c"</f>
        <v>#VALUE!</v>
      </c>
      <c r="EW1" t="e">
        <f>Nodes!66:66-"'E4!$d"</f>
        <v>#VALUE!</v>
      </c>
      <c r="EX1" t="e">
        <f>Nodes!67:67-"'E4!$e"</f>
        <v>#VALUE!</v>
      </c>
      <c r="EY1" t="e">
        <f>Nodes!68:68-"'E4!$f"</f>
        <v>#VALUE!</v>
      </c>
      <c r="EZ1" t="e">
        <f>Nodes!69:69-"'E4!$g"</f>
        <v>#VALUE!</v>
      </c>
      <c r="FA1" t="e">
        <f>Nodes!70:70-"'E4!$h"</f>
        <v>#VALUE!</v>
      </c>
      <c r="FB1" t="e">
        <f>Nodes!71:71-"'E4!$i"</f>
        <v>#VALUE!</v>
      </c>
      <c r="FC1" t="e">
        <f>Nodes!72:72-"'E4!$j"</f>
        <v>#VALUE!</v>
      </c>
      <c r="FD1" t="e">
        <f>Nodes!73:73-"'E4!$k"</f>
        <v>#VALUE!</v>
      </c>
      <c r="FE1" t="e">
        <f>Nodes!74:74-"'E4!$l"</f>
        <v>#VALUE!</v>
      </c>
      <c r="FF1" t="e">
        <f>Nodes!75:75-"'E4!$m"</f>
        <v>#VALUE!</v>
      </c>
      <c r="FG1" t="e">
        <f>Nodes!76:76-"'E4!$n"</f>
        <v>#VALUE!</v>
      </c>
      <c r="FH1" t="e">
        <f>Nodes!77:77-"'E4!$o"</f>
        <v>#VALUE!</v>
      </c>
      <c r="FI1" t="e">
        <f>Nodes!78:78-"'E4!$p"</f>
        <v>#VALUE!</v>
      </c>
      <c r="FJ1" t="e">
        <f>Nodes!79:79-"'E4!$q"</f>
        <v>#VALUE!</v>
      </c>
      <c r="FK1" t="e">
        <f>Nodes!80:80-"'E4!$r"</f>
        <v>#VALUE!</v>
      </c>
      <c r="FL1" t="e">
        <f>Nodes!81:81-"'E4!$s"</f>
        <v>#VALUE!</v>
      </c>
      <c r="FM1" t="e">
        <f>Nodes!82:82-"'E4!$t"</f>
        <v>#VALUE!</v>
      </c>
      <c r="FN1" t="e">
        <f>Nodes!83:83-"'E4!$u"</f>
        <v>#VALUE!</v>
      </c>
      <c r="FO1" t="e">
        <f>Nodes!84:84-"'E4!$v"</f>
        <v>#VALUE!</v>
      </c>
      <c r="FP1" t="e">
        <f>Nodes!85:85-"'E4!$w"</f>
        <v>#VALUE!</v>
      </c>
      <c r="FQ1" t="e">
        <f>Nodes!86:86-"'E4!$x"</f>
        <v>#VALUE!</v>
      </c>
      <c r="FR1" t="e">
        <f>Nodes!87:87-"'E4!$y"</f>
        <v>#VALUE!</v>
      </c>
      <c r="FS1" t="e">
        <f>Nodes!88:88-"'E4!$z"</f>
        <v>#VALUE!</v>
      </c>
      <c r="FT1" t="e">
        <f>Nodes!89:89-"'E4!${"</f>
        <v>#VALUE!</v>
      </c>
      <c r="FU1" t="e">
        <f>Nodes!90:90-"'E4!$|"</f>
        <v>#VALUE!</v>
      </c>
      <c r="FV1" t="e">
        <f>Nodes!91:91-"'E4!$}"</f>
        <v>#VALUE!</v>
      </c>
      <c r="FW1" t="e">
        <f>Nodes!92:92-"'E4!$~"</f>
        <v>#VALUE!</v>
      </c>
      <c r="FX1" t="e">
        <f>Nodes!93:93-"'E4!%#"</f>
        <v>#VALUE!</v>
      </c>
      <c r="FY1" t="e">
        <f>Nodes!94:94-"'E4!%$"</f>
        <v>#VALUE!</v>
      </c>
      <c r="FZ1" t="e">
        <f>Nodes!95:95-"'E4!%%"</f>
        <v>#VALUE!</v>
      </c>
      <c r="GA1" t="e">
        <f>Nodes!96:96-"'E4!%&amp;"</f>
        <v>#VALUE!</v>
      </c>
      <c r="GB1" t="e">
        <f>Nodes!97:97-"'E4!%'"</f>
        <v>#VALUE!</v>
      </c>
      <c r="GC1" t="e">
        <f>Nodes!98:98-"'E4!%("</f>
        <v>#VALUE!</v>
      </c>
      <c r="GD1" t="e">
        <f>Nodes!99:99-"'E4!%)"</f>
        <v>#VALUE!</v>
      </c>
      <c r="GE1" t="e">
        <f>Nodes!100:100-"'E4!%."</f>
        <v>#VALUE!</v>
      </c>
      <c r="GF1" t="e">
        <f>Nodes!101:101-"'E4!%/"</f>
        <v>#VALUE!</v>
      </c>
      <c r="GG1" t="e">
        <f>Nodes!102:102-"'E4!%0"</f>
        <v>#VALUE!</v>
      </c>
      <c r="GH1" t="e">
        <f>Nodes!103:103-"'E4!%1"</f>
        <v>#VALUE!</v>
      </c>
      <c r="GI1" t="e">
        <f>Nodes!104:104-"'E4!%2"</f>
        <v>#VALUE!</v>
      </c>
      <c r="GJ1" t="e">
        <f>Nodes!105:105-"'E4!%3"</f>
        <v>#VALUE!</v>
      </c>
      <c r="GK1" t="e">
        <f>Nodes!106:106-"'E4!%4"</f>
        <v>#VALUE!</v>
      </c>
      <c r="GL1" t="e">
        <f>Nodes!107:107-"'E4!%5"</f>
        <v>#VALUE!</v>
      </c>
      <c r="GM1" t="e">
        <f>Nodes!108:108-"'E4!%6"</f>
        <v>#VALUE!</v>
      </c>
      <c r="GN1" t="e">
        <f>Nodes!109:109-"'E4!%7"</f>
        <v>#VALUE!</v>
      </c>
      <c r="GO1" t="e">
        <f>Nodes!110:110-"'E4!%8"</f>
        <v>#VALUE!</v>
      </c>
      <c r="GP1" t="e">
        <f>Nodes!111:111-"'E4!%9"</f>
        <v>#VALUE!</v>
      </c>
      <c r="GQ1" t="e">
        <f>Nodes!112:112-"'E4!%:"</f>
        <v>#VALUE!</v>
      </c>
      <c r="GR1" t="e">
        <f>Nodes!113:113-"'E4!%;"</f>
        <v>#VALUE!</v>
      </c>
      <c r="GS1" t="e">
        <f>Nodes!114:114-"'E4!%&lt;"</f>
        <v>#VALUE!</v>
      </c>
      <c r="GT1" t="e">
        <f>Nodes!115:115-"'E4!%="</f>
        <v>#VALUE!</v>
      </c>
      <c r="GU1" t="e">
        <f>Nodes!116:116-"'E4!%&gt;"</f>
        <v>#VALUE!</v>
      </c>
      <c r="GV1" t="e">
        <f>Nodes!117:117-"'E4!%?"</f>
        <v>#VALUE!</v>
      </c>
      <c r="GW1" t="e">
        <f>Nodes!118:118-"'E4!%@"</f>
        <v>#VALUE!</v>
      </c>
      <c r="GX1" t="e">
        <f>Nodes!119:119-"'E4!%A"</f>
        <v>#VALUE!</v>
      </c>
      <c r="GY1" t="e">
        <f>Nodes!120:120-"'E4!%B"</f>
        <v>#VALUE!</v>
      </c>
      <c r="GZ1" t="e">
        <f>Nodes!121:121-"'E4!%C"</f>
        <v>#VALUE!</v>
      </c>
      <c r="HA1" t="e">
        <f>Nodes!122:122-"'E4!%D"</f>
        <v>#VALUE!</v>
      </c>
      <c r="HB1" t="e">
        <f>Nodes!123:123-"'E4!%E"</f>
        <v>#VALUE!</v>
      </c>
      <c r="HC1" t="e">
        <f>Nodes!124:124-"'E4!%F"</f>
        <v>#VALUE!</v>
      </c>
      <c r="HD1" t="e">
        <f>Nodes!125:125-"'E4!%G"</f>
        <v>#VALUE!</v>
      </c>
      <c r="HE1" t="e">
        <f>Nodes!126:126-"'E4!%H"</f>
        <v>#VALUE!</v>
      </c>
      <c r="HF1" t="e">
        <f>Nodes!127:127-"'E4!%I"</f>
        <v>#VALUE!</v>
      </c>
      <c r="HG1" t="e">
        <f>Nodes!128:128-"'E4!%J"</f>
        <v>#VALUE!</v>
      </c>
      <c r="HH1" t="e">
        <f>Nodes!129:129-"'E4!%K"</f>
        <v>#VALUE!</v>
      </c>
      <c r="HI1" t="e">
        <f>Nodes!130:130-"'E4!%L"</f>
        <v>#VALUE!</v>
      </c>
      <c r="HJ1" t="e">
        <f>Nodes!131:131-"'E4!%M"</f>
        <v>#VALUE!</v>
      </c>
      <c r="HK1" t="e">
        <f>Nodes!132:132-"'E4!%N"</f>
        <v>#VALUE!</v>
      </c>
      <c r="HL1" t="e">
        <f>Nodes!133:133-"'E4!%O"</f>
        <v>#VALUE!</v>
      </c>
      <c r="HM1" t="e">
        <f>Nodes!134:134-"'E4!%P"</f>
        <v>#VALUE!</v>
      </c>
      <c r="HN1" t="e">
        <f>Nodes!135:135-"'E4!%Q"</f>
        <v>#VALUE!</v>
      </c>
      <c r="HO1" t="e">
        <f>Nodes!136:136-"'E4!%R"</f>
        <v>#VALUE!</v>
      </c>
      <c r="HP1" t="e">
        <f>Nodes!137:137-"'E4!%S"</f>
        <v>#VALUE!</v>
      </c>
      <c r="HQ1" t="e">
        <f>Nodes!138:138-"'E4!%T"</f>
        <v>#VALUE!</v>
      </c>
      <c r="HR1" t="e">
        <f>Nodes!139:139-"'E4!%U"</f>
        <v>#VALUE!</v>
      </c>
      <c r="HS1" t="e">
        <f>Nodes!140:140-"'E4!%V"</f>
        <v>#VALUE!</v>
      </c>
      <c r="HT1" t="e">
        <f>Nodes!141:141-"'E4!%W"</f>
        <v>#VALUE!</v>
      </c>
      <c r="HU1" t="e">
        <f>Nodes!142:142-"'E4!%X"</f>
        <v>#VALUE!</v>
      </c>
      <c r="HV1" t="e">
        <f>Nodes!143:143-"'E4!%Y"</f>
        <v>#VALUE!</v>
      </c>
      <c r="HW1" t="e">
        <f>Nodes!144:144-"'E4!%Z"</f>
        <v>#VALUE!</v>
      </c>
      <c r="HX1" t="e">
        <f>Nodes!145:145-"'E4!%["</f>
        <v>#VALUE!</v>
      </c>
      <c r="HY1" t="e">
        <f>Nodes!146:146-"'E4!%\"</f>
        <v>#VALUE!</v>
      </c>
      <c r="HZ1" t="e">
        <f>Nodes!147:147-"'E4!%]"</f>
        <v>#VALUE!</v>
      </c>
      <c r="IA1" t="e">
        <f>Nodes!148:148-"'E4!%^"</f>
        <v>#VALUE!</v>
      </c>
      <c r="IB1" t="e">
        <f>Nodes!149:149-"'E4!%_"</f>
        <v>#VALUE!</v>
      </c>
      <c r="IC1" t="e">
        <f>Nodes!150:150-"'E4!%`"</f>
        <v>#VALUE!</v>
      </c>
      <c r="ID1" t="e">
        <f>Nodes!151:151-"'E4!%a"</f>
        <v>#VALUE!</v>
      </c>
      <c r="IE1" t="e">
        <f>Nodes!152:152-"'E4!%b"</f>
        <v>#VALUE!</v>
      </c>
      <c r="IF1" t="e">
        <f>Nodes!153:153-"'E4!%c"</f>
        <v>#VALUE!</v>
      </c>
      <c r="IG1" t="e">
        <f>Nodes!154:154-"'E4!%d"</f>
        <v>#VALUE!</v>
      </c>
      <c r="IH1" t="e">
        <f>Nodes!155:155-"'E4!%e"</f>
        <v>#VALUE!</v>
      </c>
      <c r="II1" t="e">
        <f>Nodes!156:156-"'E4!%f"</f>
        <v>#VALUE!</v>
      </c>
      <c r="IJ1" t="e">
        <f>Nodes!157:157-"'E4!%g"</f>
        <v>#VALUE!</v>
      </c>
      <c r="IK1" t="e">
        <f>Nodes!158:158-"'E4!%h"</f>
        <v>#VALUE!</v>
      </c>
      <c r="IL1" t="e">
        <f>Nodes!159:159-"'E4!%i"</f>
        <v>#VALUE!</v>
      </c>
      <c r="IM1" t="e">
        <f>Nodes!160:160-"'E4!%j"</f>
        <v>#VALUE!</v>
      </c>
      <c r="IN1" t="e">
        <f>Nodes!161:161-"'E4!%k"</f>
        <v>#VALUE!</v>
      </c>
      <c r="IO1" t="e">
        <f>Nodes!162:162-"'E4!%l"</f>
        <v>#VALUE!</v>
      </c>
      <c r="IP1" t="e">
        <f>Nodes!163:163-"'E4!%m"</f>
        <v>#VALUE!</v>
      </c>
      <c r="IQ1" t="e">
        <f>Nodes!164:164-"'E4!%n"</f>
        <v>#VALUE!</v>
      </c>
      <c r="IR1" t="e">
        <f>Nodes!165:165-"'E4!%o"</f>
        <v>#VALUE!</v>
      </c>
      <c r="IS1" t="e">
        <f>Nodes!166:166-"'E4!%p"</f>
        <v>#VALUE!</v>
      </c>
      <c r="IT1" t="e">
        <f>Nodes!167:167-"'E4!%q"</f>
        <v>#VALUE!</v>
      </c>
      <c r="IU1" t="e">
        <f>Nodes!168:168-"'E4!%r"</f>
        <v>#VALUE!</v>
      </c>
      <c r="IV1" t="e">
        <f>Nodes!169:169-"'E4!%s"</f>
        <v>#VALUE!</v>
      </c>
    </row>
    <row r="2" spans="1:256">
      <c r="A2" t="s">
        <v>7145</v>
      </c>
      <c r="F2" t="e">
        <f>Nodes!170:170-"'E4!%t"</f>
        <v>#VALUE!</v>
      </c>
      <c r="G2" t="e">
        <f>Nodes!171:171-"'E4!%u"</f>
        <v>#VALUE!</v>
      </c>
      <c r="H2" t="e">
        <f>Nodes!172:172-"'E4!%v"</f>
        <v>#VALUE!</v>
      </c>
      <c r="I2" t="e">
        <f>Nodes!173:173-"'E4!%w"</f>
        <v>#VALUE!</v>
      </c>
      <c r="J2" t="e">
        <f>Nodes!174:174-"'E4!%x"</f>
        <v>#VALUE!</v>
      </c>
      <c r="K2" t="e">
        <f>Nodes!175:175-"'E4!%y"</f>
        <v>#VALUE!</v>
      </c>
      <c r="L2" t="e">
        <f>Nodes!176:176-"'E4!%z"</f>
        <v>#VALUE!</v>
      </c>
      <c r="M2" t="e">
        <f>Nodes!177:177-"'E4!%{"</f>
        <v>#VALUE!</v>
      </c>
      <c r="N2" t="e">
        <f>Nodes!178:178-"'E4!%|"</f>
        <v>#VALUE!</v>
      </c>
      <c r="O2" t="e">
        <f>Nodes!179:179-"'E4!%}"</f>
        <v>#VALUE!</v>
      </c>
      <c r="P2" t="e">
        <f>Nodes!180:180-"'E4!%~"</f>
        <v>#VALUE!</v>
      </c>
      <c r="Q2" t="e">
        <f>Nodes!181:181-"'E4!&amp;#"</f>
        <v>#VALUE!</v>
      </c>
      <c r="R2" t="e">
        <f>Nodes!182:182-"'E4!&amp;$"</f>
        <v>#VALUE!</v>
      </c>
      <c r="S2" t="e">
        <f>Nodes!183:183-"'E4!&amp;%"</f>
        <v>#VALUE!</v>
      </c>
      <c r="T2" t="e">
        <f>Nodes!184:184-"'E4!&amp;&amp;"</f>
        <v>#VALUE!</v>
      </c>
      <c r="U2" t="e">
        <f>Nodes!185:185-"'E4!&amp;'"</f>
        <v>#VALUE!</v>
      </c>
      <c r="V2" t="e">
        <f>Nodes!186:186-"'E4!&amp;("</f>
        <v>#VALUE!</v>
      </c>
      <c r="W2" t="e">
        <f>Nodes!187:187-"'E4!&amp;)"</f>
        <v>#VALUE!</v>
      </c>
      <c r="X2" t="e">
        <f>Nodes!188:188-"'E4!&amp;."</f>
        <v>#VALUE!</v>
      </c>
      <c r="Y2" t="e">
        <f>Nodes!189:189-"'E4!&amp;/"</f>
        <v>#VALUE!</v>
      </c>
      <c r="Z2" t="e">
        <f>Nodes!190:190-"'E4!&amp;0"</f>
        <v>#VALUE!</v>
      </c>
      <c r="AA2" t="e">
        <f>Nodes!191:191-"'E4!&amp;1"</f>
        <v>#VALUE!</v>
      </c>
      <c r="AB2" t="e">
        <f>Nodes!192:192-"'E4!&amp;2"</f>
        <v>#VALUE!</v>
      </c>
      <c r="AC2" t="e">
        <f>Nodes!193:193-"'E4!&amp;3"</f>
        <v>#VALUE!</v>
      </c>
      <c r="AD2" t="e">
        <f>Nodes!194:194-"'E4!&amp;4"</f>
        <v>#VALUE!</v>
      </c>
      <c r="AE2" t="e">
        <f>Nodes!195:195-"'E4!&amp;5"</f>
        <v>#VALUE!</v>
      </c>
      <c r="AF2" t="e">
        <f>Nodes!196:196-"'E4!&amp;6"</f>
        <v>#VALUE!</v>
      </c>
      <c r="AG2" t="e">
        <f>Nodes!197:197-"'E4!&amp;7"</f>
        <v>#VALUE!</v>
      </c>
      <c r="AH2" t="e">
        <f>Nodes!198:198-"'E4!&amp;8"</f>
        <v>#VALUE!</v>
      </c>
      <c r="AI2" t="e">
        <f>Nodes!199:199-"'E4!&amp;9"</f>
        <v>#VALUE!</v>
      </c>
      <c r="AJ2" t="e">
        <f>Nodes!200:200-"'E4!&amp;:"</f>
        <v>#VALUE!</v>
      </c>
      <c r="AK2" t="e">
        <f>Nodes!201:201-"'E4!&amp;;"</f>
        <v>#VALUE!</v>
      </c>
      <c r="AL2" t="e">
        <f>Nodes!202:202-"'E4!&amp;&lt;"</f>
        <v>#VALUE!</v>
      </c>
      <c r="AM2" t="e">
        <f>Nodes!203:203-"'E4!&amp;="</f>
        <v>#VALUE!</v>
      </c>
      <c r="AN2" t="e">
        <f>Nodes!204:204-"'E4!&amp;&gt;"</f>
        <v>#VALUE!</v>
      </c>
      <c r="AO2" t="e">
        <f>Nodes!205:205-"'E4!&amp;?"</f>
        <v>#VALUE!</v>
      </c>
      <c r="AP2" t="e">
        <f>Nodes!206:206-"'E4!&amp;@"</f>
        <v>#VALUE!</v>
      </c>
      <c r="AQ2" t="e">
        <f>Nodes!207:207-"'E4!&amp;A"</f>
        <v>#VALUE!</v>
      </c>
      <c r="AR2" t="e">
        <f>Nodes!208:208-"'E4!&amp;B"</f>
        <v>#VALUE!</v>
      </c>
      <c r="AS2" t="e">
        <f>Nodes!209:209-"'E4!&amp;C"</f>
        <v>#VALUE!</v>
      </c>
      <c r="AT2" t="e">
        <f>Nodes!210:210-"'E4!&amp;D"</f>
        <v>#VALUE!</v>
      </c>
      <c r="AU2" t="e">
        <f>Nodes!211:211-"'E4!&amp;E"</f>
        <v>#VALUE!</v>
      </c>
      <c r="AV2" t="e">
        <f>Nodes!212:212-"'E4!&amp;F"</f>
        <v>#VALUE!</v>
      </c>
      <c r="AW2" t="e">
        <f>Nodes!213:213-"'E4!&amp;G"</f>
        <v>#VALUE!</v>
      </c>
      <c r="AX2" t="e">
        <f>Nodes!214:214-"'E4!&amp;H"</f>
        <v>#VALUE!</v>
      </c>
      <c r="AY2" t="e">
        <f>Nodes!215:215-"'E4!&amp;I"</f>
        <v>#VALUE!</v>
      </c>
      <c r="AZ2" t="e">
        <f>Nodes!216:216-"'E4!&amp;J"</f>
        <v>#VALUE!</v>
      </c>
      <c r="BA2" t="e">
        <f>Nodes!217:217-"'E4!&amp;K"</f>
        <v>#VALUE!</v>
      </c>
      <c r="BB2" t="e">
        <f>Nodes!218:218-"'E4!&amp;L"</f>
        <v>#VALUE!</v>
      </c>
      <c r="BC2" t="e">
        <f>Nodes!219:219-"'E4!&amp;M"</f>
        <v>#VALUE!</v>
      </c>
      <c r="BD2" t="e">
        <f>Nodes!220:220-"'E4!&amp;N"</f>
        <v>#VALUE!</v>
      </c>
      <c r="BE2" t="e">
        <f>Nodes!221:221-"'E4!&amp;O"</f>
        <v>#VALUE!</v>
      </c>
      <c r="BF2" t="e">
        <f>Nodes!222:222-"'E4!&amp;P"</f>
        <v>#VALUE!</v>
      </c>
      <c r="BG2" t="e">
        <f>Nodes!223:223-"'E4!&amp;Q"</f>
        <v>#VALUE!</v>
      </c>
      <c r="BH2" t="e">
        <f>Nodes!224:224-"'E4!&amp;R"</f>
        <v>#VALUE!</v>
      </c>
      <c r="BI2" t="e">
        <f>Nodes!225:225-"'E4!&amp;S"</f>
        <v>#VALUE!</v>
      </c>
      <c r="BJ2" t="e">
        <f>Nodes!226:226-"'E4!&amp;T"</f>
        <v>#VALUE!</v>
      </c>
      <c r="BK2" t="e">
        <f>Nodes!227:227-"'E4!&amp;U"</f>
        <v>#VALUE!</v>
      </c>
      <c r="BL2" t="e">
        <f>Nodes!228:228-"'E4!&amp;V"</f>
        <v>#VALUE!</v>
      </c>
      <c r="BM2" t="e">
        <f>Nodes!229:229-"'E4!&amp;W"</f>
        <v>#VALUE!</v>
      </c>
      <c r="BN2" t="e">
        <f>Nodes!230:230-"'E4!&amp;X"</f>
        <v>#VALUE!</v>
      </c>
      <c r="BO2" t="e">
        <f>Nodes!231:231-"'E4!&amp;Y"</f>
        <v>#VALUE!</v>
      </c>
      <c r="BP2" t="e">
        <f>Nodes!232:232-"'E4!&amp;Z"</f>
        <v>#VALUE!</v>
      </c>
      <c r="BQ2" t="e">
        <f>Nodes!233:233-"'E4!&amp;["</f>
        <v>#VALUE!</v>
      </c>
      <c r="BR2" t="e">
        <f>Nodes!234:234-"'E4!&amp;\"</f>
        <v>#VALUE!</v>
      </c>
      <c r="BS2" t="e">
        <f>Nodes!235:235-"'E4!&amp;]"</f>
        <v>#VALUE!</v>
      </c>
      <c r="BT2" t="e">
        <f>Nodes!236:236-"'E4!&amp;^"</f>
        <v>#VALUE!</v>
      </c>
      <c r="BU2" t="e">
        <f>Nodes!237:237-"'E4!&amp;_"</f>
        <v>#VALUE!</v>
      </c>
      <c r="BV2" t="e">
        <f>Nodes!238:238-"'E4!&amp;`"</f>
        <v>#VALUE!</v>
      </c>
      <c r="BW2" t="e">
        <f>Nodes!239:239-"'E4!&amp;a"</f>
        <v>#VALUE!</v>
      </c>
      <c r="BX2" t="e">
        <f>Nodes!240:240-"'E4!&amp;b"</f>
        <v>#VALUE!</v>
      </c>
      <c r="BY2" t="e">
        <f>Nodes!241:241-"'E4!&amp;c"</f>
        <v>#VALUE!</v>
      </c>
      <c r="BZ2" t="e">
        <f>Nodes!242:242-"'E4!&amp;d"</f>
        <v>#VALUE!</v>
      </c>
      <c r="CA2" t="e">
        <f>Nodes!243:243-"'E4!&amp;e"</f>
        <v>#VALUE!</v>
      </c>
      <c r="CB2" t="e">
        <f>Nodes!244:244-"'E4!&amp;f"</f>
        <v>#VALUE!</v>
      </c>
      <c r="CC2" t="e">
        <f>Nodes!245:245-"'E4!&amp;g"</f>
        <v>#VALUE!</v>
      </c>
      <c r="CD2" t="e">
        <f>Nodes!246:246-"'E4!&amp;h"</f>
        <v>#VALUE!</v>
      </c>
      <c r="CE2" t="e">
        <f>Nodes!247:247-"'E4!&amp;i"</f>
        <v>#VALUE!</v>
      </c>
      <c r="CF2" t="e">
        <f>Nodes!248:248-"'E4!&amp;j"</f>
        <v>#VALUE!</v>
      </c>
      <c r="CG2" t="e">
        <f>Nodes!249:249-"'E4!&amp;k"</f>
        <v>#VALUE!</v>
      </c>
      <c r="CH2" t="e">
        <f>Nodes!250:250-"'E4!&amp;l"</f>
        <v>#VALUE!</v>
      </c>
      <c r="CI2" t="e">
        <f>Nodes!251:251-"'E4!&amp;m"</f>
        <v>#VALUE!</v>
      </c>
      <c r="CJ2" t="e">
        <f>Nodes!252:252-"'E4!&amp;n"</f>
        <v>#VALUE!</v>
      </c>
      <c r="CK2" t="e">
        <f>Nodes!253:253-"'E4!&amp;o"</f>
        <v>#VALUE!</v>
      </c>
      <c r="CL2" t="e">
        <f>Nodes!254:254-"'E4!&amp;p"</f>
        <v>#VALUE!</v>
      </c>
      <c r="CM2" t="e">
        <f>Nodes!255:255-"'E4!&amp;q"</f>
        <v>#VALUE!</v>
      </c>
      <c r="CN2" t="e">
        <f>Nodes!256:256-"'E4!&amp;r"</f>
        <v>#VALUE!</v>
      </c>
      <c r="CO2" t="e">
        <f>Nodes!257:257-"'E4!&amp;s"</f>
        <v>#VALUE!</v>
      </c>
      <c r="CP2" t="e">
        <f>Nodes!258:258-"'E4!&amp;t"</f>
        <v>#VALUE!</v>
      </c>
      <c r="CQ2" t="e">
        <f>Nodes!259:259-"'E4!&amp;u"</f>
        <v>#VALUE!</v>
      </c>
      <c r="CR2" t="e">
        <f>Nodes!260:260-"'E4!&amp;v"</f>
        <v>#VALUE!</v>
      </c>
      <c r="CS2" t="e">
        <f>Nodes!261:261-"'E4!&amp;w"</f>
        <v>#VALUE!</v>
      </c>
      <c r="CT2" t="e">
        <f>Nodes!262:262-"'E4!&amp;x"</f>
        <v>#VALUE!</v>
      </c>
      <c r="CU2" t="e">
        <f>Nodes!263:263-"'E4!&amp;y"</f>
        <v>#VALUE!</v>
      </c>
      <c r="CV2" t="e">
        <f>Nodes!264:264-"'E4!&amp;z"</f>
        <v>#VALUE!</v>
      </c>
      <c r="CW2" t="e">
        <f>Nodes!265:265-"'E4!&amp;{"</f>
        <v>#VALUE!</v>
      </c>
      <c r="CX2" t="e">
        <f>Nodes!266:266-"'E4!&amp;|"</f>
        <v>#VALUE!</v>
      </c>
      <c r="CY2" t="e">
        <f>Nodes!267:267-"'E4!&amp;}"</f>
        <v>#VALUE!</v>
      </c>
      <c r="CZ2" t="e">
        <f>Nodes!268:268-"'E4!&amp;~"</f>
        <v>#VALUE!</v>
      </c>
      <c r="DA2" t="e">
        <f>Nodes!269:269-"'E4!'#"</f>
        <v>#VALUE!</v>
      </c>
      <c r="DB2" t="e">
        <f>Nodes!270:270-"'E4!'$"</f>
        <v>#VALUE!</v>
      </c>
      <c r="DC2" t="e">
        <f>Nodes!271:271-"'E4!'%"</f>
        <v>#VALUE!</v>
      </c>
      <c r="DD2" t="e">
        <f>Nodes!272:272-"'E4!'&amp;"</f>
        <v>#VALUE!</v>
      </c>
      <c r="DE2" t="e">
        <f>Nodes!273:273-"'E4!''"</f>
        <v>#VALUE!</v>
      </c>
      <c r="DF2" t="e">
        <f>Nodes!274:274-"'E4!'("</f>
        <v>#VALUE!</v>
      </c>
      <c r="DG2" t="e">
        <f>Nodes!275:275-"'E4!')"</f>
        <v>#VALUE!</v>
      </c>
      <c r="DH2" t="e">
        <f>Nodes!276:276-"'E4!'."</f>
        <v>#VALUE!</v>
      </c>
      <c r="DI2" t="e">
        <f>Nodes!277:277-"'E4!'/"</f>
        <v>#VALUE!</v>
      </c>
      <c r="DJ2" t="e">
        <f>Nodes!278:278-"'E4!'0"</f>
        <v>#VALUE!</v>
      </c>
      <c r="DK2" t="e">
        <f>Nodes!279:279-"'E4!'1"</f>
        <v>#VALUE!</v>
      </c>
      <c r="DL2" t="e">
        <f>Nodes!280:280-"'E4!'2"</f>
        <v>#VALUE!</v>
      </c>
      <c r="DM2" t="e">
        <f>Nodes!281:281-"'E4!'3"</f>
        <v>#VALUE!</v>
      </c>
      <c r="DN2" t="e">
        <f>Nodes!282:282-"'E4!'4"</f>
        <v>#VALUE!</v>
      </c>
      <c r="DO2" t="e">
        <f>Nodes!283:283-"'E4!'5"</f>
        <v>#VALUE!</v>
      </c>
      <c r="DP2" t="e">
        <f>Nodes!284:284-"'E4!'6"</f>
        <v>#VALUE!</v>
      </c>
      <c r="DQ2" t="e">
        <f>Nodes!285:285-"'E4!'7"</f>
        <v>#VALUE!</v>
      </c>
      <c r="DR2" t="e">
        <f>Nodes!286:286-"'E4!'8"</f>
        <v>#VALUE!</v>
      </c>
      <c r="DS2" t="e">
        <f>Nodes!287:287-"'E4!'9"</f>
        <v>#VALUE!</v>
      </c>
      <c r="DT2" t="e">
        <f>Nodes!288:288-"'E4!':"</f>
        <v>#VALUE!</v>
      </c>
      <c r="DU2" t="e">
        <f>Nodes!289:289-"'E4!';"</f>
        <v>#VALUE!</v>
      </c>
      <c r="DV2" t="e">
        <f>Nodes!290:290-"'E4!'&lt;"</f>
        <v>#VALUE!</v>
      </c>
      <c r="DW2" t="e">
        <f>Nodes!291:291-"'E4!'="</f>
        <v>#VALUE!</v>
      </c>
      <c r="DX2" t="e">
        <f>Nodes!292:292-"'E4!'&gt;"</f>
        <v>#VALUE!</v>
      </c>
      <c r="DY2" t="e">
        <f>Nodes!293:293-"'E4!'?"</f>
        <v>#VALUE!</v>
      </c>
      <c r="DZ2" t="e">
        <f>Nodes!294:294-"'E4!'@"</f>
        <v>#VALUE!</v>
      </c>
      <c r="EA2" t="e">
        <f>Nodes!295:295-"'E4!'A"</f>
        <v>#VALUE!</v>
      </c>
      <c r="EB2" t="e">
        <f>Nodes!296:296-"'E4!'B"</f>
        <v>#VALUE!</v>
      </c>
      <c r="EC2" t="e">
        <f>Nodes!297:297-"'E4!'C"</f>
        <v>#VALUE!</v>
      </c>
      <c r="ED2" t="e">
        <f>Nodes!298:298-"'E4!'D"</f>
        <v>#VALUE!</v>
      </c>
      <c r="EE2" t="e">
        <f>Nodes!299:299-"'E4!'E"</f>
        <v>#VALUE!</v>
      </c>
      <c r="EF2" t="e">
        <f>Nodes!300:300-"'E4!'F"</f>
        <v>#VALUE!</v>
      </c>
      <c r="EG2" t="e">
        <f>Nodes!301:301-"'E4!'G"</f>
        <v>#VALUE!</v>
      </c>
      <c r="EH2" t="e">
        <f>Nodes!302:302-"'E4!'H"</f>
        <v>#VALUE!</v>
      </c>
      <c r="EI2" t="e">
        <f>Nodes!303:303-"'E4!'I"</f>
        <v>#VALUE!</v>
      </c>
      <c r="EJ2" t="e">
        <f>Nodes!304:304-"'E4!'J"</f>
        <v>#VALUE!</v>
      </c>
      <c r="EK2" t="e">
        <f>Nodes!305:305-"'E4!'K"</f>
        <v>#VALUE!</v>
      </c>
      <c r="EL2" t="e">
        <f>Nodes!306:306-"'E4!'L"</f>
        <v>#VALUE!</v>
      </c>
      <c r="EM2" t="e">
        <f>Nodes!307:307-"'E4!'M"</f>
        <v>#VALUE!</v>
      </c>
      <c r="EN2" t="e">
        <f>Nodes!308:308-"'E4!'N"</f>
        <v>#VALUE!</v>
      </c>
      <c r="EO2" t="e">
        <f>Nodes!309:309-"'E4!'O"</f>
        <v>#VALUE!</v>
      </c>
      <c r="EP2" t="e">
        <f>Nodes!310:310-"'E4!'P"</f>
        <v>#VALUE!</v>
      </c>
      <c r="EQ2" t="e">
        <f>Nodes!311:311-"'E4!'Q"</f>
        <v>#VALUE!</v>
      </c>
      <c r="ER2" t="e">
        <f>Nodes!312:312-"'E4!'R"</f>
        <v>#VALUE!</v>
      </c>
      <c r="ES2" t="e">
        <f>Nodes!313:313-"'E4!'S"</f>
        <v>#VALUE!</v>
      </c>
      <c r="ET2" t="e">
        <f>Nodes!314:314-"'E4!'T"</f>
        <v>#VALUE!</v>
      </c>
      <c r="EU2" t="e">
        <f>Nodes!315:315-"'E4!'U"</f>
        <v>#VALUE!</v>
      </c>
      <c r="EV2" t="e">
        <f>Nodes!316:316-"'E4!'V"</f>
        <v>#VALUE!</v>
      </c>
      <c r="EW2" t="e">
        <f>Nodes!317:317-"'E4!'W"</f>
        <v>#VALUE!</v>
      </c>
      <c r="EX2" t="e">
        <f>Nodes!318:318-"'E4!'X"</f>
        <v>#VALUE!</v>
      </c>
      <c r="EY2" t="e">
        <f>Nodes!319:319-"'E4!'Y"</f>
        <v>#VALUE!</v>
      </c>
      <c r="EZ2" t="e">
        <f>Nodes!320:320-"'E4!'Z"</f>
        <v>#VALUE!</v>
      </c>
      <c r="FA2" t="e">
        <f>Nodes!321:321-"'E4!'["</f>
        <v>#VALUE!</v>
      </c>
      <c r="FB2" t="e">
        <f>Nodes!322:322-"'E4!'\"</f>
        <v>#VALUE!</v>
      </c>
      <c r="FC2" t="e">
        <f>Nodes!323:323-"'E4!']"</f>
        <v>#VALUE!</v>
      </c>
      <c r="FD2" t="e">
        <f>Nodes!324:324-"'E4!'^"</f>
        <v>#VALUE!</v>
      </c>
      <c r="FE2" t="e">
        <f>Nodes!325:325-"'E4!'_"</f>
        <v>#VALUE!</v>
      </c>
      <c r="FF2" t="e">
        <f>Nodes!326:326-"'E4!'`"</f>
        <v>#VALUE!</v>
      </c>
      <c r="FG2" t="e">
        <f>Nodes!327:327-"'E4!'a"</f>
        <v>#VALUE!</v>
      </c>
      <c r="FH2" t="e">
        <f>Nodes!328:328-"'E4!'b"</f>
        <v>#VALUE!</v>
      </c>
      <c r="FI2" t="e">
        <f>Nodes!329:329-"'E4!'c"</f>
        <v>#VALUE!</v>
      </c>
      <c r="FJ2" t="e">
        <f>Nodes!330:330-"'E4!'d"</f>
        <v>#VALUE!</v>
      </c>
      <c r="FK2" t="e">
        <f>Nodes!331:331-"'E4!'e"</f>
        <v>#VALUE!</v>
      </c>
      <c r="FL2" t="e">
        <f>Nodes!332:332-"'E4!'f"</f>
        <v>#VALUE!</v>
      </c>
      <c r="FM2" t="e">
        <f>Nodes!333:333-"'E4!'g"</f>
        <v>#VALUE!</v>
      </c>
      <c r="FN2" t="e">
        <f>Nodes!334:334-"'E4!'h"</f>
        <v>#VALUE!</v>
      </c>
      <c r="FO2" t="e">
        <f>Nodes!335:335-"'E4!'i"</f>
        <v>#VALUE!</v>
      </c>
      <c r="FP2" t="e">
        <f>Nodes!336:336-"'E4!'j"</f>
        <v>#VALUE!</v>
      </c>
      <c r="FQ2" t="e">
        <f>Nodes!337:337-"'E4!'k"</f>
        <v>#VALUE!</v>
      </c>
      <c r="FR2" t="e">
        <f>Nodes!338:338-"'E4!'l"</f>
        <v>#VALUE!</v>
      </c>
      <c r="FS2" t="e">
        <f>Nodes!339:339-"'E4!'m"</f>
        <v>#VALUE!</v>
      </c>
      <c r="FT2" t="e">
        <f>Nodes!340:340-"'E4!'n"</f>
        <v>#VALUE!</v>
      </c>
      <c r="FU2" t="e">
        <f>Nodes!341:341-"'E4!'o"</f>
        <v>#VALUE!</v>
      </c>
      <c r="FV2" t="e">
        <f>Nodes!342:342-"'E4!'p"</f>
        <v>#VALUE!</v>
      </c>
      <c r="FW2" t="e">
        <f>Nodes!343:343-"'E4!'q"</f>
        <v>#VALUE!</v>
      </c>
      <c r="FX2" t="e">
        <f>Nodes!344:344-"'E4!'r"</f>
        <v>#VALUE!</v>
      </c>
      <c r="FY2" t="e">
        <f>Nodes!345:345-"'E4!'s"</f>
        <v>#VALUE!</v>
      </c>
      <c r="FZ2" t="e">
        <f>Nodes!346:346-"'E4!'t"</f>
        <v>#VALUE!</v>
      </c>
      <c r="GA2" t="e">
        <f>Nodes!347:347-"'E4!'u"</f>
        <v>#VALUE!</v>
      </c>
      <c r="GB2" t="e">
        <f>Nodes!348:348-"'E4!'v"</f>
        <v>#VALUE!</v>
      </c>
      <c r="GC2" t="e">
        <f>Nodes!349:349-"'E4!'w"</f>
        <v>#VALUE!</v>
      </c>
      <c r="GD2" t="e">
        <f>Nodes!350:350-"'E4!'x"</f>
        <v>#VALUE!</v>
      </c>
      <c r="GE2" t="e">
        <f>Nodes!351:351-"'E4!'y"</f>
        <v>#VALUE!</v>
      </c>
      <c r="GF2" t="e">
        <f>Nodes!352:352-"'E4!'z"</f>
        <v>#VALUE!</v>
      </c>
      <c r="GG2" t="e">
        <f>Nodes!353:353-"'E4!'{"</f>
        <v>#VALUE!</v>
      </c>
      <c r="GH2" t="e">
        <f>Nodes!354:354-"'E4!'|"</f>
        <v>#VALUE!</v>
      </c>
      <c r="GI2" t="e">
        <f>Nodes!355:355-"'E4!'}"</f>
        <v>#VALUE!</v>
      </c>
      <c r="GJ2" t="e">
        <f>Nodes!356:356-"'E4!'~"</f>
        <v>#VALUE!</v>
      </c>
      <c r="GK2" t="e">
        <f>Nodes!357:357-"'E4!(#"</f>
        <v>#VALUE!</v>
      </c>
      <c r="GL2" t="e">
        <f>Nodes!358:358-"'E4!($"</f>
        <v>#VALUE!</v>
      </c>
      <c r="GM2" t="e">
        <f>Nodes!359:359-"'E4!(%"</f>
        <v>#VALUE!</v>
      </c>
      <c r="GN2" t="e">
        <f>Nodes!360:360-"'E4!(&amp;"</f>
        <v>#VALUE!</v>
      </c>
      <c r="GO2" t="e">
        <f>Nodes!361:361-"'E4!('"</f>
        <v>#VALUE!</v>
      </c>
      <c r="GP2" t="e">
        <f>Nodes!362:362-"'E4!(("</f>
        <v>#VALUE!</v>
      </c>
      <c r="GQ2" t="e">
        <f>Nodes!363:363-"'E4!()"</f>
        <v>#VALUE!</v>
      </c>
      <c r="GR2" t="e">
        <f>Nodes!364:364-"'E4!(."</f>
        <v>#VALUE!</v>
      </c>
      <c r="GS2" t="e">
        <f>Nodes!365:365-"'E4!(/"</f>
        <v>#VALUE!</v>
      </c>
      <c r="GT2" t="e">
        <f>Nodes!366:366-"'E4!(0"</f>
        <v>#VALUE!</v>
      </c>
      <c r="GU2" t="e">
        <f>Nodes!367:367-"'E4!(1"</f>
        <v>#VALUE!</v>
      </c>
      <c r="GV2" t="e">
        <f>Nodes!368:368-"'E4!(2"</f>
        <v>#VALUE!</v>
      </c>
      <c r="GW2" t="e">
        <f>Nodes!369:369-"'E4!(3"</f>
        <v>#VALUE!</v>
      </c>
      <c r="GX2" t="e">
        <f>Nodes!370:370-"'E4!(4"</f>
        <v>#VALUE!</v>
      </c>
      <c r="GY2" t="e">
        <f>Nodes!371:371-"'E4!(5"</f>
        <v>#VALUE!</v>
      </c>
      <c r="GZ2" t="e">
        <f>Nodes!372:372-"'E4!(6"</f>
        <v>#VALUE!</v>
      </c>
      <c r="HA2" t="e">
        <f>Nodes!373:373-"'E4!(7"</f>
        <v>#VALUE!</v>
      </c>
      <c r="HB2" t="e">
        <f>Nodes!374:374-"'E4!(8"</f>
        <v>#VALUE!</v>
      </c>
      <c r="HC2" t="e">
        <f>Nodes!375:375-"'E4!(9"</f>
        <v>#VALUE!</v>
      </c>
      <c r="HD2" t="e">
        <f>Nodes!376:376-"'E4!(:"</f>
        <v>#VALUE!</v>
      </c>
      <c r="HE2" t="e">
        <f>Nodes!377:377-"'E4!(;"</f>
        <v>#VALUE!</v>
      </c>
      <c r="HF2" t="e">
        <f>Nodes!378:378-"'E4!(&lt;"</f>
        <v>#VALUE!</v>
      </c>
      <c r="HG2" t="e">
        <f>Nodes!379:379-"'E4!(="</f>
        <v>#VALUE!</v>
      </c>
      <c r="HH2" t="e">
        <f>Nodes!380:380-"'E4!(&gt;"</f>
        <v>#VALUE!</v>
      </c>
      <c r="HI2" t="e">
        <f>Nodes!381:381-"'E4!(?"</f>
        <v>#VALUE!</v>
      </c>
      <c r="HJ2" t="e">
        <f>Nodes!382:382-"'E4!(@"</f>
        <v>#VALUE!</v>
      </c>
      <c r="HK2" t="e">
        <f>Nodes!383:383-"'E4!(A"</f>
        <v>#VALUE!</v>
      </c>
      <c r="HL2" t="e">
        <f>Nodes!384:384-"'E4!(B"</f>
        <v>#VALUE!</v>
      </c>
      <c r="HM2" t="e">
        <f>Nodes!385:385-"'E4!(C"</f>
        <v>#VALUE!</v>
      </c>
      <c r="HN2" t="e">
        <f>Nodes!386:386-"'E4!(D"</f>
        <v>#VALUE!</v>
      </c>
      <c r="HO2" t="e">
        <f>Nodes!387:387-"'E4!(E"</f>
        <v>#VALUE!</v>
      </c>
      <c r="HP2" t="e">
        <f>Nodes!388:388-"'E4!(F"</f>
        <v>#VALUE!</v>
      </c>
      <c r="HQ2" t="e">
        <f>Nodes!389:389-"'E4!(G"</f>
        <v>#VALUE!</v>
      </c>
      <c r="HR2" t="e">
        <f>Nodes!390:390-"'E4!(H"</f>
        <v>#VALUE!</v>
      </c>
      <c r="HS2" t="e">
        <f>Nodes!391:391-"'E4!(I"</f>
        <v>#VALUE!</v>
      </c>
      <c r="HT2" t="e">
        <f>Nodes!392:392-"'E4!(J"</f>
        <v>#VALUE!</v>
      </c>
      <c r="HU2" t="e">
        <f>Nodes!393:393-"'E4!(K"</f>
        <v>#VALUE!</v>
      </c>
      <c r="HV2" t="e">
        <f>Nodes!394:394-"'E4!(L"</f>
        <v>#VALUE!</v>
      </c>
      <c r="HW2" t="e">
        <f>Nodes!395:395-"'E4!(M"</f>
        <v>#VALUE!</v>
      </c>
      <c r="HX2" t="e">
        <f>Nodes!396:396-"'E4!(N"</f>
        <v>#VALUE!</v>
      </c>
      <c r="HY2" t="e">
        <f>Nodes!397:397-"'E4!(O"</f>
        <v>#VALUE!</v>
      </c>
      <c r="HZ2" t="e">
        <f>Nodes!398:398-"'E4!(P"</f>
        <v>#VALUE!</v>
      </c>
      <c r="IA2" t="e">
        <f>Nodes!399:399-"'E4!(Q"</f>
        <v>#VALUE!</v>
      </c>
      <c r="IB2" t="e">
        <f>Nodes!400:400-"'E4!(R"</f>
        <v>#VALUE!</v>
      </c>
      <c r="IC2" t="e">
        <f>Nodes!401:401-"'E4!(S"</f>
        <v>#VALUE!</v>
      </c>
      <c r="ID2" t="e">
        <f>Nodes!402:402-"'E4!(T"</f>
        <v>#VALUE!</v>
      </c>
      <c r="IE2" t="e">
        <f>Nodes!403:403-"'E4!(U"</f>
        <v>#VALUE!</v>
      </c>
      <c r="IF2" t="e">
        <f>Nodes!404:404-"'E4!(V"</f>
        <v>#VALUE!</v>
      </c>
      <c r="IG2" t="e">
        <f>Nodes!405:405-"'E4!(W"</f>
        <v>#VALUE!</v>
      </c>
      <c r="IH2" t="e">
        <f>Nodes!406:406-"'E4!(X"</f>
        <v>#VALUE!</v>
      </c>
      <c r="II2" t="e">
        <f>Nodes!407:407-"'E4!(Y"</f>
        <v>#VALUE!</v>
      </c>
      <c r="IJ2" t="e">
        <f>Nodes!408:408-"'E4!(Z"</f>
        <v>#VALUE!</v>
      </c>
      <c r="IK2" t="e">
        <f>Nodes!409:409-"'E4!(["</f>
        <v>#VALUE!</v>
      </c>
      <c r="IL2" t="e">
        <f>Nodes!410:410-"'E4!(\"</f>
        <v>#VALUE!</v>
      </c>
      <c r="IM2" t="e">
        <f>Nodes!411:411-"'E4!(]"</f>
        <v>#VALUE!</v>
      </c>
      <c r="IN2" t="e">
        <f>Nodes!412:412-"'E4!(^"</f>
        <v>#VALUE!</v>
      </c>
      <c r="IO2" t="e">
        <f>Nodes!413:413-"'E4!(_"</f>
        <v>#VALUE!</v>
      </c>
      <c r="IP2" t="e">
        <f>Nodes!414:414-"'E4!(`"</f>
        <v>#VALUE!</v>
      </c>
      <c r="IQ2" t="e">
        <f>Nodes!415:415-"'E4!(a"</f>
        <v>#VALUE!</v>
      </c>
      <c r="IR2" t="e">
        <f>Nodes!416:416-"'E4!(b"</f>
        <v>#VALUE!</v>
      </c>
      <c r="IS2" t="e">
        <f>Nodes!417:417-"'E4!(c"</f>
        <v>#VALUE!</v>
      </c>
      <c r="IT2" t="e">
        <f>Nodes!418:418-"'E4!(d"</f>
        <v>#VALUE!</v>
      </c>
      <c r="IU2" t="e">
        <f>Nodes!419:419-"'E4!(e"</f>
        <v>#VALUE!</v>
      </c>
      <c r="IV2" t="e">
        <f>Nodes!420:420-"'E4!(f"</f>
        <v>#VALUE!</v>
      </c>
    </row>
    <row r="3" spans="1:256">
      <c r="A3" t="s">
        <v>7146</v>
      </c>
      <c r="F3" t="e">
        <f>Nodes!421:421-"'E4!(g"</f>
        <v>#VALUE!</v>
      </c>
      <c r="G3" t="e">
        <f>Nodes!422:422-"'E4!(h"</f>
        <v>#VALUE!</v>
      </c>
      <c r="H3" t="e">
        <f>Nodes!423:423-"'E4!(i"</f>
        <v>#VALUE!</v>
      </c>
      <c r="I3" t="e">
        <f>Nodes!424:424-"'E4!(j"</f>
        <v>#VALUE!</v>
      </c>
      <c r="J3" t="e">
        <f>Nodes!425:425-"'E4!(k"</f>
        <v>#VALUE!</v>
      </c>
      <c r="K3" t="e">
        <f>Nodes!426:426-"'E4!(l"</f>
        <v>#VALUE!</v>
      </c>
      <c r="L3" t="e">
        <f>Nodes!427:427-"'E4!(m"</f>
        <v>#VALUE!</v>
      </c>
      <c r="M3" t="e">
        <f>Nodes!428:428-"'E4!(n"</f>
        <v>#VALUE!</v>
      </c>
      <c r="N3" t="e">
        <f>Nodes!429:429-"'E4!(o"</f>
        <v>#VALUE!</v>
      </c>
      <c r="O3" t="e">
        <f>Nodes!430:430-"'E4!(p"</f>
        <v>#VALUE!</v>
      </c>
      <c r="P3" t="e">
        <f>Nodes!431:431-"'E4!(q"</f>
        <v>#VALUE!</v>
      </c>
      <c r="Q3" t="e">
        <f>Nodes!432:432-"'E4!(r"</f>
        <v>#VALUE!</v>
      </c>
      <c r="R3" t="e">
        <f>Nodes!433:433-"'E4!(s"</f>
        <v>#VALUE!</v>
      </c>
      <c r="S3" t="e">
        <f>Nodes!434:434-"'E4!(t"</f>
        <v>#VALUE!</v>
      </c>
      <c r="T3" t="e">
        <f>Nodes!435:435-"'E4!(u"</f>
        <v>#VALUE!</v>
      </c>
      <c r="U3" t="e">
        <f>Nodes!436:436-"'E4!(v"</f>
        <v>#VALUE!</v>
      </c>
      <c r="V3" t="e">
        <f>Nodes!437:437-"'E4!(w"</f>
        <v>#VALUE!</v>
      </c>
      <c r="W3" t="e">
        <f>Nodes!438:438-"'E4!(x"</f>
        <v>#VALUE!</v>
      </c>
      <c r="X3" t="e">
        <f>Nodes!439:439-"'E4!(y"</f>
        <v>#VALUE!</v>
      </c>
      <c r="Y3" t="e">
        <f>Nodes!440:440-"'E4!(z"</f>
        <v>#VALUE!</v>
      </c>
      <c r="Z3" t="e">
        <f>Nodes!441:441-"'E4!({"</f>
        <v>#VALUE!</v>
      </c>
      <c r="AA3" t="e">
        <f>Nodes!442:442-"'E4!(|"</f>
        <v>#VALUE!</v>
      </c>
      <c r="AB3" t="e">
        <f>Nodes!443:443-"'E4!(}"</f>
        <v>#VALUE!</v>
      </c>
      <c r="AC3" t="e">
        <f>Nodes!444:444-"'E4!(~"</f>
        <v>#VALUE!</v>
      </c>
      <c r="AD3" t="e">
        <f>Nodes!445:445-"'E4!)#"</f>
        <v>#VALUE!</v>
      </c>
      <c r="AE3" t="e">
        <f>Nodes!446:446-"'E4!)$"</f>
        <v>#VALUE!</v>
      </c>
      <c r="AF3" t="e">
        <f>Nodes!447:447-"'E4!)%"</f>
        <v>#VALUE!</v>
      </c>
      <c r="AG3" t="e">
        <f>Nodes!448:448-"'E4!)&amp;"</f>
        <v>#VALUE!</v>
      </c>
      <c r="AH3" t="e">
        <f>Nodes!449:449-"'E4!)'"</f>
        <v>#VALUE!</v>
      </c>
      <c r="AI3" t="e">
        <f>Nodes!450:450-"'E4!)("</f>
        <v>#VALUE!</v>
      </c>
      <c r="AJ3" t="e">
        <f>Nodes!451:451-"'E4!))"</f>
        <v>#VALUE!</v>
      </c>
      <c r="AK3" t="e">
        <f>Nodes!452:452-"'E4!)."</f>
        <v>#VALUE!</v>
      </c>
      <c r="AL3" t="e">
        <f>Nodes!453:453-"'E4!)/"</f>
        <v>#VALUE!</v>
      </c>
      <c r="AM3" t="e">
        <f>Nodes!454:454-"'E4!)0"</f>
        <v>#VALUE!</v>
      </c>
      <c r="AN3" t="e">
        <f>Nodes!455:455-"'E4!)1"</f>
        <v>#VALUE!</v>
      </c>
      <c r="AO3" t="e">
        <f>Nodes!456:456-"'E4!)2"</f>
        <v>#VALUE!</v>
      </c>
      <c r="AP3" t="e">
        <f>Nodes!457:457-"'E4!)3"</f>
        <v>#VALUE!</v>
      </c>
      <c r="AQ3" t="e">
        <f>Nodes!458:458-"'E4!)4"</f>
        <v>#VALUE!</v>
      </c>
      <c r="AR3" t="e">
        <f>Nodes!459:459-"'E4!)5"</f>
        <v>#VALUE!</v>
      </c>
      <c r="AS3" t="e">
        <f>Nodes!460:460-"'E4!)6"</f>
        <v>#VALUE!</v>
      </c>
      <c r="AT3" t="e">
        <f>Nodes!461:461-"'E4!)7"</f>
        <v>#VALUE!</v>
      </c>
      <c r="AU3" t="e">
        <f>Nodes!462:462-"'E4!)8"</f>
        <v>#VALUE!</v>
      </c>
      <c r="AV3" t="e">
        <f>Nodes!463:463-"'E4!)9"</f>
        <v>#VALUE!</v>
      </c>
      <c r="AW3" t="e">
        <f>Nodes!464:464-"'E4!):"</f>
        <v>#VALUE!</v>
      </c>
      <c r="AX3" t="e">
        <f>Nodes!465:465-"'E4!);"</f>
        <v>#VALUE!</v>
      </c>
      <c r="AY3" t="e">
        <f>Nodes!466:466-"'E4!)&lt;"</f>
        <v>#VALUE!</v>
      </c>
      <c r="AZ3" t="e">
        <f>Nodes!467:467-"'E4!)="</f>
        <v>#VALUE!</v>
      </c>
      <c r="BA3" t="e">
        <f>Nodes!468:468-"'E4!)&gt;"</f>
        <v>#VALUE!</v>
      </c>
      <c r="BB3" t="e">
        <f>Nodes!469:469-"'E4!)?"</f>
        <v>#VALUE!</v>
      </c>
      <c r="BC3" t="e">
        <f>Nodes!470:470-"'E4!)@"</f>
        <v>#VALUE!</v>
      </c>
      <c r="BD3" t="e">
        <f>Nodes!471:471-"'E4!)A"</f>
        <v>#VALUE!</v>
      </c>
      <c r="BE3" t="e">
        <f>Nodes!472:472-"'E4!)B"</f>
        <v>#VALUE!</v>
      </c>
      <c r="BF3" t="e">
        <f>Nodes!473:473-"'E4!)C"</f>
        <v>#VALUE!</v>
      </c>
      <c r="BG3" t="e">
        <f>Nodes!474:474-"'E4!)D"</f>
        <v>#VALUE!</v>
      </c>
      <c r="BH3" t="e">
        <f>Nodes!475:475-"'E4!)E"</f>
        <v>#VALUE!</v>
      </c>
      <c r="BI3" t="e">
        <f>Nodes!476:476-"'E4!)F"</f>
        <v>#VALUE!</v>
      </c>
      <c r="BJ3" t="e">
        <f>Nodes!477:477-"'E4!)G"</f>
        <v>#VALUE!</v>
      </c>
      <c r="BK3" t="e">
        <f>Nodes!478:478-"'E4!)H"</f>
        <v>#VALUE!</v>
      </c>
      <c r="BL3" t="e">
        <f>Nodes!479:479-"'E4!)I"</f>
        <v>#VALUE!</v>
      </c>
      <c r="BM3" t="e">
        <f>Nodes!480:480-"'E4!)J"</f>
        <v>#VALUE!</v>
      </c>
      <c r="BN3" t="e">
        <f>Nodes!481:481-"'E4!)K"</f>
        <v>#VALUE!</v>
      </c>
      <c r="BO3" t="e">
        <f>Nodes!482:482-"'E4!)L"</f>
        <v>#VALUE!</v>
      </c>
      <c r="BP3" t="e">
        <f>Nodes!483:483-"'E4!)M"</f>
        <v>#VALUE!</v>
      </c>
      <c r="BQ3" t="e">
        <f>Nodes!484:484-"'E4!)N"</f>
        <v>#VALUE!</v>
      </c>
      <c r="BR3" t="e">
        <f>Nodes!485:485-"'E4!)O"</f>
        <v>#VALUE!</v>
      </c>
      <c r="BS3" t="e">
        <f>Nodes!486:486-"'E4!)P"</f>
        <v>#VALUE!</v>
      </c>
      <c r="BT3" t="e">
        <f>Nodes!487:487-"'E4!)Q"</f>
        <v>#VALUE!</v>
      </c>
      <c r="BU3" t="e">
        <f>Nodes!488:488-"'E4!)R"</f>
        <v>#VALUE!</v>
      </c>
      <c r="BV3" t="e">
        <f>Nodes!489:489-"'E4!)S"</f>
        <v>#VALUE!</v>
      </c>
      <c r="BW3" t="e">
        <f>Nodes!490:490-"'E4!)T"</f>
        <v>#VALUE!</v>
      </c>
      <c r="BX3" t="e">
        <f>Nodes!491:491-"'E4!)U"</f>
        <v>#VALUE!</v>
      </c>
      <c r="BY3" t="e">
        <f>Nodes!492:492-"'E4!)V"</f>
        <v>#VALUE!</v>
      </c>
      <c r="BZ3" t="e">
        <f>Nodes!493:493-"'E4!)W"</f>
        <v>#VALUE!</v>
      </c>
      <c r="CA3" t="e">
        <f>Nodes!494:494-"'E4!)X"</f>
        <v>#VALUE!</v>
      </c>
      <c r="CB3" t="e">
        <f>Nodes!495:495-"'E4!)Y"</f>
        <v>#VALUE!</v>
      </c>
      <c r="CC3" t="e">
        <f>Nodes!496:496-"'E4!)Z"</f>
        <v>#VALUE!</v>
      </c>
      <c r="CD3" t="e">
        <f>Nodes!497:497-"'E4!)["</f>
        <v>#VALUE!</v>
      </c>
      <c r="CE3" t="e">
        <f>Nodes!498:498-"'E4!)\"</f>
        <v>#VALUE!</v>
      </c>
      <c r="CF3" t="e">
        <f>Nodes!499:499-"'E4!)]"</f>
        <v>#VALUE!</v>
      </c>
      <c r="CG3" t="e">
        <f>Nodes!500:500-"'E4!)^"</f>
        <v>#VALUE!</v>
      </c>
      <c r="CH3" t="e">
        <f>Nodes!501:501-"'E4!)_"</f>
        <v>#VALUE!</v>
      </c>
      <c r="CI3" t="e">
        <f>Nodes!502:502-"'E4!)`"</f>
        <v>#VALUE!</v>
      </c>
      <c r="CJ3" t="e">
        <f>Nodes!503:503-"'E4!)a"</f>
        <v>#VALUE!</v>
      </c>
      <c r="CK3" t="e">
        <f>Nodes!504:504-"'E4!)b"</f>
        <v>#VALUE!</v>
      </c>
      <c r="CL3" t="e">
        <f>Nodes!505:505-"'E4!)c"</f>
        <v>#VALUE!</v>
      </c>
      <c r="CM3" t="e">
        <f>Nodes!506:506-"'E4!)d"</f>
        <v>#VALUE!</v>
      </c>
      <c r="CN3" t="e">
        <f>Nodes!507:507-"'E4!)e"</f>
        <v>#VALUE!</v>
      </c>
      <c r="CO3" t="e">
        <f>Nodes!508:508-"'E4!)f"</f>
        <v>#VALUE!</v>
      </c>
      <c r="CP3" t="e">
        <f>Nodes!509:509-"'E4!)g"</f>
        <v>#VALUE!</v>
      </c>
      <c r="CQ3" t="e">
        <f>Nodes!510:510-"'E4!)h"</f>
        <v>#VALUE!</v>
      </c>
      <c r="CR3" t="e">
        <f>Nodes!511:511-"'E4!)i"</f>
        <v>#VALUE!</v>
      </c>
      <c r="CS3" t="e">
        <f>Nodes!512:512-"'E4!)j"</f>
        <v>#VALUE!</v>
      </c>
      <c r="CT3" t="e">
        <f>Nodes!513:513-"'E4!)k"</f>
        <v>#VALUE!</v>
      </c>
      <c r="CU3" t="e">
        <f>Nodes!514:514-"'E4!)l"</f>
        <v>#VALUE!</v>
      </c>
      <c r="CV3" t="e">
        <f>Nodes!515:515-"'E4!)m"</f>
        <v>#VALUE!</v>
      </c>
      <c r="CW3" t="e">
        <f>Nodes!516:516-"'E4!)n"</f>
        <v>#VALUE!</v>
      </c>
      <c r="CX3" t="e">
        <f>Nodes!517:517-"'E4!)o"</f>
        <v>#VALUE!</v>
      </c>
      <c r="CY3" t="e">
        <f>Nodes!518:518-"'E4!)p"</f>
        <v>#VALUE!</v>
      </c>
      <c r="CZ3" t="e">
        <f>Nodes!519:519-"'E4!)q"</f>
        <v>#VALUE!</v>
      </c>
      <c r="DA3" t="e">
        <f>Nodes!520:520-"'E4!)r"</f>
        <v>#VALUE!</v>
      </c>
      <c r="DB3" t="e">
        <f>Nodes!521:521-"'E4!)s"</f>
        <v>#VALUE!</v>
      </c>
      <c r="DC3" t="e">
        <f>Nodes!522:522-"'E4!)t"</f>
        <v>#VALUE!</v>
      </c>
      <c r="DD3" t="e">
        <f>Nodes!523:523-"'E4!)u"</f>
        <v>#VALUE!</v>
      </c>
      <c r="DE3" t="e">
        <f>Nodes!524:524-"'E4!)v"</f>
        <v>#VALUE!</v>
      </c>
      <c r="DF3" t="e">
        <f>Nodes!525:525-"'E4!)w"</f>
        <v>#VALUE!</v>
      </c>
      <c r="DG3" t="e">
        <f>Nodes!526:526-"'E4!)x"</f>
        <v>#VALUE!</v>
      </c>
      <c r="DH3" t="e">
        <f>Nodes!527:527-"'E4!)y"</f>
        <v>#VALUE!</v>
      </c>
      <c r="DI3" t="e">
        <f>Nodes!528:528-"'E4!)z"</f>
        <v>#VALUE!</v>
      </c>
      <c r="DJ3" t="e">
        <f>Nodes!529:529-"'E4!){"</f>
        <v>#VALUE!</v>
      </c>
      <c r="DK3" t="e">
        <f>Nodes!530:530-"'E4!)|"</f>
        <v>#VALUE!</v>
      </c>
      <c r="DL3" t="e">
        <f>Nodes!531:531-"'E4!)}"</f>
        <v>#VALUE!</v>
      </c>
      <c r="DM3" t="e">
        <f>Nodes!532:532-"'E4!)~"</f>
        <v>#VALUE!</v>
      </c>
      <c r="DN3" t="e">
        <f>Nodes!533:533-"'E4!.#"</f>
        <v>#VALUE!</v>
      </c>
      <c r="DO3" t="e">
        <f>Nodes!534:534-"'E4!.$"</f>
        <v>#VALUE!</v>
      </c>
      <c r="DP3" t="e">
        <f>Nodes!535:535-"'E4!.%"</f>
        <v>#VALUE!</v>
      </c>
      <c r="DQ3" t="e">
        <f>Nodes!536:536-"'E4!.&amp;"</f>
        <v>#VALUE!</v>
      </c>
      <c r="DR3" t="e">
        <f>Nodes!537:537-"'E4!.'"</f>
        <v>#VALUE!</v>
      </c>
      <c r="DS3" t="e">
        <f>Nodes!538:538-"'E4!.("</f>
        <v>#VALUE!</v>
      </c>
      <c r="DT3" t="e">
        <f>Nodes!539:539-"'E4!.)"</f>
        <v>#VALUE!</v>
      </c>
      <c r="DU3" t="e">
        <f>Nodes!540:540-"'E4!.."</f>
        <v>#VALUE!</v>
      </c>
      <c r="DV3" t="e">
        <f>Nodes!541:541-"'E4!./"</f>
        <v>#VALUE!</v>
      </c>
      <c r="DW3" t="e">
        <f>Nodes!542:542-"'E4!.0"</f>
        <v>#VALUE!</v>
      </c>
      <c r="DX3" t="e">
        <f>Nodes!543:543-"'E4!.1"</f>
        <v>#VALUE!</v>
      </c>
      <c r="DY3" t="e">
        <f>Nodes!544:544-"'E4!.2"</f>
        <v>#VALUE!</v>
      </c>
      <c r="DZ3" t="e">
        <f>Nodes!545:545-"'E4!.3"</f>
        <v>#VALUE!</v>
      </c>
      <c r="EA3" t="e">
        <f>Nodes!546:546-"'E4!.4"</f>
        <v>#VALUE!</v>
      </c>
      <c r="EB3" t="e">
        <f>Nodes!547:547-"'E4!.5"</f>
        <v>#VALUE!</v>
      </c>
      <c r="EC3" t="e">
        <f>Nodes!548:548-"'E4!.6"</f>
        <v>#VALUE!</v>
      </c>
      <c r="ED3" t="e">
        <f>Nodes!549:549-"'E4!.7"</f>
        <v>#VALUE!</v>
      </c>
      <c r="EE3" t="e">
        <f>Nodes!550:550-"'E4!.8"</f>
        <v>#VALUE!</v>
      </c>
      <c r="EF3" t="e">
        <f>Nodes!551:551-"'E4!.9"</f>
        <v>#VALUE!</v>
      </c>
      <c r="EG3" t="e">
        <f>Nodes!552:552-"'E4!.:"</f>
        <v>#VALUE!</v>
      </c>
      <c r="EH3" t="e">
        <f>Nodes!553:553-"'E4!.;"</f>
        <v>#VALUE!</v>
      </c>
      <c r="EI3" t="e">
        <f>Nodes!554:554-"'E4!.&lt;"</f>
        <v>#VALUE!</v>
      </c>
      <c r="EJ3" t="e">
        <f>Nodes!555:555-"'E4!.="</f>
        <v>#VALUE!</v>
      </c>
      <c r="EK3" t="e">
        <f>Nodes!556:556-"'E4!.&gt;"</f>
        <v>#VALUE!</v>
      </c>
      <c r="EL3" t="e">
        <f>Nodes!557:557-"'E4!.?"</f>
        <v>#VALUE!</v>
      </c>
      <c r="EM3" t="e">
        <f>Nodes!558:558-"'E4!.@"</f>
        <v>#VALUE!</v>
      </c>
      <c r="EN3" t="e">
        <f>Nodes!559:559-"'E4!.A"</f>
        <v>#VALUE!</v>
      </c>
      <c r="EO3" t="e">
        <f>Nodes!560:560-"'E4!.B"</f>
        <v>#VALUE!</v>
      </c>
      <c r="EP3" t="e">
        <f>Nodes!561:561-"'E4!.C"</f>
        <v>#VALUE!</v>
      </c>
      <c r="EQ3" t="e">
        <f>Nodes!562:562-"'E4!.D"</f>
        <v>#VALUE!</v>
      </c>
      <c r="ER3" t="e">
        <f>Nodes!563:563-"'E4!.E"</f>
        <v>#VALUE!</v>
      </c>
      <c r="ES3" t="e">
        <f>Nodes!564:564-"'E4!.F"</f>
        <v>#VALUE!</v>
      </c>
      <c r="ET3" t="e">
        <f>Nodes!565:565-"'E4!.G"</f>
        <v>#VALUE!</v>
      </c>
      <c r="EU3" t="e">
        <f>Nodes!566:566-"'E4!.H"</f>
        <v>#VALUE!</v>
      </c>
      <c r="EV3" t="e">
        <f>Nodes!567:567-"'E4!.I"</f>
        <v>#VALUE!</v>
      </c>
      <c r="EW3" t="e">
        <f>Nodes!568:568-"'E4!.J"</f>
        <v>#VALUE!</v>
      </c>
      <c r="EX3" t="e">
        <f>Nodes!569:569-"'E4!.K"</f>
        <v>#VALUE!</v>
      </c>
      <c r="EY3" t="e">
        <f>Nodes!570:570-"'E4!.L"</f>
        <v>#VALUE!</v>
      </c>
      <c r="EZ3" t="e">
        <f>Nodes!571:571-"'E4!.M"</f>
        <v>#VALUE!</v>
      </c>
      <c r="FA3" t="e">
        <f>Nodes!572:572-"'E4!.N"</f>
        <v>#VALUE!</v>
      </c>
      <c r="FB3" t="e">
        <f>Nodes!573:573-"'E4!.O"</f>
        <v>#VALUE!</v>
      </c>
      <c r="FC3" t="e">
        <f>Nodes!574:574-"'E4!.P"</f>
        <v>#VALUE!</v>
      </c>
      <c r="FD3" t="e">
        <f>Nodes!575:575-"'E4!.Q"</f>
        <v>#VALUE!</v>
      </c>
      <c r="FE3" t="e">
        <f>Nodes!576:576-"'E4!.R"</f>
        <v>#VALUE!</v>
      </c>
      <c r="FF3" t="e">
        <f>Nodes!577:577-"'E4!.S"</f>
        <v>#VALUE!</v>
      </c>
      <c r="FG3" t="e">
        <f>Nodes!578:578-"'E4!.T"</f>
        <v>#VALUE!</v>
      </c>
      <c r="FH3" t="e">
        <f>Nodes!579:579-"'E4!.U"</f>
        <v>#VALUE!</v>
      </c>
      <c r="FI3" t="e">
        <f>Nodes!580:580-"'E4!.V"</f>
        <v>#VALUE!</v>
      </c>
      <c r="FJ3" t="e">
        <f>Nodes!581:581-"'E4!.W"</f>
        <v>#VALUE!</v>
      </c>
      <c r="FK3" t="e">
        <f>Nodes!582:582-"'E4!.X"</f>
        <v>#VALUE!</v>
      </c>
      <c r="FL3" t="e">
        <f>Nodes!583:583-"'E4!.Y"</f>
        <v>#VALUE!</v>
      </c>
      <c r="FM3" t="e">
        <f>Nodes!584:584-"'E4!.Z"</f>
        <v>#VALUE!</v>
      </c>
      <c r="FN3" t="e">
        <f>Nodes!585:585-"'E4!.["</f>
        <v>#VALUE!</v>
      </c>
      <c r="FO3" t="e">
        <f>Nodes!586:586-"'E4!.\"</f>
        <v>#VALUE!</v>
      </c>
      <c r="FP3" t="e">
        <f>Nodes!587:587-"'E4!.]"</f>
        <v>#VALUE!</v>
      </c>
      <c r="FQ3" t="e">
        <f>Nodes!588:588-"'E4!.^"</f>
        <v>#VALUE!</v>
      </c>
      <c r="FR3" t="e">
        <f>Nodes!589:589-"'E4!._"</f>
        <v>#VALUE!</v>
      </c>
      <c r="FS3" t="e">
        <f>Nodes!590:590-"'E4!.`"</f>
        <v>#VALUE!</v>
      </c>
      <c r="FT3" t="e">
        <f>Nodes!591:591-"'E4!.a"</f>
        <v>#VALUE!</v>
      </c>
      <c r="FU3" t="e">
        <f>Nodes!592:592-"'E4!.b"</f>
        <v>#VALUE!</v>
      </c>
      <c r="FV3" t="e">
        <f>Nodes!593:593-"'E4!.c"</f>
        <v>#VALUE!</v>
      </c>
      <c r="FW3" t="e">
        <f>Nodes!594:594-"'E4!.d"</f>
        <v>#VALUE!</v>
      </c>
      <c r="FX3" t="e">
        <f>Nodes!595:595-"'E4!.e"</f>
        <v>#VALUE!</v>
      </c>
      <c r="FY3" t="e">
        <f>Nodes!596:596-"'E4!.f"</f>
        <v>#VALUE!</v>
      </c>
      <c r="FZ3" t="e">
        <f>Nodes!597:597-"'E4!.g"</f>
        <v>#VALUE!</v>
      </c>
      <c r="GA3" t="e">
        <f>Nodes!598:598-"'E4!.h"</f>
        <v>#VALUE!</v>
      </c>
      <c r="GB3" t="e">
        <f>Nodes!599:599-"'E4!.i"</f>
        <v>#VALUE!</v>
      </c>
      <c r="GC3" t="e">
        <f>Nodes!600:600-"'E4!.j"</f>
        <v>#VALUE!</v>
      </c>
      <c r="GD3" t="e">
        <f>Nodes!601:601-"'E4!.k"</f>
        <v>#VALUE!</v>
      </c>
      <c r="GE3" t="e">
        <f>Nodes!602:602-"'E4!.l"</f>
        <v>#VALUE!</v>
      </c>
      <c r="GF3" t="e">
        <f>Nodes!603:603-"'E4!.m"</f>
        <v>#VALUE!</v>
      </c>
      <c r="GG3" t="e">
        <f>Nodes!604:604-"'E4!.n"</f>
        <v>#VALUE!</v>
      </c>
      <c r="GH3" t="e">
        <f>Nodes!605:605-"'E4!.o"</f>
        <v>#VALUE!</v>
      </c>
      <c r="GI3" t="e">
        <f>Nodes!606:606-"'E4!.p"</f>
        <v>#VALUE!</v>
      </c>
      <c r="GJ3" t="e">
        <f>Nodes!607:607-"'E4!.q"</f>
        <v>#VALUE!</v>
      </c>
      <c r="GK3" t="e">
        <f>Nodes!608:608-"'E4!.r"</f>
        <v>#VALUE!</v>
      </c>
      <c r="GL3" t="e">
        <f>Nodes!609:609-"'E4!.s"</f>
        <v>#VALUE!</v>
      </c>
      <c r="GM3" t="e">
        <f>Nodes!610:610-"'E4!.t"</f>
        <v>#VALUE!</v>
      </c>
      <c r="GN3" t="e">
        <f>Nodes!611:611-"'E4!.u"</f>
        <v>#VALUE!</v>
      </c>
      <c r="GO3" t="e">
        <f>Nodes!612:612-"'E4!.v"</f>
        <v>#VALUE!</v>
      </c>
      <c r="GP3" t="e">
        <f>Nodes!613:613-"'E4!.w"</f>
        <v>#VALUE!</v>
      </c>
      <c r="GQ3" t="e">
        <f>Nodes!614:614-"'E4!.x"</f>
        <v>#VALUE!</v>
      </c>
      <c r="GR3" t="e">
        <f>Nodes!615:615-"'E4!.y"</f>
        <v>#VALUE!</v>
      </c>
      <c r="GS3" t="e">
        <f>Nodes!616:616-"'E4!.z"</f>
        <v>#VALUE!</v>
      </c>
      <c r="GT3" t="e">
        <f>Nodes!617:617-"'E4!.{"</f>
        <v>#VALUE!</v>
      </c>
      <c r="GU3" t="e">
        <f>Nodes!618:618-"'E4!.|"</f>
        <v>#VALUE!</v>
      </c>
      <c r="GV3" t="e">
        <f>Nodes!619:619-"'E4!.}"</f>
        <v>#VALUE!</v>
      </c>
      <c r="GW3" t="e">
        <f>Nodes!620:620-"'E4!.~"</f>
        <v>#VALUE!</v>
      </c>
      <c r="GX3" t="e">
        <f>Nodes!621:621-"'E4!/#"</f>
        <v>#VALUE!</v>
      </c>
      <c r="GY3" t="e">
        <f>Nodes!622:622-"'E4!/$"</f>
        <v>#VALUE!</v>
      </c>
      <c r="GZ3" t="e">
        <f>Nodes!623:623-"'E4!/%"</f>
        <v>#VALUE!</v>
      </c>
      <c r="HA3" t="e">
        <f>Nodes!624:624-"'E4!/&amp;"</f>
        <v>#VALUE!</v>
      </c>
      <c r="HB3" t="e">
        <f>Nodes!625:625-"'E4!/'"</f>
        <v>#VALUE!</v>
      </c>
      <c r="HC3" t="e">
        <f>Nodes!626:626-"'E4!/("</f>
        <v>#VALUE!</v>
      </c>
      <c r="HD3" t="e">
        <f>Nodes!627:627-"'E4!/)"</f>
        <v>#VALUE!</v>
      </c>
      <c r="HE3" t="e">
        <f>Nodes!628:628-"'E4!/."</f>
        <v>#VALUE!</v>
      </c>
      <c r="HF3" t="e">
        <f>Nodes!629:629-"'E4!//"</f>
        <v>#VALUE!</v>
      </c>
      <c r="HG3" t="e">
        <f>Nodes!630:630-"'E4!/0"</f>
        <v>#VALUE!</v>
      </c>
      <c r="HH3" t="e">
        <f>Nodes!631:631-"'E4!/1"</f>
        <v>#VALUE!</v>
      </c>
      <c r="HI3" t="e">
        <f>Nodes!632:632-"'E4!/2"</f>
        <v>#VALUE!</v>
      </c>
      <c r="HJ3" t="e">
        <f>Nodes!633:633-"'E4!/3"</f>
        <v>#VALUE!</v>
      </c>
      <c r="HK3" t="e">
        <f>Nodes!634:634-"'E4!/4"</f>
        <v>#VALUE!</v>
      </c>
      <c r="HL3" t="e">
        <f>Nodes!635:635-"'E4!/5"</f>
        <v>#VALUE!</v>
      </c>
      <c r="HM3" t="e">
        <f>Nodes!636:636-"'E4!/6"</f>
        <v>#VALUE!</v>
      </c>
      <c r="HN3" t="e">
        <f>Nodes!637:637-"'E4!/7"</f>
        <v>#VALUE!</v>
      </c>
      <c r="HO3" t="e">
        <f>Nodes!638:638-"'E4!/8"</f>
        <v>#VALUE!</v>
      </c>
      <c r="HP3" t="e">
        <f>Nodes!639:639-"'E4!/9"</f>
        <v>#VALUE!</v>
      </c>
      <c r="HQ3" t="e">
        <f>Nodes!640:640-"'E4!/:"</f>
        <v>#VALUE!</v>
      </c>
      <c r="HR3" t="e">
        <f>Nodes!641:641-"'E4!/;"</f>
        <v>#VALUE!</v>
      </c>
      <c r="HS3" t="e">
        <f>Nodes!642:642-"'E4!/&lt;"</f>
        <v>#VALUE!</v>
      </c>
      <c r="HT3" t="e">
        <f>Nodes!643:643-"'E4!/="</f>
        <v>#VALUE!</v>
      </c>
      <c r="HU3" t="e">
        <f>Nodes!644:644-"'E4!/&gt;"</f>
        <v>#VALUE!</v>
      </c>
      <c r="HV3" t="e">
        <f>Nodes!645:645-"'E4!/?"</f>
        <v>#VALUE!</v>
      </c>
      <c r="HW3" t="e">
        <f>Nodes!646:646-"'E4!/@"</f>
        <v>#VALUE!</v>
      </c>
      <c r="HX3" t="e">
        <f>Nodes!647:647-"'E4!/A"</f>
        <v>#VALUE!</v>
      </c>
      <c r="HY3" t="e">
        <f>Nodes!648:648-"'E4!/B"</f>
        <v>#VALUE!</v>
      </c>
      <c r="HZ3" t="e">
        <f>Nodes!649:649-"'E4!/C"</f>
        <v>#VALUE!</v>
      </c>
      <c r="IA3" t="e">
        <f>Nodes!650:650-"'E4!/D"</f>
        <v>#VALUE!</v>
      </c>
      <c r="IB3" t="e">
        <f>Nodes!651:651-"'E4!/E"</f>
        <v>#VALUE!</v>
      </c>
      <c r="IC3" t="e">
        <f>Nodes!652:652-"'E4!/F"</f>
        <v>#VALUE!</v>
      </c>
      <c r="ID3" t="e">
        <f>Nodes!653:653-"'E4!/G"</f>
        <v>#VALUE!</v>
      </c>
      <c r="IE3" t="e">
        <f>Nodes!654:654-"'E4!/H"</f>
        <v>#VALUE!</v>
      </c>
      <c r="IF3" t="e">
        <f>Nodes!655:655-"'E4!/I"</f>
        <v>#VALUE!</v>
      </c>
      <c r="IG3" t="e">
        <f>Nodes!656:656-"'E4!/J"</f>
        <v>#VALUE!</v>
      </c>
      <c r="IH3" t="e">
        <f>Nodes!657:657-"'E4!/K"</f>
        <v>#VALUE!</v>
      </c>
      <c r="II3" t="e">
        <f>Nodes!658:658-"'E4!/L"</f>
        <v>#VALUE!</v>
      </c>
      <c r="IJ3" t="e">
        <f>Nodes!659:659-"'E4!/M"</f>
        <v>#VALUE!</v>
      </c>
      <c r="IK3" t="e">
        <f>Nodes!660:660-"'E4!/N"</f>
        <v>#VALUE!</v>
      </c>
      <c r="IL3" t="e">
        <f>Nodes!661:661-"'E4!/O"</f>
        <v>#VALUE!</v>
      </c>
      <c r="IM3" t="e">
        <f>Nodes!662:662-"'E4!/P"</f>
        <v>#VALUE!</v>
      </c>
      <c r="IN3" t="e">
        <f>Nodes!663:663-"'E4!/Q"</f>
        <v>#VALUE!</v>
      </c>
      <c r="IO3" t="e">
        <f>Nodes!664:664-"'E4!/R"</f>
        <v>#VALUE!</v>
      </c>
      <c r="IP3" t="e">
        <f>Nodes!665:665-"'E4!/S"</f>
        <v>#VALUE!</v>
      </c>
      <c r="IQ3" t="e">
        <f>Nodes!666:666-"'E4!/T"</f>
        <v>#VALUE!</v>
      </c>
      <c r="IR3" t="e">
        <f>Nodes!667:667-"'E4!/U"</f>
        <v>#VALUE!</v>
      </c>
      <c r="IS3" t="e">
        <f>Nodes!668:668-"'E4!/V"</f>
        <v>#VALUE!</v>
      </c>
      <c r="IT3" t="e">
        <f>Nodes!669:669-"'E4!/W"</f>
        <v>#VALUE!</v>
      </c>
      <c r="IU3" t="e">
        <f>Nodes!670:670-"'E4!/X"</f>
        <v>#VALUE!</v>
      </c>
      <c r="IV3" t="e">
        <f>Nodes!671:671-"'E4!/Y"</f>
        <v>#VALUE!</v>
      </c>
    </row>
    <row r="4" spans="1:256">
      <c r="A4" t="s">
        <v>7152</v>
      </c>
      <c r="F4" t="e">
        <f>Nodes!672:672-"'E4!/Z"</f>
        <v>#VALUE!</v>
      </c>
      <c r="G4" t="e">
        <f>Nodes!673:673-"'E4!/["</f>
        <v>#VALUE!</v>
      </c>
      <c r="H4" t="e">
        <f>Nodes!674:674-"'E4!/\"</f>
        <v>#VALUE!</v>
      </c>
      <c r="I4" t="e">
        <f>Nodes!675:675-"'E4!/]"</f>
        <v>#VALUE!</v>
      </c>
      <c r="J4" t="e">
        <f>Nodes!676:676-"'E4!/^"</f>
        <v>#VALUE!</v>
      </c>
      <c r="K4" t="e">
        <f>Nodes!677:677-"'E4!/_"</f>
        <v>#VALUE!</v>
      </c>
      <c r="L4" t="e">
        <f>Nodes!678:678-"'E4!/`"</f>
        <v>#VALUE!</v>
      </c>
      <c r="M4" t="e">
        <f>Nodes!679:679-"'E4!/a"</f>
        <v>#VALUE!</v>
      </c>
      <c r="N4" t="e">
        <f>Nodes!680:680-"'E4!/b"</f>
        <v>#VALUE!</v>
      </c>
      <c r="O4" t="e">
        <f>Nodes!681:681-"'E4!/c"</f>
        <v>#VALUE!</v>
      </c>
      <c r="P4" t="e">
        <f>Nodes!682:682-"'E4!/d"</f>
        <v>#VALUE!</v>
      </c>
      <c r="Q4" t="e">
        <f>Nodes!683:683-"'E4!/e"</f>
        <v>#VALUE!</v>
      </c>
      <c r="R4" t="e">
        <f>Nodes!684:684-"'E4!/f"</f>
        <v>#VALUE!</v>
      </c>
      <c r="S4" t="e">
        <f>Nodes!685:685-"'E4!/g"</f>
        <v>#VALUE!</v>
      </c>
      <c r="T4" t="e">
        <f>Nodes!686:686-"'E4!/h"</f>
        <v>#VALUE!</v>
      </c>
      <c r="U4" t="e">
        <f>Nodes!687:687-"'E4!/i"</f>
        <v>#VALUE!</v>
      </c>
      <c r="V4" t="e">
        <f>Nodes!688:688-"'E4!/j"</f>
        <v>#VALUE!</v>
      </c>
      <c r="W4" t="e">
        <f>Nodes!689:689-"'E4!/k"</f>
        <v>#VALUE!</v>
      </c>
      <c r="X4" t="e">
        <f>Nodes!690:690-"'E4!/l"</f>
        <v>#VALUE!</v>
      </c>
      <c r="Y4" t="e">
        <f>Nodes!691:691-"'E4!/m"</f>
        <v>#VALUE!</v>
      </c>
      <c r="Z4" t="e">
        <f>Nodes!692:692-"'E4!/n"</f>
        <v>#VALUE!</v>
      </c>
      <c r="AA4" t="e">
        <f>Nodes!693:693-"'E4!/o"</f>
        <v>#VALUE!</v>
      </c>
      <c r="AB4" t="e">
        <f>Nodes!694:694-"'E4!/p"</f>
        <v>#VALUE!</v>
      </c>
      <c r="AC4" t="e">
        <f>Nodes!695:695-"'E4!/q"</f>
        <v>#VALUE!</v>
      </c>
      <c r="AD4" t="e">
        <f>Nodes!696:696-"'E4!/r"</f>
        <v>#VALUE!</v>
      </c>
      <c r="AE4" t="e">
        <f>Nodes!697:697-"'E4!/s"</f>
        <v>#VALUE!</v>
      </c>
      <c r="AF4" t="e">
        <f>Nodes!698:698-"'E4!/t"</f>
        <v>#VALUE!</v>
      </c>
      <c r="AG4" t="e">
        <f>Nodes!699:699-"'E4!/u"</f>
        <v>#VALUE!</v>
      </c>
      <c r="AH4" t="e">
        <f>Nodes!700:700-"'E4!/v"</f>
        <v>#VALUE!</v>
      </c>
      <c r="AI4" t="e">
        <f>Nodes!701:701-"'E4!/w"</f>
        <v>#VALUE!</v>
      </c>
      <c r="AJ4" t="e">
        <f>Nodes!702:702-"'E4!/x"</f>
        <v>#VALUE!</v>
      </c>
      <c r="AK4" t="e">
        <f>Nodes!703:703-"'E4!/y"</f>
        <v>#VALUE!</v>
      </c>
      <c r="AL4" t="e">
        <f>Nodes!704:704-"'E4!/z"</f>
        <v>#VALUE!</v>
      </c>
      <c r="AM4" t="e">
        <f>Nodes!705:705-"'E4!/{"</f>
        <v>#VALUE!</v>
      </c>
      <c r="AN4" t="e">
        <f>Nodes!706:706-"'E4!/|"</f>
        <v>#VALUE!</v>
      </c>
      <c r="AO4" t="e">
        <f>Nodes!707:707-"'E4!/}"</f>
        <v>#VALUE!</v>
      </c>
      <c r="AP4" t="e">
        <f>Nodes!708:708-"'E4!/~"</f>
        <v>#VALUE!</v>
      </c>
      <c r="AQ4" t="e">
        <f>Nodes!709:709-"'E4!0#"</f>
        <v>#VALUE!</v>
      </c>
      <c r="AR4" t="e">
        <f>Nodes!710:710-"'E4!0$"</f>
        <v>#VALUE!</v>
      </c>
      <c r="AS4" t="e">
        <f>Nodes!711:711-"'E4!0%"</f>
        <v>#VALUE!</v>
      </c>
      <c r="AT4" t="e">
        <f>Nodes!712:712-"'E4!0&amp;"</f>
        <v>#VALUE!</v>
      </c>
      <c r="AU4" t="e">
        <f>Nodes!713:713-"'E4!0'"</f>
        <v>#VALUE!</v>
      </c>
      <c r="AV4" t="e">
        <f>Nodes!714:714-"'E4!0("</f>
        <v>#VALUE!</v>
      </c>
      <c r="AW4" t="e">
        <f>Nodes!715:715-"'E4!0)"</f>
        <v>#VALUE!</v>
      </c>
      <c r="AX4" t="e">
        <f>Nodes!716:716-"'E4!0."</f>
        <v>#VALUE!</v>
      </c>
      <c r="AY4" t="e">
        <f>Nodes!717:717-"'E4!0/"</f>
        <v>#VALUE!</v>
      </c>
      <c r="AZ4" t="e">
        <f>Nodes!718:718-"'E4!00"</f>
        <v>#VALUE!</v>
      </c>
      <c r="BA4" t="e">
        <f>Nodes!719:719-"'E4!01"</f>
        <v>#VALUE!</v>
      </c>
      <c r="BB4" t="e">
        <f>Nodes!720:720-"'E4!02"</f>
        <v>#VALUE!</v>
      </c>
      <c r="BC4" t="e">
        <f>Nodes!721:721-"'E4!03"</f>
        <v>#VALUE!</v>
      </c>
      <c r="BD4" t="e">
        <f>Nodes!722:722-"'E4!04"</f>
        <v>#VALUE!</v>
      </c>
      <c r="BE4" t="e">
        <f>Nodes!723:723-"'E4!05"</f>
        <v>#VALUE!</v>
      </c>
      <c r="BF4" t="e">
        <f>Nodes!724:724-"'E4!06"</f>
        <v>#VALUE!</v>
      </c>
      <c r="BG4" t="e">
        <f>Nodes!725:725-"'E4!07"</f>
        <v>#VALUE!</v>
      </c>
      <c r="BH4" t="e">
        <f>Nodes!726:726-"'E4!08"</f>
        <v>#VALUE!</v>
      </c>
      <c r="BI4" t="e">
        <f>Nodes!727:727-"'E4!09"</f>
        <v>#VALUE!</v>
      </c>
      <c r="BJ4" t="e">
        <f>Nodes!728:728-"'E4!0:"</f>
        <v>#VALUE!</v>
      </c>
      <c r="BK4" t="e">
        <f>Nodes!729:729-"'E4!0;"</f>
        <v>#VALUE!</v>
      </c>
      <c r="BL4" t="e">
        <f>Nodes!730:730-"'E4!0&lt;"</f>
        <v>#VALUE!</v>
      </c>
      <c r="BM4" t="e">
        <f>Nodes!731:731-"'E4!0="</f>
        <v>#VALUE!</v>
      </c>
      <c r="BN4" t="e">
        <f>Nodes!732:732-"'E4!0&gt;"</f>
        <v>#VALUE!</v>
      </c>
      <c r="BO4" t="e">
        <f>Nodes!733:733-"'E4!0?"</f>
        <v>#VALUE!</v>
      </c>
      <c r="BP4" t="e">
        <f>Nodes!734:734-"'E4!0@"</f>
        <v>#VALUE!</v>
      </c>
      <c r="BQ4" t="e">
        <f>Nodes!735:735-"'E4!0A"</f>
        <v>#VALUE!</v>
      </c>
      <c r="BR4" t="e">
        <f>Nodes!736:736-"'E4!0B"</f>
        <v>#VALUE!</v>
      </c>
      <c r="BS4" t="e">
        <f>Nodes!737:737-"'E4!0C"</f>
        <v>#VALUE!</v>
      </c>
      <c r="BT4" t="e">
        <f>Nodes!738:738-"'E4!0D"</f>
        <v>#VALUE!</v>
      </c>
      <c r="BU4" t="e">
        <f>Nodes!739:739-"'E4!0E"</f>
        <v>#VALUE!</v>
      </c>
      <c r="BV4" t="e">
        <f>Nodes!740:740-"'E4!0F"</f>
        <v>#VALUE!</v>
      </c>
      <c r="BW4" t="e">
        <f>Nodes!741:741-"'E4!0G"</f>
        <v>#VALUE!</v>
      </c>
      <c r="BX4" t="e">
        <f>Nodes!742:742-"'E4!0H"</f>
        <v>#VALUE!</v>
      </c>
      <c r="BY4" t="e">
        <f>Nodes!743:743-"'E4!0I"</f>
        <v>#VALUE!</v>
      </c>
      <c r="BZ4" t="e">
        <f>Nodes!744:744-"'E4!0J"</f>
        <v>#VALUE!</v>
      </c>
      <c r="CA4" t="e">
        <f>Nodes!745:745-"'E4!0K"</f>
        <v>#VALUE!</v>
      </c>
      <c r="CB4" t="e">
        <f>Nodes!746:746-"'E4!0L"</f>
        <v>#VALUE!</v>
      </c>
      <c r="CC4" t="e">
        <f>Nodes!747:747-"'E4!0M"</f>
        <v>#VALUE!</v>
      </c>
      <c r="CD4" t="e">
        <f>Nodes!748:748-"'E4!0N"</f>
        <v>#VALUE!</v>
      </c>
      <c r="CE4" t="e">
        <f>Nodes!749:749-"'E4!0O"</f>
        <v>#VALUE!</v>
      </c>
      <c r="CF4" t="e">
        <f>Nodes!750:750-"'E4!0P"</f>
        <v>#VALUE!</v>
      </c>
      <c r="CG4" t="e">
        <f>Nodes!751:751-"'E4!0Q"</f>
        <v>#VALUE!</v>
      </c>
      <c r="CH4" t="e">
        <f>Nodes!752:752-"'E4!0R"</f>
        <v>#VALUE!</v>
      </c>
      <c r="CI4" t="e">
        <f>Nodes!753:753-"'E4!0S"</f>
        <v>#VALUE!</v>
      </c>
      <c r="CJ4" t="e">
        <f>Nodes!754:754-"'E4!0T"</f>
        <v>#VALUE!</v>
      </c>
      <c r="CK4" t="e">
        <f>Nodes!755:755-"'E4!0U"</f>
        <v>#VALUE!</v>
      </c>
      <c r="CL4" t="e">
        <f>Nodes!756:756-"'E4!0V"</f>
        <v>#VALUE!</v>
      </c>
      <c r="CM4" t="e">
        <f>Nodes!757:757-"'E4!0W"</f>
        <v>#VALUE!</v>
      </c>
      <c r="CN4" t="e">
        <f>Nodes!758:758-"'E4!0X"</f>
        <v>#VALUE!</v>
      </c>
      <c r="CO4" t="e">
        <f>Nodes!759:759-"'E4!0Y"</f>
        <v>#VALUE!</v>
      </c>
      <c r="CP4" t="e">
        <f>Nodes!760:760-"'E4!0Z"</f>
        <v>#VALUE!</v>
      </c>
      <c r="CQ4" t="e">
        <f>Nodes!761:761-"'E4!0["</f>
        <v>#VALUE!</v>
      </c>
      <c r="CR4" t="e">
        <f>Nodes!762:762-"'E4!0\"</f>
        <v>#VALUE!</v>
      </c>
      <c r="CS4" t="e">
        <f>Nodes!763:763-"'E4!0]"</f>
        <v>#VALUE!</v>
      </c>
      <c r="CT4" t="e">
        <f>Nodes!764:764-"'E4!0^"</f>
        <v>#VALUE!</v>
      </c>
      <c r="CU4" t="e">
        <f>Nodes!765:765-"'E4!0_"</f>
        <v>#VALUE!</v>
      </c>
      <c r="CV4" t="e">
        <f>Nodes!766:766-"'E4!0`"</f>
        <v>#VALUE!</v>
      </c>
      <c r="CW4" t="e">
        <f>Nodes!767:767-"'E4!0a"</f>
        <v>#VALUE!</v>
      </c>
      <c r="CX4" t="e">
        <f>Nodes!768:768-"'E4!0b"</f>
        <v>#VALUE!</v>
      </c>
      <c r="CY4" t="e">
        <f>Nodes!769:769-"'E4!0c"</f>
        <v>#VALUE!</v>
      </c>
      <c r="CZ4" t="e">
        <f>Nodes!770:770-"'E4!0d"</f>
        <v>#VALUE!</v>
      </c>
      <c r="DA4" t="e">
        <f>Nodes!771:771-"'E4!0e"</f>
        <v>#VALUE!</v>
      </c>
      <c r="DB4" t="e">
        <f>Nodes!772:772-"'E4!0f"</f>
        <v>#VALUE!</v>
      </c>
      <c r="DC4" t="e">
        <f>Nodes!773:773-"'E4!0g"</f>
        <v>#VALUE!</v>
      </c>
      <c r="DD4" t="e">
        <f>Nodes!774:774-"'E4!0h"</f>
        <v>#VALUE!</v>
      </c>
      <c r="DE4" t="e">
        <f>Nodes!775:775-"'E4!0i"</f>
        <v>#VALUE!</v>
      </c>
      <c r="DF4" t="e">
        <f>Nodes!776:776-"'E4!0j"</f>
        <v>#VALUE!</v>
      </c>
      <c r="DG4" t="e">
        <f>Nodes!777:777-"'E4!0k"</f>
        <v>#VALUE!</v>
      </c>
      <c r="DH4" t="e">
        <f>Nodes!778:778-"'E4!0l"</f>
        <v>#VALUE!</v>
      </c>
      <c r="DI4" t="e">
        <f>Nodes!779:779-"'E4!0m"</f>
        <v>#VALUE!</v>
      </c>
      <c r="DJ4" t="e">
        <f>Nodes!780:780-"'E4!0n"</f>
        <v>#VALUE!</v>
      </c>
      <c r="DK4" t="e">
        <f>Nodes!781:781-"'E4!0o"</f>
        <v>#VALUE!</v>
      </c>
      <c r="DL4" t="e">
        <f>Nodes!782:782-"'E4!0p"</f>
        <v>#VALUE!</v>
      </c>
      <c r="DM4" t="e">
        <f>Nodes!783:783-"'E4!0q"</f>
        <v>#VALUE!</v>
      </c>
      <c r="DN4" t="e">
        <f>Nodes!784:784-"'E4!0r"</f>
        <v>#VALUE!</v>
      </c>
      <c r="DO4" t="e">
        <f>Nodes!785:785-"'E4!0s"</f>
        <v>#VALUE!</v>
      </c>
      <c r="DP4" t="e">
        <f>Nodes!786:786-"'E4!0t"</f>
        <v>#VALUE!</v>
      </c>
      <c r="DQ4" t="e">
        <f>Nodes!787:787-"'E4!0u"</f>
        <v>#VALUE!</v>
      </c>
      <c r="DR4" t="e">
        <f>Nodes!788:788-"'E4!0v"</f>
        <v>#VALUE!</v>
      </c>
      <c r="DS4" t="e">
        <f>Nodes!789:789-"'E4!0w"</f>
        <v>#VALUE!</v>
      </c>
      <c r="DT4" t="e">
        <f>Nodes!790:790-"'E4!0x"</f>
        <v>#VALUE!</v>
      </c>
      <c r="DU4" t="e">
        <f>Nodes!791:791-"'E4!0y"</f>
        <v>#VALUE!</v>
      </c>
      <c r="DV4" t="e">
        <f>Nodes!792:792-"'E4!0z"</f>
        <v>#VALUE!</v>
      </c>
      <c r="DW4" t="e">
        <f>Nodes!793:793-"'E4!0{"</f>
        <v>#VALUE!</v>
      </c>
      <c r="DX4" t="e">
        <f>Nodes!794:794-"'E4!0|"</f>
        <v>#VALUE!</v>
      </c>
      <c r="DY4" t="e">
        <f>Nodes!795:795-"'E4!0}"</f>
        <v>#VALUE!</v>
      </c>
      <c r="DZ4" t="e">
        <f>Nodes!796:796-"'E4!0~"</f>
        <v>#VALUE!</v>
      </c>
      <c r="EA4" t="e">
        <f>Nodes!797:797-"'E4!1#"</f>
        <v>#VALUE!</v>
      </c>
      <c r="EB4" t="e">
        <f>Nodes!798:798-"'E4!1$"</f>
        <v>#VALUE!</v>
      </c>
      <c r="EC4" t="e">
        <f>Nodes!799:799-"'E4!1%"</f>
        <v>#VALUE!</v>
      </c>
      <c r="ED4" t="e">
        <f>Nodes!800:800-"'E4!1&amp;"</f>
        <v>#VALUE!</v>
      </c>
      <c r="EE4" t="e">
        <f>Nodes!801:801-"'E4!1'"</f>
        <v>#VALUE!</v>
      </c>
      <c r="EF4" t="e">
        <f>Nodes!802:802-"'E4!1("</f>
        <v>#VALUE!</v>
      </c>
      <c r="EG4" t="e">
        <f>Nodes!803:803-"'E4!1)"</f>
        <v>#VALUE!</v>
      </c>
      <c r="EH4" t="e">
        <f>Nodes!804:804-"'E4!1."</f>
        <v>#VALUE!</v>
      </c>
      <c r="EI4" t="e">
        <f>Nodes!805:805-"'E4!1/"</f>
        <v>#VALUE!</v>
      </c>
      <c r="EJ4" t="e">
        <f>Nodes!806:806-"'E4!10"</f>
        <v>#VALUE!</v>
      </c>
      <c r="EK4" t="e">
        <f>Nodes!807:807-"'E4!11"</f>
        <v>#VALUE!</v>
      </c>
      <c r="EL4" t="e">
        <f>Nodes!808:808-"'E4!12"</f>
        <v>#VALUE!</v>
      </c>
      <c r="EM4" t="e">
        <f>Nodes!809:809-"'E4!13"</f>
        <v>#VALUE!</v>
      </c>
      <c r="EN4" t="e">
        <f>Nodes!810:810-"'E4!14"</f>
        <v>#VALUE!</v>
      </c>
      <c r="EO4" t="e">
        <f>Nodes!811:811-"'E4!15"</f>
        <v>#VALUE!</v>
      </c>
      <c r="EP4" t="e">
        <f>Nodes!812:812-"'E4!16"</f>
        <v>#VALUE!</v>
      </c>
      <c r="EQ4" t="e">
        <f>Nodes!813:813-"'E4!17"</f>
        <v>#VALUE!</v>
      </c>
      <c r="ER4" t="e">
        <f>Nodes!814:814-"'E4!18"</f>
        <v>#VALUE!</v>
      </c>
      <c r="ES4" t="e">
        <f>Nodes!815:815-"'E4!19"</f>
        <v>#VALUE!</v>
      </c>
      <c r="ET4" t="e">
        <f>Nodes!816:816-"'E4!1:"</f>
        <v>#VALUE!</v>
      </c>
      <c r="EU4" t="e">
        <f>Nodes!817:817-"'E4!1;"</f>
        <v>#VALUE!</v>
      </c>
      <c r="EV4" t="e">
        <f>Nodes!818:818-"'E4!1&lt;"</f>
        <v>#VALUE!</v>
      </c>
      <c r="EW4" t="e">
        <f>Nodes!819:819-"'E4!1="</f>
        <v>#VALUE!</v>
      </c>
      <c r="EX4" t="e">
        <f>Nodes!820:820-"'E4!1&gt;"</f>
        <v>#VALUE!</v>
      </c>
      <c r="EY4" t="e">
        <f>Nodes!821:821-"'E4!1?"</f>
        <v>#VALUE!</v>
      </c>
      <c r="EZ4" t="e">
        <f>Nodes!822:822-"'E4!1@"</f>
        <v>#VALUE!</v>
      </c>
      <c r="FA4" t="e">
        <f>Nodes!823:823-"'E4!1A"</f>
        <v>#VALUE!</v>
      </c>
      <c r="FB4" t="e">
        <f>Nodes!824:824-"'E4!1B"</f>
        <v>#VALUE!</v>
      </c>
      <c r="FC4" t="e">
        <f>Nodes!825:825-"'E4!1C"</f>
        <v>#VALUE!</v>
      </c>
      <c r="FD4" t="e">
        <f>Nodes!826:826-"'E4!1D"</f>
        <v>#VALUE!</v>
      </c>
      <c r="FE4" t="e">
        <f>Nodes!827:827-"'E4!1E"</f>
        <v>#VALUE!</v>
      </c>
      <c r="FF4" t="e">
        <f>Nodes!828:828-"'E4!1F"</f>
        <v>#VALUE!</v>
      </c>
      <c r="FG4" t="e">
        <f>Nodes!829:829-"'E4!1G"</f>
        <v>#VALUE!</v>
      </c>
      <c r="FH4" t="e">
        <f>Nodes!830:830-"'E4!1H"</f>
        <v>#VALUE!</v>
      </c>
      <c r="FI4" t="e">
        <f>Nodes!831:831-"'E4!1I"</f>
        <v>#VALUE!</v>
      </c>
      <c r="FJ4" t="e">
        <f>Nodes!832:832-"'E4!1J"</f>
        <v>#VALUE!</v>
      </c>
      <c r="FK4" t="e">
        <f>Nodes!833:833-"'E4!1K"</f>
        <v>#VALUE!</v>
      </c>
      <c r="FL4" t="e">
        <f>Nodes!834:834-"'E4!1L"</f>
        <v>#VALUE!</v>
      </c>
      <c r="FM4" t="e">
        <f>Nodes!835:835-"'E4!1M"</f>
        <v>#VALUE!</v>
      </c>
      <c r="FN4" t="e">
        <f>Nodes!836:836-"'E4!1N"</f>
        <v>#VALUE!</v>
      </c>
      <c r="FO4" t="e">
        <f>Nodes!837:837-"'E4!1O"</f>
        <v>#VALUE!</v>
      </c>
      <c r="FP4" t="e">
        <f>Nodes!838:838-"'E4!1P"</f>
        <v>#VALUE!</v>
      </c>
      <c r="FQ4" t="e">
        <f>Nodes!839:839-"'E4!1Q"</f>
        <v>#VALUE!</v>
      </c>
      <c r="FR4" t="e">
        <f>Nodes!840:840-"'E4!1R"</f>
        <v>#VALUE!</v>
      </c>
      <c r="FS4" t="e">
        <f>Nodes!841:841-"'E4!1S"</f>
        <v>#VALUE!</v>
      </c>
      <c r="FT4" t="e">
        <f>Nodes!842:842-"'E4!1T"</f>
        <v>#VALUE!</v>
      </c>
      <c r="FU4" t="e">
        <f>Nodes!843:843-"'E4!1U"</f>
        <v>#VALUE!</v>
      </c>
      <c r="FV4" t="e">
        <f>Nodes!844:844-"'E4!1V"</f>
        <v>#VALUE!</v>
      </c>
      <c r="FW4" t="e">
        <f>Nodes!845:845-"'E4!1W"</f>
        <v>#VALUE!</v>
      </c>
      <c r="FX4" t="e">
        <f>Nodes!846:846-"'E4!1X"</f>
        <v>#VALUE!</v>
      </c>
      <c r="FY4" t="e">
        <f>Nodes!847:847-"'E4!1Y"</f>
        <v>#VALUE!</v>
      </c>
      <c r="FZ4" t="e">
        <f>Nodes!848:848-"'E4!1Z"</f>
        <v>#VALUE!</v>
      </c>
      <c r="GA4" t="e">
        <f>Nodes!849:849-"'E4!1["</f>
        <v>#VALUE!</v>
      </c>
      <c r="GB4" t="e">
        <f>Nodes!850:850-"'E4!1\"</f>
        <v>#VALUE!</v>
      </c>
      <c r="GC4" t="e">
        <f>Nodes!851:851-"'E4!1]"</f>
        <v>#VALUE!</v>
      </c>
      <c r="GD4" t="e">
        <f>Nodes!852:852-"'E4!1^"</f>
        <v>#VALUE!</v>
      </c>
      <c r="GE4" t="e">
        <f>Nodes!853:853-"'E4!1_"</f>
        <v>#VALUE!</v>
      </c>
      <c r="GF4" t="e">
        <f>Nodes!854:854-"'E4!1`"</f>
        <v>#VALUE!</v>
      </c>
      <c r="GG4" t="e">
        <f>Nodes!855:855-"'E4!1a"</f>
        <v>#VALUE!</v>
      </c>
      <c r="GH4" t="e">
        <f>Nodes!856:856-"'E4!1b"</f>
        <v>#VALUE!</v>
      </c>
      <c r="GI4" t="e">
        <f>Nodes!857:857-"'E4!1c"</f>
        <v>#VALUE!</v>
      </c>
      <c r="GJ4" t="e">
        <f>Nodes!858:858-"'E4!1d"</f>
        <v>#VALUE!</v>
      </c>
      <c r="GK4" t="e">
        <f>Nodes!859:859-"'E4!1e"</f>
        <v>#VALUE!</v>
      </c>
      <c r="GL4" t="e">
        <f>Nodes!860:860-"'E4!1f"</f>
        <v>#VALUE!</v>
      </c>
      <c r="GM4" t="e">
        <f>Nodes!861:861-"'E4!1g"</f>
        <v>#VALUE!</v>
      </c>
      <c r="GN4" t="e">
        <f>Nodes!862:862-"'E4!1h"</f>
        <v>#VALUE!</v>
      </c>
      <c r="GO4" t="e">
        <f>Nodes!863:863-"'E4!1i"</f>
        <v>#VALUE!</v>
      </c>
      <c r="GP4" t="e">
        <f>Nodes!864:864-"'E4!1j"</f>
        <v>#VALUE!</v>
      </c>
      <c r="GQ4" t="e">
        <f>Nodes!865:865-"'E4!1k"</f>
        <v>#VALUE!</v>
      </c>
      <c r="GR4" t="e">
        <f>Nodes!866:866-"'E4!1l"</f>
        <v>#VALUE!</v>
      </c>
      <c r="GS4" t="e">
        <f>Nodes!867:867-"'E4!1m"</f>
        <v>#VALUE!</v>
      </c>
      <c r="GT4" t="e">
        <f>Nodes!868:868-"'E4!1n"</f>
        <v>#VALUE!</v>
      </c>
      <c r="GU4" t="e">
        <f>Nodes!869:869-"'E4!1o"</f>
        <v>#VALUE!</v>
      </c>
      <c r="GV4" t="e">
        <f>Nodes!870:870-"'E4!1p"</f>
        <v>#VALUE!</v>
      </c>
      <c r="GW4" t="e">
        <f>Nodes!871:871-"'E4!1q"</f>
        <v>#VALUE!</v>
      </c>
      <c r="GX4" t="e">
        <f>Nodes!872:872-"'E4!1r"</f>
        <v>#VALUE!</v>
      </c>
      <c r="GY4" t="e">
        <f>Nodes!873:873-"'E4!1s"</f>
        <v>#VALUE!</v>
      </c>
      <c r="GZ4" t="e">
        <f>Nodes!874:874-"'E4!1t"</f>
        <v>#VALUE!</v>
      </c>
      <c r="HA4" t="e">
        <f>Nodes!875:875-"'E4!1u"</f>
        <v>#VALUE!</v>
      </c>
      <c r="HB4" t="e">
        <f>Nodes!876:876-"'E4!1v"</f>
        <v>#VALUE!</v>
      </c>
      <c r="HC4" t="e">
        <f>Nodes!877:877-"'E4!1w"</f>
        <v>#VALUE!</v>
      </c>
      <c r="HD4" t="e">
        <f>Nodes!878:878-"'E4!1x"</f>
        <v>#VALUE!</v>
      </c>
      <c r="HE4" t="e">
        <f>Nodes!879:879-"'E4!1y"</f>
        <v>#VALUE!</v>
      </c>
      <c r="HF4" t="e">
        <f>Nodes!880:880-"'E4!1z"</f>
        <v>#VALUE!</v>
      </c>
      <c r="HG4" t="e">
        <f>Nodes!881:881-"'E4!1{"</f>
        <v>#VALUE!</v>
      </c>
      <c r="HH4" t="e">
        <f>Nodes!882:882-"'E4!1|"</f>
        <v>#VALUE!</v>
      </c>
      <c r="HI4" t="e">
        <f>Nodes!883:883-"'E4!1}"</f>
        <v>#VALUE!</v>
      </c>
      <c r="HJ4" t="e">
        <f>Nodes!884:884-"'E4!1~"</f>
        <v>#VALUE!</v>
      </c>
      <c r="HK4" t="e">
        <f>Nodes!885:885-"'E4!2#"</f>
        <v>#VALUE!</v>
      </c>
      <c r="HL4" t="e">
        <f>Nodes!886:886-"'E4!2$"</f>
        <v>#VALUE!</v>
      </c>
      <c r="HM4" t="e">
        <f>Nodes!887:887-"'E4!2%"</f>
        <v>#VALUE!</v>
      </c>
      <c r="HN4" t="e">
        <f>Nodes!888:888-"'E4!2&amp;"</f>
        <v>#VALUE!</v>
      </c>
      <c r="HO4" t="e">
        <f>Nodes!889:889-"'E4!2'"</f>
        <v>#VALUE!</v>
      </c>
      <c r="HP4" t="e">
        <f>Nodes!890:890-"'E4!2("</f>
        <v>#VALUE!</v>
      </c>
      <c r="HQ4" t="e">
        <f>Nodes!891:891-"'E4!2)"</f>
        <v>#VALUE!</v>
      </c>
      <c r="HR4" t="e">
        <f>Nodes!892:892-"'E4!2."</f>
        <v>#VALUE!</v>
      </c>
      <c r="HS4" t="e">
        <f>Nodes!893:893-"'E4!2/"</f>
        <v>#VALUE!</v>
      </c>
      <c r="HT4" t="e">
        <f>Nodes!894:894-"'E4!20"</f>
        <v>#VALUE!</v>
      </c>
      <c r="HU4" t="e">
        <f>Nodes!895:895-"'E4!21"</f>
        <v>#VALUE!</v>
      </c>
      <c r="HV4" t="e">
        <f>Nodes!896:896-"'E4!22"</f>
        <v>#VALUE!</v>
      </c>
      <c r="HW4" t="e">
        <f>Nodes!897:897-"'E4!23"</f>
        <v>#VALUE!</v>
      </c>
      <c r="HX4" t="e">
        <f>Nodes!898:898-"'E4!24"</f>
        <v>#VALUE!</v>
      </c>
      <c r="HY4" t="e">
        <f>Nodes!899:899-"'E4!25"</f>
        <v>#VALUE!</v>
      </c>
      <c r="HZ4" t="e">
        <f>Nodes!900:900-"'E4!26"</f>
        <v>#VALUE!</v>
      </c>
      <c r="IA4" t="e">
        <f>Nodes!901:901-"'E4!27"</f>
        <v>#VALUE!</v>
      </c>
      <c r="IB4" t="e">
        <f>Nodes!902:902-"'E4!28"</f>
        <v>#VALUE!</v>
      </c>
      <c r="IC4" t="e">
        <f>Nodes!903:903-"'E4!29"</f>
        <v>#VALUE!</v>
      </c>
      <c r="ID4" t="e">
        <f>Nodes!904:904-"'E4!2:"</f>
        <v>#VALUE!</v>
      </c>
      <c r="IE4" t="e">
        <f>Nodes!905:905-"'E4!2;"</f>
        <v>#VALUE!</v>
      </c>
      <c r="IF4" t="e">
        <f>Nodes!906:906-"'E4!2&lt;"</f>
        <v>#VALUE!</v>
      </c>
      <c r="IG4" t="e">
        <f>Nodes!907:907-"'E4!2="</f>
        <v>#VALUE!</v>
      </c>
      <c r="IH4" t="e">
        <f>Nodes!908:908-"'E4!2&gt;"</f>
        <v>#VALUE!</v>
      </c>
      <c r="II4" t="e">
        <f>Nodes!909:909-"'E4!2?"</f>
        <v>#VALUE!</v>
      </c>
      <c r="IJ4" t="e">
        <f>Nodes!910:910-"'E4!2@"</f>
        <v>#VALUE!</v>
      </c>
      <c r="IK4" t="e">
        <f>Nodes!911:911-"'E4!2A"</f>
        <v>#VALUE!</v>
      </c>
      <c r="IL4" t="e">
        <f>Nodes!912:912-"'E4!2B"</f>
        <v>#VALUE!</v>
      </c>
      <c r="IM4" t="e">
        <f>Nodes!913:913-"'E4!2C"</f>
        <v>#VALUE!</v>
      </c>
      <c r="IN4" t="e">
        <f>Nodes!914:914-"'E4!2D"</f>
        <v>#VALUE!</v>
      </c>
      <c r="IO4" t="e">
        <f>Nodes!915:915-"'E4!2E"</f>
        <v>#VALUE!</v>
      </c>
      <c r="IP4" t="e">
        <f>Nodes!916:916-"'E4!2F"</f>
        <v>#VALUE!</v>
      </c>
      <c r="IQ4" t="e">
        <f>Nodes!917:917-"'E4!2G"</f>
        <v>#VALUE!</v>
      </c>
      <c r="IR4" t="e">
        <f>Nodes!918:918-"'E4!2H"</f>
        <v>#VALUE!</v>
      </c>
      <c r="IS4" t="e">
        <f>Nodes!919:919-"'E4!2I"</f>
        <v>#VALUE!</v>
      </c>
      <c r="IT4" t="e">
        <f>Nodes!920:920-"'E4!2J"</f>
        <v>#VALUE!</v>
      </c>
      <c r="IU4" t="e">
        <f>Nodes!921:921-"'E4!2K"</f>
        <v>#VALUE!</v>
      </c>
      <c r="IV4" t="e">
        <f>Nodes!922:922-"'E4!2L"</f>
        <v>#VALUE!</v>
      </c>
    </row>
    <row r="5" spans="1:256">
      <c r="A5" t="s">
        <v>7153</v>
      </c>
      <c r="F5" t="e">
        <f>Nodes!923:923-"'E4!2M"</f>
        <v>#VALUE!</v>
      </c>
      <c r="G5" t="e">
        <f>Nodes!924:924-"'E4!2N"</f>
        <v>#VALUE!</v>
      </c>
      <c r="H5" t="e">
        <f>Nodes!925:925-"'E4!2O"</f>
        <v>#VALUE!</v>
      </c>
      <c r="I5" t="e">
        <f>Nodes!926:926-"'E4!2P"</f>
        <v>#VALUE!</v>
      </c>
      <c r="J5" t="e">
        <f>Nodes!927:927-"'E4!2Q"</f>
        <v>#VALUE!</v>
      </c>
      <c r="K5" t="e">
        <f>Nodes!928:928-"'E4!2R"</f>
        <v>#VALUE!</v>
      </c>
      <c r="L5" t="e">
        <f>Nodes!929:929-"'E4!2S"</f>
        <v>#VALUE!</v>
      </c>
      <c r="M5" t="e">
        <f>Nodes!930:930-"'E4!2T"</f>
        <v>#VALUE!</v>
      </c>
      <c r="N5" t="e">
        <f>Nodes!931:931-"'E4!2U"</f>
        <v>#VALUE!</v>
      </c>
      <c r="O5" t="e">
        <f>Nodes!932:932-"'E4!2V"</f>
        <v>#VALUE!</v>
      </c>
      <c r="P5" t="e">
        <f>Nodes!933:933-"'E4!2W"</f>
        <v>#VALUE!</v>
      </c>
      <c r="Q5" t="e">
        <f>Nodes!934:934-"'E4!2X"</f>
        <v>#VALUE!</v>
      </c>
      <c r="R5" t="e">
        <f>Nodes!935:935-"'E4!2Y"</f>
        <v>#VALUE!</v>
      </c>
      <c r="S5" t="e">
        <f>Nodes!936:936-"'E4!2Z"</f>
        <v>#VALUE!</v>
      </c>
      <c r="T5" t="e">
        <f>Nodes!937:937-"'E4!2["</f>
        <v>#VALUE!</v>
      </c>
      <c r="U5" t="e">
        <f>Nodes!938:938-"'E4!2\"</f>
        <v>#VALUE!</v>
      </c>
      <c r="V5" t="e">
        <f>Nodes!939:939-"'E4!2]"</f>
        <v>#VALUE!</v>
      </c>
      <c r="W5" t="e">
        <f>Nodes!940:940-"'E4!2^"</f>
        <v>#VALUE!</v>
      </c>
      <c r="X5" t="e">
        <f>Nodes!941:941-"'E4!2_"</f>
        <v>#VALUE!</v>
      </c>
      <c r="Y5" t="e">
        <f>Nodes!942:942-"'E4!2`"</f>
        <v>#VALUE!</v>
      </c>
      <c r="Z5" t="e">
        <f>Nodes!943:943-"'E4!2a"</f>
        <v>#VALUE!</v>
      </c>
      <c r="AA5" t="e">
        <f>Nodes!944:944-"'E4!2b"</f>
        <v>#VALUE!</v>
      </c>
      <c r="AB5" t="e">
        <f>Nodes!945:945-"'E4!2c"</f>
        <v>#VALUE!</v>
      </c>
      <c r="AC5" t="e">
        <f>Nodes!946:946-"'E4!2d"</f>
        <v>#VALUE!</v>
      </c>
      <c r="AD5" t="e">
        <f>Nodes!947:947-"'E4!2e"</f>
        <v>#VALUE!</v>
      </c>
      <c r="AE5" t="e">
        <f>Nodes!948:948-"'E4!2f"</f>
        <v>#VALUE!</v>
      </c>
      <c r="AF5" t="e">
        <f>Nodes!949:949-"'E4!2g"</f>
        <v>#VALUE!</v>
      </c>
      <c r="AG5" t="e">
        <f>Nodes!950:950-"'E4!2h"</f>
        <v>#VALUE!</v>
      </c>
      <c r="AH5" t="e">
        <f>Nodes!951:951-"'E4!2i"</f>
        <v>#VALUE!</v>
      </c>
      <c r="AI5" t="e">
        <f>Nodes!952:952-"'E4!2j"</f>
        <v>#VALUE!</v>
      </c>
      <c r="AJ5" t="e">
        <f>Nodes!953:953-"'E4!2k"</f>
        <v>#VALUE!</v>
      </c>
      <c r="AK5" t="e">
        <f>Nodes!954:954-"'E4!2l"</f>
        <v>#VALUE!</v>
      </c>
      <c r="AL5" t="e">
        <f>Nodes!955:955-"'E4!2m"</f>
        <v>#VALUE!</v>
      </c>
      <c r="AM5" t="e">
        <f>Nodes!956:956-"'E4!2n"</f>
        <v>#VALUE!</v>
      </c>
      <c r="AN5" t="e">
        <f>Nodes!957:957-"'E4!2o"</f>
        <v>#VALUE!</v>
      </c>
      <c r="AO5" t="e">
        <f>Nodes!958:958-"'E4!2p"</f>
        <v>#VALUE!</v>
      </c>
      <c r="AP5" t="e">
        <f>Nodes!959:959-"'E4!2q"</f>
        <v>#VALUE!</v>
      </c>
      <c r="AQ5" t="e">
        <f>Nodes!960:960-"'E4!2r"</f>
        <v>#VALUE!</v>
      </c>
      <c r="AR5" t="e">
        <f>Nodes!961:961-"'E4!2s"</f>
        <v>#VALUE!</v>
      </c>
      <c r="AS5" t="e">
        <f>Nodes!962:962-"'E4!2t"</f>
        <v>#VALUE!</v>
      </c>
      <c r="AT5" t="e">
        <f>Nodes!963:963-"'E4!2u"</f>
        <v>#VALUE!</v>
      </c>
      <c r="AU5" t="e">
        <f>Nodes!964:964-"'E4!2v"</f>
        <v>#VALUE!</v>
      </c>
      <c r="AV5" t="e">
        <f>Nodes!965:965-"'E4!2w"</f>
        <v>#VALUE!</v>
      </c>
      <c r="AW5" t="e">
        <f>Nodes!966:966-"'E4!2x"</f>
        <v>#VALUE!</v>
      </c>
      <c r="AX5" t="e">
        <f>Nodes!967:967-"'E4!2y"</f>
        <v>#VALUE!</v>
      </c>
      <c r="AY5" t="e">
        <f>Nodes!968:968-"'E4!2z"</f>
        <v>#VALUE!</v>
      </c>
      <c r="AZ5" t="e">
        <f>Nodes!969:969-"'E4!2{"</f>
        <v>#VALUE!</v>
      </c>
      <c r="BA5" t="e">
        <f>Nodes!970:970-"'E4!2|"</f>
        <v>#VALUE!</v>
      </c>
      <c r="BB5" t="e">
        <f>Nodes!971:971-"'E4!2}"</f>
        <v>#VALUE!</v>
      </c>
      <c r="BC5" t="e">
        <f>Nodes!972:972-"'E4!2~"</f>
        <v>#VALUE!</v>
      </c>
      <c r="BD5" t="e">
        <f>Nodes!973:973-"'E4!3#"</f>
        <v>#VALUE!</v>
      </c>
      <c r="BE5" t="e">
        <f>Nodes!974:974-"'E4!3$"</f>
        <v>#VALUE!</v>
      </c>
      <c r="BF5" t="e">
        <f>Nodes!975:975-"'E4!3%"</f>
        <v>#VALUE!</v>
      </c>
      <c r="BG5" t="e">
        <f>Nodes!976:976-"'E4!3&amp;"</f>
        <v>#VALUE!</v>
      </c>
      <c r="BH5" t="e">
        <f>Nodes!977:977-"'E4!3'"</f>
        <v>#VALUE!</v>
      </c>
      <c r="BI5" t="e">
        <f>Nodes!978:978-"'E4!3("</f>
        <v>#VALUE!</v>
      </c>
      <c r="BJ5" t="e">
        <f>Nodes!979:979-"'E4!3)"</f>
        <v>#VALUE!</v>
      </c>
      <c r="BK5" t="e">
        <f>Nodes!980:980-"'E4!3."</f>
        <v>#VALUE!</v>
      </c>
      <c r="BL5" t="e">
        <f>Nodes!981:981-"'E4!3/"</f>
        <v>#VALUE!</v>
      </c>
      <c r="BM5" t="e">
        <f>Nodes!982:982-"'E4!30"</f>
        <v>#VALUE!</v>
      </c>
      <c r="BN5" t="e">
        <f>Nodes!983:983-"'E4!31"</f>
        <v>#VALUE!</v>
      </c>
      <c r="BO5" t="e">
        <f>Nodes!984:984-"'E4!32"</f>
        <v>#VALUE!</v>
      </c>
      <c r="BP5" t="e">
        <f>Nodes!985:985-"'E4!33"</f>
        <v>#VALUE!</v>
      </c>
      <c r="BQ5" t="e">
        <f>Nodes!986:986-"'E4!34"</f>
        <v>#VALUE!</v>
      </c>
      <c r="BR5" t="e">
        <f>Nodes!987:987-"'E4!35"</f>
        <v>#VALUE!</v>
      </c>
      <c r="BS5" t="e">
        <f>Nodes!988:988-"'E4!36"</f>
        <v>#VALUE!</v>
      </c>
      <c r="BT5" t="e">
        <f>Nodes!989:989-"'E4!37"</f>
        <v>#VALUE!</v>
      </c>
      <c r="BU5" t="e">
        <f>Nodes!990:990-"'E4!38"</f>
        <v>#VALUE!</v>
      </c>
      <c r="BV5" t="e">
        <f>Nodes!991:991-"'E4!39"</f>
        <v>#VALUE!</v>
      </c>
      <c r="BW5" t="e">
        <f>Nodes!992:992-"'E4!3:"</f>
        <v>#VALUE!</v>
      </c>
      <c r="BX5" t="e">
        <f>Nodes!993:993-"'E4!3;"</f>
        <v>#VALUE!</v>
      </c>
      <c r="BY5" t="e">
        <f>Nodes!994:994-"'E4!3&lt;"</f>
        <v>#VALUE!</v>
      </c>
      <c r="BZ5" t="e">
        <f>Nodes!995:995-"'E4!3="</f>
        <v>#VALUE!</v>
      </c>
      <c r="CA5" t="e">
        <f>Nodes!996:996-"'E4!3&gt;"</f>
        <v>#VALUE!</v>
      </c>
      <c r="CB5" t="e">
        <f>Nodes!997:997-"'E4!3?"</f>
        <v>#VALUE!</v>
      </c>
      <c r="CC5" t="e">
        <f>Nodes!998:998-"'E4!3@"</f>
        <v>#VALUE!</v>
      </c>
      <c r="CD5" t="e">
        <f>Nodes!999:999-"'E4!3A"</f>
        <v>#VALUE!</v>
      </c>
      <c r="CE5" t="e">
        <f>Nodes!1000:1000-"'E4!3B"</f>
        <v>#VALUE!</v>
      </c>
      <c r="CF5" t="e">
        <f>Nodes!1001:1001-"'E4!3C"</f>
        <v>#VALUE!</v>
      </c>
      <c r="CG5" t="e">
        <f>Nodes!1002:1002-"'E4!3D"</f>
        <v>#VALUE!</v>
      </c>
      <c r="CH5" t="e">
        <f>Nodes!1003:1003-"'E4!3E"</f>
        <v>#VALUE!</v>
      </c>
      <c r="CI5" t="e">
        <f>Nodes!1004:1004-"'E4!3F"</f>
        <v>#VALUE!</v>
      </c>
      <c r="CJ5" t="e">
        <f>Nodes!1005:1005-"'E4!3G"</f>
        <v>#VALUE!</v>
      </c>
      <c r="CK5" t="e">
        <f>Nodes!1006:1006-"'E4!3H"</f>
        <v>#VALUE!</v>
      </c>
      <c r="CL5" t="e">
        <f>Nodes!1007:1007-"'E4!3I"</f>
        <v>#VALUE!</v>
      </c>
      <c r="CM5" t="e">
        <f>Nodes!1008:1008-"'E4!3J"</f>
        <v>#VALUE!</v>
      </c>
      <c r="CN5" t="e">
        <f>Nodes!1009:1009-"'E4!3K"</f>
        <v>#VALUE!</v>
      </c>
      <c r="CO5" t="e">
        <f>Nodes!1010:1010-"'E4!3L"</f>
        <v>#VALUE!</v>
      </c>
      <c r="CP5" t="e">
        <f>Nodes!1011:1011-"'E4!3M"</f>
        <v>#VALUE!</v>
      </c>
      <c r="CQ5" t="e">
        <f>Nodes!1012:1012-"'E4!3N"</f>
        <v>#VALUE!</v>
      </c>
      <c r="CR5" t="e">
        <f>Nodes!1013:1013-"'E4!3O"</f>
        <v>#VALUE!</v>
      </c>
      <c r="CS5" t="e">
        <f>Nodes!1014:1014-"'E4!3P"</f>
        <v>#VALUE!</v>
      </c>
      <c r="CT5" t="e">
        <f>Nodes!1015:1015-"'E4!3Q"</f>
        <v>#VALUE!</v>
      </c>
      <c r="CU5" t="e">
        <f>Nodes!1016:1016-"'E4!3R"</f>
        <v>#VALUE!</v>
      </c>
      <c r="CV5" t="e">
        <f>Nodes!1017:1017-"'E4!3S"</f>
        <v>#VALUE!</v>
      </c>
      <c r="CW5" t="e">
        <f>Nodes!1018:1018-"'E4!3T"</f>
        <v>#VALUE!</v>
      </c>
      <c r="CX5" t="e">
        <f>Nodes!1019:1019-"'E4!3U"</f>
        <v>#VALUE!</v>
      </c>
      <c r="CY5" t="e">
        <f>Nodes!1020:1020-"'E4!3V"</f>
        <v>#VALUE!</v>
      </c>
      <c r="CZ5" t="e">
        <f>Nodes!1021:1021-"'E4!3W"</f>
        <v>#VALUE!</v>
      </c>
      <c r="DA5" t="e">
        <f>Nodes!1022:1022-"'E4!3X"</f>
        <v>#VALUE!</v>
      </c>
      <c r="DB5" t="e">
        <f>Nodes!1023:1023-"'E4!3Y"</f>
        <v>#VALUE!</v>
      </c>
      <c r="DC5" t="e">
        <f>Nodes!1024:1024-"'E4!3Z"</f>
        <v>#VALUE!</v>
      </c>
      <c r="DD5" t="e">
        <f>Nodes!1025:1025-"'E4!3["</f>
        <v>#VALUE!</v>
      </c>
      <c r="DE5" t="e">
        <f>Nodes!1026:1026-"'E4!3\"</f>
        <v>#VALUE!</v>
      </c>
      <c r="DF5" t="e">
        <f>Nodes!1027:1027-"'E4!3]"</f>
        <v>#VALUE!</v>
      </c>
      <c r="DG5" t="e">
        <f>Nodes!1028:1028-"'E4!3^"</f>
        <v>#VALUE!</v>
      </c>
      <c r="DH5" t="e">
        <f>Nodes!1029:1029-"'E4!3_"</f>
        <v>#VALUE!</v>
      </c>
      <c r="DI5" t="e">
        <f>Nodes!1030:1030-"'E4!3`"</f>
        <v>#VALUE!</v>
      </c>
      <c r="DJ5" t="e">
        <f>Nodes!1031:1031-"'E4!3a"</f>
        <v>#VALUE!</v>
      </c>
      <c r="DK5" t="e">
        <f>Nodes!1032:1032-"'E4!3b"</f>
        <v>#VALUE!</v>
      </c>
      <c r="DL5" t="e">
        <f>Nodes!1033:1033-"'E4!3c"</f>
        <v>#VALUE!</v>
      </c>
      <c r="DM5" t="e">
        <f>Nodes!1034:1034-"'E4!3d"</f>
        <v>#VALUE!</v>
      </c>
      <c r="DN5" t="e">
        <f>Nodes!1035:1035-"'E4!3e"</f>
        <v>#VALUE!</v>
      </c>
      <c r="DO5" t="e">
        <f>Nodes!1036:1036-"'E4!3f"</f>
        <v>#VALUE!</v>
      </c>
      <c r="DP5" t="e">
        <f>Nodes!1037:1037-"'E4!3g"</f>
        <v>#VALUE!</v>
      </c>
      <c r="DQ5" t="e">
        <f>Nodes!1038:1038-"'E4!3h"</f>
        <v>#VALUE!</v>
      </c>
      <c r="DR5" t="e">
        <f>Nodes!1039:1039-"'E4!3i"</f>
        <v>#VALUE!</v>
      </c>
      <c r="DS5" t="e">
        <f>Nodes!1040:1040-"'E4!3j"</f>
        <v>#VALUE!</v>
      </c>
      <c r="DT5" t="e">
        <f>Nodes!1041:1041-"'E4!3k"</f>
        <v>#VALUE!</v>
      </c>
      <c r="DU5" t="e">
        <f>Nodes!1042:1042-"'E4!3l"</f>
        <v>#VALUE!</v>
      </c>
      <c r="DV5" t="e">
        <f>Nodes!1043:1043-"'E4!3m"</f>
        <v>#VALUE!</v>
      </c>
      <c r="DW5" t="e">
        <f>Nodes!1044:1044-"'E4!3n"</f>
        <v>#VALUE!</v>
      </c>
      <c r="DX5" t="e">
        <f>Nodes!1045:1045-"'E4!3o"</f>
        <v>#VALUE!</v>
      </c>
      <c r="DY5" t="e">
        <f>Nodes!1046:1046-"'E4!3p"</f>
        <v>#VALUE!</v>
      </c>
      <c r="DZ5" t="e">
        <f>Nodes!1047:1047-"'E4!3q"</f>
        <v>#VALUE!</v>
      </c>
      <c r="EA5" t="e">
        <f>Nodes!1048:1048-"'E4!3r"</f>
        <v>#VALUE!</v>
      </c>
      <c r="EB5" t="e">
        <f>Nodes!1049:1049-"'E4!3s"</f>
        <v>#VALUE!</v>
      </c>
      <c r="EC5" t="e">
        <f>Nodes!1050:1050-"'E4!3t"</f>
        <v>#VALUE!</v>
      </c>
      <c r="ED5" t="e">
        <f>Nodes!1051:1051-"'E4!3u"</f>
        <v>#VALUE!</v>
      </c>
      <c r="EE5" t="e">
        <f>Nodes!1052:1052-"'E4!3v"</f>
        <v>#VALUE!</v>
      </c>
      <c r="EF5" t="e">
        <f>Nodes!1053:1053-"'E4!3w"</f>
        <v>#VALUE!</v>
      </c>
      <c r="EG5" t="e">
        <f>Nodes!1054:1054-"'E4!3x"</f>
        <v>#VALUE!</v>
      </c>
      <c r="EH5" t="e">
        <f>Nodes!1055:1055-"'E4!3y"</f>
        <v>#VALUE!</v>
      </c>
      <c r="EI5" t="e">
        <f>Nodes!1056:1056-"'E4!3z"</f>
        <v>#VALUE!</v>
      </c>
      <c r="EJ5" t="e">
        <f>Nodes!1057:1057-"'E4!3{"</f>
        <v>#VALUE!</v>
      </c>
      <c r="EK5" t="e">
        <f>Nodes!1058:1058-"'E4!3|"</f>
        <v>#VALUE!</v>
      </c>
      <c r="EL5" t="e">
        <f>Nodes!1059:1059-"'E4!3}"</f>
        <v>#VALUE!</v>
      </c>
      <c r="EM5" t="e">
        <f>Nodes!1060:1060-"'E4!3~"</f>
        <v>#VALUE!</v>
      </c>
      <c r="EN5" t="e">
        <f>Nodes!1061:1061-"'E4!4#"</f>
        <v>#VALUE!</v>
      </c>
      <c r="EO5" t="e">
        <f>Nodes!1062:1062-"'E4!4$"</f>
        <v>#VALUE!</v>
      </c>
      <c r="EP5" t="e">
        <f>Nodes!1063:1063-"'E4!4%"</f>
        <v>#VALUE!</v>
      </c>
      <c r="EQ5" t="e">
        <f>Nodes!1064:1064-"'E4!4&amp;"</f>
        <v>#VALUE!</v>
      </c>
      <c r="ER5" t="e">
        <f>Nodes!1065:1065-"'E4!4'"</f>
        <v>#VALUE!</v>
      </c>
      <c r="ES5" t="e">
        <f>Nodes!1066:1066-"'E4!4("</f>
        <v>#VALUE!</v>
      </c>
      <c r="ET5" t="e">
        <f>Nodes!1067:1067-"'E4!4)"</f>
        <v>#VALUE!</v>
      </c>
      <c r="EU5" t="e">
        <f>Nodes!1068:1068-"'E4!4."</f>
        <v>#VALUE!</v>
      </c>
      <c r="EV5" t="e">
        <f>Nodes!1069:1069-"'E4!4/"</f>
        <v>#VALUE!</v>
      </c>
      <c r="EW5" t="e">
        <f>Nodes!1070:1070-"'E4!40"</f>
        <v>#VALUE!</v>
      </c>
      <c r="EX5" t="e">
        <f>Nodes!1071:1071-"'E4!41"</f>
        <v>#VALUE!</v>
      </c>
      <c r="EY5" t="e">
        <f>Nodes!1072:1072-"'E4!42"</f>
        <v>#VALUE!</v>
      </c>
      <c r="EZ5" t="e">
        <f>Nodes!1073:1073-"'E4!43"</f>
        <v>#VALUE!</v>
      </c>
      <c r="FA5" t="e">
        <f>Nodes!1074:1074-"'E4!44"</f>
        <v>#VALUE!</v>
      </c>
      <c r="FB5" t="e">
        <f>Nodes!1075:1075-"'E4!45"</f>
        <v>#VALUE!</v>
      </c>
      <c r="FC5" t="e">
        <f>Nodes!1076:1076-"'E4!46"</f>
        <v>#VALUE!</v>
      </c>
      <c r="FD5" t="e">
        <f>Nodes!1077:1077-"'E4!47"</f>
        <v>#VALUE!</v>
      </c>
      <c r="FE5" t="e">
        <f>Nodes!1078:1078-"'E4!48"</f>
        <v>#VALUE!</v>
      </c>
      <c r="FF5" t="e">
        <f>Nodes!1079:1079-"'E4!49"</f>
        <v>#VALUE!</v>
      </c>
      <c r="FG5" t="e">
        <f>Nodes!1080:1080-"'E4!4:"</f>
        <v>#VALUE!</v>
      </c>
      <c r="FH5" t="e">
        <f>Nodes!1081:1081-"'E4!4;"</f>
        <v>#VALUE!</v>
      </c>
      <c r="FI5" t="e">
        <f>Nodes!1082:1082-"'E4!4&lt;"</f>
        <v>#VALUE!</v>
      </c>
      <c r="FJ5" t="e">
        <f>Nodes!1083:1083-"'E4!4="</f>
        <v>#VALUE!</v>
      </c>
      <c r="FK5" t="e">
        <f>Nodes!1084:1084-"'E4!4&gt;"</f>
        <v>#VALUE!</v>
      </c>
      <c r="FL5" t="e">
        <f>Nodes!1085:1085-"'E4!4?"</f>
        <v>#VALUE!</v>
      </c>
      <c r="FM5" t="e">
        <f>Nodes!1086:1086-"'E4!4@"</f>
        <v>#VALUE!</v>
      </c>
      <c r="FN5" t="e">
        <f>Nodes!1087:1087-"'E4!4A"</f>
        <v>#VALUE!</v>
      </c>
      <c r="FO5" t="e">
        <f>Nodes!1088:1088-"'E4!4B"</f>
        <v>#VALUE!</v>
      </c>
      <c r="FP5" t="e">
        <f>Nodes!1089:1089-"'E4!4C"</f>
        <v>#VALUE!</v>
      </c>
      <c r="FQ5" t="e">
        <f>Nodes!1090:1090-"'E4!4D"</f>
        <v>#VALUE!</v>
      </c>
      <c r="FR5" t="e">
        <f>Nodes!1091:1091-"'E4!4E"</f>
        <v>#VALUE!</v>
      </c>
      <c r="FS5" t="e">
        <f>Nodes!1092:1092-"'E4!4F"</f>
        <v>#VALUE!</v>
      </c>
      <c r="FT5" t="e">
        <f>Nodes!1093:1093-"'E4!4G"</f>
        <v>#VALUE!</v>
      </c>
      <c r="FU5" t="e">
        <f>Nodes!1094:1094-"'E4!4H"</f>
        <v>#VALUE!</v>
      </c>
      <c r="FV5" t="e">
        <f>Nodes!1095:1095-"'E4!4I"</f>
        <v>#VALUE!</v>
      </c>
      <c r="FW5" t="e">
        <f>Nodes!1096:1096-"'E4!4J"</f>
        <v>#VALUE!</v>
      </c>
      <c r="FX5" t="e">
        <f>Nodes!1097:1097-"'E4!4K"</f>
        <v>#VALUE!</v>
      </c>
      <c r="FY5" t="e">
        <f>Nodes!1098:1098-"'E4!4L"</f>
        <v>#VALUE!</v>
      </c>
      <c r="FZ5" t="e">
        <f>Nodes!1099:1099-"'E4!4M"</f>
        <v>#VALUE!</v>
      </c>
      <c r="GA5" t="e">
        <f>Nodes!1100:1100-"'E4!4N"</f>
        <v>#VALUE!</v>
      </c>
      <c r="GB5" t="e">
        <f>Nodes!1101:1101-"'E4!4O"</f>
        <v>#VALUE!</v>
      </c>
      <c r="GC5" t="e">
        <f>Nodes!1102:1102-"'E4!4P"</f>
        <v>#VALUE!</v>
      </c>
      <c r="GD5" t="e">
        <f>Nodes!1103:1103-"'E4!4Q"</f>
        <v>#VALUE!</v>
      </c>
      <c r="GE5" t="e">
        <f>Nodes!1104:1104-"'E4!4R"</f>
        <v>#VALUE!</v>
      </c>
      <c r="GF5" t="e">
        <f>Nodes!1105:1105-"'E4!4S"</f>
        <v>#VALUE!</v>
      </c>
      <c r="GG5" t="e">
        <f>Nodes!1106:1106-"'E4!4T"</f>
        <v>#VALUE!</v>
      </c>
      <c r="GH5" t="e">
        <f>Nodes!1107:1107-"'E4!4U"</f>
        <v>#VALUE!</v>
      </c>
      <c r="GI5" t="e">
        <f>Nodes!1108:1108-"'E4!4V"</f>
        <v>#VALUE!</v>
      </c>
      <c r="GJ5" t="e">
        <f>Nodes!1109:1109-"'E4!4W"</f>
        <v>#VALUE!</v>
      </c>
      <c r="GK5" t="e">
        <f>Nodes!1110:1110-"'E4!4X"</f>
        <v>#VALUE!</v>
      </c>
      <c r="GL5" t="e">
        <f>Nodes!1111:1111-"'E4!4Y"</f>
        <v>#VALUE!</v>
      </c>
      <c r="GM5" t="e">
        <f>Nodes!1112:1112-"'E4!4Z"</f>
        <v>#VALUE!</v>
      </c>
      <c r="GN5" t="e">
        <f>Nodes!1113:1113-"'E4!4["</f>
        <v>#VALUE!</v>
      </c>
      <c r="GO5" t="e">
        <f>Nodes!1114:1114-"'E4!4\"</f>
        <v>#VALUE!</v>
      </c>
      <c r="GP5" t="e">
        <f>Nodes!1115:1115-"'E4!4]"</f>
        <v>#VALUE!</v>
      </c>
      <c r="GQ5" t="e">
        <f>Nodes!1116:1116-"'E4!4^"</f>
        <v>#VALUE!</v>
      </c>
      <c r="GR5" t="e">
        <f>Nodes!1117:1117-"'E4!4_"</f>
        <v>#VALUE!</v>
      </c>
      <c r="GS5" t="e">
        <f>Nodes!1118:1118-"'E4!4`"</f>
        <v>#VALUE!</v>
      </c>
      <c r="GT5" t="e">
        <f>Nodes!1119:1119-"'E4!4a"</f>
        <v>#VALUE!</v>
      </c>
      <c r="GU5" t="e">
        <f>Nodes!1120:1120-"'E4!4b"</f>
        <v>#VALUE!</v>
      </c>
      <c r="GV5" t="e">
        <f>Nodes!1121:1121-"'E4!4c"</f>
        <v>#VALUE!</v>
      </c>
      <c r="GW5" t="e">
        <f>Nodes!1122:1122-"'E4!4d"</f>
        <v>#VALUE!</v>
      </c>
      <c r="GX5" t="e">
        <f>Nodes!1123:1123-"'E4!4e"</f>
        <v>#VALUE!</v>
      </c>
      <c r="GY5" t="e">
        <f>Nodes!1124:1124-"'E4!4f"</f>
        <v>#VALUE!</v>
      </c>
      <c r="GZ5" t="e">
        <f>Nodes!1125:1125-"'E4!4g"</f>
        <v>#VALUE!</v>
      </c>
      <c r="HA5" t="e">
        <f>Nodes!1126:1126-"'E4!4h"</f>
        <v>#VALUE!</v>
      </c>
      <c r="HB5" t="e">
        <f>Nodes!1127:1127-"'E4!4i"</f>
        <v>#VALUE!</v>
      </c>
      <c r="HC5" t="e">
        <f>Nodes!1128:1128-"'E4!4j"</f>
        <v>#VALUE!</v>
      </c>
      <c r="HD5" t="e">
        <f>Nodes!1129:1129-"'E4!4k"</f>
        <v>#VALUE!</v>
      </c>
      <c r="HE5" t="e">
        <f>Nodes!1130:1130-"'E4!4l"</f>
        <v>#VALUE!</v>
      </c>
      <c r="HF5" t="e">
        <f>Nodes!1131:1131-"'E4!4m"</f>
        <v>#VALUE!</v>
      </c>
      <c r="HG5" t="e">
        <f>Nodes!1132:1132-"'E4!4n"</f>
        <v>#VALUE!</v>
      </c>
      <c r="HH5" t="e">
        <f>Nodes!1133:1133-"'E4!4o"</f>
        <v>#VALUE!</v>
      </c>
      <c r="HI5" t="e">
        <f>Nodes!1134:1134-"'E4!4p"</f>
        <v>#VALUE!</v>
      </c>
      <c r="HJ5" t="e">
        <f>Nodes!1135:1135-"'E4!4q"</f>
        <v>#VALUE!</v>
      </c>
      <c r="HK5" t="e">
        <f>Nodes!1136:1136-"'E4!4r"</f>
        <v>#VALUE!</v>
      </c>
      <c r="HL5" t="e">
        <f>Nodes!1137:1137-"'E4!4s"</f>
        <v>#VALUE!</v>
      </c>
      <c r="HM5" t="e">
        <f>Nodes!1138:1138-"'E4!4t"</f>
        <v>#VALUE!</v>
      </c>
      <c r="HN5" t="e">
        <f>Nodes!1139:1139-"'E4!4u"</f>
        <v>#VALUE!</v>
      </c>
      <c r="HO5" t="e">
        <f>Nodes!1140:1140-"'E4!4v"</f>
        <v>#VALUE!</v>
      </c>
      <c r="HP5" t="e">
        <f>Nodes!1141:1141-"'E4!4w"</f>
        <v>#VALUE!</v>
      </c>
      <c r="HQ5" t="e">
        <f>Nodes!1142:1142-"'E4!4x"</f>
        <v>#VALUE!</v>
      </c>
      <c r="HR5" t="e">
        <f>Nodes!1143:1143-"'E4!4y"</f>
        <v>#VALUE!</v>
      </c>
      <c r="HS5" t="e">
        <f>Nodes!1144:1144-"'E4!4z"</f>
        <v>#VALUE!</v>
      </c>
      <c r="HT5" t="e">
        <f>Nodes!1145:1145-"'E4!4{"</f>
        <v>#VALUE!</v>
      </c>
      <c r="HU5" t="e">
        <f>Nodes!1146:1146-"'E4!4|"</f>
        <v>#VALUE!</v>
      </c>
      <c r="HV5" t="e">
        <f>Nodes!1147:1147-"'E4!4}"</f>
        <v>#VALUE!</v>
      </c>
      <c r="HW5" t="e">
        <f>Nodes!1148:1148-"'E4!4~"</f>
        <v>#VALUE!</v>
      </c>
      <c r="HX5" t="e">
        <f>Nodes!1149:1149-"'E4!5#"</f>
        <v>#VALUE!</v>
      </c>
      <c r="HY5" t="e">
        <f>Nodes!1150:1150-"'E4!5$"</f>
        <v>#VALUE!</v>
      </c>
      <c r="HZ5" t="e">
        <f>Nodes!1151:1151-"'E4!5%"</f>
        <v>#VALUE!</v>
      </c>
      <c r="IA5" t="e">
        <f>Nodes!1152:1152-"'E4!5&amp;"</f>
        <v>#VALUE!</v>
      </c>
      <c r="IB5" t="e">
        <f>Nodes!1153:1153-"'E4!5'"</f>
        <v>#VALUE!</v>
      </c>
      <c r="IC5" t="e">
        <f>Nodes!1154:1154-"'E4!5("</f>
        <v>#VALUE!</v>
      </c>
      <c r="ID5" t="e">
        <f>Nodes!1155:1155-"'E4!5)"</f>
        <v>#VALUE!</v>
      </c>
      <c r="IE5" t="e">
        <f>Nodes!1156:1156-"'E4!5."</f>
        <v>#VALUE!</v>
      </c>
      <c r="IF5" t="e">
        <f>Nodes!1157:1157-"'E4!5/"</f>
        <v>#VALUE!</v>
      </c>
      <c r="IG5" t="e">
        <f>Nodes!1158:1158-"'E4!50"</f>
        <v>#VALUE!</v>
      </c>
      <c r="IH5" t="e">
        <f>Nodes!1159:1159-"'E4!51"</f>
        <v>#VALUE!</v>
      </c>
      <c r="II5" t="e">
        <f>Nodes!1160:1160-"'E4!52"</f>
        <v>#VALUE!</v>
      </c>
      <c r="IJ5" t="e">
        <f>Nodes!1161:1161-"'E4!53"</f>
        <v>#VALUE!</v>
      </c>
      <c r="IK5" t="e">
        <f>Nodes!1162:1162-"'E4!54"</f>
        <v>#VALUE!</v>
      </c>
      <c r="IL5" t="e">
        <f>Nodes!1163:1163-"'E4!55"</f>
        <v>#VALUE!</v>
      </c>
      <c r="IM5" t="e">
        <f>Nodes!1164:1164-"'E4!56"</f>
        <v>#VALUE!</v>
      </c>
      <c r="IN5" t="e">
        <f>Nodes!1165:1165-"'E4!57"</f>
        <v>#VALUE!</v>
      </c>
      <c r="IO5" t="e">
        <f>Nodes!1166:1166-"'E4!58"</f>
        <v>#VALUE!</v>
      </c>
      <c r="IP5" t="e">
        <f>Nodes!1167:1167-"'E4!59"</f>
        <v>#VALUE!</v>
      </c>
      <c r="IQ5" t="e">
        <f>Nodes!1168:1168-"'E4!5:"</f>
        <v>#VALUE!</v>
      </c>
      <c r="IR5" t="e">
        <f>Nodes!1169:1169-"'E4!5;"</f>
        <v>#VALUE!</v>
      </c>
      <c r="IS5" t="e">
        <f>Nodes!1170:1170-"'E4!5&lt;"</f>
        <v>#VALUE!</v>
      </c>
      <c r="IT5" t="e">
        <f>Nodes!1171:1171-"'E4!5="</f>
        <v>#VALUE!</v>
      </c>
      <c r="IU5" t="e">
        <f>Nodes!1172:1172-"'E4!5&gt;"</f>
        <v>#VALUE!</v>
      </c>
      <c r="IV5" t="e">
        <f>Nodes!1173:1173-"'E4!5?"</f>
        <v>#VALUE!</v>
      </c>
    </row>
    <row r="6" spans="1:256">
      <c r="F6" t="e">
        <f>Nodes!1174:1174-"'E4!5@"</f>
        <v>#VALUE!</v>
      </c>
      <c r="G6" t="e">
        <f>Nodes!1175:1175-"'E4!5A"</f>
        <v>#VALUE!</v>
      </c>
      <c r="H6" t="e">
        <f>Nodes!1176:1176-"'E4!5B"</f>
        <v>#VALUE!</v>
      </c>
      <c r="I6" t="e">
        <f>Nodes!1177:1177-"'E4!5C"</f>
        <v>#VALUE!</v>
      </c>
      <c r="J6" t="e">
        <f>Nodes!1178:1178-"'E4!5D"</f>
        <v>#VALUE!</v>
      </c>
      <c r="K6" t="e">
        <f>Nodes!1179:1179-"'E4!5E"</f>
        <v>#VALUE!</v>
      </c>
      <c r="L6" t="e">
        <f>Nodes!1180:1180-"'E4!5F"</f>
        <v>#VALUE!</v>
      </c>
      <c r="M6" t="e">
        <f>Nodes!1181:1181-"'E4!5G"</f>
        <v>#VALUE!</v>
      </c>
      <c r="N6" t="e">
        <f>Nodes!1182:1182-"'E4!5H"</f>
        <v>#VALUE!</v>
      </c>
      <c r="O6" t="e">
        <f>Nodes!1183:1183-"'E4!5I"</f>
        <v>#VALUE!</v>
      </c>
      <c r="P6" t="e">
        <f>Nodes!1184:1184-"'E4!5J"</f>
        <v>#VALUE!</v>
      </c>
      <c r="Q6" t="e">
        <f>Nodes!1185:1185-"'E4!5K"</f>
        <v>#VALUE!</v>
      </c>
      <c r="R6" t="e">
        <f>Nodes!1186:1186-"'E4!5L"</f>
        <v>#N/A</v>
      </c>
      <c r="S6" t="e">
        <f>Nodes!1187:1187-"'E4!5M"</f>
        <v>#VALUE!</v>
      </c>
      <c r="T6" t="e">
        <f>Nodes!1188:1188-"'E4!5N"</f>
        <v>#VALUE!</v>
      </c>
      <c r="U6" t="e">
        <f>Nodes!1189:1189-"'E4!5O"</f>
        <v>#VALUE!</v>
      </c>
      <c r="V6" t="e">
        <f>Nodes!1190:1190-"'E4!5P"</f>
        <v>#VALUE!</v>
      </c>
      <c r="W6" t="e">
        <f>Nodes!1191:1191-"'E4!5Q"</f>
        <v>#VALUE!</v>
      </c>
      <c r="X6" t="e">
        <f>Nodes!1192:1192-"'E4!5R"</f>
        <v>#VALUE!</v>
      </c>
      <c r="Y6" t="e">
        <f>Nodes!1193:1193-"'E4!5S"</f>
        <v>#VALUE!</v>
      </c>
      <c r="Z6" t="e">
        <f>Nodes!1194:1194-"'E4!5T"</f>
        <v>#VALUE!</v>
      </c>
      <c r="AA6" t="e">
        <f>Nodes!1195:1195-"'E4!5U"</f>
        <v>#VALUE!</v>
      </c>
      <c r="AB6" t="e">
        <f>Nodes!1196:1196-"'E4!5V"</f>
        <v>#VALUE!</v>
      </c>
      <c r="AC6" t="e">
        <f>Nodes!1197:1197-"'E4!5W"</f>
        <v>#VALUE!</v>
      </c>
      <c r="AD6" t="e">
        <f>Nodes!1198:1198-"'E4!5X"</f>
        <v>#VALUE!</v>
      </c>
      <c r="AE6" t="e">
        <f>Nodes!1199:1199-"'E4!5Y"</f>
        <v>#VALUE!</v>
      </c>
      <c r="AF6" t="e">
        <f>Nodes!1200:1200-"'E4!5Z"</f>
        <v>#VALUE!</v>
      </c>
      <c r="AG6" t="e">
        <f>Nodes!1201:1201-"'E4!5["</f>
        <v>#VALUE!</v>
      </c>
      <c r="AH6" t="e">
        <f>Nodes!1202:1202-"'E4!5\"</f>
        <v>#VALUE!</v>
      </c>
      <c r="AI6" t="e">
        <f>Nodes!1203:1203-"'E4!5]"</f>
        <v>#VALUE!</v>
      </c>
      <c r="AJ6" t="e">
        <f>Nodes!1204:1204-"'E4!5^"</f>
        <v>#VALUE!</v>
      </c>
      <c r="AK6" t="e">
        <f>Nodes!1205:1205-"'E4!5_"</f>
        <v>#VALUE!</v>
      </c>
      <c r="AL6" t="e">
        <f>Nodes!1206:1206-"'E4!5`"</f>
        <v>#VALUE!</v>
      </c>
      <c r="AM6" t="e">
        <f>Nodes!1207:1207-"'E4!5a"</f>
        <v>#VALUE!</v>
      </c>
      <c r="AN6" t="e">
        <f>Nodes!1208:1208-"'E4!5b"</f>
        <v>#VALUE!</v>
      </c>
      <c r="AO6" t="e">
        <f>Nodes!1209:1209-"'E4!5c"</f>
        <v>#VALUE!</v>
      </c>
      <c r="AP6" t="e">
        <f>Nodes!1210:1210-"'E4!5d"</f>
        <v>#VALUE!</v>
      </c>
      <c r="AQ6" t="e">
        <f>Nodes!1211:1211-"'E4!5e"</f>
        <v>#VALUE!</v>
      </c>
      <c r="AR6" t="e">
        <f>Nodes!1212:1212-"'E4!5f"</f>
        <v>#VALUE!</v>
      </c>
      <c r="AS6" t="e">
        <f>Nodes!1213:1213-"'E4!5g"</f>
        <v>#VALUE!</v>
      </c>
      <c r="AT6" t="e">
        <f>Nodes!1214:1214-"'E4!5h"</f>
        <v>#VALUE!</v>
      </c>
      <c r="AU6" t="e">
        <f>Nodes!1215:1215-"'E4!5i"</f>
        <v>#VALUE!</v>
      </c>
      <c r="AV6" t="e">
        <f>Nodes!1216:1216-"'E4!5j"</f>
        <v>#VALUE!</v>
      </c>
      <c r="AW6" t="e">
        <f>Nodes!1217:1217-"'E4!5k"</f>
        <v>#VALUE!</v>
      </c>
      <c r="AX6" t="e">
        <f>Nodes!1218:1218-"'E4!5l"</f>
        <v>#VALUE!</v>
      </c>
      <c r="AY6" t="e">
        <f>Nodes!1219:1219-"'E4!5m"</f>
        <v>#VALUE!</v>
      </c>
      <c r="AZ6" t="e">
        <f>Nodes!1220:1220-"'E4!5n"</f>
        <v>#VALUE!</v>
      </c>
      <c r="BA6" t="e">
        <f>Nodes!1221:1221-"'E4!5o"</f>
        <v>#VALUE!</v>
      </c>
      <c r="BB6" t="e">
        <f>Nodes!1222:1222-"'E4!5p"</f>
        <v>#VALUE!</v>
      </c>
      <c r="BC6" t="e">
        <f>Nodes!1223:1223-"'E4!5q"</f>
        <v>#VALUE!</v>
      </c>
      <c r="BD6" t="e">
        <f>Nodes!1224:1224-"'E4!5r"</f>
        <v>#VALUE!</v>
      </c>
      <c r="BE6" t="e">
        <f>Nodes!1225:1225-"'E4!5s"</f>
        <v>#VALUE!</v>
      </c>
      <c r="BF6" t="e">
        <f>Nodes!1226:1226-"'E4!5t"</f>
        <v>#VALUE!</v>
      </c>
      <c r="BG6" t="e">
        <f>Nodes!1227:1227-"'E4!5u"</f>
        <v>#VALUE!</v>
      </c>
      <c r="BH6" t="e">
        <f>Nodes!1228:1228-"'E4!5v"</f>
        <v>#VALUE!</v>
      </c>
      <c r="BI6" t="e">
        <f>Nodes!1229:1229-"'E4!5w"</f>
        <v>#VALUE!</v>
      </c>
      <c r="BJ6" t="e">
        <f>Nodes!1230:1230-"'E4!5x"</f>
        <v>#VALUE!</v>
      </c>
      <c r="BK6" t="e">
        <f>Nodes!1231:1231-"'E4!5y"</f>
        <v>#VALUE!</v>
      </c>
      <c r="BL6" t="e">
        <f>Nodes!1232:1232-"'E4!5z"</f>
        <v>#VALUE!</v>
      </c>
      <c r="BM6" t="e">
        <f>Nodes!1233:1233-"'E4!5{"</f>
        <v>#VALUE!</v>
      </c>
      <c r="BN6" t="e">
        <f>Nodes!1234:1234-"'E4!5|"</f>
        <v>#VALUE!</v>
      </c>
      <c r="BO6" t="e">
        <f>Nodes!1235:1235-"'E4!5}"</f>
        <v>#VALUE!</v>
      </c>
      <c r="BP6" t="e">
        <f>Nodes!1236:1236-"'E4!5~"</f>
        <v>#VALUE!</v>
      </c>
      <c r="BQ6" t="e">
        <f>Nodes!1237:1237-"'E4!6#"</f>
        <v>#VALUE!</v>
      </c>
      <c r="BR6" t="e">
        <f>Nodes!1238:1238-"'E4!6$"</f>
        <v>#VALUE!</v>
      </c>
      <c r="BS6" t="e">
        <f>Nodes!1239:1239-"'E4!6%"</f>
        <v>#VALUE!</v>
      </c>
      <c r="BT6" t="e">
        <f>Nodes!1240:1240-"'E4!6&amp;"</f>
        <v>#VALUE!</v>
      </c>
      <c r="BU6" t="e">
        <f>Nodes!1241:1241-"'E4!6'"</f>
        <v>#VALUE!</v>
      </c>
      <c r="BV6" t="e">
        <f>Nodes!1242:1242-"'E4!6("</f>
        <v>#VALUE!</v>
      </c>
      <c r="BW6" t="e">
        <f>Nodes!1243:1243-"'E4!6)"</f>
        <v>#VALUE!</v>
      </c>
      <c r="BX6" t="e">
        <f>Nodes!1244:1244-"'E4!6."</f>
        <v>#VALUE!</v>
      </c>
      <c r="BY6" t="e">
        <f>Nodes!1245:1245-"'E4!6/"</f>
        <v>#VALUE!</v>
      </c>
      <c r="BZ6" t="e">
        <f>Nodes!1246:1246-"'E4!60"</f>
        <v>#VALUE!</v>
      </c>
      <c r="CA6" t="e">
        <f>Nodes!1247:1247-"'E4!61"</f>
        <v>#VALUE!</v>
      </c>
      <c r="CB6" t="e">
        <f>Nodes!1248:1248-"'E4!62"</f>
        <v>#VALUE!</v>
      </c>
      <c r="CC6" t="e">
        <f>Nodes!1249:1249-"'E4!63"</f>
        <v>#VALUE!</v>
      </c>
      <c r="CD6" t="e">
        <f>Nodes!1250:1250-"'E4!64"</f>
        <v>#VALUE!</v>
      </c>
      <c r="CE6" t="e">
        <f>Nodes!1251:1251-"'E4!65"</f>
        <v>#VALUE!</v>
      </c>
      <c r="CF6" t="e">
        <f>Nodes!1252:1252-"'E4!66"</f>
        <v>#VALUE!</v>
      </c>
      <c r="CG6" t="e">
        <f>Nodes!1253:1253-"'E4!67"</f>
        <v>#VALUE!</v>
      </c>
      <c r="CH6" t="e">
        <f>Nodes!1254:1254-"'E4!68"</f>
        <v>#VALUE!</v>
      </c>
      <c r="CI6" t="e">
        <f>Nodes!1255:1255-"'E4!69"</f>
        <v>#VALUE!</v>
      </c>
      <c r="CJ6" t="e">
        <f>Nodes!1256:1256-"'E4!6:"</f>
        <v>#VALUE!</v>
      </c>
      <c r="CK6" t="e">
        <f>Nodes!1257:1257-"'E4!6;"</f>
        <v>#VALUE!</v>
      </c>
      <c r="CL6" t="e">
        <f>Nodes!1258:1258-"'E4!6&lt;"</f>
        <v>#VALUE!</v>
      </c>
      <c r="CM6" t="e">
        <f>Nodes!1259:1259-"'E4!6="</f>
        <v>#VALUE!</v>
      </c>
      <c r="CN6" t="e">
        <f>Nodes!1260:1260-"'E4!6&gt;"</f>
        <v>#VALUE!</v>
      </c>
      <c r="CO6" t="e">
        <f>Nodes!1261:1261-"'E4!6?"</f>
        <v>#VALUE!</v>
      </c>
      <c r="CP6" t="e">
        <f>Nodes!1262:1262-"'E4!6@"</f>
        <v>#VALUE!</v>
      </c>
      <c r="CQ6" t="e">
        <f>Nodes!1263:1263-"'E4!6A"</f>
        <v>#VALUE!</v>
      </c>
      <c r="CR6" t="e">
        <f>Nodes!1264:1264-"'E4!6B"</f>
        <v>#VALUE!</v>
      </c>
      <c r="CS6" t="e">
        <f>Nodes!1265:1265-"'E4!6C"</f>
        <v>#VALUE!</v>
      </c>
      <c r="CT6" t="e">
        <f>Nodes!1266:1266-"'E4!6D"</f>
        <v>#VALUE!</v>
      </c>
      <c r="CU6" t="e">
        <f>Nodes!1267:1267-"'E4!6E"</f>
        <v>#VALUE!</v>
      </c>
      <c r="CV6" t="e">
        <f>Nodes!1268:1268-"'E4!6F"</f>
        <v>#VALUE!</v>
      </c>
      <c r="CW6" t="e">
        <f>Nodes!1269:1269-"'E4!6G"</f>
        <v>#VALUE!</v>
      </c>
      <c r="CX6" t="e">
        <f>Nodes!1270:1270-"'E4!6H"</f>
        <v>#VALUE!</v>
      </c>
      <c r="CY6" t="e">
        <f>Nodes!1271:1271-"'E4!6I"</f>
        <v>#VALUE!</v>
      </c>
      <c r="CZ6" t="e">
        <f>Nodes!1272:1272-"'E4!6J"</f>
        <v>#VALUE!</v>
      </c>
      <c r="DA6" t="e">
        <f>Nodes!1273:1273-"'E4!6K"</f>
        <v>#VALUE!</v>
      </c>
      <c r="DB6" t="e">
        <f>Nodes!1274:1274-"'E4!6L"</f>
        <v>#VALUE!</v>
      </c>
      <c r="DC6" t="e">
        <f>Nodes!1275:1275-"'E4!6M"</f>
        <v>#VALUE!</v>
      </c>
      <c r="DD6" t="e">
        <f>Nodes!1276:1276-"'E4!6N"</f>
        <v>#VALUE!</v>
      </c>
      <c r="DE6" t="e">
        <f>Nodes!1277:1277-"'E4!6O"</f>
        <v>#VALUE!</v>
      </c>
      <c r="DF6" t="e">
        <f>Nodes!1278:1278-"'E4!6P"</f>
        <v>#VALUE!</v>
      </c>
      <c r="DG6" t="e">
        <f>Nodes!1279:1279-"'E4!6Q"</f>
        <v>#VALUE!</v>
      </c>
      <c r="DH6" t="e">
        <f>Nodes!1280:1280-"'E4!6R"</f>
        <v>#VALUE!</v>
      </c>
      <c r="DI6" t="e">
        <f>Nodes!1281:1281-"'E4!6S"</f>
        <v>#VALUE!</v>
      </c>
      <c r="DJ6" t="e">
        <f>Nodes!1282:1282-"'E4!6T"</f>
        <v>#VALUE!</v>
      </c>
      <c r="DK6" t="e">
        <f>Nodes!1283:1283-"'E4!6U"</f>
        <v>#VALUE!</v>
      </c>
      <c r="DL6" t="e">
        <f>Nodes!1284:1284-"'E4!6V"</f>
        <v>#VALUE!</v>
      </c>
      <c r="DM6" t="e">
        <f>Nodes!1285:1285-"'E4!6W"</f>
        <v>#VALUE!</v>
      </c>
      <c r="DN6" t="e">
        <f>Nodes!1286:1286-"'E4!6X"</f>
        <v>#VALUE!</v>
      </c>
      <c r="DO6" t="e">
        <f>Nodes!1287:1287-"'E4!6Y"</f>
        <v>#VALUE!</v>
      </c>
      <c r="DP6" t="e">
        <f>Nodes!1288:1288-"'E4!6Z"</f>
        <v>#VALUE!</v>
      </c>
      <c r="DQ6" t="e">
        <f>Nodes!1289:1289-"'E4!6["</f>
        <v>#VALUE!</v>
      </c>
      <c r="DR6" t="e">
        <f>Nodes!1290:1290-"'E4!6\"</f>
        <v>#VALUE!</v>
      </c>
      <c r="DS6" t="e">
        <f>Nodes!1291:1291-"'E4!6]"</f>
        <v>#VALUE!</v>
      </c>
      <c r="DT6" t="e">
        <f>Nodes!1292:1292-"'E4!6^"</f>
        <v>#VALUE!</v>
      </c>
      <c r="DU6" t="e">
        <f>Nodes!1293:1293-"'E4!6_"</f>
        <v>#VALUE!</v>
      </c>
      <c r="DV6" t="e">
        <f>Nodes!1294:1294-"'E4!6`"</f>
        <v>#VALUE!</v>
      </c>
      <c r="DW6" t="e">
        <f>Nodes!1295:1295-"'E4!6a"</f>
        <v>#VALUE!</v>
      </c>
      <c r="DX6" t="e">
        <f>Nodes!1296:1296-"'E4!6b"</f>
        <v>#VALUE!</v>
      </c>
      <c r="DY6" t="e">
        <f>Nodes!1297:1297-"'E4!6c"</f>
        <v>#VALUE!</v>
      </c>
      <c r="DZ6" t="e">
        <f>Nodes!1298:1298-"'E4!6d"</f>
        <v>#VALUE!</v>
      </c>
      <c r="EA6" t="e">
        <f>Nodes!1299:1299-"'E4!6e"</f>
        <v>#VALUE!</v>
      </c>
      <c r="EB6" t="e">
        <f>Nodes!1300:1300-"'E4!6f"</f>
        <v>#VALUE!</v>
      </c>
      <c r="EC6" t="e">
        <f>Nodes!1301:1301-"'E4!6g"</f>
        <v>#VALUE!</v>
      </c>
      <c r="ED6" t="e">
        <f>Nodes!1302:1302-"'E4!6h"</f>
        <v>#VALUE!</v>
      </c>
      <c r="EE6" t="e">
        <f>Nodes!1303:1303-"'E4!6i"</f>
        <v>#VALUE!</v>
      </c>
      <c r="EF6" t="e">
        <f>Nodes!1304:1304-"'E4!6j"</f>
        <v>#VALUE!</v>
      </c>
      <c r="EG6" t="e">
        <f>Nodes!1305:1305-"'E4!6k"</f>
        <v>#VALUE!</v>
      </c>
      <c r="EH6" t="e">
        <f>Nodes!1306:1306-"'E4!6l"</f>
        <v>#VALUE!</v>
      </c>
      <c r="EI6" t="e">
        <f>Nodes!1307:1307-"'E4!6m"</f>
        <v>#VALUE!</v>
      </c>
      <c r="EJ6" t="e">
        <f>Nodes!1308:1308-"'E4!6n"</f>
        <v>#VALUE!</v>
      </c>
      <c r="EK6" t="e">
        <f>Nodes!1309:1309-"'E4!6o"</f>
        <v>#VALUE!</v>
      </c>
      <c r="EL6" t="e">
        <f>Nodes!1310:1310-"'E4!6p"</f>
        <v>#VALUE!</v>
      </c>
      <c r="EM6" t="e">
        <f>Nodes!1311:1311-"'E4!6q"</f>
        <v>#VALUE!</v>
      </c>
      <c r="EN6" t="e">
        <f>Nodes!1312:1312-"'E4!6r"</f>
        <v>#VALUE!</v>
      </c>
      <c r="EO6" t="e">
        <f>Nodes!1313:1313-"'E4!6s"</f>
        <v>#VALUE!</v>
      </c>
      <c r="EP6" t="e">
        <f>Nodes!1314:1314-"'E4!6t"</f>
        <v>#VALUE!</v>
      </c>
      <c r="EQ6" t="e">
        <f>Nodes!1315:1315-"'E4!6u"</f>
        <v>#VALUE!</v>
      </c>
      <c r="ER6" t="e">
        <f>Nodes!1316:1316-"'E4!6v"</f>
        <v>#VALUE!</v>
      </c>
      <c r="ES6" t="e">
        <f>Nodes!1317:1317-"'E4!6w"</f>
        <v>#VALUE!</v>
      </c>
      <c r="ET6" t="e">
        <f>Nodes!1318:1318-"'E4!6x"</f>
        <v>#VALUE!</v>
      </c>
      <c r="EU6" t="e">
        <f>Nodes!1319:1319-"'E4!6y"</f>
        <v>#VALUE!</v>
      </c>
      <c r="EV6" t="e">
        <f>Nodes!1320:1320-"'E4!6z"</f>
        <v>#VALUE!</v>
      </c>
      <c r="EW6" t="e">
        <f>Nodes!1321:1321-"'E4!6{"</f>
        <v>#VALUE!</v>
      </c>
      <c r="EX6" t="e">
        <f>Nodes!1322:1322-"'E4!6|"</f>
        <v>#VALUE!</v>
      </c>
      <c r="EY6" t="e">
        <f>Nodes!1323:1323-"'E4!6}"</f>
        <v>#VALUE!</v>
      </c>
      <c r="EZ6" t="e">
        <f>Nodes!1324:1324-"'E4!6~"</f>
        <v>#VALUE!</v>
      </c>
      <c r="FA6" t="e">
        <f>Nodes!1325:1325-"'E4!7#"</f>
        <v>#VALUE!</v>
      </c>
      <c r="FB6" t="e">
        <f>Nodes!1326:1326-"'E4!7$"</f>
        <v>#VALUE!</v>
      </c>
      <c r="FC6" t="e">
        <f>Nodes!1327:1327-"'E4!7%"</f>
        <v>#VALUE!</v>
      </c>
      <c r="FD6" t="e">
        <f>Nodes!1328:1328-"'E4!7&amp;"</f>
        <v>#VALUE!</v>
      </c>
      <c r="FE6" t="e">
        <f>Nodes!1329:1329-"'E4!7'"</f>
        <v>#VALUE!</v>
      </c>
      <c r="FF6" t="e">
        <f>Nodes!1330:1330-"'E4!7("</f>
        <v>#VALUE!</v>
      </c>
      <c r="FG6" t="e">
        <f>Nodes!1331:1331-"'E4!7)"</f>
        <v>#VALUE!</v>
      </c>
      <c r="FH6" t="e">
        <f>Nodes!1332:1332-"'E4!7."</f>
        <v>#VALUE!</v>
      </c>
      <c r="FI6" t="e">
        <f>Nodes!1333:1333-"'E4!7/"</f>
        <v>#VALUE!</v>
      </c>
      <c r="FJ6" t="e">
        <f>Nodes!1334:1334-"'E4!70"</f>
        <v>#VALUE!</v>
      </c>
      <c r="FK6" t="e">
        <f>Nodes!1335:1335-"'E4!71"</f>
        <v>#VALUE!</v>
      </c>
      <c r="FL6" t="e">
        <f>Nodes!1336:1336-"'E4!72"</f>
        <v>#VALUE!</v>
      </c>
      <c r="FM6" t="e">
        <f>Nodes!1337:1337-"'E4!73"</f>
        <v>#VALUE!</v>
      </c>
      <c r="FN6" t="e">
        <f>Nodes!1338:1338-"'E4!74"</f>
        <v>#VALUE!</v>
      </c>
      <c r="FO6" t="e">
        <f>Nodes!1339:1339-"'E4!75"</f>
        <v>#VALUE!</v>
      </c>
      <c r="FP6" t="e">
        <f>Nodes!1340:1340-"'E4!76"</f>
        <v>#VALUE!</v>
      </c>
      <c r="FQ6" t="e">
        <f>Nodes!1341:1341-"'E4!77"</f>
        <v>#VALUE!</v>
      </c>
      <c r="FR6" t="e">
        <f>Nodes!1342:1342-"'E4!78"</f>
        <v>#VALUE!</v>
      </c>
      <c r="FS6" t="e">
        <f>Nodes!1343:1343-"'E4!79"</f>
        <v>#VALUE!</v>
      </c>
      <c r="FT6" t="e">
        <f>Nodes!1344:1344-"'E4!7:"</f>
        <v>#VALUE!</v>
      </c>
      <c r="FU6" t="e">
        <f>Nodes!1345:1345-"'E4!7;"</f>
        <v>#VALUE!</v>
      </c>
      <c r="FV6" t="e">
        <f>Nodes!1346:1346-"'E4!7&lt;"</f>
        <v>#VALUE!</v>
      </c>
      <c r="FW6" t="e">
        <f>Nodes!1347:1347-"'E4!7="</f>
        <v>#VALUE!</v>
      </c>
      <c r="FX6" t="e">
        <f>Nodes!1348:1348-"'E4!7&gt;"</f>
        <v>#VALUE!</v>
      </c>
      <c r="FY6" t="e">
        <f>Nodes!1349:1349-"'E4!7?"</f>
        <v>#VALUE!</v>
      </c>
      <c r="FZ6" t="e">
        <f>Nodes!1350:1350-"'E4!7@"</f>
        <v>#VALUE!</v>
      </c>
      <c r="GA6" t="e">
        <f>Nodes!1351:1351-"'E4!7A"</f>
        <v>#VALUE!</v>
      </c>
      <c r="GB6" t="e">
        <f>Nodes!1352:1352-"'E4!7B"</f>
        <v>#VALUE!</v>
      </c>
      <c r="GC6" t="e">
        <f>Nodes!1353:1353-"'E4!7C"</f>
        <v>#VALUE!</v>
      </c>
      <c r="GD6" t="e">
        <f>Nodes!1354:1354-"'E4!7D"</f>
        <v>#VALUE!</v>
      </c>
      <c r="GE6" t="e">
        <f>Nodes!1355:1355-"'E4!7E"</f>
        <v>#VALUE!</v>
      </c>
      <c r="GF6" t="e">
        <f>Nodes!1356:1356-"'E4!7F"</f>
        <v>#VALUE!</v>
      </c>
      <c r="GG6" t="e">
        <f>Nodes!1357:1357-"'E4!7G"</f>
        <v>#VALUE!</v>
      </c>
      <c r="GH6" t="e">
        <f>Nodes!1358:1358-"'E4!7H"</f>
        <v>#VALUE!</v>
      </c>
      <c r="GI6" t="e">
        <f>Nodes!1359:1359-"'E4!7I"</f>
        <v>#VALUE!</v>
      </c>
      <c r="GJ6" t="e">
        <f>Nodes!1360:1360-"'E4!7J"</f>
        <v>#VALUE!</v>
      </c>
      <c r="GK6" t="e">
        <f>Nodes!1361:1361-"'E4!7K"</f>
        <v>#VALUE!</v>
      </c>
      <c r="GL6" t="e">
        <f>Nodes!1362:1362-"'E4!7L"</f>
        <v>#VALUE!</v>
      </c>
      <c r="GM6" t="e">
        <f>Nodes!1363:1363-"'E4!7M"</f>
        <v>#VALUE!</v>
      </c>
      <c r="GN6" t="e">
        <f>Nodes!1364:1364-"'E4!7N"</f>
        <v>#VALUE!</v>
      </c>
      <c r="GO6" t="e">
        <f>Nodes!1365:1365-"'E4!7O"</f>
        <v>#VALUE!</v>
      </c>
      <c r="GP6" t="e">
        <f>Nodes!1366:1366-"'E4!7P"</f>
        <v>#VALUE!</v>
      </c>
      <c r="GQ6" t="e">
        <f>Nodes!1367:1367-"'E4!7Q"</f>
        <v>#VALUE!</v>
      </c>
      <c r="GR6" t="e">
        <f>Nodes!1368:1368-"'E4!7R"</f>
        <v>#VALUE!</v>
      </c>
      <c r="GS6" t="e">
        <f>Nodes!1369:1369-"'E4!7S"</f>
        <v>#VALUE!</v>
      </c>
      <c r="GT6" t="e">
        <f>Nodes!1370:1370-"'E4!7T"</f>
        <v>#VALUE!</v>
      </c>
      <c r="GU6" t="e">
        <f>Nodes!1371:1371-"'E4!7U"</f>
        <v>#VALUE!</v>
      </c>
      <c r="GV6" t="e">
        <f>Nodes!1372:1372-"'E4!7V"</f>
        <v>#VALUE!</v>
      </c>
      <c r="GW6" t="e">
        <f>Nodes!1373:1373-"'E4!7W"</f>
        <v>#VALUE!</v>
      </c>
      <c r="GX6" t="e">
        <f>Nodes!1374:1374-"'E4!7X"</f>
        <v>#VALUE!</v>
      </c>
      <c r="GY6" t="e">
        <f>Nodes!1375:1375-"'E4!7Y"</f>
        <v>#VALUE!</v>
      </c>
      <c r="GZ6" t="e">
        <f>Nodes!1376:1376-"'E4!7Z"</f>
        <v>#VALUE!</v>
      </c>
      <c r="HA6" t="e">
        <f>Nodes!1377:1377-"'E4!7["</f>
        <v>#VALUE!</v>
      </c>
      <c r="HB6" t="e">
        <f>Nodes!1378:1378-"'E4!7\"</f>
        <v>#VALUE!</v>
      </c>
      <c r="HC6" t="e">
        <f>Nodes!1379:1379-"'E4!7]"</f>
        <v>#VALUE!</v>
      </c>
      <c r="HD6" t="e">
        <f>Nodes!1380:1380-"'E4!7^"</f>
        <v>#VALUE!</v>
      </c>
      <c r="HE6" t="e">
        <f>Nodes!1381:1381-"'E4!7_"</f>
        <v>#VALUE!</v>
      </c>
      <c r="HF6" t="e">
        <f>Nodes!1382:1382-"'E4!7`"</f>
        <v>#VALUE!</v>
      </c>
      <c r="HG6" t="e">
        <f>Nodes!1383:1383-"'E4!7a"</f>
        <v>#VALUE!</v>
      </c>
      <c r="HH6" t="e">
        <f>Nodes!1384:1384-"'E4!7b"</f>
        <v>#VALUE!</v>
      </c>
      <c r="HI6" t="e">
        <f>Nodes!1385:1385-"'E4!7c"</f>
        <v>#VALUE!</v>
      </c>
      <c r="HJ6" t="e">
        <f>Nodes!1386:1386-"'E4!7d"</f>
        <v>#VALUE!</v>
      </c>
      <c r="HK6" t="e">
        <f>Nodes!1387:1387-"'E4!7e"</f>
        <v>#VALUE!</v>
      </c>
      <c r="HL6" t="e">
        <f>Nodes!1388:1388-"'E4!7f"</f>
        <v>#VALUE!</v>
      </c>
      <c r="HM6" t="e">
        <f>Nodes!1389:1389-"'E4!7g"</f>
        <v>#VALUE!</v>
      </c>
      <c r="HN6" t="e">
        <f>Nodes!1390:1390-"'E4!7h"</f>
        <v>#VALUE!</v>
      </c>
      <c r="HO6" t="e">
        <f>Nodes!1391:1391-"'E4!7i"</f>
        <v>#VALUE!</v>
      </c>
      <c r="HP6" t="e">
        <f>Nodes!1392:1392-"'E4!7j"</f>
        <v>#VALUE!</v>
      </c>
      <c r="HQ6" t="e">
        <f>Nodes!1393:1393-"'E4!7k"</f>
        <v>#VALUE!</v>
      </c>
      <c r="HR6" t="e">
        <f>Nodes!1394:1394-"'E4!7l"</f>
        <v>#VALUE!</v>
      </c>
      <c r="HS6" t="e">
        <f>Nodes!1395:1395-"'E4!7m"</f>
        <v>#VALUE!</v>
      </c>
      <c r="HT6" t="e">
        <f>Nodes!1396:1396-"'E4!7n"</f>
        <v>#VALUE!</v>
      </c>
      <c r="HU6" t="e">
        <f>Nodes!1397:1397-"'E4!7o"</f>
        <v>#VALUE!</v>
      </c>
      <c r="HV6" t="e">
        <f>Nodes!1398:1398-"'E4!7p"</f>
        <v>#VALUE!</v>
      </c>
      <c r="HW6" t="e">
        <f>Nodes!1399:1399-"'E4!7q"</f>
        <v>#VALUE!</v>
      </c>
      <c r="HX6" t="e">
        <f>Nodes!1400:1400-"'E4!7r"</f>
        <v>#VALUE!</v>
      </c>
      <c r="HY6" t="e">
        <f>Nodes!1401:1401-"'E4!7s"</f>
        <v>#VALUE!</v>
      </c>
      <c r="HZ6" t="e">
        <f>Nodes!1402:1402-"'E4!7t"</f>
        <v>#VALUE!</v>
      </c>
      <c r="IA6" t="e">
        <f>Nodes!1403:1403-"'E4!7u"</f>
        <v>#VALUE!</v>
      </c>
      <c r="IB6" t="e">
        <f>Nodes!1404:1404-"'E4!7v"</f>
        <v>#VALUE!</v>
      </c>
      <c r="IC6" t="e">
        <f>Nodes!1405:1405-"'E4!7w"</f>
        <v>#VALUE!</v>
      </c>
      <c r="ID6" t="e">
        <f>Nodes!1406:1406-"'E4!7x"</f>
        <v>#VALUE!</v>
      </c>
      <c r="IE6" t="e">
        <f>Nodes!1407:1407-"'E4!7y"</f>
        <v>#VALUE!</v>
      </c>
      <c r="IF6" t="e">
        <f>Nodes!1408:1408-"'E4!7z"</f>
        <v>#VALUE!</v>
      </c>
      <c r="IG6" t="e">
        <f>Nodes!1409:1409-"'E4!7{"</f>
        <v>#VALUE!</v>
      </c>
      <c r="IH6" t="e">
        <f>Nodes!1410:1410-"'E4!7|"</f>
        <v>#VALUE!</v>
      </c>
      <c r="II6" t="e">
        <f>Nodes!1411:1411-"'E4!7}"</f>
        <v>#VALUE!</v>
      </c>
      <c r="IJ6" t="e">
        <f>Nodes!1412:1412-"'E4!7~"</f>
        <v>#VALUE!</v>
      </c>
      <c r="IK6" t="e">
        <f>Nodes!1413:1413-"'E4!8#"</f>
        <v>#VALUE!</v>
      </c>
      <c r="IL6" t="e">
        <f>Nodes!1414:1414-"'E4!8$"</f>
        <v>#VALUE!</v>
      </c>
      <c r="IM6" t="e">
        <f>Nodes!1415:1415-"'E4!8%"</f>
        <v>#VALUE!</v>
      </c>
      <c r="IN6" t="e">
        <f>Nodes!1416:1416-"'E4!8&amp;"</f>
        <v>#VALUE!</v>
      </c>
      <c r="IO6" t="e">
        <f>Nodes!1417:1417-"'E4!8'"</f>
        <v>#VALUE!</v>
      </c>
      <c r="IP6" t="e">
        <f>Nodes!1418:1418-"'E4!8("</f>
        <v>#VALUE!</v>
      </c>
      <c r="IQ6" t="e">
        <f>Nodes!1419:1419-"'E4!8)"</f>
        <v>#VALUE!</v>
      </c>
      <c r="IR6" t="e">
        <f>Nodes!1420:1420-"'E4!8."</f>
        <v>#VALUE!</v>
      </c>
      <c r="IS6" t="e">
        <f>Nodes!1421:1421-"'E4!8/"</f>
        <v>#VALUE!</v>
      </c>
      <c r="IT6" t="e">
        <f>Nodes!1422:1422-"'E4!80"</f>
        <v>#VALUE!</v>
      </c>
      <c r="IU6" t="e">
        <f>Nodes!1423:1423-"'E4!81"</f>
        <v>#VALUE!</v>
      </c>
      <c r="IV6" t="e">
        <f>Nodes!1424:1424-"'E4!82"</f>
        <v>#VALUE!</v>
      </c>
    </row>
    <row r="7" spans="1:256">
      <c r="F7" t="e">
        <f>Nodes!1425:1425-"'E4!83"</f>
        <v>#VALUE!</v>
      </c>
      <c r="G7" t="e">
        <f>Nodes!1426:1426-"'E4!84"</f>
        <v>#VALUE!</v>
      </c>
      <c r="H7" t="e">
        <f>Nodes!1427:1427-"'E4!85"</f>
        <v>#VALUE!</v>
      </c>
      <c r="I7" t="e">
        <f>Nodes!1428:1428-"'E4!86"</f>
        <v>#VALUE!</v>
      </c>
      <c r="J7" t="e">
        <f>Nodes!1429:1429-"'E4!87"</f>
        <v>#VALUE!</v>
      </c>
      <c r="K7" t="e">
        <f>Nodes!1430:1430-"'E4!88"</f>
        <v>#VALUE!</v>
      </c>
      <c r="L7" t="e">
        <f>Nodes!1431:1431-"'E4!89"</f>
        <v>#VALUE!</v>
      </c>
      <c r="M7" t="e">
        <f>Nodes!1432:1432-"'E4!8:"</f>
        <v>#VALUE!</v>
      </c>
      <c r="N7" t="e">
        <f>Nodes!1433:1433-"'E4!8;"</f>
        <v>#VALUE!</v>
      </c>
      <c r="O7" t="e">
        <f>Nodes!1434:1434-"'E4!8&lt;"</f>
        <v>#VALUE!</v>
      </c>
      <c r="P7" t="e">
        <f>Nodes!1435:1435-"'E4!8="</f>
        <v>#VALUE!</v>
      </c>
      <c r="Q7" t="e">
        <f>Nodes!1436:1436-"'E4!8&gt;"</f>
        <v>#VALUE!</v>
      </c>
      <c r="R7" t="e">
        <f>Nodes!1437:1437-"'E4!8?"</f>
        <v>#VALUE!</v>
      </c>
      <c r="S7" t="e">
        <f>Nodes!1438:1438-"'E4!8@"</f>
        <v>#VALUE!</v>
      </c>
      <c r="T7" t="e">
        <f>Nodes!1439:1439-"'E4!8A"</f>
        <v>#VALUE!</v>
      </c>
      <c r="U7" t="e">
        <f>Nodes!1440:1440-"'E4!8B"</f>
        <v>#VALUE!</v>
      </c>
      <c r="V7" t="e">
        <f>Nodes!1441:1441-"'E4!8C"</f>
        <v>#VALUE!</v>
      </c>
      <c r="W7" t="e">
        <f>Nodes!1442:1442-"'E4!8D"</f>
        <v>#VALUE!</v>
      </c>
      <c r="X7" t="e">
        <f>Nodes!1443:1443-"'E4!8E"</f>
        <v>#VALUE!</v>
      </c>
      <c r="Y7" t="e">
        <f>Nodes!1444:1444-"'E4!8F"</f>
        <v>#VALUE!</v>
      </c>
      <c r="Z7" t="e">
        <f>Nodes!1445:1445-"'E4!8G"</f>
        <v>#VALUE!</v>
      </c>
      <c r="AA7" t="e">
        <f>Nodes!1446:1446-"'E4!8H"</f>
        <v>#VALUE!</v>
      </c>
      <c r="AB7" t="e">
        <f>Nodes!1447:1447-"'E4!8I"</f>
        <v>#VALUE!</v>
      </c>
      <c r="AC7" t="e">
        <f>Nodes!1448:1448-"'E4!8J"</f>
        <v>#VALUE!</v>
      </c>
      <c r="AD7" t="e">
        <f>Nodes!1449:1449-"'E4!8K"</f>
        <v>#VALUE!</v>
      </c>
      <c r="AE7" t="e">
        <f>Nodes!1450:1450-"'E4!8L"</f>
        <v>#VALUE!</v>
      </c>
      <c r="AF7" t="e">
        <f>Nodes!1451:1451-"'E4!8M"</f>
        <v>#VALUE!</v>
      </c>
      <c r="AG7" t="e">
        <f>Nodes!1452:1452-"'E4!8N"</f>
        <v>#VALUE!</v>
      </c>
      <c r="AH7" t="e">
        <f>Nodes!1453:1453-"'E4!8O"</f>
        <v>#VALUE!</v>
      </c>
      <c r="AI7" t="e">
        <f>Nodes!1454:1454-"'E4!8P"</f>
        <v>#VALUE!</v>
      </c>
      <c r="AJ7" t="e">
        <f>Nodes!1455:1455-"'E4!8Q"</f>
        <v>#VALUE!</v>
      </c>
      <c r="AK7" t="e">
        <f>Nodes!1456:1456-"'E4!8R"</f>
        <v>#VALUE!</v>
      </c>
      <c r="AL7" t="e">
        <f>Nodes!1457:1457-"'E4!8S"</f>
        <v>#VALUE!</v>
      </c>
      <c r="AM7" t="e">
        <f>Nodes!1458:1458-"'E4!8T"</f>
        <v>#VALUE!</v>
      </c>
      <c r="AN7" t="e">
        <f>Nodes!1459:1459-"'E4!8U"</f>
        <v>#VALUE!</v>
      </c>
      <c r="AO7" t="e">
        <f>Nodes!1460:1460-"'E4!8V"</f>
        <v>#VALUE!</v>
      </c>
      <c r="AP7" t="e">
        <f>Nodes!1461:1461-"'E4!8W"</f>
        <v>#VALUE!</v>
      </c>
      <c r="AQ7" t="e">
        <f>Nodes!1462:1462-"'E4!8X"</f>
        <v>#VALUE!</v>
      </c>
      <c r="AR7" t="e">
        <f>Nodes!1463:1463-"'E4!8Y"</f>
        <v>#VALUE!</v>
      </c>
      <c r="AS7" t="e">
        <f>Nodes!1464:1464-"'E4!8Z"</f>
        <v>#VALUE!</v>
      </c>
      <c r="AT7" t="e">
        <f>Nodes!1465:1465-"'E4!8["</f>
        <v>#VALUE!</v>
      </c>
      <c r="AU7" t="e">
        <f>Nodes!1466:1466-"'E4!8\"</f>
        <v>#VALUE!</v>
      </c>
      <c r="AV7" t="e">
        <f>Nodes!1467:1467-"'E4!8]"</f>
        <v>#VALUE!</v>
      </c>
      <c r="AW7" t="e">
        <f>Nodes!1468:1468-"'E4!8^"</f>
        <v>#VALUE!</v>
      </c>
      <c r="AX7" t="e">
        <f>Nodes!1469:1469-"'E4!8_"</f>
        <v>#VALUE!</v>
      </c>
      <c r="AY7" t="e">
        <f>Nodes!1470:1470-"'E4!8`"</f>
        <v>#VALUE!</v>
      </c>
      <c r="AZ7" t="e">
        <f>Nodes!1471:1471-"'E4!8a"</f>
        <v>#VALUE!</v>
      </c>
      <c r="BA7" t="e">
        <f>Nodes!1472:1472-"'E4!8b"</f>
        <v>#VALUE!</v>
      </c>
      <c r="BB7" t="e">
        <f>Nodes!1473:1473-"'E4!8c"</f>
        <v>#VALUE!</v>
      </c>
      <c r="BC7" t="e">
        <f>Nodes!1474:1474-"'E4!8d"</f>
        <v>#VALUE!</v>
      </c>
      <c r="BD7" t="e">
        <f>Nodes!1475:1475-"'E4!8e"</f>
        <v>#VALUE!</v>
      </c>
      <c r="BE7" t="e">
        <f>Nodes!1476:1476-"'E4!8f"</f>
        <v>#VALUE!</v>
      </c>
      <c r="BF7" t="e">
        <f>Nodes!1477:1477-"'E4!8g"</f>
        <v>#VALUE!</v>
      </c>
      <c r="BG7" t="e">
        <f>Nodes!1478:1478-"'E4!8h"</f>
        <v>#VALUE!</v>
      </c>
      <c r="BH7" t="e">
        <f>Nodes!1479:1479-"'E4!8i"</f>
        <v>#VALUE!</v>
      </c>
      <c r="BI7" t="e">
        <f>Nodes!1480:1480-"'E4!8j"</f>
        <v>#VALUE!</v>
      </c>
      <c r="BJ7" t="e">
        <f>Nodes!1481:1481-"'E4!8k"</f>
        <v>#VALUE!</v>
      </c>
      <c r="BK7" t="e">
        <f>Nodes!1482:1482-"'E4!8l"</f>
        <v>#VALUE!</v>
      </c>
      <c r="BL7" t="e">
        <f>Nodes!1483:1483-"'E4!8m"</f>
        <v>#VALUE!</v>
      </c>
      <c r="BM7" t="e">
        <f>Nodes!1484:1484-"'E4!8n"</f>
        <v>#VALUE!</v>
      </c>
      <c r="BN7" t="e">
        <f>Nodes!1485:1485-"'E4!8o"</f>
        <v>#VALUE!</v>
      </c>
      <c r="BO7" t="e">
        <f>Nodes!1486:1486-"'E4!8p"</f>
        <v>#VALUE!</v>
      </c>
      <c r="BP7" t="e">
        <f>Nodes!1487:1487-"'E4!8q"</f>
        <v>#VALUE!</v>
      </c>
      <c r="BQ7" t="e">
        <f>Nodes!1488:1488-"'E4!8r"</f>
        <v>#VALUE!</v>
      </c>
      <c r="BR7" t="e">
        <f>Nodes!1489:1489-"'E4!8s"</f>
        <v>#VALUE!</v>
      </c>
      <c r="BS7" t="e">
        <f>Nodes!1490:1490-"'E4!8t"</f>
        <v>#VALUE!</v>
      </c>
      <c r="BT7" t="e">
        <f>Nodes!1491:1491-"'E4!8u"</f>
        <v>#VALUE!</v>
      </c>
      <c r="BU7" t="e">
        <f>Nodes!1492:1492-"'E4!8v"</f>
        <v>#VALUE!</v>
      </c>
      <c r="BV7" t="e">
        <f>Nodes!1493:1493-"'E4!8w"</f>
        <v>#VALUE!</v>
      </c>
      <c r="BW7" t="e">
        <f>Nodes!1494:1494-"'E4!8x"</f>
        <v>#VALUE!</v>
      </c>
      <c r="BX7" t="e">
        <f>Nodes!1495:1495-"'E4!8y"</f>
        <v>#VALUE!</v>
      </c>
      <c r="BY7" t="e">
        <f>Nodes!1496:1496-"'E4!8z"</f>
        <v>#VALUE!</v>
      </c>
      <c r="BZ7" t="e">
        <f>Nodes!1497:1497-"'E4!8{"</f>
        <v>#VALUE!</v>
      </c>
      <c r="CA7" t="e">
        <f>Nodes!1498:1498-"'E4!8|"</f>
        <v>#VALUE!</v>
      </c>
      <c r="CB7" t="e">
        <f>Nodes!1499:1499-"'E4!8}"</f>
        <v>#VALUE!</v>
      </c>
      <c r="CC7" t="e">
        <f>Nodes!1500:1500-"'E4!8~"</f>
        <v>#VALUE!</v>
      </c>
      <c r="CD7" t="e">
        <f>Nodes!1501:1501-"'E4!9#"</f>
        <v>#VALUE!</v>
      </c>
      <c r="CE7" t="e">
        <f>Nodes!1502:1502-"'E4!9$"</f>
        <v>#VALUE!</v>
      </c>
      <c r="CF7" t="e">
        <f>Nodes!1503:1503-"'E4!9%"</f>
        <v>#VALUE!</v>
      </c>
      <c r="CG7" t="e">
        <f>Nodes!1504:1504-"'E4!9&amp;"</f>
        <v>#VALUE!</v>
      </c>
      <c r="CH7" t="e">
        <f>Nodes!1505:1505-"'E4!9'"</f>
        <v>#VALUE!</v>
      </c>
      <c r="CI7" t="e">
        <f>Nodes!1506:1506-"'E4!9("</f>
        <v>#VALUE!</v>
      </c>
      <c r="CJ7" t="e">
        <f>Nodes!1507:1507-"'E4!9)"</f>
        <v>#VALUE!</v>
      </c>
      <c r="CK7" t="e">
        <f>Nodes!1508:1508-"'E4!9."</f>
        <v>#VALUE!</v>
      </c>
      <c r="CL7" t="e">
        <f>Nodes!1509:1509-"'E4!9/"</f>
        <v>#VALUE!</v>
      </c>
      <c r="CM7" t="e">
        <f>Nodes!1510:1510-"'E4!90"</f>
        <v>#VALUE!</v>
      </c>
      <c r="CN7" t="e">
        <f>Nodes!1511:1511-"'E4!91"</f>
        <v>#VALUE!</v>
      </c>
      <c r="CO7" t="e">
        <f>Nodes!1512:1512-"'E4!92"</f>
        <v>#VALUE!</v>
      </c>
      <c r="CP7" t="e">
        <f>Nodes!1513:1513-"'E4!93"</f>
        <v>#VALUE!</v>
      </c>
      <c r="CQ7" t="e">
        <f>Nodes!1514:1514-"'E4!94"</f>
        <v>#VALUE!</v>
      </c>
      <c r="CR7" t="e">
        <f>Nodes!1515:1515-"'E4!95"</f>
        <v>#VALUE!</v>
      </c>
      <c r="CS7" t="e">
        <f>Nodes!1516:1516-"'E4!96"</f>
        <v>#VALUE!</v>
      </c>
      <c r="CT7" t="e">
        <f>Nodes!1517:1517-"'E4!97"</f>
        <v>#VALUE!</v>
      </c>
      <c r="CU7" t="e">
        <f>Nodes!1518:1518-"'E4!98"</f>
        <v>#VALUE!</v>
      </c>
      <c r="CV7" t="e">
        <f>Nodes!1519:1519-"'E4!99"</f>
        <v>#VALUE!</v>
      </c>
      <c r="CW7" t="e">
        <f>Nodes!1520:1520-"'E4!9:"</f>
        <v>#VALUE!</v>
      </c>
      <c r="CX7" t="e">
        <f>Nodes!1521:1521-"'E4!9;"</f>
        <v>#VALUE!</v>
      </c>
      <c r="CY7" t="e">
        <f>Nodes!1522:1522-"'E4!9&lt;"</f>
        <v>#VALUE!</v>
      </c>
      <c r="CZ7" t="e">
        <f>Nodes!1523:1523-"'E4!9="</f>
        <v>#VALUE!</v>
      </c>
      <c r="DA7" t="e">
        <f>Nodes!1524:1524-"'E4!9&gt;"</f>
        <v>#VALUE!</v>
      </c>
      <c r="DB7" t="e">
        <f>Nodes!1525:1525-"'E4!9?"</f>
        <v>#VALUE!</v>
      </c>
      <c r="DC7" t="e">
        <f>Nodes!1526:1526-"'E4!9@"</f>
        <v>#VALUE!</v>
      </c>
      <c r="DD7" t="e">
        <f>Nodes!1527:1527-"'E4!9A"</f>
        <v>#VALUE!</v>
      </c>
      <c r="DE7" t="e">
        <f>Nodes!1528:1528-"'E4!9B"</f>
        <v>#VALUE!</v>
      </c>
      <c r="DF7" t="e">
        <f>Nodes!1529:1529-"'E4!9C"</f>
        <v>#VALUE!</v>
      </c>
      <c r="DG7" t="e">
        <f>Nodes!1530:1530-"'E4!9D"</f>
        <v>#VALUE!</v>
      </c>
      <c r="DH7" t="e">
        <f>Nodes!1531:1531-"'E4!9E"</f>
        <v>#VALUE!</v>
      </c>
      <c r="DI7" t="e">
        <f>Nodes!1532:1532-"'E4!9F"</f>
        <v>#VALUE!</v>
      </c>
      <c r="DJ7" t="e">
        <f>Nodes!1533:1533-"'E4!9G"</f>
        <v>#VALUE!</v>
      </c>
      <c r="DK7" t="e">
        <f>Nodes!1534:1534-"'E4!9H"</f>
        <v>#VALUE!</v>
      </c>
      <c r="DL7" t="e">
        <f>Nodes!1535:1535-"'E4!9I"</f>
        <v>#VALUE!</v>
      </c>
      <c r="DM7" t="e">
        <f>Nodes!1536:1536-"'E4!9J"</f>
        <v>#VALUE!</v>
      </c>
      <c r="DN7" t="e">
        <f>Nodes!1537:1537-"'E4!9K"</f>
        <v>#VALUE!</v>
      </c>
      <c r="DO7" t="e">
        <f>Nodes!1538:1538-"'E4!9L"</f>
        <v>#VALUE!</v>
      </c>
      <c r="DP7" t="e">
        <f>Nodes!1539:1539-"'E4!9M"</f>
        <v>#VALUE!</v>
      </c>
      <c r="DQ7" t="e">
        <f>Nodes!1540:1540-"'E4!9N"</f>
        <v>#VALUE!</v>
      </c>
      <c r="DR7" t="e">
        <f>Nodes!1541:1541-"'E4!9O"</f>
        <v>#VALUE!</v>
      </c>
      <c r="DS7" t="e">
        <f>Nodes!1542:1542-"'E4!9P"</f>
        <v>#VALUE!</v>
      </c>
      <c r="DT7" t="e">
        <f>Nodes!1543:1543-"'E4!9Q"</f>
        <v>#VALUE!</v>
      </c>
      <c r="DU7" t="e">
        <f>Nodes!1544:1544-"'E4!9R"</f>
        <v>#VALUE!</v>
      </c>
      <c r="DV7" t="e">
        <f>Nodes!1545:1545-"'E4!9S"</f>
        <v>#VALUE!</v>
      </c>
      <c r="DW7" t="e">
        <f>Nodes!1546:1546-"'E4!9T"</f>
        <v>#VALUE!</v>
      </c>
      <c r="DX7" t="e">
        <f>Nodes!1547:1547-"'E4!9U"</f>
        <v>#VALUE!</v>
      </c>
      <c r="DY7" t="e">
        <f>Nodes!1548:1548-"'E4!9V"</f>
        <v>#VALUE!</v>
      </c>
      <c r="DZ7" t="e">
        <f>Nodes!1549:1549-"'E4!9W"</f>
        <v>#VALUE!</v>
      </c>
      <c r="EA7" t="e">
        <f>Nodes!1550:1550-"'E4!9X"</f>
        <v>#VALUE!</v>
      </c>
      <c r="EB7" t="e">
        <f>Nodes!1551:1551-"'E4!9Y"</f>
        <v>#VALUE!</v>
      </c>
      <c r="EC7" t="e">
        <f>Nodes!1552:1552-"'E4!9Z"</f>
        <v>#VALUE!</v>
      </c>
      <c r="ED7" t="e">
        <f>Nodes!1553:1553-"'E4!9["</f>
        <v>#VALUE!</v>
      </c>
      <c r="EE7" t="e">
        <f>Nodes!1554:1554-"'E4!9\"</f>
        <v>#VALUE!</v>
      </c>
      <c r="EF7" t="e">
        <f>Nodes!1555:1555-"'E4!9]"</f>
        <v>#VALUE!</v>
      </c>
      <c r="EG7" t="e">
        <f>Nodes!1556:1556-"'E4!9^"</f>
        <v>#VALUE!</v>
      </c>
      <c r="EH7" t="e">
        <f>Nodes!1557:1557-"'E4!9_"</f>
        <v>#VALUE!</v>
      </c>
      <c r="EI7" t="e">
        <f>Nodes!1558:1558-"'E4!9`"</f>
        <v>#VALUE!</v>
      </c>
      <c r="EJ7" t="e">
        <f>Nodes!1559:1559-"'E4!9a"</f>
        <v>#VALUE!</v>
      </c>
      <c r="EK7" t="e">
        <f>Nodes!1560:1560-"'E4!9b"</f>
        <v>#VALUE!</v>
      </c>
      <c r="EL7" t="e">
        <f>Nodes!1561:1561-"'E4!9c"</f>
        <v>#VALUE!</v>
      </c>
      <c r="EM7" t="e">
        <f>Nodes!1562:1562-"'E4!9d"</f>
        <v>#VALUE!</v>
      </c>
      <c r="EN7" t="e">
        <f>Nodes!1563:1563-"'E4!9e"</f>
        <v>#VALUE!</v>
      </c>
      <c r="EO7" t="e">
        <f>Nodes!1564:1564-"'E4!9f"</f>
        <v>#VALUE!</v>
      </c>
      <c r="EP7" t="e">
        <f>Nodes!1565:1565-"'E4!9g"</f>
        <v>#VALUE!</v>
      </c>
      <c r="EQ7" t="e">
        <f>Nodes!1566:1566-"'E4!9h"</f>
        <v>#VALUE!</v>
      </c>
      <c r="ER7" t="e">
        <f>Nodes!1567:1567-"'E4!9i"</f>
        <v>#VALUE!</v>
      </c>
      <c r="ES7" t="e">
        <f>Nodes!1568:1568-"'E4!9j"</f>
        <v>#VALUE!</v>
      </c>
      <c r="ET7" t="e">
        <f>Nodes!1569:1569-"'E4!9k"</f>
        <v>#VALUE!</v>
      </c>
      <c r="EU7" t="e">
        <f>Nodes!1570:1570-"'E4!9l"</f>
        <v>#VALUE!</v>
      </c>
      <c r="EV7" t="e">
        <f>Nodes!1571:1571-"'E4!9m"</f>
        <v>#VALUE!</v>
      </c>
      <c r="EW7" t="e">
        <f>Nodes!1572:1572-"'E4!9n"</f>
        <v>#VALUE!</v>
      </c>
      <c r="EX7" t="e">
        <f>Nodes!1573:1573-"'E4!9o"</f>
        <v>#VALUE!</v>
      </c>
      <c r="EY7" t="e">
        <f>Nodes!1574:1574-"'E4!9p"</f>
        <v>#VALUE!</v>
      </c>
      <c r="EZ7" t="e">
        <f>Nodes!1575:1575-"'E4!9q"</f>
        <v>#VALUE!</v>
      </c>
      <c r="FA7" t="e">
        <f>Nodes!1576:1576-"'E4!9r"</f>
        <v>#VALUE!</v>
      </c>
      <c r="FB7" t="e">
        <f>Nodes!1577:1577-"'E4!9s"</f>
        <v>#VALUE!</v>
      </c>
      <c r="FC7" t="e">
        <f>Nodes!1578:1578-"'E4!9t"</f>
        <v>#VALUE!</v>
      </c>
      <c r="FD7" t="e">
        <f>Nodes!1579:1579-"'E4!9u"</f>
        <v>#VALUE!</v>
      </c>
      <c r="FE7" t="e">
        <f>Nodes!1580:1580-"'E4!9v"</f>
        <v>#VALUE!</v>
      </c>
      <c r="FF7" t="e">
        <f>Nodes!1581:1581-"'E4!9w"</f>
        <v>#VALUE!</v>
      </c>
      <c r="FG7" t="e">
        <f>Nodes!1582:1582-"'E4!9x"</f>
        <v>#VALUE!</v>
      </c>
      <c r="FH7" t="e">
        <f>Nodes!1583:1583-"'E4!9y"</f>
        <v>#VALUE!</v>
      </c>
      <c r="FI7" t="e">
        <f>Nodes!1584:1584-"'E4!9z"</f>
        <v>#VALUE!</v>
      </c>
      <c r="FJ7" t="e">
        <f>Nodes!1585:1585-"'E4!9{"</f>
        <v>#VALUE!</v>
      </c>
      <c r="FK7" t="e">
        <f>Nodes!1586:1586-"'E4!9|"</f>
        <v>#VALUE!</v>
      </c>
      <c r="FL7" t="e">
        <f>Nodes!1587:1587-"'E4!9}"</f>
        <v>#VALUE!</v>
      </c>
      <c r="FM7" t="e">
        <f>Nodes!1588:1588-"'E4!9~"</f>
        <v>#VALUE!</v>
      </c>
      <c r="FN7" t="e">
        <f>Nodes!1589:1589-"'E4!:#"</f>
        <v>#VALUE!</v>
      </c>
      <c r="FO7" t="e">
        <f>Nodes!1590:1590-"'E4!:$"</f>
        <v>#VALUE!</v>
      </c>
      <c r="FP7" t="e">
        <f>Nodes!1591:1591-"'E4!:%"</f>
        <v>#VALUE!</v>
      </c>
      <c r="FQ7" t="e">
        <f>Nodes!1592:1592-"'E4!:&amp;"</f>
        <v>#VALUE!</v>
      </c>
      <c r="FR7" t="e">
        <f>Nodes!1593:1593-"'E4!:'"</f>
        <v>#VALUE!</v>
      </c>
      <c r="FS7" t="e">
        <f>Nodes!1594:1594-"'E4!:("</f>
        <v>#VALUE!</v>
      </c>
      <c r="FT7" t="e">
        <f>Nodes!1595:1595-"'E4!:)"</f>
        <v>#VALUE!</v>
      </c>
      <c r="FU7" t="e">
        <f>Nodes!1596:1596-"'E4!:."</f>
        <v>#VALUE!</v>
      </c>
      <c r="FV7" t="e">
        <f>Nodes!1597:1597-"'E4!:/"</f>
        <v>#VALUE!</v>
      </c>
      <c r="FW7" t="e">
        <f>Nodes!1598:1598-"'E4!:0"</f>
        <v>#VALUE!</v>
      </c>
      <c r="FX7" t="e">
        <f>Nodes!1599:1599-"'E4!:1"</f>
        <v>#VALUE!</v>
      </c>
      <c r="FY7" t="e">
        <f>Nodes!1600:1600-"'E4!:2"</f>
        <v>#VALUE!</v>
      </c>
      <c r="FZ7" t="e">
        <f>Nodes!1601:1601-"'E4!:3"</f>
        <v>#VALUE!</v>
      </c>
      <c r="GA7" t="e">
        <f>Nodes!1602:1602-"'E4!:4"</f>
        <v>#VALUE!</v>
      </c>
      <c r="GB7" t="e">
        <f>Nodes!1603:1603-"'E4!:5"</f>
        <v>#VALUE!</v>
      </c>
      <c r="GC7" t="e">
        <f>Nodes!1604:1604-"'E4!:6"</f>
        <v>#VALUE!</v>
      </c>
      <c r="GD7" t="e">
        <f>Nodes!1605:1605-"'E4!:7"</f>
        <v>#VALUE!</v>
      </c>
      <c r="GE7" t="e">
        <f>Nodes!1606:1606-"'E4!:8"</f>
        <v>#VALUE!</v>
      </c>
      <c r="GF7" t="e">
        <f>Nodes!1607:1607-"'E4!:9"</f>
        <v>#VALUE!</v>
      </c>
      <c r="GG7" t="e">
        <f>Nodes!1608:1608-"'E4!::"</f>
        <v>#VALUE!</v>
      </c>
      <c r="GH7" t="e">
        <f>Nodes!1609:1609-"'E4!:;"</f>
        <v>#VALUE!</v>
      </c>
      <c r="GI7" t="e">
        <f>Nodes!1610:1610-"'E4!:&lt;"</f>
        <v>#VALUE!</v>
      </c>
      <c r="GJ7" t="e">
        <f>Nodes!1611:1611-"'E4!:="</f>
        <v>#VALUE!</v>
      </c>
      <c r="GK7" t="e">
        <f>Nodes!1612:1612-"'E4!:&gt;"</f>
        <v>#VALUE!</v>
      </c>
      <c r="GL7" t="e">
        <f>Nodes!1613:1613-"'E4!:?"</f>
        <v>#VALUE!</v>
      </c>
      <c r="GM7" t="e">
        <f>Nodes!1614:1614-"'E4!:@"</f>
        <v>#VALUE!</v>
      </c>
      <c r="GN7" t="e">
        <f>Nodes!1615:1615-"'E4!:A"</f>
        <v>#VALUE!</v>
      </c>
      <c r="GO7" t="e">
        <f>Nodes!1616:1616-"'E4!:B"</f>
        <v>#VALUE!</v>
      </c>
      <c r="GP7" t="e">
        <f>Nodes!1617:1617-"'E4!:C"</f>
        <v>#VALUE!</v>
      </c>
      <c r="GQ7" t="e">
        <f>Nodes!1618:1618-"'E4!:D"</f>
        <v>#VALUE!</v>
      </c>
      <c r="GR7" t="e">
        <f>Nodes!1619:1619-"'E4!:E"</f>
        <v>#VALUE!</v>
      </c>
      <c r="GS7" t="e">
        <f>Nodes!1620:1620-"'E4!:F"</f>
        <v>#VALUE!</v>
      </c>
      <c r="GT7" t="e">
        <f>Nodes!1621:1621-"'E4!:G"</f>
        <v>#VALUE!</v>
      </c>
      <c r="GU7" t="e">
        <f>Nodes!1622:1622-"'E4!:H"</f>
        <v>#VALUE!</v>
      </c>
      <c r="GV7" t="e">
        <f>Nodes!1623:1623-"'E4!:I"</f>
        <v>#VALUE!</v>
      </c>
      <c r="GW7" t="e">
        <f>Nodes!1624:1624-"'E4!:J"</f>
        <v>#VALUE!</v>
      </c>
      <c r="GX7" t="e">
        <f>Nodes!1625:1625-"'E4!:K"</f>
        <v>#VALUE!</v>
      </c>
      <c r="GY7" t="e">
        <f>Nodes!1626:1626-"'E4!:L"</f>
        <v>#VALUE!</v>
      </c>
      <c r="GZ7" t="e">
        <f>Nodes!1627:1627-"'E4!:M"</f>
        <v>#VALUE!</v>
      </c>
      <c r="HA7" t="e">
        <f>Nodes!1628:1628-"'E4!:N"</f>
        <v>#VALUE!</v>
      </c>
      <c r="HB7" t="e">
        <f>Nodes!1629:1629-"'E4!:O"</f>
        <v>#VALUE!</v>
      </c>
      <c r="HC7" t="e">
        <f>Nodes!1630:1630-"'E4!:P"</f>
        <v>#VALUE!</v>
      </c>
      <c r="HD7" t="e">
        <f>Nodes!1631:1631-"'E4!:Q"</f>
        <v>#VALUE!</v>
      </c>
      <c r="HE7" t="e">
        <f>Nodes!1632:1632-"'E4!:R"</f>
        <v>#VALUE!</v>
      </c>
      <c r="HF7" t="e">
        <f>Nodes!1633:1633-"'E4!:S"</f>
        <v>#VALUE!</v>
      </c>
      <c r="HG7" t="e">
        <f>Nodes!1634:1634-"'E4!:T"</f>
        <v>#VALUE!</v>
      </c>
      <c r="HH7" t="e">
        <f>Nodes!1635:1635-"'E4!:U"</f>
        <v>#VALUE!</v>
      </c>
      <c r="HI7" t="e">
        <f>Nodes!1636:1636-"'E4!:V"</f>
        <v>#VALUE!</v>
      </c>
      <c r="HJ7" t="e">
        <f>Nodes!1637:1637-"'E4!:W"</f>
        <v>#VALUE!</v>
      </c>
      <c r="HK7" t="e">
        <f>Nodes!1638:1638-"'E4!:X"</f>
        <v>#VALUE!</v>
      </c>
      <c r="HL7" t="e">
        <f>Nodes!1639:1639-"'E4!:Y"</f>
        <v>#VALUE!</v>
      </c>
      <c r="HM7" t="e">
        <f>Nodes!1640:1640-"'E4!:Z"</f>
        <v>#VALUE!</v>
      </c>
      <c r="HN7" t="e">
        <f>Nodes!1641:1641-"'E4!:["</f>
        <v>#VALUE!</v>
      </c>
      <c r="HO7" t="e">
        <f>Nodes!1642:1642-"'E4!:\"</f>
        <v>#VALUE!</v>
      </c>
      <c r="HP7" t="e">
        <f>Nodes!1643:1643-"'E4!:]"</f>
        <v>#VALUE!</v>
      </c>
      <c r="HQ7" t="e">
        <f>Nodes!1644:1644-"'E4!:^"</f>
        <v>#VALUE!</v>
      </c>
      <c r="HR7" t="e">
        <f>Nodes!1645:1645-"'E4!:_"</f>
        <v>#VALUE!</v>
      </c>
      <c r="HS7" t="e">
        <f>Nodes!1646:1646-"'E4!:`"</f>
        <v>#VALUE!</v>
      </c>
      <c r="HT7" t="e">
        <f>Nodes!1647:1647-"'E4!:a"</f>
        <v>#VALUE!</v>
      </c>
      <c r="HU7" t="e">
        <f>Nodes!1648:1648-"'E4!:b"</f>
        <v>#VALUE!</v>
      </c>
      <c r="HV7" t="e">
        <f>Nodes!1649:1649-"'E4!:c"</f>
        <v>#VALUE!</v>
      </c>
      <c r="HW7" t="e">
        <f>Nodes!1650:1650-"'E4!:d"</f>
        <v>#VALUE!</v>
      </c>
      <c r="HX7" t="e">
        <f>Nodes!1651:1651-"'E4!:e"</f>
        <v>#VALUE!</v>
      </c>
      <c r="HY7" t="e">
        <f>Nodes!1652:1652-"'E4!:f"</f>
        <v>#VALUE!</v>
      </c>
      <c r="HZ7" t="e">
        <f>Nodes!1653:1653-"'E4!:g"</f>
        <v>#VALUE!</v>
      </c>
      <c r="IA7" t="e">
        <f>Nodes!1654:1654-"'E4!:h"</f>
        <v>#VALUE!</v>
      </c>
      <c r="IB7" t="e">
        <f>Nodes!1655:1655-"'E4!:i"</f>
        <v>#VALUE!</v>
      </c>
      <c r="IC7" t="e">
        <f>Nodes!1656:1656-"'E4!:j"</f>
        <v>#VALUE!</v>
      </c>
      <c r="ID7" t="e">
        <f>Nodes!1657:1657-"'E4!:k"</f>
        <v>#VALUE!</v>
      </c>
      <c r="IE7" t="e">
        <f>Nodes!1658:1658-"'E4!:l"</f>
        <v>#VALUE!</v>
      </c>
      <c r="IF7" t="e">
        <f>Nodes!1659:1659-"'E4!:m"</f>
        <v>#VALUE!</v>
      </c>
      <c r="IG7" t="e">
        <f>Nodes!1660:1660-"'E4!:n"</f>
        <v>#VALUE!</v>
      </c>
      <c r="IH7" t="e">
        <f>Nodes!1661:1661-"'E4!:o"</f>
        <v>#VALUE!</v>
      </c>
      <c r="II7" t="e">
        <f>Nodes!1662:1662-"'E4!:p"</f>
        <v>#VALUE!</v>
      </c>
      <c r="IJ7" t="e">
        <f>Nodes!1663:1663-"'E4!:q"</f>
        <v>#VALUE!</v>
      </c>
      <c r="IK7" t="e">
        <f>Nodes!1664:1664-"'E4!:r"</f>
        <v>#VALUE!</v>
      </c>
      <c r="IL7" t="e">
        <f>Nodes!1665:1665-"'E4!:s"</f>
        <v>#VALUE!</v>
      </c>
      <c r="IM7" t="e">
        <f>Nodes!1666:1666-"'E4!:t"</f>
        <v>#VALUE!</v>
      </c>
      <c r="IN7" t="e">
        <f>Nodes!1667:1667-"'E4!:u"</f>
        <v>#VALUE!</v>
      </c>
      <c r="IO7" t="e">
        <f>Nodes!1668:1668-"'E4!:v"</f>
        <v>#VALUE!</v>
      </c>
      <c r="IP7" t="e">
        <f>Nodes!1669:1669-"'E4!:w"</f>
        <v>#VALUE!</v>
      </c>
      <c r="IQ7" t="e">
        <f>Nodes!1670:1670-"'E4!:x"</f>
        <v>#VALUE!</v>
      </c>
      <c r="IR7" t="e">
        <f>Nodes!1671:1671-"'E4!:y"</f>
        <v>#VALUE!</v>
      </c>
      <c r="IS7" t="e">
        <f>Nodes!1672:1672-"'E4!:z"</f>
        <v>#VALUE!</v>
      </c>
      <c r="IT7" t="e">
        <f>Nodes!1673:1673-"'E4!:{"</f>
        <v>#VALUE!</v>
      </c>
      <c r="IU7" t="e">
        <f>Nodes!1674:1674-"'E4!:|"</f>
        <v>#VALUE!</v>
      </c>
      <c r="IV7" t="e">
        <f>Nodes!1675:1675-"'E4!:}"</f>
        <v>#VALUE!</v>
      </c>
    </row>
    <row r="8" spans="1:256">
      <c r="F8" t="e">
        <f>Nodes!1676:1676-"'E4!:~"</f>
        <v>#VALUE!</v>
      </c>
      <c r="G8" t="e">
        <f>Nodes!1677:1677-"'E4!;#"</f>
        <v>#VALUE!</v>
      </c>
      <c r="H8" t="e">
        <f>Nodes!1678:1678-"'E4!;$"</f>
        <v>#VALUE!</v>
      </c>
      <c r="I8" t="e">
        <f>Nodes!1679:1679-"'E4!;%"</f>
        <v>#VALUE!</v>
      </c>
      <c r="J8" t="e">
        <f>Nodes!1680:1680-"'E4!;&amp;"</f>
        <v>#VALUE!</v>
      </c>
      <c r="K8" t="e">
        <f>Nodes!1681:1681-"'E4!;'"</f>
        <v>#VALUE!</v>
      </c>
      <c r="L8" t="e">
        <f>Nodes!1682:1682-"'E4!;("</f>
        <v>#VALUE!</v>
      </c>
      <c r="M8" t="e">
        <f>Nodes!1683:1683-"'E4!;)"</f>
        <v>#VALUE!</v>
      </c>
      <c r="N8" t="e">
        <f>Nodes!1684:1684-"'E4!;."</f>
        <v>#VALUE!</v>
      </c>
      <c r="O8" t="e">
        <f>Nodes!1685:1685-"'E4!;/"</f>
        <v>#VALUE!</v>
      </c>
      <c r="P8" t="e">
        <f>Nodes!1686:1686-"'E4!;0"</f>
        <v>#VALUE!</v>
      </c>
      <c r="Q8" t="e">
        <f>Nodes!1687:1687-"'E4!;1"</f>
        <v>#VALUE!</v>
      </c>
      <c r="R8" t="e">
        <f>Nodes!1688:1688-"'E4!;2"</f>
        <v>#VALUE!</v>
      </c>
      <c r="S8" t="e">
        <f>Nodes!1689:1689-"'E4!;3"</f>
        <v>#VALUE!</v>
      </c>
      <c r="T8" t="e">
        <f>Nodes!1690:1690-"'E4!;4"</f>
        <v>#VALUE!</v>
      </c>
      <c r="U8" t="e">
        <f>Nodes!1691:1691-"'E4!;5"</f>
        <v>#VALUE!</v>
      </c>
      <c r="V8" t="e">
        <f>Nodes!1692:1692-"'E4!;6"</f>
        <v>#VALUE!</v>
      </c>
      <c r="W8" t="e">
        <f>Nodes!1693:1693-"'E4!;7"</f>
        <v>#VALUE!</v>
      </c>
      <c r="X8" t="e">
        <f>Nodes!1694:1694-"'E4!;8"</f>
        <v>#VALUE!</v>
      </c>
      <c r="Y8" t="e">
        <f>Nodes!1695:1695-"'E4!;9"</f>
        <v>#VALUE!</v>
      </c>
      <c r="Z8" t="e">
        <f>Nodes!1696:1696-"'E4!;:"</f>
        <v>#VALUE!</v>
      </c>
      <c r="AA8" t="e">
        <f>Nodes!1697:1697-"'E4!;;"</f>
        <v>#VALUE!</v>
      </c>
      <c r="AB8" t="e">
        <f>Nodes!1698:1698-"'E4!;&lt;"</f>
        <v>#VALUE!</v>
      </c>
      <c r="AC8" t="e">
        <f>Nodes!1699:1699-"'E4!;="</f>
        <v>#VALUE!</v>
      </c>
      <c r="AD8" t="e">
        <f>Nodes!1700:1700-"'E4!;&gt;"</f>
        <v>#VALUE!</v>
      </c>
      <c r="AE8" t="e">
        <f>Nodes!1701:1701-"'E4!;?"</f>
        <v>#VALUE!</v>
      </c>
      <c r="AF8" t="e">
        <f>Nodes!1702:1702-"'E4!;@"</f>
        <v>#VALUE!</v>
      </c>
      <c r="AG8" t="e">
        <f>Nodes!1703:1703-"'E4!;A"</f>
        <v>#VALUE!</v>
      </c>
      <c r="AH8" t="e">
        <f>Nodes!1704:1704-"'E4!;B"</f>
        <v>#VALUE!</v>
      </c>
      <c r="AI8" t="e">
        <f>Nodes!1705:1705-"'E4!;C"</f>
        <v>#VALUE!</v>
      </c>
      <c r="AJ8" t="e">
        <f>Nodes!1706:1706-"'E4!;D"</f>
        <v>#VALUE!</v>
      </c>
      <c r="AK8" t="e">
        <f>Nodes!1707:1707-"'E4!;E"</f>
        <v>#VALUE!</v>
      </c>
      <c r="AL8" t="e">
        <f>Nodes!1708:1708-"'E4!;F"</f>
        <v>#VALUE!</v>
      </c>
      <c r="AM8" t="e">
        <f>Nodes!1709:1709-"'E4!;G"</f>
        <v>#VALUE!</v>
      </c>
      <c r="AN8" t="e">
        <f>Nodes!1710:1710-"'E4!;H"</f>
        <v>#VALUE!</v>
      </c>
      <c r="AO8" t="e">
        <f>Nodes!1711:1711-"'E4!;I"</f>
        <v>#VALUE!</v>
      </c>
      <c r="AP8" t="e">
        <f>Nodes!1712:1712-"'E4!;J"</f>
        <v>#VALUE!</v>
      </c>
      <c r="AQ8" t="e">
        <f>Nodes!1713:1713-"'E4!;K"</f>
        <v>#VALUE!</v>
      </c>
      <c r="AR8" t="e">
        <f>Nodes!1714:1714-"'E4!;L"</f>
        <v>#VALUE!</v>
      </c>
      <c r="AS8" t="e">
        <f>Nodes!1715:1715-"'E4!;M"</f>
        <v>#VALUE!</v>
      </c>
      <c r="AT8" t="e">
        <f>Nodes!1716:1716-"'E4!;N"</f>
        <v>#VALUE!</v>
      </c>
      <c r="AU8" t="e">
        <f>Nodes!1717:1717-"'E4!;O"</f>
        <v>#VALUE!</v>
      </c>
      <c r="AV8" t="e">
        <f>Nodes!1718:1718-"'E4!;P"</f>
        <v>#VALUE!</v>
      </c>
      <c r="AW8" t="e">
        <f>Nodes!1719:1719-"'E4!;Q"</f>
        <v>#VALUE!</v>
      </c>
      <c r="AX8" t="e">
        <f>Nodes!1720:1720-"'E4!;R"</f>
        <v>#VALUE!</v>
      </c>
      <c r="AY8" t="e">
        <f>Nodes!1721:1721-"'E4!;S"</f>
        <v>#VALUE!</v>
      </c>
      <c r="AZ8" t="e">
        <f>Nodes!1722:1722-"'E4!;T"</f>
        <v>#VALUE!</v>
      </c>
      <c r="BA8" t="e">
        <f>Nodes!1723:1723-"'E4!;U"</f>
        <v>#VALUE!</v>
      </c>
      <c r="BB8" t="e">
        <f>Nodes!1724:1724-"'E4!;V"</f>
        <v>#VALUE!</v>
      </c>
      <c r="BC8" t="e">
        <f>Nodes!1725:1725-"'E4!;W"</f>
        <v>#VALUE!</v>
      </c>
      <c r="BD8" t="e">
        <f>Nodes!1726:1726-"'E4!;X"</f>
        <v>#VALUE!</v>
      </c>
      <c r="BE8" t="e">
        <f>Nodes!1727:1727-"'E4!;Y"</f>
        <v>#VALUE!</v>
      </c>
      <c r="BF8" t="e">
        <f>Nodes!1728:1728-"'E4!;Z"</f>
        <v>#VALUE!</v>
      </c>
      <c r="BG8" t="e">
        <f>Nodes!1729:1729-"'E4!;["</f>
        <v>#VALUE!</v>
      </c>
      <c r="BH8" t="e">
        <f>Nodes!1730:1730-"'E4!;\"</f>
        <v>#VALUE!</v>
      </c>
      <c r="BI8" t="e">
        <f>Nodes!1731:1731-"'E4!;]"</f>
        <v>#VALUE!</v>
      </c>
      <c r="BJ8" t="e">
        <f>Nodes!1732:1732-"'E4!;^"</f>
        <v>#VALUE!</v>
      </c>
      <c r="BK8" t="e">
        <f>Nodes!1733:1733-"'E4!;_"</f>
        <v>#VALUE!</v>
      </c>
      <c r="BL8" t="e">
        <f>Nodes!1734:1734-"'E4!;`"</f>
        <v>#VALUE!</v>
      </c>
      <c r="BM8" t="e">
        <f>Nodes!1735:1735-"'E4!;a"</f>
        <v>#VALUE!</v>
      </c>
      <c r="BN8" t="e">
        <f>Nodes!1736:1736-"'E4!;b"</f>
        <v>#VALUE!</v>
      </c>
      <c r="BO8" t="e">
        <f>Nodes!1737:1737-"'E4!;c"</f>
        <v>#VALUE!</v>
      </c>
      <c r="BP8" t="e">
        <f>Nodes!1738:1738-"'E4!;d"</f>
        <v>#VALUE!</v>
      </c>
      <c r="BQ8" t="e">
        <f>Nodes!1739:1739-"'E4!;e"</f>
        <v>#VALUE!</v>
      </c>
      <c r="BR8" t="e">
        <f>Nodes!1740:1740-"'E4!;f"</f>
        <v>#VALUE!</v>
      </c>
      <c r="BS8" t="e">
        <f>Nodes!1741:1741-"'E4!;g"</f>
        <v>#VALUE!</v>
      </c>
      <c r="BT8" t="e">
        <f>Nodes!1742:1742-"'E4!;h"</f>
        <v>#VALUE!</v>
      </c>
      <c r="BU8" t="e">
        <f>Nodes!1743:1743-"'E4!;i"</f>
        <v>#VALUE!</v>
      </c>
      <c r="BV8" t="e">
        <f>Nodes!1744:1744-"'E4!;j"</f>
        <v>#VALUE!</v>
      </c>
      <c r="BW8" t="e">
        <f>Nodes!1745:1745-"'E4!;k"</f>
        <v>#VALUE!</v>
      </c>
      <c r="BX8" t="e">
        <f>Nodes!1746:1746-"'E4!;l"</f>
        <v>#VALUE!</v>
      </c>
      <c r="BY8" t="e">
        <f>Nodes!1747:1747-"'E4!;m"</f>
        <v>#VALUE!</v>
      </c>
      <c r="BZ8" t="e">
        <f>Nodes!1748:1748-"'E4!;n"</f>
        <v>#VALUE!</v>
      </c>
      <c r="CA8" t="e">
        <f>Nodes!1749:1749-"'E4!;o"</f>
        <v>#VALUE!</v>
      </c>
      <c r="CB8" t="e">
        <f>Nodes!1750:1750-"'E4!;p"</f>
        <v>#VALUE!</v>
      </c>
      <c r="CC8" t="e">
        <f>Nodes!1751:1751-"'E4!;q"</f>
        <v>#VALUE!</v>
      </c>
      <c r="CD8" t="e">
        <f>Nodes!1752:1752-"'E4!;r"</f>
        <v>#VALUE!</v>
      </c>
      <c r="CE8" t="e">
        <f>Nodes!1753:1753-"'E4!;s"</f>
        <v>#VALUE!</v>
      </c>
      <c r="CF8" t="e">
        <f>Nodes!1754:1754-"'E4!;t"</f>
        <v>#VALUE!</v>
      </c>
      <c r="CG8" t="e">
        <f>Nodes!1755:1755-"'E4!;u"</f>
        <v>#VALUE!</v>
      </c>
      <c r="CH8" t="e">
        <f>Nodes!1756:1756-"'E4!;v"</f>
        <v>#VALUE!</v>
      </c>
      <c r="CI8" t="e">
        <f>Nodes!1757:1757-"'E4!;w"</f>
        <v>#VALUE!</v>
      </c>
      <c r="CJ8" t="e">
        <f>Nodes!1758:1758-"'E4!;x"</f>
        <v>#VALUE!</v>
      </c>
      <c r="CK8" t="e">
        <f>Nodes!1759:1759-"'E4!;y"</f>
        <v>#VALUE!</v>
      </c>
      <c r="CL8" t="e">
        <f>Nodes!1760:1760-"'E4!;z"</f>
        <v>#VALUE!</v>
      </c>
      <c r="CM8" t="e">
        <f>Nodes!1761:1761-"'E4!;{"</f>
        <v>#VALUE!</v>
      </c>
      <c r="CN8" t="e">
        <f>Nodes!1762:1762-"'E4!;|"</f>
        <v>#VALUE!</v>
      </c>
      <c r="CO8" t="e">
        <f>Nodes!1763:1763-"'E4!;}"</f>
        <v>#VALUE!</v>
      </c>
      <c r="CP8" t="e">
        <f>Nodes!1764:1764-"'E4!;~"</f>
        <v>#VALUE!</v>
      </c>
      <c r="CQ8" t="e">
        <f>Nodes!1765:1765-"'E4!&lt;#"</f>
        <v>#VALUE!</v>
      </c>
      <c r="CR8" t="e">
        <f>Nodes!1766:1766-"'E4!&lt;$"</f>
        <v>#VALUE!</v>
      </c>
      <c r="CS8" t="e">
        <f>Nodes!1767:1767-"'E4!&lt;%"</f>
        <v>#VALUE!</v>
      </c>
      <c r="CT8" t="e">
        <f>Nodes!1768:1768-"'E4!&lt;&amp;"</f>
        <v>#VALUE!</v>
      </c>
      <c r="CU8" t="e">
        <f>Nodes!1769:1769-"'E4!&lt;'"</f>
        <v>#VALUE!</v>
      </c>
      <c r="CV8" t="e">
        <f>Nodes!1770:1770-"'E4!&lt;("</f>
        <v>#VALUE!</v>
      </c>
      <c r="CW8" t="e">
        <f>Nodes!1771:1771-"'E4!&lt;)"</f>
        <v>#VALUE!</v>
      </c>
      <c r="CX8" t="e">
        <f>Nodes!1772:1772-"'E4!&lt;."</f>
        <v>#VALUE!</v>
      </c>
      <c r="CY8" t="e">
        <f>Nodes!1773:1773-"'E4!&lt;/"</f>
        <v>#VALUE!</v>
      </c>
      <c r="CZ8" t="e">
        <f>Nodes!1774:1774-"'E4!&lt;0"</f>
        <v>#VALUE!</v>
      </c>
      <c r="DA8" t="e">
        <f>Nodes!1775:1775-"'E4!&lt;1"</f>
        <v>#VALUE!</v>
      </c>
      <c r="DB8" t="e">
        <f>Nodes!1776:1776-"'E4!&lt;2"</f>
        <v>#VALUE!</v>
      </c>
      <c r="DC8" t="e">
        <f>Nodes!1777:1777-"'E4!&lt;3"</f>
        <v>#VALUE!</v>
      </c>
      <c r="DD8" t="e">
        <f>Nodes!1778:1778-"'E4!&lt;4"</f>
        <v>#VALUE!</v>
      </c>
      <c r="DE8" t="e">
        <f>Nodes!1779:1779-"'E4!&lt;5"</f>
        <v>#VALUE!</v>
      </c>
      <c r="DF8" t="e">
        <f>Nodes!1780:1780-"'E4!&lt;6"</f>
        <v>#VALUE!</v>
      </c>
      <c r="DG8" t="e">
        <f>Nodes!1781:1781-"'E4!&lt;7"</f>
        <v>#VALUE!</v>
      </c>
      <c r="DH8" t="e">
        <f>Nodes!1782:1782-"'E4!&lt;8"</f>
        <v>#VALUE!</v>
      </c>
      <c r="DI8" t="e">
        <f>Nodes!1783:1783-"'E4!&lt;9"</f>
        <v>#VALUE!</v>
      </c>
      <c r="DJ8" t="e">
        <f>Nodes!1784:1784-"'E4!&lt;:"</f>
        <v>#VALUE!</v>
      </c>
      <c r="DK8" t="e">
        <f>Nodes!1785:1785-"'E4!&lt;;"</f>
        <v>#VALUE!</v>
      </c>
      <c r="DL8" t="e">
        <f>Nodes!1786:1786-"'E4!&lt;&lt;"</f>
        <v>#VALUE!</v>
      </c>
      <c r="DM8" t="e">
        <f>Nodes!1787:1787-"'E4!&lt;="</f>
        <v>#VALUE!</v>
      </c>
      <c r="DN8" t="e">
        <f>Nodes!1788:1788-"'E4!&lt;&gt;"</f>
        <v>#VALUE!</v>
      </c>
      <c r="DO8" t="e">
        <f>Nodes!1789:1789-"'E4!&lt;?"</f>
        <v>#VALUE!</v>
      </c>
      <c r="DP8" t="e">
        <f>Nodes!1790:1790-"'E4!&lt;@"</f>
        <v>#VALUE!</v>
      </c>
      <c r="DQ8" t="e">
        <f>Nodes!1791:1791-"'E4!&lt;A"</f>
        <v>#VALUE!</v>
      </c>
      <c r="DR8" t="e">
        <f>Nodes!1792:1792-"'E4!&lt;B"</f>
        <v>#VALUE!</v>
      </c>
      <c r="DS8" t="e">
        <f>Nodes!1793:1793-"'E4!&lt;C"</f>
        <v>#VALUE!</v>
      </c>
      <c r="DT8" t="e">
        <f>Nodes!1794:1794-"'E4!&lt;D"</f>
        <v>#VALUE!</v>
      </c>
      <c r="DU8" t="e">
        <f>Nodes!1795:1795-"'E4!&lt;E"</f>
        <v>#VALUE!</v>
      </c>
      <c r="DV8" t="e">
        <f>Nodes!1796:1796-"'E4!&lt;F"</f>
        <v>#VALUE!</v>
      </c>
      <c r="DW8" t="e">
        <f>Nodes!1797:1797-"'E4!&lt;G"</f>
        <v>#VALUE!</v>
      </c>
      <c r="DX8" t="e">
        <f>Nodes!1798:1798-"'E4!&lt;H"</f>
        <v>#VALUE!</v>
      </c>
      <c r="DY8" t="e">
        <f>Nodes!1799:1799-"'E4!&lt;I"</f>
        <v>#VALUE!</v>
      </c>
      <c r="DZ8" t="e">
        <f>Nodes!1800:1800-"'E4!&lt;J"</f>
        <v>#VALUE!</v>
      </c>
      <c r="EA8" t="e">
        <f>Nodes!1801:1801-"'E4!&lt;K"</f>
        <v>#VALUE!</v>
      </c>
      <c r="EB8" t="e">
        <f>Nodes!1802:1802-"'E4!&lt;L"</f>
        <v>#VALUE!</v>
      </c>
      <c r="EC8" t="e">
        <f>Nodes!1803:1803-"'E4!&lt;M"</f>
        <v>#VALUE!</v>
      </c>
      <c r="ED8" t="e">
        <f>Nodes!1804:1804-"'E4!&lt;N"</f>
        <v>#VALUE!</v>
      </c>
      <c r="EE8" t="e">
        <f>Nodes!1805:1805-"'E4!&lt;O"</f>
        <v>#VALUE!</v>
      </c>
      <c r="EF8" t="e">
        <f>Nodes!1806:1806-"'E4!&lt;P"</f>
        <v>#VALUE!</v>
      </c>
      <c r="EG8" t="e">
        <f>Nodes!1807:1807-"'E4!&lt;Q"</f>
        <v>#VALUE!</v>
      </c>
      <c r="EH8" t="e">
        <f>Nodes!1808:1808-"'E4!&lt;R"</f>
        <v>#VALUE!</v>
      </c>
      <c r="EI8" t="e">
        <f>Nodes!1809:1809-"'E4!&lt;S"</f>
        <v>#VALUE!</v>
      </c>
      <c r="EJ8" t="e">
        <f>Nodes!1810:1810-"'E4!&lt;T"</f>
        <v>#VALUE!</v>
      </c>
      <c r="EK8" t="e">
        <f>Nodes!1811:1811-"'E4!&lt;U"</f>
        <v>#VALUE!</v>
      </c>
      <c r="EL8" t="e">
        <f>Nodes!1812:1812-"'E4!&lt;V"</f>
        <v>#VALUE!</v>
      </c>
      <c r="EM8" t="e">
        <f>Nodes!1813:1813-"'E4!&lt;W"</f>
        <v>#VALUE!</v>
      </c>
      <c r="EN8" t="e">
        <f>Nodes!1814:1814-"'E4!&lt;X"</f>
        <v>#VALUE!</v>
      </c>
      <c r="EO8" t="e">
        <f>Nodes!1815:1815-"'E4!&lt;Y"</f>
        <v>#VALUE!</v>
      </c>
      <c r="EP8" t="e">
        <f>Nodes!1816:1816-"'E4!&lt;Z"</f>
        <v>#VALUE!</v>
      </c>
      <c r="EQ8" t="e">
        <f>Nodes!1817:1817-"'E4!&lt;["</f>
        <v>#VALUE!</v>
      </c>
      <c r="ER8" t="e">
        <f>Nodes!1818:1818-"'E4!&lt;\"</f>
        <v>#VALUE!</v>
      </c>
      <c r="ES8" t="e">
        <f>Nodes!1819:1819-"'E4!&lt;]"</f>
        <v>#VALUE!</v>
      </c>
      <c r="ET8" t="e">
        <f>Nodes!1820:1820-"'E4!&lt;^"</f>
        <v>#VALUE!</v>
      </c>
      <c r="EU8" t="e">
        <f>Nodes!1821:1821-"'E4!&lt;_"</f>
        <v>#VALUE!</v>
      </c>
      <c r="EV8" t="e">
        <f>Nodes!1822:1822-"'E4!&lt;`"</f>
        <v>#VALUE!</v>
      </c>
      <c r="EW8" t="e">
        <f>Nodes!1823:1823-"'E4!&lt;a"</f>
        <v>#VALUE!</v>
      </c>
      <c r="EX8" t="e">
        <f>Nodes!1824:1824-"'E4!&lt;b"</f>
        <v>#VALUE!</v>
      </c>
      <c r="EY8" t="e">
        <f>Nodes!1825:1825-"'E4!&lt;c"</f>
        <v>#VALUE!</v>
      </c>
      <c r="EZ8" t="e">
        <f>Nodes!1826:1826-"'E4!&lt;d"</f>
        <v>#VALUE!</v>
      </c>
      <c r="FA8" t="e">
        <f>Nodes!1827:1827-"'E4!&lt;e"</f>
        <v>#VALUE!</v>
      </c>
      <c r="FB8" t="e">
        <f>Nodes!1828:1828-"'E4!&lt;f"</f>
        <v>#VALUE!</v>
      </c>
      <c r="FC8" t="e">
        <f>Nodes!1829:1829-"'E4!&lt;g"</f>
        <v>#VALUE!</v>
      </c>
      <c r="FD8" t="e">
        <f>Nodes!1830:1830-"'E4!&lt;h"</f>
        <v>#VALUE!</v>
      </c>
      <c r="FE8" t="e">
        <f>Nodes!1831:1831-"'E4!&lt;i"</f>
        <v>#VALUE!</v>
      </c>
      <c r="FF8" t="e">
        <f>Nodes!1832:1832-"'E4!&lt;j"</f>
        <v>#VALUE!</v>
      </c>
      <c r="FG8" t="e">
        <f>Nodes!1833:1833-"'E4!&lt;k"</f>
        <v>#VALUE!</v>
      </c>
      <c r="FH8" t="e">
        <f>Nodes!1834:1834-"'E4!&lt;l"</f>
        <v>#VALUE!</v>
      </c>
      <c r="FI8" t="e">
        <f>Nodes!1835:1835-"'E4!&lt;m"</f>
        <v>#VALUE!</v>
      </c>
      <c r="FJ8" t="e">
        <f>Nodes!1836:1836-"'E4!&lt;n"</f>
        <v>#VALUE!</v>
      </c>
      <c r="FK8" t="e">
        <f>Nodes!1837:1837-"'E4!&lt;o"</f>
        <v>#VALUE!</v>
      </c>
      <c r="FL8" t="e">
        <f>Nodes!1838:1838-"'E4!&lt;p"</f>
        <v>#VALUE!</v>
      </c>
      <c r="FM8" t="e">
        <f>Nodes!1839:1839-"'E4!&lt;q"</f>
        <v>#VALUE!</v>
      </c>
      <c r="FN8" t="e">
        <f>Nodes!1840:1840-"'E4!&lt;r"</f>
        <v>#VALUE!</v>
      </c>
      <c r="FO8" t="e">
        <f>Nodes!1841:1841-"'E4!&lt;s"</f>
        <v>#VALUE!</v>
      </c>
      <c r="FP8" t="e">
        <f>Nodes!1842:1842-"'E4!&lt;t"</f>
        <v>#VALUE!</v>
      </c>
      <c r="FQ8" t="e">
        <f>Nodes!1843:1843-"'E4!&lt;u"</f>
        <v>#VALUE!</v>
      </c>
      <c r="FR8" t="e">
        <f>Nodes!1844:1844-"'E4!&lt;v"</f>
        <v>#VALUE!</v>
      </c>
      <c r="FS8" t="e">
        <f>Nodes!1845:1845-"'E4!&lt;w"</f>
        <v>#VALUE!</v>
      </c>
      <c r="FT8" t="e">
        <f>Nodes!1846:1846-"'E4!&lt;x"</f>
        <v>#VALUE!</v>
      </c>
      <c r="FU8" t="e">
        <f>Nodes!1847:1847-"'E4!&lt;y"</f>
        <v>#VALUE!</v>
      </c>
      <c r="FV8" t="e">
        <f>Nodes!1848:1848-"'E4!&lt;z"</f>
        <v>#VALUE!</v>
      </c>
      <c r="FW8" t="e">
        <f>Nodes!1849:1849-"'E4!&lt;{"</f>
        <v>#VALUE!</v>
      </c>
      <c r="FX8" t="e">
        <f>Nodes!1850:1850-"'E4!&lt;|"</f>
        <v>#VALUE!</v>
      </c>
      <c r="FY8" t="e">
        <f>Nodes!1851:1851-"'E4!&lt;}"</f>
        <v>#VALUE!</v>
      </c>
      <c r="FZ8" t="e">
        <f>Nodes!1852:1852-"'E4!&lt;~"</f>
        <v>#VALUE!</v>
      </c>
      <c r="GA8" t="e">
        <f>Nodes!1853:1853-"'E4!=#"</f>
        <v>#VALUE!</v>
      </c>
      <c r="GB8" t="e">
        <f>Nodes!1854:1854-"'E4!=$"</f>
        <v>#VALUE!</v>
      </c>
      <c r="GC8" t="e">
        <f>Nodes!1855:1855-"'E4!=%"</f>
        <v>#VALUE!</v>
      </c>
      <c r="GD8" t="e">
        <f>Nodes!1856:1856-"'E4!=&amp;"</f>
        <v>#VALUE!</v>
      </c>
      <c r="GE8" t="e">
        <f>Nodes!1857:1857-"'E4!='"</f>
        <v>#VALUE!</v>
      </c>
      <c r="GF8" t="e">
        <f>Nodes!1858:1858-"'E4!=("</f>
        <v>#VALUE!</v>
      </c>
      <c r="GG8" t="e">
        <f>Nodes!1859:1859-"'E4!=)"</f>
        <v>#VALUE!</v>
      </c>
      <c r="GH8" t="e">
        <f>Nodes!1860:1860-"'E4!=."</f>
        <v>#VALUE!</v>
      </c>
      <c r="GI8" t="e">
        <f>Nodes!1861:1861-"'E4!=/"</f>
        <v>#VALUE!</v>
      </c>
      <c r="GJ8" t="e">
        <f>Nodes!1862:1862-"'E4!=0"</f>
        <v>#VALUE!</v>
      </c>
      <c r="GK8" t="e">
        <f>Nodes!1863:1863-"'E4!=1"</f>
        <v>#VALUE!</v>
      </c>
      <c r="GL8" t="e">
        <f>Nodes!1864:1864-"'E4!=2"</f>
        <v>#VALUE!</v>
      </c>
      <c r="GM8" t="e">
        <f>Nodes!1865:1865-"'E4!=3"</f>
        <v>#VALUE!</v>
      </c>
      <c r="GN8" t="e">
        <f>Nodes!1866:1866-"'E4!=4"</f>
        <v>#VALUE!</v>
      </c>
      <c r="GO8" t="e">
        <f>Nodes!1867:1867-"'E4!=5"</f>
        <v>#VALUE!</v>
      </c>
      <c r="GP8" t="e">
        <f>Nodes!1868:1868-"'E4!=6"</f>
        <v>#VALUE!</v>
      </c>
      <c r="GQ8" t="e">
        <f>Nodes!1869:1869-"'E4!=7"</f>
        <v>#VALUE!</v>
      </c>
      <c r="GR8" t="e">
        <f>Nodes!1870:1870-"'E4!=8"</f>
        <v>#VALUE!</v>
      </c>
      <c r="GS8" t="e">
        <f>Nodes!1871:1871-"'E4!=9"</f>
        <v>#VALUE!</v>
      </c>
      <c r="GT8" t="e">
        <f>Nodes!1872:1872-"'E4!=:"</f>
        <v>#VALUE!</v>
      </c>
      <c r="GU8" t="e">
        <f>Nodes!1873:1873-"'E4!=;"</f>
        <v>#VALUE!</v>
      </c>
      <c r="GV8" t="e">
        <f>Nodes!1874:1874-"'E4!=&lt;"</f>
        <v>#VALUE!</v>
      </c>
      <c r="GW8" t="e">
        <f>Nodes!1875:1875-"'E4!=="</f>
        <v>#VALUE!</v>
      </c>
      <c r="GX8" t="e">
        <f>Nodes!1876:1876-"'E4!=&gt;"</f>
        <v>#VALUE!</v>
      </c>
      <c r="GY8" t="e">
        <f>Nodes!1877:1877-"'E4!=?"</f>
        <v>#VALUE!</v>
      </c>
      <c r="GZ8" t="e">
        <f>Nodes!1878:1878-"'E4!=@"</f>
        <v>#VALUE!</v>
      </c>
      <c r="HA8" t="e">
        <f>Nodes!1879:1879-"'E4!=A"</f>
        <v>#VALUE!</v>
      </c>
      <c r="HB8" t="e">
        <f>Nodes!1880:1880-"'E4!=B"</f>
        <v>#VALUE!</v>
      </c>
      <c r="HC8" t="e">
        <f>Nodes!1881:1881-"'E4!=C"</f>
        <v>#VALUE!</v>
      </c>
      <c r="HD8" t="e">
        <f>Nodes!1882:1882-"'E4!=D"</f>
        <v>#VALUE!</v>
      </c>
      <c r="HE8" t="e">
        <f>Nodes!1883:1883-"'E4!=E"</f>
        <v>#VALUE!</v>
      </c>
      <c r="HF8" t="e">
        <f>Nodes!1884:1884-"'E4!=F"</f>
        <v>#VALUE!</v>
      </c>
      <c r="HG8" t="e">
        <f>Nodes!1885:1885-"'E4!=G"</f>
        <v>#VALUE!</v>
      </c>
      <c r="HH8" t="e">
        <f>Nodes!1886:1886-"'E4!=H"</f>
        <v>#VALUE!</v>
      </c>
      <c r="HI8" t="e">
        <f>Nodes!1887:1887-"'E4!=I"</f>
        <v>#VALUE!</v>
      </c>
      <c r="HJ8" t="e">
        <f>Nodes!1888:1888-"'E4!=J"</f>
        <v>#VALUE!</v>
      </c>
      <c r="HK8" t="e">
        <f>Nodes!1889:1889-"'E4!=K"</f>
        <v>#VALUE!</v>
      </c>
      <c r="HL8" t="e">
        <f>Nodes!1890:1890-"'E4!=L"</f>
        <v>#VALUE!</v>
      </c>
      <c r="HM8" t="e">
        <f>Nodes!1891:1891-"'E4!=M"</f>
        <v>#VALUE!</v>
      </c>
      <c r="HN8" t="e">
        <f>Nodes!1892:1892-"'E4!=N"</f>
        <v>#VALUE!</v>
      </c>
      <c r="HO8" t="e">
        <f>Nodes!1893:1893-"'E4!=O"</f>
        <v>#VALUE!</v>
      </c>
      <c r="HP8" t="e">
        <f>Nodes!1894:1894-"'E4!=P"</f>
        <v>#VALUE!</v>
      </c>
      <c r="HQ8" t="e">
        <f>Nodes!1895:1895-"'E4!=Q"</f>
        <v>#VALUE!</v>
      </c>
      <c r="HR8" t="e">
        <f>Nodes!1896:1896-"'E4!=R"</f>
        <v>#VALUE!</v>
      </c>
      <c r="HS8" t="e">
        <f>Nodes!1897:1897-"'E4!=S"</f>
        <v>#VALUE!</v>
      </c>
      <c r="HT8" t="e">
        <f>Nodes!1898:1898-"'E4!=T"</f>
        <v>#VALUE!</v>
      </c>
      <c r="HU8" t="e">
        <f>Nodes!1899:1899-"'E4!=U"</f>
        <v>#VALUE!</v>
      </c>
      <c r="HV8" t="e">
        <f>Nodes!1900:1900-"'E4!=V"</f>
        <v>#VALUE!</v>
      </c>
      <c r="HW8" t="e">
        <f>Nodes!1901:1901-"'E4!=W"</f>
        <v>#VALUE!</v>
      </c>
      <c r="HX8" t="e">
        <f>Nodes!1902:1902-"'E4!=X"</f>
        <v>#VALUE!</v>
      </c>
      <c r="HY8" t="e">
        <f>Nodes!1903:1903-"'E4!=Y"</f>
        <v>#VALUE!</v>
      </c>
      <c r="HZ8" t="e">
        <f>Nodes!1904:1904-"'E4!=Z"</f>
        <v>#VALUE!</v>
      </c>
      <c r="IA8" t="e">
        <f>Nodes!1905:1905-"'E4!=["</f>
        <v>#VALUE!</v>
      </c>
      <c r="IB8" t="e">
        <f>Nodes!1906:1906-"'E4!=\"</f>
        <v>#VALUE!</v>
      </c>
      <c r="IC8" t="e">
        <f>Nodes!1907:1907-"'E4!=]"</f>
        <v>#VALUE!</v>
      </c>
      <c r="ID8" t="e">
        <f>Nodes!1908:1908-"'E4!=^"</f>
        <v>#VALUE!</v>
      </c>
      <c r="IE8" t="e">
        <f>Nodes!1909:1909-"'E4!=_"</f>
        <v>#VALUE!</v>
      </c>
      <c r="IF8" t="e">
        <f>Nodes!1910:1910-"'E4!=`"</f>
        <v>#VALUE!</v>
      </c>
      <c r="IG8" t="e">
        <f>Nodes!1911:1911-"'E4!=a"</f>
        <v>#VALUE!</v>
      </c>
      <c r="IH8" t="e">
        <f>Nodes!1912:1912-"'E4!=b"</f>
        <v>#VALUE!</v>
      </c>
      <c r="II8" t="e">
        <f>Nodes!1913:1913-"'E4!=c"</f>
        <v>#VALUE!</v>
      </c>
      <c r="IJ8" t="e">
        <f>Nodes!1914:1914-"'E4!=d"</f>
        <v>#VALUE!</v>
      </c>
      <c r="IK8" t="e">
        <f>Nodes!1915:1915-"'E4!=e"</f>
        <v>#VALUE!</v>
      </c>
      <c r="IL8" t="e">
        <f>Nodes!1916:1916-"'E4!=f"</f>
        <v>#VALUE!</v>
      </c>
      <c r="IM8" t="e">
        <f>Nodes!1917:1917-"'E4!=g"</f>
        <v>#VALUE!</v>
      </c>
      <c r="IN8" t="e">
        <f>Nodes!1918:1918-"'E4!=h"</f>
        <v>#VALUE!</v>
      </c>
      <c r="IO8" t="e">
        <f>Nodes!1919:1919-"'E4!=i"</f>
        <v>#VALUE!</v>
      </c>
      <c r="IP8" t="e">
        <f>Nodes!1920:1920-"'E4!=j"</f>
        <v>#VALUE!</v>
      </c>
      <c r="IQ8" t="e">
        <f>Nodes!1921:1921-"'E4!=k"</f>
        <v>#VALUE!</v>
      </c>
      <c r="IR8" t="e">
        <f>Nodes!1922:1922-"'E4!=l"</f>
        <v>#VALUE!</v>
      </c>
      <c r="IS8" t="e">
        <f>Nodes!1923:1923-"'E4!=m"</f>
        <v>#VALUE!</v>
      </c>
      <c r="IT8" t="e">
        <f>Nodes!1924:1924-"'E4!=n"</f>
        <v>#VALUE!</v>
      </c>
      <c r="IU8" t="e">
        <f>Nodes!1925:1925-"'E4!=o"</f>
        <v>#VALUE!</v>
      </c>
      <c r="IV8" t="e">
        <f>Nodes!1926:1926-"'E4!=p"</f>
        <v>#VALUE!</v>
      </c>
    </row>
    <row r="9" spans="1:256">
      <c r="F9" t="e">
        <f>Nodes!1927:1927-"'E4!=q"</f>
        <v>#VALUE!</v>
      </c>
      <c r="G9" t="e">
        <f>Nodes!1928:1928-"'E4!=r"</f>
        <v>#VALUE!</v>
      </c>
      <c r="H9" t="e">
        <f>Nodes!1929:1929-"'E4!=s"</f>
        <v>#VALUE!</v>
      </c>
      <c r="I9" t="e">
        <f>Nodes!1930:1930-"'E4!=t"</f>
        <v>#VALUE!</v>
      </c>
      <c r="J9" t="e">
        <f>Nodes!1931:1931-"'E4!=u"</f>
        <v>#VALUE!</v>
      </c>
      <c r="K9" t="e">
        <f>Nodes!1932:1932-"'E4!=v"</f>
        <v>#VALUE!</v>
      </c>
      <c r="L9" t="e">
        <f>Nodes!1933:1933-"'E4!=w"</f>
        <v>#VALUE!</v>
      </c>
      <c r="M9" t="e">
        <f>Nodes!1934:1934-"'E4!=x"</f>
        <v>#VALUE!</v>
      </c>
      <c r="N9" t="e">
        <f>Nodes!1935:1935-"'E4!=y"</f>
        <v>#VALUE!</v>
      </c>
      <c r="O9" t="e">
        <f>Nodes!1936:1936-"'E4!=z"</f>
        <v>#VALUE!</v>
      </c>
      <c r="P9" t="e">
        <f>Nodes!1937:1937-"'E4!={"</f>
        <v>#VALUE!</v>
      </c>
      <c r="Q9" t="e">
        <f>Nodes!1938:1938-"'E4!=|"</f>
        <v>#VALUE!</v>
      </c>
      <c r="R9" t="e">
        <f>Nodes!1939:1939-"'E4!=}"</f>
        <v>#VALUE!</v>
      </c>
      <c r="S9" t="e">
        <f>Nodes!1940:1940-"'E4!=~"</f>
        <v>#VALUE!</v>
      </c>
      <c r="T9" t="e">
        <f>Nodes!1941:1941-"'E4!&gt;#"</f>
        <v>#VALUE!</v>
      </c>
      <c r="U9" t="e">
        <f>Nodes!1942:1942-"'E4!&gt;$"</f>
        <v>#VALUE!</v>
      </c>
      <c r="V9" t="e">
        <f>Nodes!1943:1943-"'E4!&gt;%"</f>
        <v>#VALUE!</v>
      </c>
      <c r="W9" t="e">
        <f>Nodes!1944:1944-"'E4!&gt;&amp;"</f>
        <v>#VALUE!</v>
      </c>
      <c r="X9" t="e">
        <f>Nodes!1945:1945-"'E4!&gt;'"</f>
        <v>#VALUE!</v>
      </c>
      <c r="Y9" t="e">
        <f>Nodes!1946:1946-"'E4!&gt;("</f>
        <v>#VALUE!</v>
      </c>
      <c r="Z9" t="e">
        <f>Nodes!1947:1947-"'E4!&gt;)"</f>
        <v>#VALUE!</v>
      </c>
      <c r="AA9" t="e">
        <f>Nodes!1948:1948-"'E4!&gt;."</f>
        <v>#VALUE!</v>
      </c>
      <c r="AB9" t="e">
        <f>Nodes!1949:1949-"'E4!&gt;/"</f>
        <v>#VALUE!</v>
      </c>
      <c r="AC9" t="e">
        <f>Nodes!1950:1950-"'E4!&gt;0"</f>
        <v>#VALUE!</v>
      </c>
      <c r="AD9" t="e">
        <f>Nodes!1951:1951-"'E4!&gt;1"</f>
        <v>#VALUE!</v>
      </c>
      <c r="AE9" t="e">
        <f>Nodes!1952:1952-"'E4!&gt;2"</f>
        <v>#VALUE!</v>
      </c>
      <c r="AF9" t="e">
        <f>Nodes!1953:1953-"'E4!&gt;3"</f>
        <v>#VALUE!</v>
      </c>
      <c r="AG9" t="e">
        <f>Nodes!1954:1954-"'E4!&gt;4"</f>
        <v>#VALUE!</v>
      </c>
      <c r="AH9" t="e">
        <f>Nodes!1955:1955-"'E4!&gt;5"</f>
        <v>#VALUE!</v>
      </c>
      <c r="AI9" t="e">
        <f>Nodes!1956:1956-"'E4!&gt;6"</f>
        <v>#VALUE!</v>
      </c>
      <c r="AJ9" t="e">
        <f>Nodes!1957:1957-"'E4!&gt;7"</f>
        <v>#VALUE!</v>
      </c>
      <c r="AK9" t="e">
        <f>Nodes!1958:1958-"'E4!&gt;8"</f>
        <v>#VALUE!</v>
      </c>
      <c r="AL9" t="e">
        <f>Nodes!1959:1959-"'E4!&gt;9"</f>
        <v>#VALUE!</v>
      </c>
      <c r="AM9" t="e">
        <f>Nodes!1960:1960-"'E4!&gt;:"</f>
        <v>#VALUE!</v>
      </c>
      <c r="AN9" t="e">
        <f>Nodes!1961:1961-"'E4!&gt;;"</f>
        <v>#VALUE!</v>
      </c>
      <c r="AO9" t="e">
        <f>Nodes!1962:1962-"'E4!&gt;&lt;"</f>
        <v>#VALUE!</v>
      </c>
      <c r="AP9" t="e">
        <f>Nodes!1963:1963-"'E4!&gt;="</f>
        <v>#VALUE!</v>
      </c>
      <c r="AQ9" t="e">
        <f>Nodes!1964:1964-"'E4!&gt;&gt;"</f>
        <v>#VALUE!</v>
      </c>
      <c r="AR9" t="e">
        <f>Nodes!1965:1965-"'E4!&gt;?"</f>
        <v>#VALUE!</v>
      </c>
      <c r="AS9" t="e">
        <f>Nodes!1966:1966-"'E4!&gt;@"</f>
        <v>#VALUE!</v>
      </c>
      <c r="AT9" t="e">
        <f>Nodes!1967:1967-"'E4!&gt;A"</f>
        <v>#VALUE!</v>
      </c>
      <c r="AU9" t="e">
        <f>Nodes!1968:1968-"'E4!&gt;B"</f>
        <v>#VALUE!</v>
      </c>
      <c r="AV9" t="e">
        <f>Nodes!1969:1969-"'E4!&gt;C"</f>
        <v>#VALUE!</v>
      </c>
      <c r="AW9" t="e">
        <f>Nodes!1970:1970-"'E4!&gt;D"</f>
        <v>#VALUE!</v>
      </c>
      <c r="AX9" t="e">
        <f>Nodes!1971:1971-"'E4!&gt;E"</f>
        <v>#VALUE!</v>
      </c>
      <c r="AY9" t="e">
        <f>Nodes!1972:1972-"'E4!&gt;F"</f>
        <v>#VALUE!</v>
      </c>
      <c r="AZ9" t="e">
        <f>Nodes!1973:1973-"'E4!&gt;G"</f>
        <v>#VALUE!</v>
      </c>
      <c r="BA9" t="e">
        <f>Nodes!1974:1974-"'E4!&gt;H"</f>
        <v>#VALUE!</v>
      </c>
      <c r="BB9" t="e">
        <f>Nodes!1975:1975-"'E4!&gt;I"</f>
        <v>#VALUE!</v>
      </c>
      <c r="BC9" t="e">
        <f>Nodes!1976:1976-"'E4!&gt;J"</f>
        <v>#VALUE!</v>
      </c>
      <c r="BD9" t="e">
        <f>Nodes!1977:1977-"'E4!&gt;K"</f>
        <v>#VALUE!</v>
      </c>
      <c r="BE9" t="e">
        <f>Nodes!1978:1978-"'E4!&gt;L"</f>
        <v>#VALUE!</v>
      </c>
      <c r="BF9" t="e">
        <f>Nodes!1979:1979-"'E4!&gt;M"</f>
        <v>#VALUE!</v>
      </c>
      <c r="BG9" t="e">
        <f>Nodes!1980:1980-"'E4!&gt;N"</f>
        <v>#VALUE!</v>
      </c>
      <c r="BH9" t="e">
        <f>Nodes!1981:1981-"'E4!&gt;O"</f>
        <v>#VALUE!</v>
      </c>
      <c r="BI9" t="e">
        <f>Nodes!1982:1982-"'E4!&gt;P"</f>
        <v>#VALUE!</v>
      </c>
      <c r="BJ9" t="e">
        <f>Nodes!1983:1983-"'E4!&gt;Q"</f>
        <v>#VALUE!</v>
      </c>
      <c r="BK9" t="e">
        <f>Nodes!1984:1984-"'E4!&gt;R"</f>
        <v>#VALUE!</v>
      </c>
      <c r="BL9" t="e">
        <f>Nodes!1985:1985-"'E4!&gt;S"</f>
        <v>#VALUE!</v>
      </c>
      <c r="BM9" t="e">
        <f>Nodes!A1+"'E4!&gt;T"</f>
        <v>#VALUE!</v>
      </c>
      <c r="BN9" t="e">
        <f>Nodes!B1+"'E4!&gt;U"</f>
        <v>#VALUE!</v>
      </c>
      <c r="BO9" t="e">
        <f>Nodes!C1+"'E4!&gt;V"</f>
        <v>#VALUE!</v>
      </c>
      <c r="BP9" t="e">
        <f>Nodes!D1+"'E4!&gt;W"</f>
        <v>#VALUE!</v>
      </c>
      <c r="BQ9" t="e">
        <f>Nodes!E1+"'E4!&gt;X"</f>
        <v>#VALUE!</v>
      </c>
      <c r="BR9" t="e">
        <f>Nodes!F1+"'E4!&gt;Y"</f>
        <v>#VALUE!</v>
      </c>
      <c r="BS9" t="e">
        <f>Nodes!G1+"'E4!&gt;Z"</f>
        <v>#VALUE!</v>
      </c>
      <c r="BT9" t="e">
        <f>Nodes!H1+"'E4!&gt;["</f>
        <v>#VALUE!</v>
      </c>
      <c r="BU9" t="e">
        <f>Nodes!I1+"'E4!&gt;\"</f>
        <v>#VALUE!</v>
      </c>
      <c r="BV9" t="e">
        <f>Nodes!J1+"'E4!&gt;]"</f>
        <v>#VALUE!</v>
      </c>
      <c r="BW9" t="e">
        <f>Nodes!K1+"'E4!&gt;^"</f>
        <v>#VALUE!</v>
      </c>
      <c r="BX9" t="e">
        <f>Nodes!L1+"'E4!&gt;_"</f>
        <v>#VALUE!</v>
      </c>
      <c r="BY9" t="e">
        <f>Nodes!M1+"'E4!&gt;`"</f>
        <v>#VALUE!</v>
      </c>
      <c r="BZ9" t="e">
        <f>Nodes!N1+"'E4!&gt;a"</f>
        <v>#VALUE!</v>
      </c>
      <c r="CA9" t="e">
        <f>Nodes!O1+"'E4!&gt;b"</f>
        <v>#VALUE!</v>
      </c>
      <c r="CB9" t="e">
        <f>Nodes!P1+"'E4!&gt;c"</f>
        <v>#VALUE!</v>
      </c>
      <c r="CC9" t="e">
        <f>Nodes!Q1+"'E4!&gt;d"</f>
        <v>#VALUE!</v>
      </c>
      <c r="CD9" t="e">
        <f>Nodes!R1+"'E4!&gt;e"</f>
        <v>#VALUE!</v>
      </c>
      <c r="CE9" t="e">
        <f>Nodes!S1+"'E4!&gt;f"</f>
        <v>#VALUE!</v>
      </c>
      <c r="CF9" s="547" t="e">
        <f>Nodes!T1+"'E4!&gt;g"</f>
        <v>#VALUE!</v>
      </c>
      <c r="CG9" s="548" t="e">
        <f>Nodes!U1+"'E4!&gt;h"</f>
        <v>#VALUE!</v>
      </c>
      <c r="CH9" s="548" t="e">
        <f>Nodes!V1+"'E4!&gt;i"</f>
        <v>#VALUE!</v>
      </c>
      <c r="CI9" s="547" t="e">
        <f>Nodes!W1+"'E4!&gt;j"</f>
        <v>#VALUE!</v>
      </c>
      <c r="CJ9" t="e">
        <f>Nodes!X1+"'E4!&gt;k"</f>
        <v>#VALUE!</v>
      </c>
      <c r="CK9" t="e">
        <f>Nodes!Y1+"'E4!&gt;l"</f>
        <v>#VALUE!</v>
      </c>
      <c r="CL9" t="e">
        <f>Nodes!Z1+"'E4!&gt;m"</f>
        <v>#VALUE!</v>
      </c>
      <c r="CM9" t="e">
        <f>Nodes!AA1+"'E4!&gt;n"</f>
        <v>#VALUE!</v>
      </c>
      <c r="CN9" t="e">
        <f>Nodes!AB1+"'E4!&gt;o"</f>
        <v>#VALUE!</v>
      </c>
      <c r="CO9" s="548" t="e">
        <f>Nodes!AC1+"'E4!&gt;p"</f>
        <v>#VALUE!</v>
      </c>
      <c r="CP9" t="e">
        <f>Nodes!A2+"'E4!&gt;q"</f>
        <v>#VALUE!</v>
      </c>
      <c r="CQ9" t="e">
        <f>Nodes!B2+"'E4!&gt;r"</f>
        <v>#VALUE!</v>
      </c>
      <c r="CR9" t="e">
        <f>Nodes!C2+"'E4!&gt;s"</f>
        <v>#VALUE!</v>
      </c>
      <c r="CS9" t="e">
        <f>Nodes!D2+"'E4!&gt;t"</f>
        <v>#VALUE!</v>
      </c>
      <c r="CT9" t="e">
        <f>Nodes!E2+"'E4!&gt;u"</f>
        <v>#VALUE!</v>
      </c>
      <c r="CU9" t="e">
        <f>Nodes!F2+"'E4!&gt;v"</f>
        <v>#VALUE!</v>
      </c>
      <c r="CV9" t="e">
        <f>Nodes!G2+"'E4!&gt;w"</f>
        <v>#VALUE!</v>
      </c>
      <c r="CW9" t="e">
        <f>Nodes!H2+"'E4!&gt;x"</f>
        <v>#VALUE!</v>
      </c>
      <c r="CX9" t="e">
        <f>Nodes!I2+"'E4!&gt;y"</f>
        <v>#VALUE!</v>
      </c>
      <c r="CY9" t="e">
        <f>Nodes!J2+"'E4!&gt;z"</f>
        <v>#VALUE!</v>
      </c>
      <c r="CZ9" t="e">
        <f>Nodes!K2+"'E4!&gt;{"</f>
        <v>#VALUE!</v>
      </c>
      <c r="DA9" t="e">
        <f>Nodes!L2+"'E4!&gt;|"</f>
        <v>#VALUE!</v>
      </c>
      <c r="DB9" t="e">
        <f>Nodes!M2+"'E4!&gt;}"</f>
        <v>#VALUE!</v>
      </c>
      <c r="DC9" t="e">
        <f>Nodes!N2+"'E4!&gt;~"</f>
        <v>#VALUE!</v>
      </c>
      <c r="DD9" t="e">
        <f>Nodes!O2+"'E4!?#"</f>
        <v>#VALUE!</v>
      </c>
      <c r="DE9" t="e">
        <f>Nodes!P2+"'E4!?$"</f>
        <v>#VALUE!</v>
      </c>
      <c r="DF9" t="e">
        <f>Nodes!Q2+"'E4!?%"</f>
        <v>#VALUE!</v>
      </c>
      <c r="DG9" t="e">
        <f>Nodes!R2+"'E4!?&amp;"</f>
        <v>#VALUE!</v>
      </c>
      <c r="DH9" t="e">
        <f>Nodes!S2+"'E4!?'"</f>
        <v>#VALUE!</v>
      </c>
      <c r="DI9" t="e">
        <f>Nodes!T2+"'E4!?("</f>
        <v>#VALUE!</v>
      </c>
      <c r="DJ9" s="548" t="e">
        <f>Nodes!U2+"'E4!?)"</f>
        <v>#VALUE!</v>
      </c>
      <c r="DK9" s="548" t="e">
        <f>Nodes!V2+"'E4!?."</f>
        <v>#VALUE!</v>
      </c>
      <c r="DL9" s="548" t="e">
        <f>Nodes!W2+"'E4!?/"</f>
        <v>#VALUE!</v>
      </c>
      <c r="DM9" s="333" t="e">
        <f>Nodes!X2+"'E4!?0"</f>
        <v>#VALUE!</v>
      </c>
      <c r="DN9" t="e">
        <f>Nodes!Y2+"'E4!?1"</f>
        <v>#VALUE!</v>
      </c>
      <c r="DO9" t="e">
        <f>Nodes!Z2+"'E4!?2"</f>
        <v>#VALUE!</v>
      </c>
      <c r="DP9" t="e">
        <f>Nodes!AA2+"'E4!?3"</f>
        <v>#VALUE!</v>
      </c>
      <c r="DQ9" t="e">
        <f>Nodes!AB2+"'E4!?4"</f>
        <v>#VALUE!</v>
      </c>
      <c r="DR9" t="e">
        <f>Nodes!AC2+"'E4!?5"</f>
        <v>#VALUE!</v>
      </c>
      <c r="DS9" t="e">
        <f>Nodes!A3+"'E4!?6"</f>
        <v>#VALUE!</v>
      </c>
      <c r="DT9" t="e">
        <f>Nodes!B3+"'E4!?7"</f>
        <v>#VALUE!</v>
      </c>
      <c r="DU9" t="e">
        <f>Nodes!C3+"'E4!?8"</f>
        <v>#VALUE!</v>
      </c>
      <c r="DV9" t="e">
        <f>Nodes!D3+"'E4!?9"</f>
        <v>#VALUE!</v>
      </c>
      <c r="DW9" t="e">
        <f>Nodes!E3+"'E4!?:"</f>
        <v>#VALUE!</v>
      </c>
      <c r="DX9" t="e">
        <f>Nodes!F3+"'E4!?;"</f>
        <v>#VALUE!</v>
      </c>
      <c r="DY9" t="e">
        <f>Nodes!G3+"'E4!?&lt;"</f>
        <v>#VALUE!</v>
      </c>
      <c r="DZ9" t="e">
        <f>Nodes!H3+"'E4!?="</f>
        <v>#VALUE!</v>
      </c>
      <c r="EA9" t="e">
        <f>Nodes!I3+"'E4!?&gt;"</f>
        <v>#VALUE!</v>
      </c>
      <c r="EB9" t="e">
        <f>Nodes!J3+"'E4!??"</f>
        <v>#VALUE!</v>
      </c>
      <c r="EC9" t="e">
        <f>Nodes!K3+"'E4!?@"</f>
        <v>#VALUE!</v>
      </c>
      <c r="ED9" t="e">
        <f>Nodes!L3+"'E4!?A"</f>
        <v>#VALUE!</v>
      </c>
      <c r="EE9" t="e">
        <f>Nodes!M3+"'E4!?B"</f>
        <v>#VALUE!</v>
      </c>
      <c r="EF9" t="e">
        <f>Nodes!N3+"'E4!?C"</f>
        <v>#VALUE!</v>
      </c>
      <c r="EG9" t="e">
        <f>Nodes!O3+"'E4!?D"</f>
        <v>#VALUE!</v>
      </c>
      <c r="EH9" t="e">
        <f>Nodes!P3+"'E4!?E"</f>
        <v>#VALUE!</v>
      </c>
      <c r="EI9" t="e">
        <f>Nodes!Q3+"'E4!?F"</f>
        <v>#VALUE!</v>
      </c>
      <c r="EJ9" t="e">
        <f>Nodes!R3+"'E4!?G"</f>
        <v>#VALUE!</v>
      </c>
      <c r="EK9" t="e">
        <f>Nodes!S3+"'E4!?H"</f>
        <v>#VALUE!</v>
      </c>
      <c r="EL9" t="e">
        <f>Nodes!T3+"'E4!?I"</f>
        <v>#VALUE!</v>
      </c>
      <c r="EM9" s="548" t="e">
        <f>Nodes!U3+"'E4!?J"</f>
        <v>#VALUE!</v>
      </c>
      <c r="EN9" s="548" t="e">
        <f>Nodes!V3+"'E4!?K"</f>
        <v>#VALUE!</v>
      </c>
      <c r="EO9" s="548" t="e">
        <f>Nodes!W3+"'E4!?L"</f>
        <v>#VALUE!</v>
      </c>
      <c r="EP9" s="333" t="e">
        <f>Nodes!X3+"'E4!?M"</f>
        <v>#VALUE!</v>
      </c>
      <c r="EQ9" t="e">
        <f>Nodes!Y3+"'E4!?N"</f>
        <v>#VALUE!</v>
      </c>
      <c r="ER9" t="e">
        <f>Nodes!Z3+"'E4!?O"</f>
        <v>#VALUE!</v>
      </c>
      <c r="ES9" t="e">
        <f>Nodes!AA3+"'E4!?P"</f>
        <v>#VALUE!</v>
      </c>
      <c r="ET9" t="e">
        <f>Nodes!AB3+"'E4!?Q"</f>
        <v>#VALUE!</v>
      </c>
      <c r="EU9" t="e">
        <f>Nodes!AC3+"'E4!?R"</f>
        <v>#VALUE!</v>
      </c>
      <c r="EV9" t="e">
        <f>Nodes!A4+"'E4!?S"</f>
        <v>#VALUE!</v>
      </c>
      <c r="EW9" t="e">
        <f>Nodes!B4+"'E4!?T"</f>
        <v>#VALUE!</v>
      </c>
      <c r="EX9" t="e">
        <f>Nodes!C4+"'E4!?U"</f>
        <v>#VALUE!</v>
      </c>
      <c r="EY9" t="e">
        <f>Nodes!D4+"'E4!?V"</f>
        <v>#VALUE!</v>
      </c>
      <c r="EZ9" t="e">
        <f>Nodes!E4+"'E4!?W"</f>
        <v>#VALUE!</v>
      </c>
      <c r="FA9" t="e">
        <f>Nodes!F4+"'E4!?X"</f>
        <v>#VALUE!</v>
      </c>
      <c r="FB9" t="e">
        <f>Nodes!G4+"'E4!?Y"</f>
        <v>#VALUE!</v>
      </c>
      <c r="FC9" t="e">
        <f>Nodes!H4+"'E4!?Z"</f>
        <v>#VALUE!</v>
      </c>
      <c r="FD9" t="e">
        <f>Nodes!I4+"'E4!?["</f>
        <v>#VALUE!</v>
      </c>
      <c r="FE9" t="e">
        <f>Nodes!J4+"'E4!?\"</f>
        <v>#VALUE!</v>
      </c>
      <c r="FF9" t="e">
        <f>Nodes!K4+"'E4!?]"</f>
        <v>#VALUE!</v>
      </c>
      <c r="FG9" t="e">
        <f>Nodes!L4+"'E4!?^"</f>
        <v>#VALUE!</v>
      </c>
      <c r="FH9" t="e">
        <f>Nodes!M4+"'E4!?_"</f>
        <v>#VALUE!</v>
      </c>
      <c r="FI9" t="e">
        <f>Nodes!N4+"'E4!?`"</f>
        <v>#VALUE!</v>
      </c>
      <c r="FJ9" t="e">
        <f>Nodes!O4+"'E4!?a"</f>
        <v>#VALUE!</v>
      </c>
      <c r="FK9" t="e">
        <f>Nodes!P4+"'E4!?b"</f>
        <v>#VALUE!</v>
      </c>
      <c r="FL9" t="e">
        <f>Nodes!Q4+"'E4!?c"</f>
        <v>#VALUE!</v>
      </c>
      <c r="FM9" t="e">
        <f>Nodes!R4+"'E4!?d"</f>
        <v>#VALUE!</v>
      </c>
      <c r="FN9" t="e">
        <f>Nodes!S4+"'E4!?e"</f>
        <v>#VALUE!</v>
      </c>
      <c r="FO9" t="e">
        <f>Nodes!T4+"'E4!?f"</f>
        <v>#VALUE!</v>
      </c>
      <c r="FP9" s="548" t="e">
        <f>Nodes!U4+"'E4!?g"</f>
        <v>#VALUE!</v>
      </c>
      <c r="FQ9" s="548" t="e">
        <f>Nodes!V4+"'E4!?h"</f>
        <v>#VALUE!</v>
      </c>
      <c r="FR9" s="548" t="e">
        <f>Nodes!W4+"'E4!?i"</f>
        <v>#VALUE!</v>
      </c>
      <c r="FS9" s="333" t="e">
        <f>Nodes!X4+"'E4!?j"</f>
        <v>#VALUE!</v>
      </c>
      <c r="FT9" t="e">
        <f>Nodes!Y4+"'E4!?k"</f>
        <v>#VALUE!</v>
      </c>
      <c r="FU9" t="e">
        <f>Nodes!Z4+"'E4!?l"</f>
        <v>#VALUE!</v>
      </c>
      <c r="FV9" t="e">
        <f>Nodes!AA4+"'E4!?m"</f>
        <v>#VALUE!</v>
      </c>
      <c r="FW9" t="e">
        <f>Nodes!AB4+"'E4!?n"</f>
        <v>#VALUE!</v>
      </c>
      <c r="FX9" t="e">
        <f>Nodes!AC4+"'E4!?o"</f>
        <v>#VALUE!</v>
      </c>
      <c r="FY9" t="e">
        <f>Nodes!A5+"'E4!?p"</f>
        <v>#VALUE!</v>
      </c>
      <c r="FZ9" t="e">
        <f>Nodes!B5+"'E4!?q"</f>
        <v>#VALUE!</v>
      </c>
      <c r="GA9" t="e">
        <f>Nodes!C5+"'E4!?r"</f>
        <v>#VALUE!</v>
      </c>
      <c r="GB9" t="e">
        <f>Nodes!D5+"'E4!?s"</f>
        <v>#VALUE!</v>
      </c>
      <c r="GC9" t="e">
        <f>Nodes!E5+"'E4!?t"</f>
        <v>#VALUE!</v>
      </c>
      <c r="GD9" t="e">
        <f>Nodes!F5+"'E4!?u"</f>
        <v>#VALUE!</v>
      </c>
      <c r="GE9" t="e">
        <f>Nodes!G5+"'E4!?v"</f>
        <v>#VALUE!</v>
      </c>
      <c r="GF9" t="e">
        <f>Nodes!H5+"'E4!?w"</f>
        <v>#VALUE!</v>
      </c>
      <c r="GG9" t="e">
        <f>Nodes!I5+"'E4!?x"</f>
        <v>#VALUE!</v>
      </c>
      <c r="GH9" t="e">
        <f>Nodes!J5+"'E4!?y"</f>
        <v>#VALUE!</v>
      </c>
      <c r="GI9" t="e">
        <f>Nodes!K5+"'E4!?z"</f>
        <v>#VALUE!</v>
      </c>
      <c r="GJ9" t="e">
        <f>Nodes!L5+"'E4!?{"</f>
        <v>#VALUE!</v>
      </c>
      <c r="GK9" t="e">
        <f>Nodes!M5+"'E4!?|"</f>
        <v>#VALUE!</v>
      </c>
      <c r="GL9" t="e">
        <f>Nodes!N5+"'E4!?}"</f>
        <v>#VALUE!</v>
      </c>
      <c r="GM9" t="e">
        <f>Nodes!O5+"'E4!?~"</f>
        <v>#VALUE!</v>
      </c>
      <c r="GN9" t="e">
        <f>Nodes!P5+"'E4!@#"</f>
        <v>#VALUE!</v>
      </c>
      <c r="GO9" t="e">
        <f>Nodes!Q5+"'E4!@$"</f>
        <v>#VALUE!</v>
      </c>
      <c r="GP9" t="e">
        <f>Nodes!R5+"'E4!@%"</f>
        <v>#VALUE!</v>
      </c>
      <c r="GQ9" t="e">
        <f>Nodes!S5+"'E4!@&amp;"</f>
        <v>#VALUE!</v>
      </c>
      <c r="GR9" t="e">
        <f>Nodes!T5+"'E4!@'"</f>
        <v>#VALUE!</v>
      </c>
      <c r="GS9" s="548" t="e">
        <f>Nodes!U5+"'E4!@("</f>
        <v>#VALUE!</v>
      </c>
      <c r="GT9" s="548" t="e">
        <f>Nodes!V5+"'E4!@)"</f>
        <v>#VALUE!</v>
      </c>
      <c r="GU9" s="548" t="e">
        <f>Nodes!W5+"'E4!@."</f>
        <v>#VALUE!</v>
      </c>
      <c r="GV9" s="333" t="e">
        <f>Nodes!X5+"'E4!@/"</f>
        <v>#VALUE!</v>
      </c>
      <c r="GW9" t="e">
        <f>Nodes!Y5+"'E4!@0"</f>
        <v>#VALUE!</v>
      </c>
      <c r="GX9" t="e">
        <f>Nodes!Z5+"'E4!@1"</f>
        <v>#VALUE!</v>
      </c>
      <c r="GY9" t="e">
        <f>Nodes!AA5+"'E4!@2"</f>
        <v>#VALUE!</v>
      </c>
      <c r="GZ9" t="e">
        <f>Nodes!AB5+"'E4!@3"</f>
        <v>#VALUE!</v>
      </c>
      <c r="HA9" t="e">
        <f>Nodes!AC5+"'E4!@4"</f>
        <v>#VALUE!</v>
      </c>
      <c r="HB9" t="e">
        <f>Nodes!A6+"'E4!@5"</f>
        <v>#VALUE!</v>
      </c>
      <c r="HC9" t="e">
        <f>Nodes!B6+"'E4!@6"</f>
        <v>#VALUE!</v>
      </c>
      <c r="HD9" t="e">
        <f>Nodes!C6+"'E4!@7"</f>
        <v>#VALUE!</v>
      </c>
      <c r="HE9" t="e">
        <f>Nodes!D6+"'E4!@8"</f>
        <v>#VALUE!</v>
      </c>
      <c r="HF9" t="e">
        <f>Nodes!E6+"'E4!@9"</f>
        <v>#VALUE!</v>
      </c>
      <c r="HG9" t="e">
        <f>Nodes!F6+"'E4!@:"</f>
        <v>#VALUE!</v>
      </c>
      <c r="HH9" t="e">
        <f>Nodes!G6+"'E4!@;"</f>
        <v>#VALUE!</v>
      </c>
      <c r="HI9" t="e">
        <f>Nodes!H6+"'E4!@&lt;"</f>
        <v>#VALUE!</v>
      </c>
      <c r="HJ9" t="e">
        <f>Nodes!I6+"'E4!@="</f>
        <v>#VALUE!</v>
      </c>
      <c r="HK9" t="e">
        <f>Nodes!J6+"'E4!@&gt;"</f>
        <v>#VALUE!</v>
      </c>
      <c r="HL9" t="e">
        <f>Nodes!K6+"'E4!@?"</f>
        <v>#VALUE!</v>
      </c>
      <c r="HM9" t="e">
        <f>Nodes!L6+"'E4!@@"</f>
        <v>#VALUE!</v>
      </c>
      <c r="HN9" t="e">
        <f>Nodes!M6+"'E4!@A"</f>
        <v>#VALUE!</v>
      </c>
      <c r="HO9" t="e">
        <f>Nodes!N6+"'E4!@B"</f>
        <v>#VALUE!</v>
      </c>
      <c r="HP9" t="e">
        <f>Nodes!O6+"'E4!@C"</f>
        <v>#VALUE!</v>
      </c>
      <c r="HQ9" t="e">
        <f>Nodes!P6+"'E4!@D"</f>
        <v>#VALUE!</v>
      </c>
      <c r="HR9" t="e">
        <f>Nodes!Q6+"'E4!@E"</f>
        <v>#VALUE!</v>
      </c>
      <c r="HS9" t="e">
        <f>Nodes!R6+"'E4!@F"</f>
        <v>#VALUE!</v>
      </c>
      <c r="HT9" t="e">
        <f>Nodes!S6+"'E4!@G"</f>
        <v>#VALUE!</v>
      </c>
      <c r="HU9" t="e">
        <f>Nodes!T6+"'E4!@H"</f>
        <v>#VALUE!</v>
      </c>
      <c r="HV9" s="548" t="e">
        <f>Nodes!U6+"'E4!@I"</f>
        <v>#VALUE!</v>
      </c>
      <c r="HW9" s="548" t="e">
        <f>Nodes!V6+"'E4!@J"</f>
        <v>#VALUE!</v>
      </c>
      <c r="HX9" s="548" t="e">
        <f>Nodes!W6+"'E4!@K"</f>
        <v>#VALUE!</v>
      </c>
      <c r="HY9" s="333" t="e">
        <f>Nodes!X6+"'E4!@L"</f>
        <v>#VALUE!</v>
      </c>
      <c r="HZ9" t="e">
        <f>Nodes!Y6+"'E4!@M"</f>
        <v>#VALUE!</v>
      </c>
      <c r="IA9" t="e">
        <f>Nodes!Z6+"'E4!@N"</f>
        <v>#VALUE!</v>
      </c>
      <c r="IB9" t="e">
        <f>Nodes!AA6+"'E4!@O"</f>
        <v>#VALUE!</v>
      </c>
      <c r="IC9" t="e">
        <f>Nodes!AB6+"'E4!@P"</f>
        <v>#VALUE!</v>
      </c>
      <c r="ID9" t="e">
        <f>Nodes!AC6+"'E4!@Q"</f>
        <v>#VALUE!</v>
      </c>
      <c r="IE9" t="e">
        <f>Nodes!A7+"'E4!@R"</f>
        <v>#VALUE!</v>
      </c>
      <c r="IF9" t="e">
        <f>Nodes!B7+"'E4!@S"</f>
        <v>#VALUE!</v>
      </c>
      <c r="IG9" t="e">
        <f>Nodes!C7+"'E4!@T"</f>
        <v>#VALUE!</v>
      </c>
      <c r="IH9" t="e">
        <f>Nodes!D7+"'E4!@U"</f>
        <v>#VALUE!</v>
      </c>
      <c r="II9" t="e">
        <f>Nodes!E7+"'E4!@V"</f>
        <v>#VALUE!</v>
      </c>
      <c r="IJ9" t="e">
        <f>Nodes!F7+"'E4!@W"</f>
        <v>#VALUE!</v>
      </c>
      <c r="IK9" t="e">
        <f>Nodes!G7+"'E4!@X"</f>
        <v>#VALUE!</v>
      </c>
      <c r="IL9" t="e">
        <f>Nodes!H7+"'E4!@Y"</f>
        <v>#VALUE!</v>
      </c>
      <c r="IM9" t="e">
        <f>Nodes!I7+"'E4!@Z"</f>
        <v>#VALUE!</v>
      </c>
      <c r="IN9" t="e">
        <f>Nodes!J7+"'E4!@["</f>
        <v>#VALUE!</v>
      </c>
      <c r="IO9" t="e">
        <f>Nodes!K7+"'E4!@\"</f>
        <v>#VALUE!</v>
      </c>
      <c r="IP9" t="e">
        <f>Nodes!L7+"'E4!@]"</f>
        <v>#VALUE!</v>
      </c>
      <c r="IQ9" t="e">
        <f>Nodes!M7+"'E4!@^"</f>
        <v>#VALUE!</v>
      </c>
      <c r="IR9" t="e">
        <f>Nodes!N7+"'E4!@_"</f>
        <v>#VALUE!</v>
      </c>
      <c r="IS9" t="e">
        <f>Nodes!O7+"'E4!@`"</f>
        <v>#VALUE!</v>
      </c>
      <c r="IT9" t="e">
        <f>Nodes!P7+"'E4!@a"</f>
        <v>#VALUE!</v>
      </c>
      <c r="IU9" t="e">
        <f>Nodes!Q7+"'E4!@b"</f>
        <v>#VALUE!</v>
      </c>
      <c r="IV9" t="e">
        <f>Nodes!R7+"'E4!@c"</f>
        <v>#VALUE!</v>
      </c>
    </row>
    <row r="10" spans="1:256">
      <c r="F10" t="e">
        <f>Nodes!S7+"'E4!@d"</f>
        <v>#VALUE!</v>
      </c>
      <c r="G10" t="e">
        <f>Nodes!T7+"'E4!@e"</f>
        <v>#VALUE!</v>
      </c>
      <c r="H10" s="548" t="e">
        <f>Nodes!U7+"'E4!@f"</f>
        <v>#VALUE!</v>
      </c>
      <c r="I10" s="548" t="e">
        <f>Nodes!V7+"'E4!@g"</f>
        <v>#VALUE!</v>
      </c>
      <c r="J10" s="548" t="e">
        <f>Nodes!W7+"'E4!@h"</f>
        <v>#VALUE!</v>
      </c>
      <c r="K10" s="333" t="e">
        <f>Nodes!X7+"'E4!@i"</f>
        <v>#VALUE!</v>
      </c>
      <c r="L10" t="e">
        <f>Nodes!Y7+"'E4!@j"</f>
        <v>#VALUE!</v>
      </c>
      <c r="M10" t="e">
        <f>Nodes!Z7+"'E4!@k"</f>
        <v>#VALUE!</v>
      </c>
      <c r="N10" t="e">
        <f>Nodes!AA7+"'E4!@l"</f>
        <v>#VALUE!</v>
      </c>
      <c r="O10" t="e">
        <f>Nodes!AB7+"'E4!@m"</f>
        <v>#VALUE!</v>
      </c>
      <c r="P10" t="e">
        <f>Nodes!AC7+"'E4!@n"</f>
        <v>#VALUE!</v>
      </c>
      <c r="Q10" t="e">
        <f>Nodes!A8+"'E4!@o"</f>
        <v>#VALUE!</v>
      </c>
      <c r="R10" t="e">
        <f>Nodes!B8+"'E4!@p"</f>
        <v>#VALUE!</v>
      </c>
      <c r="S10" t="e">
        <f>Nodes!C8+"'E4!@q"</f>
        <v>#VALUE!</v>
      </c>
      <c r="T10" t="e">
        <f>Nodes!D8+"'E4!@r"</f>
        <v>#VALUE!</v>
      </c>
      <c r="U10" t="e">
        <f>Nodes!E8+"'E4!@s"</f>
        <v>#VALUE!</v>
      </c>
      <c r="V10" t="e">
        <f>Nodes!F8+"'E4!@t"</f>
        <v>#VALUE!</v>
      </c>
      <c r="W10" t="e">
        <f>Nodes!G8+"'E4!@u"</f>
        <v>#VALUE!</v>
      </c>
      <c r="X10" t="e">
        <f>Nodes!H8+"'E4!@v"</f>
        <v>#VALUE!</v>
      </c>
      <c r="Y10" t="e">
        <f>Nodes!I8+"'E4!@w"</f>
        <v>#VALUE!</v>
      </c>
      <c r="Z10" t="e">
        <f>Nodes!J8+"'E4!@x"</f>
        <v>#VALUE!</v>
      </c>
      <c r="AA10" t="e">
        <f>Nodes!K8+"'E4!@y"</f>
        <v>#VALUE!</v>
      </c>
      <c r="AB10" t="e">
        <f>Nodes!L8+"'E4!@z"</f>
        <v>#VALUE!</v>
      </c>
      <c r="AC10" t="e">
        <f>Nodes!M8+"'E4!@{"</f>
        <v>#VALUE!</v>
      </c>
      <c r="AD10" t="e">
        <f>Nodes!N8+"'E4!@|"</f>
        <v>#VALUE!</v>
      </c>
      <c r="AE10" t="e">
        <f>Nodes!O8+"'E4!@}"</f>
        <v>#VALUE!</v>
      </c>
      <c r="AF10" t="e">
        <f>Nodes!P8+"'E4!@~"</f>
        <v>#VALUE!</v>
      </c>
      <c r="AG10" t="e">
        <f>Nodes!Q8+"'E4!A#"</f>
        <v>#VALUE!</v>
      </c>
      <c r="AH10" t="e">
        <f>Nodes!R8+"'E4!A$"</f>
        <v>#VALUE!</v>
      </c>
      <c r="AI10" t="e">
        <f>Nodes!S8+"'E4!A%"</f>
        <v>#VALUE!</v>
      </c>
      <c r="AJ10" t="e">
        <f>Nodes!T8+"'E4!A&amp;"</f>
        <v>#VALUE!</v>
      </c>
      <c r="AK10" s="548" t="e">
        <f>Nodes!U8+"'E4!A'"</f>
        <v>#VALUE!</v>
      </c>
      <c r="AL10" s="548" t="e">
        <f>Nodes!V8+"'E4!A("</f>
        <v>#VALUE!</v>
      </c>
      <c r="AM10" s="548" t="e">
        <f>Nodes!W8+"'E4!A)"</f>
        <v>#VALUE!</v>
      </c>
      <c r="AN10" s="333" t="e">
        <f>Nodes!X8+"'E4!A."</f>
        <v>#VALUE!</v>
      </c>
      <c r="AO10" t="e">
        <f>Nodes!Y8+"'E4!A/"</f>
        <v>#VALUE!</v>
      </c>
      <c r="AP10" t="e">
        <f>Nodes!Z8+"'E4!A0"</f>
        <v>#VALUE!</v>
      </c>
      <c r="AQ10" t="e">
        <f>Nodes!AA8+"'E4!A1"</f>
        <v>#VALUE!</v>
      </c>
      <c r="AR10" t="e">
        <f>Nodes!AB8+"'E4!A2"</f>
        <v>#VALUE!</v>
      </c>
      <c r="AS10" t="e">
        <f>Nodes!AC8+"'E4!A3"</f>
        <v>#VALUE!</v>
      </c>
      <c r="AT10" t="e">
        <f>Nodes!A9+"'E4!A4"</f>
        <v>#VALUE!</v>
      </c>
      <c r="AU10" t="e">
        <f>Nodes!B9+"'E4!A5"</f>
        <v>#VALUE!</v>
      </c>
      <c r="AV10" t="e">
        <f>Nodes!C9+"'E4!A6"</f>
        <v>#VALUE!</v>
      </c>
      <c r="AW10" t="e">
        <f>Nodes!D9+"'E4!A7"</f>
        <v>#VALUE!</v>
      </c>
      <c r="AX10" t="e">
        <f>Nodes!E9+"'E4!A8"</f>
        <v>#VALUE!</v>
      </c>
      <c r="AY10" t="e">
        <f>Nodes!F9+"'E4!A9"</f>
        <v>#VALUE!</v>
      </c>
      <c r="AZ10" t="e">
        <f>Nodes!G9+"'E4!A:"</f>
        <v>#VALUE!</v>
      </c>
      <c r="BA10" t="e">
        <f>Nodes!H9+"'E4!A;"</f>
        <v>#VALUE!</v>
      </c>
      <c r="BB10" t="e">
        <f>Nodes!I9+"'E4!A&lt;"</f>
        <v>#VALUE!</v>
      </c>
      <c r="BC10" t="e">
        <f>Nodes!J9+"'E4!A="</f>
        <v>#VALUE!</v>
      </c>
      <c r="BD10" t="e">
        <f>Nodes!K9+"'E4!A&gt;"</f>
        <v>#VALUE!</v>
      </c>
      <c r="BE10" t="e">
        <f>Nodes!L9+"'E4!A?"</f>
        <v>#VALUE!</v>
      </c>
      <c r="BF10" t="e">
        <f>Nodes!M9+"'E4!A@"</f>
        <v>#VALUE!</v>
      </c>
      <c r="BG10" t="e">
        <f>Nodes!N9+"'E4!AA"</f>
        <v>#VALUE!</v>
      </c>
      <c r="BH10" t="e">
        <f>Nodes!O9+"'E4!AB"</f>
        <v>#VALUE!</v>
      </c>
      <c r="BI10" t="e">
        <f>Nodes!P9+"'E4!AC"</f>
        <v>#VALUE!</v>
      </c>
      <c r="BJ10" t="e">
        <f>Nodes!Q9+"'E4!AD"</f>
        <v>#VALUE!</v>
      </c>
      <c r="BK10" t="e">
        <f>Nodes!R9+"'E4!AE"</f>
        <v>#VALUE!</v>
      </c>
      <c r="BL10" t="e">
        <f>Nodes!S9+"'E4!AF"</f>
        <v>#VALUE!</v>
      </c>
      <c r="BM10" t="e">
        <f>Nodes!T9+"'E4!AG"</f>
        <v>#VALUE!</v>
      </c>
      <c r="BN10" s="548" t="e">
        <f>Nodes!U9+"'E4!AH"</f>
        <v>#VALUE!</v>
      </c>
      <c r="BO10" s="548" t="e">
        <f>Nodes!V9+"'E4!AI"</f>
        <v>#VALUE!</v>
      </c>
      <c r="BP10" s="548" t="e">
        <f>Nodes!W9+"'E4!AJ"</f>
        <v>#VALUE!</v>
      </c>
      <c r="BQ10" s="333" t="e">
        <f>Nodes!X9+"'E4!AK"</f>
        <v>#VALUE!</v>
      </c>
      <c r="BR10" t="e">
        <f>Nodes!Y9+"'E4!AL"</f>
        <v>#VALUE!</v>
      </c>
      <c r="BS10" t="e">
        <f>Nodes!Z9+"'E4!AM"</f>
        <v>#VALUE!</v>
      </c>
      <c r="BT10" t="e">
        <f>Nodes!AA9+"'E4!AN"</f>
        <v>#VALUE!</v>
      </c>
      <c r="BU10" t="e">
        <f>Nodes!AB9+"'E4!AO"</f>
        <v>#VALUE!</v>
      </c>
      <c r="BV10" t="e">
        <f>Nodes!AC9+"'E4!AP"</f>
        <v>#VALUE!</v>
      </c>
      <c r="BW10" t="e">
        <f>Nodes!A10+"'E4!AQ"</f>
        <v>#VALUE!</v>
      </c>
      <c r="BX10" t="e">
        <f>Nodes!B10+"'E4!AR"</f>
        <v>#VALUE!</v>
      </c>
      <c r="BY10" t="e">
        <f>Nodes!C10+"'E4!AS"</f>
        <v>#VALUE!</v>
      </c>
      <c r="BZ10" t="e">
        <f>Nodes!D10+"'E4!AT"</f>
        <v>#VALUE!</v>
      </c>
      <c r="CA10" t="e">
        <f>Nodes!E10+"'E4!AU"</f>
        <v>#VALUE!</v>
      </c>
      <c r="CB10" t="e">
        <f>Nodes!F10+"'E4!AV"</f>
        <v>#VALUE!</v>
      </c>
      <c r="CC10" t="e">
        <f>Nodes!G10+"'E4!AW"</f>
        <v>#VALUE!</v>
      </c>
      <c r="CD10" t="e">
        <f>Nodes!H10+"'E4!AX"</f>
        <v>#VALUE!</v>
      </c>
      <c r="CE10" t="e">
        <f>Nodes!I10+"'E4!AY"</f>
        <v>#VALUE!</v>
      </c>
      <c r="CF10" t="e">
        <f>Nodes!J10+"'E4!AZ"</f>
        <v>#VALUE!</v>
      </c>
      <c r="CG10" t="e">
        <f>Nodes!K10+"'E4!A["</f>
        <v>#VALUE!</v>
      </c>
      <c r="CH10" t="e">
        <f>Nodes!L10+"'E4!A\"</f>
        <v>#VALUE!</v>
      </c>
      <c r="CI10" t="e">
        <f>Nodes!M10+"'E4!A]"</f>
        <v>#VALUE!</v>
      </c>
      <c r="CJ10" t="e">
        <f>Nodes!N10+"'E4!A^"</f>
        <v>#VALUE!</v>
      </c>
      <c r="CK10" t="e">
        <f>Nodes!O10+"'E4!A_"</f>
        <v>#VALUE!</v>
      </c>
      <c r="CL10" t="e">
        <f>Nodes!P10+"'E4!A`"</f>
        <v>#VALUE!</v>
      </c>
      <c r="CM10" t="e">
        <f>Nodes!Q10+"'E4!Aa"</f>
        <v>#VALUE!</v>
      </c>
      <c r="CN10" t="e">
        <f>Nodes!R10+"'E4!Ab"</f>
        <v>#VALUE!</v>
      </c>
      <c r="CO10" t="e">
        <f>Nodes!S10+"'E4!Ac"</f>
        <v>#VALUE!</v>
      </c>
      <c r="CP10" t="e">
        <f>Nodes!T10+"'E4!Ad"</f>
        <v>#VALUE!</v>
      </c>
      <c r="CQ10" s="548" t="e">
        <f>Nodes!U10+"'E4!Ae"</f>
        <v>#VALUE!</v>
      </c>
      <c r="CR10" s="548" t="e">
        <f>Nodes!V10+"'E4!Af"</f>
        <v>#VALUE!</v>
      </c>
      <c r="CS10" s="548" t="e">
        <f>Nodes!W10+"'E4!Ag"</f>
        <v>#VALUE!</v>
      </c>
      <c r="CT10" s="333" t="e">
        <f>Nodes!X10+"'E4!Ah"</f>
        <v>#VALUE!</v>
      </c>
      <c r="CU10" t="e">
        <f>Nodes!Y10+"'E4!Ai"</f>
        <v>#VALUE!</v>
      </c>
      <c r="CV10" t="e">
        <f>Nodes!Z10+"'E4!Aj"</f>
        <v>#VALUE!</v>
      </c>
      <c r="CW10" t="e">
        <f>Nodes!AA10+"'E4!Ak"</f>
        <v>#VALUE!</v>
      </c>
      <c r="CX10" t="e">
        <f>Nodes!AB10+"'E4!Al"</f>
        <v>#VALUE!</v>
      </c>
      <c r="CY10" t="e">
        <f>Nodes!AC10+"'E4!Am"</f>
        <v>#VALUE!</v>
      </c>
      <c r="CZ10" t="e">
        <f>Nodes!A11+"'E4!An"</f>
        <v>#VALUE!</v>
      </c>
      <c r="DA10" t="e">
        <f>Nodes!B11+"'E4!Ao"</f>
        <v>#VALUE!</v>
      </c>
      <c r="DB10" t="e">
        <f>Nodes!C11+"'E4!Ap"</f>
        <v>#VALUE!</v>
      </c>
      <c r="DC10" t="e">
        <f>Nodes!D11+"'E4!Aq"</f>
        <v>#VALUE!</v>
      </c>
      <c r="DD10" t="e">
        <f>Nodes!E11+"'E4!Ar"</f>
        <v>#VALUE!</v>
      </c>
      <c r="DE10" t="e">
        <f>Nodes!F11+"'E4!As"</f>
        <v>#VALUE!</v>
      </c>
      <c r="DF10" t="e">
        <f>Nodes!G11+"'E4!At"</f>
        <v>#VALUE!</v>
      </c>
      <c r="DG10" t="e">
        <f>Nodes!H11+"'E4!Au"</f>
        <v>#VALUE!</v>
      </c>
      <c r="DH10" t="e">
        <f>Nodes!I11+"'E4!Av"</f>
        <v>#VALUE!</v>
      </c>
      <c r="DI10" t="e">
        <f>Nodes!J11+"'E4!Aw"</f>
        <v>#VALUE!</v>
      </c>
      <c r="DJ10" t="e">
        <f>Nodes!K11+"'E4!Ax"</f>
        <v>#VALUE!</v>
      </c>
      <c r="DK10" t="e">
        <f>Nodes!L11+"'E4!Ay"</f>
        <v>#VALUE!</v>
      </c>
      <c r="DL10" t="e">
        <f>Nodes!M11+"'E4!Az"</f>
        <v>#VALUE!</v>
      </c>
      <c r="DM10" t="e">
        <f>Nodes!N11+"'E4!A{"</f>
        <v>#VALUE!</v>
      </c>
      <c r="DN10" t="e">
        <f>Nodes!O11+"'E4!A|"</f>
        <v>#VALUE!</v>
      </c>
      <c r="DO10" t="e">
        <f>Nodes!P11+"'E4!A}"</f>
        <v>#VALUE!</v>
      </c>
      <c r="DP10" t="e">
        <f>Nodes!Q11+"'E4!A~"</f>
        <v>#VALUE!</v>
      </c>
      <c r="DQ10" t="e">
        <f>Nodes!R11+"'E4!B#"</f>
        <v>#VALUE!</v>
      </c>
      <c r="DR10" t="e">
        <f>Nodes!S11+"'E4!B$"</f>
        <v>#VALUE!</v>
      </c>
      <c r="DS10" t="e">
        <f>Nodes!T11+"'E4!B%"</f>
        <v>#VALUE!</v>
      </c>
      <c r="DT10" s="548" t="e">
        <f>Nodes!U11+"'E4!B&amp;"</f>
        <v>#VALUE!</v>
      </c>
      <c r="DU10" s="548" t="e">
        <f>Nodes!V11+"'E4!B'"</f>
        <v>#VALUE!</v>
      </c>
      <c r="DV10" s="548" t="e">
        <f>Nodes!W11+"'E4!B("</f>
        <v>#VALUE!</v>
      </c>
      <c r="DW10" s="333" t="e">
        <f>Nodes!X11+"'E4!B)"</f>
        <v>#VALUE!</v>
      </c>
      <c r="DX10" t="e">
        <f>Nodes!Y11+"'E4!B."</f>
        <v>#VALUE!</v>
      </c>
      <c r="DY10" t="e">
        <f>Nodes!Z11+"'E4!B/"</f>
        <v>#VALUE!</v>
      </c>
      <c r="DZ10" t="e">
        <f>Nodes!AA11+"'E4!B0"</f>
        <v>#VALUE!</v>
      </c>
      <c r="EA10" t="e">
        <f>Nodes!AB11+"'E4!B1"</f>
        <v>#VALUE!</v>
      </c>
      <c r="EB10" t="e">
        <f>Nodes!AC11+"'E4!B2"</f>
        <v>#VALUE!</v>
      </c>
      <c r="EC10" t="e">
        <f>Nodes!A12+"'E4!B3"</f>
        <v>#VALUE!</v>
      </c>
      <c r="ED10" t="e">
        <f>Nodes!B12+"'E4!B4"</f>
        <v>#VALUE!</v>
      </c>
      <c r="EE10" t="e">
        <f>Nodes!C12+"'E4!B5"</f>
        <v>#VALUE!</v>
      </c>
      <c r="EF10" t="e">
        <f>Nodes!D12+"'E4!B6"</f>
        <v>#VALUE!</v>
      </c>
      <c r="EG10" t="e">
        <f>Nodes!E12+"'E4!B7"</f>
        <v>#VALUE!</v>
      </c>
      <c r="EH10" t="e">
        <f>Nodes!F12+"'E4!B8"</f>
        <v>#VALUE!</v>
      </c>
      <c r="EI10" t="e">
        <f>Nodes!G12+"'E4!B9"</f>
        <v>#VALUE!</v>
      </c>
      <c r="EJ10" t="e">
        <f>Nodes!H12+"'E4!B:"</f>
        <v>#VALUE!</v>
      </c>
      <c r="EK10" t="e">
        <f>Nodes!I12+"'E4!B;"</f>
        <v>#VALUE!</v>
      </c>
      <c r="EL10" t="e">
        <f>Nodes!J12+"'E4!B&lt;"</f>
        <v>#VALUE!</v>
      </c>
      <c r="EM10" t="e">
        <f>Nodes!K12+"'E4!B="</f>
        <v>#VALUE!</v>
      </c>
      <c r="EN10" t="e">
        <f>Nodes!L12+"'E4!B&gt;"</f>
        <v>#VALUE!</v>
      </c>
      <c r="EO10" t="e">
        <f>Nodes!M12+"'E4!B?"</f>
        <v>#VALUE!</v>
      </c>
      <c r="EP10" t="e">
        <f>Nodes!N12+"'E4!B@"</f>
        <v>#VALUE!</v>
      </c>
      <c r="EQ10" t="e">
        <f>Nodes!O12+"'E4!BA"</f>
        <v>#VALUE!</v>
      </c>
      <c r="ER10" t="e">
        <f>Nodes!P12+"'E4!BB"</f>
        <v>#VALUE!</v>
      </c>
      <c r="ES10" t="e">
        <f>Nodes!Q12+"'E4!BC"</f>
        <v>#VALUE!</v>
      </c>
      <c r="ET10" t="e">
        <f>Nodes!R12+"'E4!BD"</f>
        <v>#VALUE!</v>
      </c>
      <c r="EU10" t="e">
        <f>Nodes!S12+"'E4!BE"</f>
        <v>#VALUE!</v>
      </c>
      <c r="EV10" t="e">
        <f>Nodes!T12+"'E4!BF"</f>
        <v>#VALUE!</v>
      </c>
      <c r="EW10" s="548" t="e">
        <f>Nodes!U12+"'E4!BG"</f>
        <v>#VALUE!</v>
      </c>
      <c r="EX10" s="548" t="e">
        <f>Nodes!V12+"'E4!BH"</f>
        <v>#VALUE!</v>
      </c>
      <c r="EY10" s="548" t="e">
        <f>Nodes!W12+"'E4!BI"</f>
        <v>#VALUE!</v>
      </c>
      <c r="EZ10" s="333" t="e">
        <f>Nodes!X12+"'E4!BJ"</f>
        <v>#VALUE!</v>
      </c>
      <c r="FA10" t="e">
        <f>Nodes!Y12+"'E4!BK"</f>
        <v>#VALUE!</v>
      </c>
      <c r="FB10" t="e">
        <f>Nodes!Z12+"'E4!BL"</f>
        <v>#VALUE!</v>
      </c>
      <c r="FC10" t="e">
        <f>Nodes!AA12+"'E4!BM"</f>
        <v>#VALUE!</v>
      </c>
      <c r="FD10" t="e">
        <f>Nodes!AB12+"'E4!BN"</f>
        <v>#VALUE!</v>
      </c>
      <c r="FE10" t="e">
        <f>Nodes!AC12+"'E4!BO"</f>
        <v>#VALUE!</v>
      </c>
      <c r="FF10" t="e">
        <f>Nodes!A13+"'E4!BP"</f>
        <v>#VALUE!</v>
      </c>
      <c r="FG10" t="e">
        <f>Nodes!B13+"'E4!BQ"</f>
        <v>#VALUE!</v>
      </c>
      <c r="FH10" t="e">
        <f>Nodes!C13+"'E4!BR"</f>
        <v>#VALUE!</v>
      </c>
      <c r="FI10" t="e">
        <f>Nodes!D13+"'E4!BS"</f>
        <v>#VALUE!</v>
      </c>
      <c r="FJ10" t="e">
        <f>Nodes!E13+"'E4!BT"</f>
        <v>#VALUE!</v>
      </c>
      <c r="FK10" t="e">
        <f>Nodes!F13+"'E4!BU"</f>
        <v>#VALUE!</v>
      </c>
      <c r="FL10" t="e">
        <f>Nodes!G13+"'E4!BV"</f>
        <v>#VALUE!</v>
      </c>
      <c r="FM10" t="e">
        <f>Nodes!H13+"'E4!BW"</f>
        <v>#VALUE!</v>
      </c>
      <c r="FN10" t="e">
        <f>Nodes!I13+"'E4!BX"</f>
        <v>#VALUE!</v>
      </c>
      <c r="FO10" t="e">
        <f>Nodes!J13+"'E4!BY"</f>
        <v>#VALUE!</v>
      </c>
      <c r="FP10" t="e">
        <f>Nodes!K13+"'E4!BZ"</f>
        <v>#VALUE!</v>
      </c>
      <c r="FQ10" t="e">
        <f>Nodes!L13+"'E4!B["</f>
        <v>#VALUE!</v>
      </c>
      <c r="FR10" t="e">
        <f>Nodes!M13+"'E4!B\"</f>
        <v>#VALUE!</v>
      </c>
      <c r="FS10" t="e">
        <f>Nodes!N13+"'E4!B]"</f>
        <v>#VALUE!</v>
      </c>
      <c r="FT10" t="e">
        <f>Nodes!O13+"'E4!B^"</f>
        <v>#VALUE!</v>
      </c>
      <c r="FU10" t="e">
        <f>Nodes!P13+"'E4!B_"</f>
        <v>#VALUE!</v>
      </c>
      <c r="FV10" t="e">
        <f>Nodes!Q13+"'E4!B`"</f>
        <v>#VALUE!</v>
      </c>
      <c r="FW10" t="e">
        <f>Nodes!R13+"'E4!Ba"</f>
        <v>#VALUE!</v>
      </c>
      <c r="FX10" t="e">
        <f>Nodes!S13+"'E4!Bb"</f>
        <v>#VALUE!</v>
      </c>
      <c r="FY10" t="e">
        <f>Nodes!T13+"'E4!Bc"</f>
        <v>#VALUE!</v>
      </c>
      <c r="FZ10" s="548" t="e">
        <f>Nodes!U13+"'E4!Bd"</f>
        <v>#VALUE!</v>
      </c>
      <c r="GA10" s="548" t="e">
        <f>Nodes!V13+"'E4!Be"</f>
        <v>#VALUE!</v>
      </c>
      <c r="GB10" s="548" t="e">
        <f>Nodes!W13+"'E4!Bf"</f>
        <v>#VALUE!</v>
      </c>
      <c r="GC10" s="333" t="e">
        <f>Nodes!X13+"'E4!Bg"</f>
        <v>#VALUE!</v>
      </c>
      <c r="GD10" t="e">
        <f>Nodes!Y13+"'E4!Bh"</f>
        <v>#VALUE!</v>
      </c>
      <c r="GE10" t="e">
        <f>Nodes!Z13+"'E4!Bi"</f>
        <v>#VALUE!</v>
      </c>
      <c r="GF10" t="e">
        <f>Nodes!AA13+"'E4!Bj"</f>
        <v>#VALUE!</v>
      </c>
      <c r="GG10" t="e">
        <f>Nodes!AB13+"'E4!Bk"</f>
        <v>#VALUE!</v>
      </c>
      <c r="GH10" t="e">
        <f>Nodes!AC13+"'E4!Bl"</f>
        <v>#VALUE!</v>
      </c>
      <c r="GI10" t="e">
        <f>Nodes!A14+"'E4!Bm"</f>
        <v>#VALUE!</v>
      </c>
      <c r="GJ10" t="e">
        <f>Nodes!B14+"'E4!Bn"</f>
        <v>#VALUE!</v>
      </c>
      <c r="GK10" t="e">
        <f>Nodes!C14+"'E4!Bo"</f>
        <v>#VALUE!</v>
      </c>
      <c r="GL10" t="e">
        <f>Nodes!D14+"'E4!Bp"</f>
        <v>#VALUE!</v>
      </c>
      <c r="GM10" t="e">
        <f>Nodes!E14+"'E4!Bq"</f>
        <v>#VALUE!</v>
      </c>
      <c r="GN10" t="e">
        <f>Nodes!F14+"'E4!Br"</f>
        <v>#VALUE!</v>
      </c>
      <c r="GO10" t="e">
        <f>Nodes!G14+"'E4!Bs"</f>
        <v>#VALUE!</v>
      </c>
      <c r="GP10" t="e">
        <f>Nodes!H14+"'E4!Bt"</f>
        <v>#VALUE!</v>
      </c>
      <c r="GQ10" t="e">
        <f>Nodes!I14+"'E4!Bu"</f>
        <v>#VALUE!</v>
      </c>
      <c r="GR10" t="e">
        <f>Nodes!J14+"'E4!Bv"</f>
        <v>#VALUE!</v>
      </c>
      <c r="GS10" t="e">
        <f>Nodes!K14+"'E4!Bw"</f>
        <v>#VALUE!</v>
      </c>
      <c r="GT10" t="e">
        <f>Nodes!L14+"'E4!Bx"</f>
        <v>#VALUE!</v>
      </c>
      <c r="GU10" t="e">
        <f>Nodes!M14+"'E4!By"</f>
        <v>#VALUE!</v>
      </c>
      <c r="GV10" t="e">
        <f>Nodes!N14+"'E4!Bz"</f>
        <v>#VALUE!</v>
      </c>
      <c r="GW10" t="e">
        <f>Nodes!O14+"'E4!B{"</f>
        <v>#VALUE!</v>
      </c>
      <c r="GX10" t="e">
        <f>Nodes!P14+"'E4!B|"</f>
        <v>#VALUE!</v>
      </c>
      <c r="GY10" t="e">
        <f>Nodes!Q14+"'E4!B}"</f>
        <v>#VALUE!</v>
      </c>
      <c r="GZ10" t="e">
        <f>Nodes!R14+"'E4!B~"</f>
        <v>#VALUE!</v>
      </c>
      <c r="HA10" t="e">
        <f>Nodes!S14+"'E4!C#"</f>
        <v>#VALUE!</v>
      </c>
      <c r="HB10" t="e">
        <f>Nodes!T14+"'E4!C$"</f>
        <v>#VALUE!</v>
      </c>
      <c r="HC10" s="548" t="e">
        <f>Nodes!U14+"'E4!C%"</f>
        <v>#VALUE!</v>
      </c>
      <c r="HD10" s="548" t="e">
        <f>Nodes!V14+"'E4!C&amp;"</f>
        <v>#VALUE!</v>
      </c>
      <c r="HE10" s="548" t="e">
        <f>Nodes!W14+"'E4!C'"</f>
        <v>#VALUE!</v>
      </c>
      <c r="HF10" s="333" t="e">
        <f>Nodes!X14+"'E4!C("</f>
        <v>#VALUE!</v>
      </c>
      <c r="HG10" t="e">
        <f>Nodes!Y14+"'E4!C)"</f>
        <v>#VALUE!</v>
      </c>
      <c r="HH10" t="e">
        <f>Nodes!Z14+"'E4!C."</f>
        <v>#VALUE!</v>
      </c>
      <c r="HI10" t="e">
        <f>Nodes!AA14+"'E4!C/"</f>
        <v>#VALUE!</v>
      </c>
      <c r="HJ10" t="e">
        <f>Nodes!AB14+"'E4!C0"</f>
        <v>#VALUE!</v>
      </c>
      <c r="HK10" t="e">
        <f>Nodes!AC14+"'E4!C1"</f>
        <v>#VALUE!</v>
      </c>
      <c r="HL10" t="e">
        <f>Nodes!A15+"'E4!C2"</f>
        <v>#VALUE!</v>
      </c>
      <c r="HM10" t="e">
        <f>Nodes!B15+"'E4!C3"</f>
        <v>#VALUE!</v>
      </c>
      <c r="HN10" t="e">
        <f>Nodes!C15+"'E4!C4"</f>
        <v>#VALUE!</v>
      </c>
      <c r="HO10" t="e">
        <f>Nodes!D15+"'E4!C5"</f>
        <v>#VALUE!</v>
      </c>
      <c r="HP10" t="e">
        <f>Nodes!E15+"'E4!C6"</f>
        <v>#VALUE!</v>
      </c>
      <c r="HQ10" t="e">
        <f>Nodes!F15+"'E4!C7"</f>
        <v>#VALUE!</v>
      </c>
      <c r="HR10" t="e">
        <f>Nodes!G15+"'E4!C8"</f>
        <v>#VALUE!</v>
      </c>
      <c r="HS10" t="e">
        <f>Nodes!H15+"'E4!C9"</f>
        <v>#VALUE!</v>
      </c>
      <c r="HT10" t="e">
        <f>Nodes!I15+"'E4!C:"</f>
        <v>#VALUE!</v>
      </c>
      <c r="HU10" t="e">
        <f>Nodes!J15+"'E4!C;"</f>
        <v>#VALUE!</v>
      </c>
      <c r="HV10" t="e">
        <f>Nodes!K15+"'E4!C&lt;"</f>
        <v>#VALUE!</v>
      </c>
      <c r="HW10" t="e">
        <f>Nodes!L15+"'E4!C="</f>
        <v>#VALUE!</v>
      </c>
      <c r="HX10" t="e">
        <f>Nodes!M15+"'E4!C&gt;"</f>
        <v>#VALUE!</v>
      </c>
      <c r="HY10" t="e">
        <f>Nodes!N15+"'E4!C?"</f>
        <v>#VALUE!</v>
      </c>
      <c r="HZ10" t="e">
        <f>Nodes!O15+"'E4!C@"</f>
        <v>#VALUE!</v>
      </c>
      <c r="IA10" t="e">
        <f>Nodes!P15+"'E4!CA"</f>
        <v>#VALUE!</v>
      </c>
      <c r="IB10" t="e">
        <f>Nodes!Q15+"'E4!CB"</f>
        <v>#VALUE!</v>
      </c>
      <c r="IC10" t="e">
        <f>Nodes!R15+"'E4!CC"</f>
        <v>#VALUE!</v>
      </c>
      <c r="ID10" t="e">
        <f>Nodes!S15+"'E4!CD"</f>
        <v>#VALUE!</v>
      </c>
      <c r="IE10" t="e">
        <f>Nodes!T15+"'E4!CE"</f>
        <v>#VALUE!</v>
      </c>
      <c r="IF10" s="548" t="e">
        <f>Nodes!U15+"'E4!CF"</f>
        <v>#VALUE!</v>
      </c>
      <c r="IG10" s="548" t="e">
        <f>Nodes!V15+"'E4!CG"</f>
        <v>#VALUE!</v>
      </c>
      <c r="IH10" s="548" t="e">
        <f>Nodes!W15+"'E4!CH"</f>
        <v>#VALUE!</v>
      </c>
      <c r="II10" s="333" t="e">
        <f>Nodes!X15+"'E4!CI"</f>
        <v>#VALUE!</v>
      </c>
      <c r="IJ10" t="e">
        <f>Nodes!Y15+"'E4!CJ"</f>
        <v>#VALUE!</v>
      </c>
      <c r="IK10" t="e">
        <f>Nodes!Z15+"'E4!CK"</f>
        <v>#VALUE!</v>
      </c>
      <c r="IL10" t="e">
        <f>Nodes!AA15+"'E4!CL"</f>
        <v>#VALUE!</v>
      </c>
      <c r="IM10" t="e">
        <f>Nodes!AB15+"'E4!CM"</f>
        <v>#VALUE!</v>
      </c>
      <c r="IN10" t="e">
        <f>Nodes!AC15+"'E4!CN"</f>
        <v>#VALUE!</v>
      </c>
      <c r="IO10" t="e">
        <f>Nodes!A16+"'E4!CO"</f>
        <v>#VALUE!</v>
      </c>
      <c r="IP10" t="e">
        <f>Nodes!B16+"'E4!CP"</f>
        <v>#VALUE!</v>
      </c>
      <c r="IQ10" t="e">
        <f>Nodes!C16+"'E4!CQ"</f>
        <v>#VALUE!</v>
      </c>
      <c r="IR10" t="e">
        <f>Nodes!D16+"'E4!CR"</f>
        <v>#VALUE!</v>
      </c>
      <c r="IS10" t="e">
        <f>Nodes!E16+"'E4!CS"</f>
        <v>#VALUE!</v>
      </c>
      <c r="IT10" t="e">
        <f>Nodes!F16+"'E4!CT"</f>
        <v>#VALUE!</v>
      </c>
      <c r="IU10" t="e">
        <f>Nodes!G16+"'E4!CU"</f>
        <v>#VALUE!</v>
      </c>
      <c r="IV10" t="e">
        <f>Nodes!H16+"'E4!CV"</f>
        <v>#VALUE!</v>
      </c>
    </row>
    <row r="11" spans="1:256">
      <c r="F11" t="e">
        <f>Nodes!I16+"'E4!CW"</f>
        <v>#VALUE!</v>
      </c>
      <c r="G11" t="e">
        <f>Nodes!J16+"'E4!CX"</f>
        <v>#VALUE!</v>
      </c>
      <c r="H11" t="e">
        <f>Nodes!K16+"'E4!CY"</f>
        <v>#VALUE!</v>
      </c>
      <c r="I11" t="e">
        <f>Nodes!L16+"'E4!CZ"</f>
        <v>#VALUE!</v>
      </c>
      <c r="J11" t="e">
        <f>Nodes!M16+"'E4!C["</f>
        <v>#VALUE!</v>
      </c>
      <c r="K11" t="e">
        <f>Nodes!N16+"'E4!C\"</f>
        <v>#VALUE!</v>
      </c>
      <c r="L11" t="e">
        <f>Nodes!O16+"'E4!C]"</f>
        <v>#VALUE!</v>
      </c>
      <c r="M11" t="e">
        <f>Nodes!P16+"'E4!C^"</f>
        <v>#VALUE!</v>
      </c>
      <c r="N11" t="e">
        <f>Nodes!Q16+"'E4!C_"</f>
        <v>#VALUE!</v>
      </c>
      <c r="O11" t="e">
        <f>Nodes!R16+"'E4!C`"</f>
        <v>#VALUE!</v>
      </c>
      <c r="P11" t="e">
        <f>Nodes!S16+"'E4!Ca"</f>
        <v>#VALUE!</v>
      </c>
      <c r="Q11" t="e">
        <f>Nodes!T16+"'E4!Cb"</f>
        <v>#VALUE!</v>
      </c>
      <c r="R11" s="548" t="e">
        <f>Nodes!U16+"'E4!Cc"</f>
        <v>#VALUE!</v>
      </c>
      <c r="S11" s="548" t="e">
        <f>Nodes!V16+"'E4!Cd"</f>
        <v>#VALUE!</v>
      </c>
      <c r="T11" s="548" t="e">
        <f>Nodes!W16+"'E4!Ce"</f>
        <v>#VALUE!</v>
      </c>
      <c r="U11" s="333" t="e">
        <f>Nodes!X16+"'E4!Cf"</f>
        <v>#VALUE!</v>
      </c>
      <c r="V11" t="e">
        <f>Nodes!Y16+"'E4!Cg"</f>
        <v>#VALUE!</v>
      </c>
      <c r="W11" t="e">
        <f>Nodes!Z16+"'E4!Ch"</f>
        <v>#VALUE!</v>
      </c>
      <c r="X11" t="e">
        <f>Nodes!AA16+"'E4!Ci"</f>
        <v>#VALUE!</v>
      </c>
      <c r="Y11" t="e">
        <f>Nodes!AB16+"'E4!Cj"</f>
        <v>#VALUE!</v>
      </c>
      <c r="Z11" t="e">
        <f>Nodes!AC16+"'E4!Ck"</f>
        <v>#VALUE!</v>
      </c>
      <c r="AA11" t="e">
        <f>Nodes!A17+"'E4!Cl"</f>
        <v>#VALUE!</v>
      </c>
      <c r="AB11" t="e">
        <f>Nodes!B17+"'E4!Cm"</f>
        <v>#VALUE!</v>
      </c>
      <c r="AC11" t="e">
        <f>Nodes!C17+"'E4!Cn"</f>
        <v>#VALUE!</v>
      </c>
      <c r="AD11" t="e">
        <f>Nodes!D17+"'E4!Co"</f>
        <v>#VALUE!</v>
      </c>
      <c r="AE11" t="e">
        <f>Nodes!E17+"'E4!Cp"</f>
        <v>#VALUE!</v>
      </c>
      <c r="AF11" t="e">
        <f>Nodes!F17+"'E4!Cq"</f>
        <v>#VALUE!</v>
      </c>
      <c r="AG11" t="e">
        <f>Nodes!G17+"'E4!Cr"</f>
        <v>#VALUE!</v>
      </c>
      <c r="AH11" t="e">
        <f>Nodes!H17+"'E4!Cs"</f>
        <v>#VALUE!</v>
      </c>
      <c r="AI11" t="e">
        <f>Nodes!I17+"'E4!Ct"</f>
        <v>#VALUE!</v>
      </c>
      <c r="AJ11" t="e">
        <f>Nodes!J17+"'E4!Cu"</f>
        <v>#VALUE!</v>
      </c>
      <c r="AK11" t="e">
        <f>Nodes!K17+"'E4!Cv"</f>
        <v>#VALUE!</v>
      </c>
      <c r="AL11" t="e">
        <f>Nodes!L17+"'E4!Cw"</f>
        <v>#VALUE!</v>
      </c>
      <c r="AM11" t="e">
        <f>Nodes!M17+"'E4!Cx"</f>
        <v>#VALUE!</v>
      </c>
      <c r="AN11" t="e">
        <f>Nodes!N17+"'E4!Cy"</f>
        <v>#VALUE!</v>
      </c>
      <c r="AO11" t="e">
        <f>Nodes!O17+"'E4!Cz"</f>
        <v>#VALUE!</v>
      </c>
      <c r="AP11" t="e">
        <f>Nodes!P17+"'E4!C{"</f>
        <v>#VALUE!</v>
      </c>
      <c r="AQ11" t="e">
        <f>Nodes!Q17+"'E4!C|"</f>
        <v>#VALUE!</v>
      </c>
      <c r="AR11" t="e">
        <f>Nodes!R17+"'E4!C}"</f>
        <v>#VALUE!</v>
      </c>
      <c r="AS11" t="e">
        <f>Nodes!S17+"'E4!C~"</f>
        <v>#VALUE!</v>
      </c>
      <c r="AT11" t="e">
        <f>Nodes!T17+"'E4!D#"</f>
        <v>#VALUE!</v>
      </c>
      <c r="AU11" s="548" t="e">
        <f>Nodes!U17+"'E4!D$"</f>
        <v>#VALUE!</v>
      </c>
      <c r="AV11" s="548" t="e">
        <f>Nodes!V17+"'E4!D%"</f>
        <v>#VALUE!</v>
      </c>
      <c r="AW11" s="548" t="e">
        <f>Nodes!W17+"'E4!D&amp;"</f>
        <v>#VALUE!</v>
      </c>
      <c r="AX11" s="333" t="e">
        <f>Nodes!X17+"'E4!D'"</f>
        <v>#VALUE!</v>
      </c>
      <c r="AY11" t="e">
        <f>Nodes!Y17+"'E4!D("</f>
        <v>#VALUE!</v>
      </c>
      <c r="AZ11" t="e">
        <f>Nodes!Z17+"'E4!D)"</f>
        <v>#VALUE!</v>
      </c>
      <c r="BA11" t="e">
        <f>Nodes!AA17+"'E4!D."</f>
        <v>#VALUE!</v>
      </c>
      <c r="BB11" t="e">
        <f>Nodes!AB17+"'E4!D/"</f>
        <v>#VALUE!</v>
      </c>
      <c r="BC11" t="e">
        <f>Nodes!AC17+"'E4!D0"</f>
        <v>#VALUE!</v>
      </c>
      <c r="BD11" t="e">
        <f>Nodes!A18+"'E4!D1"</f>
        <v>#VALUE!</v>
      </c>
      <c r="BE11" t="e">
        <f>Nodes!B18+"'E4!D2"</f>
        <v>#VALUE!</v>
      </c>
      <c r="BF11" t="e">
        <f>Nodes!C18+"'E4!D3"</f>
        <v>#VALUE!</v>
      </c>
      <c r="BG11" t="e">
        <f>Nodes!D18+"'E4!D4"</f>
        <v>#VALUE!</v>
      </c>
      <c r="BH11" t="e">
        <f>Nodes!E18+"'E4!D5"</f>
        <v>#VALUE!</v>
      </c>
      <c r="BI11" t="e">
        <f>Nodes!F18+"'E4!D6"</f>
        <v>#VALUE!</v>
      </c>
      <c r="BJ11" t="e">
        <f>Nodes!G18+"'E4!D7"</f>
        <v>#VALUE!</v>
      </c>
      <c r="BK11" t="e">
        <f>Nodes!H18+"'E4!D8"</f>
        <v>#VALUE!</v>
      </c>
      <c r="BL11" t="e">
        <f>Nodes!I18+"'E4!D9"</f>
        <v>#VALUE!</v>
      </c>
      <c r="BM11" t="e">
        <f>Nodes!J18+"'E4!D:"</f>
        <v>#VALUE!</v>
      </c>
      <c r="BN11" t="e">
        <f>Nodes!K18+"'E4!D;"</f>
        <v>#VALUE!</v>
      </c>
      <c r="BO11" t="e">
        <f>Nodes!L18+"'E4!D&lt;"</f>
        <v>#VALUE!</v>
      </c>
      <c r="BP11" t="e">
        <f>Nodes!M18+"'E4!D="</f>
        <v>#VALUE!</v>
      </c>
      <c r="BQ11" t="e">
        <f>Nodes!N18+"'E4!D&gt;"</f>
        <v>#VALUE!</v>
      </c>
      <c r="BR11" t="e">
        <f>Nodes!O18+"'E4!D?"</f>
        <v>#VALUE!</v>
      </c>
      <c r="BS11" t="e">
        <f>Nodes!P18+"'E4!D@"</f>
        <v>#VALUE!</v>
      </c>
      <c r="BT11" t="e">
        <f>Nodes!Q18+"'E4!DA"</f>
        <v>#VALUE!</v>
      </c>
      <c r="BU11" t="e">
        <f>Nodes!R18+"'E4!DB"</f>
        <v>#VALUE!</v>
      </c>
      <c r="BV11" t="e">
        <f>Nodes!S18+"'E4!DC"</f>
        <v>#VALUE!</v>
      </c>
      <c r="BW11" t="e">
        <f>Nodes!T18+"'E4!DD"</f>
        <v>#VALUE!</v>
      </c>
      <c r="BX11" s="548" t="e">
        <f>Nodes!U18+"'E4!DE"</f>
        <v>#VALUE!</v>
      </c>
      <c r="BY11" s="548" t="e">
        <f>Nodes!V18+"'E4!DF"</f>
        <v>#VALUE!</v>
      </c>
      <c r="BZ11" s="548" t="e">
        <f>Nodes!W18+"'E4!DG"</f>
        <v>#VALUE!</v>
      </c>
      <c r="CA11" s="333" t="e">
        <f>Nodes!X18+"'E4!DH"</f>
        <v>#VALUE!</v>
      </c>
      <c r="CB11" t="e">
        <f>Nodes!Y18+"'E4!DI"</f>
        <v>#VALUE!</v>
      </c>
      <c r="CC11" t="e">
        <f>Nodes!Z18+"'E4!DJ"</f>
        <v>#VALUE!</v>
      </c>
      <c r="CD11" t="e">
        <f>Nodes!AA18+"'E4!DK"</f>
        <v>#VALUE!</v>
      </c>
      <c r="CE11" t="e">
        <f>Nodes!AB18+"'E4!DL"</f>
        <v>#VALUE!</v>
      </c>
      <c r="CF11" t="e">
        <f>Nodes!AC18+"'E4!DM"</f>
        <v>#VALUE!</v>
      </c>
      <c r="CG11" t="e">
        <f>Nodes!A19+"'E4!DN"</f>
        <v>#VALUE!</v>
      </c>
      <c r="CH11" t="e">
        <f>Nodes!B19+"'E4!DO"</f>
        <v>#VALUE!</v>
      </c>
      <c r="CI11" t="e">
        <f>Nodes!C19+"'E4!DP"</f>
        <v>#VALUE!</v>
      </c>
      <c r="CJ11" t="e">
        <f>Nodes!D19+"'E4!DQ"</f>
        <v>#VALUE!</v>
      </c>
      <c r="CK11" t="e">
        <f>Nodes!E19+"'E4!DR"</f>
        <v>#VALUE!</v>
      </c>
      <c r="CL11" t="e">
        <f>Nodes!F19+"'E4!DS"</f>
        <v>#VALUE!</v>
      </c>
      <c r="CM11" t="e">
        <f>Nodes!G19+"'E4!DT"</f>
        <v>#VALUE!</v>
      </c>
      <c r="CN11" t="e">
        <f>Nodes!H19+"'E4!DU"</f>
        <v>#VALUE!</v>
      </c>
      <c r="CO11" t="e">
        <f>Nodes!I19+"'E4!DV"</f>
        <v>#VALUE!</v>
      </c>
      <c r="CP11" t="e">
        <f>Nodes!J19+"'E4!DW"</f>
        <v>#VALUE!</v>
      </c>
      <c r="CQ11" t="e">
        <f>Nodes!K19+"'E4!DX"</f>
        <v>#VALUE!</v>
      </c>
      <c r="CR11" t="e">
        <f>Nodes!L19+"'E4!DY"</f>
        <v>#VALUE!</v>
      </c>
      <c r="CS11" t="e">
        <f>Nodes!M19+"'E4!DZ"</f>
        <v>#VALUE!</v>
      </c>
      <c r="CT11" t="e">
        <f>Nodes!N19+"'E4!D["</f>
        <v>#VALUE!</v>
      </c>
      <c r="CU11" t="e">
        <f>Nodes!O19+"'E4!D\"</f>
        <v>#VALUE!</v>
      </c>
      <c r="CV11" t="e">
        <f>Nodes!P19+"'E4!D]"</f>
        <v>#VALUE!</v>
      </c>
      <c r="CW11" t="e">
        <f>Nodes!Q19+"'E4!D^"</f>
        <v>#VALUE!</v>
      </c>
      <c r="CX11" t="e">
        <f>Nodes!R19+"'E4!D_"</f>
        <v>#VALUE!</v>
      </c>
      <c r="CY11" t="e">
        <f>Nodes!S19+"'E4!D`"</f>
        <v>#VALUE!</v>
      </c>
      <c r="CZ11" t="e">
        <f>Nodes!T19+"'E4!Da"</f>
        <v>#VALUE!</v>
      </c>
      <c r="DA11" s="548" t="e">
        <f>Nodes!U19+"'E4!Db"</f>
        <v>#VALUE!</v>
      </c>
      <c r="DB11" s="548" t="e">
        <f>Nodes!V19+"'E4!Dc"</f>
        <v>#VALUE!</v>
      </c>
      <c r="DC11" s="548" t="e">
        <f>Nodes!W19+"'E4!Dd"</f>
        <v>#VALUE!</v>
      </c>
      <c r="DD11" s="333" t="e">
        <f>Nodes!X19+"'E4!De"</f>
        <v>#VALUE!</v>
      </c>
      <c r="DE11" t="e">
        <f>Nodes!Y19+"'E4!Df"</f>
        <v>#VALUE!</v>
      </c>
      <c r="DF11" t="e">
        <f>Nodes!Z19+"'E4!Dg"</f>
        <v>#VALUE!</v>
      </c>
      <c r="DG11" t="e">
        <f>Nodes!AA19+"'E4!Dh"</f>
        <v>#VALUE!</v>
      </c>
      <c r="DH11" t="e">
        <f>Nodes!AB19+"'E4!Di"</f>
        <v>#VALUE!</v>
      </c>
      <c r="DI11" t="e">
        <f>Nodes!AC19+"'E4!Dj"</f>
        <v>#VALUE!</v>
      </c>
      <c r="DJ11" t="e">
        <f>Nodes!A20+"'E4!Dk"</f>
        <v>#VALUE!</v>
      </c>
      <c r="DK11" t="e">
        <f>Nodes!B20+"'E4!Dl"</f>
        <v>#VALUE!</v>
      </c>
      <c r="DL11" t="e">
        <f>Nodes!C20+"'E4!Dm"</f>
        <v>#VALUE!</v>
      </c>
      <c r="DM11" t="e">
        <f>Nodes!D20+"'E4!Dn"</f>
        <v>#VALUE!</v>
      </c>
      <c r="DN11" t="e">
        <f>Nodes!E20+"'E4!Do"</f>
        <v>#VALUE!</v>
      </c>
      <c r="DO11" t="e">
        <f>Nodes!F20+"'E4!Dp"</f>
        <v>#VALUE!</v>
      </c>
      <c r="DP11" t="e">
        <f>Nodes!G20+"'E4!Dq"</f>
        <v>#VALUE!</v>
      </c>
      <c r="DQ11" t="e">
        <f>Nodes!H20+"'E4!Dr"</f>
        <v>#VALUE!</v>
      </c>
      <c r="DR11" t="e">
        <f>Nodes!I20+"'E4!Ds"</f>
        <v>#VALUE!</v>
      </c>
      <c r="DS11" t="e">
        <f>Nodes!J20+"'E4!Dt"</f>
        <v>#VALUE!</v>
      </c>
      <c r="DT11" t="e">
        <f>Nodes!K20+"'E4!Du"</f>
        <v>#VALUE!</v>
      </c>
      <c r="DU11" t="e">
        <f>Nodes!L20+"'E4!Dv"</f>
        <v>#VALUE!</v>
      </c>
      <c r="DV11" t="e">
        <f>Nodes!M20+"'E4!Dw"</f>
        <v>#VALUE!</v>
      </c>
      <c r="DW11" t="e">
        <f>Nodes!N20+"'E4!Dx"</f>
        <v>#VALUE!</v>
      </c>
      <c r="DX11" t="e">
        <f>Nodes!O20+"'E4!Dy"</f>
        <v>#VALUE!</v>
      </c>
      <c r="DY11" t="e">
        <f>Nodes!P20+"'E4!Dz"</f>
        <v>#VALUE!</v>
      </c>
      <c r="DZ11" t="e">
        <f>Nodes!Q20+"'E4!D{"</f>
        <v>#VALUE!</v>
      </c>
      <c r="EA11" t="e">
        <f>Nodes!R20+"'E4!D|"</f>
        <v>#VALUE!</v>
      </c>
      <c r="EB11" t="e">
        <f>Nodes!S20+"'E4!D}"</f>
        <v>#VALUE!</v>
      </c>
      <c r="EC11" t="e">
        <f>Nodes!T20+"'E4!D~"</f>
        <v>#VALUE!</v>
      </c>
      <c r="ED11" s="548" t="e">
        <f>Nodes!U20+"'E4!E#"</f>
        <v>#VALUE!</v>
      </c>
      <c r="EE11" s="548" t="e">
        <f>Nodes!V20+"'E4!E$"</f>
        <v>#VALUE!</v>
      </c>
      <c r="EF11" s="548" t="e">
        <f>Nodes!W20+"'E4!E%"</f>
        <v>#VALUE!</v>
      </c>
      <c r="EG11" s="333" t="e">
        <f>Nodes!X20+"'E4!E&amp;"</f>
        <v>#VALUE!</v>
      </c>
      <c r="EH11" t="e">
        <f>Nodes!Y20+"'E4!E'"</f>
        <v>#VALUE!</v>
      </c>
      <c r="EI11" t="e">
        <f>Nodes!Z20+"'E4!E("</f>
        <v>#VALUE!</v>
      </c>
      <c r="EJ11" t="e">
        <f>Nodes!AA20+"'E4!E)"</f>
        <v>#VALUE!</v>
      </c>
      <c r="EK11" t="e">
        <f>Nodes!AB20+"'E4!E."</f>
        <v>#VALUE!</v>
      </c>
      <c r="EL11" t="e">
        <f>Nodes!AC20+"'E4!E/"</f>
        <v>#VALUE!</v>
      </c>
      <c r="EM11" t="e">
        <f>Nodes!A21+"'E4!E0"</f>
        <v>#VALUE!</v>
      </c>
      <c r="EN11" t="e">
        <f>Nodes!B21+"'E4!E1"</f>
        <v>#VALUE!</v>
      </c>
      <c r="EO11" t="e">
        <f>Nodes!C21+"'E4!E2"</f>
        <v>#VALUE!</v>
      </c>
      <c r="EP11" t="e">
        <f>Nodes!D21+"'E4!E3"</f>
        <v>#VALUE!</v>
      </c>
      <c r="EQ11" t="e">
        <f>Nodes!E21+"'E4!E4"</f>
        <v>#VALUE!</v>
      </c>
      <c r="ER11" t="e">
        <f>Nodes!F21+"'E4!E5"</f>
        <v>#VALUE!</v>
      </c>
      <c r="ES11" t="e">
        <f>Nodes!G21+"'E4!E6"</f>
        <v>#VALUE!</v>
      </c>
      <c r="ET11" t="e">
        <f>Nodes!H21+"'E4!E7"</f>
        <v>#VALUE!</v>
      </c>
      <c r="EU11" t="e">
        <f>Nodes!I21+"'E4!E8"</f>
        <v>#VALUE!</v>
      </c>
      <c r="EV11" t="e">
        <f>Nodes!J21+"'E4!E9"</f>
        <v>#VALUE!</v>
      </c>
      <c r="EW11" t="e">
        <f>Nodes!K21+"'E4!E:"</f>
        <v>#VALUE!</v>
      </c>
      <c r="EX11" t="e">
        <f>Nodes!L21+"'E4!E;"</f>
        <v>#VALUE!</v>
      </c>
      <c r="EY11" t="e">
        <f>Nodes!M21+"'E4!E&lt;"</f>
        <v>#VALUE!</v>
      </c>
      <c r="EZ11" t="e">
        <f>Nodes!N21+"'E4!E="</f>
        <v>#VALUE!</v>
      </c>
      <c r="FA11" t="e">
        <f>Nodes!O21+"'E4!E&gt;"</f>
        <v>#VALUE!</v>
      </c>
      <c r="FB11" t="e">
        <f>Nodes!P21+"'E4!E?"</f>
        <v>#VALUE!</v>
      </c>
      <c r="FC11" t="e">
        <f>Nodes!Q21+"'E4!E@"</f>
        <v>#VALUE!</v>
      </c>
      <c r="FD11" t="e">
        <f>Nodes!R21+"'E4!EA"</f>
        <v>#VALUE!</v>
      </c>
      <c r="FE11" t="e">
        <f>Nodes!S21+"'E4!EB"</f>
        <v>#VALUE!</v>
      </c>
      <c r="FF11" t="e">
        <f>Nodes!T21+"'E4!EC"</f>
        <v>#VALUE!</v>
      </c>
      <c r="FG11" s="548" t="e">
        <f>Nodes!U21+"'E4!ED"</f>
        <v>#VALUE!</v>
      </c>
      <c r="FH11" s="548" t="e">
        <f>Nodes!V21+"'E4!EE"</f>
        <v>#VALUE!</v>
      </c>
      <c r="FI11" s="548" t="e">
        <f>Nodes!W21+"'E4!EF"</f>
        <v>#VALUE!</v>
      </c>
      <c r="FJ11" s="333" t="e">
        <f>Nodes!X21+"'E4!EG"</f>
        <v>#VALUE!</v>
      </c>
      <c r="FK11" t="e">
        <f>Nodes!Y21+"'E4!EH"</f>
        <v>#VALUE!</v>
      </c>
      <c r="FL11" t="e">
        <f>Nodes!Z21+"'E4!EI"</f>
        <v>#VALUE!</v>
      </c>
      <c r="FM11" t="e">
        <f>Nodes!AA21+"'E4!EJ"</f>
        <v>#VALUE!</v>
      </c>
      <c r="FN11" t="e">
        <f>Nodes!AB21+"'E4!EK"</f>
        <v>#VALUE!</v>
      </c>
      <c r="FO11" t="e">
        <f>Nodes!AC21+"'E4!EL"</f>
        <v>#VALUE!</v>
      </c>
      <c r="FP11" t="e">
        <f>Nodes!A22+"'E4!EM"</f>
        <v>#VALUE!</v>
      </c>
      <c r="FQ11" t="e">
        <f>Nodes!B22+"'E4!EN"</f>
        <v>#VALUE!</v>
      </c>
      <c r="FR11" t="e">
        <f>Nodes!C22+"'E4!EO"</f>
        <v>#VALUE!</v>
      </c>
      <c r="FS11" t="e">
        <f>Nodes!D22+"'E4!EP"</f>
        <v>#VALUE!</v>
      </c>
      <c r="FT11" t="e">
        <f>Nodes!E22+"'E4!EQ"</f>
        <v>#VALUE!</v>
      </c>
      <c r="FU11" t="e">
        <f>Nodes!F22+"'E4!ER"</f>
        <v>#VALUE!</v>
      </c>
      <c r="FV11" t="e">
        <f>Nodes!G22+"'E4!ES"</f>
        <v>#VALUE!</v>
      </c>
      <c r="FW11" t="e">
        <f>Nodes!H22+"'E4!ET"</f>
        <v>#VALUE!</v>
      </c>
      <c r="FX11" t="e">
        <f>Nodes!I22+"'E4!EU"</f>
        <v>#VALUE!</v>
      </c>
      <c r="FY11" t="e">
        <f>Nodes!J22+"'E4!EV"</f>
        <v>#VALUE!</v>
      </c>
      <c r="FZ11" t="e">
        <f>Nodes!K22+"'E4!EW"</f>
        <v>#VALUE!</v>
      </c>
      <c r="GA11" t="e">
        <f>Nodes!L22+"'E4!EX"</f>
        <v>#VALUE!</v>
      </c>
      <c r="GB11" t="e">
        <f>Nodes!M22+"'E4!EY"</f>
        <v>#VALUE!</v>
      </c>
      <c r="GC11" t="e">
        <f>Nodes!N22+"'E4!EZ"</f>
        <v>#VALUE!</v>
      </c>
      <c r="GD11" t="e">
        <f>Nodes!O22+"'E4!E["</f>
        <v>#VALUE!</v>
      </c>
      <c r="GE11" t="e">
        <f>Nodes!P22+"'E4!E\"</f>
        <v>#VALUE!</v>
      </c>
      <c r="GF11" t="e">
        <f>Nodes!Q22+"'E4!E]"</f>
        <v>#VALUE!</v>
      </c>
      <c r="GG11" t="e">
        <f>Nodes!R22+"'E4!E^"</f>
        <v>#VALUE!</v>
      </c>
      <c r="GH11" t="e">
        <f>Nodes!S22+"'E4!E_"</f>
        <v>#VALUE!</v>
      </c>
      <c r="GI11" t="e">
        <f>Nodes!T22+"'E4!E`"</f>
        <v>#VALUE!</v>
      </c>
      <c r="GJ11" s="548" t="e">
        <f>Nodes!U22+"'E4!Ea"</f>
        <v>#VALUE!</v>
      </c>
      <c r="GK11" s="548" t="e">
        <f>Nodes!V22+"'E4!Eb"</f>
        <v>#VALUE!</v>
      </c>
      <c r="GL11" s="548" t="e">
        <f>Nodes!W22+"'E4!Ec"</f>
        <v>#VALUE!</v>
      </c>
      <c r="GM11" s="333" t="e">
        <f>Nodes!X22+"'E4!Ed"</f>
        <v>#VALUE!</v>
      </c>
      <c r="GN11" t="e">
        <f>Nodes!Y22+"'E4!Ee"</f>
        <v>#VALUE!</v>
      </c>
      <c r="GO11" t="e">
        <f>Nodes!Z22+"'E4!Ef"</f>
        <v>#VALUE!</v>
      </c>
      <c r="GP11" t="e">
        <f>Nodes!AA22+"'E4!Eg"</f>
        <v>#VALUE!</v>
      </c>
      <c r="GQ11" t="e">
        <f>Nodes!AB22+"'E4!Eh"</f>
        <v>#VALUE!</v>
      </c>
      <c r="GR11" t="e">
        <f>Nodes!AC22+"'E4!Ei"</f>
        <v>#VALUE!</v>
      </c>
      <c r="GS11" t="e">
        <f>Nodes!A23+"'E4!Ej"</f>
        <v>#VALUE!</v>
      </c>
      <c r="GT11" t="e">
        <f>Nodes!B23+"'E4!Ek"</f>
        <v>#VALUE!</v>
      </c>
      <c r="GU11" t="e">
        <f>Nodes!C23+"'E4!El"</f>
        <v>#VALUE!</v>
      </c>
      <c r="GV11" t="e">
        <f>Nodes!D23+"'E4!Em"</f>
        <v>#VALUE!</v>
      </c>
      <c r="GW11" t="e">
        <f>Nodes!E23+"'E4!En"</f>
        <v>#VALUE!</v>
      </c>
      <c r="GX11" t="e">
        <f>Nodes!F23+"'E4!Eo"</f>
        <v>#VALUE!</v>
      </c>
      <c r="GY11" t="e">
        <f>Nodes!G23+"'E4!Ep"</f>
        <v>#VALUE!</v>
      </c>
      <c r="GZ11" t="e">
        <f>Nodes!H23+"'E4!Eq"</f>
        <v>#VALUE!</v>
      </c>
      <c r="HA11" t="e">
        <f>Nodes!I23+"'E4!Er"</f>
        <v>#VALUE!</v>
      </c>
      <c r="HB11" t="e">
        <f>Nodes!J23+"'E4!Es"</f>
        <v>#VALUE!</v>
      </c>
      <c r="HC11" t="e">
        <f>Nodes!K23+"'E4!Et"</f>
        <v>#VALUE!</v>
      </c>
      <c r="HD11" t="e">
        <f>Nodes!L23+"'E4!Eu"</f>
        <v>#VALUE!</v>
      </c>
      <c r="HE11" t="e">
        <f>Nodes!M23+"'E4!Ev"</f>
        <v>#VALUE!</v>
      </c>
      <c r="HF11" t="e">
        <f>Nodes!N23+"'E4!Ew"</f>
        <v>#VALUE!</v>
      </c>
      <c r="HG11" t="e">
        <f>Nodes!O23+"'E4!Ex"</f>
        <v>#VALUE!</v>
      </c>
      <c r="HH11" t="e">
        <f>Nodes!P23+"'E4!Ey"</f>
        <v>#VALUE!</v>
      </c>
      <c r="HI11" t="e">
        <f>Nodes!Q23+"'E4!Ez"</f>
        <v>#VALUE!</v>
      </c>
      <c r="HJ11" t="e">
        <f>Nodes!R23+"'E4!E{"</f>
        <v>#VALUE!</v>
      </c>
      <c r="HK11" t="e">
        <f>Nodes!S23+"'E4!E|"</f>
        <v>#VALUE!</v>
      </c>
      <c r="HL11" t="e">
        <f>Nodes!T23+"'E4!E}"</f>
        <v>#VALUE!</v>
      </c>
      <c r="HM11" s="548" t="e">
        <f>Nodes!U23+"'E4!E~"</f>
        <v>#VALUE!</v>
      </c>
      <c r="HN11" s="548" t="e">
        <f>Nodes!V23+"'E4!F#"</f>
        <v>#VALUE!</v>
      </c>
      <c r="HO11" s="548" t="e">
        <f>Nodes!W23+"'E4!F$"</f>
        <v>#VALUE!</v>
      </c>
      <c r="HP11" s="333" t="e">
        <f>Nodes!X23+"'E4!F%"</f>
        <v>#VALUE!</v>
      </c>
      <c r="HQ11" t="e">
        <f>Nodes!Y23+"'E4!F&amp;"</f>
        <v>#VALUE!</v>
      </c>
      <c r="HR11" t="e">
        <f>Nodes!Z23+"'E4!F'"</f>
        <v>#VALUE!</v>
      </c>
      <c r="HS11" t="e">
        <f>Nodes!AA23+"'E4!F("</f>
        <v>#VALUE!</v>
      </c>
      <c r="HT11" t="e">
        <f>Nodes!AB23+"'E4!F)"</f>
        <v>#VALUE!</v>
      </c>
      <c r="HU11" t="e">
        <f>Nodes!AC23+"'E4!F."</f>
        <v>#VALUE!</v>
      </c>
      <c r="HV11" t="e">
        <f>Nodes!A24+"'E4!F/"</f>
        <v>#VALUE!</v>
      </c>
      <c r="HW11" t="e">
        <f>Nodes!B24+"'E4!F0"</f>
        <v>#VALUE!</v>
      </c>
      <c r="HX11" t="e">
        <f>Nodes!C24+"'E4!F1"</f>
        <v>#VALUE!</v>
      </c>
      <c r="HY11" t="e">
        <f>Nodes!D24+"'E4!F2"</f>
        <v>#VALUE!</v>
      </c>
      <c r="HZ11" t="e">
        <f>Nodes!E24+"'E4!F3"</f>
        <v>#VALUE!</v>
      </c>
      <c r="IA11" t="e">
        <f>Nodes!F24+"'E4!F4"</f>
        <v>#VALUE!</v>
      </c>
      <c r="IB11" t="e">
        <f>Nodes!G24+"'E4!F5"</f>
        <v>#VALUE!</v>
      </c>
      <c r="IC11" t="e">
        <f>Nodes!H24+"'E4!F6"</f>
        <v>#VALUE!</v>
      </c>
      <c r="ID11" t="e">
        <f>Nodes!I24+"'E4!F7"</f>
        <v>#VALUE!</v>
      </c>
      <c r="IE11" t="e">
        <f>Nodes!J24+"'E4!F8"</f>
        <v>#VALUE!</v>
      </c>
      <c r="IF11" t="e">
        <f>Nodes!K24+"'E4!F9"</f>
        <v>#VALUE!</v>
      </c>
      <c r="IG11" t="e">
        <f>Nodes!L24+"'E4!F:"</f>
        <v>#VALUE!</v>
      </c>
      <c r="IH11" t="e">
        <f>Nodes!M24+"'E4!F;"</f>
        <v>#VALUE!</v>
      </c>
      <c r="II11" t="e">
        <f>Nodes!N24+"'E4!F&lt;"</f>
        <v>#VALUE!</v>
      </c>
      <c r="IJ11" t="e">
        <f>Nodes!O24+"'E4!F="</f>
        <v>#VALUE!</v>
      </c>
      <c r="IK11" t="e">
        <f>Nodes!P24+"'E4!F&gt;"</f>
        <v>#VALUE!</v>
      </c>
      <c r="IL11" t="e">
        <f>Nodes!Q24+"'E4!F?"</f>
        <v>#VALUE!</v>
      </c>
      <c r="IM11" t="e">
        <f>Nodes!R24+"'E4!F@"</f>
        <v>#VALUE!</v>
      </c>
      <c r="IN11" t="e">
        <f>Nodes!S24+"'E4!FA"</f>
        <v>#VALUE!</v>
      </c>
      <c r="IO11" t="e">
        <f>Nodes!T24+"'E4!FB"</f>
        <v>#VALUE!</v>
      </c>
      <c r="IP11" s="548" t="e">
        <f>Nodes!U24+"'E4!FC"</f>
        <v>#VALUE!</v>
      </c>
      <c r="IQ11" s="548" t="e">
        <f>Nodes!V24+"'E4!FD"</f>
        <v>#VALUE!</v>
      </c>
      <c r="IR11" s="548" t="e">
        <f>Nodes!W24+"'E4!FE"</f>
        <v>#VALUE!</v>
      </c>
      <c r="IS11" s="333" t="e">
        <f>Nodes!X24+"'E4!FF"</f>
        <v>#VALUE!</v>
      </c>
      <c r="IT11" t="e">
        <f>Nodes!Y24+"'E4!FG"</f>
        <v>#VALUE!</v>
      </c>
      <c r="IU11" t="e">
        <f>Nodes!Z24+"'E4!FH"</f>
        <v>#VALUE!</v>
      </c>
      <c r="IV11" t="e">
        <f>Nodes!AA24+"'E4!FI"</f>
        <v>#VALUE!</v>
      </c>
    </row>
    <row r="12" spans="1:256">
      <c r="F12" t="e">
        <f>Nodes!AB24+"'E4!FJ"</f>
        <v>#VALUE!</v>
      </c>
      <c r="G12" t="e">
        <f>Nodes!AC24+"'E4!FK"</f>
        <v>#VALUE!</v>
      </c>
      <c r="H12" t="e">
        <f>Nodes!A25+"'E4!FL"</f>
        <v>#VALUE!</v>
      </c>
      <c r="I12" t="e">
        <f>Nodes!B25+"'E4!FM"</f>
        <v>#VALUE!</v>
      </c>
      <c r="J12" t="e">
        <f>Nodes!C25+"'E4!FN"</f>
        <v>#VALUE!</v>
      </c>
      <c r="K12" t="e">
        <f>Nodes!D25+"'E4!FO"</f>
        <v>#VALUE!</v>
      </c>
      <c r="L12" t="e">
        <f>Nodes!E25+"'E4!FP"</f>
        <v>#VALUE!</v>
      </c>
      <c r="M12" t="e">
        <f>Nodes!F25+"'E4!FQ"</f>
        <v>#VALUE!</v>
      </c>
      <c r="N12" t="e">
        <f>Nodes!G25+"'E4!FR"</f>
        <v>#VALUE!</v>
      </c>
      <c r="O12" t="e">
        <f>Nodes!H25+"'E4!FS"</f>
        <v>#VALUE!</v>
      </c>
      <c r="P12" t="e">
        <f>Nodes!I25+"'E4!FT"</f>
        <v>#VALUE!</v>
      </c>
      <c r="Q12" t="e">
        <f>Nodes!J25+"'E4!FU"</f>
        <v>#VALUE!</v>
      </c>
      <c r="R12" t="e">
        <f>Nodes!K25+"'E4!FV"</f>
        <v>#VALUE!</v>
      </c>
      <c r="S12" t="e">
        <f>Nodes!L25+"'E4!FW"</f>
        <v>#VALUE!</v>
      </c>
      <c r="T12" t="e">
        <f>Nodes!M25+"'E4!FX"</f>
        <v>#VALUE!</v>
      </c>
      <c r="U12" t="e">
        <f>Nodes!N25+"'E4!FY"</f>
        <v>#VALUE!</v>
      </c>
      <c r="V12" t="e">
        <f>Nodes!O25+"'E4!FZ"</f>
        <v>#VALUE!</v>
      </c>
      <c r="W12" t="e">
        <f>Nodes!P25+"'E4!F["</f>
        <v>#VALUE!</v>
      </c>
      <c r="X12" t="e">
        <f>Nodes!Q25+"'E4!F\"</f>
        <v>#VALUE!</v>
      </c>
      <c r="Y12" t="e">
        <f>Nodes!R25+"'E4!F]"</f>
        <v>#VALUE!</v>
      </c>
      <c r="Z12" t="e">
        <f>Nodes!S25+"'E4!F^"</f>
        <v>#VALUE!</v>
      </c>
      <c r="AA12" t="e">
        <f>Nodes!T25+"'E4!F_"</f>
        <v>#VALUE!</v>
      </c>
      <c r="AB12" s="548" t="e">
        <f>Nodes!U25+"'E4!F`"</f>
        <v>#VALUE!</v>
      </c>
      <c r="AC12" s="548" t="e">
        <f>Nodes!V25+"'E4!Fa"</f>
        <v>#VALUE!</v>
      </c>
      <c r="AD12" s="548" t="e">
        <f>Nodes!W25+"'E4!Fb"</f>
        <v>#VALUE!</v>
      </c>
      <c r="AE12" s="333" t="e">
        <f>Nodes!X25+"'E4!Fc"</f>
        <v>#VALUE!</v>
      </c>
      <c r="AF12" t="e">
        <f>Nodes!Y25+"'E4!Fd"</f>
        <v>#VALUE!</v>
      </c>
      <c r="AG12" t="e">
        <f>Nodes!Z25+"'E4!Fe"</f>
        <v>#VALUE!</v>
      </c>
      <c r="AH12" t="e">
        <f>Nodes!AA25+"'E4!Ff"</f>
        <v>#VALUE!</v>
      </c>
      <c r="AI12" t="e">
        <f>Nodes!AB25+"'E4!Fg"</f>
        <v>#VALUE!</v>
      </c>
      <c r="AJ12" t="e">
        <f>Nodes!AC25+"'E4!Fh"</f>
        <v>#VALUE!</v>
      </c>
      <c r="AK12" t="e">
        <f>Nodes!A26+"'E4!Fi"</f>
        <v>#VALUE!</v>
      </c>
      <c r="AL12" t="e">
        <f>Nodes!B26+"'E4!Fj"</f>
        <v>#VALUE!</v>
      </c>
      <c r="AM12" t="e">
        <f>Nodes!C26+"'E4!Fk"</f>
        <v>#VALUE!</v>
      </c>
      <c r="AN12" t="e">
        <f>Nodes!D26+"'E4!Fl"</f>
        <v>#VALUE!</v>
      </c>
      <c r="AO12" t="e">
        <f>Nodes!E26+"'E4!Fm"</f>
        <v>#VALUE!</v>
      </c>
      <c r="AP12" t="e">
        <f>Nodes!F26+"'E4!Fn"</f>
        <v>#VALUE!</v>
      </c>
      <c r="AQ12" t="e">
        <f>Nodes!G26+"'E4!Fo"</f>
        <v>#VALUE!</v>
      </c>
      <c r="AR12" t="e">
        <f>Nodes!H26+"'E4!Fp"</f>
        <v>#VALUE!</v>
      </c>
      <c r="AS12" t="e">
        <f>Nodes!I26+"'E4!Fq"</f>
        <v>#VALUE!</v>
      </c>
      <c r="AT12" t="e">
        <f>Nodes!J26+"'E4!Fr"</f>
        <v>#VALUE!</v>
      </c>
      <c r="AU12" t="e">
        <f>Nodes!K26+"'E4!Fs"</f>
        <v>#VALUE!</v>
      </c>
      <c r="AV12" t="e">
        <f>Nodes!L26+"'E4!Ft"</f>
        <v>#VALUE!</v>
      </c>
      <c r="AW12" t="e">
        <f>Nodes!M26+"'E4!Fu"</f>
        <v>#VALUE!</v>
      </c>
      <c r="AX12" t="e">
        <f>Nodes!N26+"'E4!Fv"</f>
        <v>#VALUE!</v>
      </c>
      <c r="AY12" t="e">
        <f>Nodes!O26+"'E4!Fw"</f>
        <v>#VALUE!</v>
      </c>
      <c r="AZ12" t="e">
        <f>Nodes!P26+"'E4!Fx"</f>
        <v>#VALUE!</v>
      </c>
      <c r="BA12" t="e">
        <f>Nodes!Q26+"'E4!Fy"</f>
        <v>#VALUE!</v>
      </c>
      <c r="BB12" t="e">
        <f>Nodes!R26+"'E4!Fz"</f>
        <v>#VALUE!</v>
      </c>
      <c r="BC12" t="e">
        <f>Nodes!S26+"'E4!F{"</f>
        <v>#VALUE!</v>
      </c>
      <c r="BD12" t="e">
        <f>Nodes!T26+"'E4!F|"</f>
        <v>#VALUE!</v>
      </c>
      <c r="BE12" s="548" t="e">
        <f>Nodes!U26+"'E4!F}"</f>
        <v>#VALUE!</v>
      </c>
      <c r="BF12" s="548" t="e">
        <f>Nodes!V26+"'E4!F~"</f>
        <v>#VALUE!</v>
      </c>
      <c r="BG12" s="548" t="e">
        <f>Nodes!W26+"'E4!G#"</f>
        <v>#VALUE!</v>
      </c>
      <c r="BH12" s="333" t="e">
        <f>Nodes!X26+"'E4!G$"</f>
        <v>#VALUE!</v>
      </c>
      <c r="BI12" t="e">
        <f>Nodes!Y26+"'E4!G%"</f>
        <v>#VALUE!</v>
      </c>
      <c r="BJ12" t="e">
        <f>Nodes!Z26+"'E4!G&amp;"</f>
        <v>#VALUE!</v>
      </c>
      <c r="BK12" t="e">
        <f>Nodes!AA26+"'E4!G'"</f>
        <v>#VALUE!</v>
      </c>
      <c r="BL12" t="e">
        <f>Nodes!AB26+"'E4!G("</f>
        <v>#VALUE!</v>
      </c>
      <c r="BM12" t="e">
        <f>Nodes!AC26+"'E4!G)"</f>
        <v>#VALUE!</v>
      </c>
      <c r="BN12" t="e">
        <f>Nodes!A27+"'E4!G."</f>
        <v>#VALUE!</v>
      </c>
      <c r="BO12" t="e">
        <f>Nodes!B27+"'E4!G/"</f>
        <v>#VALUE!</v>
      </c>
      <c r="BP12" t="e">
        <f>Nodes!C27+"'E4!G0"</f>
        <v>#VALUE!</v>
      </c>
      <c r="BQ12" t="e">
        <f>Nodes!D27+"'E4!G1"</f>
        <v>#VALUE!</v>
      </c>
      <c r="BR12" t="e">
        <f>Nodes!E27+"'E4!G2"</f>
        <v>#VALUE!</v>
      </c>
      <c r="BS12" t="e">
        <f>Nodes!F27+"'E4!G3"</f>
        <v>#VALUE!</v>
      </c>
      <c r="BT12" t="e">
        <f>Nodes!G27+"'E4!G4"</f>
        <v>#VALUE!</v>
      </c>
      <c r="BU12" t="e">
        <f>Nodes!H27+"'E4!G5"</f>
        <v>#VALUE!</v>
      </c>
      <c r="BV12" t="e">
        <f>Nodes!I27+"'E4!G6"</f>
        <v>#VALUE!</v>
      </c>
      <c r="BW12" t="e">
        <f>Nodes!J27+"'E4!G7"</f>
        <v>#VALUE!</v>
      </c>
      <c r="BX12" t="e">
        <f>Nodes!K27+"'E4!G8"</f>
        <v>#VALUE!</v>
      </c>
      <c r="BY12" t="e">
        <f>Nodes!L27+"'E4!G9"</f>
        <v>#VALUE!</v>
      </c>
      <c r="BZ12" t="e">
        <f>Nodes!M27+"'E4!G:"</f>
        <v>#VALUE!</v>
      </c>
      <c r="CA12" t="e">
        <f>Nodes!N27+"'E4!G;"</f>
        <v>#VALUE!</v>
      </c>
      <c r="CB12" t="e">
        <f>Nodes!O27+"'E4!G&lt;"</f>
        <v>#VALUE!</v>
      </c>
      <c r="CC12" t="e">
        <f>Nodes!P27+"'E4!G="</f>
        <v>#VALUE!</v>
      </c>
      <c r="CD12" t="e">
        <f>Nodes!Q27+"'E4!G&gt;"</f>
        <v>#VALUE!</v>
      </c>
      <c r="CE12" t="e">
        <f>Nodes!R27+"'E4!G?"</f>
        <v>#VALUE!</v>
      </c>
      <c r="CF12" t="e">
        <f>Nodes!S27+"'E4!G@"</f>
        <v>#VALUE!</v>
      </c>
      <c r="CG12" t="e">
        <f>Nodes!T27+"'E4!GA"</f>
        <v>#VALUE!</v>
      </c>
      <c r="CH12" s="548" t="e">
        <f>Nodes!U27+"'E4!GB"</f>
        <v>#VALUE!</v>
      </c>
      <c r="CI12" s="548" t="e">
        <f>Nodes!V27+"'E4!GC"</f>
        <v>#VALUE!</v>
      </c>
      <c r="CJ12" s="548" t="e">
        <f>Nodes!W27+"'E4!GD"</f>
        <v>#VALUE!</v>
      </c>
      <c r="CK12" s="333" t="e">
        <f>Nodes!X27+"'E4!GE"</f>
        <v>#VALUE!</v>
      </c>
      <c r="CL12" t="e">
        <f>Nodes!Y27+"'E4!GF"</f>
        <v>#VALUE!</v>
      </c>
      <c r="CM12" t="e">
        <f>Nodes!Z27+"'E4!GG"</f>
        <v>#VALUE!</v>
      </c>
      <c r="CN12" t="e">
        <f>Nodes!AA27+"'E4!GH"</f>
        <v>#VALUE!</v>
      </c>
      <c r="CO12" t="e">
        <f>Nodes!AB27+"'E4!GI"</f>
        <v>#VALUE!</v>
      </c>
      <c r="CP12" t="e">
        <f>Nodes!AC27+"'E4!GJ"</f>
        <v>#VALUE!</v>
      </c>
      <c r="CQ12" t="e">
        <f>Nodes!A28+"'E4!GK"</f>
        <v>#VALUE!</v>
      </c>
      <c r="CR12" t="e">
        <f>Nodes!B28+"'E4!GL"</f>
        <v>#VALUE!</v>
      </c>
      <c r="CS12" t="e">
        <f>Nodes!C28+"'E4!GM"</f>
        <v>#VALUE!</v>
      </c>
      <c r="CT12" t="e">
        <f>Nodes!D28+"'E4!GN"</f>
        <v>#VALUE!</v>
      </c>
      <c r="CU12" t="e">
        <f>Nodes!E28+"'E4!GO"</f>
        <v>#VALUE!</v>
      </c>
      <c r="CV12" t="e">
        <f>Nodes!F28+"'E4!GP"</f>
        <v>#VALUE!</v>
      </c>
      <c r="CW12" t="e">
        <f>Nodes!G28+"'E4!GQ"</f>
        <v>#VALUE!</v>
      </c>
      <c r="CX12" t="e">
        <f>Nodes!H28+"'E4!GR"</f>
        <v>#VALUE!</v>
      </c>
      <c r="CY12" t="e">
        <f>Nodes!I28+"'E4!GS"</f>
        <v>#VALUE!</v>
      </c>
      <c r="CZ12" t="e">
        <f>Nodes!J28+"'E4!GT"</f>
        <v>#VALUE!</v>
      </c>
      <c r="DA12" t="e">
        <f>Nodes!K28+"'E4!GU"</f>
        <v>#VALUE!</v>
      </c>
      <c r="DB12" t="e">
        <f>Nodes!L28+"'E4!GV"</f>
        <v>#VALUE!</v>
      </c>
      <c r="DC12" t="e">
        <f>Nodes!M28+"'E4!GW"</f>
        <v>#VALUE!</v>
      </c>
      <c r="DD12" t="e">
        <f>Nodes!N28+"'E4!GX"</f>
        <v>#VALUE!</v>
      </c>
      <c r="DE12" t="e">
        <f>Nodes!O28+"'E4!GY"</f>
        <v>#VALUE!</v>
      </c>
      <c r="DF12" t="e">
        <f>Nodes!P28+"'E4!GZ"</f>
        <v>#VALUE!</v>
      </c>
      <c r="DG12" t="e">
        <f>Nodes!Q28+"'E4!G["</f>
        <v>#VALUE!</v>
      </c>
      <c r="DH12" t="e">
        <f>Nodes!R28+"'E4!G\"</f>
        <v>#VALUE!</v>
      </c>
      <c r="DI12" t="e">
        <f>Nodes!S28+"'E4!G]"</f>
        <v>#VALUE!</v>
      </c>
      <c r="DJ12" t="e">
        <f>Nodes!T28+"'E4!G^"</f>
        <v>#VALUE!</v>
      </c>
      <c r="DK12" s="548" t="e">
        <f>Nodes!U28+"'E4!G_"</f>
        <v>#VALUE!</v>
      </c>
      <c r="DL12" s="548" t="e">
        <f>Nodes!V28+"'E4!G`"</f>
        <v>#VALUE!</v>
      </c>
      <c r="DM12" s="548" t="e">
        <f>Nodes!W28+"'E4!Ga"</f>
        <v>#VALUE!</v>
      </c>
      <c r="DN12" s="333" t="e">
        <f>Nodes!X28+"'E4!Gb"</f>
        <v>#VALUE!</v>
      </c>
      <c r="DO12" t="e">
        <f>Nodes!Y28+"'E4!Gc"</f>
        <v>#VALUE!</v>
      </c>
      <c r="DP12" t="e">
        <f>Nodes!Z28+"'E4!Gd"</f>
        <v>#VALUE!</v>
      </c>
      <c r="DQ12" t="e">
        <f>Nodes!AA28+"'E4!Ge"</f>
        <v>#VALUE!</v>
      </c>
      <c r="DR12" t="e">
        <f>Nodes!AB28+"'E4!Gf"</f>
        <v>#VALUE!</v>
      </c>
      <c r="DS12" t="e">
        <f>Nodes!AC28+"'E4!Gg"</f>
        <v>#VALUE!</v>
      </c>
      <c r="DT12" t="e">
        <f>Nodes!A29+"'E4!Gh"</f>
        <v>#VALUE!</v>
      </c>
      <c r="DU12" t="e">
        <f>Nodes!B29+"'E4!Gi"</f>
        <v>#VALUE!</v>
      </c>
      <c r="DV12" t="e">
        <f>Nodes!C29+"'E4!Gj"</f>
        <v>#VALUE!</v>
      </c>
      <c r="DW12" t="e">
        <f>Nodes!D29+"'E4!Gk"</f>
        <v>#VALUE!</v>
      </c>
      <c r="DX12" t="e">
        <f>Nodes!E29+"'E4!Gl"</f>
        <v>#VALUE!</v>
      </c>
      <c r="DY12" t="e">
        <f>Nodes!F29+"'E4!Gm"</f>
        <v>#VALUE!</v>
      </c>
      <c r="DZ12" t="e">
        <f>Nodes!G29+"'E4!Gn"</f>
        <v>#VALUE!</v>
      </c>
      <c r="EA12" t="e">
        <f>Nodes!H29+"'E4!Go"</f>
        <v>#VALUE!</v>
      </c>
      <c r="EB12" t="e">
        <f>Nodes!I29+"'E4!Gp"</f>
        <v>#VALUE!</v>
      </c>
      <c r="EC12" t="e">
        <f>Nodes!J29+"'E4!Gq"</f>
        <v>#VALUE!</v>
      </c>
      <c r="ED12" t="e">
        <f>Nodes!K29+"'E4!Gr"</f>
        <v>#VALUE!</v>
      </c>
      <c r="EE12" t="e">
        <f>Nodes!L29+"'E4!Gs"</f>
        <v>#VALUE!</v>
      </c>
      <c r="EF12" t="e">
        <f>Nodes!M29+"'E4!Gt"</f>
        <v>#VALUE!</v>
      </c>
      <c r="EG12" t="e">
        <f>Nodes!N29+"'E4!Gu"</f>
        <v>#VALUE!</v>
      </c>
      <c r="EH12" t="e">
        <f>Nodes!O29+"'E4!Gv"</f>
        <v>#VALUE!</v>
      </c>
      <c r="EI12" t="e">
        <f>Nodes!P29+"'E4!Gw"</f>
        <v>#VALUE!</v>
      </c>
      <c r="EJ12" t="e">
        <f>Nodes!Q29+"'E4!Gx"</f>
        <v>#VALUE!</v>
      </c>
      <c r="EK12" t="e">
        <f>Nodes!R29+"'E4!Gy"</f>
        <v>#VALUE!</v>
      </c>
      <c r="EL12" t="e">
        <f>Nodes!S29+"'E4!Gz"</f>
        <v>#VALUE!</v>
      </c>
      <c r="EM12" t="e">
        <f>Nodes!T29+"'E4!G{"</f>
        <v>#VALUE!</v>
      </c>
      <c r="EN12" s="548" t="e">
        <f>Nodes!U29+"'E4!G|"</f>
        <v>#VALUE!</v>
      </c>
      <c r="EO12" s="548" t="e">
        <f>Nodes!V29+"'E4!G}"</f>
        <v>#VALUE!</v>
      </c>
      <c r="EP12" s="548" t="e">
        <f>Nodes!W29+"'E4!G~"</f>
        <v>#VALUE!</v>
      </c>
      <c r="EQ12" s="333" t="e">
        <f>Nodes!X29+"'E4!H#"</f>
        <v>#VALUE!</v>
      </c>
      <c r="ER12" t="e">
        <f>Nodes!Y29+"'E4!H$"</f>
        <v>#VALUE!</v>
      </c>
      <c r="ES12" t="e">
        <f>Nodes!Z29+"'E4!H%"</f>
        <v>#VALUE!</v>
      </c>
      <c r="ET12" t="e">
        <f>Nodes!AA29+"'E4!H&amp;"</f>
        <v>#VALUE!</v>
      </c>
      <c r="EU12" t="e">
        <f>Nodes!AB29+"'E4!H'"</f>
        <v>#VALUE!</v>
      </c>
      <c r="EV12" t="e">
        <f>Nodes!AC29+"'E4!H("</f>
        <v>#VALUE!</v>
      </c>
      <c r="EW12" t="e">
        <f>Nodes!A30+"'E4!H)"</f>
        <v>#VALUE!</v>
      </c>
      <c r="EX12" t="e">
        <f>Nodes!B30+"'E4!H."</f>
        <v>#VALUE!</v>
      </c>
      <c r="EY12" t="e">
        <f>Nodes!C30+"'E4!H/"</f>
        <v>#VALUE!</v>
      </c>
      <c r="EZ12" t="e">
        <f>Nodes!D30+"'E4!H0"</f>
        <v>#VALUE!</v>
      </c>
      <c r="FA12" t="e">
        <f>Nodes!E30+"'E4!H1"</f>
        <v>#VALUE!</v>
      </c>
      <c r="FB12" t="e">
        <f>Nodes!F30+"'E4!H2"</f>
        <v>#VALUE!</v>
      </c>
      <c r="FC12" t="e">
        <f>Nodes!G30+"'E4!H3"</f>
        <v>#VALUE!</v>
      </c>
      <c r="FD12" t="e">
        <f>Nodes!H30+"'E4!H4"</f>
        <v>#VALUE!</v>
      </c>
      <c r="FE12" t="e">
        <f>Nodes!I30+"'E4!H5"</f>
        <v>#VALUE!</v>
      </c>
      <c r="FF12" t="e">
        <f>Nodes!J30+"'E4!H6"</f>
        <v>#VALUE!</v>
      </c>
      <c r="FG12" t="e">
        <f>Nodes!K30+"'E4!H7"</f>
        <v>#VALUE!</v>
      </c>
      <c r="FH12" t="e">
        <f>Nodes!L30+"'E4!H8"</f>
        <v>#VALUE!</v>
      </c>
      <c r="FI12" t="e">
        <f>Nodes!M30+"'E4!H9"</f>
        <v>#VALUE!</v>
      </c>
      <c r="FJ12" t="e">
        <f>Nodes!N30+"'E4!H:"</f>
        <v>#VALUE!</v>
      </c>
      <c r="FK12" t="e">
        <f>Nodes!O30+"'E4!H;"</f>
        <v>#VALUE!</v>
      </c>
      <c r="FL12" t="e">
        <f>Nodes!P30+"'E4!H&lt;"</f>
        <v>#VALUE!</v>
      </c>
      <c r="FM12" t="e">
        <f>Nodes!Q30+"'E4!H="</f>
        <v>#VALUE!</v>
      </c>
      <c r="FN12" t="e">
        <f>Nodes!R30+"'E4!H&gt;"</f>
        <v>#VALUE!</v>
      </c>
      <c r="FO12" t="e">
        <f>Nodes!S30+"'E4!H?"</f>
        <v>#VALUE!</v>
      </c>
      <c r="FP12" t="e">
        <f>Nodes!T30+"'E4!H@"</f>
        <v>#VALUE!</v>
      </c>
      <c r="FQ12" s="548" t="e">
        <f>Nodes!U30+"'E4!HA"</f>
        <v>#VALUE!</v>
      </c>
      <c r="FR12" s="548" t="e">
        <f>Nodes!V30+"'E4!HB"</f>
        <v>#VALUE!</v>
      </c>
      <c r="FS12" s="548" t="e">
        <f>Nodes!W30+"'E4!HC"</f>
        <v>#VALUE!</v>
      </c>
      <c r="FT12" s="333" t="e">
        <f>Nodes!X30+"'E4!HD"</f>
        <v>#VALUE!</v>
      </c>
      <c r="FU12" t="e">
        <f>Nodes!Y30+"'E4!HE"</f>
        <v>#VALUE!</v>
      </c>
      <c r="FV12" t="e">
        <f>Nodes!Z30+"'E4!HF"</f>
        <v>#VALUE!</v>
      </c>
      <c r="FW12" t="e">
        <f>Nodes!AA30+"'E4!HG"</f>
        <v>#VALUE!</v>
      </c>
      <c r="FX12" t="e">
        <f>Nodes!AB30+"'E4!HH"</f>
        <v>#VALUE!</v>
      </c>
      <c r="FY12" t="e">
        <f>Nodes!AC30+"'E4!HI"</f>
        <v>#VALUE!</v>
      </c>
      <c r="FZ12" t="e">
        <f>Nodes!A31+"'E4!HJ"</f>
        <v>#VALUE!</v>
      </c>
      <c r="GA12" t="e">
        <f>Nodes!B31+"'E4!HK"</f>
        <v>#VALUE!</v>
      </c>
      <c r="GB12" t="e">
        <f>Nodes!C31+"'E4!HL"</f>
        <v>#VALUE!</v>
      </c>
      <c r="GC12" t="e">
        <f>Nodes!D31+"'E4!HM"</f>
        <v>#VALUE!</v>
      </c>
      <c r="GD12" t="e">
        <f>Nodes!E31+"'E4!HN"</f>
        <v>#VALUE!</v>
      </c>
      <c r="GE12" t="e">
        <f>Nodes!F31+"'E4!HO"</f>
        <v>#VALUE!</v>
      </c>
      <c r="GF12" t="e">
        <f>Nodes!G31+"'E4!HP"</f>
        <v>#VALUE!</v>
      </c>
      <c r="GG12" t="e">
        <f>Nodes!H31+"'E4!HQ"</f>
        <v>#VALUE!</v>
      </c>
      <c r="GH12" t="e">
        <f>Nodes!I31+"'E4!HR"</f>
        <v>#VALUE!</v>
      </c>
      <c r="GI12" t="e">
        <f>Nodes!J31+"'E4!HS"</f>
        <v>#VALUE!</v>
      </c>
      <c r="GJ12" t="e">
        <f>Nodes!K31+"'E4!HT"</f>
        <v>#VALUE!</v>
      </c>
      <c r="GK12" t="e">
        <f>Nodes!L31+"'E4!HU"</f>
        <v>#VALUE!</v>
      </c>
      <c r="GL12" t="e">
        <f>Nodes!M31+"'E4!HV"</f>
        <v>#VALUE!</v>
      </c>
      <c r="GM12" t="e">
        <f>Nodes!N31+"'E4!HW"</f>
        <v>#VALUE!</v>
      </c>
      <c r="GN12" t="e">
        <f>Nodes!O31+"'E4!HX"</f>
        <v>#VALUE!</v>
      </c>
      <c r="GO12" t="e">
        <f>Nodes!P31+"'E4!HY"</f>
        <v>#VALUE!</v>
      </c>
      <c r="GP12" t="e">
        <f>Nodes!Q31+"'E4!HZ"</f>
        <v>#VALUE!</v>
      </c>
      <c r="GQ12" t="e">
        <f>Nodes!R31+"'E4!H["</f>
        <v>#VALUE!</v>
      </c>
      <c r="GR12" t="e">
        <f>Nodes!S31+"'E4!H\"</f>
        <v>#VALUE!</v>
      </c>
      <c r="GS12" t="e">
        <f>Nodes!T31+"'E4!H]"</f>
        <v>#VALUE!</v>
      </c>
      <c r="GT12" s="548" t="e">
        <f>Nodes!U31+"'E4!H^"</f>
        <v>#VALUE!</v>
      </c>
      <c r="GU12" s="548" t="e">
        <f>Nodes!V31+"'E4!H_"</f>
        <v>#VALUE!</v>
      </c>
      <c r="GV12" s="548" t="e">
        <f>Nodes!W31+"'E4!H`"</f>
        <v>#VALUE!</v>
      </c>
      <c r="GW12" s="333" t="e">
        <f>Nodes!X31+"'E4!Ha"</f>
        <v>#VALUE!</v>
      </c>
      <c r="GX12" t="e">
        <f>Nodes!Y31+"'E4!Hb"</f>
        <v>#VALUE!</v>
      </c>
      <c r="GY12" t="e">
        <f>Nodes!Z31+"'E4!Hc"</f>
        <v>#VALUE!</v>
      </c>
      <c r="GZ12" t="e">
        <f>Nodes!AA31+"'E4!Hd"</f>
        <v>#VALUE!</v>
      </c>
      <c r="HA12" t="e">
        <f>Nodes!AB31+"'E4!He"</f>
        <v>#VALUE!</v>
      </c>
      <c r="HB12" t="e">
        <f>Nodes!AC31+"'E4!Hf"</f>
        <v>#VALUE!</v>
      </c>
      <c r="HC12" t="e">
        <f>Nodes!A32+"'E4!Hg"</f>
        <v>#VALUE!</v>
      </c>
      <c r="HD12" t="e">
        <f>Nodes!B32+"'E4!Hh"</f>
        <v>#VALUE!</v>
      </c>
      <c r="HE12" t="e">
        <f>Nodes!C32+"'E4!Hi"</f>
        <v>#VALUE!</v>
      </c>
      <c r="HF12" t="e">
        <f>Nodes!D32+"'E4!Hj"</f>
        <v>#VALUE!</v>
      </c>
      <c r="HG12" t="e">
        <f>Nodes!E32+"'E4!Hk"</f>
        <v>#VALUE!</v>
      </c>
      <c r="HH12" t="e">
        <f>Nodes!F32+"'E4!Hl"</f>
        <v>#VALUE!</v>
      </c>
      <c r="HI12" t="e">
        <f>Nodes!G32+"'E4!Hm"</f>
        <v>#VALUE!</v>
      </c>
      <c r="HJ12" t="e">
        <f>Nodes!H32+"'E4!Hn"</f>
        <v>#VALUE!</v>
      </c>
      <c r="HK12" t="e">
        <f>Nodes!I32+"'E4!Ho"</f>
        <v>#VALUE!</v>
      </c>
      <c r="HL12" t="e">
        <f>Nodes!J32+"'E4!Hp"</f>
        <v>#VALUE!</v>
      </c>
      <c r="HM12" t="e">
        <f>Nodes!K32+"'E4!Hq"</f>
        <v>#VALUE!</v>
      </c>
      <c r="HN12" t="e">
        <f>Nodes!L32+"'E4!Hr"</f>
        <v>#VALUE!</v>
      </c>
      <c r="HO12" t="e">
        <f>Nodes!M32+"'E4!Hs"</f>
        <v>#VALUE!</v>
      </c>
      <c r="HP12" t="e">
        <f>Nodes!N32+"'E4!Ht"</f>
        <v>#VALUE!</v>
      </c>
      <c r="HQ12" t="e">
        <f>Nodes!O32+"'E4!Hu"</f>
        <v>#VALUE!</v>
      </c>
      <c r="HR12" t="e">
        <f>Nodes!P32+"'E4!Hv"</f>
        <v>#VALUE!</v>
      </c>
      <c r="HS12" t="e">
        <f>Nodes!Q32+"'E4!Hw"</f>
        <v>#VALUE!</v>
      </c>
      <c r="HT12" t="e">
        <f>Nodes!R32+"'E4!Hx"</f>
        <v>#VALUE!</v>
      </c>
      <c r="HU12" t="e">
        <f>Nodes!S32+"'E4!Hy"</f>
        <v>#VALUE!</v>
      </c>
      <c r="HV12" t="e">
        <f>Nodes!T32+"'E4!Hz"</f>
        <v>#VALUE!</v>
      </c>
      <c r="HW12" s="548" t="e">
        <f>Nodes!U32+"'E4!H{"</f>
        <v>#VALUE!</v>
      </c>
      <c r="HX12" s="548" t="e">
        <f>Nodes!V32+"'E4!H|"</f>
        <v>#VALUE!</v>
      </c>
      <c r="HY12" s="548" t="e">
        <f>Nodes!W32+"'E4!H}"</f>
        <v>#VALUE!</v>
      </c>
      <c r="HZ12" s="333" t="e">
        <f>Nodes!X32+"'E4!H~"</f>
        <v>#VALUE!</v>
      </c>
      <c r="IA12" t="e">
        <f>Nodes!Y32+"'E4!I#"</f>
        <v>#VALUE!</v>
      </c>
      <c r="IB12" t="e">
        <f>Nodes!Z32+"'E4!I$"</f>
        <v>#VALUE!</v>
      </c>
      <c r="IC12" t="e">
        <f>Nodes!AA32+"'E4!I%"</f>
        <v>#VALUE!</v>
      </c>
      <c r="ID12" t="e">
        <f>Nodes!AB32+"'E4!I&amp;"</f>
        <v>#VALUE!</v>
      </c>
      <c r="IE12" t="e">
        <f>Nodes!AC32+"'E4!I'"</f>
        <v>#VALUE!</v>
      </c>
      <c r="IF12" t="e">
        <f>Nodes!A33+"'E4!I("</f>
        <v>#VALUE!</v>
      </c>
      <c r="IG12" t="e">
        <f>Nodes!B33+"'E4!I)"</f>
        <v>#VALUE!</v>
      </c>
      <c r="IH12" t="e">
        <f>Nodes!C33+"'E4!I."</f>
        <v>#VALUE!</v>
      </c>
      <c r="II12" t="e">
        <f>Nodes!D33+"'E4!I/"</f>
        <v>#VALUE!</v>
      </c>
      <c r="IJ12" t="e">
        <f>Nodes!E33+"'E4!I0"</f>
        <v>#VALUE!</v>
      </c>
      <c r="IK12" t="e">
        <f>Nodes!F33+"'E4!I1"</f>
        <v>#VALUE!</v>
      </c>
      <c r="IL12" t="e">
        <f>Nodes!G33+"'E4!I2"</f>
        <v>#VALUE!</v>
      </c>
      <c r="IM12" t="e">
        <f>Nodes!H33+"'E4!I3"</f>
        <v>#VALUE!</v>
      </c>
      <c r="IN12" t="e">
        <f>Nodes!I33+"'E4!I4"</f>
        <v>#VALUE!</v>
      </c>
      <c r="IO12" t="e">
        <f>Nodes!J33+"'E4!I5"</f>
        <v>#VALUE!</v>
      </c>
      <c r="IP12" t="e">
        <f>Nodes!K33+"'E4!I6"</f>
        <v>#VALUE!</v>
      </c>
      <c r="IQ12" t="e">
        <f>Nodes!L33+"'E4!I7"</f>
        <v>#VALUE!</v>
      </c>
      <c r="IR12" t="e">
        <f>Nodes!M33+"'E4!I8"</f>
        <v>#VALUE!</v>
      </c>
      <c r="IS12" t="e">
        <f>Nodes!N33+"'E4!I9"</f>
        <v>#VALUE!</v>
      </c>
      <c r="IT12" t="e">
        <f>Nodes!O33+"'E4!I:"</f>
        <v>#VALUE!</v>
      </c>
      <c r="IU12" t="e">
        <f>Nodes!P33+"'E4!I;"</f>
        <v>#VALUE!</v>
      </c>
      <c r="IV12" t="e">
        <f>Nodes!Q33+"'E4!I&lt;"</f>
        <v>#VALUE!</v>
      </c>
    </row>
    <row r="13" spans="1:256">
      <c r="F13" t="e">
        <f>Nodes!R33+"'E4!I="</f>
        <v>#VALUE!</v>
      </c>
      <c r="G13" t="e">
        <f>Nodes!S33+"'E4!I&gt;"</f>
        <v>#VALUE!</v>
      </c>
      <c r="H13" s="549" t="e">
        <f>Nodes!T33+"'E4!I?"</f>
        <v>#VALUE!</v>
      </c>
      <c r="I13" s="548" t="e">
        <f>Nodes!U33+"'E4!I@"</f>
        <v>#VALUE!</v>
      </c>
      <c r="J13" s="548" t="e">
        <f>Nodes!V33+"'E4!IA"</f>
        <v>#VALUE!</v>
      </c>
      <c r="K13" s="548" t="e">
        <f>Nodes!W33+"'E4!IB"</f>
        <v>#VALUE!</v>
      </c>
      <c r="L13" s="333" t="e">
        <f>Nodes!X33+"'E4!IC"</f>
        <v>#VALUE!</v>
      </c>
      <c r="M13" t="e">
        <f>Nodes!Y33+"'E4!ID"</f>
        <v>#VALUE!</v>
      </c>
      <c r="N13" t="e">
        <f>Nodes!Z33+"'E4!IE"</f>
        <v>#VALUE!</v>
      </c>
      <c r="O13" t="e">
        <f>Nodes!AA33+"'E4!IF"</f>
        <v>#VALUE!</v>
      </c>
      <c r="P13" t="e">
        <f>Nodes!AB33+"'E4!IG"</f>
        <v>#VALUE!</v>
      </c>
      <c r="Q13" t="e">
        <f>Nodes!AC33+"'E4!IH"</f>
        <v>#VALUE!</v>
      </c>
      <c r="R13" t="e">
        <f>Nodes!A34+"'E4!II"</f>
        <v>#VALUE!</v>
      </c>
      <c r="S13" t="e">
        <f>Nodes!B34+"'E4!IJ"</f>
        <v>#VALUE!</v>
      </c>
      <c r="T13" t="e">
        <f>Nodes!C34+"'E4!IK"</f>
        <v>#VALUE!</v>
      </c>
      <c r="U13" t="e">
        <f>Nodes!D34+"'E4!IL"</f>
        <v>#VALUE!</v>
      </c>
      <c r="V13" t="e">
        <f>Nodes!E34+"'E4!IM"</f>
        <v>#VALUE!</v>
      </c>
      <c r="W13" t="e">
        <f>Nodes!F34+"'E4!IN"</f>
        <v>#VALUE!</v>
      </c>
      <c r="X13" t="e">
        <f>Nodes!G34+"'E4!IO"</f>
        <v>#VALUE!</v>
      </c>
      <c r="Y13" t="e">
        <f>Nodes!H34+"'E4!IP"</f>
        <v>#VALUE!</v>
      </c>
      <c r="Z13" t="e">
        <f>Nodes!I34+"'E4!IQ"</f>
        <v>#VALUE!</v>
      </c>
      <c r="AA13" t="e">
        <f>Nodes!J34+"'E4!IR"</f>
        <v>#VALUE!</v>
      </c>
      <c r="AB13" t="e">
        <f>Nodes!K34+"'E4!IS"</f>
        <v>#VALUE!</v>
      </c>
      <c r="AC13" t="e">
        <f>Nodes!L34+"'E4!IT"</f>
        <v>#VALUE!</v>
      </c>
      <c r="AD13" t="e">
        <f>Nodes!M34+"'E4!IU"</f>
        <v>#VALUE!</v>
      </c>
      <c r="AE13" t="e">
        <f>Nodes!N34+"'E4!IV"</f>
        <v>#VALUE!</v>
      </c>
      <c r="AF13" t="e">
        <f>Nodes!O34+"'E4!IW"</f>
        <v>#VALUE!</v>
      </c>
      <c r="AG13" t="e">
        <f>Nodes!P34+"'E4!IX"</f>
        <v>#VALUE!</v>
      </c>
      <c r="AH13" t="e">
        <f>Nodes!Q34+"'E4!IY"</f>
        <v>#VALUE!</v>
      </c>
      <c r="AI13" t="e">
        <f>Nodes!R34+"'E4!IZ"</f>
        <v>#VALUE!</v>
      </c>
      <c r="AJ13" t="e">
        <f>Nodes!S34+"'E4!I["</f>
        <v>#VALUE!</v>
      </c>
      <c r="AK13" t="e">
        <f>Nodes!T34+"'E4!I\"</f>
        <v>#VALUE!</v>
      </c>
      <c r="AL13" s="548" t="e">
        <f>Nodes!U34+"'E4!I]"</f>
        <v>#VALUE!</v>
      </c>
      <c r="AM13" s="548" t="e">
        <f>Nodes!V34+"'E4!I^"</f>
        <v>#VALUE!</v>
      </c>
      <c r="AN13" s="548" t="e">
        <f>Nodes!W34+"'E4!I_"</f>
        <v>#VALUE!</v>
      </c>
      <c r="AO13" s="333" t="e">
        <f>Nodes!X34+"'E4!I`"</f>
        <v>#VALUE!</v>
      </c>
      <c r="AP13" t="e">
        <f>Nodes!Y34+"'E4!Ia"</f>
        <v>#VALUE!</v>
      </c>
      <c r="AQ13" t="e">
        <f>Nodes!Z34+"'E4!Ib"</f>
        <v>#VALUE!</v>
      </c>
      <c r="AR13" t="e">
        <f>Nodes!AA34+"'E4!Ic"</f>
        <v>#VALUE!</v>
      </c>
      <c r="AS13" t="e">
        <f>Nodes!AB34+"'E4!Id"</f>
        <v>#VALUE!</v>
      </c>
      <c r="AT13" t="e">
        <f>Nodes!AC34+"'E4!Ie"</f>
        <v>#VALUE!</v>
      </c>
      <c r="AU13" t="e">
        <f>Nodes!A35+"'E4!If"</f>
        <v>#VALUE!</v>
      </c>
      <c r="AV13" t="e">
        <f>Nodes!B35+"'E4!Ig"</f>
        <v>#VALUE!</v>
      </c>
      <c r="AW13" t="e">
        <f>Nodes!C35+"'E4!Ih"</f>
        <v>#VALUE!</v>
      </c>
      <c r="AX13" t="e">
        <f>Nodes!D35+"'E4!Ii"</f>
        <v>#VALUE!</v>
      </c>
      <c r="AY13" t="e">
        <f>Nodes!E35+"'E4!Ij"</f>
        <v>#VALUE!</v>
      </c>
      <c r="AZ13" t="e">
        <f>Nodes!F35+"'E4!Ik"</f>
        <v>#VALUE!</v>
      </c>
      <c r="BA13" t="e">
        <f>Nodes!G35+"'E4!Il"</f>
        <v>#VALUE!</v>
      </c>
      <c r="BB13" t="e">
        <f>Nodes!H35+"'E4!Im"</f>
        <v>#VALUE!</v>
      </c>
      <c r="BC13" t="e">
        <f>Nodes!I35+"'E4!In"</f>
        <v>#VALUE!</v>
      </c>
      <c r="BD13" t="e">
        <f>Nodes!J35+"'E4!Io"</f>
        <v>#VALUE!</v>
      </c>
      <c r="BE13" t="e">
        <f>Nodes!K35+"'E4!Ip"</f>
        <v>#VALUE!</v>
      </c>
      <c r="BF13" t="e">
        <f>Nodes!L35+"'E4!Iq"</f>
        <v>#VALUE!</v>
      </c>
      <c r="BG13" t="e">
        <f>Nodes!M35+"'E4!Ir"</f>
        <v>#VALUE!</v>
      </c>
      <c r="BH13" t="e">
        <f>Nodes!N35+"'E4!Is"</f>
        <v>#VALUE!</v>
      </c>
      <c r="BI13" t="e">
        <f>Nodes!O35+"'E4!It"</f>
        <v>#VALUE!</v>
      </c>
      <c r="BJ13" t="e">
        <f>Nodes!P35+"'E4!Iu"</f>
        <v>#VALUE!</v>
      </c>
      <c r="BK13" t="e">
        <f>Nodes!Q35+"'E4!Iv"</f>
        <v>#VALUE!</v>
      </c>
      <c r="BL13" t="e">
        <f>Nodes!R35+"'E4!Iw"</f>
        <v>#VALUE!</v>
      </c>
      <c r="BM13" t="e">
        <f>Nodes!S35+"'E4!Ix"</f>
        <v>#VALUE!</v>
      </c>
      <c r="BN13" t="e">
        <f>Nodes!T35+"'E4!Iy"</f>
        <v>#VALUE!</v>
      </c>
      <c r="BO13" s="548" t="e">
        <f>Nodes!U35+"'E4!Iz"</f>
        <v>#VALUE!</v>
      </c>
      <c r="BP13" s="548" t="e">
        <f>Nodes!V35+"'E4!I{"</f>
        <v>#VALUE!</v>
      </c>
      <c r="BQ13" s="548" t="e">
        <f>Nodes!W35+"'E4!I|"</f>
        <v>#VALUE!</v>
      </c>
      <c r="BR13" s="333" t="e">
        <f>Nodes!X35+"'E4!I}"</f>
        <v>#VALUE!</v>
      </c>
      <c r="BS13" t="e">
        <f>Nodes!Y35+"'E4!I~"</f>
        <v>#VALUE!</v>
      </c>
      <c r="BT13" t="e">
        <f>Nodes!Z35+"'E4!J#"</f>
        <v>#VALUE!</v>
      </c>
      <c r="BU13" t="e">
        <f>Nodes!AA35+"'E4!J$"</f>
        <v>#VALUE!</v>
      </c>
      <c r="BV13" t="e">
        <f>Nodes!AB35+"'E4!J%"</f>
        <v>#VALUE!</v>
      </c>
      <c r="BW13" t="e">
        <f>Nodes!AC35+"'E4!J&amp;"</f>
        <v>#VALUE!</v>
      </c>
      <c r="BX13" t="e">
        <f>Nodes!A36+"'E4!J'"</f>
        <v>#VALUE!</v>
      </c>
      <c r="BY13" t="e">
        <f>Nodes!B36+"'E4!J("</f>
        <v>#VALUE!</v>
      </c>
      <c r="BZ13" t="e">
        <f>Nodes!C36+"'E4!J)"</f>
        <v>#VALUE!</v>
      </c>
      <c r="CA13" t="e">
        <f>Nodes!D36+"'E4!J."</f>
        <v>#VALUE!</v>
      </c>
      <c r="CB13" t="e">
        <f>Nodes!E36+"'E4!J/"</f>
        <v>#VALUE!</v>
      </c>
      <c r="CC13" t="e">
        <f>Nodes!F36+"'E4!J0"</f>
        <v>#VALUE!</v>
      </c>
      <c r="CD13" t="e">
        <f>Nodes!G36+"'E4!J1"</f>
        <v>#VALUE!</v>
      </c>
      <c r="CE13" t="e">
        <f>Nodes!H36+"'E4!J2"</f>
        <v>#VALUE!</v>
      </c>
      <c r="CF13" t="e">
        <f>Nodes!I36+"'E4!J3"</f>
        <v>#VALUE!</v>
      </c>
      <c r="CG13" t="e">
        <f>Nodes!J36+"'E4!J4"</f>
        <v>#VALUE!</v>
      </c>
      <c r="CH13" t="e">
        <f>Nodes!K36+"'E4!J5"</f>
        <v>#VALUE!</v>
      </c>
      <c r="CI13" t="e">
        <f>Nodes!L36+"'E4!J6"</f>
        <v>#VALUE!</v>
      </c>
      <c r="CJ13" t="e">
        <f>Nodes!M36+"'E4!J7"</f>
        <v>#VALUE!</v>
      </c>
      <c r="CK13" t="e">
        <f>Nodes!N36+"'E4!J8"</f>
        <v>#VALUE!</v>
      </c>
      <c r="CL13" t="e">
        <f>Nodes!O36+"'E4!J9"</f>
        <v>#VALUE!</v>
      </c>
      <c r="CM13" t="e">
        <f>Nodes!P36+"'E4!J:"</f>
        <v>#VALUE!</v>
      </c>
      <c r="CN13" t="e">
        <f>Nodes!Q36+"'E4!J;"</f>
        <v>#VALUE!</v>
      </c>
      <c r="CO13" t="e">
        <f>Nodes!R36+"'E4!J&lt;"</f>
        <v>#VALUE!</v>
      </c>
      <c r="CP13" t="e">
        <f>Nodes!S36+"'E4!J="</f>
        <v>#VALUE!</v>
      </c>
      <c r="CQ13" t="e">
        <f>Nodes!T36+"'E4!J&gt;"</f>
        <v>#VALUE!</v>
      </c>
      <c r="CR13" s="548" t="e">
        <f>Nodes!U36+"'E4!J?"</f>
        <v>#VALUE!</v>
      </c>
      <c r="CS13" s="548" t="e">
        <f>Nodes!V36+"'E4!J@"</f>
        <v>#VALUE!</v>
      </c>
      <c r="CT13" s="548" t="e">
        <f>Nodes!W36+"'E4!JA"</f>
        <v>#VALUE!</v>
      </c>
      <c r="CU13" s="333" t="e">
        <f>Nodes!X36+"'E4!JB"</f>
        <v>#VALUE!</v>
      </c>
      <c r="CV13" t="e">
        <f>Nodes!Y36+"'E4!JC"</f>
        <v>#VALUE!</v>
      </c>
      <c r="CW13" t="e">
        <f>Nodes!Z36+"'E4!JD"</f>
        <v>#VALUE!</v>
      </c>
      <c r="CX13" t="e">
        <f>Nodes!AA36+"'E4!JE"</f>
        <v>#VALUE!</v>
      </c>
      <c r="CY13" t="e">
        <f>Nodes!AB36+"'E4!JF"</f>
        <v>#VALUE!</v>
      </c>
      <c r="CZ13" t="e">
        <f>Nodes!AC36+"'E4!JG"</f>
        <v>#VALUE!</v>
      </c>
      <c r="DA13" t="e">
        <f>Nodes!A37+"'E4!JH"</f>
        <v>#VALUE!</v>
      </c>
      <c r="DB13" t="e">
        <f>Nodes!B37+"'E4!JI"</f>
        <v>#VALUE!</v>
      </c>
      <c r="DC13" t="e">
        <f>Nodes!C37+"'E4!JJ"</f>
        <v>#VALUE!</v>
      </c>
      <c r="DD13" t="e">
        <f>Nodes!D37+"'E4!JK"</f>
        <v>#VALUE!</v>
      </c>
      <c r="DE13" t="e">
        <f>Nodes!E37+"'E4!JL"</f>
        <v>#VALUE!</v>
      </c>
      <c r="DF13" t="e">
        <f>Nodes!F37+"'E4!JM"</f>
        <v>#VALUE!</v>
      </c>
      <c r="DG13" t="e">
        <f>Nodes!G37+"'E4!JN"</f>
        <v>#VALUE!</v>
      </c>
      <c r="DH13" t="e">
        <f>Nodes!H37+"'E4!JO"</f>
        <v>#VALUE!</v>
      </c>
      <c r="DI13" t="e">
        <f>Nodes!I37+"'E4!JP"</f>
        <v>#VALUE!</v>
      </c>
      <c r="DJ13" t="e">
        <f>Nodes!J37+"'E4!JQ"</f>
        <v>#VALUE!</v>
      </c>
      <c r="DK13" t="e">
        <f>Nodes!K37+"'E4!JR"</f>
        <v>#VALUE!</v>
      </c>
      <c r="DL13" t="e">
        <f>Nodes!L37+"'E4!JS"</f>
        <v>#VALUE!</v>
      </c>
      <c r="DM13" t="e">
        <f>Nodes!M37+"'E4!JT"</f>
        <v>#VALUE!</v>
      </c>
      <c r="DN13" t="e">
        <f>Nodes!N37+"'E4!JU"</f>
        <v>#VALUE!</v>
      </c>
      <c r="DO13" t="e">
        <f>Nodes!O37+"'E4!JV"</f>
        <v>#VALUE!</v>
      </c>
      <c r="DP13" t="e">
        <f>Nodes!P37+"'E4!JW"</f>
        <v>#VALUE!</v>
      </c>
      <c r="DQ13" t="e">
        <f>Nodes!Q37+"'E4!JX"</f>
        <v>#VALUE!</v>
      </c>
      <c r="DR13" t="e">
        <f>Nodes!R37+"'E4!JY"</f>
        <v>#VALUE!</v>
      </c>
      <c r="DS13" t="e">
        <f>Nodes!S37+"'E4!JZ"</f>
        <v>#VALUE!</v>
      </c>
      <c r="DT13" t="e">
        <f>Nodes!T37+"'E4!J["</f>
        <v>#VALUE!</v>
      </c>
      <c r="DU13" s="548" t="e">
        <f>Nodes!U37+"'E4!J\"</f>
        <v>#VALUE!</v>
      </c>
      <c r="DV13" s="548" t="e">
        <f>Nodes!V37+"'E4!J]"</f>
        <v>#VALUE!</v>
      </c>
      <c r="DW13" s="548" t="e">
        <f>Nodes!W37+"'E4!J^"</f>
        <v>#VALUE!</v>
      </c>
      <c r="DX13" s="333" t="e">
        <f>Nodes!X37+"'E4!J_"</f>
        <v>#VALUE!</v>
      </c>
      <c r="DY13" t="e">
        <f>Nodes!Y37+"'E4!J`"</f>
        <v>#VALUE!</v>
      </c>
      <c r="DZ13" t="e">
        <f>Nodes!Z37+"'E4!Ja"</f>
        <v>#VALUE!</v>
      </c>
      <c r="EA13" t="e">
        <f>Nodes!AA37+"'E4!Jb"</f>
        <v>#VALUE!</v>
      </c>
      <c r="EB13" t="e">
        <f>Nodes!AB37+"'E4!Jc"</f>
        <v>#VALUE!</v>
      </c>
      <c r="EC13" t="e">
        <f>Nodes!AC37+"'E4!Jd"</f>
        <v>#VALUE!</v>
      </c>
      <c r="ED13" t="e">
        <f>Nodes!A38+"'E4!Je"</f>
        <v>#VALUE!</v>
      </c>
      <c r="EE13" t="e">
        <f>Nodes!B38+"'E4!Jf"</f>
        <v>#VALUE!</v>
      </c>
      <c r="EF13" t="e">
        <f>Nodes!C38+"'E4!Jg"</f>
        <v>#VALUE!</v>
      </c>
      <c r="EG13" t="e">
        <f>Nodes!D38+"'E4!Jh"</f>
        <v>#VALUE!</v>
      </c>
      <c r="EH13" t="e">
        <f>Nodes!E38+"'E4!Ji"</f>
        <v>#VALUE!</v>
      </c>
      <c r="EI13" t="e">
        <f>Nodes!F38+"'E4!Jj"</f>
        <v>#VALUE!</v>
      </c>
      <c r="EJ13" t="e">
        <f>Nodes!G38+"'E4!Jk"</f>
        <v>#VALUE!</v>
      </c>
      <c r="EK13" t="e">
        <f>Nodes!H38+"'E4!Jl"</f>
        <v>#VALUE!</v>
      </c>
      <c r="EL13" t="e">
        <f>Nodes!I38+"'E4!Jm"</f>
        <v>#VALUE!</v>
      </c>
      <c r="EM13" t="e">
        <f>Nodes!J38+"'E4!Jn"</f>
        <v>#VALUE!</v>
      </c>
      <c r="EN13" t="e">
        <f>Nodes!K38+"'E4!Jo"</f>
        <v>#VALUE!</v>
      </c>
      <c r="EO13" t="e">
        <f>Nodes!L38+"'E4!Jp"</f>
        <v>#VALUE!</v>
      </c>
      <c r="EP13" t="e">
        <f>Nodes!M38+"'E4!Jq"</f>
        <v>#VALUE!</v>
      </c>
      <c r="EQ13" t="e">
        <f>Nodes!N38+"'E4!Jr"</f>
        <v>#VALUE!</v>
      </c>
      <c r="ER13" t="e">
        <f>Nodes!O38+"'E4!Js"</f>
        <v>#VALUE!</v>
      </c>
      <c r="ES13" t="e">
        <f>Nodes!P38+"'E4!Jt"</f>
        <v>#VALUE!</v>
      </c>
      <c r="ET13" t="e">
        <f>Nodes!Q38+"'E4!Ju"</f>
        <v>#VALUE!</v>
      </c>
      <c r="EU13" t="e">
        <f>Nodes!R38+"'E4!Jv"</f>
        <v>#VALUE!</v>
      </c>
      <c r="EV13" t="e">
        <f>Nodes!S38+"'E4!Jw"</f>
        <v>#VALUE!</v>
      </c>
      <c r="EW13" t="e">
        <f>Nodes!T38+"'E4!Jx"</f>
        <v>#VALUE!</v>
      </c>
      <c r="EX13" s="548" t="e">
        <f>Nodes!U38+"'E4!Jy"</f>
        <v>#VALUE!</v>
      </c>
      <c r="EY13" s="548" t="e">
        <f>Nodes!V38+"'E4!Jz"</f>
        <v>#VALUE!</v>
      </c>
      <c r="EZ13" s="548" t="e">
        <f>Nodes!W38+"'E4!J{"</f>
        <v>#VALUE!</v>
      </c>
      <c r="FA13" s="333" t="e">
        <f>Nodes!X38+"'E4!J|"</f>
        <v>#VALUE!</v>
      </c>
      <c r="FB13" t="e">
        <f>Nodes!Y38+"'E4!J}"</f>
        <v>#VALUE!</v>
      </c>
      <c r="FC13" t="e">
        <f>Nodes!Z38+"'E4!J~"</f>
        <v>#VALUE!</v>
      </c>
      <c r="FD13" t="e">
        <f>Nodes!AA38+"'E4!K#"</f>
        <v>#VALUE!</v>
      </c>
      <c r="FE13" t="e">
        <f>Nodes!AB38+"'E4!K$"</f>
        <v>#VALUE!</v>
      </c>
      <c r="FF13" t="e">
        <f>Nodes!AC38+"'E4!K%"</f>
        <v>#VALUE!</v>
      </c>
      <c r="FG13" t="e">
        <f>Nodes!A39+"'E4!K&amp;"</f>
        <v>#VALUE!</v>
      </c>
      <c r="FH13" t="e">
        <f>Nodes!B39+"'E4!K'"</f>
        <v>#VALUE!</v>
      </c>
      <c r="FI13" t="e">
        <f>Nodes!C39+"'E4!K("</f>
        <v>#VALUE!</v>
      </c>
      <c r="FJ13" t="e">
        <f>Nodes!D39+"'E4!K)"</f>
        <v>#VALUE!</v>
      </c>
      <c r="FK13" t="e">
        <f>Nodes!E39+"'E4!K."</f>
        <v>#VALUE!</v>
      </c>
      <c r="FL13" t="e">
        <f>Nodes!F39+"'E4!K/"</f>
        <v>#VALUE!</v>
      </c>
      <c r="FM13" t="e">
        <f>Nodes!G39+"'E4!K0"</f>
        <v>#VALUE!</v>
      </c>
      <c r="FN13" t="e">
        <f>Nodes!H39+"'E4!K1"</f>
        <v>#VALUE!</v>
      </c>
      <c r="FO13" t="e">
        <f>Nodes!I39+"'E4!K2"</f>
        <v>#VALUE!</v>
      </c>
      <c r="FP13" t="e">
        <f>Nodes!J39+"'E4!K3"</f>
        <v>#VALUE!</v>
      </c>
      <c r="FQ13" t="e">
        <f>Nodes!K39+"'E4!K4"</f>
        <v>#VALUE!</v>
      </c>
      <c r="FR13" t="e">
        <f>Nodes!L39+"'E4!K5"</f>
        <v>#VALUE!</v>
      </c>
      <c r="FS13" t="e">
        <f>Nodes!M39+"'E4!K6"</f>
        <v>#VALUE!</v>
      </c>
      <c r="FT13" t="e">
        <f>Nodes!N39+"'E4!K7"</f>
        <v>#VALUE!</v>
      </c>
      <c r="FU13" t="e">
        <f>Nodes!O39+"'E4!K8"</f>
        <v>#VALUE!</v>
      </c>
      <c r="FV13" t="e">
        <f>Nodes!P39+"'E4!K9"</f>
        <v>#VALUE!</v>
      </c>
      <c r="FW13" t="e">
        <f>Nodes!Q39+"'E4!K:"</f>
        <v>#VALUE!</v>
      </c>
      <c r="FX13" t="e">
        <f>Nodes!R39+"'E4!K;"</f>
        <v>#VALUE!</v>
      </c>
      <c r="FY13" t="e">
        <f>Nodes!S39+"'E4!K&lt;"</f>
        <v>#VALUE!</v>
      </c>
      <c r="FZ13" t="e">
        <f>Nodes!T39+"'E4!K="</f>
        <v>#VALUE!</v>
      </c>
      <c r="GA13" s="548" t="e">
        <f>Nodes!U39+"'E4!K&gt;"</f>
        <v>#VALUE!</v>
      </c>
      <c r="GB13" s="548" t="e">
        <f>Nodes!V39+"'E4!K?"</f>
        <v>#VALUE!</v>
      </c>
      <c r="GC13" s="548" t="e">
        <f>Nodes!W39+"'E4!K@"</f>
        <v>#VALUE!</v>
      </c>
      <c r="GD13" s="333" t="e">
        <f>Nodes!X39+"'E4!KA"</f>
        <v>#VALUE!</v>
      </c>
      <c r="GE13" t="e">
        <f>Nodes!Y39+"'E4!KB"</f>
        <v>#VALUE!</v>
      </c>
      <c r="GF13" t="e">
        <f>Nodes!Z39+"'E4!KC"</f>
        <v>#VALUE!</v>
      </c>
      <c r="GG13" t="e">
        <f>Nodes!AA39+"'E4!KD"</f>
        <v>#VALUE!</v>
      </c>
      <c r="GH13" t="e">
        <f>Nodes!AB39+"'E4!KE"</f>
        <v>#VALUE!</v>
      </c>
      <c r="GI13" t="e">
        <f>Nodes!AC39+"'E4!KF"</f>
        <v>#VALUE!</v>
      </c>
      <c r="GJ13" t="e">
        <f>Nodes!A40+"'E4!KG"</f>
        <v>#VALUE!</v>
      </c>
      <c r="GK13" t="e">
        <f>Nodes!B40+"'E4!KH"</f>
        <v>#VALUE!</v>
      </c>
      <c r="GL13" t="e">
        <f>Nodes!C40+"'E4!KI"</f>
        <v>#VALUE!</v>
      </c>
      <c r="GM13" t="e">
        <f>Nodes!D40+"'E4!KJ"</f>
        <v>#VALUE!</v>
      </c>
      <c r="GN13" t="e">
        <f>Nodes!E40+"'E4!KK"</f>
        <v>#VALUE!</v>
      </c>
      <c r="GO13" t="e">
        <f>Nodes!F40+"'E4!KL"</f>
        <v>#VALUE!</v>
      </c>
      <c r="GP13" t="e">
        <f>Nodes!G40+"'E4!KM"</f>
        <v>#VALUE!</v>
      </c>
      <c r="GQ13" t="e">
        <f>Nodes!H40+"'E4!KN"</f>
        <v>#VALUE!</v>
      </c>
      <c r="GR13" t="e">
        <f>Nodes!I40+"'E4!KO"</f>
        <v>#VALUE!</v>
      </c>
      <c r="GS13" t="e">
        <f>Nodes!J40+"'E4!KP"</f>
        <v>#VALUE!</v>
      </c>
      <c r="GT13" t="e">
        <f>Nodes!K40+"'E4!KQ"</f>
        <v>#VALUE!</v>
      </c>
      <c r="GU13" t="e">
        <f>Nodes!L40+"'E4!KR"</f>
        <v>#VALUE!</v>
      </c>
      <c r="GV13" t="e">
        <f>Nodes!M40+"'E4!KS"</f>
        <v>#VALUE!</v>
      </c>
      <c r="GW13" t="e">
        <f>Nodes!N40+"'E4!KT"</f>
        <v>#VALUE!</v>
      </c>
      <c r="GX13" t="e">
        <f>Nodes!O40+"'E4!KU"</f>
        <v>#VALUE!</v>
      </c>
      <c r="GY13" t="e">
        <f>Nodes!P40+"'E4!KV"</f>
        <v>#VALUE!</v>
      </c>
      <c r="GZ13" t="e">
        <f>Nodes!Q40+"'E4!KW"</f>
        <v>#VALUE!</v>
      </c>
      <c r="HA13" t="e">
        <f>Nodes!R40+"'E4!KX"</f>
        <v>#VALUE!</v>
      </c>
      <c r="HB13" t="e">
        <f>Nodes!S40+"'E4!KY"</f>
        <v>#VALUE!</v>
      </c>
      <c r="HC13" t="e">
        <f>Nodes!T40+"'E4!KZ"</f>
        <v>#VALUE!</v>
      </c>
      <c r="HD13" s="548" t="e">
        <f>Nodes!U40+"'E4!K["</f>
        <v>#VALUE!</v>
      </c>
      <c r="HE13" s="548" t="e">
        <f>Nodes!V40+"'E4!K\"</f>
        <v>#VALUE!</v>
      </c>
      <c r="HF13" s="548" t="e">
        <f>Nodes!W40+"'E4!K]"</f>
        <v>#VALUE!</v>
      </c>
      <c r="HG13" s="333" t="e">
        <f>Nodes!X40+"'E4!K^"</f>
        <v>#VALUE!</v>
      </c>
      <c r="HH13" t="e">
        <f>Nodes!Y40+"'E4!K_"</f>
        <v>#VALUE!</v>
      </c>
      <c r="HI13" t="e">
        <f>Nodes!Z40+"'E4!K`"</f>
        <v>#VALUE!</v>
      </c>
      <c r="HJ13" t="e">
        <f>Nodes!AA40+"'E4!Ka"</f>
        <v>#VALUE!</v>
      </c>
      <c r="HK13" t="e">
        <f>Nodes!AB40+"'E4!Kb"</f>
        <v>#VALUE!</v>
      </c>
      <c r="HL13" t="e">
        <f>Nodes!AC40+"'E4!Kc"</f>
        <v>#VALUE!</v>
      </c>
      <c r="HM13" t="e">
        <f>Nodes!A41+"'E4!Kd"</f>
        <v>#VALUE!</v>
      </c>
      <c r="HN13" t="e">
        <f>Nodes!B41+"'E4!Ke"</f>
        <v>#VALUE!</v>
      </c>
      <c r="HO13" t="e">
        <f>Nodes!C41+"'E4!Kf"</f>
        <v>#VALUE!</v>
      </c>
      <c r="HP13" t="e">
        <f>Nodes!D41+"'E4!Kg"</f>
        <v>#VALUE!</v>
      </c>
      <c r="HQ13" t="e">
        <f>Nodes!E41+"'E4!Kh"</f>
        <v>#VALUE!</v>
      </c>
      <c r="HR13" t="e">
        <f>Nodes!F41+"'E4!Ki"</f>
        <v>#VALUE!</v>
      </c>
      <c r="HS13" t="e">
        <f>Nodes!G41+"'E4!Kj"</f>
        <v>#VALUE!</v>
      </c>
      <c r="HT13" t="e">
        <f>Nodes!H41+"'E4!Kk"</f>
        <v>#VALUE!</v>
      </c>
      <c r="HU13" t="e">
        <f>Nodes!I41+"'E4!Kl"</f>
        <v>#VALUE!</v>
      </c>
      <c r="HV13" t="e">
        <f>Nodes!J41+"'E4!Km"</f>
        <v>#VALUE!</v>
      </c>
      <c r="HW13" t="e">
        <f>Nodes!K41+"'E4!Kn"</f>
        <v>#VALUE!</v>
      </c>
      <c r="HX13" t="e">
        <f>Nodes!L41+"'E4!Ko"</f>
        <v>#VALUE!</v>
      </c>
      <c r="HY13" t="e">
        <f>Nodes!M41+"'E4!Kp"</f>
        <v>#VALUE!</v>
      </c>
      <c r="HZ13" t="e">
        <f>Nodes!N41+"'E4!Kq"</f>
        <v>#VALUE!</v>
      </c>
      <c r="IA13" t="e">
        <f>Nodes!O41+"'E4!Kr"</f>
        <v>#VALUE!</v>
      </c>
      <c r="IB13" t="e">
        <f>Nodes!P41+"'E4!Ks"</f>
        <v>#VALUE!</v>
      </c>
      <c r="IC13" t="e">
        <f>Nodes!Q41+"'E4!Kt"</f>
        <v>#VALUE!</v>
      </c>
      <c r="ID13" t="e">
        <f>Nodes!R41+"'E4!Ku"</f>
        <v>#VALUE!</v>
      </c>
      <c r="IE13" t="e">
        <f>Nodes!S41+"'E4!Kv"</f>
        <v>#VALUE!</v>
      </c>
      <c r="IF13" t="e">
        <f>Nodes!T41+"'E4!Kw"</f>
        <v>#VALUE!</v>
      </c>
      <c r="IG13" s="548" t="e">
        <f>Nodes!U41+"'E4!Kx"</f>
        <v>#VALUE!</v>
      </c>
      <c r="IH13" s="548" t="e">
        <f>Nodes!V41+"'E4!Ky"</f>
        <v>#VALUE!</v>
      </c>
      <c r="II13" s="548" t="e">
        <f>Nodes!W41+"'E4!Kz"</f>
        <v>#VALUE!</v>
      </c>
      <c r="IJ13" s="333" t="e">
        <f>Nodes!X41+"'E4!K{"</f>
        <v>#VALUE!</v>
      </c>
      <c r="IK13" t="e">
        <f>Nodes!Y41+"'E4!K|"</f>
        <v>#VALUE!</v>
      </c>
      <c r="IL13" t="e">
        <f>Nodes!Z41+"'E4!K}"</f>
        <v>#VALUE!</v>
      </c>
      <c r="IM13" t="e">
        <f>Nodes!AA41+"'E4!K~"</f>
        <v>#VALUE!</v>
      </c>
      <c r="IN13" t="e">
        <f>Nodes!AB41+"'E4!L#"</f>
        <v>#VALUE!</v>
      </c>
      <c r="IO13" t="e">
        <f>Nodes!AC41+"'E4!L$"</f>
        <v>#VALUE!</v>
      </c>
      <c r="IP13" t="e">
        <f>Nodes!A42+"'E4!L%"</f>
        <v>#VALUE!</v>
      </c>
      <c r="IQ13" t="e">
        <f>Nodes!B42+"'E4!L&amp;"</f>
        <v>#VALUE!</v>
      </c>
      <c r="IR13" t="e">
        <f>Nodes!C42+"'E4!L'"</f>
        <v>#VALUE!</v>
      </c>
      <c r="IS13" t="e">
        <f>Nodes!D42+"'E4!L("</f>
        <v>#VALUE!</v>
      </c>
      <c r="IT13" t="e">
        <f>Nodes!E42+"'E4!L)"</f>
        <v>#VALUE!</v>
      </c>
      <c r="IU13" t="e">
        <f>Nodes!F42+"'E4!L."</f>
        <v>#VALUE!</v>
      </c>
      <c r="IV13" t="e">
        <f>Nodes!G42+"'E4!L/"</f>
        <v>#VALUE!</v>
      </c>
    </row>
    <row r="14" spans="1:256">
      <c r="F14" t="e">
        <f>Nodes!H42+"'E4!L0"</f>
        <v>#VALUE!</v>
      </c>
      <c r="G14" t="e">
        <f>Nodes!I42+"'E4!L1"</f>
        <v>#VALUE!</v>
      </c>
      <c r="H14" t="e">
        <f>Nodes!J42+"'E4!L2"</f>
        <v>#VALUE!</v>
      </c>
      <c r="I14" t="e">
        <f>Nodes!K42+"'E4!L3"</f>
        <v>#VALUE!</v>
      </c>
      <c r="J14" t="e">
        <f>Nodes!L42+"'E4!L4"</f>
        <v>#VALUE!</v>
      </c>
      <c r="K14" t="e">
        <f>Nodes!M42+"'E4!L5"</f>
        <v>#VALUE!</v>
      </c>
      <c r="L14" t="e">
        <f>Nodes!N42+"'E4!L6"</f>
        <v>#VALUE!</v>
      </c>
      <c r="M14" t="e">
        <f>Nodes!O42+"'E4!L7"</f>
        <v>#VALUE!</v>
      </c>
      <c r="N14" t="e">
        <f>Nodes!P42+"'E4!L8"</f>
        <v>#VALUE!</v>
      </c>
      <c r="O14" t="e">
        <f>Nodes!Q42+"'E4!L9"</f>
        <v>#VALUE!</v>
      </c>
      <c r="P14" t="e">
        <f>Nodes!R42+"'E4!L:"</f>
        <v>#VALUE!</v>
      </c>
      <c r="Q14" t="e">
        <f>Nodes!S42+"'E4!L;"</f>
        <v>#VALUE!</v>
      </c>
      <c r="R14" t="e">
        <f>Nodes!T42+"'E4!L&lt;"</f>
        <v>#VALUE!</v>
      </c>
      <c r="S14" s="548" t="e">
        <f>Nodes!U42+"'E4!L="</f>
        <v>#VALUE!</v>
      </c>
      <c r="T14" s="548" t="e">
        <f>Nodes!V42+"'E4!L&gt;"</f>
        <v>#VALUE!</v>
      </c>
      <c r="U14" s="548" t="e">
        <f>Nodes!W42+"'E4!L?"</f>
        <v>#VALUE!</v>
      </c>
      <c r="V14" s="333" t="e">
        <f>Nodes!X42+"'E4!L@"</f>
        <v>#VALUE!</v>
      </c>
      <c r="W14" t="e">
        <f>Nodes!Y42+"'E4!LA"</f>
        <v>#VALUE!</v>
      </c>
      <c r="X14" t="e">
        <f>Nodes!Z42+"'E4!LB"</f>
        <v>#VALUE!</v>
      </c>
      <c r="Y14" t="e">
        <f>Nodes!AA42+"'E4!LC"</f>
        <v>#VALUE!</v>
      </c>
      <c r="Z14" t="e">
        <f>Nodes!AB42+"'E4!LD"</f>
        <v>#VALUE!</v>
      </c>
      <c r="AA14" t="e">
        <f>Nodes!AC42+"'E4!LE"</f>
        <v>#VALUE!</v>
      </c>
      <c r="AB14" t="e">
        <f>Nodes!A43+"'E4!LF"</f>
        <v>#VALUE!</v>
      </c>
      <c r="AC14" t="e">
        <f>Nodes!B43+"'E4!LG"</f>
        <v>#VALUE!</v>
      </c>
      <c r="AD14" t="e">
        <f>Nodes!C43+"'E4!LH"</f>
        <v>#VALUE!</v>
      </c>
      <c r="AE14" t="e">
        <f>Nodes!D43+"'E4!LI"</f>
        <v>#VALUE!</v>
      </c>
      <c r="AF14" t="e">
        <f>Nodes!E43+"'E4!LJ"</f>
        <v>#VALUE!</v>
      </c>
      <c r="AG14" t="e">
        <f>Nodes!F43+"'E4!LK"</f>
        <v>#VALUE!</v>
      </c>
      <c r="AH14" t="e">
        <f>Nodes!G43+"'E4!LL"</f>
        <v>#VALUE!</v>
      </c>
      <c r="AI14" t="e">
        <f>Nodes!H43+"'E4!LM"</f>
        <v>#VALUE!</v>
      </c>
      <c r="AJ14" t="e">
        <f>Nodes!I43+"'E4!LN"</f>
        <v>#VALUE!</v>
      </c>
      <c r="AK14" t="e">
        <f>Nodes!J43+"'E4!LO"</f>
        <v>#VALUE!</v>
      </c>
      <c r="AL14" t="e">
        <f>Nodes!K43+"'E4!LP"</f>
        <v>#VALUE!</v>
      </c>
      <c r="AM14" t="e">
        <f>Nodes!L43+"'E4!LQ"</f>
        <v>#VALUE!</v>
      </c>
      <c r="AN14" t="e">
        <f>Nodes!M43+"'E4!LR"</f>
        <v>#VALUE!</v>
      </c>
      <c r="AO14" t="e">
        <f>Nodes!N43+"'E4!LS"</f>
        <v>#VALUE!</v>
      </c>
      <c r="AP14" t="e">
        <f>Nodes!O43+"'E4!LT"</f>
        <v>#VALUE!</v>
      </c>
      <c r="AQ14" t="e">
        <f>Nodes!P43+"'E4!LU"</f>
        <v>#VALUE!</v>
      </c>
      <c r="AR14" t="e">
        <f>Nodes!Q43+"'E4!LV"</f>
        <v>#VALUE!</v>
      </c>
      <c r="AS14" t="e">
        <f>Nodes!R43+"'E4!LW"</f>
        <v>#VALUE!</v>
      </c>
      <c r="AT14" t="e">
        <f>Nodes!S43+"'E4!LX"</f>
        <v>#VALUE!</v>
      </c>
      <c r="AU14" t="e">
        <f>Nodes!T43+"'E4!LY"</f>
        <v>#VALUE!</v>
      </c>
      <c r="AV14" s="548" t="e">
        <f>Nodes!U43+"'E4!LZ"</f>
        <v>#VALUE!</v>
      </c>
      <c r="AW14" s="548" t="e">
        <f>Nodes!V43+"'E4!L["</f>
        <v>#VALUE!</v>
      </c>
      <c r="AX14" s="548" t="e">
        <f>Nodes!W43+"'E4!L\"</f>
        <v>#VALUE!</v>
      </c>
      <c r="AY14" s="333" t="e">
        <f>Nodes!X43+"'E4!L]"</f>
        <v>#VALUE!</v>
      </c>
      <c r="AZ14" t="e">
        <f>Nodes!Y43+"'E4!L^"</f>
        <v>#VALUE!</v>
      </c>
      <c r="BA14" t="e">
        <f>Nodes!Z43+"'E4!L_"</f>
        <v>#VALUE!</v>
      </c>
      <c r="BB14" t="e">
        <f>Nodes!AA43+"'E4!L`"</f>
        <v>#VALUE!</v>
      </c>
      <c r="BC14" t="e">
        <f>Nodes!AB43+"'E4!La"</f>
        <v>#VALUE!</v>
      </c>
      <c r="BD14" t="e">
        <f>Nodes!AC43+"'E4!Lb"</f>
        <v>#VALUE!</v>
      </c>
      <c r="BE14" t="e">
        <f>Nodes!A44+"'E4!Lc"</f>
        <v>#VALUE!</v>
      </c>
      <c r="BF14" t="e">
        <f>Nodes!B44+"'E4!Ld"</f>
        <v>#VALUE!</v>
      </c>
      <c r="BG14" t="e">
        <f>Nodes!C44+"'E4!Le"</f>
        <v>#VALUE!</v>
      </c>
      <c r="BH14" t="e">
        <f>Nodes!D44+"'E4!Lf"</f>
        <v>#VALUE!</v>
      </c>
      <c r="BI14" t="e">
        <f>Nodes!E44+"'E4!Lg"</f>
        <v>#VALUE!</v>
      </c>
      <c r="BJ14" t="e">
        <f>Nodes!F44+"'E4!Lh"</f>
        <v>#VALUE!</v>
      </c>
      <c r="BK14" t="e">
        <f>Nodes!G44+"'E4!Li"</f>
        <v>#VALUE!</v>
      </c>
      <c r="BL14" t="e">
        <f>Nodes!H44+"'E4!Lj"</f>
        <v>#VALUE!</v>
      </c>
      <c r="BM14" t="e">
        <f>Nodes!I44+"'E4!Lk"</f>
        <v>#VALUE!</v>
      </c>
      <c r="BN14" t="e">
        <f>Nodes!J44+"'E4!Ll"</f>
        <v>#VALUE!</v>
      </c>
      <c r="BO14" t="e">
        <f>Nodes!K44+"'E4!Lm"</f>
        <v>#VALUE!</v>
      </c>
      <c r="BP14" t="e">
        <f>Nodes!L44+"'E4!Ln"</f>
        <v>#VALUE!</v>
      </c>
      <c r="BQ14" t="e">
        <f>Nodes!M44+"'E4!Lo"</f>
        <v>#VALUE!</v>
      </c>
      <c r="BR14" t="e">
        <f>Nodes!N44+"'E4!Lp"</f>
        <v>#VALUE!</v>
      </c>
      <c r="BS14" t="e">
        <f>Nodes!O44+"'E4!Lq"</f>
        <v>#VALUE!</v>
      </c>
      <c r="BT14" t="e">
        <f>Nodes!P44+"'E4!Lr"</f>
        <v>#VALUE!</v>
      </c>
      <c r="BU14" t="e">
        <f>Nodes!Q44+"'E4!Ls"</f>
        <v>#VALUE!</v>
      </c>
      <c r="BV14" t="e">
        <f>Nodes!R44+"'E4!Lt"</f>
        <v>#VALUE!</v>
      </c>
      <c r="BW14" t="e">
        <f>Nodes!S44+"'E4!Lu"</f>
        <v>#VALUE!</v>
      </c>
      <c r="BX14" t="e">
        <f>Nodes!T44+"'E4!Lv"</f>
        <v>#VALUE!</v>
      </c>
      <c r="BY14" s="548" t="e">
        <f>Nodes!U44+"'E4!Lw"</f>
        <v>#VALUE!</v>
      </c>
      <c r="BZ14" s="548" t="e">
        <f>Nodes!V44+"'E4!Lx"</f>
        <v>#VALUE!</v>
      </c>
      <c r="CA14" s="548" t="e">
        <f>Nodes!W44+"'E4!Ly"</f>
        <v>#VALUE!</v>
      </c>
      <c r="CB14" s="333" t="e">
        <f>Nodes!X44+"'E4!Lz"</f>
        <v>#VALUE!</v>
      </c>
      <c r="CC14" t="e">
        <f>Nodes!Y44+"'E4!L{"</f>
        <v>#VALUE!</v>
      </c>
      <c r="CD14" t="e">
        <f>Nodes!Z44+"'E4!L|"</f>
        <v>#VALUE!</v>
      </c>
      <c r="CE14" t="e">
        <f>Nodes!AA44+"'E4!L}"</f>
        <v>#VALUE!</v>
      </c>
      <c r="CF14" t="e">
        <f>Nodes!AB44+"'E4!L~"</f>
        <v>#VALUE!</v>
      </c>
      <c r="CG14" t="e">
        <f>Nodes!AC44+"'E4!M#"</f>
        <v>#VALUE!</v>
      </c>
      <c r="CH14" t="e">
        <f>Nodes!A45+"'E4!M$"</f>
        <v>#VALUE!</v>
      </c>
      <c r="CI14" t="e">
        <f>Nodes!B45+"'E4!M%"</f>
        <v>#VALUE!</v>
      </c>
      <c r="CJ14" t="e">
        <f>Nodes!C45+"'E4!M&amp;"</f>
        <v>#VALUE!</v>
      </c>
      <c r="CK14" t="e">
        <f>Nodes!D45+"'E4!M'"</f>
        <v>#VALUE!</v>
      </c>
      <c r="CL14" t="e">
        <f>Nodes!E45+"'E4!M("</f>
        <v>#VALUE!</v>
      </c>
      <c r="CM14" t="e">
        <f>Nodes!F45+"'E4!M)"</f>
        <v>#VALUE!</v>
      </c>
      <c r="CN14" t="e">
        <f>Nodes!G45+"'E4!M."</f>
        <v>#VALUE!</v>
      </c>
      <c r="CO14" t="e">
        <f>Nodes!H45+"'E4!M/"</f>
        <v>#VALUE!</v>
      </c>
      <c r="CP14" t="e">
        <f>Nodes!I45+"'E4!M0"</f>
        <v>#VALUE!</v>
      </c>
      <c r="CQ14" t="e">
        <f>Nodes!J45+"'E4!M1"</f>
        <v>#VALUE!</v>
      </c>
      <c r="CR14" t="e">
        <f>Nodes!K45+"'E4!M2"</f>
        <v>#VALUE!</v>
      </c>
      <c r="CS14" t="e">
        <f>Nodes!L45+"'E4!M3"</f>
        <v>#VALUE!</v>
      </c>
      <c r="CT14" t="e">
        <f>Nodes!M45+"'E4!M4"</f>
        <v>#VALUE!</v>
      </c>
      <c r="CU14" t="e">
        <f>Nodes!N45+"'E4!M5"</f>
        <v>#VALUE!</v>
      </c>
      <c r="CV14" t="e">
        <f>Nodes!O45+"'E4!M6"</f>
        <v>#VALUE!</v>
      </c>
      <c r="CW14" t="e">
        <f>Nodes!P45+"'E4!M7"</f>
        <v>#VALUE!</v>
      </c>
      <c r="CX14" t="e">
        <f>Nodes!Q45+"'E4!M8"</f>
        <v>#VALUE!</v>
      </c>
      <c r="CY14" t="e">
        <f>Nodes!R45+"'E4!M9"</f>
        <v>#VALUE!</v>
      </c>
      <c r="CZ14" t="e">
        <f>Nodes!S45+"'E4!M:"</f>
        <v>#VALUE!</v>
      </c>
      <c r="DA14" t="e">
        <f>Nodes!T45+"'E4!M;"</f>
        <v>#VALUE!</v>
      </c>
      <c r="DB14" s="548" t="e">
        <f>Nodes!U45+"'E4!M&lt;"</f>
        <v>#VALUE!</v>
      </c>
      <c r="DC14" s="548" t="e">
        <f>Nodes!V45+"'E4!M="</f>
        <v>#VALUE!</v>
      </c>
      <c r="DD14" s="548" t="e">
        <f>Nodes!W45+"'E4!M&gt;"</f>
        <v>#VALUE!</v>
      </c>
      <c r="DE14" s="333" t="e">
        <f>Nodes!X45+"'E4!M?"</f>
        <v>#VALUE!</v>
      </c>
      <c r="DF14" t="e">
        <f>Nodes!Y45+"'E4!M@"</f>
        <v>#VALUE!</v>
      </c>
      <c r="DG14" t="e">
        <f>Nodes!Z45+"'E4!MA"</f>
        <v>#VALUE!</v>
      </c>
      <c r="DH14" t="e">
        <f>Nodes!AA45+"'E4!MB"</f>
        <v>#VALUE!</v>
      </c>
      <c r="DI14" t="e">
        <f>Nodes!AB45+"'E4!MC"</f>
        <v>#VALUE!</v>
      </c>
      <c r="DJ14" t="e">
        <f>Nodes!AC45+"'E4!MD"</f>
        <v>#VALUE!</v>
      </c>
      <c r="DK14" t="e">
        <f>Nodes!A46+"'E4!ME"</f>
        <v>#VALUE!</v>
      </c>
      <c r="DL14" t="e">
        <f>Nodes!B46+"'E4!MF"</f>
        <v>#VALUE!</v>
      </c>
      <c r="DM14" t="e">
        <f>Nodes!C46+"'E4!MG"</f>
        <v>#VALUE!</v>
      </c>
      <c r="DN14" t="e">
        <f>Nodes!D46+"'E4!MH"</f>
        <v>#VALUE!</v>
      </c>
      <c r="DO14" t="e">
        <f>Nodes!E46+"'E4!MI"</f>
        <v>#VALUE!</v>
      </c>
      <c r="DP14" t="e">
        <f>Nodes!F46+"'E4!MJ"</f>
        <v>#VALUE!</v>
      </c>
      <c r="DQ14" t="e">
        <f>Nodes!G46+"'E4!MK"</f>
        <v>#VALUE!</v>
      </c>
      <c r="DR14" t="e">
        <f>Nodes!H46+"'E4!ML"</f>
        <v>#VALUE!</v>
      </c>
      <c r="DS14" t="e">
        <f>Nodes!I46+"'E4!MM"</f>
        <v>#VALUE!</v>
      </c>
      <c r="DT14" t="e">
        <f>Nodes!J46+"'E4!MN"</f>
        <v>#VALUE!</v>
      </c>
      <c r="DU14" t="e">
        <f>Nodes!K46+"'E4!MO"</f>
        <v>#VALUE!</v>
      </c>
      <c r="DV14" t="e">
        <f>Nodes!L46+"'E4!MP"</f>
        <v>#VALUE!</v>
      </c>
      <c r="DW14" t="e">
        <f>Nodes!M46+"'E4!MQ"</f>
        <v>#VALUE!</v>
      </c>
      <c r="DX14" t="e">
        <f>Nodes!N46+"'E4!MR"</f>
        <v>#VALUE!</v>
      </c>
      <c r="DY14" t="e">
        <f>Nodes!O46+"'E4!MS"</f>
        <v>#VALUE!</v>
      </c>
      <c r="DZ14" t="e">
        <f>Nodes!P46+"'E4!MT"</f>
        <v>#VALUE!</v>
      </c>
      <c r="EA14" t="e">
        <f>Nodes!Q46+"'E4!MU"</f>
        <v>#VALUE!</v>
      </c>
      <c r="EB14" t="e">
        <f>Nodes!R46+"'E4!MV"</f>
        <v>#VALUE!</v>
      </c>
      <c r="EC14" t="e">
        <f>Nodes!S46+"'E4!MW"</f>
        <v>#VALUE!</v>
      </c>
      <c r="ED14" t="e">
        <f>Nodes!T46+"'E4!MX"</f>
        <v>#VALUE!</v>
      </c>
      <c r="EE14" s="548" t="e">
        <f>Nodes!U46+"'E4!MY"</f>
        <v>#VALUE!</v>
      </c>
      <c r="EF14" s="548" t="e">
        <f>Nodes!V46+"'E4!MZ"</f>
        <v>#VALUE!</v>
      </c>
      <c r="EG14" s="548" t="e">
        <f>Nodes!W46+"'E4!M["</f>
        <v>#VALUE!</v>
      </c>
      <c r="EH14" s="333" t="e">
        <f>Nodes!X46+"'E4!M\"</f>
        <v>#VALUE!</v>
      </c>
      <c r="EI14" t="e">
        <f>Nodes!Y46+"'E4!M]"</f>
        <v>#VALUE!</v>
      </c>
      <c r="EJ14" t="e">
        <f>Nodes!Z46+"'E4!M^"</f>
        <v>#VALUE!</v>
      </c>
      <c r="EK14" t="e">
        <f>Nodes!AA46+"'E4!M_"</f>
        <v>#VALUE!</v>
      </c>
      <c r="EL14" t="e">
        <f>Nodes!AB46+"'E4!M`"</f>
        <v>#VALUE!</v>
      </c>
      <c r="EM14" t="e">
        <f>Nodes!AC46+"'E4!Ma"</f>
        <v>#VALUE!</v>
      </c>
      <c r="EN14" t="e">
        <f>Nodes!A47+"'E4!Mb"</f>
        <v>#VALUE!</v>
      </c>
      <c r="EO14" t="e">
        <f>Nodes!B47+"'E4!Mc"</f>
        <v>#VALUE!</v>
      </c>
      <c r="EP14" t="e">
        <f>Nodes!C47+"'E4!Md"</f>
        <v>#VALUE!</v>
      </c>
      <c r="EQ14" t="e">
        <f>Nodes!D47+"'E4!Me"</f>
        <v>#VALUE!</v>
      </c>
      <c r="ER14" t="e">
        <f>Nodes!E47+"'E4!Mf"</f>
        <v>#VALUE!</v>
      </c>
      <c r="ES14" t="e">
        <f>Nodes!F47+"'E4!Mg"</f>
        <v>#VALUE!</v>
      </c>
      <c r="ET14" t="e">
        <f>Nodes!G47+"'E4!Mh"</f>
        <v>#VALUE!</v>
      </c>
      <c r="EU14" t="e">
        <f>Nodes!H47+"'E4!Mi"</f>
        <v>#VALUE!</v>
      </c>
      <c r="EV14" t="e">
        <f>Nodes!I47+"'E4!Mj"</f>
        <v>#VALUE!</v>
      </c>
      <c r="EW14" t="e">
        <f>Nodes!J47+"'E4!Mk"</f>
        <v>#VALUE!</v>
      </c>
      <c r="EX14" t="e">
        <f>Nodes!K47+"'E4!Ml"</f>
        <v>#VALUE!</v>
      </c>
      <c r="EY14" t="e">
        <f>Nodes!L47+"'E4!Mm"</f>
        <v>#VALUE!</v>
      </c>
      <c r="EZ14" t="e">
        <f>Nodes!M47+"'E4!Mn"</f>
        <v>#VALUE!</v>
      </c>
      <c r="FA14" t="e">
        <f>Nodes!N47+"'E4!Mo"</f>
        <v>#VALUE!</v>
      </c>
      <c r="FB14" t="e">
        <f>Nodes!O47+"'E4!Mp"</f>
        <v>#VALUE!</v>
      </c>
      <c r="FC14" t="e">
        <f>Nodes!P47+"'E4!Mq"</f>
        <v>#VALUE!</v>
      </c>
      <c r="FD14" t="e">
        <f>Nodes!Q47+"'E4!Mr"</f>
        <v>#VALUE!</v>
      </c>
      <c r="FE14" t="e">
        <f>Nodes!R47+"'E4!Ms"</f>
        <v>#VALUE!</v>
      </c>
      <c r="FF14" t="e">
        <f>Nodes!S47+"'E4!Mt"</f>
        <v>#VALUE!</v>
      </c>
      <c r="FG14" t="e">
        <f>Nodes!T47+"'E4!Mu"</f>
        <v>#VALUE!</v>
      </c>
      <c r="FH14" s="548" t="e">
        <f>Nodes!U47+"'E4!Mv"</f>
        <v>#VALUE!</v>
      </c>
      <c r="FI14" s="548" t="e">
        <f>Nodes!V47+"'E4!Mw"</f>
        <v>#VALUE!</v>
      </c>
      <c r="FJ14" s="548" t="e">
        <f>Nodes!W47+"'E4!Mx"</f>
        <v>#VALUE!</v>
      </c>
      <c r="FK14" s="333" t="e">
        <f>Nodes!X47+"'E4!My"</f>
        <v>#VALUE!</v>
      </c>
      <c r="FL14" t="e">
        <f>Nodes!Y47+"'E4!Mz"</f>
        <v>#VALUE!</v>
      </c>
      <c r="FM14" t="e">
        <f>Nodes!Z47+"'E4!M{"</f>
        <v>#VALUE!</v>
      </c>
      <c r="FN14" t="e">
        <f>Nodes!AA47+"'E4!M|"</f>
        <v>#VALUE!</v>
      </c>
      <c r="FO14" t="e">
        <f>Nodes!AB47+"'E4!M}"</f>
        <v>#VALUE!</v>
      </c>
      <c r="FP14" t="e">
        <f>Nodes!AC47+"'E4!M~"</f>
        <v>#VALUE!</v>
      </c>
      <c r="FQ14" t="e">
        <f>Nodes!A48+"'E4!N#"</f>
        <v>#VALUE!</v>
      </c>
      <c r="FR14" t="e">
        <f>Nodes!B48+"'E4!N$"</f>
        <v>#VALUE!</v>
      </c>
      <c r="FS14" t="e">
        <f>Nodes!C48+"'E4!N%"</f>
        <v>#VALUE!</v>
      </c>
      <c r="FT14" t="e">
        <f>Nodes!D48+"'E4!N&amp;"</f>
        <v>#VALUE!</v>
      </c>
      <c r="FU14" t="e">
        <f>Nodes!E48+"'E4!N'"</f>
        <v>#VALUE!</v>
      </c>
      <c r="FV14" t="e">
        <f>Nodes!F48+"'E4!N("</f>
        <v>#VALUE!</v>
      </c>
      <c r="FW14" t="e">
        <f>Nodes!G48+"'E4!N)"</f>
        <v>#VALUE!</v>
      </c>
      <c r="FX14" t="e">
        <f>Nodes!H48+"'E4!N."</f>
        <v>#VALUE!</v>
      </c>
      <c r="FY14" t="e">
        <f>Nodes!I48+"'E4!N/"</f>
        <v>#VALUE!</v>
      </c>
      <c r="FZ14" t="e">
        <f>Nodes!J48+"'E4!N0"</f>
        <v>#VALUE!</v>
      </c>
      <c r="GA14" t="e">
        <f>Nodes!K48+"'E4!N1"</f>
        <v>#VALUE!</v>
      </c>
      <c r="GB14" t="e">
        <f>Nodes!L48+"'E4!N2"</f>
        <v>#VALUE!</v>
      </c>
      <c r="GC14" t="e">
        <f>Nodes!M48+"'E4!N3"</f>
        <v>#VALUE!</v>
      </c>
      <c r="GD14" t="e">
        <f>Nodes!N48+"'E4!N4"</f>
        <v>#VALUE!</v>
      </c>
      <c r="GE14" t="e">
        <f>Nodes!O48+"'E4!N5"</f>
        <v>#VALUE!</v>
      </c>
      <c r="GF14" t="e">
        <f>Nodes!P48+"'E4!N6"</f>
        <v>#VALUE!</v>
      </c>
      <c r="GG14" t="e">
        <f>Nodes!Q48+"'E4!N7"</f>
        <v>#VALUE!</v>
      </c>
      <c r="GH14" t="e">
        <f>Nodes!R48+"'E4!N8"</f>
        <v>#VALUE!</v>
      </c>
      <c r="GI14" t="e">
        <f>Nodes!S48+"'E4!N9"</f>
        <v>#VALUE!</v>
      </c>
      <c r="GJ14" t="e">
        <f>Nodes!T48+"'E4!N:"</f>
        <v>#VALUE!</v>
      </c>
      <c r="GK14" s="548" t="e">
        <f>Nodes!U48+"'E4!N;"</f>
        <v>#VALUE!</v>
      </c>
      <c r="GL14" s="548" t="e">
        <f>Nodes!V48+"'E4!N&lt;"</f>
        <v>#VALUE!</v>
      </c>
      <c r="GM14" s="548" t="e">
        <f>Nodes!W48+"'E4!N="</f>
        <v>#VALUE!</v>
      </c>
      <c r="GN14" s="333" t="e">
        <f>Nodes!X48+"'E4!N&gt;"</f>
        <v>#VALUE!</v>
      </c>
      <c r="GO14" t="e">
        <f>Nodes!Y48+"'E4!N?"</f>
        <v>#VALUE!</v>
      </c>
      <c r="GP14" t="e">
        <f>Nodes!Z48+"'E4!N@"</f>
        <v>#VALUE!</v>
      </c>
      <c r="GQ14" t="e">
        <f>Nodes!AA48+"'E4!NA"</f>
        <v>#VALUE!</v>
      </c>
      <c r="GR14" t="e">
        <f>Nodes!AB48+"'E4!NB"</f>
        <v>#VALUE!</v>
      </c>
      <c r="GS14" t="e">
        <f>Nodes!AC48+"'E4!NC"</f>
        <v>#VALUE!</v>
      </c>
      <c r="GT14" t="e">
        <f>Nodes!A49+"'E4!ND"</f>
        <v>#VALUE!</v>
      </c>
      <c r="GU14" t="e">
        <f>Nodes!B49+"'E4!NE"</f>
        <v>#VALUE!</v>
      </c>
      <c r="GV14" t="e">
        <f>Nodes!C49+"'E4!NF"</f>
        <v>#VALUE!</v>
      </c>
      <c r="GW14" t="e">
        <f>Nodes!D49+"'E4!NG"</f>
        <v>#VALUE!</v>
      </c>
      <c r="GX14" t="e">
        <f>Nodes!E49+"'E4!NH"</f>
        <v>#VALUE!</v>
      </c>
      <c r="GY14" t="e">
        <f>Nodes!F49+"'E4!NI"</f>
        <v>#VALUE!</v>
      </c>
      <c r="GZ14" t="e">
        <f>Nodes!G49+"'E4!NJ"</f>
        <v>#VALUE!</v>
      </c>
      <c r="HA14" t="e">
        <f>Nodes!H49+"'E4!NK"</f>
        <v>#VALUE!</v>
      </c>
      <c r="HB14" t="e">
        <f>Nodes!I49+"'E4!NL"</f>
        <v>#VALUE!</v>
      </c>
      <c r="HC14" t="e">
        <f>Nodes!J49+"'E4!NM"</f>
        <v>#VALUE!</v>
      </c>
      <c r="HD14" t="e">
        <f>Nodes!K49+"'E4!NN"</f>
        <v>#VALUE!</v>
      </c>
      <c r="HE14" t="e">
        <f>Nodes!L49+"'E4!NO"</f>
        <v>#VALUE!</v>
      </c>
      <c r="HF14" t="e">
        <f>Nodes!M49+"'E4!NP"</f>
        <v>#VALUE!</v>
      </c>
      <c r="HG14" t="e">
        <f>Nodes!N49+"'E4!NQ"</f>
        <v>#VALUE!</v>
      </c>
      <c r="HH14" t="e">
        <f>Nodes!O49+"'E4!NR"</f>
        <v>#VALUE!</v>
      </c>
      <c r="HI14" t="e">
        <f>Nodes!P49+"'E4!NS"</f>
        <v>#VALUE!</v>
      </c>
      <c r="HJ14" t="e">
        <f>Nodes!Q49+"'E4!NT"</f>
        <v>#VALUE!</v>
      </c>
      <c r="HK14" t="e">
        <f>Nodes!R49+"'E4!NU"</f>
        <v>#VALUE!</v>
      </c>
      <c r="HL14" t="e">
        <f>Nodes!S49+"'E4!NV"</f>
        <v>#VALUE!</v>
      </c>
      <c r="HM14" t="e">
        <f>Nodes!T49+"'E4!NW"</f>
        <v>#VALUE!</v>
      </c>
      <c r="HN14" s="548" t="e">
        <f>Nodes!U49+"'E4!NX"</f>
        <v>#VALUE!</v>
      </c>
      <c r="HO14" s="548" t="e">
        <f>Nodes!V49+"'E4!NY"</f>
        <v>#VALUE!</v>
      </c>
      <c r="HP14" s="548" t="e">
        <f>Nodes!W49+"'E4!NZ"</f>
        <v>#VALUE!</v>
      </c>
      <c r="HQ14" s="333" t="e">
        <f>Nodes!X49+"'E4!N["</f>
        <v>#VALUE!</v>
      </c>
      <c r="HR14" t="e">
        <f>Nodes!Y49+"'E4!N\"</f>
        <v>#VALUE!</v>
      </c>
      <c r="HS14" t="e">
        <f>Nodes!Z49+"'E4!N]"</f>
        <v>#VALUE!</v>
      </c>
      <c r="HT14" t="e">
        <f>Nodes!AA49+"'E4!N^"</f>
        <v>#VALUE!</v>
      </c>
      <c r="HU14" t="e">
        <f>Nodes!AB49+"'E4!N_"</f>
        <v>#VALUE!</v>
      </c>
      <c r="HV14" t="e">
        <f>Nodes!AC49+"'E4!N`"</f>
        <v>#VALUE!</v>
      </c>
      <c r="HW14" t="e">
        <f>Nodes!A50+"'E4!Na"</f>
        <v>#VALUE!</v>
      </c>
      <c r="HX14" t="e">
        <f>Nodes!B50+"'E4!Nb"</f>
        <v>#VALUE!</v>
      </c>
      <c r="HY14" t="e">
        <f>Nodes!C50+"'E4!Nc"</f>
        <v>#VALUE!</v>
      </c>
      <c r="HZ14" t="e">
        <f>Nodes!D50+"'E4!Nd"</f>
        <v>#VALUE!</v>
      </c>
      <c r="IA14" t="e">
        <f>Nodes!E50+"'E4!Ne"</f>
        <v>#VALUE!</v>
      </c>
      <c r="IB14" t="e">
        <f>Nodes!F50+"'E4!Nf"</f>
        <v>#VALUE!</v>
      </c>
      <c r="IC14" t="e">
        <f>Nodes!G50+"'E4!Ng"</f>
        <v>#VALUE!</v>
      </c>
      <c r="ID14" t="e">
        <f>Nodes!H50+"'E4!Nh"</f>
        <v>#VALUE!</v>
      </c>
      <c r="IE14" t="e">
        <f>Nodes!I50+"'E4!Ni"</f>
        <v>#VALUE!</v>
      </c>
      <c r="IF14" t="e">
        <f>Nodes!J50+"'E4!Nj"</f>
        <v>#VALUE!</v>
      </c>
      <c r="IG14" t="e">
        <f>Nodes!K50+"'E4!Nk"</f>
        <v>#VALUE!</v>
      </c>
      <c r="IH14" t="e">
        <f>Nodes!L50+"'E4!Nl"</f>
        <v>#VALUE!</v>
      </c>
      <c r="II14" t="e">
        <f>Nodes!M50+"'E4!Nm"</f>
        <v>#VALUE!</v>
      </c>
      <c r="IJ14" t="e">
        <f>Nodes!N50+"'E4!Nn"</f>
        <v>#VALUE!</v>
      </c>
      <c r="IK14" t="e">
        <f>Nodes!O50+"'E4!No"</f>
        <v>#VALUE!</v>
      </c>
      <c r="IL14" t="e">
        <f>Nodes!P50+"'E4!Np"</f>
        <v>#VALUE!</v>
      </c>
      <c r="IM14" t="e">
        <f>Nodes!Q50+"'E4!Nq"</f>
        <v>#VALUE!</v>
      </c>
      <c r="IN14" t="e">
        <f>Nodes!R50+"'E4!Nr"</f>
        <v>#VALUE!</v>
      </c>
      <c r="IO14" t="e">
        <f>Nodes!S50+"'E4!Ns"</f>
        <v>#VALUE!</v>
      </c>
      <c r="IP14" t="e">
        <f>Nodes!T50+"'E4!Nt"</f>
        <v>#VALUE!</v>
      </c>
      <c r="IQ14" s="548" t="e">
        <f>Nodes!U50+"'E4!Nu"</f>
        <v>#VALUE!</v>
      </c>
      <c r="IR14" s="548" t="e">
        <f>Nodes!V50+"'E4!Nv"</f>
        <v>#VALUE!</v>
      </c>
      <c r="IS14" s="548" t="e">
        <f>Nodes!W50+"'E4!Nw"</f>
        <v>#VALUE!</v>
      </c>
      <c r="IT14" s="333" t="e">
        <f>Nodes!X50+"'E4!Nx"</f>
        <v>#VALUE!</v>
      </c>
      <c r="IU14" t="e">
        <f>Nodes!Y50+"'E4!Ny"</f>
        <v>#VALUE!</v>
      </c>
      <c r="IV14" t="e">
        <f>Nodes!Z50+"'E4!Nz"</f>
        <v>#VALUE!</v>
      </c>
    </row>
    <row r="15" spans="1:256">
      <c r="F15" t="e">
        <f>Nodes!AA50+"'E4!N{"</f>
        <v>#VALUE!</v>
      </c>
      <c r="G15" t="e">
        <f>Nodes!AB50+"'E4!N|"</f>
        <v>#VALUE!</v>
      </c>
      <c r="H15" t="e">
        <f>Nodes!AC50+"'E4!N}"</f>
        <v>#VALUE!</v>
      </c>
      <c r="I15" t="e">
        <f>Nodes!A51+"'E4!N~"</f>
        <v>#VALUE!</v>
      </c>
      <c r="J15" t="e">
        <f>Nodes!B51+"'E4!O#"</f>
        <v>#VALUE!</v>
      </c>
      <c r="K15" t="e">
        <f>Nodes!C51+"'E4!O$"</f>
        <v>#VALUE!</v>
      </c>
      <c r="L15" t="e">
        <f>Nodes!D51+"'E4!O%"</f>
        <v>#VALUE!</v>
      </c>
      <c r="M15" t="e">
        <f>Nodes!E51+"'E4!O&amp;"</f>
        <v>#VALUE!</v>
      </c>
      <c r="N15" t="e">
        <f>Nodes!F51+"'E4!O'"</f>
        <v>#VALUE!</v>
      </c>
      <c r="O15" t="e">
        <f>Nodes!G51+"'E4!O("</f>
        <v>#VALUE!</v>
      </c>
      <c r="P15" t="e">
        <f>Nodes!H51+"'E4!O)"</f>
        <v>#VALUE!</v>
      </c>
      <c r="Q15" t="e">
        <f>Nodes!I51+"'E4!O."</f>
        <v>#VALUE!</v>
      </c>
      <c r="R15" t="e">
        <f>Nodes!J51+"'E4!O/"</f>
        <v>#VALUE!</v>
      </c>
      <c r="S15" t="e">
        <f>Nodes!K51+"'E4!O0"</f>
        <v>#VALUE!</v>
      </c>
      <c r="T15" t="e">
        <f>Nodes!L51+"'E4!O1"</f>
        <v>#VALUE!</v>
      </c>
      <c r="U15" t="e">
        <f>Nodes!M51+"'E4!O2"</f>
        <v>#VALUE!</v>
      </c>
      <c r="V15" t="e">
        <f>Nodes!N51+"'E4!O3"</f>
        <v>#VALUE!</v>
      </c>
      <c r="W15" t="e">
        <f>Nodes!O51+"'E4!O4"</f>
        <v>#VALUE!</v>
      </c>
      <c r="X15" t="e">
        <f>Nodes!P51+"'E4!O5"</f>
        <v>#VALUE!</v>
      </c>
      <c r="Y15" t="e">
        <f>Nodes!Q51+"'E4!O6"</f>
        <v>#VALUE!</v>
      </c>
      <c r="Z15" t="e">
        <f>Nodes!R51+"'E4!O7"</f>
        <v>#VALUE!</v>
      </c>
      <c r="AA15" t="e">
        <f>Nodes!S51+"'E4!O8"</f>
        <v>#VALUE!</v>
      </c>
      <c r="AB15" t="e">
        <f>Nodes!T51+"'E4!O9"</f>
        <v>#VALUE!</v>
      </c>
      <c r="AC15" s="548" t="e">
        <f>Nodes!U51+"'E4!O:"</f>
        <v>#VALUE!</v>
      </c>
      <c r="AD15" s="548" t="e">
        <f>Nodes!V51+"'E4!O;"</f>
        <v>#VALUE!</v>
      </c>
      <c r="AE15" s="548" t="e">
        <f>Nodes!W51+"'E4!O&lt;"</f>
        <v>#VALUE!</v>
      </c>
      <c r="AF15" s="333" t="e">
        <f>Nodes!X51+"'E4!O="</f>
        <v>#VALUE!</v>
      </c>
      <c r="AG15" t="e">
        <f>Nodes!Y51+"'E4!O&gt;"</f>
        <v>#VALUE!</v>
      </c>
      <c r="AH15" t="e">
        <f>Nodes!Z51+"'E4!O?"</f>
        <v>#VALUE!</v>
      </c>
      <c r="AI15" t="e">
        <f>Nodes!AA51+"'E4!O@"</f>
        <v>#VALUE!</v>
      </c>
      <c r="AJ15" t="e">
        <f>Nodes!AB51+"'E4!OA"</f>
        <v>#VALUE!</v>
      </c>
      <c r="AK15" t="e">
        <f>Nodes!AC51+"'E4!OB"</f>
        <v>#VALUE!</v>
      </c>
      <c r="AL15" t="e">
        <f>Nodes!A52+"'E4!OC"</f>
        <v>#VALUE!</v>
      </c>
      <c r="AM15" t="e">
        <f>Nodes!B52+"'E4!OD"</f>
        <v>#VALUE!</v>
      </c>
      <c r="AN15" t="e">
        <f>Nodes!C52+"'E4!OE"</f>
        <v>#VALUE!</v>
      </c>
      <c r="AO15" t="e">
        <f>Nodes!D52+"'E4!OF"</f>
        <v>#VALUE!</v>
      </c>
      <c r="AP15" t="e">
        <f>Nodes!E52+"'E4!OG"</f>
        <v>#VALUE!</v>
      </c>
      <c r="AQ15" t="e">
        <f>Nodes!F52+"'E4!OH"</f>
        <v>#VALUE!</v>
      </c>
      <c r="AR15" t="e">
        <f>Nodes!G52+"'E4!OI"</f>
        <v>#VALUE!</v>
      </c>
      <c r="AS15" t="e">
        <f>Nodes!H52+"'E4!OJ"</f>
        <v>#VALUE!</v>
      </c>
      <c r="AT15" t="e">
        <f>Nodes!I52+"'E4!OK"</f>
        <v>#VALUE!</v>
      </c>
      <c r="AU15" t="e">
        <f>Nodes!J52+"'E4!OL"</f>
        <v>#VALUE!</v>
      </c>
      <c r="AV15" t="e">
        <f>Nodes!K52+"'E4!OM"</f>
        <v>#VALUE!</v>
      </c>
      <c r="AW15" t="e">
        <f>Nodes!L52+"'E4!ON"</f>
        <v>#VALUE!</v>
      </c>
      <c r="AX15" t="e">
        <f>Nodes!M52+"'E4!OO"</f>
        <v>#VALUE!</v>
      </c>
      <c r="AY15" t="e">
        <f>Nodes!N52+"'E4!OP"</f>
        <v>#VALUE!</v>
      </c>
      <c r="AZ15" t="e">
        <f>Nodes!O52+"'E4!OQ"</f>
        <v>#VALUE!</v>
      </c>
      <c r="BA15" t="e">
        <f>Nodes!P52+"'E4!OR"</f>
        <v>#VALUE!</v>
      </c>
      <c r="BB15" t="e">
        <f>Nodes!Q52+"'E4!OS"</f>
        <v>#VALUE!</v>
      </c>
      <c r="BC15" t="e">
        <f>Nodes!R52+"'E4!OT"</f>
        <v>#VALUE!</v>
      </c>
      <c r="BD15" t="e">
        <f>Nodes!S52+"'E4!OU"</f>
        <v>#VALUE!</v>
      </c>
      <c r="BE15" t="e">
        <f>Nodes!T52+"'E4!OV"</f>
        <v>#VALUE!</v>
      </c>
      <c r="BF15" s="548" t="e">
        <f>Nodes!U52+"'E4!OW"</f>
        <v>#VALUE!</v>
      </c>
      <c r="BG15" s="548" t="e">
        <f>Nodes!V52+"'E4!OX"</f>
        <v>#VALUE!</v>
      </c>
      <c r="BH15" s="548" t="e">
        <f>Nodes!W52+"'E4!OY"</f>
        <v>#VALUE!</v>
      </c>
      <c r="BI15" s="333" t="e">
        <f>Nodes!X52+"'E4!OZ"</f>
        <v>#VALUE!</v>
      </c>
      <c r="BJ15" t="e">
        <f>Nodes!Y52+"'E4!O["</f>
        <v>#VALUE!</v>
      </c>
      <c r="BK15" t="e">
        <f>Nodes!Z52+"'E4!O\"</f>
        <v>#VALUE!</v>
      </c>
      <c r="BL15" t="e">
        <f>Nodes!AA52+"'E4!O]"</f>
        <v>#VALUE!</v>
      </c>
      <c r="BM15" t="e">
        <f>Nodes!AB52+"'E4!O^"</f>
        <v>#VALUE!</v>
      </c>
      <c r="BN15" t="e">
        <f>Nodes!AC52+"'E4!O_"</f>
        <v>#VALUE!</v>
      </c>
      <c r="BO15" t="e">
        <f>Nodes!A53+"'E4!O`"</f>
        <v>#VALUE!</v>
      </c>
      <c r="BP15" t="e">
        <f>Nodes!B53+"'E4!Oa"</f>
        <v>#VALUE!</v>
      </c>
      <c r="BQ15" t="e">
        <f>Nodes!C53+"'E4!Ob"</f>
        <v>#VALUE!</v>
      </c>
      <c r="BR15" t="e">
        <f>Nodes!D53+"'E4!Oc"</f>
        <v>#VALUE!</v>
      </c>
      <c r="BS15" t="e">
        <f>Nodes!E53+"'E4!Od"</f>
        <v>#VALUE!</v>
      </c>
      <c r="BT15" t="e">
        <f>Nodes!F53+"'E4!Oe"</f>
        <v>#VALUE!</v>
      </c>
      <c r="BU15" t="e">
        <f>Nodes!G53+"'E4!Of"</f>
        <v>#VALUE!</v>
      </c>
      <c r="BV15" t="e">
        <f>Nodes!H53+"'E4!Og"</f>
        <v>#VALUE!</v>
      </c>
      <c r="BW15" t="e">
        <f>Nodes!I53+"'E4!Oh"</f>
        <v>#VALUE!</v>
      </c>
      <c r="BX15" t="e">
        <f>Nodes!J53+"'E4!Oi"</f>
        <v>#VALUE!</v>
      </c>
      <c r="BY15" t="e">
        <f>Nodes!K53+"'E4!Oj"</f>
        <v>#VALUE!</v>
      </c>
      <c r="BZ15" t="e">
        <f>Nodes!L53+"'E4!Ok"</f>
        <v>#VALUE!</v>
      </c>
      <c r="CA15" t="e">
        <f>Nodes!M53+"'E4!Ol"</f>
        <v>#VALUE!</v>
      </c>
      <c r="CB15" t="e">
        <f>Nodes!N53+"'E4!Om"</f>
        <v>#VALUE!</v>
      </c>
      <c r="CC15" t="e">
        <f>Nodes!O53+"'E4!On"</f>
        <v>#VALUE!</v>
      </c>
      <c r="CD15" t="e">
        <f>Nodes!P53+"'E4!Oo"</f>
        <v>#VALUE!</v>
      </c>
      <c r="CE15" t="e">
        <f>Nodes!Q53+"'E4!Op"</f>
        <v>#VALUE!</v>
      </c>
      <c r="CF15" t="e">
        <f>Nodes!R53+"'E4!Oq"</f>
        <v>#VALUE!</v>
      </c>
      <c r="CG15" t="e">
        <f>Nodes!S53+"'E4!Or"</f>
        <v>#VALUE!</v>
      </c>
      <c r="CH15" t="e">
        <f>Nodes!T53+"'E4!Os"</f>
        <v>#VALUE!</v>
      </c>
      <c r="CI15" s="548" t="e">
        <f>Nodes!U53+"'E4!Ot"</f>
        <v>#VALUE!</v>
      </c>
      <c r="CJ15" s="548" t="e">
        <f>Nodes!V53+"'E4!Ou"</f>
        <v>#VALUE!</v>
      </c>
      <c r="CK15" t="e">
        <f>Nodes!W53+"'E4!Ov"</f>
        <v>#VALUE!</v>
      </c>
      <c r="CL15" s="333" t="e">
        <f>Nodes!X53+"'E4!Ow"</f>
        <v>#VALUE!</v>
      </c>
      <c r="CM15" t="e">
        <f>Nodes!Y53+"'E4!Ox"</f>
        <v>#VALUE!</v>
      </c>
      <c r="CN15" t="e">
        <f>Nodes!Z53+"'E4!Oy"</f>
        <v>#VALUE!</v>
      </c>
      <c r="CO15" t="e">
        <f>Nodes!AA53+"'E4!Oz"</f>
        <v>#VALUE!</v>
      </c>
      <c r="CP15" t="e">
        <f>Nodes!AB53+"'E4!O{"</f>
        <v>#VALUE!</v>
      </c>
      <c r="CQ15" t="e">
        <f>Nodes!AC53+"'E4!O|"</f>
        <v>#VALUE!</v>
      </c>
      <c r="CR15" t="e">
        <f>Nodes!A54+"'E4!O}"</f>
        <v>#VALUE!</v>
      </c>
      <c r="CS15" t="e">
        <f>Nodes!B54+"'E4!O~"</f>
        <v>#VALUE!</v>
      </c>
      <c r="CT15" t="e">
        <f>Nodes!C54+"'E4!P#"</f>
        <v>#VALUE!</v>
      </c>
      <c r="CU15" t="e">
        <f>Nodes!D54+"'E4!P$"</f>
        <v>#VALUE!</v>
      </c>
      <c r="CV15" t="e">
        <f>Nodes!E54+"'E4!P%"</f>
        <v>#VALUE!</v>
      </c>
      <c r="CW15" t="e">
        <f>Nodes!F54+"'E4!P&amp;"</f>
        <v>#VALUE!</v>
      </c>
      <c r="CX15" t="e">
        <f>Nodes!G54+"'E4!P'"</f>
        <v>#VALUE!</v>
      </c>
      <c r="CY15" t="e">
        <f>Nodes!H54+"'E4!P("</f>
        <v>#VALUE!</v>
      </c>
      <c r="CZ15" t="e">
        <f>Nodes!I54+"'E4!P)"</f>
        <v>#VALUE!</v>
      </c>
      <c r="DA15" t="e">
        <f>Nodes!J54+"'E4!P."</f>
        <v>#VALUE!</v>
      </c>
      <c r="DB15" t="e">
        <f>Nodes!K54+"'E4!P/"</f>
        <v>#VALUE!</v>
      </c>
      <c r="DC15" t="e">
        <f>Nodes!L54+"'E4!P0"</f>
        <v>#VALUE!</v>
      </c>
      <c r="DD15" t="e">
        <f>Nodes!M54+"'E4!P1"</f>
        <v>#VALUE!</v>
      </c>
      <c r="DE15" t="e">
        <f>Nodes!N54+"'E4!P2"</f>
        <v>#VALUE!</v>
      </c>
      <c r="DF15" t="e">
        <f>Nodes!O54+"'E4!P3"</f>
        <v>#VALUE!</v>
      </c>
      <c r="DG15" t="e">
        <f>Nodes!P54+"'E4!P4"</f>
        <v>#VALUE!</v>
      </c>
      <c r="DH15" t="e">
        <f>Nodes!Q54+"'E4!P5"</f>
        <v>#VALUE!</v>
      </c>
      <c r="DI15" t="e">
        <f>Nodes!R54+"'E4!P6"</f>
        <v>#VALUE!</v>
      </c>
      <c r="DJ15" t="e">
        <f>Nodes!S54+"'E4!P7"</f>
        <v>#VALUE!</v>
      </c>
      <c r="DK15" t="e">
        <f>Nodes!T54+"'E4!P8"</f>
        <v>#VALUE!</v>
      </c>
      <c r="DL15" s="548" t="e">
        <f>Nodes!U54+"'E4!P9"</f>
        <v>#VALUE!</v>
      </c>
      <c r="DM15" s="548" t="e">
        <f>Nodes!V54+"'E4!P:"</f>
        <v>#VALUE!</v>
      </c>
      <c r="DN15" s="548" t="e">
        <f>Nodes!W54+"'E4!P;"</f>
        <v>#VALUE!</v>
      </c>
      <c r="DO15" s="333" t="e">
        <f>Nodes!X54+"'E4!P&lt;"</f>
        <v>#VALUE!</v>
      </c>
      <c r="DP15" t="e">
        <f>Nodes!Y54+"'E4!P="</f>
        <v>#VALUE!</v>
      </c>
      <c r="DQ15" t="e">
        <f>Nodes!Z54+"'E4!P&gt;"</f>
        <v>#VALUE!</v>
      </c>
      <c r="DR15" t="e">
        <f>Nodes!AA54+"'E4!P?"</f>
        <v>#VALUE!</v>
      </c>
      <c r="DS15" t="e">
        <f>Nodes!AB54+"'E4!P@"</f>
        <v>#VALUE!</v>
      </c>
      <c r="DT15" t="e">
        <f>Nodes!AC54+"'E4!PA"</f>
        <v>#VALUE!</v>
      </c>
      <c r="DU15" t="e">
        <f>Nodes!A55+"'E4!PB"</f>
        <v>#VALUE!</v>
      </c>
      <c r="DV15" t="e">
        <f>Nodes!B55+"'E4!PC"</f>
        <v>#VALUE!</v>
      </c>
      <c r="DW15" t="e">
        <f>Nodes!C55+"'E4!PD"</f>
        <v>#VALUE!</v>
      </c>
      <c r="DX15" t="e">
        <f>Nodes!D55+"'E4!PE"</f>
        <v>#VALUE!</v>
      </c>
      <c r="DY15" t="e">
        <f>Nodes!E55+"'E4!PF"</f>
        <v>#VALUE!</v>
      </c>
      <c r="DZ15" t="e">
        <f>Nodes!F55+"'E4!PG"</f>
        <v>#VALUE!</v>
      </c>
      <c r="EA15" t="e">
        <f>Nodes!G55+"'E4!PH"</f>
        <v>#VALUE!</v>
      </c>
      <c r="EB15" t="e">
        <f>Nodes!H55+"'E4!PI"</f>
        <v>#VALUE!</v>
      </c>
      <c r="EC15" t="e">
        <f>Nodes!I55+"'E4!PJ"</f>
        <v>#VALUE!</v>
      </c>
      <c r="ED15" t="e">
        <f>Nodes!J55+"'E4!PK"</f>
        <v>#VALUE!</v>
      </c>
      <c r="EE15" t="e">
        <f>Nodes!K55+"'E4!PL"</f>
        <v>#VALUE!</v>
      </c>
      <c r="EF15" t="e">
        <f>Nodes!L55+"'E4!PM"</f>
        <v>#VALUE!</v>
      </c>
      <c r="EG15" t="e">
        <f>Nodes!M55+"'E4!PN"</f>
        <v>#VALUE!</v>
      </c>
      <c r="EH15" t="e">
        <f>Nodes!N55+"'E4!PO"</f>
        <v>#VALUE!</v>
      </c>
      <c r="EI15" t="e">
        <f>Nodes!O55+"'E4!PP"</f>
        <v>#VALUE!</v>
      </c>
      <c r="EJ15" t="e">
        <f>Nodes!P55+"'E4!PQ"</f>
        <v>#VALUE!</v>
      </c>
      <c r="EK15" t="e">
        <f>Nodes!Q55+"'E4!PR"</f>
        <v>#VALUE!</v>
      </c>
      <c r="EL15" t="e">
        <f>Nodes!R55+"'E4!PS"</f>
        <v>#VALUE!</v>
      </c>
      <c r="EM15" t="e">
        <f>Nodes!S55+"'E4!PT"</f>
        <v>#VALUE!</v>
      </c>
      <c r="EN15" t="e">
        <f>Nodes!T55+"'E4!PU"</f>
        <v>#VALUE!</v>
      </c>
      <c r="EO15" s="548" t="e">
        <f>Nodes!U55+"'E4!PV"</f>
        <v>#VALUE!</v>
      </c>
      <c r="EP15" s="548" t="e">
        <f>Nodes!V55+"'E4!PW"</f>
        <v>#VALUE!</v>
      </c>
      <c r="EQ15" s="548" t="e">
        <f>Nodes!W55+"'E4!PX"</f>
        <v>#VALUE!</v>
      </c>
      <c r="ER15" s="333" t="e">
        <f>Nodes!X55+"'E4!PY"</f>
        <v>#VALUE!</v>
      </c>
      <c r="ES15" t="e">
        <f>Nodes!Y55+"'E4!PZ"</f>
        <v>#VALUE!</v>
      </c>
      <c r="ET15" t="e">
        <f>Nodes!Z55+"'E4!P["</f>
        <v>#VALUE!</v>
      </c>
      <c r="EU15" t="e">
        <f>Nodes!AA55+"'E4!P\"</f>
        <v>#VALUE!</v>
      </c>
      <c r="EV15" t="e">
        <f>Nodes!AB55+"'E4!P]"</f>
        <v>#VALUE!</v>
      </c>
      <c r="EW15" t="e">
        <f>Nodes!AC55+"'E4!P^"</f>
        <v>#VALUE!</v>
      </c>
      <c r="EX15" t="e">
        <f>Nodes!A56+"'E4!P_"</f>
        <v>#VALUE!</v>
      </c>
      <c r="EY15" t="e">
        <f>Nodes!B56+"'E4!P`"</f>
        <v>#VALUE!</v>
      </c>
      <c r="EZ15" t="e">
        <f>Nodes!C56+"'E4!Pa"</f>
        <v>#VALUE!</v>
      </c>
      <c r="FA15" t="e">
        <f>Nodes!D56+"'E4!Pb"</f>
        <v>#VALUE!</v>
      </c>
      <c r="FB15" t="e">
        <f>Nodes!E56+"'E4!Pc"</f>
        <v>#VALUE!</v>
      </c>
      <c r="FC15" t="e">
        <f>Nodes!F56+"'E4!Pd"</f>
        <v>#VALUE!</v>
      </c>
      <c r="FD15" t="e">
        <f>Nodes!G56+"'E4!Pe"</f>
        <v>#VALUE!</v>
      </c>
      <c r="FE15" t="e">
        <f>Nodes!H56+"'E4!Pf"</f>
        <v>#VALUE!</v>
      </c>
      <c r="FF15" t="e">
        <f>Nodes!I56+"'E4!Pg"</f>
        <v>#VALUE!</v>
      </c>
      <c r="FG15" t="e">
        <f>Nodes!J56+"'E4!Ph"</f>
        <v>#VALUE!</v>
      </c>
      <c r="FH15" t="e">
        <f>Nodes!K56+"'E4!Pi"</f>
        <v>#VALUE!</v>
      </c>
      <c r="FI15" t="e">
        <f>Nodes!L56+"'E4!Pj"</f>
        <v>#VALUE!</v>
      </c>
      <c r="FJ15" t="e">
        <f>Nodes!M56+"'E4!Pk"</f>
        <v>#VALUE!</v>
      </c>
      <c r="FK15" t="e">
        <f>Nodes!N56+"'E4!Pl"</f>
        <v>#VALUE!</v>
      </c>
      <c r="FL15" t="e">
        <f>Nodes!O56+"'E4!Pm"</f>
        <v>#VALUE!</v>
      </c>
      <c r="FM15" t="e">
        <f>Nodes!P56+"'E4!Pn"</f>
        <v>#VALUE!</v>
      </c>
      <c r="FN15" t="e">
        <f>Nodes!Q56+"'E4!Po"</f>
        <v>#VALUE!</v>
      </c>
      <c r="FO15" t="e">
        <f>Nodes!R56+"'E4!Pp"</f>
        <v>#VALUE!</v>
      </c>
      <c r="FP15" t="e">
        <f>Nodes!S56+"'E4!Pq"</f>
        <v>#VALUE!</v>
      </c>
      <c r="FQ15" t="e">
        <f>Nodes!T56+"'E4!Pr"</f>
        <v>#VALUE!</v>
      </c>
      <c r="FR15" s="548" t="e">
        <f>Nodes!U56+"'E4!Ps"</f>
        <v>#VALUE!</v>
      </c>
      <c r="FS15" s="548" t="e">
        <f>Nodes!V56+"'E4!Pt"</f>
        <v>#VALUE!</v>
      </c>
      <c r="FT15" s="548" t="e">
        <f>Nodes!W56+"'E4!Pu"</f>
        <v>#VALUE!</v>
      </c>
      <c r="FU15" s="333" t="e">
        <f>Nodes!X56+"'E4!Pv"</f>
        <v>#VALUE!</v>
      </c>
      <c r="FV15" t="e">
        <f>Nodes!Y56+"'E4!Pw"</f>
        <v>#VALUE!</v>
      </c>
      <c r="FW15" t="e">
        <f>Nodes!Z56+"'E4!Px"</f>
        <v>#VALUE!</v>
      </c>
      <c r="FX15" t="e">
        <f>Nodes!AA56+"'E4!Py"</f>
        <v>#VALUE!</v>
      </c>
      <c r="FY15" t="e">
        <f>Nodes!AB56+"'E4!Pz"</f>
        <v>#VALUE!</v>
      </c>
      <c r="FZ15" t="e">
        <f>Nodes!AC56+"'E4!P{"</f>
        <v>#VALUE!</v>
      </c>
      <c r="GA15" t="e">
        <f>Nodes!A57+"'E4!P|"</f>
        <v>#VALUE!</v>
      </c>
      <c r="GB15" t="e">
        <f>Nodes!B57+"'E4!P}"</f>
        <v>#VALUE!</v>
      </c>
      <c r="GC15" t="e">
        <f>Nodes!C57+"'E4!P~"</f>
        <v>#VALUE!</v>
      </c>
      <c r="GD15" t="e">
        <f>Nodes!D57+"'E4!Q#"</f>
        <v>#VALUE!</v>
      </c>
      <c r="GE15" t="e">
        <f>Nodes!E57+"'E4!Q$"</f>
        <v>#VALUE!</v>
      </c>
      <c r="GF15" t="e">
        <f>Nodes!F57+"'E4!Q%"</f>
        <v>#VALUE!</v>
      </c>
      <c r="GG15" t="e">
        <f>Nodes!G57+"'E4!Q&amp;"</f>
        <v>#VALUE!</v>
      </c>
      <c r="GH15" t="e">
        <f>Nodes!H57+"'E4!Q'"</f>
        <v>#VALUE!</v>
      </c>
      <c r="GI15" t="e">
        <f>Nodes!I57+"'E4!Q("</f>
        <v>#VALUE!</v>
      </c>
      <c r="GJ15" t="e">
        <f>Nodes!J57+"'E4!Q)"</f>
        <v>#VALUE!</v>
      </c>
      <c r="GK15" t="e">
        <f>Nodes!K57+"'E4!Q."</f>
        <v>#VALUE!</v>
      </c>
      <c r="GL15" t="e">
        <f>Nodes!L57+"'E4!Q/"</f>
        <v>#VALUE!</v>
      </c>
      <c r="GM15" t="e">
        <f>Nodes!M57+"'E4!Q0"</f>
        <v>#VALUE!</v>
      </c>
      <c r="GN15" t="e">
        <f>Nodes!N57+"'E4!Q1"</f>
        <v>#VALUE!</v>
      </c>
      <c r="GO15" t="e">
        <f>Nodes!O57+"'E4!Q2"</f>
        <v>#VALUE!</v>
      </c>
      <c r="GP15" t="e">
        <f>Nodes!P57+"'E4!Q3"</f>
        <v>#VALUE!</v>
      </c>
      <c r="GQ15" t="e">
        <f>Nodes!Q57+"'E4!Q4"</f>
        <v>#VALUE!</v>
      </c>
      <c r="GR15" t="e">
        <f>Nodes!R57+"'E4!Q5"</f>
        <v>#VALUE!</v>
      </c>
      <c r="GS15" t="e">
        <f>Nodes!S57+"'E4!Q6"</f>
        <v>#VALUE!</v>
      </c>
      <c r="GT15" t="e">
        <f>Nodes!T57+"'E4!Q7"</f>
        <v>#VALUE!</v>
      </c>
      <c r="GU15" s="548" t="e">
        <f>Nodes!U57+"'E4!Q8"</f>
        <v>#VALUE!</v>
      </c>
      <c r="GV15" s="548" t="e">
        <f>Nodes!V57+"'E4!Q9"</f>
        <v>#VALUE!</v>
      </c>
      <c r="GW15" s="548" t="e">
        <f>Nodes!W57+"'E4!Q:"</f>
        <v>#VALUE!</v>
      </c>
      <c r="GX15" s="333" t="e">
        <f>Nodes!X57+"'E4!Q;"</f>
        <v>#VALUE!</v>
      </c>
      <c r="GY15" t="e">
        <f>Nodes!Y57+"'E4!Q&lt;"</f>
        <v>#VALUE!</v>
      </c>
      <c r="GZ15" t="e">
        <f>Nodes!Z57+"'E4!Q="</f>
        <v>#VALUE!</v>
      </c>
      <c r="HA15" t="e">
        <f>Nodes!AA57+"'E4!Q&gt;"</f>
        <v>#VALUE!</v>
      </c>
      <c r="HB15" t="e">
        <f>Nodes!AB57+"'E4!Q?"</f>
        <v>#VALUE!</v>
      </c>
      <c r="HC15" t="e">
        <f>Nodes!AC57+"'E4!Q@"</f>
        <v>#VALUE!</v>
      </c>
      <c r="HD15" t="e">
        <f>Nodes!A58+"'E4!QA"</f>
        <v>#VALUE!</v>
      </c>
      <c r="HE15" t="e">
        <f>Nodes!B58+"'E4!QB"</f>
        <v>#VALUE!</v>
      </c>
      <c r="HF15" t="e">
        <f>Nodes!C58+"'E4!QC"</f>
        <v>#VALUE!</v>
      </c>
      <c r="HG15" t="e">
        <f>Nodes!D58+"'E4!QD"</f>
        <v>#VALUE!</v>
      </c>
      <c r="HH15" t="e">
        <f>Nodes!E58+"'E4!QE"</f>
        <v>#VALUE!</v>
      </c>
      <c r="HI15" t="e">
        <f>Nodes!F58+"'E4!QF"</f>
        <v>#VALUE!</v>
      </c>
      <c r="HJ15" t="e">
        <f>Nodes!G58+"'E4!QG"</f>
        <v>#VALUE!</v>
      </c>
      <c r="HK15" t="e">
        <f>Nodes!H58+"'E4!QH"</f>
        <v>#VALUE!</v>
      </c>
      <c r="HL15" t="e">
        <f>Nodes!I58+"'E4!QI"</f>
        <v>#VALUE!</v>
      </c>
      <c r="HM15" t="e">
        <f>Nodes!J58+"'E4!QJ"</f>
        <v>#VALUE!</v>
      </c>
      <c r="HN15" t="e">
        <f>Nodes!K58+"'E4!QK"</f>
        <v>#VALUE!</v>
      </c>
      <c r="HO15" t="e">
        <f>Nodes!L58+"'E4!QL"</f>
        <v>#VALUE!</v>
      </c>
      <c r="HP15" t="e">
        <f>Nodes!M58+"'E4!QM"</f>
        <v>#VALUE!</v>
      </c>
      <c r="HQ15" t="e">
        <f>Nodes!N58+"'E4!QN"</f>
        <v>#VALUE!</v>
      </c>
      <c r="HR15" t="e">
        <f>Nodes!O58+"'E4!QO"</f>
        <v>#VALUE!</v>
      </c>
      <c r="HS15" t="e">
        <f>Nodes!P58+"'E4!QP"</f>
        <v>#VALUE!</v>
      </c>
      <c r="HT15" t="e">
        <f>Nodes!Q58+"'E4!QQ"</f>
        <v>#VALUE!</v>
      </c>
      <c r="HU15" t="e">
        <f>Nodes!R58+"'E4!QR"</f>
        <v>#VALUE!</v>
      </c>
      <c r="HV15" t="e">
        <f>Nodes!S58+"'E4!QS"</f>
        <v>#VALUE!</v>
      </c>
      <c r="HW15" t="e">
        <f>Nodes!T58+"'E4!QT"</f>
        <v>#VALUE!</v>
      </c>
      <c r="HX15" s="548" t="e">
        <f>Nodes!U58+"'E4!QU"</f>
        <v>#VALUE!</v>
      </c>
      <c r="HY15" s="548" t="e">
        <f>Nodes!V58+"'E4!QV"</f>
        <v>#VALUE!</v>
      </c>
      <c r="HZ15" s="548" t="e">
        <f>Nodes!W58+"'E4!QW"</f>
        <v>#VALUE!</v>
      </c>
      <c r="IA15" s="333" t="e">
        <f>Nodes!X58+"'E4!QX"</f>
        <v>#VALUE!</v>
      </c>
      <c r="IB15" t="e">
        <f>Nodes!Y58+"'E4!QY"</f>
        <v>#VALUE!</v>
      </c>
      <c r="IC15" t="e">
        <f>Nodes!Z58+"'E4!QZ"</f>
        <v>#VALUE!</v>
      </c>
      <c r="ID15" t="e">
        <f>Nodes!AA58+"'E4!Q["</f>
        <v>#VALUE!</v>
      </c>
      <c r="IE15" t="e">
        <f>Nodes!AB58+"'E4!Q\"</f>
        <v>#VALUE!</v>
      </c>
      <c r="IF15" t="e">
        <f>Nodes!AC58+"'E4!Q]"</f>
        <v>#VALUE!</v>
      </c>
      <c r="IG15" t="e">
        <f>Nodes!A59+"'E4!Q^"</f>
        <v>#VALUE!</v>
      </c>
      <c r="IH15" t="e">
        <f>Nodes!B59+"'E4!Q_"</f>
        <v>#VALUE!</v>
      </c>
      <c r="II15" t="e">
        <f>Nodes!C59+"'E4!Q`"</f>
        <v>#VALUE!</v>
      </c>
      <c r="IJ15" t="e">
        <f>Nodes!D59+"'E4!Qa"</f>
        <v>#VALUE!</v>
      </c>
      <c r="IK15" t="e">
        <f>Nodes!E59+"'E4!Qb"</f>
        <v>#VALUE!</v>
      </c>
      <c r="IL15" t="e">
        <f>Nodes!F59+"'E4!Qc"</f>
        <v>#VALUE!</v>
      </c>
      <c r="IM15" t="e">
        <f>Nodes!G59+"'E4!Qd"</f>
        <v>#VALUE!</v>
      </c>
      <c r="IN15" t="e">
        <f>Nodes!H59+"'E4!Qe"</f>
        <v>#VALUE!</v>
      </c>
      <c r="IO15" t="e">
        <f>Nodes!I59+"'E4!Qf"</f>
        <v>#VALUE!</v>
      </c>
      <c r="IP15" t="e">
        <f>Nodes!J59+"'E4!Qg"</f>
        <v>#VALUE!</v>
      </c>
      <c r="IQ15" t="e">
        <f>Nodes!K59+"'E4!Qh"</f>
        <v>#VALUE!</v>
      </c>
      <c r="IR15" t="e">
        <f>Nodes!L59+"'E4!Qi"</f>
        <v>#VALUE!</v>
      </c>
      <c r="IS15" t="e">
        <f>Nodes!M59+"'E4!Qj"</f>
        <v>#VALUE!</v>
      </c>
      <c r="IT15" t="e">
        <f>Nodes!N59+"'E4!Qk"</f>
        <v>#VALUE!</v>
      </c>
      <c r="IU15" t="e">
        <f>Nodes!O59+"'E4!Ql"</f>
        <v>#VALUE!</v>
      </c>
      <c r="IV15" t="e">
        <f>Nodes!P59+"'E4!Qm"</f>
        <v>#VALUE!</v>
      </c>
    </row>
    <row r="16" spans="1:256">
      <c r="F16" t="e">
        <f>Nodes!Q59+"'E4!Qn"</f>
        <v>#VALUE!</v>
      </c>
      <c r="G16" t="e">
        <f>Nodes!R59+"'E4!Qo"</f>
        <v>#VALUE!</v>
      </c>
      <c r="H16" t="e">
        <f>Nodes!S59+"'E4!Qp"</f>
        <v>#VALUE!</v>
      </c>
      <c r="I16" t="e">
        <f>Nodes!T59+"'E4!Qq"</f>
        <v>#VALUE!</v>
      </c>
      <c r="J16" s="548" t="e">
        <f>Nodes!U59+"'E4!Qr"</f>
        <v>#VALUE!</v>
      </c>
      <c r="K16" s="548" t="e">
        <f>Nodes!V59+"'E4!Qs"</f>
        <v>#VALUE!</v>
      </c>
      <c r="L16" s="548" t="e">
        <f>Nodes!W59+"'E4!Qt"</f>
        <v>#VALUE!</v>
      </c>
      <c r="M16" s="333" t="e">
        <f>Nodes!X59+"'E4!Qu"</f>
        <v>#VALUE!</v>
      </c>
      <c r="N16" t="e">
        <f>Nodes!Y59+"'E4!Qv"</f>
        <v>#VALUE!</v>
      </c>
      <c r="O16" t="e">
        <f>Nodes!Z59+"'E4!Qw"</f>
        <v>#VALUE!</v>
      </c>
      <c r="P16" t="e">
        <f>Nodes!AA59+"'E4!Qx"</f>
        <v>#VALUE!</v>
      </c>
      <c r="Q16" t="e">
        <f>Nodes!AB59+"'E4!Qy"</f>
        <v>#VALUE!</v>
      </c>
      <c r="R16" t="e">
        <f>Nodes!AC59+"'E4!Qz"</f>
        <v>#VALUE!</v>
      </c>
      <c r="S16" t="e">
        <f>Nodes!A60+"'E4!Q{"</f>
        <v>#VALUE!</v>
      </c>
      <c r="T16" t="e">
        <f>Nodes!B60+"'E4!Q|"</f>
        <v>#VALUE!</v>
      </c>
      <c r="U16" t="e">
        <f>Nodes!C60+"'E4!Q}"</f>
        <v>#VALUE!</v>
      </c>
      <c r="V16" t="e">
        <f>Nodes!D60+"'E4!Q~"</f>
        <v>#VALUE!</v>
      </c>
      <c r="W16" t="e">
        <f>Nodes!E60+"'E4!R#"</f>
        <v>#VALUE!</v>
      </c>
      <c r="X16" t="e">
        <f>Nodes!F60+"'E4!R$"</f>
        <v>#VALUE!</v>
      </c>
      <c r="Y16" t="e">
        <f>Nodes!G60+"'E4!R%"</f>
        <v>#VALUE!</v>
      </c>
      <c r="Z16" t="e">
        <f>Nodes!H60+"'E4!R&amp;"</f>
        <v>#VALUE!</v>
      </c>
      <c r="AA16" t="e">
        <f>Nodes!I60+"'E4!R'"</f>
        <v>#VALUE!</v>
      </c>
      <c r="AB16" t="e">
        <f>Nodes!J60+"'E4!R("</f>
        <v>#VALUE!</v>
      </c>
      <c r="AC16" t="e">
        <f>Nodes!K60+"'E4!R)"</f>
        <v>#VALUE!</v>
      </c>
      <c r="AD16" t="e">
        <f>Nodes!L60+"'E4!R."</f>
        <v>#VALUE!</v>
      </c>
      <c r="AE16" t="e">
        <f>Nodes!M60+"'E4!R/"</f>
        <v>#VALUE!</v>
      </c>
      <c r="AF16" t="e">
        <f>Nodes!N60+"'E4!R0"</f>
        <v>#VALUE!</v>
      </c>
      <c r="AG16" t="e">
        <f>Nodes!O60+"'E4!R1"</f>
        <v>#VALUE!</v>
      </c>
      <c r="AH16" t="e">
        <f>Nodes!P60+"'E4!R2"</f>
        <v>#VALUE!</v>
      </c>
      <c r="AI16" t="e">
        <f>Nodes!Q60+"'E4!R3"</f>
        <v>#VALUE!</v>
      </c>
      <c r="AJ16" t="e">
        <f>Nodes!R60+"'E4!R4"</f>
        <v>#VALUE!</v>
      </c>
      <c r="AK16" t="e">
        <f>Nodes!S60+"'E4!R5"</f>
        <v>#VALUE!</v>
      </c>
      <c r="AL16" t="e">
        <f>Nodes!T60+"'E4!R6"</f>
        <v>#VALUE!</v>
      </c>
      <c r="AM16" s="548" t="e">
        <f>Nodes!U60+"'E4!R7"</f>
        <v>#VALUE!</v>
      </c>
      <c r="AN16" s="548" t="e">
        <f>Nodes!V60+"'E4!R8"</f>
        <v>#VALUE!</v>
      </c>
      <c r="AO16" s="548" t="e">
        <f>Nodes!W60+"'E4!R9"</f>
        <v>#VALUE!</v>
      </c>
      <c r="AP16" s="333" t="e">
        <f>Nodes!X60+"'E4!R:"</f>
        <v>#VALUE!</v>
      </c>
      <c r="AQ16" t="e">
        <f>Nodes!Y60+"'E4!R;"</f>
        <v>#VALUE!</v>
      </c>
      <c r="AR16" t="e">
        <f>Nodes!Z60+"'E4!R&lt;"</f>
        <v>#VALUE!</v>
      </c>
      <c r="AS16" t="e">
        <f>Nodes!AA60+"'E4!R="</f>
        <v>#VALUE!</v>
      </c>
      <c r="AT16" t="e">
        <f>Nodes!AB60+"'E4!R&gt;"</f>
        <v>#VALUE!</v>
      </c>
      <c r="AU16" t="e">
        <f>Nodes!AC60+"'E4!R?"</f>
        <v>#VALUE!</v>
      </c>
      <c r="AV16" t="e">
        <f>Nodes!A61+"'E4!R@"</f>
        <v>#VALUE!</v>
      </c>
      <c r="AW16" t="e">
        <f>Nodes!B61+"'E4!RA"</f>
        <v>#VALUE!</v>
      </c>
      <c r="AX16" t="e">
        <f>Nodes!C61+"'E4!RB"</f>
        <v>#VALUE!</v>
      </c>
      <c r="AY16" t="e">
        <f>Nodes!D61+"'E4!RC"</f>
        <v>#VALUE!</v>
      </c>
      <c r="AZ16" t="e">
        <f>Nodes!E61+"'E4!RD"</f>
        <v>#VALUE!</v>
      </c>
      <c r="BA16" t="e">
        <f>Nodes!F61+"'E4!RE"</f>
        <v>#VALUE!</v>
      </c>
      <c r="BB16" t="e">
        <f>Nodes!G61+"'E4!RF"</f>
        <v>#VALUE!</v>
      </c>
      <c r="BC16" t="e">
        <f>Nodes!H61+"'E4!RG"</f>
        <v>#VALUE!</v>
      </c>
      <c r="BD16" t="e">
        <f>Nodes!I61+"'E4!RH"</f>
        <v>#VALUE!</v>
      </c>
      <c r="BE16" t="e">
        <f>Nodes!J61+"'E4!RI"</f>
        <v>#VALUE!</v>
      </c>
      <c r="BF16" t="e">
        <f>Nodes!K61+"'E4!RJ"</f>
        <v>#VALUE!</v>
      </c>
      <c r="BG16" t="e">
        <f>Nodes!L61+"'E4!RK"</f>
        <v>#VALUE!</v>
      </c>
      <c r="BH16" t="e">
        <f>Nodes!M61+"'E4!RL"</f>
        <v>#VALUE!</v>
      </c>
      <c r="BI16" t="e">
        <f>Nodes!N61+"'E4!RM"</f>
        <v>#VALUE!</v>
      </c>
      <c r="BJ16" t="e">
        <f>Nodes!O61+"'E4!RN"</f>
        <v>#VALUE!</v>
      </c>
      <c r="BK16" t="e">
        <f>Nodes!P61+"'E4!RO"</f>
        <v>#VALUE!</v>
      </c>
      <c r="BL16" t="e">
        <f>Nodes!Q61+"'E4!RP"</f>
        <v>#VALUE!</v>
      </c>
      <c r="BM16" t="e">
        <f>Nodes!R61+"'E4!RQ"</f>
        <v>#VALUE!</v>
      </c>
      <c r="BN16" t="e">
        <f>Nodes!S61+"'E4!RR"</f>
        <v>#VALUE!</v>
      </c>
      <c r="BO16" t="e">
        <f>Nodes!T61+"'E4!RS"</f>
        <v>#VALUE!</v>
      </c>
      <c r="BP16" s="548" t="e">
        <f>Nodes!U61+"'E4!RT"</f>
        <v>#VALUE!</v>
      </c>
      <c r="BQ16" s="548" t="e">
        <f>Nodes!V61+"'E4!RU"</f>
        <v>#VALUE!</v>
      </c>
      <c r="BR16" s="548" t="e">
        <f>Nodes!W61+"'E4!RV"</f>
        <v>#VALUE!</v>
      </c>
      <c r="BS16" s="333" t="e">
        <f>Nodes!X61+"'E4!RW"</f>
        <v>#VALUE!</v>
      </c>
      <c r="BT16" t="e">
        <f>Nodes!Y61+"'E4!RX"</f>
        <v>#VALUE!</v>
      </c>
      <c r="BU16" t="e">
        <f>Nodes!Z61+"'E4!RY"</f>
        <v>#VALUE!</v>
      </c>
      <c r="BV16" t="e">
        <f>Nodes!AA61+"'E4!RZ"</f>
        <v>#VALUE!</v>
      </c>
      <c r="BW16" t="e">
        <f>Nodes!AB61+"'E4!R["</f>
        <v>#VALUE!</v>
      </c>
      <c r="BX16" t="e">
        <f>Nodes!AC61+"'E4!R\"</f>
        <v>#VALUE!</v>
      </c>
      <c r="BY16" t="e">
        <f>Nodes!A62+"'E4!R]"</f>
        <v>#VALUE!</v>
      </c>
      <c r="BZ16" t="e">
        <f>Nodes!B62+"'E4!R^"</f>
        <v>#VALUE!</v>
      </c>
      <c r="CA16" t="e">
        <f>Nodes!C62+"'E4!R_"</f>
        <v>#VALUE!</v>
      </c>
      <c r="CB16" s="548" t="e">
        <f>Nodes!D62+"'E4!R`"</f>
        <v>#VALUE!</v>
      </c>
      <c r="CC16" t="e">
        <f>Nodes!E62+"'E4!Ra"</f>
        <v>#VALUE!</v>
      </c>
      <c r="CD16" t="e">
        <f>Nodes!F62+"'E4!Rb"</f>
        <v>#VALUE!</v>
      </c>
      <c r="CE16" t="e">
        <f>Nodes!G62+"'E4!Rc"</f>
        <v>#VALUE!</v>
      </c>
      <c r="CF16" t="e">
        <f>Nodes!H62+"'E4!Rd"</f>
        <v>#VALUE!</v>
      </c>
      <c r="CG16" t="e">
        <f>Nodes!I62+"'E4!Re"</f>
        <v>#VALUE!</v>
      </c>
      <c r="CH16" s="548" t="e">
        <f>Nodes!J62+"'E4!Rf"</f>
        <v>#VALUE!</v>
      </c>
      <c r="CI16" t="e">
        <f>Nodes!K62+"'E4!Rg"</f>
        <v>#VALUE!</v>
      </c>
      <c r="CJ16" t="e">
        <f>Nodes!L62+"'E4!Rh"</f>
        <v>#VALUE!</v>
      </c>
      <c r="CK16" t="e">
        <f>Nodes!M62+"'E4!Ri"</f>
        <v>#VALUE!</v>
      </c>
      <c r="CL16" t="e">
        <f>Nodes!N62+"'E4!Rj"</f>
        <v>#VALUE!</v>
      </c>
      <c r="CM16" t="e">
        <f>Nodes!O62+"'E4!Rk"</f>
        <v>#VALUE!</v>
      </c>
      <c r="CN16" t="e">
        <f>Nodes!P62+"'E4!Rl"</f>
        <v>#VALUE!</v>
      </c>
      <c r="CO16" t="e">
        <f>Nodes!Q62+"'E4!Rm"</f>
        <v>#VALUE!</v>
      </c>
      <c r="CP16" t="e">
        <f>Nodes!R62+"'E4!Rn"</f>
        <v>#VALUE!</v>
      </c>
      <c r="CQ16" s="548" t="e">
        <f>Nodes!S62+"'E4!Ro"</f>
        <v>#VALUE!</v>
      </c>
      <c r="CR16" s="548" t="e">
        <f>Nodes!T62+"'E4!Rp"</f>
        <v>#VALUE!</v>
      </c>
      <c r="CS16" s="548" t="e">
        <f>Nodes!U62+"'E4!Rq"</f>
        <v>#VALUE!</v>
      </c>
      <c r="CT16" s="548" t="e">
        <f>Nodes!V62+"'E4!Rr"</f>
        <v>#VALUE!</v>
      </c>
      <c r="CU16" s="548" t="e">
        <f>Nodes!W62+"'E4!Rs"</f>
        <v>#VALUE!</v>
      </c>
      <c r="CV16" s="333" t="e">
        <f>Nodes!X62+"'E4!Rt"</f>
        <v>#VALUE!</v>
      </c>
      <c r="CW16" t="e">
        <f>Nodes!Y62+"'E4!Ru"</f>
        <v>#VALUE!</v>
      </c>
      <c r="CX16" t="e">
        <f>Nodes!Z62+"'E4!Rv"</f>
        <v>#VALUE!</v>
      </c>
      <c r="CY16" t="e">
        <f>Nodes!AA62+"'E4!Rw"</f>
        <v>#VALUE!</v>
      </c>
      <c r="CZ16" t="e">
        <f>Nodes!AB62+"'E4!Rx"</f>
        <v>#VALUE!</v>
      </c>
      <c r="DA16" t="e">
        <f>Nodes!AC62+"'E4!Ry"</f>
        <v>#VALUE!</v>
      </c>
      <c r="DB16" t="e">
        <f>Nodes!A63+"'E4!Rz"</f>
        <v>#VALUE!</v>
      </c>
      <c r="DC16" t="e">
        <f>Nodes!B63+"'E4!R{"</f>
        <v>#VALUE!</v>
      </c>
      <c r="DD16" t="e">
        <f>Nodes!C63+"'E4!R|"</f>
        <v>#VALUE!</v>
      </c>
      <c r="DE16" t="e">
        <f>Nodes!D63+"'E4!R}"</f>
        <v>#VALUE!</v>
      </c>
      <c r="DF16" t="e">
        <f>Nodes!E63+"'E4!R~"</f>
        <v>#VALUE!</v>
      </c>
      <c r="DG16" t="e">
        <f>Nodes!F63+"'E4!S#"</f>
        <v>#VALUE!</v>
      </c>
      <c r="DH16" t="e">
        <f>Nodes!G63+"'E4!S$"</f>
        <v>#VALUE!</v>
      </c>
      <c r="DI16" t="e">
        <f>Nodes!H63+"'E4!S%"</f>
        <v>#VALUE!</v>
      </c>
      <c r="DJ16" t="e">
        <f>Nodes!I63+"'E4!S&amp;"</f>
        <v>#VALUE!</v>
      </c>
      <c r="DK16" t="e">
        <f>Nodes!J63+"'E4!S'"</f>
        <v>#VALUE!</v>
      </c>
      <c r="DL16" t="e">
        <f>Nodes!K63+"'E4!S("</f>
        <v>#VALUE!</v>
      </c>
      <c r="DM16" t="e">
        <f>Nodes!L63+"'E4!S)"</f>
        <v>#VALUE!</v>
      </c>
      <c r="DN16" t="e">
        <f>Nodes!M63+"'E4!S."</f>
        <v>#VALUE!</v>
      </c>
      <c r="DO16" t="e">
        <f>Nodes!N63+"'E4!S/"</f>
        <v>#VALUE!</v>
      </c>
      <c r="DP16" t="e">
        <f>Nodes!O63+"'E4!S0"</f>
        <v>#VALUE!</v>
      </c>
      <c r="DQ16" t="e">
        <f>Nodes!P63+"'E4!S1"</f>
        <v>#VALUE!</v>
      </c>
      <c r="DR16" t="e">
        <f>Nodes!Q63+"'E4!S2"</f>
        <v>#VALUE!</v>
      </c>
      <c r="DS16" t="e">
        <f>Nodes!R63+"'E4!S3"</f>
        <v>#VALUE!</v>
      </c>
      <c r="DT16" t="e">
        <f>Nodes!S63+"'E4!S4"</f>
        <v>#VALUE!</v>
      </c>
      <c r="DU16" t="e">
        <f>Nodes!T63+"'E4!S5"</f>
        <v>#VALUE!</v>
      </c>
      <c r="DV16" s="548" t="e">
        <f>Nodes!U63+"'E4!S6"</f>
        <v>#VALUE!</v>
      </c>
      <c r="DW16" s="548" t="e">
        <f>Nodes!V63+"'E4!S7"</f>
        <v>#VALUE!</v>
      </c>
      <c r="DX16" s="548" t="e">
        <f>Nodes!W63+"'E4!S8"</f>
        <v>#VALUE!</v>
      </c>
      <c r="DY16" s="333" t="e">
        <f>Nodes!X63+"'E4!S9"</f>
        <v>#VALUE!</v>
      </c>
      <c r="DZ16" t="e">
        <f>Nodes!Y63+"'E4!S:"</f>
        <v>#VALUE!</v>
      </c>
      <c r="EA16" t="e">
        <f>Nodes!Z63+"'E4!S;"</f>
        <v>#VALUE!</v>
      </c>
      <c r="EB16" t="e">
        <f>Nodes!AA63+"'E4!S&lt;"</f>
        <v>#VALUE!</v>
      </c>
      <c r="EC16" t="e">
        <f>Nodes!AB63+"'E4!S="</f>
        <v>#VALUE!</v>
      </c>
      <c r="ED16" t="e">
        <f>Nodes!AC63+"'E4!S&gt;"</f>
        <v>#VALUE!</v>
      </c>
      <c r="EE16" t="e">
        <f>Nodes!A64+"'E4!S?"</f>
        <v>#VALUE!</v>
      </c>
      <c r="EF16" t="e">
        <f>Nodes!B64+"'E4!S@"</f>
        <v>#VALUE!</v>
      </c>
      <c r="EG16" t="e">
        <f>Nodes!C64+"'E4!SA"</f>
        <v>#VALUE!</v>
      </c>
      <c r="EH16" t="e">
        <f>Nodes!D64+"'E4!SB"</f>
        <v>#VALUE!</v>
      </c>
      <c r="EI16" t="e">
        <f>Nodes!E64+"'E4!SC"</f>
        <v>#VALUE!</v>
      </c>
      <c r="EJ16" t="e">
        <f>Nodes!F64+"'E4!SD"</f>
        <v>#VALUE!</v>
      </c>
      <c r="EK16" t="e">
        <f>Nodes!G64+"'E4!SE"</f>
        <v>#VALUE!</v>
      </c>
      <c r="EL16" t="e">
        <f>Nodes!H64+"'E4!SF"</f>
        <v>#VALUE!</v>
      </c>
      <c r="EM16" t="e">
        <f>Nodes!I64+"'E4!SG"</f>
        <v>#VALUE!</v>
      </c>
      <c r="EN16" t="e">
        <f>Nodes!J64+"'E4!SH"</f>
        <v>#VALUE!</v>
      </c>
      <c r="EO16" t="e">
        <f>Nodes!K64+"'E4!SI"</f>
        <v>#VALUE!</v>
      </c>
      <c r="EP16" t="e">
        <f>Nodes!L64+"'E4!SJ"</f>
        <v>#VALUE!</v>
      </c>
      <c r="EQ16" t="e">
        <f>Nodes!M64+"'E4!SK"</f>
        <v>#VALUE!</v>
      </c>
      <c r="ER16" t="e">
        <f>Nodes!N64+"'E4!SL"</f>
        <v>#VALUE!</v>
      </c>
      <c r="ES16" t="e">
        <f>Nodes!O64+"'E4!SM"</f>
        <v>#VALUE!</v>
      </c>
      <c r="ET16" t="e">
        <f>Nodes!P64+"'E4!SN"</f>
        <v>#VALUE!</v>
      </c>
      <c r="EU16" t="e">
        <f>Nodes!Q64+"'E4!SO"</f>
        <v>#VALUE!</v>
      </c>
      <c r="EV16" t="e">
        <f>Nodes!R64+"'E4!SP"</f>
        <v>#VALUE!</v>
      </c>
      <c r="EW16" t="e">
        <f>Nodes!S64+"'E4!SQ"</f>
        <v>#VALUE!</v>
      </c>
      <c r="EX16" t="e">
        <f>Nodes!T64+"'E4!SR"</f>
        <v>#VALUE!</v>
      </c>
      <c r="EY16" s="548" t="e">
        <f>Nodes!U64+"'E4!SS"</f>
        <v>#VALUE!</v>
      </c>
      <c r="EZ16" s="548" t="e">
        <f>Nodes!V64+"'E4!ST"</f>
        <v>#VALUE!</v>
      </c>
      <c r="FA16" s="548" t="e">
        <f>Nodes!W64+"'E4!SU"</f>
        <v>#VALUE!</v>
      </c>
      <c r="FB16" s="333" t="e">
        <f>Nodes!X64+"'E4!SV"</f>
        <v>#VALUE!</v>
      </c>
      <c r="FC16" t="e">
        <f>Nodes!Y64+"'E4!SW"</f>
        <v>#VALUE!</v>
      </c>
      <c r="FD16" t="e">
        <f>Nodes!Z64+"'E4!SX"</f>
        <v>#VALUE!</v>
      </c>
      <c r="FE16" t="e">
        <f>Nodes!AA64+"'E4!SY"</f>
        <v>#VALUE!</v>
      </c>
      <c r="FF16" t="e">
        <f>Nodes!AB64+"'E4!SZ"</f>
        <v>#VALUE!</v>
      </c>
      <c r="FG16" t="e">
        <f>Nodes!AC64+"'E4!S["</f>
        <v>#VALUE!</v>
      </c>
      <c r="FH16" t="e">
        <f>Nodes!A65+"'E4!S\"</f>
        <v>#VALUE!</v>
      </c>
      <c r="FI16" t="e">
        <f>Nodes!B65+"'E4!S]"</f>
        <v>#VALUE!</v>
      </c>
      <c r="FJ16" t="e">
        <f>Nodes!C65+"'E4!S^"</f>
        <v>#VALUE!</v>
      </c>
      <c r="FK16" t="e">
        <f>Nodes!D65+"'E4!S_"</f>
        <v>#VALUE!</v>
      </c>
      <c r="FL16" t="e">
        <f>Nodes!E65+"'E4!S`"</f>
        <v>#VALUE!</v>
      </c>
      <c r="FM16" t="e">
        <f>Nodes!F65+"'E4!Sa"</f>
        <v>#VALUE!</v>
      </c>
      <c r="FN16" t="e">
        <f>Nodes!G65+"'E4!Sb"</f>
        <v>#VALUE!</v>
      </c>
      <c r="FO16" t="e">
        <f>Nodes!H65+"'E4!Sc"</f>
        <v>#VALUE!</v>
      </c>
      <c r="FP16" t="e">
        <f>Nodes!I65+"'E4!Sd"</f>
        <v>#VALUE!</v>
      </c>
      <c r="FQ16" t="e">
        <f>Nodes!J65+"'E4!Se"</f>
        <v>#VALUE!</v>
      </c>
      <c r="FR16" t="e">
        <f>Nodes!K65+"'E4!Sf"</f>
        <v>#VALUE!</v>
      </c>
      <c r="FS16" t="e">
        <f>Nodes!L65+"'E4!Sg"</f>
        <v>#VALUE!</v>
      </c>
      <c r="FT16" t="e">
        <f>Nodes!M65+"'E4!Sh"</f>
        <v>#VALUE!</v>
      </c>
      <c r="FU16" t="e">
        <f>Nodes!N65+"'E4!Si"</f>
        <v>#VALUE!</v>
      </c>
      <c r="FV16" t="e">
        <f>Nodes!O65+"'E4!Sj"</f>
        <v>#VALUE!</v>
      </c>
      <c r="FW16" t="e">
        <f>Nodes!P65+"'E4!Sk"</f>
        <v>#VALUE!</v>
      </c>
      <c r="FX16" t="e">
        <f>Nodes!Q65+"'E4!Sl"</f>
        <v>#VALUE!</v>
      </c>
      <c r="FY16" t="e">
        <f>Nodes!R65+"'E4!Sm"</f>
        <v>#VALUE!</v>
      </c>
      <c r="FZ16" t="e">
        <f>Nodes!S65+"'E4!Sn"</f>
        <v>#VALUE!</v>
      </c>
      <c r="GA16" t="e">
        <f>Nodes!T65+"'E4!So"</f>
        <v>#VALUE!</v>
      </c>
      <c r="GB16" s="548" t="e">
        <f>Nodes!U65+"'E4!Sp"</f>
        <v>#VALUE!</v>
      </c>
      <c r="GC16" s="548" t="e">
        <f>Nodes!V65+"'E4!Sq"</f>
        <v>#VALUE!</v>
      </c>
      <c r="GD16" s="548" t="e">
        <f>Nodes!W65+"'E4!Sr"</f>
        <v>#VALUE!</v>
      </c>
      <c r="GE16" s="333" t="e">
        <f>Nodes!X65+"'E4!Ss"</f>
        <v>#VALUE!</v>
      </c>
      <c r="GF16" t="e">
        <f>Nodes!Y65+"'E4!St"</f>
        <v>#VALUE!</v>
      </c>
      <c r="GG16" t="e">
        <f>Nodes!Z65+"'E4!Su"</f>
        <v>#VALUE!</v>
      </c>
      <c r="GH16" t="e">
        <f>Nodes!AA65+"'E4!Sv"</f>
        <v>#VALUE!</v>
      </c>
      <c r="GI16" t="e">
        <f>Nodes!AB65+"'E4!Sw"</f>
        <v>#VALUE!</v>
      </c>
      <c r="GJ16" t="e">
        <f>Nodes!AC65+"'E4!Sx"</f>
        <v>#VALUE!</v>
      </c>
      <c r="GK16" t="e">
        <f>Nodes!A66+"'E4!Sy"</f>
        <v>#VALUE!</v>
      </c>
      <c r="GL16" t="e">
        <f>Nodes!B66+"'E4!Sz"</f>
        <v>#VALUE!</v>
      </c>
      <c r="GM16" t="e">
        <f>Nodes!C66+"'E4!S{"</f>
        <v>#VALUE!</v>
      </c>
      <c r="GN16" t="e">
        <f>Nodes!D66+"'E4!S|"</f>
        <v>#VALUE!</v>
      </c>
      <c r="GO16" t="e">
        <f>Nodes!E66+"'E4!S}"</f>
        <v>#VALUE!</v>
      </c>
      <c r="GP16" t="e">
        <f>Nodes!F66+"'E4!S~"</f>
        <v>#VALUE!</v>
      </c>
      <c r="GQ16" t="e">
        <f>Nodes!G66+"'E4!T#"</f>
        <v>#VALUE!</v>
      </c>
      <c r="GR16" t="e">
        <f>Nodes!H66+"'E4!T$"</f>
        <v>#VALUE!</v>
      </c>
      <c r="GS16" t="e">
        <f>Nodes!I66+"'E4!T%"</f>
        <v>#VALUE!</v>
      </c>
      <c r="GT16" t="e">
        <f>Nodes!J66+"'E4!T&amp;"</f>
        <v>#VALUE!</v>
      </c>
      <c r="GU16" t="e">
        <f>Nodes!K66+"'E4!T'"</f>
        <v>#VALUE!</v>
      </c>
      <c r="GV16" t="e">
        <f>Nodes!L66+"'E4!T("</f>
        <v>#VALUE!</v>
      </c>
      <c r="GW16" t="e">
        <f>Nodes!M66+"'E4!T)"</f>
        <v>#VALUE!</v>
      </c>
      <c r="GX16" t="e">
        <f>Nodes!N66+"'E4!T."</f>
        <v>#VALUE!</v>
      </c>
      <c r="GY16" t="e">
        <f>Nodes!O66+"'E4!T/"</f>
        <v>#VALUE!</v>
      </c>
      <c r="GZ16" t="e">
        <f>Nodes!P66+"'E4!T0"</f>
        <v>#VALUE!</v>
      </c>
      <c r="HA16" t="e">
        <f>Nodes!Q66+"'E4!T1"</f>
        <v>#VALUE!</v>
      </c>
      <c r="HB16" t="e">
        <f>Nodes!R66+"'E4!T2"</f>
        <v>#VALUE!</v>
      </c>
      <c r="HC16" t="e">
        <f>Nodes!S66+"'E4!T3"</f>
        <v>#VALUE!</v>
      </c>
      <c r="HD16" t="e">
        <f>Nodes!T66+"'E4!T4"</f>
        <v>#VALUE!</v>
      </c>
      <c r="HE16" s="548" t="e">
        <f>Nodes!U66+"'E4!T5"</f>
        <v>#VALUE!</v>
      </c>
      <c r="HF16" s="548" t="e">
        <f>Nodes!V66+"'E4!T6"</f>
        <v>#VALUE!</v>
      </c>
      <c r="HG16" s="548" t="e">
        <f>Nodes!W66+"'E4!T7"</f>
        <v>#VALUE!</v>
      </c>
      <c r="HH16" s="333" t="e">
        <f>Nodes!X66+"'E4!T8"</f>
        <v>#VALUE!</v>
      </c>
      <c r="HI16" t="e">
        <f>Nodes!Y66+"'E4!T9"</f>
        <v>#VALUE!</v>
      </c>
      <c r="HJ16" t="e">
        <f>Nodes!Z66+"'E4!T:"</f>
        <v>#VALUE!</v>
      </c>
      <c r="HK16" t="e">
        <f>Nodes!AA66+"'E4!T;"</f>
        <v>#VALUE!</v>
      </c>
      <c r="HL16" t="e">
        <f>Nodes!AB66+"'E4!T&lt;"</f>
        <v>#VALUE!</v>
      </c>
      <c r="HM16" t="e">
        <f>Nodes!AC66+"'E4!T="</f>
        <v>#VALUE!</v>
      </c>
      <c r="HN16" t="e">
        <f>Nodes!A67+"'E4!T&gt;"</f>
        <v>#VALUE!</v>
      </c>
      <c r="HO16" t="e">
        <f>Nodes!B67+"'E4!T?"</f>
        <v>#VALUE!</v>
      </c>
      <c r="HP16" t="e">
        <f>Nodes!C67+"'E4!T@"</f>
        <v>#VALUE!</v>
      </c>
      <c r="HQ16" t="e">
        <f>Nodes!D67+"'E4!TA"</f>
        <v>#VALUE!</v>
      </c>
      <c r="HR16" t="e">
        <f>Nodes!E67+"'E4!TB"</f>
        <v>#VALUE!</v>
      </c>
      <c r="HS16" t="e">
        <f>Nodes!F67+"'E4!TC"</f>
        <v>#VALUE!</v>
      </c>
      <c r="HT16" t="e">
        <f>Nodes!G67+"'E4!TD"</f>
        <v>#VALUE!</v>
      </c>
      <c r="HU16" t="e">
        <f>Nodes!H67+"'E4!TE"</f>
        <v>#VALUE!</v>
      </c>
      <c r="HV16" t="e">
        <f>Nodes!I67+"'E4!TF"</f>
        <v>#VALUE!</v>
      </c>
      <c r="HW16" t="e">
        <f>Nodes!J67+"'E4!TG"</f>
        <v>#VALUE!</v>
      </c>
      <c r="HX16" t="e">
        <f>Nodes!K67+"'E4!TH"</f>
        <v>#VALUE!</v>
      </c>
      <c r="HY16" t="e">
        <f>Nodes!L67+"'E4!TI"</f>
        <v>#VALUE!</v>
      </c>
      <c r="HZ16" t="e">
        <f>Nodes!M67+"'E4!TJ"</f>
        <v>#VALUE!</v>
      </c>
      <c r="IA16" t="e">
        <f>Nodes!N67+"'E4!TK"</f>
        <v>#VALUE!</v>
      </c>
      <c r="IB16" t="e">
        <f>Nodes!O67+"'E4!TL"</f>
        <v>#VALUE!</v>
      </c>
      <c r="IC16" t="e">
        <f>Nodes!P67+"'E4!TM"</f>
        <v>#VALUE!</v>
      </c>
      <c r="ID16" t="e">
        <f>Nodes!Q67+"'E4!TN"</f>
        <v>#VALUE!</v>
      </c>
      <c r="IE16" t="e">
        <f>Nodes!R67+"'E4!TO"</f>
        <v>#VALUE!</v>
      </c>
      <c r="IF16" t="e">
        <f>Nodes!S67+"'E4!TP"</f>
        <v>#VALUE!</v>
      </c>
      <c r="IG16" t="e">
        <f>Nodes!T67+"'E4!TQ"</f>
        <v>#VALUE!</v>
      </c>
      <c r="IH16" s="548" t="e">
        <f>Nodes!U67+"'E4!TR"</f>
        <v>#VALUE!</v>
      </c>
      <c r="II16" s="548" t="e">
        <f>Nodes!V67+"'E4!TS"</f>
        <v>#VALUE!</v>
      </c>
      <c r="IJ16" s="548" t="e">
        <f>Nodes!W67+"'E4!TT"</f>
        <v>#VALUE!</v>
      </c>
      <c r="IK16" s="333" t="e">
        <f>Nodes!X67+"'E4!TU"</f>
        <v>#VALUE!</v>
      </c>
      <c r="IL16" t="e">
        <f>Nodes!Y67+"'E4!TV"</f>
        <v>#VALUE!</v>
      </c>
      <c r="IM16" t="e">
        <f>Nodes!Z67+"'E4!TW"</f>
        <v>#VALUE!</v>
      </c>
      <c r="IN16" t="e">
        <f>Nodes!AA67+"'E4!TX"</f>
        <v>#VALUE!</v>
      </c>
      <c r="IO16" t="e">
        <f>Nodes!AB67+"'E4!TY"</f>
        <v>#VALUE!</v>
      </c>
      <c r="IP16" t="e">
        <f>Nodes!AC67+"'E4!TZ"</f>
        <v>#VALUE!</v>
      </c>
      <c r="IQ16" t="e">
        <f>Nodes!A68+"'E4!T["</f>
        <v>#VALUE!</v>
      </c>
      <c r="IR16" t="e">
        <f>Nodes!B68+"'E4!T\"</f>
        <v>#VALUE!</v>
      </c>
      <c r="IS16" t="e">
        <f>Nodes!C68+"'E4!T]"</f>
        <v>#VALUE!</v>
      </c>
      <c r="IT16" t="e">
        <f>Nodes!D68+"'E4!T^"</f>
        <v>#VALUE!</v>
      </c>
      <c r="IU16" t="e">
        <f>Nodes!E68+"'E4!T_"</f>
        <v>#VALUE!</v>
      </c>
      <c r="IV16" t="e">
        <f>Nodes!F68+"'E4!T`"</f>
        <v>#VALUE!</v>
      </c>
    </row>
    <row r="17" spans="6:256">
      <c r="F17" t="e">
        <f>Nodes!G68+"'E4!Ta"</f>
        <v>#VALUE!</v>
      </c>
      <c r="G17" t="e">
        <f>Nodes!H68+"'E4!Tb"</f>
        <v>#VALUE!</v>
      </c>
      <c r="H17" t="e">
        <f>Nodes!I68+"'E4!Tc"</f>
        <v>#VALUE!</v>
      </c>
      <c r="I17" t="e">
        <f>Nodes!J68+"'E4!Td"</f>
        <v>#VALUE!</v>
      </c>
      <c r="J17" t="e">
        <f>Nodes!K68+"'E4!Te"</f>
        <v>#VALUE!</v>
      </c>
      <c r="K17" t="e">
        <f>Nodes!L68+"'E4!Tf"</f>
        <v>#VALUE!</v>
      </c>
      <c r="L17" t="e">
        <f>Nodes!M68+"'E4!Tg"</f>
        <v>#VALUE!</v>
      </c>
      <c r="M17" t="e">
        <f>Nodes!N68+"'E4!Th"</f>
        <v>#VALUE!</v>
      </c>
      <c r="N17" t="e">
        <f>Nodes!O68+"'E4!Ti"</f>
        <v>#VALUE!</v>
      </c>
      <c r="O17" t="e">
        <f>Nodes!P68+"'E4!Tj"</f>
        <v>#VALUE!</v>
      </c>
      <c r="P17" t="e">
        <f>Nodes!Q68+"'E4!Tk"</f>
        <v>#VALUE!</v>
      </c>
      <c r="Q17" t="e">
        <f>Nodes!R68+"'E4!Tl"</f>
        <v>#VALUE!</v>
      </c>
      <c r="R17" t="e">
        <f>Nodes!S68+"'E4!Tm"</f>
        <v>#VALUE!</v>
      </c>
      <c r="S17" t="e">
        <f>Nodes!T68+"'E4!Tn"</f>
        <v>#VALUE!</v>
      </c>
      <c r="T17" s="548" t="e">
        <f>Nodes!U68+"'E4!To"</f>
        <v>#VALUE!</v>
      </c>
      <c r="U17" s="548" t="e">
        <f>Nodes!V68+"'E4!Tp"</f>
        <v>#VALUE!</v>
      </c>
      <c r="V17" s="548" t="e">
        <f>Nodes!W68+"'E4!Tq"</f>
        <v>#VALUE!</v>
      </c>
      <c r="W17" s="333" t="e">
        <f>Nodes!X68+"'E4!Tr"</f>
        <v>#VALUE!</v>
      </c>
      <c r="X17" t="e">
        <f>Nodes!Y68+"'E4!Ts"</f>
        <v>#VALUE!</v>
      </c>
      <c r="Y17" t="e">
        <f>Nodes!Z68+"'E4!Tt"</f>
        <v>#VALUE!</v>
      </c>
      <c r="Z17" t="e">
        <f>Nodes!AA68+"'E4!Tu"</f>
        <v>#VALUE!</v>
      </c>
      <c r="AA17" t="e">
        <f>Nodes!AB68+"'E4!Tv"</f>
        <v>#VALUE!</v>
      </c>
      <c r="AB17" t="e">
        <f>Nodes!AC68+"'E4!Tw"</f>
        <v>#VALUE!</v>
      </c>
      <c r="AC17" t="e">
        <f>Nodes!A69+"'E4!Tx"</f>
        <v>#VALUE!</v>
      </c>
      <c r="AD17" t="e">
        <f>Nodes!B69+"'E4!Ty"</f>
        <v>#VALUE!</v>
      </c>
      <c r="AE17" t="e">
        <f>Nodes!C69+"'E4!Tz"</f>
        <v>#VALUE!</v>
      </c>
      <c r="AF17" t="e">
        <f>Nodes!D69+"'E4!T{"</f>
        <v>#VALUE!</v>
      </c>
      <c r="AG17" t="e">
        <f>Nodes!E69+"'E4!T|"</f>
        <v>#VALUE!</v>
      </c>
      <c r="AH17" t="e">
        <f>Nodes!F69+"'E4!T}"</f>
        <v>#VALUE!</v>
      </c>
      <c r="AI17" t="e">
        <f>Nodes!G69+"'E4!T~"</f>
        <v>#VALUE!</v>
      </c>
      <c r="AJ17" t="e">
        <f>Nodes!H69+"'E4!U#"</f>
        <v>#VALUE!</v>
      </c>
      <c r="AK17" t="e">
        <f>Nodes!I69+"'E4!U$"</f>
        <v>#VALUE!</v>
      </c>
      <c r="AL17" t="e">
        <f>Nodes!J69+"'E4!U%"</f>
        <v>#VALUE!</v>
      </c>
      <c r="AM17" t="e">
        <f>Nodes!K69+"'E4!U&amp;"</f>
        <v>#VALUE!</v>
      </c>
      <c r="AN17" t="e">
        <f>Nodes!L69+"'E4!U'"</f>
        <v>#VALUE!</v>
      </c>
      <c r="AO17" t="e">
        <f>Nodes!M69+"'E4!U("</f>
        <v>#VALUE!</v>
      </c>
      <c r="AP17" t="e">
        <f>Nodes!N69+"'E4!U)"</f>
        <v>#VALUE!</v>
      </c>
      <c r="AQ17" t="e">
        <f>Nodes!O69+"'E4!U."</f>
        <v>#VALUE!</v>
      </c>
      <c r="AR17" t="e">
        <f>Nodes!P69+"'E4!U/"</f>
        <v>#VALUE!</v>
      </c>
      <c r="AS17" t="e">
        <f>Nodes!Q69+"'E4!U0"</f>
        <v>#VALUE!</v>
      </c>
      <c r="AT17" t="e">
        <f>Nodes!R69+"'E4!U1"</f>
        <v>#VALUE!</v>
      </c>
      <c r="AU17" t="e">
        <f>Nodes!S69+"'E4!U2"</f>
        <v>#VALUE!</v>
      </c>
      <c r="AV17" t="e">
        <f>Nodes!T69+"'E4!U3"</f>
        <v>#VALUE!</v>
      </c>
      <c r="AW17" s="548" t="e">
        <f>Nodes!U69+"'E4!U4"</f>
        <v>#VALUE!</v>
      </c>
      <c r="AX17" s="548" t="e">
        <f>Nodes!V69+"'E4!U5"</f>
        <v>#VALUE!</v>
      </c>
      <c r="AY17" s="548" t="e">
        <f>Nodes!W69+"'E4!U6"</f>
        <v>#VALUE!</v>
      </c>
      <c r="AZ17" s="333" t="e">
        <f>Nodes!X69+"'E4!U7"</f>
        <v>#VALUE!</v>
      </c>
      <c r="BA17" t="e">
        <f>Nodes!Y69+"'E4!U8"</f>
        <v>#VALUE!</v>
      </c>
      <c r="BB17" t="e">
        <f>Nodes!Z69+"'E4!U9"</f>
        <v>#VALUE!</v>
      </c>
      <c r="BC17" t="e">
        <f>Nodes!AA69+"'E4!U:"</f>
        <v>#VALUE!</v>
      </c>
      <c r="BD17" t="e">
        <f>Nodes!AB69+"'E4!U;"</f>
        <v>#VALUE!</v>
      </c>
      <c r="BE17" t="e">
        <f>Nodes!AC69+"'E4!U&lt;"</f>
        <v>#VALUE!</v>
      </c>
      <c r="BF17" t="e">
        <f>Nodes!A70+"'E4!U="</f>
        <v>#VALUE!</v>
      </c>
      <c r="BG17" t="e">
        <f>Nodes!B70+"'E4!U&gt;"</f>
        <v>#VALUE!</v>
      </c>
      <c r="BH17" t="e">
        <f>Nodes!C70+"'E4!U?"</f>
        <v>#VALUE!</v>
      </c>
      <c r="BI17" t="e">
        <f>Nodes!D70+"'E4!U@"</f>
        <v>#VALUE!</v>
      </c>
      <c r="BJ17" t="e">
        <f>Nodes!E70+"'E4!UA"</f>
        <v>#VALUE!</v>
      </c>
      <c r="BK17" t="e">
        <f>Nodes!F70+"'E4!UB"</f>
        <v>#VALUE!</v>
      </c>
      <c r="BL17" t="e">
        <f>Nodes!G70+"'E4!UC"</f>
        <v>#VALUE!</v>
      </c>
      <c r="BM17" t="e">
        <f>Nodes!H70+"'E4!UD"</f>
        <v>#VALUE!</v>
      </c>
      <c r="BN17" t="e">
        <f>Nodes!I70+"'E4!UE"</f>
        <v>#VALUE!</v>
      </c>
      <c r="BO17" t="e">
        <f>Nodes!J70+"'E4!UF"</f>
        <v>#VALUE!</v>
      </c>
      <c r="BP17" t="e">
        <f>Nodes!K70+"'E4!UG"</f>
        <v>#VALUE!</v>
      </c>
      <c r="BQ17" t="e">
        <f>Nodes!L70+"'E4!UH"</f>
        <v>#VALUE!</v>
      </c>
      <c r="BR17" t="e">
        <f>Nodes!M70+"'E4!UI"</f>
        <v>#VALUE!</v>
      </c>
      <c r="BS17" t="e">
        <f>Nodes!N70+"'E4!UJ"</f>
        <v>#VALUE!</v>
      </c>
      <c r="BT17" t="e">
        <f>Nodes!O70+"'E4!UK"</f>
        <v>#VALUE!</v>
      </c>
      <c r="BU17" t="e">
        <f>Nodes!P70+"'E4!UL"</f>
        <v>#VALUE!</v>
      </c>
      <c r="BV17" t="e">
        <f>Nodes!Q70+"'E4!UM"</f>
        <v>#VALUE!</v>
      </c>
      <c r="BW17" t="e">
        <f>Nodes!R70+"'E4!UN"</f>
        <v>#VALUE!</v>
      </c>
      <c r="BX17" t="e">
        <f>Nodes!S70+"'E4!UO"</f>
        <v>#VALUE!</v>
      </c>
      <c r="BY17" t="e">
        <f>Nodes!T70+"'E4!UP"</f>
        <v>#VALUE!</v>
      </c>
      <c r="BZ17" s="548" t="e">
        <f>Nodes!U70+"'E4!UQ"</f>
        <v>#VALUE!</v>
      </c>
      <c r="CA17" s="548" t="e">
        <f>Nodes!V70+"'E4!UR"</f>
        <v>#VALUE!</v>
      </c>
      <c r="CB17" s="548" t="e">
        <f>Nodes!W70+"'E4!US"</f>
        <v>#VALUE!</v>
      </c>
      <c r="CC17" s="333" t="e">
        <f>Nodes!X70+"'E4!UT"</f>
        <v>#VALUE!</v>
      </c>
      <c r="CD17" t="e">
        <f>Nodes!Y70+"'E4!UU"</f>
        <v>#VALUE!</v>
      </c>
      <c r="CE17" t="e">
        <f>Nodes!Z70+"'E4!UV"</f>
        <v>#VALUE!</v>
      </c>
      <c r="CF17" t="e">
        <f>Nodes!AA70+"'E4!UW"</f>
        <v>#VALUE!</v>
      </c>
      <c r="CG17" t="e">
        <f>Nodes!AB70+"'E4!UX"</f>
        <v>#VALUE!</v>
      </c>
      <c r="CH17" t="e">
        <f>Nodes!AC70+"'E4!UY"</f>
        <v>#VALUE!</v>
      </c>
      <c r="CI17" t="e">
        <f>Nodes!A71+"'E4!UZ"</f>
        <v>#VALUE!</v>
      </c>
      <c r="CJ17" t="e">
        <f>Nodes!B71+"'E4!U["</f>
        <v>#VALUE!</v>
      </c>
      <c r="CK17" t="e">
        <f>Nodes!C71+"'E4!U\"</f>
        <v>#VALUE!</v>
      </c>
      <c r="CL17" t="e">
        <f>Nodes!D71+"'E4!U]"</f>
        <v>#VALUE!</v>
      </c>
      <c r="CM17" t="e">
        <f>Nodes!E71+"'E4!U^"</f>
        <v>#VALUE!</v>
      </c>
      <c r="CN17" t="e">
        <f>Nodes!F71+"'E4!U_"</f>
        <v>#VALUE!</v>
      </c>
      <c r="CO17" t="e">
        <f>Nodes!G71+"'E4!U`"</f>
        <v>#VALUE!</v>
      </c>
      <c r="CP17" t="e">
        <f>Nodes!H71+"'E4!Ua"</f>
        <v>#VALUE!</v>
      </c>
      <c r="CQ17" t="e">
        <f>Nodes!I71+"'E4!Ub"</f>
        <v>#VALUE!</v>
      </c>
      <c r="CR17" t="e">
        <f>Nodes!J71+"'E4!Uc"</f>
        <v>#VALUE!</v>
      </c>
      <c r="CS17" t="e">
        <f>Nodes!K71+"'E4!Ud"</f>
        <v>#VALUE!</v>
      </c>
      <c r="CT17" t="e">
        <f>Nodes!L71+"'E4!Ue"</f>
        <v>#VALUE!</v>
      </c>
      <c r="CU17" t="e">
        <f>Nodes!M71+"'E4!Uf"</f>
        <v>#VALUE!</v>
      </c>
      <c r="CV17" t="e">
        <f>Nodes!N71+"'E4!Ug"</f>
        <v>#VALUE!</v>
      </c>
      <c r="CW17" t="e">
        <f>Nodes!O71+"'E4!Uh"</f>
        <v>#VALUE!</v>
      </c>
      <c r="CX17" t="e">
        <f>Nodes!P71+"'E4!Ui"</f>
        <v>#VALUE!</v>
      </c>
      <c r="CY17" t="e">
        <f>Nodes!Q71+"'E4!Uj"</f>
        <v>#VALUE!</v>
      </c>
      <c r="CZ17" t="e">
        <f>Nodes!R71+"'E4!Uk"</f>
        <v>#VALUE!</v>
      </c>
      <c r="DA17" t="e">
        <f>Nodes!S71+"'E4!Ul"</f>
        <v>#VALUE!</v>
      </c>
      <c r="DB17" t="e">
        <f>Nodes!T71+"'E4!Um"</f>
        <v>#VALUE!</v>
      </c>
      <c r="DC17" s="548" t="e">
        <f>Nodes!U71+"'E4!Un"</f>
        <v>#VALUE!</v>
      </c>
      <c r="DD17" s="548" t="e">
        <f>Nodes!V71+"'E4!Uo"</f>
        <v>#VALUE!</v>
      </c>
      <c r="DE17" s="548" t="e">
        <f>Nodes!W71+"'E4!Up"</f>
        <v>#VALUE!</v>
      </c>
      <c r="DF17" s="333" t="e">
        <f>Nodes!X71+"'E4!Uq"</f>
        <v>#VALUE!</v>
      </c>
      <c r="DG17" t="e">
        <f>Nodes!Y71+"'E4!Ur"</f>
        <v>#VALUE!</v>
      </c>
      <c r="DH17" t="e">
        <f>Nodes!Z71+"'E4!Us"</f>
        <v>#VALUE!</v>
      </c>
      <c r="DI17" t="e">
        <f>Nodes!AA71+"'E4!Ut"</f>
        <v>#VALUE!</v>
      </c>
      <c r="DJ17" t="e">
        <f>Nodes!AB71+"'E4!Uu"</f>
        <v>#VALUE!</v>
      </c>
      <c r="DK17" t="e">
        <f>Nodes!AC71+"'E4!Uv"</f>
        <v>#VALUE!</v>
      </c>
      <c r="DL17" t="e">
        <f>Nodes!A72+"'E4!Uw"</f>
        <v>#VALUE!</v>
      </c>
      <c r="DM17" t="e">
        <f>Nodes!B72+"'E4!Ux"</f>
        <v>#VALUE!</v>
      </c>
      <c r="DN17" t="e">
        <f>Nodes!C72+"'E4!Uy"</f>
        <v>#VALUE!</v>
      </c>
      <c r="DO17" t="e">
        <f>Nodes!D72+"'E4!Uz"</f>
        <v>#VALUE!</v>
      </c>
      <c r="DP17" t="e">
        <f>Nodes!E72+"'E4!U{"</f>
        <v>#VALUE!</v>
      </c>
      <c r="DQ17" t="e">
        <f>Nodes!F72+"'E4!U|"</f>
        <v>#VALUE!</v>
      </c>
      <c r="DR17" t="e">
        <f>Nodes!G72+"'E4!U}"</f>
        <v>#VALUE!</v>
      </c>
      <c r="DS17" t="e">
        <f>Nodes!H72+"'E4!U~"</f>
        <v>#VALUE!</v>
      </c>
      <c r="DT17" t="e">
        <f>Nodes!I72+"'E4!V#"</f>
        <v>#VALUE!</v>
      </c>
      <c r="DU17" t="e">
        <f>Nodes!J72+"'E4!V$"</f>
        <v>#VALUE!</v>
      </c>
      <c r="DV17" t="e">
        <f>Nodes!K72+"'E4!V%"</f>
        <v>#VALUE!</v>
      </c>
      <c r="DW17" t="e">
        <f>Nodes!L72+"'E4!V&amp;"</f>
        <v>#VALUE!</v>
      </c>
      <c r="DX17" t="e">
        <f>Nodes!M72+"'E4!V'"</f>
        <v>#VALUE!</v>
      </c>
      <c r="DY17" t="e">
        <f>Nodes!N72+"'E4!V("</f>
        <v>#VALUE!</v>
      </c>
      <c r="DZ17" t="e">
        <f>Nodes!O72+"'E4!V)"</f>
        <v>#VALUE!</v>
      </c>
      <c r="EA17" t="e">
        <f>Nodes!P72+"'E4!V."</f>
        <v>#VALUE!</v>
      </c>
      <c r="EB17" t="e">
        <f>Nodes!Q72+"'E4!V/"</f>
        <v>#VALUE!</v>
      </c>
      <c r="EC17" t="e">
        <f>Nodes!R72+"'E4!V0"</f>
        <v>#VALUE!</v>
      </c>
      <c r="ED17" t="e">
        <f>Nodes!S72+"'E4!V1"</f>
        <v>#VALUE!</v>
      </c>
      <c r="EE17" t="e">
        <f>Nodes!T72+"'E4!V2"</f>
        <v>#VALUE!</v>
      </c>
      <c r="EF17" s="548" t="e">
        <f>Nodes!U72+"'E4!V3"</f>
        <v>#VALUE!</v>
      </c>
      <c r="EG17" s="548" t="e">
        <f>Nodes!V72+"'E4!V4"</f>
        <v>#VALUE!</v>
      </c>
      <c r="EH17" s="548" t="e">
        <f>Nodes!W72+"'E4!V5"</f>
        <v>#VALUE!</v>
      </c>
      <c r="EI17" s="333" t="e">
        <f>Nodes!X72+"'E4!V6"</f>
        <v>#VALUE!</v>
      </c>
      <c r="EJ17" t="e">
        <f>Nodes!Y72+"'E4!V7"</f>
        <v>#VALUE!</v>
      </c>
      <c r="EK17" t="e">
        <f>Nodes!Z72+"'E4!V8"</f>
        <v>#VALUE!</v>
      </c>
      <c r="EL17" t="e">
        <f>Nodes!AA72+"'E4!V9"</f>
        <v>#VALUE!</v>
      </c>
      <c r="EM17" t="e">
        <f>Nodes!AB72+"'E4!V:"</f>
        <v>#VALUE!</v>
      </c>
      <c r="EN17" t="e">
        <f>Nodes!AC72+"'E4!V;"</f>
        <v>#VALUE!</v>
      </c>
      <c r="EO17" t="e">
        <f>Nodes!A73+"'E4!V&lt;"</f>
        <v>#VALUE!</v>
      </c>
      <c r="EP17" t="e">
        <f>Nodes!B73+"'E4!V="</f>
        <v>#VALUE!</v>
      </c>
      <c r="EQ17" t="e">
        <f>Nodes!C73+"'E4!V&gt;"</f>
        <v>#VALUE!</v>
      </c>
      <c r="ER17" t="e">
        <f>Nodes!D73+"'E4!V?"</f>
        <v>#VALUE!</v>
      </c>
      <c r="ES17" t="e">
        <f>Nodes!E73+"'E4!V@"</f>
        <v>#VALUE!</v>
      </c>
      <c r="ET17" t="e">
        <f>Nodes!F73+"'E4!VA"</f>
        <v>#VALUE!</v>
      </c>
      <c r="EU17" t="e">
        <f>Nodes!G73+"'E4!VB"</f>
        <v>#VALUE!</v>
      </c>
      <c r="EV17" t="e">
        <f>Nodes!H73+"'E4!VC"</f>
        <v>#VALUE!</v>
      </c>
      <c r="EW17" t="e">
        <f>Nodes!I73+"'E4!VD"</f>
        <v>#VALUE!</v>
      </c>
      <c r="EX17" t="e">
        <f>Nodes!J73+"'E4!VE"</f>
        <v>#VALUE!</v>
      </c>
      <c r="EY17" t="e">
        <f>Nodes!K73+"'E4!VF"</f>
        <v>#VALUE!</v>
      </c>
      <c r="EZ17" t="e">
        <f>Nodes!L73+"'E4!VG"</f>
        <v>#VALUE!</v>
      </c>
      <c r="FA17" t="e">
        <f>Nodes!M73+"'E4!VH"</f>
        <v>#VALUE!</v>
      </c>
      <c r="FB17" t="e">
        <f>Nodes!N73+"'E4!VI"</f>
        <v>#VALUE!</v>
      </c>
      <c r="FC17" t="e">
        <f>Nodes!O73+"'E4!VJ"</f>
        <v>#VALUE!</v>
      </c>
      <c r="FD17" t="e">
        <f>Nodes!P73+"'E4!VK"</f>
        <v>#VALUE!</v>
      </c>
      <c r="FE17" t="e">
        <f>Nodes!Q73+"'E4!VL"</f>
        <v>#VALUE!</v>
      </c>
      <c r="FF17" t="e">
        <f>Nodes!R73+"'E4!VM"</f>
        <v>#VALUE!</v>
      </c>
      <c r="FG17" t="e">
        <f>Nodes!S73+"'E4!VN"</f>
        <v>#VALUE!</v>
      </c>
      <c r="FH17" t="e">
        <f>Nodes!T73+"'E4!VO"</f>
        <v>#VALUE!</v>
      </c>
      <c r="FI17" s="548" t="e">
        <f>Nodes!U73+"'E4!VP"</f>
        <v>#VALUE!</v>
      </c>
      <c r="FJ17" s="548" t="e">
        <f>Nodes!V73+"'E4!VQ"</f>
        <v>#VALUE!</v>
      </c>
      <c r="FK17" s="548" t="e">
        <f>Nodes!W73+"'E4!VR"</f>
        <v>#VALUE!</v>
      </c>
      <c r="FL17" s="333" t="e">
        <f>Nodes!X73+"'E4!VS"</f>
        <v>#VALUE!</v>
      </c>
      <c r="FM17" t="e">
        <f>Nodes!Y73+"'E4!VT"</f>
        <v>#VALUE!</v>
      </c>
      <c r="FN17" t="e">
        <f>Nodes!Z73+"'E4!VU"</f>
        <v>#VALUE!</v>
      </c>
      <c r="FO17" t="e">
        <f>Nodes!AA73+"'E4!VV"</f>
        <v>#VALUE!</v>
      </c>
      <c r="FP17" t="e">
        <f>Nodes!AB73+"'E4!VW"</f>
        <v>#VALUE!</v>
      </c>
      <c r="FQ17" t="e">
        <f>Nodes!AC73+"'E4!VX"</f>
        <v>#VALUE!</v>
      </c>
      <c r="FR17" t="e">
        <f>Nodes!A74+"'E4!VY"</f>
        <v>#VALUE!</v>
      </c>
      <c r="FS17" t="e">
        <f>Nodes!B74+"'E4!VZ"</f>
        <v>#VALUE!</v>
      </c>
      <c r="FT17" t="e">
        <f>Nodes!C74+"'E4!V["</f>
        <v>#VALUE!</v>
      </c>
      <c r="FU17" t="e">
        <f>Nodes!D74+"'E4!V\"</f>
        <v>#VALUE!</v>
      </c>
      <c r="FV17" t="e">
        <f>Nodes!E74+"'E4!V]"</f>
        <v>#VALUE!</v>
      </c>
      <c r="FW17" t="e">
        <f>Nodes!F74+"'E4!V^"</f>
        <v>#VALUE!</v>
      </c>
      <c r="FX17" t="e">
        <f>Nodes!G74+"'E4!V_"</f>
        <v>#VALUE!</v>
      </c>
      <c r="FY17" t="e">
        <f>Nodes!H74+"'E4!V`"</f>
        <v>#VALUE!</v>
      </c>
      <c r="FZ17" t="e">
        <f>Nodes!I74+"'E4!Va"</f>
        <v>#VALUE!</v>
      </c>
      <c r="GA17" t="e">
        <f>Nodes!J74+"'E4!Vb"</f>
        <v>#VALUE!</v>
      </c>
      <c r="GB17" t="e">
        <f>Nodes!K74+"'E4!Vc"</f>
        <v>#VALUE!</v>
      </c>
      <c r="GC17" t="e">
        <f>Nodes!L74+"'E4!Vd"</f>
        <v>#VALUE!</v>
      </c>
      <c r="GD17" t="e">
        <f>Nodes!M74+"'E4!Ve"</f>
        <v>#VALUE!</v>
      </c>
      <c r="GE17" t="e">
        <f>Nodes!N74+"'E4!Vf"</f>
        <v>#VALUE!</v>
      </c>
      <c r="GF17" t="e">
        <f>Nodes!O74+"'E4!Vg"</f>
        <v>#VALUE!</v>
      </c>
      <c r="GG17" t="e">
        <f>Nodes!P74+"'E4!Vh"</f>
        <v>#VALUE!</v>
      </c>
      <c r="GH17" t="e">
        <f>Nodes!Q74+"'E4!Vi"</f>
        <v>#VALUE!</v>
      </c>
      <c r="GI17" t="e">
        <f>Nodes!R74+"'E4!Vj"</f>
        <v>#VALUE!</v>
      </c>
      <c r="GJ17" t="e">
        <f>Nodes!S74+"'E4!Vk"</f>
        <v>#VALUE!</v>
      </c>
      <c r="GK17" t="e">
        <f>Nodes!T74+"'E4!Vl"</f>
        <v>#VALUE!</v>
      </c>
      <c r="GL17" s="548" t="e">
        <f>Nodes!U74+"'E4!Vm"</f>
        <v>#VALUE!</v>
      </c>
      <c r="GM17" s="548" t="e">
        <f>Nodes!V74+"'E4!Vn"</f>
        <v>#VALUE!</v>
      </c>
      <c r="GN17" s="548" t="e">
        <f>Nodes!W74+"'E4!Vo"</f>
        <v>#VALUE!</v>
      </c>
      <c r="GO17" s="333" t="e">
        <f>Nodes!X74+"'E4!Vp"</f>
        <v>#VALUE!</v>
      </c>
      <c r="GP17" t="e">
        <f>Nodes!Y74+"'E4!Vq"</f>
        <v>#VALUE!</v>
      </c>
      <c r="GQ17" t="e">
        <f>Nodes!Z74+"'E4!Vr"</f>
        <v>#VALUE!</v>
      </c>
      <c r="GR17" t="e">
        <f>Nodes!AA74+"'E4!Vs"</f>
        <v>#VALUE!</v>
      </c>
      <c r="GS17" t="e">
        <f>Nodes!AB74+"'E4!Vt"</f>
        <v>#VALUE!</v>
      </c>
      <c r="GT17" t="e">
        <f>Nodes!AC74+"'E4!Vu"</f>
        <v>#VALUE!</v>
      </c>
      <c r="GU17" t="e">
        <f>Nodes!A75+"'E4!Vv"</f>
        <v>#VALUE!</v>
      </c>
      <c r="GV17" t="e">
        <f>Nodes!B75+"'E4!Vw"</f>
        <v>#VALUE!</v>
      </c>
      <c r="GW17" t="e">
        <f>Nodes!C75+"'E4!Vx"</f>
        <v>#VALUE!</v>
      </c>
      <c r="GX17" t="e">
        <f>Nodes!D75+"'E4!Vy"</f>
        <v>#VALUE!</v>
      </c>
      <c r="GY17" t="e">
        <f>Nodes!E75+"'E4!Vz"</f>
        <v>#VALUE!</v>
      </c>
      <c r="GZ17" t="e">
        <f>Nodes!F75+"'E4!V{"</f>
        <v>#VALUE!</v>
      </c>
      <c r="HA17" t="e">
        <f>Nodes!G75+"'E4!V|"</f>
        <v>#VALUE!</v>
      </c>
      <c r="HB17" t="e">
        <f>Nodes!H75+"'E4!V}"</f>
        <v>#VALUE!</v>
      </c>
      <c r="HC17" t="e">
        <f>Nodes!I75+"'E4!V~"</f>
        <v>#VALUE!</v>
      </c>
      <c r="HD17" t="e">
        <f>Nodes!J75+"'E4!W#"</f>
        <v>#VALUE!</v>
      </c>
      <c r="HE17" t="e">
        <f>Nodes!K75+"'E4!W$"</f>
        <v>#VALUE!</v>
      </c>
      <c r="HF17" t="e">
        <f>Nodes!L75+"'E4!W%"</f>
        <v>#VALUE!</v>
      </c>
      <c r="HG17" t="e">
        <f>Nodes!M75+"'E4!W&amp;"</f>
        <v>#VALUE!</v>
      </c>
      <c r="HH17" t="e">
        <f>Nodes!N75+"'E4!W'"</f>
        <v>#VALUE!</v>
      </c>
      <c r="HI17" t="e">
        <f>Nodes!O75+"'E4!W("</f>
        <v>#VALUE!</v>
      </c>
      <c r="HJ17" t="e">
        <f>Nodes!P75+"'E4!W)"</f>
        <v>#VALUE!</v>
      </c>
      <c r="HK17" t="e">
        <f>Nodes!Q75+"'E4!W."</f>
        <v>#VALUE!</v>
      </c>
      <c r="HL17" t="e">
        <f>Nodes!R75+"'E4!W/"</f>
        <v>#VALUE!</v>
      </c>
      <c r="HM17" t="e">
        <f>Nodes!S75+"'E4!W0"</f>
        <v>#VALUE!</v>
      </c>
      <c r="HN17" t="e">
        <f>Nodes!T75+"'E4!W1"</f>
        <v>#VALUE!</v>
      </c>
      <c r="HO17" s="548" t="e">
        <f>Nodes!U75+"'E4!W2"</f>
        <v>#VALUE!</v>
      </c>
      <c r="HP17" s="548" t="e">
        <f>Nodes!V75+"'E4!W3"</f>
        <v>#VALUE!</v>
      </c>
      <c r="HQ17" s="548" t="e">
        <f>Nodes!W75+"'E4!W4"</f>
        <v>#VALUE!</v>
      </c>
      <c r="HR17" s="333" t="e">
        <f>Nodes!X75+"'E4!W5"</f>
        <v>#VALUE!</v>
      </c>
      <c r="HS17" t="e">
        <f>Nodes!Y75+"'E4!W6"</f>
        <v>#VALUE!</v>
      </c>
      <c r="HT17" t="e">
        <f>Nodes!Z75+"'E4!W7"</f>
        <v>#VALUE!</v>
      </c>
      <c r="HU17" t="e">
        <f>Nodes!AA75+"'E4!W8"</f>
        <v>#VALUE!</v>
      </c>
      <c r="HV17" t="e">
        <f>Nodes!AB75+"'E4!W9"</f>
        <v>#VALUE!</v>
      </c>
      <c r="HW17" t="e">
        <f>Nodes!AC75+"'E4!W:"</f>
        <v>#VALUE!</v>
      </c>
      <c r="HX17" t="e">
        <f>Nodes!A76+"'E4!W;"</f>
        <v>#VALUE!</v>
      </c>
      <c r="HY17" t="e">
        <f>Nodes!B76+"'E4!W&lt;"</f>
        <v>#VALUE!</v>
      </c>
      <c r="HZ17" t="e">
        <f>Nodes!C76+"'E4!W="</f>
        <v>#VALUE!</v>
      </c>
      <c r="IA17" t="e">
        <f>Nodes!D76+"'E4!W&gt;"</f>
        <v>#VALUE!</v>
      </c>
      <c r="IB17" t="e">
        <f>Nodes!E76+"'E4!W?"</f>
        <v>#VALUE!</v>
      </c>
      <c r="IC17" t="e">
        <f>Nodes!F76+"'E4!W@"</f>
        <v>#VALUE!</v>
      </c>
      <c r="ID17" t="e">
        <f>Nodes!G76+"'E4!WA"</f>
        <v>#VALUE!</v>
      </c>
      <c r="IE17" t="e">
        <f>Nodes!H76+"'E4!WB"</f>
        <v>#VALUE!</v>
      </c>
      <c r="IF17" t="e">
        <f>Nodes!I76+"'E4!WC"</f>
        <v>#VALUE!</v>
      </c>
      <c r="IG17" t="e">
        <f>Nodes!J76+"'E4!WD"</f>
        <v>#VALUE!</v>
      </c>
      <c r="IH17" t="e">
        <f>Nodes!K76+"'E4!WE"</f>
        <v>#VALUE!</v>
      </c>
      <c r="II17" t="e">
        <f>Nodes!L76+"'E4!WF"</f>
        <v>#VALUE!</v>
      </c>
      <c r="IJ17" t="e">
        <f>Nodes!M76+"'E4!WG"</f>
        <v>#VALUE!</v>
      </c>
      <c r="IK17" t="e">
        <f>Nodes!N76+"'E4!WH"</f>
        <v>#VALUE!</v>
      </c>
      <c r="IL17" t="e">
        <f>Nodes!O76+"'E4!WI"</f>
        <v>#VALUE!</v>
      </c>
      <c r="IM17" t="e">
        <f>Nodes!P76+"'E4!WJ"</f>
        <v>#VALUE!</v>
      </c>
      <c r="IN17" t="e">
        <f>Nodes!Q76+"'E4!WK"</f>
        <v>#VALUE!</v>
      </c>
      <c r="IO17" t="e">
        <f>Nodes!R76+"'E4!WL"</f>
        <v>#VALUE!</v>
      </c>
      <c r="IP17" t="e">
        <f>Nodes!S76+"'E4!WM"</f>
        <v>#VALUE!</v>
      </c>
      <c r="IQ17" t="e">
        <f>Nodes!T76+"'E4!WN"</f>
        <v>#VALUE!</v>
      </c>
      <c r="IR17" s="548" t="e">
        <f>Nodes!U76+"'E4!WO"</f>
        <v>#VALUE!</v>
      </c>
      <c r="IS17" s="548" t="e">
        <f>Nodes!V76+"'E4!WP"</f>
        <v>#VALUE!</v>
      </c>
      <c r="IT17" s="548" t="e">
        <f>Nodes!W76+"'E4!WQ"</f>
        <v>#VALUE!</v>
      </c>
      <c r="IU17" s="333" t="e">
        <f>Nodes!X76+"'E4!WR"</f>
        <v>#VALUE!</v>
      </c>
      <c r="IV17" t="e">
        <f>Nodes!Y76+"'E4!WS"</f>
        <v>#VALUE!</v>
      </c>
    </row>
    <row r="18" spans="6:256">
      <c r="F18" t="e">
        <f>Nodes!Z76+"'E4!WT"</f>
        <v>#VALUE!</v>
      </c>
      <c r="G18" t="e">
        <f>Nodes!AA76+"'E4!WU"</f>
        <v>#VALUE!</v>
      </c>
      <c r="H18" t="e">
        <f>Nodes!AB76+"'E4!WV"</f>
        <v>#VALUE!</v>
      </c>
      <c r="I18" t="e">
        <f>Nodes!AC76+"'E4!WW"</f>
        <v>#VALUE!</v>
      </c>
      <c r="J18" t="e">
        <f>Nodes!A77+"'E4!WX"</f>
        <v>#VALUE!</v>
      </c>
      <c r="K18" t="e">
        <f>Nodes!B77+"'E4!WY"</f>
        <v>#VALUE!</v>
      </c>
      <c r="L18" t="e">
        <f>Nodes!C77+"'E4!WZ"</f>
        <v>#VALUE!</v>
      </c>
      <c r="M18" t="e">
        <f>Nodes!D77+"'E4!W["</f>
        <v>#VALUE!</v>
      </c>
      <c r="N18" t="e">
        <f>Nodes!E77+"'E4!W\"</f>
        <v>#VALUE!</v>
      </c>
      <c r="O18" t="e">
        <f>Nodes!F77+"'E4!W]"</f>
        <v>#VALUE!</v>
      </c>
      <c r="P18" t="e">
        <f>Nodes!G77+"'E4!W^"</f>
        <v>#VALUE!</v>
      </c>
      <c r="Q18" t="e">
        <f>Nodes!H77+"'E4!W_"</f>
        <v>#VALUE!</v>
      </c>
      <c r="R18" t="e">
        <f>Nodes!I77+"'E4!W`"</f>
        <v>#VALUE!</v>
      </c>
      <c r="S18" t="e">
        <f>Nodes!J77+"'E4!Wa"</f>
        <v>#VALUE!</v>
      </c>
      <c r="T18" t="e">
        <f>Nodes!K77+"'E4!Wb"</f>
        <v>#VALUE!</v>
      </c>
      <c r="U18" t="e">
        <f>Nodes!L77+"'E4!Wc"</f>
        <v>#VALUE!</v>
      </c>
      <c r="V18" t="e">
        <f>Nodes!M77+"'E4!Wd"</f>
        <v>#VALUE!</v>
      </c>
      <c r="W18" t="e">
        <f>Nodes!N77+"'E4!We"</f>
        <v>#VALUE!</v>
      </c>
      <c r="X18" t="e">
        <f>Nodes!O77+"'E4!Wf"</f>
        <v>#VALUE!</v>
      </c>
      <c r="Y18" t="e">
        <f>Nodes!P77+"'E4!Wg"</f>
        <v>#VALUE!</v>
      </c>
      <c r="Z18" t="e">
        <f>Nodes!Q77+"'E4!Wh"</f>
        <v>#VALUE!</v>
      </c>
      <c r="AA18" t="e">
        <f>Nodes!R77+"'E4!Wi"</f>
        <v>#VALUE!</v>
      </c>
      <c r="AB18" t="e">
        <f>Nodes!S77+"'E4!Wj"</f>
        <v>#VALUE!</v>
      </c>
      <c r="AC18" t="e">
        <f>Nodes!T77+"'E4!Wk"</f>
        <v>#VALUE!</v>
      </c>
      <c r="AD18" s="548" t="e">
        <f>Nodes!U77+"'E4!Wl"</f>
        <v>#VALUE!</v>
      </c>
      <c r="AE18" s="548" t="e">
        <f>Nodes!V77+"'E4!Wm"</f>
        <v>#VALUE!</v>
      </c>
      <c r="AF18" s="548" t="e">
        <f>Nodes!W77+"'E4!Wn"</f>
        <v>#VALUE!</v>
      </c>
      <c r="AG18" s="333" t="e">
        <f>Nodes!X77+"'E4!Wo"</f>
        <v>#VALUE!</v>
      </c>
      <c r="AH18" t="e">
        <f>Nodes!Y77+"'E4!Wp"</f>
        <v>#VALUE!</v>
      </c>
      <c r="AI18" t="e">
        <f>Nodes!Z77+"'E4!Wq"</f>
        <v>#VALUE!</v>
      </c>
      <c r="AJ18" t="e">
        <f>Nodes!AA77+"'E4!Wr"</f>
        <v>#VALUE!</v>
      </c>
      <c r="AK18" t="e">
        <f>Nodes!AB77+"'E4!Ws"</f>
        <v>#VALUE!</v>
      </c>
      <c r="AL18" t="e">
        <f>Nodes!AC77+"'E4!Wt"</f>
        <v>#VALUE!</v>
      </c>
      <c r="AM18" t="e">
        <f>Nodes!A78+"'E4!Wu"</f>
        <v>#VALUE!</v>
      </c>
      <c r="AN18" t="e">
        <f>Nodes!B78+"'E4!Wv"</f>
        <v>#VALUE!</v>
      </c>
      <c r="AO18" t="e">
        <f>Nodes!C78+"'E4!Ww"</f>
        <v>#VALUE!</v>
      </c>
      <c r="AP18" t="e">
        <f>Nodes!D78+"'E4!Wx"</f>
        <v>#VALUE!</v>
      </c>
      <c r="AQ18" t="e">
        <f>Nodes!E78+"'E4!Wy"</f>
        <v>#VALUE!</v>
      </c>
      <c r="AR18" t="e">
        <f>Nodes!F78+"'E4!Wz"</f>
        <v>#VALUE!</v>
      </c>
      <c r="AS18" t="e">
        <f>Nodes!G78+"'E4!W{"</f>
        <v>#VALUE!</v>
      </c>
      <c r="AT18" t="e">
        <f>Nodes!H78+"'E4!W|"</f>
        <v>#VALUE!</v>
      </c>
      <c r="AU18" t="e">
        <f>Nodes!I78+"'E4!W}"</f>
        <v>#VALUE!</v>
      </c>
      <c r="AV18" t="e">
        <f>Nodes!J78+"'E4!W~"</f>
        <v>#VALUE!</v>
      </c>
      <c r="AW18" t="e">
        <f>Nodes!K78+"'E4!X#"</f>
        <v>#VALUE!</v>
      </c>
      <c r="AX18" t="e">
        <f>Nodes!L78+"'E4!X$"</f>
        <v>#VALUE!</v>
      </c>
      <c r="AY18" t="e">
        <f>Nodes!M78+"'E4!X%"</f>
        <v>#VALUE!</v>
      </c>
      <c r="AZ18" t="e">
        <f>Nodes!N78+"'E4!X&amp;"</f>
        <v>#VALUE!</v>
      </c>
      <c r="BA18" t="e">
        <f>Nodes!O78+"'E4!X'"</f>
        <v>#VALUE!</v>
      </c>
      <c r="BB18" t="e">
        <f>Nodes!P78+"'E4!X("</f>
        <v>#VALUE!</v>
      </c>
      <c r="BC18" t="e">
        <f>Nodes!Q78+"'E4!X)"</f>
        <v>#VALUE!</v>
      </c>
      <c r="BD18" t="e">
        <f>Nodes!R78+"'E4!X."</f>
        <v>#VALUE!</v>
      </c>
      <c r="BE18" t="e">
        <f>Nodes!S78+"'E4!X/"</f>
        <v>#VALUE!</v>
      </c>
      <c r="BF18" t="e">
        <f>Nodes!T78+"'E4!X0"</f>
        <v>#VALUE!</v>
      </c>
      <c r="BG18" s="548" t="e">
        <f>Nodes!U78+"'E4!X1"</f>
        <v>#VALUE!</v>
      </c>
      <c r="BH18" s="548" t="e">
        <f>Nodes!V78+"'E4!X2"</f>
        <v>#VALUE!</v>
      </c>
      <c r="BI18" s="548" t="e">
        <f>Nodes!W78+"'E4!X3"</f>
        <v>#VALUE!</v>
      </c>
      <c r="BJ18" s="333" t="e">
        <f>Nodes!X78+"'E4!X4"</f>
        <v>#VALUE!</v>
      </c>
      <c r="BK18" t="e">
        <f>Nodes!Y78+"'E4!X5"</f>
        <v>#VALUE!</v>
      </c>
      <c r="BL18" t="e">
        <f>Nodes!Z78+"'E4!X6"</f>
        <v>#VALUE!</v>
      </c>
      <c r="BM18" t="e">
        <f>Nodes!AA78+"'E4!X7"</f>
        <v>#VALUE!</v>
      </c>
      <c r="BN18" t="e">
        <f>Nodes!AB78+"'E4!X8"</f>
        <v>#VALUE!</v>
      </c>
      <c r="BO18" t="e">
        <f>Nodes!AC78+"'E4!X9"</f>
        <v>#VALUE!</v>
      </c>
      <c r="BP18" t="e">
        <f>Nodes!A79+"'E4!X:"</f>
        <v>#VALUE!</v>
      </c>
      <c r="BQ18" t="e">
        <f>Nodes!B79+"'E4!X;"</f>
        <v>#VALUE!</v>
      </c>
      <c r="BR18" t="e">
        <f>Nodes!C79+"'E4!X&lt;"</f>
        <v>#VALUE!</v>
      </c>
      <c r="BS18" t="e">
        <f>Nodes!D79+"'E4!X="</f>
        <v>#VALUE!</v>
      </c>
      <c r="BT18" t="e">
        <f>Nodes!E79+"'E4!X&gt;"</f>
        <v>#VALUE!</v>
      </c>
      <c r="BU18" t="e">
        <f>Nodes!F79+"'E4!X?"</f>
        <v>#VALUE!</v>
      </c>
      <c r="BV18" t="e">
        <f>Nodes!G79+"'E4!X@"</f>
        <v>#VALUE!</v>
      </c>
      <c r="BW18" t="e">
        <f>Nodes!H79+"'E4!XA"</f>
        <v>#VALUE!</v>
      </c>
      <c r="BX18" t="e">
        <f>Nodes!I79+"'E4!XB"</f>
        <v>#VALUE!</v>
      </c>
      <c r="BY18" t="e">
        <f>Nodes!J79+"'E4!XC"</f>
        <v>#VALUE!</v>
      </c>
      <c r="BZ18" t="e">
        <f>Nodes!K79+"'E4!XD"</f>
        <v>#VALUE!</v>
      </c>
      <c r="CA18" t="e">
        <f>Nodes!L79+"'E4!XE"</f>
        <v>#VALUE!</v>
      </c>
      <c r="CB18" t="e">
        <f>Nodes!M79+"'E4!XF"</f>
        <v>#VALUE!</v>
      </c>
      <c r="CC18" t="e">
        <f>Nodes!N79+"'E4!XG"</f>
        <v>#VALUE!</v>
      </c>
      <c r="CD18" t="e">
        <f>Nodes!O79+"'E4!XH"</f>
        <v>#VALUE!</v>
      </c>
      <c r="CE18" t="e">
        <f>Nodes!P79+"'E4!XI"</f>
        <v>#VALUE!</v>
      </c>
      <c r="CF18" t="e">
        <f>Nodes!Q79+"'E4!XJ"</f>
        <v>#VALUE!</v>
      </c>
      <c r="CG18" t="e">
        <f>Nodes!R79+"'E4!XK"</f>
        <v>#VALUE!</v>
      </c>
      <c r="CH18" t="e">
        <f>Nodes!S79+"'E4!XL"</f>
        <v>#VALUE!</v>
      </c>
      <c r="CI18" t="e">
        <f>Nodes!T79+"'E4!XM"</f>
        <v>#VALUE!</v>
      </c>
      <c r="CJ18" s="548" t="e">
        <f>Nodes!U79+"'E4!XN"</f>
        <v>#VALUE!</v>
      </c>
      <c r="CK18" s="548" t="e">
        <f>Nodes!V79+"'E4!XO"</f>
        <v>#VALUE!</v>
      </c>
      <c r="CL18" s="548" t="e">
        <f>Nodes!W79+"'E4!XP"</f>
        <v>#VALUE!</v>
      </c>
      <c r="CM18" s="333" t="e">
        <f>Nodes!X79+"'E4!XQ"</f>
        <v>#VALUE!</v>
      </c>
      <c r="CN18" t="e">
        <f>Nodes!Y79+"'E4!XR"</f>
        <v>#VALUE!</v>
      </c>
      <c r="CO18" t="e">
        <f>Nodes!Z79+"'E4!XS"</f>
        <v>#VALUE!</v>
      </c>
      <c r="CP18" t="e">
        <f>Nodes!AA79+"'E4!XT"</f>
        <v>#VALUE!</v>
      </c>
      <c r="CQ18" t="e">
        <f>Nodes!AB79+"'E4!XU"</f>
        <v>#VALUE!</v>
      </c>
      <c r="CR18" t="e">
        <f>Nodes!AC79+"'E4!XV"</f>
        <v>#VALUE!</v>
      </c>
      <c r="CS18" t="e">
        <f>Nodes!A80+"'E4!XW"</f>
        <v>#VALUE!</v>
      </c>
      <c r="CT18" t="e">
        <f>Nodes!B80+"'E4!XX"</f>
        <v>#VALUE!</v>
      </c>
      <c r="CU18" t="e">
        <f>Nodes!C80+"'E4!XY"</f>
        <v>#VALUE!</v>
      </c>
      <c r="CV18" t="e">
        <f>Nodes!D80+"'E4!XZ"</f>
        <v>#VALUE!</v>
      </c>
      <c r="CW18" t="e">
        <f>Nodes!E80+"'E4!X["</f>
        <v>#VALUE!</v>
      </c>
      <c r="CX18" t="e">
        <f>Nodes!F80+"'E4!X\"</f>
        <v>#VALUE!</v>
      </c>
      <c r="CY18" t="e">
        <f>Nodes!G80+"'E4!X]"</f>
        <v>#VALUE!</v>
      </c>
      <c r="CZ18" t="e">
        <f>Nodes!H80+"'E4!X^"</f>
        <v>#VALUE!</v>
      </c>
      <c r="DA18" t="e">
        <f>Nodes!I80+"'E4!X_"</f>
        <v>#VALUE!</v>
      </c>
      <c r="DB18" t="e">
        <f>Nodes!J80+"'E4!X`"</f>
        <v>#VALUE!</v>
      </c>
      <c r="DC18" t="e">
        <f>Nodes!K80+"'E4!Xa"</f>
        <v>#VALUE!</v>
      </c>
      <c r="DD18" t="e">
        <f>Nodes!L80+"'E4!Xb"</f>
        <v>#VALUE!</v>
      </c>
      <c r="DE18" t="e">
        <f>Nodes!M80+"'E4!Xc"</f>
        <v>#VALUE!</v>
      </c>
      <c r="DF18" t="e">
        <f>Nodes!N80+"'E4!Xd"</f>
        <v>#VALUE!</v>
      </c>
      <c r="DG18" t="e">
        <f>Nodes!O80+"'E4!Xe"</f>
        <v>#VALUE!</v>
      </c>
      <c r="DH18" t="e">
        <f>Nodes!P80+"'E4!Xf"</f>
        <v>#VALUE!</v>
      </c>
      <c r="DI18" t="e">
        <f>Nodes!Q80+"'E4!Xg"</f>
        <v>#VALUE!</v>
      </c>
      <c r="DJ18" t="e">
        <f>Nodes!R80+"'E4!Xh"</f>
        <v>#VALUE!</v>
      </c>
      <c r="DK18" t="e">
        <f>Nodes!S80+"'E4!Xi"</f>
        <v>#VALUE!</v>
      </c>
      <c r="DL18" t="e">
        <f>Nodes!T80+"'E4!Xj"</f>
        <v>#VALUE!</v>
      </c>
      <c r="DM18" s="548" t="e">
        <f>Nodes!U80+"'E4!Xk"</f>
        <v>#VALUE!</v>
      </c>
      <c r="DN18" s="548" t="e">
        <f>Nodes!V80+"'E4!Xl"</f>
        <v>#VALUE!</v>
      </c>
      <c r="DO18" s="548" t="e">
        <f>Nodes!W80+"'E4!Xm"</f>
        <v>#VALUE!</v>
      </c>
      <c r="DP18" s="333" t="e">
        <f>Nodes!X80+"'E4!Xn"</f>
        <v>#VALUE!</v>
      </c>
      <c r="DQ18" t="e">
        <f>Nodes!Y80+"'E4!Xo"</f>
        <v>#VALUE!</v>
      </c>
      <c r="DR18" t="e">
        <f>Nodes!Z80+"'E4!Xp"</f>
        <v>#VALUE!</v>
      </c>
      <c r="DS18" t="e">
        <f>Nodes!AA80+"'E4!Xq"</f>
        <v>#VALUE!</v>
      </c>
      <c r="DT18" t="e">
        <f>Nodes!AB80+"'E4!Xr"</f>
        <v>#VALUE!</v>
      </c>
      <c r="DU18" t="e">
        <f>Nodes!AC80+"'E4!Xs"</f>
        <v>#VALUE!</v>
      </c>
      <c r="DV18" t="e">
        <f>Nodes!A81+"'E4!Xt"</f>
        <v>#VALUE!</v>
      </c>
      <c r="DW18" t="e">
        <f>Nodes!B81+"'E4!Xu"</f>
        <v>#VALUE!</v>
      </c>
      <c r="DX18" t="e">
        <f>Nodes!C81+"'E4!Xv"</f>
        <v>#VALUE!</v>
      </c>
      <c r="DY18" t="e">
        <f>Nodes!D81+"'E4!Xw"</f>
        <v>#VALUE!</v>
      </c>
      <c r="DZ18" t="e">
        <f>Nodes!E81+"'E4!Xx"</f>
        <v>#VALUE!</v>
      </c>
      <c r="EA18" t="e">
        <f>Nodes!F81+"'E4!Xy"</f>
        <v>#VALUE!</v>
      </c>
      <c r="EB18" t="e">
        <f>Nodes!G81+"'E4!Xz"</f>
        <v>#VALUE!</v>
      </c>
      <c r="EC18" t="e">
        <f>Nodes!H81+"'E4!X{"</f>
        <v>#VALUE!</v>
      </c>
      <c r="ED18" t="e">
        <f>Nodes!I81+"'E4!X|"</f>
        <v>#VALUE!</v>
      </c>
      <c r="EE18" t="e">
        <f>Nodes!J81+"'E4!X}"</f>
        <v>#VALUE!</v>
      </c>
      <c r="EF18" t="e">
        <f>Nodes!K81+"'E4!X~"</f>
        <v>#VALUE!</v>
      </c>
      <c r="EG18" t="e">
        <f>Nodes!L81+"'E4!Y#"</f>
        <v>#VALUE!</v>
      </c>
      <c r="EH18" t="e">
        <f>Nodes!M81+"'E4!Y$"</f>
        <v>#VALUE!</v>
      </c>
      <c r="EI18" t="e">
        <f>Nodes!N81+"'E4!Y%"</f>
        <v>#VALUE!</v>
      </c>
      <c r="EJ18" t="e">
        <f>Nodes!O81+"'E4!Y&amp;"</f>
        <v>#VALUE!</v>
      </c>
      <c r="EK18" t="e">
        <f>Nodes!P81+"'E4!Y'"</f>
        <v>#VALUE!</v>
      </c>
      <c r="EL18" t="e">
        <f>Nodes!Q81+"'E4!Y("</f>
        <v>#VALUE!</v>
      </c>
      <c r="EM18" t="e">
        <f>Nodes!R81+"'E4!Y)"</f>
        <v>#VALUE!</v>
      </c>
      <c r="EN18" t="e">
        <f>Nodes!S81+"'E4!Y."</f>
        <v>#VALUE!</v>
      </c>
      <c r="EO18" t="e">
        <f>Nodes!T81+"'E4!Y/"</f>
        <v>#VALUE!</v>
      </c>
      <c r="EP18" s="548" t="e">
        <f>Nodes!U81+"'E4!Y0"</f>
        <v>#VALUE!</v>
      </c>
      <c r="EQ18" s="548" t="e">
        <f>Nodes!V81+"'E4!Y1"</f>
        <v>#VALUE!</v>
      </c>
      <c r="ER18" s="548" t="e">
        <f>Nodes!W81+"'E4!Y2"</f>
        <v>#VALUE!</v>
      </c>
      <c r="ES18" s="333" t="e">
        <f>Nodes!X81+"'E4!Y3"</f>
        <v>#VALUE!</v>
      </c>
      <c r="ET18" t="e">
        <f>Nodes!Y81+"'E4!Y4"</f>
        <v>#VALUE!</v>
      </c>
      <c r="EU18" t="e">
        <f>Nodes!Z81+"'E4!Y5"</f>
        <v>#VALUE!</v>
      </c>
      <c r="EV18" t="e">
        <f>Nodes!AA81+"'E4!Y6"</f>
        <v>#VALUE!</v>
      </c>
      <c r="EW18" t="e">
        <f>Nodes!AB81+"'E4!Y7"</f>
        <v>#VALUE!</v>
      </c>
      <c r="EX18" t="e">
        <f>Nodes!AC81+"'E4!Y8"</f>
        <v>#VALUE!</v>
      </c>
      <c r="EY18" t="e">
        <f>Nodes!A82+"'E4!Y9"</f>
        <v>#VALUE!</v>
      </c>
      <c r="EZ18" t="e">
        <f>Nodes!B82+"'E4!Y:"</f>
        <v>#VALUE!</v>
      </c>
      <c r="FA18" t="e">
        <f>Nodes!C82+"'E4!Y;"</f>
        <v>#VALUE!</v>
      </c>
      <c r="FB18" t="e">
        <f>Nodes!D82+"'E4!Y&lt;"</f>
        <v>#VALUE!</v>
      </c>
      <c r="FC18" t="e">
        <f>Nodes!E82+"'E4!Y="</f>
        <v>#VALUE!</v>
      </c>
      <c r="FD18" t="e">
        <f>Nodes!F82+"'E4!Y&gt;"</f>
        <v>#VALUE!</v>
      </c>
      <c r="FE18" t="e">
        <f>Nodes!G82+"'E4!Y?"</f>
        <v>#VALUE!</v>
      </c>
      <c r="FF18" t="e">
        <f>Nodes!H82+"'E4!Y@"</f>
        <v>#VALUE!</v>
      </c>
      <c r="FG18" t="e">
        <f>Nodes!I82+"'E4!YA"</f>
        <v>#VALUE!</v>
      </c>
      <c r="FH18" t="e">
        <f>Nodes!J82+"'E4!YB"</f>
        <v>#VALUE!</v>
      </c>
      <c r="FI18" t="e">
        <f>Nodes!K82+"'E4!YC"</f>
        <v>#VALUE!</v>
      </c>
      <c r="FJ18" t="e">
        <f>Nodes!L82+"'E4!YD"</f>
        <v>#VALUE!</v>
      </c>
      <c r="FK18" t="e">
        <f>Nodes!M82+"'E4!YE"</f>
        <v>#VALUE!</v>
      </c>
      <c r="FL18" t="e">
        <f>Nodes!N82+"'E4!YF"</f>
        <v>#VALUE!</v>
      </c>
      <c r="FM18" t="e">
        <f>Nodes!O82+"'E4!YG"</f>
        <v>#VALUE!</v>
      </c>
      <c r="FN18" t="e">
        <f>Nodes!P82+"'E4!YH"</f>
        <v>#VALUE!</v>
      </c>
      <c r="FO18" t="e">
        <f>Nodes!Q82+"'E4!YI"</f>
        <v>#VALUE!</v>
      </c>
      <c r="FP18" t="e">
        <f>Nodes!R82+"'E4!YJ"</f>
        <v>#VALUE!</v>
      </c>
      <c r="FQ18" t="e">
        <f>Nodes!S82+"'E4!YK"</f>
        <v>#VALUE!</v>
      </c>
      <c r="FR18" t="e">
        <f>Nodes!T82+"'E4!YL"</f>
        <v>#VALUE!</v>
      </c>
      <c r="FS18" s="548" t="e">
        <f>Nodes!U82+"'E4!YM"</f>
        <v>#VALUE!</v>
      </c>
      <c r="FT18" s="548" t="e">
        <f>Nodes!V82+"'E4!YN"</f>
        <v>#VALUE!</v>
      </c>
      <c r="FU18" s="548" t="e">
        <f>Nodes!W82+"'E4!YO"</f>
        <v>#VALUE!</v>
      </c>
      <c r="FV18" s="333" t="e">
        <f>Nodes!X82+"'E4!YP"</f>
        <v>#VALUE!</v>
      </c>
      <c r="FW18" t="e">
        <f>Nodes!Y82+"'E4!YQ"</f>
        <v>#VALUE!</v>
      </c>
      <c r="FX18" t="e">
        <f>Nodes!Z82+"'E4!YR"</f>
        <v>#VALUE!</v>
      </c>
      <c r="FY18" t="e">
        <f>Nodes!AA82+"'E4!YS"</f>
        <v>#VALUE!</v>
      </c>
      <c r="FZ18" t="e">
        <f>Nodes!AB82+"'E4!YT"</f>
        <v>#VALUE!</v>
      </c>
      <c r="GA18" t="e">
        <f>Nodes!AC82+"'E4!YU"</f>
        <v>#VALUE!</v>
      </c>
      <c r="GB18" t="e">
        <f>Nodes!A83+"'E4!YV"</f>
        <v>#VALUE!</v>
      </c>
      <c r="GC18" t="e">
        <f>Nodes!B83+"'E4!YW"</f>
        <v>#VALUE!</v>
      </c>
      <c r="GD18" t="e">
        <f>Nodes!C83+"'E4!YX"</f>
        <v>#VALUE!</v>
      </c>
      <c r="GE18" t="e">
        <f>Nodes!D83+"'E4!YY"</f>
        <v>#VALUE!</v>
      </c>
      <c r="GF18" t="e">
        <f>Nodes!E83+"'E4!YZ"</f>
        <v>#VALUE!</v>
      </c>
      <c r="GG18" t="e">
        <f>Nodes!F83+"'E4!Y["</f>
        <v>#VALUE!</v>
      </c>
      <c r="GH18" t="e">
        <f>Nodes!G83+"'E4!Y\"</f>
        <v>#VALUE!</v>
      </c>
      <c r="GI18" t="e">
        <f>Nodes!H83+"'E4!Y]"</f>
        <v>#VALUE!</v>
      </c>
      <c r="GJ18" t="e">
        <f>Nodes!I83+"'E4!Y^"</f>
        <v>#VALUE!</v>
      </c>
      <c r="GK18" t="e">
        <f>Nodes!J83+"'E4!Y_"</f>
        <v>#VALUE!</v>
      </c>
      <c r="GL18" t="e">
        <f>Nodes!K83+"'E4!Y`"</f>
        <v>#VALUE!</v>
      </c>
      <c r="GM18" t="e">
        <f>Nodes!L83+"'E4!Ya"</f>
        <v>#VALUE!</v>
      </c>
      <c r="GN18" t="e">
        <f>Nodes!M83+"'E4!Yb"</f>
        <v>#VALUE!</v>
      </c>
      <c r="GO18" t="e">
        <f>Nodes!N83+"'E4!Yc"</f>
        <v>#VALUE!</v>
      </c>
      <c r="GP18" t="e">
        <f>Nodes!O83+"'E4!Yd"</f>
        <v>#VALUE!</v>
      </c>
      <c r="GQ18" t="e">
        <f>Nodes!P83+"'E4!Ye"</f>
        <v>#VALUE!</v>
      </c>
      <c r="GR18" t="e">
        <f>Nodes!Q83+"'E4!Yf"</f>
        <v>#VALUE!</v>
      </c>
      <c r="GS18" t="e">
        <f>Nodes!R83+"'E4!Yg"</f>
        <v>#VALUE!</v>
      </c>
      <c r="GT18" t="e">
        <f>Nodes!S83+"'E4!Yh"</f>
        <v>#VALUE!</v>
      </c>
      <c r="GU18" t="e">
        <f>Nodes!T83+"'E4!Yi"</f>
        <v>#VALUE!</v>
      </c>
      <c r="GV18" s="548" t="e">
        <f>Nodes!U83+"'E4!Yj"</f>
        <v>#VALUE!</v>
      </c>
      <c r="GW18" s="548" t="e">
        <f>Nodes!V83+"'E4!Yk"</f>
        <v>#VALUE!</v>
      </c>
      <c r="GX18" s="548" t="e">
        <f>Nodes!W83+"'E4!Yl"</f>
        <v>#VALUE!</v>
      </c>
      <c r="GY18" s="333" t="e">
        <f>Nodes!X83+"'E4!Ym"</f>
        <v>#VALUE!</v>
      </c>
      <c r="GZ18" t="e">
        <f>Nodes!Y83+"'E4!Yn"</f>
        <v>#VALUE!</v>
      </c>
      <c r="HA18" t="e">
        <f>Nodes!Z83+"'E4!Yo"</f>
        <v>#VALUE!</v>
      </c>
      <c r="HB18" t="e">
        <f>Nodes!AA83+"'E4!Yp"</f>
        <v>#VALUE!</v>
      </c>
      <c r="HC18" t="e">
        <f>Nodes!AB83+"'E4!Yq"</f>
        <v>#VALUE!</v>
      </c>
      <c r="HD18" t="e">
        <f>Nodes!AC83+"'E4!Yr"</f>
        <v>#VALUE!</v>
      </c>
      <c r="HE18" t="e">
        <f>Nodes!A84+"'E4!Ys"</f>
        <v>#VALUE!</v>
      </c>
      <c r="HF18" t="e">
        <f>Nodes!B84+"'E4!Yt"</f>
        <v>#VALUE!</v>
      </c>
      <c r="HG18" t="e">
        <f>Nodes!C84+"'E4!Yu"</f>
        <v>#VALUE!</v>
      </c>
      <c r="HH18" t="e">
        <f>Nodes!D84+"'E4!Yv"</f>
        <v>#VALUE!</v>
      </c>
      <c r="HI18" t="e">
        <f>Nodes!E84+"'E4!Yw"</f>
        <v>#VALUE!</v>
      </c>
      <c r="HJ18" t="e">
        <f>Nodes!F84+"'E4!Yx"</f>
        <v>#VALUE!</v>
      </c>
      <c r="HK18" t="e">
        <f>Nodes!G84+"'E4!Yy"</f>
        <v>#VALUE!</v>
      </c>
      <c r="HL18" t="e">
        <f>Nodes!H84+"'E4!Yz"</f>
        <v>#VALUE!</v>
      </c>
      <c r="HM18" t="e">
        <f>Nodes!I84+"'E4!Y{"</f>
        <v>#VALUE!</v>
      </c>
      <c r="HN18" t="e">
        <f>Nodes!J84+"'E4!Y|"</f>
        <v>#VALUE!</v>
      </c>
      <c r="HO18" t="e">
        <f>Nodes!K84+"'E4!Y}"</f>
        <v>#VALUE!</v>
      </c>
      <c r="HP18" t="e">
        <f>Nodes!L84+"'E4!Y~"</f>
        <v>#VALUE!</v>
      </c>
      <c r="HQ18" t="e">
        <f>Nodes!M84+"'E4!Z#"</f>
        <v>#VALUE!</v>
      </c>
      <c r="HR18" t="e">
        <f>Nodes!N84+"'E4!Z$"</f>
        <v>#VALUE!</v>
      </c>
      <c r="HS18" t="e">
        <f>Nodes!O84+"'E4!Z%"</f>
        <v>#VALUE!</v>
      </c>
      <c r="HT18" t="e">
        <f>Nodes!P84+"'E4!Z&amp;"</f>
        <v>#VALUE!</v>
      </c>
      <c r="HU18" t="e">
        <f>Nodes!Q84+"'E4!Z'"</f>
        <v>#VALUE!</v>
      </c>
      <c r="HV18" t="e">
        <f>Nodes!R84+"'E4!Z("</f>
        <v>#VALUE!</v>
      </c>
      <c r="HW18" t="e">
        <f>Nodes!S84+"'E4!Z)"</f>
        <v>#VALUE!</v>
      </c>
      <c r="HX18" t="e">
        <f>Nodes!T84+"'E4!Z."</f>
        <v>#VALUE!</v>
      </c>
      <c r="HY18" s="548" t="e">
        <f>Nodes!U84+"'E4!Z/"</f>
        <v>#VALUE!</v>
      </c>
      <c r="HZ18" s="548" t="e">
        <f>Nodes!V84+"'E4!Z0"</f>
        <v>#VALUE!</v>
      </c>
      <c r="IA18" s="548" t="e">
        <f>Nodes!W84+"'E4!Z1"</f>
        <v>#VALUE!</v>
      </c>
      <c r="IB18" s="333" t="e">
        <f>Nodes!X84+"'E4!Z2"</f>
        <v>#VALUE!</v>
      </c>
      <c r="IC18" t="e">
        <f>Nodes!Y84+"'E4!Z3"</f>
        <v>#VALUE!</v>
      </c>
      <c r="ID18" t="e">
        <f>Nodes!Z84+"'E4!Z4"</f>
        <v>#VALUE!</v>
      </c>
      <c r="IE18" t="e">
        <f>Nodes!AA84+"'E4!Z5"</f>
        <v>#VALUE!</v>
      </c>
      <c r="IF18" t="e">
        <f>Nodes!AB84+"'E4!Z6"</f>
        <v>#VALUE!</v>
      </c>
      <c r="IG18" t="e">
        <f>Nodes!AC84+"'E4!Z7"</f>
        <v>#VALUE!</v>
      </c>
      <c r="IH18" t="e">
        <f>Nodes!A85+"'E4!Z8"</f>
        <v>#VALUE!</v>
      </c>
      <c r="II18" t="e">
        <f>Nodes!B85+"'E4!Z9"</f>
        <v>#VALUE!</v>
      </c>
      <c r="IJ18" t="e">
        <f>Nodes!C85+"'E4!Z:"</f>
        <v>#VALUE!</v>
      </c>
      <c r="IK18" t="e">
        <f>Nodes!D85+"'E4!Z;"</f>
        <v>#VALUE!</v>
      </c>
      <c r="IL18" t="e">
        <f>Nodes!E85+"'E4!Z&lt;"</f>
        <v>#VALUE!</v>
      </c>
      <c r="IM18" t="e">
        <f>Nodes!F85+"'E4!Z="</f>
        <v>#VALUE!</v>
      </c>
      <c r="IN18" t="e">
        <f>Nodes!G85+"'E4!Z&gt;"</f>
        <v>#VALUE!</v>
      </c>
      <c r="IO18" t="e">
        <f>Nodes!H85+"'E4!Z?"</f>
        <v>#VALUE!</v>
      </c>
      <c r="IP18" t="e">
        <f>Nodes!I85+"'E4!Z@"</f>
        <v>#VALUE!</v>
      </c>
      <c r="IQ18" t="e">
        <f>Nodes!J85+"'E4!ZA"</f>
        <v>#VALUE!</v>
      </c>
      <c r="IR18" t="e">
        <f>Nodes!K85+"'E4!ZB"</f>
        <v>#VALUE!</v>
      </c>
      <c r="IS18" t="e">
        <f>Nodes!L85+"'E4!ZC"</f>
        <v>#VALUE!</v>
      </c>
      <c r="IT18" t="e">
        <f>Nodes!M85+"'E4!ZD"</f>
        <v>#VALUE!</v>
      </c>
      <c r="IU18" t="e">
        <f>Nodes!N85+"'E4!ZE"</f>
        <v>#VALUE!</v>
      </c>
      <c r="IV18" t="e">
        <f>Nodes!O85+"'E4!ZF"</f>
        <v>#VALUE!</v>
      </c>
    </row>
    <row r="19" spans="6:256">
      <c r="F19" t="e">
        <f>Nodes!P85+"'E4!ZG"</f>
        <v>#VALUE!</v>
      </c>
      <c r="G19" t="e">
        <f>Nodes!Q85+"'E4!ZH"</f>
        <v>#VALUE!</v>
      </c>
      <c r="H19" t="e">
        <f>Nodes!R85+"'E4!ZI"</f>
        <v>#VALUE!</v>
      </c>
      <c r="I19" t="e">
        <f>Nodes!S85+"'E4!ZJ"</f>
        <v>#VALUE!</v>
      </c>
      <c r="J19" t="e">
        <f>Nodes!T85+"'E4!ZK"</f>
        <v>#VALUE!</v>
      </c>
      <c r="K19" s="548" t="e">
        <f>Nodes!U85+"'E4!ZL"</f>
        <v>#VALUE!</v>
      </c>
      <c r="L19" s="548" t="e">
        <f>Nodes!V85+"'E4!ZM"</f>
        <v>#VALUE!</v>
      </c>
      <c r="M19" s="548" t="e">
        <f>Nodes!W85+"'E4!ZN"</f>
        <v>#VALUE!</v>
      </c>
      <c r="N19" s="333" t="e">
        <f>Nodes!X85+"'E4!ZO"</f>
        <v>#VALUE!</v>
      </c>
      <c r="O19" t="e">
        <f>Nodes!Y85+"'E4!ZP"</f>
        <v>#VALUE!</v>
      </c>
      <c r="P19" t="e">
        <f>Nodes!Z85+"'E4!ZQ"</f>
        <v>#VALUE!</v>
      </c>
      <c r="Q19" t="e">
        <f>Nodes!AA85+"'E4!ZR"</f>
        <v>#VALUE!</v>
      </c>
      <c r="R19" t="e">
        <f>Nodes!AB85+"'E4!ZS"</f>
        <v>#VALUE!</v>
      </c>
      <c r="S19" t="e">
        <f>Nodes!AC85+"'E4!ZT"</f>
        <v>#VALUE!</v>
      </c>
      <c r="T19" t="e">
        <f>Nodes!A86+"'E4!ZU"</f>
        <v>#VALUE!</v>
      </c>
      <c r="U19" t="e">
        <f>Nodes!B86+"'E4!ZV"</f>
        <v>#VALUE!</v>
      </c>
      <c r="V19" t="e">
        <f>Nodes!C86+"'E4!ZW"</f>
        <v>#VALUE!</v>
      </c>
      <c r="W19" t="e">
        <f>Nodes!D86+"'E4!ZX"</f>
        <v>#VALUE!</v>
      </c>
      <c r="X19" t="e">
        <f>Nodes!E86+"'E4!ZY"</f>
        <v>#VALUE!</v>
      </c>
      <c r="Y19" t="e">
        <f>Nodes!F86+"'E4!ZZ"</f>
        <v>#VALUE!</v>
      </c>
      <c r="Z19" t="e">
        <f>Nodes!G86+"'E4!Z["</f>
        <v>#VALUE!</v>
      </c>
      <c r="AA19" t="e">
        <f>Nodes!H86+"'E4!Z\"</f>
        <v>#VALUE!</v>
      </c>
      <c r="AB19" t="e">
        <f>Nodes!I86+"'E4!Z]"</f>
        <v>#VALUE!</v>
      </c>
      <c r="AC19" t="e">
        <f>Nodes!J86+"'E4!Z^"</f>
        <v>#VALUE!</v>
      </c>
      <c r="AD19" t="e">
        <f>Nodes!K86+"'E4!Z_"</f>
        <v>#VALUE!</v>
      </c>
      <c r="AE19" t="e">
        <f>Nodes!L86+"'E4!Z`"</f>
        <v>#VALUE!</v>
      </c>
      <c r="AF19" t="e">
        <f>Nodes!M86+"'E4!Za"</f>
        <v>#VALUE!</v>
      </c>
      <c r="AG19" t="e">
        <f>Nodes!N86+"'E4!Zb"</f>
        <v>#VALUE!</v>
      </c>
      <c r="AH19" t="e">
        <f>Nodes!O86+"'E4!Zc"</f>
        <v>#VALUE!</v>
      </c>
      <c r="AI19" t="e">
        <f>Nodes!P86+"'E4!Zd"</f>
        <v>#VALUE!</v>
      </c>
      <c r="AJ19" t="e">
        <f>Nodes!Q86+"'E4!Ze"</f>
        <v>#VALUE!</v>
      </c>
      <c r="AK19" t="e">
        <f>Nodes!R86+"'E4!Zf"</f>
        <v>#VALUE!</v>
      </c>
      <c r="AL19" t="e">
        <f>Nodes!S86+"'E4!Zg"</f>
        <v>#VALUE!</v>
      </c>
      <c r="AM19" t="e">
        <f>Nodes!T86+"'E4!Zh"</f>
        <v>#VALUE!</v>
      </c>
      <c r="AN19" s="548" t="e">
        <f>Nodes!U86+"'E4!Zi"</f>
        <v>#VALUE!</v>
      </c>
      <c r="AO19" s="548" t="e">
        <f>Nodes!V86+"'E4!Zj"</f>
        <v>#VALUE!</v>
      </c>
      <c r="AP19" s="548" t="e">
        <f>Nodes!W86+"'E4!Zk"</f>
        <v>#VALUE!</v>
      </c>
      <c r="AQ19" s="333" t="e">
        <f>Nodes!X86+"'E4!Zl"</f>
        <v>#VALUE!</v>
      </c>
      <c r="AR19" t="e">
        <f>Nodes!Y86+"'E4!Zm"</f>
        <v>#VALUE!</v>
      </c>
      <c r="AS19" t="e">
        <f>Nodes!Z86+"'E4!Zn"</f>
        <v>#VALUE!</v>
      </c>
      <c r="AT19" t="e">
        <f>Nodes!AA86+"'E4!Zo"</f>
        <v>#VALUE!</v>
      </c>
      <c r="AU19" t="e">
        <f>Nodes!AB86+"'E4!Zp"</f>
        <v>#VALUE!</v>
      </c>
      <c r="AV19" t="e">
        <f>Nodes!AC86+"'E4!Zq"</f>
        <v>#VALUE!</v>
      </c>
      <c r="AW19" t="e">
        <f>Nodes!A87+"'E4!Zr"</f>
        <v>#VALUE!</v>
      </c>
      <c r="AX19" t="e">
        <f>Nodes!B87+"'E4!Zs"</f>
        <v>#VALUE!</v>
      </c>
      <c r="AY19" t="e">
        <f>Nodes!C87+"'E4!Zt"</f>
        <v>#VALUE!</v>
      </c>
      <c r="AZ19" t="e">
        <f>Nodes!D87+"'E4!Zu"</f>
        <v>#VALUE!</v>
      </c>
      <c r="BA19" t="e">
        <f>Nodes!E87+"'E4!Zv"</f>
        <v>#VALUE!</v>
      </c>
      <c r="BB19" t="e">
        <f>Nodes!F87+"'E4!Zw"</f>
        <v>#VALUE!</v>
      </c>
      <c r="BC19" t="e">
        <f>Nodes!G87+"'E4!Zx"</f>
        <v>#VALUE!</v>
      </c>
      <c r="BD19" t="e">
        <f>Nodes!H87+"'E4!Zy"</f>
        <v>#VALUE!</v>
      </c>
      <c r="BE19" t="e">
        <f>Nodes!I87+"'E4!Zz"</f>
        <v>#VALUE!</v>
      </c>
      <c r="BF19" t="e">
        <f>Nodes!J87+"'E4!Z{"</f>
        <v>#VALUE!</v>
      </c>
      <c r="BG19" t="e">
        <f>Nodes!K87+"'E4!Z|"</f>
        <v>#VALUE!</v>
      </c>
      <c r="BH19" t="e">
        <f>Nodes!L87+"'E4!Z}"</f>
        <v>#VALUE!</v>
      </c>
      <c r="BI19" t="e">
        <f>Nodes!M87+"'E4!Z~"</f>
        <v>#VALUE!</v>
      </c>
      <c r="BJ19" t="e">
        <f>Nodes!N87+"'E4![#"</f>
        <v>#VALUE!</v>
      </c>
      <c r="BK19" t="e">
        <f>Nodes!O87+"'E4![$"</f>
        <v>#VALUE!</v>
      </c>
      <c r="BL19" t="e">
        <f>Nodes!P87+"'E4![%"</f>
        <v>#VALUE!</v>
      </c>
      <c r="BM19" t="e">
        <f>Nodes!Q87+"'E4![&amp;"</f>
        <v>#VALUE!</v>
      </c>
      <c r="BN19" t="e">
        <f>Nodes!R87+"'E4!['"</f>
        <v>#VALUE!</v>
      </c>
      <c r="BO19" t="e">
        <f>Nodes!S87+"'E4![("</f>
        <v>#VALUE!</v>
      </c>
      <c r="BP19" t="e">
        <f>Nodes!T87+"'E4![)"</f>
        <v>#VALUE!</v>
      </c>
      <c r="BQ19" s="548" t="e">
        <f>Nodes!U87+"'E4![."</f>
        <v>#VALUE!</v>
      </c>
      <c r="BR19" s="548" t="e">
        <f>Nodes!V87+"'E4![/"</f>
        <v>#VALUE!</v>
      </c>
      <c r="BS19" s="548" t="e">
        <f>Nodes!W87+"'E4![0"</f>
        <v>#VALUE!</v>
      </c>
      <c r="BT19" s="333" t="e">
        <f>Nodes!X87+"'E4![1"</f>
        <v>#VALUE!</v>
      </c>
      <c r="BU19" t="e">
        <f>Nodes!Y87+"'E4![2"</f>
        <v>#VALUE!</v>
      </c>
      <c r="BV19" t="e">
        <f>Nodes!Z87+"'E4![3"</f>
        <v>#VALUE!</v>
      </c>
      <c r="BW19" t="e">
        <f>Nodes!AA87+"'E4![4"</f>
        <v>#VALUE!</v>
      </c>
      <c r="BX19" t="e">
        <f>Nodes!AB87+"'E4![5"</f>
        <v>#VALUE!</v>
      </c>
      <c r="BY19" t="e">
        <f>Nodes!AC87+"'E4![6"</f>
        <v>#VALUE!</v>
      </c>
      <c r="BZ19" t="e">
        <f>Nodes!A88+"'E4![7"</f>
        <v>#VALUE!</v>
      </c>
      <c r="CA19" t="e">
        <f>Nodes!B88+"'E4![8"</f>
        <v>#VALUE!</v>
      </c>
      <c r="CB19" t="e">
        <f>Nodes!C88+"'E4![9"</f>
        <v>#VALUE!</v>
      </c>
      <c r="CC19" t="e">
        <f>Nodes!D88+"'E4![:"</f>
        <v>#VALUE!</v>
      </c>
      <c r="CD19" t="e">
        <f>Nodes!E88+"'E4![;"</f>
        <v>#VALUE!</v>
      </c>
      <c r="CE19" t="e">
        <f>Nodes!F88+"'E4![&lt;"</f>
        <v>#VALUE!</v>
      </c>
      <c r="CF19" t="e">
        <f>Nodes!G88+"'E4![="</f>
        <v>#VALUE!</v>
      </c>
      <c r="CG19" t="e">
        <f>Nodes!H88+"'E4![&gt;"</f>
        <v>#VALUE!</v>
      </c>
      <c r="CH19" t="e">
        <f>Nodes!I88+"'E4![?"</f>
        <v>#VALUE!</v>
      </c>
      <c r="CI19" t="e">
        <f>Nodes!J88+"'E4![@"</f>
        <v>#VALUE!</v>
      </c>
      <c r="CJ19" t="e">
        <f>Nodes!K88+"'E4![A"</f>
        <v>#VALUE!</v>
      </c>
      <c r="CK19" t="e">
        <f>Nodes!L88+"'E4![B"</f>
        <v>#VALUE!</v>
      </c>
      <c r="CL19" t="e">
        <f>Nodes!M88+"'E4![C"</f>
        <v>#VALUE!</v>
      </c>
      <c r="CM19" t="e">
        <f>Nodes!N88+"'E4![D"</f>
        <v>#VALUE!</v>
      </c>
      <c r="CN19" t="e">
        <f>Nodes!O88+"'E4![E"</f>
        <v>#VALUE!</v>
      </c>
      <c r="CO19" t="e">
        <f>Nodes!P88+"'E4![F"</f>
        <v>#VALUE!</v>
      </c>
      <c r="CP19" t="e">
        <f>Nodes!Q88+"'E4![G"</f>
        <v>#VALUE!</v>
      </c>
      <c r="CQ19" t="e">
        <f>Nodes!R88+"'E4![H"</f>
        <v>#VALUE!</v>
      </c>
      <c r="CR19" t="e">
        <f>Nodes!S88+"'E4![I"</f>
        <v>#VALUE!</v>
      </c>
      <c r="CS19" t="e">
        <f>Nodes!T88+"'E4![J"</f>
        <v>#VALUE!</v>
      </c>
      <c r="CT19" t="e">
        <f>Nodes!U88+"'E4![K"</f>
        <v>#VALUE!</v>
      </c>
      <c r="CU19" t="e">
        <f>Nodes!V88+"'E4![L"</f>
        <v>#VALUE!</v>
      </c>
      <c r="CV19" t="e">
        <f>Nodes!W88+"'E4![M"</f>
        <v>#VALUE!</v>
      </c>
      <c r="CW19" s="333" t="e">
        <f>Nodes!X88+"'E4![N"</f>
        <v>#VALUE!</v>
      </c>
      <c r="CX19" t="e">
        <f>Nodes!Y88+"'E4![O"</f>
        <v>#VALUE!</v>
      </c>
      <c r="CY19" t="e">
        <f>Nodes!Z88+"'E4![P"</f>
        <v>#VALUE!</v>
      </c>
      <c r="CZ19" t="e">
        <f>Nodes!AA88+"'E4![Q"</f>
        <v>#VALUE!</v>
      </c>
      <c r="DA19" t="e">
        <f>Nodes!AB88+"'E4![R"</f>
        <v>#VALUE!</v>
      </c>
      <c r="DB19" t="e">
        <f>Nodes!AC88+"'E4![S"</f>
        <v>#VALUE!</v>
      </c>
      <c r="DC19" t="e">
        <f>Nodes!A89+"'E4![T"</f>
        <v>#VALUE!</v>
      </c>
      <c r="DD19" t="e">
        <f>Nodes!B89+"'E4![U"</f>
        <v>#VALUE!</v>
      </c>
      <c r="DE19" t="e">
        <f>Nodes!C89+"'E4![V"</f>
        <v>#VALUE!</v>
      </c>
      <c r="DF19" t="e">
        <f>Nodes!D89+"'E4![W"</f>
        <v>#VALUE!</v>
      </c>
      <c r="DG19" t="e">
        <f>Nodes!E89+"'E4![X"</f>
        <v>#VALUE!</v>
      </c>
      <c r="DH19" t="e">
        <f>Nodes!F89+"'E4![Y"</f>
        <v>#VALUE!</v>
      </c>
      <c r="DI19" t="e">
        <f>Nodes!G89+"'E4![Z"</f>
        <v>#VALUE!</v>
      </c>
      <c r="DJ19" t="e">
        <f>Nodes!H89+"'E4![["</f>
        <v>#VALUE!</v>
      </c>
      <c r="DK19" t="e">
        <f>Nodes!I89+"'E4![\"</f>
        <v>#VALUE!</v>
      </c>
      <c r="DL19" t="e">
        <f>Nodes!J89+"'E4![]"</f>
        <v>#VALUE!</v>
      </c>
      <c r="DM19" t="e">
        <f>Nodes!K89+"'E4![^"</f>
        <v>#VALUE!</v>
      </c>
      <c r="DN19" t="e">
        <f>Nodes!L89+"'E4![_"</f>
        <v>#VALUE!</v>
      </c>
      <c r="DO19" t="e">
        <f>Nodes!M89+"'E4![`"</f>
        <v>#VALUE!</v>
      </c>
      <c r="DP19" t="e">
        <f>Nodes!N89+"'E4![a"</f>
        <v>#VALUE!</v>
      </c>
      <c r="DQ19" t="e">
        <f>Nodes!O89+"'E4![b"</f>
        <v>#VALUE!</v>
      </c>
      <c r="DR19" t="e">
        <f>Nodes!P89+"'E4![c"</f>
        <v>#VALUE!</v>
      </c>
      <c r="DS19" t="e">
        <f>Nodes!Q89+"'E4![d"</f>
        <v>#VALUE!</v>
      </c>
      <c r="DT19" t="e">
        <f>Nodes!R89+"'E4![e"</f>
        <v>#VALUE!</v>
      </c>
      <c r="DU19" t="e">
        <f>Nodes!S89+"'E4![f"</f>
        <v>#VALUE!</v>
      </c>
      <c r="DV19" t="e">
        <f>Nodes!T89+"'E4![g"</f>
        <v>#VALUE!</v>
      </c>
      <c r="DW19" t="e">
        <f>Nodes!U89+"'E4![h"</f>
        <v>#VALUE!</v>
      </c>
      <c r="DX19" t="e">
        <f>Nodes!V89+"'E4![i"</f>
        <v>#VALUE!</v>
      </c>
      <c r="DY19" t="e">
        <f>Nodes!W89+"'E4![j"</f>
        <v>#VALUE!</v>
      </c>
      <c r="DZ19" s="333" t="e">
        <f>Nodes!X89+"'E4![k"</f>
        <v>#VALUE!</v>
      </c>
      <c r="EA19" t="e">
        <f>Nodes!Y89+"'E4![l"</f>
        <v>#VALUE!</v>
      </c>
      <c r="EB19" t="e">
        <f>Nodes!Z89+"'E4![m"</f>
        <v>#VALUE!</v>
      </c>
      <c r="EC19" t="e">
        <f>Nodes!AA89+"'E4![n"</f>
        <v>#VALUE!</v>
      </c>
      <c r="ED19" t="e">
        <f>Nodes!AB89+"'E4![o"</f>
        <v>#VALUE!</v>
      </c>
      <c r="EE19" t="e">
        <f>Nodes!AC89+"'E4![p"</f>
        <v>#VALUE!</v>
      </c>
      <c r="EF19" t="e">
        <f>Nodes!A90+"'E4![q"</f>
        <v>#VALUE!</v>
      </c>
      <c r="EG19" t="e">
        <f>Nodes!B90+"'E4![r"</f>
        <v>#VALUE!</v>
      </c>
      <c r="EH19" t="e">
        <f>Nodes!C90+"'E4![s"</f>
        <v>#VALUE!</v>
      </c>
      <c r="EI19" t="e">
        <f>Nodes!D90+"'E4![t"</f>
        <v>#VALUE!</v>
      </c>
      <c r="EJ19" t="e">
        <f>Nodes!E90+"'E4![u"</f>
        <v>#VALUE!</v>
      </c>
      <c r="EK19" t="e">
        <f>Nodes!F90+"'E4![v"</f>
        <v>#VALUE!</v>
      </c>
      <c r="EL19" t="e">
        <f>Nodes!G90+"'E4![w"</f>
        <v>#VALUE!</v>
      </c>
      <c r="EM19" t="e">
        <f>Nodes!H90+"'E4![x"</f>
        <v>#VALUE!</v>
      </c>
      <c r="EN19" t="e">
        <f>Nodes!I90+"'E4![y"</f>
        <v>#VALUE!</v>
      </c>
      <c r="EO19" t="e">
        <f>Nodes!J90+"'E4![z"</f>
        <v>#VALUE!</v>
      </c>
      <c r="EP19" t="e">
        <f>Nodes!K90+"'E4![{"</f>
        <v>#VALUE!</v>
      </c>
      <c r="EQ19" t="e">
        <f>Nodes!L90+"'E4![|"</f>
        <v>#VALUE!</v>
      </c>
      <c r="ER19" t="e">
        <f>Nodes!M90+"'E4![}"</f>
        <v>#VALUE!</v>
      </c>
      <c r="ES19" t="e">
        <f>Nodes!N90+"'E4![~"</f>
        <v>#VALUE!</v>
      </c>
      <c r="ET19" t="e">
        <f>Nodes!O90+"'E4!\#"</f>
        <v>#VALUE!</v>
      </c>
      <c r="EU19" t="e">
        <f>Nodes!P90+"'E4!\$"</f>
        <v>#VALUE!</v>
      </c>
      <c r="EV19" t="e">
        <f>Nodes!Q90+"'E4!\%"</f>
        <v>#VALUE!</v>
      </c>
      <c r="EW19" t="e">
        <f>Nodes!R90+"'E4!\&amp;"</f>
        <v>#VALUE!</v>
      </c>
      <c r="EX19" t="e">
        <f>Nodes!S90+"'E4!\'"</f>
        <v>#VALUE!</v>
      </c>
      <c r="EY19" t="e">
        <f>Nodes!T90+"'E4!\("</f>
        <v>#VALUE!</v>
      </c>
      <c r="EZ19" t="e">
        <f>Nodes!U90+"'E4!\)"</f>
        <v>#VALUE!</v>
      </c>
      <c r="FA19" t="e">
        <f>Nodes!V90+"'E4!\."</f>
        <v>#VALUE!</v>
      </c>
      <c r="FB19" t="e">
        <f>Nodes!W90+"'E4!\/"</f>
        <v>#VALUE!</v>
      </c>
      <c r="FC19" s="333" t="e">
        <f>Nodes!X90+"'E4!\0"</f>
        <v>#VALUE!</v>
      </c>
      <c r="FD19" t="e">
        <f>Nodes!Y90+"'E4!\1"</f>
        <v>#VALUE!</v>
      </c>
      <c r="FE19" t="e">
        <f>Nodes!Z90+"'E4!\2"</f>
        <v>#VALUE!</v>
      </c>
      <c r="FF19" t="e">
        <f>Nodes!AA90+"'E4!\3"</f>
        <v>#VALUE!</v>
      </c>
      <c r="FG19" t="e">
        <f>Nodes!AB90+"'E4!\4"</f>
        <v>#VALUE!</v>
      </c>
      <c r="FH19" t="e">
        <f>Nodes!AC90+"'E4!\5"</f>
        <v>#VALUE!</v>
      </c>
      <c r="FI19" t="e">
        <f>Nodes!A91+"'E4!\6"</f>
        <v>#VALUE!</v>
      </c>
      <c r="FJ19" t="e">
        <f>Nodes!B91+"'E4!\7"</f>
        <v>#VALUE!</v>
      </c>
      <c r="FK19" t="e">
        <f>Nodes!C91+"'E4!\8"</f>
        <v>#VALUE!</v>
      </c>
      <c r="FL19" t="e">
        <f>Nodes!D91+"'E4!\9"</f>
        <v>#VALUE!</v>
      </c>
      <c r="FM19" t="e">
        <f>Nodes!E91+"'E4!\:"</f>
        <v>#VALUE!</v>
      </c>
      <c r="FN19" t="e">
        <f>Nodes!F91+"'E4!\;"</f>
        <v>#VALUE!</v>
      </c>
      <c r="FO19" t="e">
        <f>Nodes!G91+"'E4!\&lt;"</f>
        <v>#VALUE!</v>
      </c>
      <c r="FP19" t="e">
        <f>Nodes!H91+"'E4!\="</f>
        <v>#VALUE!</v>
      </c>
      <c r="FQ19" t="e">
        <f>Nodes!I91+"'E4!\&gt;"</f>
        <v>#VALUE!</v>
      </c>
      <c r="FR19" t="e">
        <f>Nodes!J91+"'E4!\?"</f>
        <v>#VALUE!</v>
      </c>
      <c r="FS19" t="e">
        <f>Nodes!K91+"'E4!\@"</f>
        <v>#VALUE!</v>
      </c>
      <c r="FT19" t="e">
        <f>Nodes!L91+"'E4!\A"</f>
        <v>#VALUE!</v>
      </c>
      <c r="FU19" t="e">
        <f>Nodes!M91+"'E4!\B"</f>
        <v>#VALUE!</v>
      </c>
      <c r="FV19" t="e">
        <f>Nodes!N91+"'E4!\C"</f>
        <v>#VALUE!</v>
      </c>
      <c r="FW19" t="e">
        <f>Nodes!O91+"'E4!\D"</f>
        <v>#VALUE!</v>
      </c>
      <c r="FX19" t="e">
        <f>Nodes!P91+"'E4!\E"</f>
        <v>#VALUE!</v>
      </c>
      <c r="FY19" t="e">
        <f>Nodes!Q91+"'E4!\F"</f>
        <v>#VALUE!</v>
      </c>
      <c r="FZ19" t="e">
        <f>Nodes!R91+"'E4!\G"</f>
        <v>#VALUE!</v>
      </c>
      <c r="GA19" t="e">
        <f>Nodes!S91+"'E4!\H"</f>
        <v>#VALUE!</v>
      </c>
      <c r="GB19" t="e">
        <f>Nodes!T91+"'E4!\I"</f>
        <v>#VALUE!</v>
      </c>
      <c r="GC19" t="e">
        <f>Nodes!U91+"'E4!\J"</f>
        <v>#VALUE!</v>
      </c>
      <c r="GD19" t="e">
        <f>Nodes!V91+"'E4!\K"</f>
        <v>#VALUE!</v>
      </c>
      <c r="GE19" t="e">
        <f>Nodes!W91+"'E4!\L"</f>
        <v>#VALUE!</v>
      </c>
      <c r="GF19" s="333" t="e">
        <f>Nodes!X91+"'E4!\M"</f>
        <v>#VALUE!</v>
      </c>
      <c r="GG19" t="e">
        <f>Nodes!Y91+"'E4!\N"</f>
        <v>#VALUE!</v>
      </c>
      <c r="GH19" t="e">
        <f>Nodes!Z91+"'E4!\O"</f>
        <v>#VALUE!</v>
      </c>
      <c r="GI19" t="e">
        <f>Nodes!AA91+"'E4!\P"</f>
        <v>#VALUE!</v>
      </c>
      <c r="GJ19" t="e">
        <f>Nodes!AB91+"'E4!\Q"</f>
        <v>#VALUE!</v>
      </c>
      <c r="GK19" t="e">
        <f>Nodes!AC91+"'E4!\R"</f>
        <v>#VALUE!</v>
      </c>
      <c r="GL19" t="e">
        <f>Nodes!A92+"'E4!\S"</f>
        <v>#VALUE!</v>
      </c>
      <c r="GM19" t="e">
        <f>Nodes!B92+"'E4!\T"</f>
        <v>#VALUE!</v>
      </c>
      <c r="GN19" t="e">
        <f>Nodes!C92+"'E4!\U"</f>
        <v>#VALUE!</v>
      </c>
      <c r="GO19" t="e">
        <f>Nodes!D92+"'E4!\V"</f>
        <v>#VALUE!</v>
      </c>
      <c r="GP19" t="e">
        <f>Nodes!E92+"'E4!\W"</f>
        <v>#VALUE!</v>
      </c>
      <c r="GQ19" t="e">
        <f>Nodes!F92+"'E4!\X"</f>
        <v>#VALUE!</v>
      </c>
      <c r="GR19" t="e">
        <f>Nodes!G92+"'E4!\Y"</f>
        <v>#VALUE!</v>
      </c>
      <c r="GS19" t="e">
        <f>Nodes!H92+"'E4!\Z"</f>
        <v>#VALUE!</v>
      </c>
      <c r="GT19" t="e">
        <f>Nodes!I92+"'E4!\["</f>
        <v>#VALUE!</v>
      </c>
      <c r="GU19" t="e">
        <f>Nodes!J92+"'E4!\\"</f>
        <v>#VALUE!</v>
      </c>
      <c r="GV19" t="e">
        <f>Nodes!K92+"'E4!\]"</f>
        <v>#VALUE!</v>
      </c>
      <c r="GW19" t="e">
        <f>Nodes!L92+"'E4!\^"</f>
        <v>#VALUE!</v>
      </c>
      <c r="GX19" t="e">
        <f>Nodes!M92+"'E4!\_"</f>
        <v>#VALUE!</v>
      </c>
      <c r="GY19" t="e">
        <f>Nodes!N92+"'E4!\`"</f>
        <v>#VALUE!</v>
      </c>
      <c r="GZ19" t="e">
        <f>Nodes!O92+"'E4!\a"</f>
        <v>#VALUE!</v>
      </c>
      <c r="HA19" t="e">
        <f>Nodes!P92+"'E4!\b"</f>
        <v>#VALUE!</v>
      </c>
      <c r="HB19" t="e">
        <f>Nodes!Q92+"'E4!\c"</f>
        <v>#VALUE!</v>
      </c>
      <c r="HC19" t="e">
        <f>Nodes!R92+"'E4!\d"</f>
        <v>#VALUE!</v>
      </c>
      <c r="HD19" t="e">
        <f>Nodes!S92+"'E4!\e"</f>
        <v>#VALUE!</v>
      </c>
      <c r="HE19" t="e">
        <f>Nodes!T92+"'E4!\f"</f>
        <v>#VALUE!</v>
      </c>
      <c r="HF19" t="e">
        <f>Nodes!U92+"'E4!\g"</f>
        <v>#VALUE!</v>
      </c>
      <c r="HG19" t="e">
        <f>Nodes!V92+"'E4!\h"</f>
        <v>#VALUE!</v>
      </c>
      <c r="HH19" t="e">
        <f>Nodes!W92+"'E4!\i"</f>
        <v>#VALUE!</v>
      </c>
      <c r="HI19" s="333" t="e">
        <f>Nodes!X92+"'E4!\j"</f>
        <v>#VALUE!</v>
      </c>
      <c r="HJ19" t="e">
        <f>Nodes!Y92+"'E4!\k"</f>
        <v>#VALUE!</v>
      </c>
      <c r="HK19" t="e">
        <f>Nodes!Z92+"'E4!\l"</f>
        <v>#VALUE!</v>
      </c>
      <c r="HL19" t="e">
        <f>Nodes!AA92+"'E4!\m"</f>
        <v>#VALUE!</v>
      </c>
      <c r="HM19" t="e">
        <f>Nodes!AB92+"'E4!\n"</f>
        <v>#VALUE!</v>
      </c>
      <c r="HN19" t="e">
        <f>Nodes!AC92+"'E4!\o"</f>
        <v>#VALUE!</v>
      </c>
      <c r="HO19" t="e">
        <f>Nodes!A93+"'E4!\p"</f>
        <v>#VALUE!</v>
      </c>
      <c r="HP19" t="e">
        <f>Nodes!B93+"'E4!\q"</f>
        <v>#VALUE!</v>
      </c>
      <c r="HQ19" t="e">
        <f>Nodes!C93+"'E4!\r"</f>
        <v>#VALUE!</v>
      </c>
      <c r="HR19" t="e">
        <f>Nodes!D93+"'E4!\s"</f>
        <v>#VALUE!</v>
      </c>
      <c r="HS19" t="e">
        <f>Nodes!E93+"'E4!\t"</f>
        <v>#VALUE!</v>
      </c>
      <c r="HT19" t="e">
        <f>Nodes!F93+"'E4!\u"</f>
        <v>#VALUE!</v>
      </c>
      <c r="HU19" t="e">
        <f>Nodes!G93+"'E4!\v"</f>
        <v>#VALUE!</v>
      </c>
      <c r="HV19" t="e">
        <f>Nodes!H93+"'E4!\w"</f>
        <v>#VALUE!</v>
      </c>
      <c r="HW19" t="e">
        <f>Nodes!I93+"'E4!\x"</f>
        <v>#VALUE!</v>
      </c>
      <c r="HX19" t="e">
        <f>Nodes!J93+"'E4!\y"</f>
        <v>#VALUE!</v>
      </c>
      <c r="HY19" t="e">
        <f>Nodes!K93+"'E4!\z"</f>
        <v>#VALUE!</v>
      </c>
      <c r="HZ19" t="e">
        <f>Nodes!L93+"'E4!\{"</f>
        <v>#VALUE!</v>
      </c>
      <c r="IA19" t="e">
        <f>Nodes!M93+"'E4!\|"</f>
        <v>#VALUE!</v>
      </c>
      <c r="IB19" t="e">
        <f>Nodes!N93+"'E4!\}"</f>
        <v>#VALUE!</v>
      </c>
      <c r="IC19" t="e">
        <f>Nodes!O93+"'E4!\~"</f>
        <v>#VALUE!</v>
      </c>
      <c r="ID19" t="e">
        <f>Nodes!P93+"'E4!]#"</f>
        <v>#VALUE!</v>
      </c>
      <c r="IE19" t="e">
        <f>Nodes!Q93+"'E4!]$"</f>
        <v>#VALUE!</v>
      </c>
      <c r="IF19" t="e">
        <f>Nodes!R93+"'E4!]%"</f>
        <v>#VALUE!</v>
      </c>
      <c r="IG19" t="e">
        <f>Nodes!S93+"'E4!]&amp;"</f>
        <v>#VALUE!</v>
      </c>
      <c r="IH19" t="e">
        <f>Nodes!T93+"'E4!]'"</f>
        <v>#VALUE!</v>
      </c>
      <c r="II19" t="e">
        <f>Nodes!U93+"'E4!]("</f>
        <v>#VALUE!</v>
      </c>
      <c r="IJ19" t="e">
        <f>Nodes!V93+"'E4!])"</f>
        <v>#VALUE!</v>
      </c>
      <c r="IK19" t="e">
        <f>Nodes!W93+"'E4!]."</f>
        <v>#VALUE!</v>
      </c>
      <c r="IL19" s="333" t="e">
        <f>Nodes!X93+"'E4!]/"</f>
        <v>#VALUE!</v>
      </c>
      <c r="IM19" t="e">
        <f>Nodes!Y93+"'E4!]0"</f>
        <v>#VALUE!</v>
      </c>
      <c r="IN19" t="e">
        <f>Nodes!Z93+"'E4!]1"</f>
        <v>#VALUE!</v>
      </c>
      <c r="IO19" t="e">
        <f>Nodes!AA93+"'E4!]2"</f>
        <v>#VALUE!</v>
      </c>
      <c r="IP19" t="e">
        <f>Nodes!AB93+"'E4!]3"</f>
        <v>#VALUE!</v>
      </c>
      <c r="IQ19" t="e">
        <f>Nodes!AC93+"'E4!]4"</f>
        <v>#VALUE!</v>
      </c>
      <c r="IR19" t="e">
        <f>Nodes!A94+"'E4!]5"</f>
        <v>#VALUE!</v>
      </c>
      <c r="IS19" t="e">
        <f>Nodes!B94+"'E4!]6"</f>
        <v>#VALUE!</v>
      </c>
      <c r="IT19" t="e">
        <f>Nodes!C94+"'E4!]7"</f>
        <v>#VALUE!</v>
      </c>
      <c r="IU19" t="e">
        <f>Nodes!D94+"'E4!]8"</f>
        <v>#VALUE!</v>
      </c>
      <c r="IV19" t="e">
        <f>Nodes!E94+"'E4!]9"</f>
        <v>#VALUE!</v>
      </c>
    </row>
    <row r="20" spans="6:256">
      <c r="F20" t="e">
        <f>Nodes!F94+"'E4!]:"</f>
        <v>#VALUE!</v>
      </c>
      <c r="G20" t="e">
        <f>Nodes!G94+"'E4!];"</f>
        <v>#VALUE!</v>
      </c>
      <c r="H20" t="e">
        <f>Nodes!H94+"'E4!]&lt;"</f>
        <v>#VALUE!</v>
      </c>
      <c r="I20" t="e">
        <f>Nodes!I94+"'E4!]="</f>
        <v>#VALUE!</v>
      </c>
      <c r="J20" t="e">
        <f>Nodes!J94+"'E4!]&gt;"</f>
        <v>#VALUE!</v>
      </c>
      <c r="K20" t="e">
        <f>Nodes!K94+"'E4!]?"</f>
        <v>#VALUE!</v>
      </c>
      <c r="L20" t="e">
        <f>Nodes!L94+"'E4!]@"</f>
        <v>#VALUE!</v>
      </c>
      <c r="M20" t="e">
        <f>Nodes!M94+"'E4!]A"</f>
        <v>#VALUE!</v>
      </c>
      <c r="N20" t="e">
        <f>Nodes!N94+"'E4!]B"</f>
        <v>#VALUE!</v>
      </c>
      <c r="O20" t="e">
        <f>Nodes!O94+"'E4!]C"</f>
        <v>#VALUE!</v>
      </c>
      <c r="P20" t="e">
        <f>Nodes!P94+"'E4!]D"</f>
        <v>#VALUE!</v>
      </c>
      <c r="Q20" t="e">
        <f>Nodes!Q94+"'E4!]E"</f>
        <v>#VALUE!</v>
      </c>
      <c r="R20" t="e">
        <f>Nodes!R94+"'E4!]F"</f>
        <v>#VALUE!</v>
      </c>
      <c r="S20" t="e">
        <f>Nodes!S94+"'E4!]G"</f>
        <v>#VALUE!</v>
      </c>
      <c r="T20" t="e">
        <f>Nodes!T94+"'E4!]H"</f>
        <v>#VALUE!</v>
      </c>
      <c r="U20" t="e">
        <f>Nodes!U94+"'E4!]I"</f>
        <v>#VALUE!</v>
      </c>
      <c r="V20" t="e">
        <f>Nodes!V94+"'E4!]J"</f>
        <v>#VALUE!</v>
      </c>
      <c r="W20" t="e">
        <f>Nodes!W94+"'E4!]K"</f>
        <v>#VALUE!</v>
      </c>
      <c r="X20" s="333" t="e">
        <f>Nodes!X94+"'E4!]L"</f>
        <v>#VALUE!</v>
      </c>
      <c r="Y20" t="e">
        <f>Nodes!Y94+"'E4!]M"</f>
        <v>#VALUE!</v>
      </c>
      <c r="Z20" t="e">
        <f>Nodes!Z94+"'E4!]N"</f>
        <v>#VALUE!</v>
      </c>
      <c r="AA20" t="e">
        <f>Nodes!AA94+"'E4!]O"</f>
        <v>#VALUE!</v>
      </c>
      <c r="AB20" t="e">
        <f>Nodes!AB94+"'E4!]P"</f>
        <v>#VALUE!</v>
      </c>
      <c r="AC20" t="e">
        <f>Nodes!AC94+"'E4!]Q"</f>
        <v>#VALUE!</v>
      </c>
      <c r="AD20" t="e">
        <f>Nodes!A95+"'E4!]R"</f>
        <v>#VALUE!</v>
      </c>
      <c r="AE20" t="e">
        <f>Nodes!B95+"'E4!]S"</f>
        <v>#VALUE!</v>
      </c>
      <c r="AF20" t="e">
        <f>Nodes!C95+"'E4!]T"</f>
        <v>#VALUE!</v>
      </c>
      <c r="AG20" t="e">
        <f>Nodes!D95+"'E4!]U"</f>
        <v>#VALUE!</v>
      </c>
      <c r="AH20" t="e">
        <f>Nodes!E95+"'E4!]V"</f>
        <v>#VALUE!</v>
      </c>
      <c r="AI20" t="e">
        <f>Nodes!F95+"'E4!]W"</f>
        <v>#VALUE!</v>
      </c>
      <c r="AJ20" t="e">
        <f>Nodes!G95+"'E4!]X"</f>
        <v>#VALUE!</v>
      </c>
      <c r="AK20" t="e">
        <f>Nodes!H95+"'E4!]Y"</f>
        <v>#VALUE!</v>
      </c>
      <c r="AL20" t="e">
        <f>Nodes!I95+"'E4!]Z"</f>
        <v>#VALUE!</v>
      </c>
      <c r="AM20" t="e">
        <f>Nodes!J95+"'E4!]["</f>
        <v>#VALUE!</v>
      </c>
      <c r="AN20" t="e">
        <f>Nodes!K95+"'E4!]\"</f>
        <v>#VALUE!</v>
      </c>
      <c r="AO20" t="e">
        <f>Nodes!L95+"'E4!]]"</f>
        <v>#VALUE!</v>
      </c>
      <c r="AP20" t="e">
        <f>Nodes!M95+"'E4!]^"</f>
        <v>#VALUE!</v>
      </c>
      <c r="AQ20" t="e">
        <f>Nodes!N95+"'E4!]_"</f>
        <v>#VALUE!</v>
      </c>
      <c r="AR20" t="e">
        <f>Nodes!O95+"'E4!]`"</f>
        <v>#VALUE!</v>
      </c>
      <c r="AS20" t="e">
        <f>Nodes!P95+"'E4!]a"</f>
        <v>#VALUE!</v>
      </c>
      <c r="AT20" t="e">
        <f>Nodes!Q95+"'E4!]b"</f>
        <v>#VALUE!</v>
      </c>
      <c r="AU20" t="e">
        <f>Nodes!R95+"'E4!]c"</f>
        <v>#VALUE!</v>
      </c>
      <c r="AV20" t="e">
        <f>Nodes!S95+"'E4!]d"</f>
        <v>#VALUE!</v>
      </c>
      <c r="AW20" t="e">
        <f>Nodes!T95+"'E4!]e"</f>
        <v>#VALUE!</v>
      </c>
      <c r="AX20" t="e">
        <f>Nodes!U95+"'E4!]f"</f>
        <v>#VALUE!</v>
      </c>
      <c r="AY20" t="e">
        <f>Nodes!V95+"'E4!]g"</f>
        <v>#VALUE!</v>
      </c>
      <c r="AZ20" t="e">
        <f>Nodes!W95+"'E4!]h"</f>
        <v>#VALUE!</v>
      </c>
      <c r="BA20" s="333" t="e">
        <f>Nodes!X95+"'E4!]i"</f>
        <v>#VALUE!</v>
      </c>
      <c r="BB20" t="e">
        <f>Nodes!Y95+"'E4!]j"</f>
        <v>#VALUE!</v>
      </c>
      <c r="BC20" t="e">
        <f>Nodes!Z95+"'E4!]k"</f>
        <v>#VALUE!</v>
      </c>
      <c r="BD20" t="e">
        <f>Nodes!AA95+"'E4!]l"</f>
        <v>#VALUE!</v>
      </c>
      <c r="BE20" t="e">
        <f>Nodes!AB95+"'E4!]m"</f>
        <v>#VALUE!</v>
      </c>
      <c r="BF20" t="e">
        <f>Nodes!AC95+"'E4!]n"</f>
        <v>#VALUE!</v>
      </c>
      <c r="BG20" t="e">
        <f>Nodes!A96+"'E4!]o"</f>
        <v>#VALUE!</v>
      </c>
      <c r="BH20" t="e">
        <f>Nodes!B96+"'E4!]p"</f>
        <v>#VALUE!</v>
      </c>
      <c r="BI20" t="e">
        <f>Nodes!C96+"'E4!]q"</f>
        <v>#VALUE!</v>
      </c>
      <c r="BJ20" t="e">
        <f>Nodes!D96+"'E4!]r"</f>
        <v>#VALUE!</v>
      </c>
      <c r="BK20" t="e">
        <f>Nodes!E96+"'E4!]s"</f>
        <v>#VALUE!</v>
      </c>
      <c r="BL20" t="e">
        <f>Nodes!F96+"'E4!]t"</f>
        <v>#VALUE!</v>
      </c>
      <c r="BM20" t="e">
        <f>Nodes!G96+"'E4!]u"</f>
        <v>#VALUE!</v>
      </c>
      <c r="BN20" t="e">
        <f>Nodes!H96+"'E4!]v"</f>
        <v>#VALUE!</v>
      </c>
      <c r="BO20" t="e">
        <f>Nodes!I96+"'E4!]w"</f>
        <v>#VALUE!</v>
      </c>
      <c r="BP20" t="e">
        <f>Nodes!J96+"'E4!]x"</f>
        <v>#VALUE!</v>
      </c>
      <c r="BQ20" t="e">
        <f>Nodes!K96+"'E4!]y"</f>
        <v>#VALUE!</v>
      </c>
      <c r="BR20" t="e">
        <f>Nodes!L96+"'E4!]z"</f>
        <v>#VALUE!</v>
      </c>
      <c r="BS20" t="e">
        <f>Nodes!M96+"'E4!]{"</f>
        <v>#VALUE!</v>
      </c>
      <c r="BT20" t="e">
        <f>Nodes!N96+"'E4!]|"</f>
        <v>#VALUE!</v>
      </c>
      <c r="BU20" t="e">
        <f>Nodes!O96+"'E4!]}"</f>
        <v>#VALUE!</v>
      </c>
      <c r="BV20" t="e">
        <f>Nodes!P96+"'E4!]~"</f>
        <v>#VALUE!</v>
      </c>
      <c r="BW20" t="e">
        <f>Nodes!Q96+"'E4!^#"</f>
        <v>#VALUE!</v>
      </c>
      <c r="BX20" t="e">
        <f>Nodes!R96+"'E4!^$"</f>
        <v>#VALUE!</v>
      </c>
      <c r="BY20" t="e">
        <f>Nodes!S96+"'E4!^%"</f>
        <v>#VALUE!</v>
      </c>
      <c r="BZ20" t="e">
        <f>Nodes!T96+"'E4!^&amp;"</f>
        <v>#VALUE!</v>
      </c>
      <c r="CA20" t="e">
        <f>Nodes!U96+"'E4!^'"</f>
        <v>#VALUE!</v>
      </c>
      <c r="CB20" t="e">
        <f>Nodes!V96+"'E4!^("</f>
        <v>#VALUE!</v>
      </c>
      <c r="CC20" t="e">
        <f>Nodes!W96+"'E4!^)"</f>
        <v>#VALUE!</v>
      </c>
      <c r="CD20" s="333" t="e">
        <f>Nodes!X96+"'E4!^."</f>
        <v>#VALUE!</v>
      </c>
      <c r="CE20" t="e">
        <f>Nodes!Y96+"'E4!^/"</f>
        <v>#VALUE!</v>
      </c>
      <c r="CF20" t="e">
        <f>Nodes!Z96+"'E4!^0"</f>
        <v>#VALUE!</v>
      </c>
      <c r="CG20" t="e">
        <f>Nodes!AA96+"'E4!^1"</f>
        <v>#VALUE!</v>
      </c>
      <c r="CH20" t="e">
        <f>Nodes!AB96+"'E4!^2"</f>
        <v>#VALUE!</v>
      </c>
      <c r="CI20" t="e">
        <f>Nodes!AC96+"'E4!^3"</f>
        <v>#VALUE!</v>
      </c>
      <c r="CJ20" t="e">
        <f>Nodes!A97+"'E4!^4"</f>
        <v>#VALUE!</v>
      </c>
      <c r="CK20" t="e">
        <f>Nodes!B97+"'E4!^5"</f>
        <v>#VALUE!</v>
      </c>
      <c r="CL20" t="e">
        <f>Nodes!C97+"'E4!^6"</f>
        <v>#VALUE!</v>
      </c>
      <c r="CM20" t="e">
        <f>Nodes!D97+"'E4!^7"</f>
        <v>#VALUE!</v>
      </c>
      <c r="CN20" t="e">
        <f>Nodes!E97+"'E4!^8"</f>
        <v>#VALUE!</v>
      </c>
      <c r="CO20" t="e">
        <f>Nodes!F97+"'E4!^9"</f>
        <v>#VALUE!</v>
      </c>
      <c r="CP20" t="e">
        <f>Nodes!G97+"'E4!^:"</f>
        <v>#VALUE!</v>
      </c>
      <c r="CQ20" t="e">
        <f>Nodes!H97+"'E4!^;"</f>
        <v>#VALUE!</v>
      </c>
      <c r="CR20" t="e">
        <f>Nodes!I97+"'E4!^&lt;"</f>
        <v>#VALUE!</v>
      </c>
      <c r="CS20" t="e">
        <f>Nodes!J97+"'E4!^="</f>
        <v>#VALUE!</v>
      </c>
      <c r="CT20" t="e">
        <f>Nodes!K97+"'E4!^&gt;"</f>
        <v>#VALUE!</v>
      </c>
      <c r="CU20" t="e">
        <f>Nodes!L97+"'E4!^?"</f>
        <v>#VALUE!</v>
      </c>
      <c r="CV20" t="e">
        <f>Nodes!M97+"'E4!^@"</f>
        <v>#VALUE!</v>
      </c>
      <c r="CW20" t="e">
        <f>Nodes!N97+"'E4!^A"</f>
        <v>#VALUE!</v>
      </c>
      <c r="CX20" t="e">
        <f>Nodes!O97+"'E4!^B"</f>
        <v>#VALUE!</v>
      </c>
      <c r="CY20" t="e">
        <f>Nodes!P97+"'E4!^C"</f>
        <v>#VALUE!</v>
      </c>
      <c r="CZ20" t="e">
        <f>Nodes!Q97+"'E4!^D"</f>
        <v>#VALUE!</v>
      </c>
      <c r="DA20" t="e">
        <f>Nodes!R97+"'E4!^E"</f>
        <v>#VALUE!</v>
      </c>
      <c r="DB20" t="e">
        <f>Nodes!S97+"'E4!^F"</f>
        <v>#VALUE!</v>
      </c>
      <c r="DC20" t="e">
        <f>Nodes!T97+"'E4!^G"</f>
        <v>#VALUE!</v>
      </c>
      <c r="DD20" t="e">
        <f>Nodes!U97+"'E4!^H"</f>
        <v>#VALUE!</v>
      </c>
      <c r="DE20" t="e">
        <f>Nodes!V97+"'E4!^I"</f>
        <v>#VALUE!</v>
      </c>
      <c r="DF20" t="e">
        <f>Nodes!W97+"'E4!^J"</f>
        <v>#VALUE!</v>
      </c>
      <c r="DG20" s="333" t="e">
        <f>Nodes!X97+"'E4!^K"</f>
        <v>#VALUE!</v>
      </c>
      <c r="DH20" t="e">
        <f>Nodes!Y97+"'E4!^L"</f>
        <v>#VALUE!</v>
      </c>
      <c r="DI20" t="e">
        <f>Nodes!Z97+"'E4!^M"</f>
        <v>#VALUE!</v>
      </c>
      <c r="DJ20" t="e">
        <f>Nodes!AA97+"'E4!^N"</f>
        <v>#VALUE!</v>
      </c>
      <c r="DK20" t="e">
        <f>Nodes!AB97+"'E4!^O"</f>
        <v>#VALUE!</v>
      </c>
      <c r="DL20" t="e">
        <f>Nodes!AC97+"'E4!^P"</f>
        <v>#VALUE!</v>
      </c>
      <c r="DM20" t="e">
        <f>Nodes!A98+"'E4!^Q"</f>
        <v>#VALUE!</v>
      </c>
      <c r="DN20" t="e">
        <f>Nodes!B98+"'E4!^R"</f>
        <v>#VALUE!</v>
      </c>
      <c r="DO20" t="e">
        <f>Nodes!C98+"'E4!^S"</f>
        <v>#VALUE!</v>
      </c>
      <c r="DP20" t="e">
        <f>Nodes!D98+"'E4!^T"</f>
        <v>#VALUE!</v>
      </c>
      <c r="DQ20" t="e">
        <f>Nodes!E98+"'E4!^U"</f>
        <v>#VALUE!</v>
      </c>
      <c r="DR20" t="e">
        <f>Nodes!F98+"'E4!^V"</f>
        <v>#VALUE!</v>
      </c>
      <c r="DS20" t="e">
        <f>Nodes!G98+"'E4!^W"</f>
        <v>#VALUE!</v>
      </c>
      <c r="DT20" t="e">
        <f>Nodes!H98+"'E4!^X"</f>
        <v>#VALUE!</v>
      </c>
      <c r="DU20" t="e">
        <f>Nodes!I98+"'E4!^Y"</f>
        <v>#VALUE!</v>
      </c>
      <c r="DV20" t="e">
        <f>Nodes!J98+"'E4!^Z"</f>
        <v>#VALUE!</v>
      </c>
      <c r="DW20" t="e">
        <f>Nodes!K98+"'E4!^["</f>
        <v>#VALUE!</v>
      </c>
      <c r="DX20" t="e">
        <f>Nodes!L98+"'E4!^\"</f>
        <v>#VALUE!</v>
      </c>
      <c r="DY20" t="e">
        <f>Nodes!M98+"'E4!^]"</f>
        <v>#VALUE!</v>
      </c>
      <c r="DZ20" t="e">
        <f>Nodes!N98+"'E4!^^"</f>
        <v>#VALUE!</v>
      </c>
      <c r="EA20" t="e">
        <f>Nodes!O98+"'E4!^_"</f>
        <v>#VALUE!</v>
      </c>
      <c r="EB20" t="e">
        <f>Nodes!P98+"'E4!^`"</f>
        <v>#VALUE!</v>
      </c>
      <c r="EC20" t="e">
        <f>Nodes!Q98+"'E4!^a"</f>
        <v>#VALUE!</v>
      </c>
      <c r="ED20" t="e">
        <f>Nodes!R98+"'E4!^b"</f>
        <v>#VALUE!</v>
      </c>
      <c r="EE20" t="e">
        <f>Nodes!S98+"'E4!^c"</f>
        <v>#VALUE!</v>
      </c>
      <c r="EF20" t="e">
        <f>Nodes!T98+"'E4!^d"</f>
        <v>#VALUE!</v>
      </c>
      <c r="EG20" t="e">
        <f>Nodes!U98+"'E4!^e"</f>
        <v>#VALUE!</v>
      </c>
      <c r="EH20" t="e">
        <f>Nodes!V98+"'E4!^f"</f>
        <v>#VALUE!</v>
      </c>
      <c r="EI20" t="e">
        <f>Nodes!W98+"'E4!^g"</f>
        <v>#VALUE!</v>
      </c>
      <c r="EJ20" s="333" t="e">
        <f>Nodes!X98+"'E4!^h"</f>
        <v>#VALUE!</v>
      </c>
      <c r="EK20" t="e">
        <f>Nodes!Y98+"'E4!^i"</f>
        <v>#VALUE!</v>
      </c>
      <c r="EL20" t="e">
        <f>Nodes!Z98+"'E4!^j"</f>
        <v>#VALUE!</v>
      </c>
      <c r="EM20" t="e">
        <f>Nodes!AA98+"'E4!^k"</f>
        <v>#VALUE!</v>
      </c>
      <c r="EN20" t="e">
        <f>Nodes!AB98+"'E4!^l"</f>
        <v>#VALUE!</v>
      </c>
      <c r="EO20" t="e">
        <f>Nodes!AC98+"'E4!^m"</f>
        <v>#VALUE!</v>
      </c>
      <c r="EP20" t="e">
        <f>Nodes!A99+"'E4!^n"</f>
        <v>#VALUE!</v>
      </c>
      <c r="EQ20" t="e">
        <f>Nodes!B99+"'E4!^o"</f>
        <v>#VALUE!</v>
      </c>
      <c r="ER20" t="e">
        <f>Nodes!C99+"'E4!^p"</f>
        <v>#VALUE!</v>
      </c>
      <c r="ES20" t="e">
        <f>Nodes!D99+"'E4!^q"</f>
        <v>#VALUE!</v>
      </c>
      <c r="ET20" t="e">
        <f>Nodes!E99+"'E4!^r"</f>
        <v>#VALUE!</v>
      </c>
      <c r="EU20" t="e">
        <f>Nodes!F99+"'E4!^s"</f>
        <v>#VALUE!</v>
      </c>
      <c r="EV20" t="e">
        <f>Nodes!G99+"'E4!^t"</f>
        <v>#VALUE!</v>
      </c>
      <c r="EW20" t="e">
        <f>Nodes!H99+"'E4!^u"</f>
        <v>#VALUE!</v>
      </c>
      <c r="EX20" t="e">
        <f>Nodes!I99+"'E4!^v"</f>
        <v>#VALUE!</v>
      </c>
      <c r="EY20" t="e">
        <f>Nodes!J99+"'E4!^w"</f>
        <v>#VALUE!</v>
      </c>
      <c r="EZ20" t="e">
        <f>Nodes!K99+"'E4!^x"</f>
        <v>#VALUE!</v>
      </c>
      <c r="FA20" t="e">
        <f>Nodes!L99+"'E4!^y"</f>
        <v>#VALUE!</v>
      </c>
      <c r="FB20" t="e">
        <f>Nodes!M99+"'E4!^z"</f>
        <v>#VALUE!</v>
      </c>
      <c r="FC20" t="e">
        <f>Nodes!N99+"'E4!^{"</f>
        <v>#VALUE!</v>
      </c>
      <c r="FD20" t="e">
        <f>Nodes!O99+"'E4!^|"</f>
        <v>#VALUE!</v>
      </c>
      <c r="FE20" t="e">
        <f>Nodes!P99+"'E4!^}"</f>
        <v>#VALUE!</v>
      </c>
      <c r="FF20" t="e">
        <f>Nodes!Q99+"'E4!^~"</f>
        <v>#VALUE!</v>
      </c>
      <c r="FG20" t="e">
        <f>Nodes!R99+"'E4!_#"</f>
        <v>#VALUE!</v>
      </c>
      <c r="FH20" t="e">
        <f>Nodes!S99+"'E4!_$"</f>
        <v>#VALUE!</v>
      </c>
      <c r="FI20" t="e">
        <f>Nodes!T99+"'E4!_%"</f>
        <v>#VALUE!</v>
      </c>
      <c r="FJ20" t="e">
        <f>Nodes!U99+"'E4!_&amp;"</f>
        <v>#VALUE!</v>
      </c>
      <c r="FK20" t="e">
        <f>Nodes!V99+"'E4!_'"</f>
        <v>#VALUE!</v>
      </c>
      <c r="FL20" t="e">
        <f>Nodes!W99+"'E4!_("</f>
        <v>#VALUE!</v>
      </c>
      <c r="FM20" s="333" t="e">
        <f>Nodes!X99+"'E4!_)"</f>
        <v>#VALUE!</v>
      </c>
      <c r="FN20" t="e">
        <f>Nodes!Y99+"'E4!_."</f>
        <v>#VALUE!</v>
      </c>
      <c r="FO20" t="e">
        <f>Nodes!Z99+"'E4!_/"</f>
        <v>#VALUE!</v>
      </c>
      <c r="FP20" t="e">
        <f>Nodes!AA99+"'E4!_0"</f>
        <v>#VALUE!</v>
      </c>
      <c r="FQ20" t="e">
        <f>Nodes!AB99+"'E4!_1"</f>
        <v>#VALUE!</v>
      </c>
      <c r="FR20" t="e">
        <f>Nodes!AC99+"'E4!_2"</f>
        <v>#VALUE!</v>
      </c>
      <c r="FS20" t="e">
        <f>Nodes!A100+"'E4!_3"</f>
        <v>#VALUE!</v>
      </c>
      <c r="FT20" t="e">
        <f>Nodes!B100+"'E4!_4"</f>
        <v>#VALUE!</v>
      </c>
      <c r="FU20" t="e">
        <f>Nodes!C100+"'E4!_5"</f>
        <v>#VALUE!</v>
      </c>
      <c r="FV20" t="e">
        <f>Nodes!D100+"'E4!_6"</f>
        <v>#VALUE!</v>
      </c>
      <c r="FW20" t="e">
        <f>Nodes!E100+"'E4!_7"</f>
        <v>#VALUE!</v>
      </c>
      <c r="FX20" t="e">
        <f>Nodes!F100+"'E4!_8"</f>
        <v>#VALUE!</v>
      </c>
      <c r="FY20" t="e">
        <f>Nodes!G100+"'E4!_9"</f>
        <v>#VALUE!</v>
      </c>
      <c r="FZ20" t="e">
        <f>Nodes!H100+"'E4!_:"</f>
        <v>#VALUE!</v>
      </c>
      <c r="GA20" t="e">
        <f>Nodes!I100+"'E4!_;"</f>
        <v>#VALUE!</v>
      </c>
      <c r="GB20" t="e">
        <f>Nodes!J100+"'E4!_&lt;"</f>
        <v>#VALUE!</v>
      </c>
      <c r="GC20" t="e">
        <f>Nodes!K100+"'E4!_="</f>
        <v>#VALUE!</v>
      </c>
      <c r="GD20" t="e">
        <f>Nodes!L100+"'E4!_&gt;"</f>
        <v>#VALUE!</v>
      </c>
      <c r="GE20" t="e">
        <f>Nodes!M100+"'E4!_?"</f>
        <v>#VALUE!</v>
      </c>
      <c r="GF20" t="e">
        <f>Nodes!N100+"'E4!_@"</f>
        <v>#VALUE!</v>
      </c>
      <c r="GG20" t="e">
        <f>Nodes!O100+"'E4!_A"</f>
        <v>#VALUE!</v>
      </c>
      <c r="GH20" t="e">
        <f>Nodes!P100+"'E4!_B"</f>
        <v>#VALUE!</v>
      </c>
      <c r="GI20" t="e">
        <f>Nodes!Q100+"'E4!_C"</f>
        <v>#VALUE!</v>
      </c>
      <c r="GJ20" t="e">
        <f>Nodes!R100+"'E4!_D"</f>
        <v>#VALUE!</v>
      </c>
      <c r="GK20" t="e">
        <f>Nodes!S100+"'E4!_E"</f>
        <v>#VALUE!</v>
      </c>
      <c r="GL20" t="e">
        <f>Nodes!T100+"'E4!_F"</f>
        <v>#VALUE!</v>
      </c>
      <c r="GM20" t="e">
        <f>Nodes!U100+"'E4!_G"</f>
        <v>#VALUE!</v>
      </c>
      <c r="GN20" t="e">
        <f>Nodes!V100+"'E4!_H"</f>
        <v>#VALUE!</v>
      </c>
      <c r="GO20" t="e">
        <f>Nodes!W100+"'E4!_I"</f>
        <v>#VALUE!</v>
      </c>
      <c r="GP20" s="333" t="e">
        <f>Nodes!X100+"'E4!_J"</f>
        <v>#VALUE!</v>
      </c>
      <c r="GQ20" t="e">
        <f>Nodes!Y100+"'E4!_K"</f>
        <v>#VALUE!</v>
      </c>
      <c r="GR20" t="e">
        <f>Nodes!Z100+"'E4!_L"</f>
        <v>#VALUE!</v>
      </c>
      <c r="GS20" t="e">
        <f>Nodes!AA100+"'E4!_M"</f>
        <v>#VALUE!</v>
      </c>
      <c r="GT20" t="e">
        <f>Nodes!AB100+"'E4!_N"</f>
        <v>#VALUE!</v>
      </c>
      <c r="GU20" t="e">
        <f>Nodes!AC100+"'E4!_O"</f>
        <v>#VALUE!</v>
      </c>
      <c r="GV20" t="e">
        <f>Nodes!A101+"'E4!_P"</f>
        <v>#VALUE!</v>
      </c>
      <c r="GW20" t="e">
        <f>Nodes!B101+"'E4!_Q"</f>
        <v>#VALUE!</v>
      </c>
      <c r="GX20" t="e">
        <f>Nodes!C101+"'E4!_R"</f>
        <v>#VALUE!</v>
      </c>
      <c r="GY20" t="e">
        <f>Nodes!D101+"'E4!_S"</f>
        <v>#VALUE!</v>
      </c>
      <c r="GZ20" t="e">
        <f>Nodes!E101+"'E4!_T"</f>
        <v>#VALUE!</v>
      </c>
      <c r="HA20" t="e">
        <f>Nodes!F101+"'E4!_U"</f>
        <v>#VALUE!</v>
      </c>
      <c r="HB20" t="e">
        <f>Nodes!G101+"'E4!_V"</f>
        <v>#VALUE!</v>
      </c>
      <c r="HC20" t="e">
        <f>Nodes!H101+"'E4!_W"</f>
        <v>#VALUE!</v>
      </c>
      <c r="HD20" t="e">
        <f>Nodes!I101+"'E4!_X"</f>
        <v>#VALUE!</v>
      </c>
      <c r="HE20" t="e">
        <f>Nodes!J101+"'E4!_Y"</f>
        <v>#VALUE!</v>
      </c>
      <c r="HF20" t="e">
        <f>Nodes!K101+"'E4!_Z"</f>
        <v>#VALUE!</v>
      </c>
      <c r="HG20" t="e">
        <f>Nodes!L101+"'E4!_["</f>
        <v>#VALUE!</v>
      </c>
      <c r="HH20" t="e">
        <f>Nodes!M101+"'E4!_\"</f>
        <v>#VALUE!</v>
      </c>
      <c r="HI20" t="e">
        <f>Nodes!N101+"'E4!_]"</f>
        <v>#VALUE!</v>
      </c>
      <c r="HJ20" t="e">
        <f>Nodes!O101+"'E4!_^"</f>
        <v>#VALUE!</v>
      </c>
      <c r="HK20" t="e">
        <f>Nodes!P101+"'E4!__"</f>
        <v>#VALUE!</v>
      </c>
      <c r="HL20" t="e">
        <f>Nodes!Q101+"'E4!_`"</f>
        <v>#VALUE!</v>
      </c>
      <c r="HM20" t="e">
        <f>Nodes!R101+"'E4!_a"</f>
        <v>#VALUE!</v>
      </c>
      <c r="HN20" t="e">
        <f>Nodes!S101+"'E4!_b"</f>
        <v>#VALUE!</v>
      </c>
      <c r="HO20" t="e">
        <f>Nodes!T101+"'E4!_c"</f>
        <v>#VALUE!</v>
      </c>
      <c r="HP20" t="e">
        <f>Nodes!U101+"'E4!_d"</f>
        <v>#VALUE!</v>
      </c>
      <c r="HQ20" t="e">
        <f>Nodes!V101+"'E4!_e"</f>
        <v>#VALUE!</v>
      </c>
      <c r="HR20" t="e">
        <f>Nodes!W101+"'E4!_f"</f>
        <v>#VALUE!</v>
      </c>
      <c r="HS20" s="333" t="e">
        <f>Nodes!X101+"'E4!_g"</f>
        <v>#VALUE!</v>
      </c>
      <c r="HT20" t="e">
        <f>Nodes!Y101+"'E4!_h"</f>
        <v>#VALUE!</v>
      </c>
      <c r="HU20" t="e">
        <f>Nodes!Z101+"'E4!_i"</f>
        <v>#VALUE!</v>
      </c>
      <c r="HV20" t="e">
        <f>Nodes!AA101+"'E4!_j"</f>
        <v>#VALUE!</v>
      </c>
      <c r="HW20" t="e">
        <f>Nodes!AB101+"'E4!_k"</f>
        <v>#VALUE!</v>
      </c>
      <c r="HX20" t="e">
        <f>Nodes!AC101+"'E4!_l"</f>
        <v>#VALUE!</v>
      </c>
      <c r="HY20" t="e">
        <f>Nodes!A102+"'E4!_m"</f>
        <v>#VALUE!</v>
      </c>
      <c r="HZ20" t="e">
        <f>Nodes!B102+"'E4!_n"</f>
        <v>#VALUE!</v>
      </c>
      <c r="IA20" t="e">
        <f>Nodes!C102+"'E4!_o"</f>
        <v>#VALUE!</v>
      </c>
      <c r="IB20" t="e">
        <f>Nodes!D102+"'E4!_p"</f>
        <v>#VALUE!</v>
      </c>
      <c r="IC20" t="e">
        <f>Nodes!E102+"'E4!_q"</f>
        <v>#VALUE!</v>
      </c>
      <c r="ID20" t="e">
        <f>Nodes!F102+"'E4!_r"</f>
        <v>#VALUE!</v>
      </c>
      <c r="IE20" t="e">
        <f>Nodes!G102+"'E4!_s"</f>
        <v>#VALUE!</v>
      </c>
      <c r="IF20" t="e">
        <f>Nodes!H102+"'E4!_t"</f>
        <v>#VALUE!</v>
      </c>
      <c r="IG20" t="e">
        <f>Nodes!I102+"'E4!_u"</f>
        <v>#VALUE!</v>
      </c>
      <c r="IH20" t="e">
        <f>Nodes!J102+"'E4!_v"</f>
        <v>#VALUE!</v>
      </c>
      <c r="II20" t="e">
        <f>Nodes!K102+"'E4!_w"</f>
        <v>#VALUE!</v>
      </c>
      <c r="IJ20" t="e">
        <f>Nodes!L102+"'E4!_x"</f>
        <v>#VALUE!</v>
      </c>
      <c r="IK20" t="e">
        <f>Nodes!M102+"'E4!_y"</f>
        <v>#VALUE!</v>
      </c>
      <c r="IL20" t="e">
        <f>Nodes!N102+"'E4!_z"</f>
        <v>#VALUE!</v>
      </c>
      <c r="IM20" t="e">
        <f>Nodes!O102+"'E4!_{"</f>
        <v>#VALUE!</v>
      </c>
      <c r="IN20" t="e">
        <f>Nodes!P102+"'E4!_|"</f>
        <v>#VALUE!</v>
      </c>
      <c r="IO20" t="e">
        <f>Nodes!Q102+"'E4!_}"</f>
        <v>#VALUE!</v>
      </c>
      <c r="IP20" t="e">
        <f>Nodes!R102+"'E4!_~"</f>
        <v>#VALUE!</v>
      </c>
      <c r="IQ20" t="e">
        <f>Nodes!S102+"'E4!`#"</f>
        <v>#VALUE!</v>
      </c>
      <c r="IR20" t="e">
        <f>Nodes!T102+"'E4!`$"</f>
        <v>#VALUE!</v>
      </c>
      <c r="IS20" t="e">
        <f>Nodes!U102+"'E4!`%"</f>
        <v>#VALUE!</v>
      </c>
      <c r="IT20" t="e">
        <f>Nodes!V102+"'E4!`&amp;"</f>
        <v>#VALUE!</v>
      </c>
      <c r="IU20" t="e">
        <f>Nodes!W102+"'E4!`'"</f>
        <v>#VALUE!</v>
      </c>
      <c r="IV20" s="333" t="e">
        <f>Nodes!X102+"'E4!`("</f>
        <v>#VALUE!</v>
      </c>
    </row>
    <row r="21" spans="6:256">
      <c r="F21" t="e">
        <f>Nodes!Y102+"'E4!`)"</f>
        <v>#VALUE!</v>
      </c>
      <c r="G21" t="e">
        <f>Nodes!Z102+"'E4!`."</f>
        <v>#VALUE!</v>
      </c>
      <c r="H21" t="e">
        <f>Nodes!AA102+"'E4!`/"</f>
        <v>#VALUE!</v>
      </c>
      <c r="I21" t="e">
        <f>Nodes!AB102+"'E4!`0"</f>
        <v>#VALUE!</v>
      </c>
      <c r="J21" t="e">
        <f>Nodes!AC102+"'E4!`1"</f>
        <v>#VALUE!</v>
      </c>
      <c r="K21" t="e">
        <f>Nodes!A103+"'E4!`2"</f>
        <v>#VALUE!</v>
      </c>
      <c r="L21" t="e">
        <f>Nodes!B103+"'E4!`3"</f>
        <v>#VALUE!</v>
      </c>
      <c r="M21" t="e">
        <f>Nodes!C103+"'E4!`4"</f>
        <v>#VALUE!</v>
      </c>
      <c r="N21" t="e">
        <f>Nodes!D103+"'E4!`5"</f>
        <v>#VALUE!</v>
      </c>
      <c r="O21" t="e">
        <f>Nodes!E103+"'E4!`6"</f>
        <v>#VALUE!</v>
      </c>
      <c r="P21" t="e">
        <f>Nodes!F103+"'E4!`7"</f>
        <v>#VALUE!</v>
      </c>
      <c r="Q21" t="e">
        <f>Nodes!G103+"'E4!`8"</f>
        <v>#VALUE!</v>
      </c>
      <c r="R21" t="e">
        <f>Nodes!H103+"'E4!`9"</f>
        <v>#VALUE!</v>
      </c>
      <c r="S21" t="e">
        <f>Nodes!I103+"'E4!`:"</f>
        <v>#VALUE!</v>
      </c>
      <c r="T21" t="e">
        <f>Nodes!J103+"'E4!`;"</f>
        <v>#VALUE!</v>
      </c>
      <c r="U21" t="e">
        <f>Nodes!K103+"'E4!`&lt;"</f>
        <v>#VALUE!</v>
      </c>
      <c r="V21" t="e">
        <f>Nodes!L103+"'E4!`="</f>
        <v>#VALUE!</v>
      </c>
      <c r="W21" t="e">
        <f>Nodes!M103+"'E4!`&gt;"</f>
        <v>#VALUE!</v>
      </c>
      <c r="X21" t="e">
        <f>Nodes!N103+"'E4!`?"</f>
        <v>#VALUE!</v>
      </c>
      <c r="Y21" t="e">
        <f>Nodes!O103+"'E4!`@"</f>
        <v>#VALUE!</v>
      </c>
      <c r="Z21" t="e">
        <f>Nodes!P103+"'E4!`A"</f>
        <v>#VALUE!</v>
      </c>
      <c r="AA21" t="e">
        <f>Nodes!Q103+"'E4!`B"</f>
        <v>#VALUE!</v>
      </c>
      <c r="AB21" t="e">
        <f>Nodes!R103+"'E4!`C"</f>
        <v>#VALUE!</v>
      </c>
      <c r="AC21" t="e">
        <f>Nodes!S103+"'E4!`D"</f>
        <v>#VALUE!</v>
      </c>
      <c r="AD21" t="e">
        <f>Nodes!T103+"'E4!`E"</f>
        <v>#VALUE!</v>
      </c>
      <c r="AE21" t="e">
        <f>Nodes!U103+"'E4!`F"</f>
        <v>#VALUE!</v>
      </c>
      <c r="AF21" t="e">
        <f>Nodes!V103+"'E4!`G"</f>
        <v>#VALUE!</v>
      </c>
      <c r="AG21" t="e">
        <f>Nodes!W103+"'E4!`H"</f>
        <v>#VALUE!</v>
      </c>
      <c r="AH21" s="333" t="e">
        <f>Nodes!X103+"'E4!`I"</f>
        <v>#VALUE!</v>
      </c>
      <c r="AI21" t="e">
        <f>Nodes!Y103+"'E4!`J"</f>
        <v>#VALUE!</v>
      </c>
      <c r="AJ21" t="e">
        <f>Nodes!Z103+"'E4!`K"</f>
        <v>#VALUE!</v>
      </c>
      <c r="AK21" t="e">
        <f>Nodes!AA103+"'E4!`L"</f>
        <v>#VALUE!</v>
      </c>
      <c r="AL21" t="e">
        <f>Nodes!AB103+"'E4!`M"</f>
        <v>#VALUE!</v>
      </c>
      <c r="AM21" t="e">
        <f>Nodes!AC103+"'E4!`N"</f>
        <v>#VALUE!</v>
      </c>
      <c r="AN21" t="e">
        <f>Nodes!A104+"'E4!`O"</f>
        <v>#VALUE!</v>
      </c>
      <c r="AO21" t="e">
        <f>Nodes!B104+"'E4!`P"</f>
        <v>#VALUE!</v>
      </c>
      <c r="AP21" t="e">
        <f>Nodes!C104+"'E4!`Q"</f>
        <v>#VALUE!</v>
      </c>
      <c r="AQ21" t="e">
        <f>Nodes!D104+"'E4!`R"</f>
        <v>#VALUE!</v>
      </c>
      <c r="AR21" t="e">
        <f>Nodes!E104+"'E4!`S"</f>
        <v>#VALUE!</v>
      </c>
      <c r="AS21" t="e">
        <f>Nodes!F104+"'E4!`T"</f>
        <v>#VALUE!</v>
      </c>
      <c r="AT21" t="e">
        <f>Nodes!G104+"'E4!`U"</f>
        <v>#VALUE!</v>
      </c>
      <c r="AU21" t="e">
        <f>Nodes!H104+"'E4!`V"</f>
        <v>#VALUE!</v>
      </c>
      <c r="AV21" t="e">
        <f>Nodes!I104+"'E4!`W"</f>
        <v>#VALUE!</v>
      </c>
      <c r="AW21" t="e">
        <f>Nodes!J104+"'E4!`X"</f>
        <v>#VALUE!</v>
      </c>
      <c r="AX21" t="e">
        <f>Nodes!K104+"'E4!`Y"</f>
        <v>#VALUE!</v>
      </c>
      <c r="AY21" t="e">
        <f>Nodes!L104+"'E4!`Z"</f>
        <v>#VALUE!</v>
      </c>
      <c r="AZ21" t="e">
        <f>Nodes!M104+"'E4!`["</f>
        <v>#VALUE!</v>
      </c>
      <c r="BA21" t="e">
        <f>Nodes!N104+"'E4!`\"</f>
        <v>#VALUE!</v>
      </c>
      <c r="BB21" t="e">
        <f>Nodes!O104+"'E4!`]"</f>
        <v>#VALUE!</v>
      </c>
      <c r="BC21" t="e">
        <f>Nodes!P104+"'E4!`^"</f>
        <v>#VALUE!</v>
      </c>
      <c r="BD21" t="e">
        <f>Nodes!Q104+"'E4!`_"</f>
        <v>#VALUE!</v>
      </c>
      <c r="BE21" t="e">
        <f>Nodes!R104+"'E4!``"</f>
        <v>#VALUE!</v>
      </c>
      <c r="BF21" t="e">
        <f>Nodes!S104+"'E4!`a"</f>
        <v>#VALUE!</v>
      </c>
      <c r="BG21" t="e">
        <f>Nodes!T104+"'E4!`b"</f>
        <v>#VALUE!</v>
      </c>
      <c r="BH21" t="e">
        <f>Nodes!U104+"'E4!`c"</f>
        <v>#VALUE!</v>
      </c>
      <c r="BI21" t="e">
        <f>Nodes!V104+"'E4!`d"</f>
        <v>#VALUE!</v>
      </c>
      <c r="BJ21" t="e">
        <f>Nodes!W104+"'E4!`e"</f>
        <v>#VALUE!</v>
      </c>
      <c r="BK21" s="333" t="e">
        <f>Nodes!X104+"'E4!`f"</f>
        <v>#VALUE!</v>
      </c>
      <c r="BL21" t="e">
        <f>Nodes!Y104+"'E4!`g"</f>
        <v>#VALUE!</v>
      </c>
      <c r="BM21" t="e">
        <f>Nodes!Z104+"'E4!`h"</f>
        <v>#VALUE!</v>
      </c>
      <c r="BN21" t="e">
        <f>Nodes!AA104+"'E4!`i"</f>
        <v>#VALUE!</v>
      </c>
      <c r="BO21" t="e">
        <f>Nodes!AB104+"'E4!`j"</f>
        <v>#VALUE!</v>
      </c>
      <c r="BP21" t="e">
        <f>Nodes!AC104+"'E4!`k"</f>
        <v>#VALUE!</v>
      </c>
      <c r="BQ21" t="e">
        <f>Nodes!A105+"'E4!`l"</f>
        <v>#VALUE!</v>
      </c>
      <c r="BR21" t="e">
        <f>Nodes!B105+"'E4!`m"</f>
        <v>#VALUE!</v>
      </c>
      <c r="BS21" t="e">
        <f>Nodes!C105+"'E4!`n"</f>
        <v>#VALUE!</v>
      </c>
      <c r="BT21" t="e">
        <f>Nodes!D105+"'E4!`o"</f>
        <v>#VALUE!</v>
      </c>
      <c r="BU21" t="e">
        <f>Nodes!E105+"'E4!`p"</f>
        <v>#VALUE!</v>
      </c>
      <c r="BV21" t="e">
        <f>Nodes!F105+"'E4!`q"</f>
        <v>#VALUE!</v>
      </c>
      <c r="BW21" t="e">
        <f>Nodes!G105+"'E4!`r"</f>
        <v>#VALUE!</v>
      </c>
      <c r="BX21" t="e">
        <f>Nodes!H105+"'E4!`s"</f>
        <v>#VALUE!</v>
      </c>
      <c r="BY21" t="e">
        <f>Nodes!I105+"'E4!`t"</f>
        <v>#VALUE!</v>
      </c>
      <c r="BZ21" t="e">
        <f>Nodes!J105+"'E4!`u"</f>
        <v>#VALUE!</v>
      </c>
      <c r="CA21" t="e">
        <f>Nodes!K105+"'E4!`v"</f>
        <v>#VALUE!</v>
      </c>
      <c r="CB21" t="e">
        <f>Nodes!L105+"'E4!`w"</f>
        <v>#VALUE!</v>
      </c>
      <c r="CC21" t="e">
        <f>Nodes!M105+"'E4!`x"</f>
        <v>#VALUE!</v>
      </c>
      <c r="CD21" t="e">
        <f>Nodes!N105+"'E4!`y"</f>
        <v>#VALUE!</v>
      </c>
      <c r="CE21" t="e">
        <f>Nodes!O105+"'E4!`z"</f>
        <v>#VALUE!</v>
      </c>
      <c r="CF21" t="e">
        <f>Nodes!P105+"'E4!`{"</f>
        <v>#VALUE!</v>
      </c>
      <c r="CG21" t="e">
        <f>Nodes!Q105+"'E4!`|"</f>
        <v>#VALUE!</v>
      </c>
      <c r="CH21" t="e">
        <f>Nodes!R105+"'E4!`}"</f>
        <v>#VALUE!</v>
      </c>
      <c r="CI21" t="e">
        <f>Nodes!S105+"'E4!`~"</f>
        <v>#VALUE!</v>
      </c>
      <c r="CJ21" t="e">
        <f>Nodes!T105+"'E4!a#"</f>
        <v>#VALUE!</v>
      </c>
      <c r="CK21" s="548" t="e">
        <f>Nodes!U105+"'E4!a$"</f>
        <v>#VALUE!</v>
      </c>
      <c r="CL21" s="548" t="e">
        <f>Nodes!V105+"'E4!a%"</f>
        <v>#VALUE!</v>
      </c>
      <c r="CM21" s="548" t="e">
        <f>Nodes!W105+"'E4!a&amp;"</f>
        <v>#VALUE!</v>
      </c>
      <c r="CN21" s="333" t="e">
        <f>Nodes!X105+"'E4!a'"</f>
        <v>#VALUE!</v>
      </c>
      <c r="CO21" t="e">
        <f>Nodes!Y105+"'E4!a("</f>
        <v>#VALUE!</v>
      </c>
      <c r="CP21" t="e">
        <f>Nodes!Z105+"'E4!a)"</f>
        <v>#VALUE!</v>
      </c>
      <c r="CQ21" t="e">
        <f>Nodes!AA105+"'E4!a."</f>
        <v>#VALUE!</v>
      </c>
      <c r="CR21" t="e">
        <f>Nodes!AB105+"'E4!a/"</f>
        <v>#VALUE!</v>
      </c>
      <c r="CS21" t="e">
        <f>Nodes!AC105+"'E4!a0"</f>
        <v>#VALUE!</v>
      </c>
      <c r="CT21" t="e">
        <f>Nodes!A106+"'E4!a1"</f>
        <v>#VALUE!</v>
      </c>
      <c r="CU21" t="e">
        <f>Nodes!B106+"'E4!a2"</f>
        <v>#VALUE!</v>
      </c>
      <c r="CV21" t="e">
        <f>Nodes!C106+"'E4!a3"</f>
        <v>#VALUE!</v>
      </c>
      <c r="CW21" t="e">
        <f>Nodes!D106+"'E4!a4"</f>
        <v>#VALUE!</v>
      </c>
      <c r="CX21" t="e">
        <f>Nodes!E106+"'E4!a5"</f>
        <v>#VALUE!</v>
      </c>
      <c r="CY21" t="e">
        <f>Nodes!F106+"'E4!a6"</f>
        <v>#VALUE!</v>
      </c>
      <c r="CZ21" t="e">
        <f>Nodes!G106+"'E4!a7"</f>
        <v>#VALUE!</v>
      </c>
      <c r="DA21" t="e">
        <f>Nodes!H106+"'E4!a8"</f>
        <v>#VALUE!</v>
      </c>
      <c r="DB21" t="e">
        <f>Nodes!I106+"'E4!a9"</f>
        <v>#VALUE!</v>
      </c>
      <c r="DC21" t="e">
        <f>Nodes!J106+"'E4!a:"</f>
        <v>#VALUE!</v>
      </c>
      <c r="DD21" t="e">
        <f>Nodes!K106+"'E4!a;"</f>
        <v>#VALUE!</v>
      </c>
      <c r="DE21" t="e">
        <f>Nodes!L106+"'E4!a&lt;"</f>
        <v>#VALUE!</v>
      </c>
      <c r="DF21" t="e">
        <f>Nodes!M106+"'E4!a="</f>
        <v>#VALUE!</v>
      </c>
      <c r="DG21" t="e">
        <f>Nodes!N106+"'E4!a&gt;"</f>
        <v>#VALUE!</v>
      </c>
      <c r="DH21" t="e">
        <f>Nodes!O106+"'E4!a?"</f>
        <v>#VALUE!</v>
      </c>
      <c r="DI21" t="e">
        <f>Nodes!P106+"'E4!a@"</f>
        <v>#VALUE!</v>
      </c>
      <c r="DJ21" t="e">
        <f>Nodes!Q106+"'E4!aA"</f>
        <v>#VALUE!</v>
      </c>
      <c r="DK21" t="e">
        <f>Nodes!R106+"'E4!aB"</f>
        <v>#VALUE!</v>
      </c>
      <c r="DL21" t="e">
        <f>Nodes!S106+"'E4!aC"</f>
        <v>#VALUE!</v>
      </c>
      <c r="DM21" t="e">
        <f>Nodes!T106+"'E4!aD"</f>
        <v>#VALUE!</v>
      </c>
      <c r="DN21" s="548" t="e">
        <f>Nodes!U106+"'E4!aE"</f>
        <v>#VALUE!</v>
      </c>
      <c r="DO21" s="548" t="e">
        <f>Nodes!V106+"'E4!aF"</f>
        <v>#VALUE!</v>
      </c>
      <c r="DP21" s="548" t="e">
        <f>Nodes!W106+"'E4!aG"</f>
        <v>#VALUE!</v>
      </c>
      <c r="DQ21" s="333" t="e">
        <f>Nodes!X106+"'E4!aH"</f>
        <v>#VALUE!</v>
      </c>
      <c r="DR21" t="e">
        <f>Nodes!Y106+"'E4!aI"</f>
        <v>#VALUE!</v>
      </c>
      <c r="DS21" t="e">
        <f>Nodes!Z106+"'E4!aJ"</f>
        <v>#VALUE!</v>
      </c>
      <c r="DT21" t="e">
        <f>Nodes!AA106+"'E4!aK"</f>
        <v>#VALUE!</v>
      </c>
      <c r="DU21" t="e">
        <f>Nodes!AB106+"'E4!aL"</f>
        <v>#VALUE!</v>
      </c>
      <c r="DV21" t="e">
        <f>Nodes!AC106+"'E4!aM"</f>
        <v>#VALUE!</v>
      </c>
      <c r="DW21" t="e">
        <f>Nodes!A107+"'E4!aN"</f>
        <v>#VALUE!</v>
      </c>
      <c r="DX21" t="e">
        <f>Nodes!B107+"'E4!aO"</f>
        <v>#VALUE!</v>
      </c>
      <c r="DY21" t="e">
        <f>Nodes!C107+"'E4!aP"</f>
        <v>#VALUE!</v>
      </c>
      <c r="DZ21" t="e">
        <f>Nodes!D107+"'E4!aQ"</f>
        <v>#VALUE!</v>
      </c>
      <c r="EA21" t="e">
        <f>Nodes!E107+"'E4!aR"</f>
        <v>#VALUE!</v>
      </c>
      <c r="EB21" t="e">
        <f>Nodes!F107+"'E4!aS"</f>
        <v>#VALUE!</v>
      </c>
      <c r="EC21" t="e">
        <f>Nodes!G107+"'E4!aT"</f>
        <v>#VALUE!</v>
      </c>
      <c r="ED21" t="e">
        <f>Nodes!H107+"'E4!aU"</f>
        <v>#VALUE!</v>
      </c>
      <c r="EE21" t="e">
        <f>Nodes!I107+"'E4!aV"</f>
        <v>#VALUE!</v>
      </c>
      <c r="EF21" t="e">
        <f>Nodes!J107+"'E4!aW"</f>
        <v>#VALUE!</v>
      </c>
      <c r="EG21" t="e">
        <f>Nodes!K107+"'E4!aX"</f>
        <v>#VALUE!</v>
      </c>
      <c r="EH21" t="e">
        <f>Nodes!L107+"'E4!aY"</f>
        <v>#VALUE!</v>
      </c>
      <c r="EI21" t="e">
        <f>Nodes!M107+"'E4!aZ"</f>
        <v>#VALUE!</v>
      </c>
      <c r="EJ21" t="e">
        <f>Nodes!N107+"'E4!a["</f>
        <v>#VALUE!</v>
      </c>
      <c r="EK21" t="e">
        <f>Nodes!O107+"'E4!a\"</f>
        <v>#VALUE!</v>
      </c>
      <c r="EL21" t="e">
        <f>Nodes!P107+"'E4!a]"</f>
        <v>#VALUE!</v>
      </c>
      <c r="EM21" t="e">
        <f>Nodes!Q107+"'E4!a^"</f>
        <v>#VALUE!</v>
      </c>
      <c r="EN21" t="e">
        <f>Nodes!R107+"'E4!a_"</f>
        <v>#VALUE!</v>
      </c>
      <c r="EO21" t="e">
        <f>Nodes!S107+"'E4!a`"</f>
        <v>#VALUE!</v>
      </c>
      <c r="EP21" t="e">
        <f>Nodes!T107+"'E4!aa"</f>
        <v>#VALUE!</v>
      </c>
      <c r="EQ21" s="548" t="e">
        <f>Nodes!U107+"'E4!ab"</f>
        <v>#VALUE!</v>
      </c>
      <c r="ER21" s="548" t="e">
        <f>Nodes!V107+"'E4!ac"</f>
        <v>#VALUE!</v>
      </c>
      <c r="ES21" s="548" t="e">
        <f>Nodes!W107+"'E4!ad"</f>
        <v>#VALUE!</v>
      </c>
      <c r="ET21" s="333" t="e">
        <f>Nodes!X107+"'E4!ae"</f>
        <v>#VALUE!</v>
      </c>
      <c r="EU21" t="e">
        <f>Nodes!Y107+"'E4!af"</f>
        <v>#VALUE!</v>
      </c>
      <c r="EV21" t="e">
        <f>Nodes!Z107+"'E4!ag"</f>
        <v>#VALUE!</v>
      </c>
      <c r="EW21" t="e">
        <f>Nodes!AA107+"'E4!ah"</f>
        <v>#VALUE!</v>
      </c>
      <c r="EX21" t="e">
        <f>Nodes!AB107+"'E4!ai"</f>
        <v>#VALUE!</v>
      </c>
      <c r="EY21" t="e">
        <f>Nodes!AC107+"'E4!aj"</f>
        <v>#VALUE!</v>
      </c>
      <c r="EZ21" t="e">
        <f>Nodes!A108+"'E4!ak"</f>
        <v>#VALUE!</v>
      </c>
      <c r="FA21" t="e">
        <f>Nodes!B108+"'E4!al"</f>
        <v>#VALUE!</v>
      </c>
      <c r="FB21" t="e">
        <f>Nodes!C108+"'E4!am"</f>
        <v>#VALUE!</v>
      </c>
      <c r="FC21" t="e">
        <f>Nodes!D108+"'E4!an"</f>
        <v>#VALUE!</v>
      </c>
      <c r="FD21" t="e">
        <f>Nodes!E108+"'E4!ao"</f>
        <v>#VALUE!</v>
      </c>
      <c r="FE21" t="e">
        <f>Nodes!F108+"'E4!ap"</f>
        <v>#VALUE!</v>
      </c>
      <c r="FF21" t="e">
        <f>Nodes!G108+"'E4!aq"</f>
        <v>#VALUE!</v>
      </c>
      <c r="FG21" t="e">
        <f>Nodes!H108+"'E4!ar"</f>
        <v>#VALUE!</v>
      </c>
      <c r="FH21" t="e">
        <f>Nodes!I108+"'E4!as"</f>
        <v>#VALUE!</v>
      </c>
      <c r="FI21" t="e">
        <f>Nodes!J108+"'E4!at"</f>
        <v>#VALUE!</v>
      </c>
      <c r="FJ21" t="e">
        <f>Nodes!K108+"'E4!au"</f>
        <v>#VALUE!</v>
      </c>
      <c r="FK21" t="e">
        <f>Nodes!L108+"'E4!av"</f>
        <v>#VALUE!</v>
      </c>
      <c r="FL21" t="e">
        <f>Nodes!M108+"'E4!aw"</f>
        <v>#VALUE!</v>
      </c>
      <c r="FM21" t="e">
        <f>Nodes!N108+"'E4!ax"</f>
        <v>#VALUE!</v>
      </c>
      <c r="FN21" t="e">
        <f>Nodes!O108+"'E4!ay"</f>
        <v>#VALUE!</v>
      </c>
      <c r="FO21" t="e">
        <f>Nodes!P108+"'E4!az"</f>
        <v>#VALUE!</v>
      </c>
      <c r="FP21" t="e">
        <f>Nodes!Q108+"'E4!a{"</f>
        <v>#VALUE!</v>
      </c>
      <c r="FQ21" t="e">
        <f>Nodes!R108+"'E4!a|"</f>
        <v>#VALUE!</v>
      </c>
      <c r="FR21" t="e">
        <f>Nodes!S108+"'E4!a}"</f>
        <v>#VALUE!</v>
      </c>
      <c r="FS21" t="e">
        <f>Nodes!T108+"'E4!a~"</f>
        <v>#VALUE!</v>
      </c>
      <c r="FT21" s="548" t="e">
        <f>Nodes!U108+"'E4!b#"</f>
        <v>#VALUE!</v>
      </c>
      <c r="FU21" s="548" t="e">
        <f>Nodes!V108+"'E4!b$"</f>
        <v>#VALUE!</v>
      </c>
      <c r="FV21" s="548" t="e">
        <f>Nodes!W108+"'E4!b%"</f>
        <v>#VALUE!</v>
      </c>
      <c r="FW21" s="333" t="e">
        <f>Nodes!X108+"'E4!b&amp;"</f>
        <v>#VALUE!</v>
      </c>
      <c r="FX21" t="e">
        <f>Nodes!Y108+"'E4!b'"</f>
        <v>#VALUE!</v>
      </c>
      <c r="FY21" t="e">
        <f>Nodes!Z108+"'E4!b("</f>
        <v>#VALUE!</v>
      </c>
      <c r="FZ21" t="e">
        <f>Nodes!AA108+"'E4!b)"</f>
        <v>#VALUE!</v>
      </c>
      <c r="GA21" t="e">
        <f>Nodes!AB108+"'E4!b."</f>
        <v>#VALUE!</v>
      </c>
      <c r="GB21" t="e">
        <f>Nodes!AC108+"'E4!b/"</f>
        <v>#VALUE!</v>
      </c>
      <c r="GC21" t="e">
        <f>Nodes!A109+"'E4!b0"</f>
        <v>#VALUE!</v>
      </c>
      <c r="GD21" t="e">
        <f>Nodes!B109+"'E4!b1"</f>
        <v>#VALUE!</v>
      </c>
      <c r="GE21" t="e">
        <f>Nodes!C109+"'E4!b2"</f>
        <v>#VALUE!</v>
      </c>
      <c r="GF21" t="e">
        <f>Nodes!D109+"'E4!b3"</f>
        <v>#VALUE!</v>
      </c>
      <c r="GG21" t="e">
        <f>Nodes!E109+"'E4!b4"</f>
        <v>#VALUE!</v>
      </c>
      <c r="GH21" t="e">
        <f>Nodes!F109+"'E4!b5"</f>
        <v>#VALUE!</v>
      </c>
      <c r="GI21" t="e">
        <f>Nodes!G109+"'E4!b6"</f>
        <v>#VALUE!</v>
      </c>
      <c r="GJ21" t="e">
        <f>Nodes!H109+"'E4!b7"</f>
        <v>#VALUE!</v>
      </c>
      <c r="GK21" t="e">
        <f>Nodes!I109+"'E4!b8"</f>
        <v>#VALUE!</v>
      </c>
      <c r="GL21" t="e">
        <f>Nodes!J109+"'E4!b9"</f>
        <v>#VALUE!</v>
      </c>
      <c r="GM21" t="e">
        <f>Nodes!K109+"'E4!b:"</f>
        <v>#VALUE!</v>
      </c>
      <c r="GN21" t="e">
        <f>Nodes!L109+"'E4!b;"</f>
        <v>#VALUE!</v>
      </c>
      <c r="GO21" t="e">
        <f>Nodes!M109+"'E4!b&lt;"</f>
        <v>#VALUE!</v>
      </c>
      <c r="GP21" t="e">
        <f>Nodes!N109+"'E4!b="</f>
        <v>#VALUE!</v>
      </c>
      <c r="GQ21" t="e">
        <f>Nodes!O109+"'E4!b&gt;"</f>
        <v>#VALUE!</v>
      </c>
      <c r="GR21" t="e">
        <f>Nodes!P109+"'E4!b?"</f>
        <v>#VALUE!</v>
      </c>
      <c r="GS21" t="e">
        <f>Nodes!Q109+"'E4!b@"</f>
        <v>#VALUE!</v>
      </c>
      <c r="GT21" t="e">
        <f>Nodes!R109+"'E4!bA"</f>
        <v>#VALUE!</v>
      </c>
      <c r="GU21" t="e">
        <f>Nodes!S109+"'E4!bB"</f>
        <v>#VALUE!</v>
      </c>
      <c r="GV21" t="e">
        <f>Nodes!T109+"'E4!bC"</f>
        <v>#VALUE!</v>
      </c>
      <c r="GW21" s="548" t="e">
        <f>Nodes!U109+"'E4!bD"</f>
        <v>#VALUE!</v>
      </c>
      <c r="GX21" s="548" t="e">
        <f>Nodes!V109+"'E4!bE"</f>
        <v>#VALUE!</v>
      </c>
      <c r="GY21" s="548" t="e">
        <f>Nodes!W109+"'E4!bF"</f>
        <v>#VALUE!</v>
      </c>
      <c r="GZ21" s="333" t="e">
        <f>Nodes!X109+"'E4!bG"</f>
        <v>#VALUE!</v>
      </c>
      <c r="HA21" t="e">
        <f>Nodes!Y109+"'E4!bH"</f>
        <v>#VALUE!</v>
      </c>
      <c r="HB21" t="e">
        <f>Nodes!Z109+"'E4!bI"</f>
        <v>#VALUE!</v>
      </c>
      <c r="HC21" t="e">
        <f>Nodes!AA109+"'E4!bJ"</f>
        <v>#VALUE!</v>
      </c>
      <c r="HD21" t="e">
        <f>Nodes!AB109+"'E4!bK"</f>
        <v>#VALUE!</v>
      </c>
      <c r="HE21" t="e">
        <f>Nodes!AC109+"'E4!bL"</f>
        <v>#VALUE!</v>
      </c>
      <c r="HF21" t="e">
        <f>Nodes!A110+"'E4!bM"</f>
        <v>#VALUE!</v>
      </c>
      <c r="HG21" t="e">
        <f>Nodes!B110+"'E4!bN"</f>
        <v>#VALUE!</v>
      </c>
      <c r="HH21" t="e">
        <f>Nodes!C110+"'E4!bO"</f>
        <v>#VALUE!</v>
      </c>
      <c r="HI21" t="e">
        <f>Nodes!D110+"'E4!bP"</f>
        <v>#VALUE!</v>
      </c>
      <c r="HJ21" t="e">
        <f>Nodes!E110+"'E4!bQ"</f>
        <v>#VALUE!</v>
      </c>
      <c r="HK21" t="e">
        <f>Nodes!F110+"'E4!bR"</f>
        <v>#VALUE!</v>
      </c>
      <c r="HL21" t="e">
        <f>Nodes!G110+"'E4!bS"</f>
        <v>#VALUE!</v>
      </c>
      <c r="HM21" t="e">
        <f>Nodes!H110+"'E4!bT"</f>
        <v>#VALUE!</v>
      </c>
      <c r="HN21" t="e">
        <f>Nodes!I110+"'E4!bU"</f>
        <v>#VALUE!</v>
      </c>
      <c r="HO21" t="e">
        <f>Nodes!J110+"'E4!bV"</f>
        <v>#VALUE!</v>
      </c>
      <c r="HP21" t="e">
        <f>Nodes!K110+"'E4!bW"</f>
        <v>#VALUE!</v>
      </c>
      <c r="HQ21" t="e">
        <f>Nodes!L110+"'E4!bX"</f>
        <v>#VALUE!</v>
      </c>
      <c r="HR21" t="e">
        <f>Nodes!M110+"'E4!bY"</f>
        <v>#VALUE!</v>
      </c>
      <c r="HS21" t="e">
        <f>Nodes!N110+"'E4!bZ"</f>
        <v>#VALUE!</v>
      </c>
      <c r="HT21" t="e">
        <f>Nodes!O110+"'E4!b["</f>
        <v>#VALUE!</v>
      </c>
      <c r="HU21" t="e">
        <f>Nodes!P110+"'E4!b\"</f>
        <v>#VALUE!</v>
      </c>
      <c r="HV21" t="e">
        <f>Nodes!Q110+"'E4!b]"</f>
        <v>#VALUE!</v>
      </c>
      <c r="HW21" t="e">
        <f>Nodes!R110+"'E4!b^"</f>
        <v>#VALUE!</v>
      </c>
      <c r="HX21" t="e">
        <f>Nodes!S110+"'E4!b_"</f>
        <v>#VALUE!</v>
      </c>
      <c r="HY21" t="e">
        <f>Nodes!T110+"'E4!b`"</f>
        <v>#VALUE!</v>
      </c>
      <c r="HZ21" s="548" t="e">
        <f>Nodes!U110+"'E4!ba"</f>
        <v>#VALUE!</v>
      </c>
      <c r="IA21" s="548" t="e">
        <f>Nodes!V110+"'E4!bb"</f>
        <v>#VALUE!</v>
      </c>
      <c r="IB21" s="548" t="e">
        <f>Nodes!W110+"'E4!bc"</f>
        <v>#VALUE!</v>
      </c>
      <c r="IC21" s="333" t="e">
        <f>Nodes!X110+"'E4!bd"</f>
        <v>#VALUE!</v>
      </c>
      <c r="ID21" t="e">
        <f>Nodes!Y110+"'E4!be"</f>
        <v>#VALUE!</v>
      </c>
      <c r="IE21" t="e">
        <f>Nodes!Z110+"'E4!bf"</f>
        <v>#VALUE!</v>
      </c>
      <c r="IF21" t="e">
        <f>Nodes!AA110+"'E4!bg"</f>
        <v>#VALUE!</v>
      </c>
      <c r="IG21" t="e">
        <f>Nodes!AB110+"'E4!bh"</f>
        <v>#VALUE!</v>
      </c>
      <c r="IH21" t="e">
        <f>Nodes!AC110+"'E4!bi"</f>
        <v>#VALUE!</v>
      </c>
      <c r="II21" t="e">
        <f>Nodes!A111+"'E4!bj"</f>
        <v>#VALUE!</v>
      </c>
      <c r="IJ21" t="e">
        <f>Nodes!B111+"'E4!bk"</f>
        <v>#VALUE!</v>
      </c>
      <c r="IK21" t="e">
        <f>Nodes!C111+"'E4!bl"</f>
        <v>#VALUE!</v>
      </c>
      <c r="IL21" t="e">
        <f>Nodes!D111+"'E4!bm"</f>
        <v>#VALUE!</v>
      </c>
      <c r="IM21" t="e">
        <f>Nodes!E111+"'E4!bn"</f>
        <v>#VALUE!</v>
      </c>
      <c r="IN21" t="e">
        <f>Nodes!F111+"'E4!bo"</f>
        <v>#VALUE!</v>
      </c>
      <c r="IO21" t="e">
        <f>Nodes!G111+"'E4!bp"</f>
        <v>#VALUE!</v>
      </c>
      <c r="IP21" t="e">
        <f>Nodes!H111+"'E4!bq"</f>
        <v>#VALUE!</v>
      </c>
      <c r="IQ21" t="e">
        <f>Nodes!I111+"'E4!br"</f>
        <v>#VALUE!</v>
      </c>
      <c r="IR21" t="e">
        <f>Nodes!J111+"'E4!bs"</f>
        <v>#VALUE!</v>
      </c>
      <c r="IS21" t="e">
        <f>Nodes!K111+"'E4!bt"</f>
        <v>#VALUE!</v>
      </c>
      <c r="IT21" t="e">
        <f>Nodes!L111+"'E4!bu"</f>
        <v>#VALUE!</v>
      </c>
      <c r="IU21" t="e">
        <f>Nodes!M111+"'E4!bv"</f>
        <v>#VALUE!</v>
      </c>
      <c r="IV21" t="e">
        <f>Nodes!N111+"'E4!bw"</f>
        <v>#VALUE!</v>
      </c>
    </row>
    <row r="22" spans="6:256">
      <c r="F22" t="e">
        <f>Nodes!O111+"'E4!bx"</f>
        <v>#VALUE!</v>
      </c>
      <c r="G22" t="e">
        <f>Nodes!P111+"'E4!by"</f>
        <v>#VALUE!</v>
      </c>
      <c r="H22" t="e">
        <f>Nodes!Q111+"'E4!bz"</f>
        <v>#VALUE!</v>
      </c>
      <c r="I22" t="e">
        <f>Nodes!R111+"'E4!b{"</f>
        <v>#VALUE!</v>
      </c>
      <c r="J22" t="e">
        <f>Nodes!S111+"'E4!b|"</f>
        <v>#VALUE!</v>
      </c>
      <c r="K22" t="e">
        <f>Nodes!T111+"'E4!b}"</f>
        <v>#VALUE!</v>
      </c>
      <c r="L22" s="548" t="e">
        <f>Nodes!U111+"'E4!b~"</f>
        <v>#VALUE!</v>
      </c>
      <c r="M22" s="548" t="e">
        <f>Nodes!V111+"'E4!c#"</f>
        <v>#VALUE!</v>
      </c>
      <c r="N22" s="548" t="e">
        <f>Nodes!W111+"'E4!c$"</f>
        <v>#VALUE!</v>
      </c>
      <c r="O22" s="333" t="e">
        <f>Nodes!X111+"'E4!c%"</f>
        <v>#VALUE!</v>
      </c>
      <c r="P22" t="e">
        <f>Nodes!Y111+"'E4!c&amp;"</f>
        <v>#VALUE!</v>
      </c>
      <c r="Q22" t="e">
        <f>Nodes!Z111+"'E4!c'"</f>
        <v>#VALUE!</v>
      </c>
      <c r="R22" t="e">
        <f>Nodes!AA111+"'E4!c("</f>
        <v>#VALUE!</v>
      </c>
      <c r="S22" t="e">
        <f>Nodes!AB111+"'E4!c)"</f>
        <v>#VALUE!</v>
      </c>
      <c r="T22" t="e">
        <f>Nodes!AC111+"'E4!c."</f>
        <v>#VALUE!</v>
      </c>
      <c r="U22" t="e">
        <f>Nodes!A112+"'E4!c/"</f>
        <v>#VALUE!</v>
      </c>
      <c r="V22" t="e">
        <f>Nodes!B112+"'E4!c0"</f>
        <v>#VALUE!</v>
      </c>
      <c r="W22" t="e">
        <f>Nodes!C112+"'E4!c1"</f>
        <v>#VALUE!</v>
      </c>
      <c r="X22" t="e">
        <f>Nodes!D112+"'E4!c2"</f>
        <v>#VALUE!</v>
      </c>
      <c r="Y22" t="e">
        <f>Nodes!E112+"'E4!c3"</f>
        <v>#VALUE!</v>
      </c>
      <c r="Z22" t="e">
        <f>Nodes!F112+"'E4!c4"</f>
        <v>#VALUE!</v>
      </c>
      <c r="AA22" t="e">
        <f>Nodes!G112+"'E4!c5"</f>
        <v>#VALUE!</v>
      </c>
      <c r="AB22" t="e">
        <f>Nodes!H112+"'E4!c6"</f>
        <v>#VALUE!</v>
      </c>
      <c r="AC22" t="e">
        <f>Nodes!I112+"'E4!c7"</f>
        <v>#VALUE!</v>
      </c>
      <c r="AD22" t="e">
        <f>Nodes!J112+"'E4!c8"</f>
        <v>#VALUE!</v>
      </c>
      <c r="AE22" t="e">
        <f>Nodes!K112+"'E4!c9"</f>
        <v>#VALUE!</v>
      </c>
      <c r="AF22" t="e">
        <f>Nodes!L112+"'E4!c:"</f>
        <v>#VALUE!</v>
      </c>
      <c r="AG22" t="e">
        <f>Nodes!M112+"'E4!c;"</f>
        <v>#VALUE!</v>
      </c>
      <c r="AH22" t="e">
        <f>Nodes!N112+"'E4!c&lt;"</f>
        <v>#VALUE!</v>
      </c>
      <c r="AI22" t="e">
        <f>Nodes!O112+"'E4!c="</f>
        <v>#VALUE!</v>
      </c>
      <c r="AJ22" t="e">
        <f>Nodes!P112+"'E4!c&gt;"</f>
        <v>#VALUE!</v>
      </c>
      <c r="AK22" t="e">
        <f>Nodes!Q112+"'E4!c?"</f>
        <v>#VALUE!</v>
      </c>
      <c r="AL22" t="e">
        <f>Nodes!R112+"'E4!c@"</f>
        <v>#VALUE!</v>
      </c>
      <c r="AM22" t="e">
        <f>Nodes!S112+"'E4!cA"</f>
        <v>#VALUE!</v>
      </c>
      <c r="AN22" t="e">
        <f>Nodes!T112+"'E4!cB"</f>
        <v>#VALUE!</v>
      </c>
      <c r="AO22" s="548" t="e">
        <f>Nodes!U112+"'E4!cC"</f>
        <v>#VALUE!</v>
      </c>
      <c r="AP22" s="548" t="e">
        <f>Nodes!V112+"'E4!cD"</f>
        <v>#VALUE!</v>
      </c>
      <c r="AQ22" s="548" t="e">
        <f>Nodes!W112+"'E4!cE"</f>
        <v>#VALUE!</v>
      </c>
      <c r="AR22" s="333" t="e">
        <f>Nodes!X112+"'E4!cF"</f>
        <v>#VALUE!</v>
      </c>
      <c r="AS22" t="e">
        <f>Nodes!Y112+"'E4!cG"</f>
        <v>#VALUE!</v>
      </c>
      <c r="AT22" t="e">
        <f>Nodes!Z112+"'E4!cH"</f>
        <v>#VALUE!</v>
      </c>
      <c r="AU22" t="e">
        <f>Nodes!AA112+"'E4!cI"</f>
        <v>#VALUE!</v>
      </c>
      <c r="AV22" t="e">
        <f>Nodes!AB112+"'E4!cJ"</f>
        <v>#VALUE!</v>
      </c>
      <c r="AW22" t="e">
        <f>Nodes!AC112+"'E4!cK"</f>
        <v>#VALUE!</v>
      </c>
      <c r="AX22" t="e">
        <f>Nodes!A113+"'E4!cL"</f>
        <v>#VALUE!</v>
      </c>
      <c r="AY22" t="e">
        <f>Nodes!B113+"'E4!cM"</f>
        <v>#VALUE!</v>
      </c>
      <c r="AZ22" t="e">
        <f>Nodes!C113+"'E4!cN"</f>
        <v>#VALUE!</v>
      </c>
      <c r="BA22" t="e">
        <f>Nodes!D113+"'E4!cO"</f>
        <v>#VALUE!</v>
      </c>
      <c r="BB22" t="e">
        <f>Nodes!E113+"'E4!cP"</f>
        <v>#VALUE!</v>
      </c>
      <c r="BC22" t="e">
        <f>Nodes!F113+"'E4!cQ"</f>
        <v>#VALUE!</v>
      </c>
      <c r="BD22" t="e">
        <f>Nodes!G113+"'E4!cR"</f>
        <v>#VALUE!</v>
      </c>
      <c r="BE22" t="e">
        <f>Nodes!H113+"'E4!cS"</f>
        <v>#VALUE!</v>
      </c>
      <c r="BF22" t="e">
        <f>Nodes!I113+"'E4!cT"</f>
        <v>#VALUE!</v>
      </c>
      <c r="BG22" t="e">
        <f>Nodes!J113+"'E4!cU"</f>
        <v>#VALUE!</v>
      </c>
      <c r="BH22" t="e">
        <f>Nodes!K113+"'E4!cV"</f>
        <v>#VALUE!</v>
      </c>
      <c r="BI22" t="e">
        <f>Nodes!L113+"'E4!cW"</f>
        <v>#VALUE!</v>
      </c>
      <c r="BJ22" t="e">
        <f>Nodes!M113+"'E4!cX"</f>
        <v>#VALUE!</v>
      </c>
      <c r="BK22" t="e">
        <f>Nodes!N113+"'E4!cY"</f>
        <v>#VALUE!</v>
      </c>
      <c r="BL22" t="e">
        <f>Nodes!O113+"'E4!cZ"</f>
        <v>#VALUE!</v>
      </c>
      <c r="BM22" t="e">
        <f>Nodes!P113+"'E4!c["</f>
        <v>#VALUE!</v>
      </c>
      <c r="BN22" t="e">
        <f>Nodes!Q113+"'E4!c\"</f>
        <v>#VALUE!</v>
      </c>
      <c r="BO22" t="e">
        <f>Nodes!R113+"'E4!c]"</f>
        <v>#VALUE!</v>
      </c>
      <c r="BP22" t="e">
        <f>Nodes!S113+"'E4!c^"</f>
        <v>#VALUE!</v>
      </c>
      <c r="BQ22" t="e">
        <f>Nodes!T113+"'E4!c_"</f>
        <v>#VALUE!</v>
      </c>
      <c r="BR22" s="548" t="e">
        <f>Nodes!U113+"'E4!c`"</f>
        <v>#VALUE!</v>
      </c>
      <c r="BS22" s="548" t="e">
        <f>Nodes!V113+"'E4!ca"</f>
        <v>#VALUE!</v>
      </c>
      <c r="BT22" s="548" t="e">
        <f>Nodes!W113+"'E4!cb"</f>
        <v>#VALUE!</v>
      </c>
      <c r="BU22" s="333" t="e">
        <f>Nodes!X113+"'E4!cc"</f>
        <v>#VALUE!</v>
      </c>
      <c r="BV22" t="e">
        <f>Nodes!Y113+"'E4!cd"</f>
        <v>#VALUE!</v>
      </c>
      <c r="BW22" t="e">
        <f>Nodes!Z113+"'E4!ce"</f>
        <v>#VALUE!</v>
      </c>
      <c r="BX22" t="e">
        <f>Nodes!AA113+"'E4!cf"</f>
        <v>#VALUE!</v>
      </c>
      <c r="BY22" t="e">
        <f>Nodes!AB113+"'E4!cg"</f>
        <v>#VALUE!</v>
      </c>
      <c r="BZ22" t="e">
        <f>Nodes!AC113+"'E4!ch"</f>
        <v>#VALUE!</v>
      </c>
      <c r="CA22" t="e">
        <f>Nodes!A114+"'E4!ci"</f>
        <v>#VALUE!</v>
      </c>
      <c r="CB22" t="e">
        <f>Nodes!B114+"'E4!cj"</f>
        <v>#VALUE!</v>
      </c>
      <c r="CC22" t="e">
        <f>Nodes!C114+"'E4!ck"</f>
        <v>#VALUE!</v>
      </c>
      <c r="CD22" t="e">
        <f>Nodes!D114+"'E4!cl"</f>
        <v>#VALUE!</v>
      </c>
      <c r="CE22" t="e">
        <f>Nodes!E114+"'E4!cm"</f>
        <v>#VALUE!</v>
      </c>
      <c r="CF22" t="e">
        <f>Nodes!F114+"'E4!cn"</f>
        <v>#VALUE!</v>
      </c>
      <c r="CG22" t="e">
        <f>Nodes!G114+"'E4!co"</f>
        <v>#VALUE!</v>
      </c>
      <c r="CH22" t="e">
        <f>Nodes!H114+"'E4!cp"</f>
        <v>#VALUE!</v>
      </c>
      <c r="CI22" t="e">
        <f>Nodes!I114+"'E4!cq"</f>
        <v>#VALUE!</v>
      </c>
      <c r="CJ22" t="e">
        <f>Nodes!J114+"'E4!cr"</f>
        <v>#VALUE!</v>
      </c>
      <c r="CK22" t="e">
        <f>Nodes!K114+"'E4!cs"</f>
        <v>#VALUE!</v>
      </c>
      <c r="CL22" t="e">
        <f>Nodes!L114+"'E4!ct"</f>
        <v>#VALUE!</v>
      </c>
      <c r="CM22" t="e">
        <f>Nodes!M114+"'E4!cu"</f>
        <v>#VALUE!</v>
      </c>
      <c r="CN22" t="e">
        <f>Nodes!N114+"'E4!cv"</f>
        <v>#VALUE!</v>
      </c>
      <c r="CO22" t="e">
        <f>Nodes!O114+"'E4!cw"</f>
        <v>#VALUE!</v>
      </c>
      <c r="CP22" t="e">
        <f>Nodes!P114+"'E4!cx"</f>
        <v>#VALUE!</v>
      </c>
      <c r="CQ22" t="e">
        <f>Nodes!Q114+"'E4!cy"</f>
        <v>#VALUE!</v>
      </c>
      <c r="CR22" t="e">
        <f>Nodes!R114+"'E4!cz"</f>
        <v>#VALUE!</v>
      </c>
      <c r="CS22" t="e">
        <f>Nodes!S114+"'E4!c{"</f>
        <v>#VALUE!</v>
      </c>
      <c r="CT22" t="e">
        <f>Nodes!T114+"'E4!c|"</f>
        <v>#VALUE!</v>
      </c>
      <c r="CU22" s="548" t="e">
        <f>Nodes!U114+"'E4!c}"</f>
        <v>#VALUE!</v>
      </c>
      <c r="CV22" s="548" t="e">
        <f>Nodes!V114+"'E4!c~"</f>
        <v>#VALUE!</v>
      </c>
      <c r="CW22" s="548" t="e">
        <f>Nodes!W114+"'E4!d#"</f>
        <v>#VALUE!</v>
      </c>
      <c r="CX22" s="333" t="e">
        <f>Nodes!X114+"'E4!d$"</f>
        <v>#VALUE!</v>
      </c>
      <c r="CY22" t="e">
        <f>Nodes!Y114+"'E4!d%"</f>
        <v>#VALUE!</v>
      </c>
      <c r="CZ22" t="e">
        <f>Nodes!Z114+"'E4!d&amp;"</f>
        <v>#VALUE!</v>
      </c>
      <c r="DA22" t="e">
        <f>Nodes!AA114+"'E4!d'"</f>
        <v>#VALUE!</v>
      </c>
      <c r="DB22" t="e">
        <f>Nodes!AB114+"'E4!d("</f>
        <v>#VALUE!</v>
      </c>
      <c r="DC22" t="e">
        <f>Nodes!AC114+"'E4!d)"</f>
        <v>#VALUE!</v>
      </c>
      <c r="DD22" t="e">
        <f>Nodes!A115+"'E4!d."</f>
        <v>#VALUE!</v>
      </c>
      <c r="DE22" t="e">
        <f>Nodes!B115+"'E4!d/"</f>
        <v>#VALUE!</v>
      </c>
      <c r="DF22" t="e">
        <f>Nodes!C115+"'E4!d0"</f>
        <v>#VALUE!</v>
      </c>
      <c r="DG22" t="e">
        <f>Nodes!D115+"'E4!d1"</f>
        <v>#VALUE!</v>
      </c>
      <c r="DH22" t="e">
        <f>Nodes!E115+"'E4!d2"</f>
        <v>#VALUE!</v>
      </c>
      <c r="DI22" t="e">
        <f>Nodes!F115+"'E4!d3"</f>
        <v>#VALUE!</v>
      </c>
      <c r="DJ22" t="e">
        <f>Nodes!G115+"'E4!d4"</f>
        <v>#VALUE!</v>
      </c>
      <c r="DK22" t="e">
        <f>Nodes!H115+"'E4!d5"</f>
        <v>#VALUE!</v>
      </c>
      <c r="DL22" t="e">
        <f>Nodes!I115+"'E4!d6"</f>
        <v>#VALUE!</v>
      </c>
      <c r="DM22" t="e">
        <f>Nodes!J115+"'E4!d7"</f>
        <v>#VALUE!</v>
      </c>
      <c r="DN22" t="e">
        <f>Nodes!K115+"'E4!d8"</f>
        <v>#VALUE!</v>
      </c>
      <c r="DO22" t="e">
        <f>Nodes!L115+"'E4!d9"</f>
        <v>#VALUE!</v>
      </c>
      <c r="DP22" t="e">
        <f>Nodes!M115+"'E4!d:"</f>
        <v>#VALUE!</v>
      </c>
      <c r="DQ22" t="e">
        <f>Nodes!N115+"'E4!d;"</f>
        <v>#VALUE!</v>
      </c>
      <c r="DR22" t="e">
        <f>Nodes!O115+"'E4!d&lt;"</f>
        <v>#VALUE!</v>
      </c>
      <c r="DS22" t="e">
        <f>Nodes!P115+"'E4!d="</f>
        <v>#VALUE!</v>
      </c>
      <c r="DT22" t="e">
        <f>Nodes!Q115+"'E4!d&gt;"</f>
        <v>#VALUE!</v>
      </c>
      <c r="DU22" t="e">
        <f>Nodes!R115+"'E4!d?"</f>
        <v>#VALUE!</v>
      </c>
      <c r="DV22" t="e">
        <f>Nodes!S115+"'E4!d@"</f>
        <v>#VALUE!</v>
      </c>
      <c r="DW22" t="e">
        <f>Nodes!T115+"'E4!dA"</f>
        <v>#VALUE!</v>
      </c>
      <c r="DX22" s="548" t="e">
        <f>Nodes!U115+"'E4!dB"</f>
        <v>#VALUE!</v>
      </c>
      <c r="DY22" s="548" t="e">
        <f>Nodes!V115+"'E4!dC"</f>
        <v>#VALUE!</v>
      </c>
      <c r="DZ22" s="548" t="e">
        <f>Nodes!W115+"'E4!dD"</f>
        <v>#VALUE!</v>
      </c>
      <c r="EA22" s="333" t="e">
        <f>Nodes!X115+"'E4!dE"</f>
        <v>#VALUE!</v>
      </c>
      <c r="EB22" t="e">
        <f>Nodes!Y115+"'E4!dF"</f>
        <v>#VALUE!</v>
      </c>
      <c r="EC22" t="e">
        <f>Nodes!Z115+"'E4!dG"</f>
        <v>#VALUE!</v>
      </c>
      <c r="ED22" t="e">
        <f>Nodes!AA115+"'E4!dH"</f>
        <v>#VALUE!</v>
      </c>
      <c r="EE22" t="e">
        <f>Nodes!AB115+"'E4!dI"</f>
        <v>#VALUE!</v>
      </c>
      <c r="EF22" t="e">
        <f>Nodes!AC115+"'E4!dJ"</f>
        <v>#VALUE!</v>
      </c>
      <c r="EG22" t="e">
        <f>Nodes!A116+"'E4!dK"</f>
        <v>#VALUE!</v>
      </c>
      <c r="EH22" t="e">
        <f>Nodes!B116+"'E4!dL"</f>
        <v>#VALUE!</v>
      </c>
      <c r="EI22" t="e">
        <f>Nodes!C116+"'E4!dM"</f>
        <v>#VALUE!</v>
      </c>
      <c r="EJ22" t="e">
        <f>Nodes!D116+"'E4!dN"</f>
        <v>#VALUE!</v>
      </c>
      <c r="EK22" t="e">
        <f>Nodes!E116+"'E4!dO"</f>
        <v>#VALUE!</v>
      </c>
      <c r="EL22" t="e">
        <f>Nodes!F116+"'E4!dP"</f>
        <v>#VALUE!</v>
      </c>
      <c r="EM22" t="e">
        <f>Nodes!G116+"'E4!dQ"</f>
        <v>#VALUE!</v>
      </c>
      <c r="EN22" t="e">
        <f>Nodes!H116+"'E4!dR"</f>
        <v>#VALUE!</v>
      </c>
      <c r="EO22" t="e">
        <f>Nodes!I116+"'E4!dS"</f>
        <v>#VALUE!</v>
      </c>
      <c r="EP22" t="e">
        <f>Nodes!J116+"'E4!dT"</f>
        <v>#VALUE!</v>
      </c>
      <c r="EQ22" t="e">
        <f>Nodes!K116+"'E4!dU"</f>
        <v>#VALUE!</v>
      </c>
      <c r="ER22" t="e">
        <f>Nodes!L116+"'E4!dV"</f>
        <v>#VALUE!</v>
      </c>
      <c r="ES22" t="e">
        <f>Nodes!M116+"'E4!dW"</f>
        <v>#VALUE!</v>
      </c>
      <c r="ET22" t="e">
        <f>Nodes!N116+"'E4!dX"</f>
        <v>#VALUE!</v>
      </c>
      <c r="EU22" t="e">
        <f>Nodes!O116+"'E4!dY"</f>
        <v>#VALUE!</v>
      </c>
      <c r="EV22" t="e">
        <f>Nodes!P116+"'E4!dZ"</f>
        <v>#VALUE!</v>
      </c>
      <c r="EW22" t="e">
        <f>Nodes!Q116+"'E4!d["</f>
        <v>#VALUE!</v>
      </c>
      <c r="EX22" t="e">
        <f>Nodes!R116+"'E4!d\"</f>
        <v>#VALUE!</v>
      </c>
      <c r="EY22" t="e">
        <f>Nodes!S116+"'E4!d]"</f>
        <v>#VALUE!</v>
      </c>
      <c r="EZ22" t="e">
        <f>Nodes!T116+"'E4!d^"</f>
        <v>#VALUE!</v>
      </c>
      <c r="FA22" s="548" t="e">
        <f>Nodes!U116+"'E4!d_"</f>
        <v>#VALUE!</v>
      </c>
      <c r="FB22" s="548" t="e">
        <f>Nodes!V116+"'E4!d`"</f>
        <v>#VALUE!</v>
      </c>
      <c r="FC22" s="548" t="e">
        <f>Nodes!W116+"'E4!da"</f>
        <v>#VALUE!</v>
      </c>
      <c r="FD22" s="333" t="e">
        <f>Nodes!X116+"'E4!db"</f>
        <v>#VALUE!</v>
      </c>
      <c r="FE22" t="e">
        <f>Nodes!Y116+"'E4!dc"</f>
        <v>#VALUE!</v>
      </c>
      <c r="FF22" t="e">
        <f>Nodes!Z116+"'E4!dd"</f>
        <v>#VALUE!</v>
      </c>
      <c r="FG22" t="e">
        <f>Nodes!AA116+"'E4!de"</f>
        <v>#VALUE!</v>
      </c>
      <c r="FH22" t="e">
        <f>Nodes!AB116+"'E4!df"</f>
        <v>#VALUE!</v>
      </c>
      <c r="FI22" t="e">
        <f>Nodes!AC116+"'E4!dg"</f>
        <v>#VALUE!</v>
      </c>
      <c r="FJ22" t="e">
        <f>Nodes!A117+"'E4!dh"</f>
        <v>#VALUE!</v>
      </c>
      <c r="FK22" t="e">
        <f>Nodes!B117+"'E4!di"</f>
        <v>#VALUE!</v>
      </c>
      <c r="FL22" t="e">
        <f>Nodes!C117+"'E4!dj"</f>
        <v>#VALUE!</v>
      </c>
      <c r="FM22" t="e">
        <f>Nodes!D117+"'E4!dk"</f>
        <v>#VALUE!</v>
      </c>
      <c r="FN22" t="e">
        <f>Nodes!E117+"'E4!dl"</f>
        <v>#VALUE!</v>
      </c>
      <c r="FO22" t="e">
        <f>Nodes!F117+"'E4!dm"</f>
        <v>#VALUE!</v>
      </c>
      <c r="FP22" t="e">
        <f>Nodes!G117+"'E4!dn"</f>
        <v>#VALUE!</v>
      </c>
      <c r="FQ22" t="e">
        <f>Nodes!H117+"'E4!do"</f>
        <v>#VALUE!</v>
      </c>
      <c r="FR22" t="e">
        <f>Nodes!I117+"'E4!dp"</f>
        <v>#VALUE!</v>
      </c>
      <c r="FS22" t="e">
        <f>Nodes!J117+"'E4!dq"</f>
        <v>#VALUE!</v>
      </c>
      <c r="FT22" t="e">
        <f>Nodes!K117+"'E4!dr"</f>
        <v>#VALUE!</v>
      </c>
      <c r="FU22" t="e">
        <f>Nodes!L117+"'E4!ds"</f>
        <v>#VALUE!</v>
      </c>
      <c r="FV22" t="e">
        <f>Nodes!M117+"'E4!dt"</f>
        <v>#VALUE!</v>
      </c>
      <c r="FW22" t="e">
        <f>Nodes!N117+"'E4!du"</f>
        <v>#VALUE!</v>
      </c>
      <c r="FX22" t="e">
        <f>Nodes!O117+"'E4!dv"</f>
        <v>#VALUE!</v>
      </c>
      <c r="FY22" t="e">
        <f>Nodes!P117+"'E4!dw"</f>
        <v>#VALUE!</v>
      </c>
      <c r="FZ22" t="e">
        <f>Nodes!Q117+"'E4!dx"</f>
        <v>#VALUE!</v>
      </c>
      <c r="GA22" t="e">
        <f>Nodes!R117+"'E4!dy"</f>
        <v>#VALUE!</v>
      </c>
      <c r="GB22" t="e">
        <f>Nodes!S117+"'E4!dz"</f>
        <v>#VALUE!</v>
      </c>
      <c r="GC22" t="e">
        <f>Nodes!T117+"'E4!d{"</f>
        <v>#VALUE!</v>
      </c>
      <c r="GD22" s="548" t="e">
        <f>Nodes!U117+"'E4!d|"</f>
        <v>#VALUE!</v>
      </c>
      <c r="GE22" s="548" t="e">
        <f>Nodes!V117+"'E4!d}"</f>
        <v>#VALUE!</v>
      </c>
      <c r="GF22" s="548" t="e">
        <f>Nodes!W117+"'E4!d~"</f>
        <v>#VALUE!</v>
      </c>
      <c r="GG22" s="333" t="e">
        <f>Nodes!X117+"'E4!e#"</f>
        <v>#VALUE!</v>
      </c>
      <c r="GH22" t="e">
        <f>Nodes!Y117+"'E4!e$"</f>
        <v>#VALUE!</v>
      </c>
      <c r="GI22" t="e">
        <f>Nodes!Z117+"'E4!e%"</f>
        <v>#VALUE!</v>
      </c>
      <c r="GJ22" t="e">
        <f>Nodes!AA117+"'E4!e&amp;"</f>
        <v>#VALUE!</v>
      </c>
      <c r="GK22" t="e">
        <f>Nodes!AB117+"'E4!e'"</f>
        <v>#VALUE!</v>
      </c>
      <c r="GL22" t="e">
        <f>Nodes!AC117+"'E4!e("</f>
        <v>#VALUE!</v>
      </c>
      <c r="GM22" t="e">
        <f>Nodes!A118+"'E4!e)"</f>
        <v>#VALUE!</v>
      </c>
      <c r="GN22" t="e">
        <f>Nodes!B118+"'E4!e."</f>
        <v>#VALUE!</v>
      </c>
      <c r="GO22" t="e">
        <f>Nodes!C118+"'E4!e/"</f>
        <v>#VALUE!</v>
      </c>
      <c r="GP22" t="e">
        <f>Nodes!D118+"'E4!e0"</f>
        <v>#VALUE!</v>
      </c>
      <c r="GQ22" t="e">
        <f>Nodes!E118+"'E4!e1"</f>
        <v>#VALUE!</v>
      </c>
      <c r="GR22" t="e">
        <f>Nodes!F118+"'E4!e2"</f>
        <v>#VALUE!</v>
      </c>
      <c r="GS22" t="e">
        <f>Nodes!G118+"'E4!e3"</f>
        <v>#VALUE!</v>
      </c>
      <c r="GT22" t="e">
        <f>Nodes!H118+"'E4!e4"</f>
        <v>#VALUE!</v>
      </c>
      <c r="GU22" t="e">
        <f>Nodes!I118+"'E4!e5"</f>
        <v>#VALUE!</v>
      </c>
      <c r="GV22" t="e">
        <f>Nodes!J118+"'E4!e6"</f>
        <v>#VALUE!</v>
      </c>
      <c r="GW22" t="e">
        <f>Nodes!K118+"'E4!e7"</f>
        <v>#VALUE!</v>
      </c>
      <c r="GX22" t="e">
        <f>Nodes!L118+"'E4!e8"</f>
        <v>#VALUE!</v>
      </c>
      <c r="GY22" t="e">
        <f>Nodes!M118+"'E4!e9"</f>
        <v>#VALUE!</v>
      </c>
      <c r="GZ22" t="e">
        <f>Nodes!N118+"'E4!e:"</f>
        <v>#VALUE!</v>
      </c>
      <c r="HA22" t="e">
        <f>Nodes!O118+"'E4!e;"</f>
        <v>#VALUE!</v>
      </c>
      <c r="HB22" t="e">
        <f>Nodes!P118+"'E4!e&lt;"</f>
        <v>#VALUE!</v>
      </c>
      <c r="HC22" t="e">
        <f>Nodes!Q118+"'E4!e="</f>
        <v>#VALUE!</v>
      </c>
      <c r="HD22" t="e">
        <f>Nodes!R118+"'E4!e&gt;"</f>
        <v>#VALUE!</v>
      </c>
      <c r="HE22" t="e">
        <f>Nodes!S118+"'E4!e?"</f>
        <v>#VALUE!</v>
      </c>
      <c r="HF22" t="e">
        <f>Nodes!T118+"'E4!e@"</f>
        <v>#VALUE!</v>
      </c>
      <c r="HG22" s="548" t="e">
        <f>Nodes!U118+"'E4!eA"</f>
        <v>#VALUE!</v>
      </c>
      <c r="HH22" s="548" t="e">
        <f>Nodes!V118+"'E4!eB"</f>
        <v>#VALUE!</v>
      </c>
      <c r="HI22" s="548" t="e">
        <f>Nodes!W118+"'E4!eC"</f>
        <v>#VALUE!</v>
      </c>
      <c r="HJ22" s="333" t="e">
        <f>Nodes!X118+"'E4!eD"</f>
        <v>#VALUE!</v>
      </c>
      <c r="HK22" t="e">
        <f>Nodes!Y118+"'E4!eE"</f>
        <v>#VALUE!</v>
      </c>
      <c r="HL22" t="e">
        <f>Nodes!Z118+"'E4!eF"</f>
        <v>#VALUE!</v>
      </c>
      <c r="HM22" t="e">
        <f>Nodes!AA118+"'E4!eG"</f>
        <v>#VALUE!</v>
      </c>
      <c r="HN22" t="e">
        <f>Nodes!AB118+"'E4!eH"</f>
        <v>#VALUE!</v>
      </c>
      <c r="HO22" t="e">
        <f>Nodes!AC118+"'E4!eI"</f>
        <v>#VALUE!</v>
      </c>
      <c r="HP22" t="e">
        <f>Nodes!A119+"'E4!eJ"</f>
        <v>#VALUE!</v>
      </c>
      <c r="HQ22" t="e">
        <f>Nodes!B119+"'E4!eK"</f>
        <v>#VALUE!</v>
      </c>
      <c r="HR22" t="e">
        <f>Nodes!C119+"'E4!eL"</f>
        <v>#VALUE!</v>
      </c>
      <c r="HS22" t="e">
        <f>Nodes!D119+"'E4!eM"</f>
        <v>#VALUE!</v>
      </c>
      <c r="HT22" t="e">
        <f>Nodes!E119+"'E4!eN"</f>
        <v>#VALUE!</v>
      </c>
      <c r="HU22" t="e">
        <f>Nodes!F119+"'E4!eO"</f>
        <v>#VALUE!</v>
      </c>
      <c r="HV22" t="e">
        <f>Nodes!G119+"'E4!eP"</f>
        <v>#VALUE!</v>
      </c>
      <c r="HW22" t="e">
        <f>Nodes!H119+"'E4!eQ"</f>
        <v>#VALUE!</v>
      </c>
      <c r="HX22" t="e">
        <f>Nodes!I119+"'E4!eR"</f>
        <v>#VALUE!</v>
      </c>
      <c r="HY22" t="e">
        <f>Nodes!J119+"'E4!eS"</f>
        <v>#VALUE!</v>
      </c>
      <c r="HZ22" t="e">
        <f>Nodes!K119+"'E4!eT"</f>
        <v>#VALUE!</v>
      </c>
      <c r="IA22" t="e">
        <f>Nodes!L119+"'E4!eU"</f>
        <v>#VALUE!</v>
      </c>
      <c r="IB22" t="e">
        <f>Nodes!M119+"'E4!eV"</f>
        <v>#VALUE!</v>
      </c>
      <c r="IC22" t="e">
        <f>Nodes!N119+"'E4!eW"</f>
        <v>#VALUE!</v>
      </c>
      <c r="ID22" t="e">
        <f>Nodes!O119+"'E4!eX"</f>
        <v>#VALUE!</v>
      </c>
      <c r="IE22" t="e">
        <f>Nodes!P119+"'E4!eY"</f>
        <v>#VALUE!</v>
      </c>
      <c r="IF22" t="e">
        <f>Nodes!Q119+"'E4!eZ"</f>
        <v>#VALUE!</v>
      </c>
      <c r="IG22" t="e">
        <f>Nodes!R119+"'E4!e["</f>
        <v>#VALUE!</v>
      </c>
      <c r="IH22" t="e">
        <f>Nodes!S119+"'E4!e\"</f>
        <v>#VALUE!</v>
      </c>
      <c r="II22" t="e">
        <f>Nodes!T119+"'E4!e]"</f>
        <v>#VALUE!</v>
      </c>
      <c r="IJ22" s="548" t="e">
        <f>Nodes!U119+"'E4!e^"</f>
        <v>#VALUE!</v>
      </c>
      <c r="IK22" s="548" t="e">
        <f>Nodes!V119+"'E4!e_"</f>
        <v>#VALUE!</v>
      </c>
      <c r="IL22" s="548" t="e">
        <f>Nodes!W119+"'E4!e`"</f>
        <v>#VALUE!</v>
      </c>
      <c r="IM22" s="333" t="e">
        <f>Nodes!X119+"'E4!ea"</f>
        <v>#VALUE!</v>
      </c>
      <c r="IN22" t="e">
        <f>Nodes!Y119+"'E4!eb"</f>
        <v>#VALUE!</v>
      </c>
      <c r="IO22" t="e">
        <f>Nodes!Z119+"'E4!ec"</f>
        <v>#VALUE!</v>
      </c>
      <c r="IP22" t="e">
        <f>Nodes!AA119+"'E4!ed"</f>
        <v>#VALUE!</v>
      </c>
      <c r="IQ22" t="e">
        <f>Nodes!AB119+"'E4!ee"</f>
        <v>#VALUE!</v>
      </c>
      <c r="IR22" t="e">
        <f>Nodes!AC119+"'E4!ef"</f>
        <v>#VALUE!</v>
      </c>
      <c r="IS22" t="e">
        <f>Nodes!A120+"'E4!eg"</f>
        <v>#VALUE!</v>
      </c>
      <c r="IT22" t="e">
        <f>Nodes!B120+"'E4!eh"</f>
        <v>#VALUE!</v>
      </c>
      <c r="IU22" t="e">
        <f>Nodes!C120+"'E4!ei"</f>
        <v>#VALUE!</v>
      </c>
      <c r="IV22" t="e">
        <f>Nodes!D120+"'E4!ej"</f>
        <v>#VALUE!</v>
      </c>
    </row>
    <row r="23" spans="6:256">
      <c r="F23" t="e">
        <f>Nodes!E120+"'E4!ek"</f>
        <v>#VALUE!</v>
      </c>
      <c r="G23" t="e">
        <f>Nodes!F120+"'E4!el"</f>
        <v>#VALUE!</v>
      </c>
      <c r="H23" t="e">
        <f>Nodes!G120+"'E4!em"</f>
        <v>#VALUE!</v>
      </c>
      <c r="I23" t="e">
        <f>Nodes!H120+"'E4!en"</f>
        <v>#VALUE!</v>
      </c>
      <c r="J23" t="e">
        <f>Nodes!I120+"'E4!eo"</f>
        <v>#VALUE!</v>
      </c>
      <c r="K23" t="e">
        <f>Nodes!J120+"'E4!ep"</f>
        <v>#VALUE!</v>
      </c>
      <c r="L23" t="e">
        <f>Nodes!K120+"'E4!eq"</f>
        <v>#VALUE!</v>
      </c>
      <c r="M23" t="e">
        <f>Nodes!L120+"'E4!er"</f>
        <v>#VALUE!</v>
      </c>
      <c r="N23" t="e">
        <f>Nodes!M120+"'E4!es"</f>
        <v>#VALUE!</v>
      </c>
      <c r="O23" t="e">
        <f>Nodes!N120+"'E4!et"</f>
        <v>#VALUE!</v>
      </c>
      <c r="P23" t="e">
        <f>Nodes!O120+"'E4!eu"</f>
        <v>#VALUE!</v>
      </c>
      <c r="Q23" t="e">
        <f>Nodes!P120+"'E4!ev"</f>
        <v>#VALUE!</v>
      </c>
      <c r="R23" t="e">
        <f>Nodes!Q120+"'E4!ew"</f>
        <v>#VALUE!</v>
      </c>
      <c r="S23" t="e">
        <f>Nodes!R120+"'E4!ex"</f>
        <v>#VALUE!</v>
      </c>
      <c r="T23" t="e">
        <f>Nodes!S120+"'E4!ey"</f>
        <v>#VALUE!</v>
      </c>
      <c r="U23" t="e">
        <f>Nodes!T120+"'E4!ez"</f>
        <v>#VALUE!</v>
      </c>
      <c r="V23" s="548" t="e">
        <f>Nodes!U120+"'E4!e{"</f>
        <v>#VALUE!</v>
      </c>
      <c r="W23" s="548" t="e">
        <f>Nodes!V120+"'E4!e|"</f>
        <v>#VALUE!</v>
      </c>
      <c r="X23" s="548" t="e">
        <f>Nodes!W120+"'E4!e}"</f>
        <v>#VALUE!</v>
      </c>
      <c r="Y23" s="333" t="e">
        <f>Nodes!X120+"'E4!e~"</f>
        <v>#VALUE!</v>
      </c>
      <c r="Z23" t="e">
        <f>Nodes!Y120+"'E4!f#"</f>
        <v>#VALUE!</v>
      </c>
      <c r="AA23" t="e">
        <f>Nodes!Z120+"'E4!f$"</f>
        <v>#VALUE!</v>
      </c>
      <c r="AB23" t="e">
        <f>Nodes!AA120+"'E4!f%"</f>
        <v>#VALUE!</v>
      </c>
      <c r="AC23" t="e">
        <f>Nodes!AB120+"'E4!f&amp;"</f>
        <v>#VALUE!</v>
      </c>
      <c r="AD23" t="e">
        <f>Nodes!AC120+"'E4!f'"</f>
        <v>#VALUE!</v>
      </c>
      <c r="AE23" t="e">
        <f>Nodes!A121+"'E4!f("</f>
        <v>#VALUE!</v>
      </c>
      <c r="AF23" t="e">
        <f>Nodes!B121+"'E4!f)"</f>
        <v>#VALUE!</v>
      </c>
      <c r="AG23" t="e">
        <f>Nodes!C121+"'E4!f."</f>
        <v>#VALUE!</v>
      </c>
      <c r="AH23" t="e">
        <f>Nodes!D121+"'E4!f/"</f>
        <v>#VALUE!</v>
      </c>
      <c r="AI23" t="e">
        <f>Nodes!E121+"'E4!f0"</f>
        <v>#VALUE!</v>
      </c>
      <c r="AJ23" t="e">
        <f>Nodes!F121+"'E4!f1"</f>
        <v>#VALUE!</v>
      </c>
      <c r="AK23" t="e">
        <f>Nodes!G121+"'E4!f2"</f>
        <v>#VALUE!</v>
      </c>
      <c r="AL23" t="e">
        <f>Nodes!H121+"'E4!f3"</f>
        <v>#VALUE!</v>
      </c>
      <c r="AM23" t="e">
        <f>Nodes!I121+"'E4!f4"</f>
        <v>#VALUE!</v>
      </c>
      <c r="AN23" t="e">
        <f>Nodes!J121+"'E4!f5"</f>
        <v>#VALUE!</v>
      </c>
      <c r="AO23" t="e">
        <f>Nodes!K121+"'E4!f6"</f>
        <v>#VALUE!</v>
      </c>
      <c r="AP23" t="e">
        <f>Nodes!L121+"'E4!f7"</f>
        <v>#VALUE!</v>
      </c>
      <c r="AQ23" t="e">
        <f>Nodes!M121+"'E4!f8"</f>
        <v>#VALUE!</v>
      </c>
      <c r="AR23" t="e">
        <f>Nodes!N121+"'E4!f9"</f>
        <v>#VALUE!</v>
      </c>
      <c r="AS23" t="e">
        <f>Nodes!O121+"'E4!f:"</f>
        <v>#VALUE!</v>
      </c>
      <c r="AT23" t="e">
        <f>Nodes!P121+"'E4!f;"</f>
        <v>#VALUE!</v>
      </c>
      <c r="AU23" t="e">
        <f>Nodes!Q121+"'E4!f&lt;"</f>
        <v>#VALUE!</v>
      </c>
      <c r="AV23" t="e">
        <f>Nodes!R121+"'E4!f="</f>
        <v>#VALUE!</v>
      </c>
      <c r="AW23" t="e">
        <f>Nodes!S121+"'E4!f&gt;"</f>
        <v>#VALUE!</v>
      </c>
      <c r="AX23" t="e">
        <f>Nodes!T121+"'E4!f?"</f>
        <v>#VALUE!</v>
      </c>
      <c r="AY23" s="548" t="e">
        <f>Nodes!U121+"'E4!f@"</f>
        <v>#VALUE!</v>
      </c>
      <c r="AZ23" s="548" t="e">
        <f>Nodes!V121+"'E4!fA"</f>
        <v>#VALUE!</v>
      </c>
      <c r="BA23" s="548" t="e">
        <f>Nodes!W121+"'E4!fB"</f>
        <v>#VALUE!</v>
      </c>
      <c r="BB23" s="333" t="e">
        <f>Nodes!X121+"'E4!fC"</f>
        <v>#VALUE!</v>
      </c>
      <c r="BC23" t="e">
        <f>Nodes!Y121+"'E4!fD"</f>
        <v>#VALUE!</v>
      </c>
      <c r="BD23" t="e">
        <f>Nodes!Z121+"'E4!fE"</f>
        <v>#VALUE!</v>
      </c>
      <c r="BE23" t="e">
        <f>Nodes!AA121+"'E4!fF"</f>
        <v>#VALUE!</v>
      </c>
      <c r="BF23" t="e">
        <f>Nodes!AB121+"'E4!fG"</f>
        <v>#VALUE!</v>
      </c>
      <c r="BG23" t="e">
        <f>Nodes!AC121+"'E4!fH"</f>
        <v>#VALUE!</v>
      </c>
      <c r="BH23" t="e">
        <f>Nodes!A122+"'E4!fI"</f>
        <v>#VALUE!</v>
      </c>
      <c r="BI23" t="e">
        <f>Nodes!B122+"'E4!fJ"</f>
        <v>#VALUE!</v>
      </c>
      <c r="BJ23" t="e">
        <f>Nodes!C122+"'E4!fK"</f>
        <v>#VALUE!</v>
      </c>
      <c r="BK23" t="e">
        <f>Nodes!D122+"'E4!fL"</f>
        <v>#VALUE!</v>
      </c>
      <c r="BL23" t="e">
        <f>Nodes!E122+"'E4!fM"</f>
        <v>#VALUE!</v>
      </c>
      <c r="BM23" t="e">
        <f>Nodes!F122+"'E4!fN"</f>
        <v>#VALUE!</v>
      </c>
      <c r="BN23" t="e">
        <f>Nodes!G122+"'E4!fO"</f>
        <v>#VALUE!</v>
      </c>
      <c r="BO23" t="e">
        <f>Nodes!H122+"'E4!fP"</f>
        <v>#VALUE!</v>
      </c>
      <c r="BP23" t="e">
        <f>Nodes!I122+"'E4!fQ"</f>
        <v>#VALUE!</v>
      </c>
      <c r="BQ23" t="e">
        <f>Nodes!J122+"'E4!fR"</f>
        <v>#VALUE!</v>
      </c>
      <c r="BR23" t="e">
        <f>Nodes!K122+"'E4!fS"</f>
        <v>#VALUE!</v>
      </c>
      <c r="BS23" t="e">
        <f>Nodes!L122+"'E4!fT"</f>
        <v>#VALUE!</v>
      </c>
      <c r="BT23" t="e">
        <f>Nodes!M122+"'E4!fU"</f>
        <v>#VALUE!</v>
      </c>
      <c r="BU23" t="e">
        <f>Nodes!N122+"'E4!fV"</f>
        <v>#VALUE!</v>
      </c>
      <c r="BV23" t="e">
        <f>Nodes!O122+"'E4!fW"</f>
        <v>#VALUE!</v>
      </c>
      <c r="BW23" t="e">
        <f>Nodes!P122+"'E4!fX"</f>
        <v>#VALUE!</v>
      </c>
      <c r="BX23" t="e">
        <f>Nodes!Q122+"'E4!fY"</f>
        <v>#VALUE!</v>
      </c>
      <c r="BY23" t="e">
        <f>Nodes!R122+"'E4!fZ"</f>
        <v>#VALUE!</v>
      </c>
      <c r="BZ23" t="e">
        <f>Nodes!S122+"'E4!f["</f>
        <v>#VALUE!</v>
      </c>
      <c r="CA23" t="e">
        <f>Nodes!T122+"'E4!f\"</f>
        <v>#VALUE!</v>
      </c>
      <c r="CB23" s="548" t="e">
        <f>Nodes!U122+"'E4!f]"</f>
        <v>#VALUE!</v>
      </c>
      <c r="CC23" s="548" t="e">
        <f>Nodes!V122+"'E4!f^"</f>
        <v>#VALUE!</v>
      </c>
      <c r="CD23" s="548" t="e">
        <f>Nodes!W122+"'E4!f_"</f>
        <v>#VALUE!</v>
      </c>
      <c r="CE23" s="333" t="e">
        <f>Nodes!X122+"'E4!f`"</f>
        <v>#VALUE!</v>
      </c>
      <c r="CF23" t="e">
        <f>Nodes!Y122+"'E4!fa"</f>
        <v>#VALUE!</v>
      </c>
      <c r="CG23" t="e">
        <f>Nodes!Z122+"'E4!fb"</f>
        <v>#VALUE!</v>
      </c>
      <c r="CH23" t="e">
        <f>Nodes!AA122+"'E4!fc"</f>
        <v>#VALUE!</v>
      </c>
      <c r="CI23" t="e">
        <f>Nodes!AB122+"'E4!fd"</f>
        <v>#VALUE!</v>
      </c>
      <c r="CJ23" t="e">
        <f>Nodes!AC122+"'E4!fe"</f>
        <v>#VALUE!</v>
      </c>
      <c r="CK23" t="e">
        <f>Nodes!A123+"'E4!ff"</f>
        <v>#VALUE!</v>
      </c>
      <c r="CL23" t="e">
        <f>Nodes!B123+"'E4!fg"</f>
        <v>#VALUE!</v>
      </c>
      <c r="CM23" t="e">
        <f>Nodes!C123+"'E4!fh"</f>
        <v>#VALUE!</v>
      </c>
      <c r="CN23" t="e">
        <f>Nodes!D123+"'E4!fi"</f>
        <v>#VALUE!</v>
      </c>
      <c r="CO23" t="e">
        <f>Nodes!E123+"'E4!fj"</f>
        <v>#VALUE!</v>
      </c>
      <c r="CP23" t="e">
        <f>Nodes!F123+"'E4!fk"</f>
        <v>#VALUE!</v>
      </c>
      <c r="CQ23" t="e">
        <f>Nodes!G123+"'E4!fl"</f>
        <v>#VALUE!</v>
      </c>
      <c r="CR23" t="e">
        <f>Nodes!H123+"'E4!fm"</f>
        <v>#VALUE!</v>
      </c>
      <c r="CS23" t="e">
        <f>Nodes!I123+"'E4!fn"</f>
        <v>#VALUE!</v>
      </c>
      <c r="CT23" t="e">
        <f>Nodes!J123+"'E4!fo"</f>
        <v>#VALUE!</v>
      </c>
      <c r="CU23" t="e">
        <f>Nodes!K123+"'E4!fp"</f>
        <v>#VALUE!</v>
      </c>
      <c r="CV23" t="e">
        <f>Nodes!L123+"'E4!fq"</f>
        <v>#VALUE!</v>
      </c>
      <c r="CW23" t="e">
        <f>Nodes!M123+"'E4!fr"</f>
        <v>#VALUE!</v>
      </c>
      <c r="CX23" t="e">
        <f>Nodes!N123+"'E4!fs"</f>
        <v>#VALUE!</v>
      </c>
      <c r="CY23" t="e">
        <f>Nodes!O123+"'E4!ft"</f>
        <v>#VALUE!</v>
      </c>
      <c r="CZ23" t="e">
        <f>Nodes!P123+"'E4!fu"</f>
        <v>#VALUE!</v>
      </c>
      <c r="DA23" t="e">
        <f>Nodes!Q123+"'E4!fv"</f>
        <v>#VALUE!</v>
      </c>
      <c r="DB23" t="e">
        <f>Nodes!R123+"'E4!fw"</f>
        <v>#VALUE!</v>
      </c>
      <c r="DC23" t="e">
        <f>Nodes!S123+"'E4!fx"</f>
        <v>#VALUE!</v>
      </c>
      <c r="DD23" t="e">
        <f>Nodes!T123+"'E4!fy"</f>
        <v>#VALUE!</v>
      </c>
      <c r="DE23" s="548" t="e">
        <f>Nodes!U123+"'E4!fz"</f>
        <v>#VALUE!</v>
      </c>
      <c r="DF23" s="548" t="e">
        <f>Nodes!V123+"'E4!f{"</f>
        <v>#VALUE!</v>
      </c>
      <c r="DG23" s="548" t="e">
        <f>Nodes!W123+"'E4!f|"</f>
        <v>#VALUE!</v>
      </c>
      <c r="DH23" s="333" t="e">
        <f>Nodes!X123+"'E4!f}"</f>
        <v>#VALUE!</v>
      </c>
      <c r="DI23" t="e">
        <f>Nodes!Y123+"'E4!f~"</f>
        <v>#VALUE!</v>
      </c>
      <c r="DJ23" t="e">
        <f>Nodes!Z123+"'E4!g#"</f>
        <v>#VALUE!</v>
      </c>
      <c r="DK23" t="e">
        <f>Nodes!AA123+"'E4!g$"</f>
        <v>#VALUE!</v>
      </c>
      <c r="DL23" t="e">
        <f>Nodes!AB123+"'E4!g%"</f>
        <v>#VALUE!</v>
      </c>
      <c r="DM23" t="e">
        <f>Nodes!AC123+"'E4!g&amp;"</f>
        <v>#VALUE!</v>
      </c>
      <c r="DN23" t="e">
        <f>Nodes!A124+"'E4!g'"</f>
        <v>#VALUE!</v>
      </c>
      <c r="DO23" t="e">
        <f>Nodes!B124+"'E4!g("</f>
        <v>#VALUE!</v>
      </c>
      <c r="DP23" t="e">
        <f>Nodes!C124+"'E4!g)"</f>
        <v>#VALUE!</v>
      </c>
      <c r="DQ23" t="e">
        <f>Nodes!D124+"'E4!g."</f>
        <v>#VALUE!</v>
      </c>
      <c r="DR23" t="e">
        <f>Nodes!E124+"'E4!g/"</f>
        <v>#VALUE!</v>
      </c>
      <c r="DS23" t="e">
        <f>Nodes!F124+"'E4!g0"</f>
        <v>#VALUE!</v>
      </c>
      <c r="DT23" t="e">
        <f>Nodes!G124+"'E4!g1"</f>
        <v>#VALUE!</v>
      </c>
      <c r="DU23" t="e">
        <f>Nodes!H124+"'E4!g2"</f>
        <v>#VALUE!</v>
      </c>
      <c r="DV23" t="e">
        <f>Nodes!I124+"'E4!g3"</f>
        <v>#VALUE!</v>
      </c>
      <c r="DW23" t="e">
        <f>Nodes!J124+"'E4!g4"</f>
        <v>#VALUE!</v>
      </c>
      <c r="DX23" t="e">
        <f>Nodes!K124+"'E4!g5"</f>
        <v>#VALUE!</v>
      </c>
      <c r="DY23" t="e">
        <f>Nodes!L124+"'E4!g6"</f>
        <v>#VALUE!</v>
      </c>
      <c r="DZ23" t="e">
        <f>Nodes!M124+"'E4!g7"</f>
        <v>#VALUE!</v>
      </c>
      <c r="EA23" t="e">
        <f>Nodes!N124+"'E4!g8"</f>
        <v>#VALUE!</v>
      </c>
      <c r="EB23" t="e">
        <f>Nodes!O124+"'E4!g9"</f>
        <v>#VALUE!</v>
      </c>
      <c r="EC23" t="e">
        <f>Nodes!P124+"'E4!g:"</f>
        <v>#VALUE!</v>
      </c>
      <c r="ED23" t="e">
        <f>Nodes!Q124+"'E4!g;"</f>
        <v>#VALUE!</v>
      </c>
      <c r="EE23" t="e">
        <f>Nodes!R124+"'E4!g&lt;"</f>
        <v>#VALUE!</v>
      </c>
      <c r="EF23" t="e">
        <f>Nodes!S124+"'E4!g="</f>
        <v>#VALUE!</v>
      </c>
      <c r="EG23" t="e">
        <f>Nodes!T124+"'E4!g&gt;"</f>
        <v>#VALUE!</v>
      </c>
      <c r="EH23" s="548" t="e">
        <f>Nodes!U124+"'E4!g?"</f>
        <v>#VALUE!</v>
      </c>
      <c r="EI23" s="548" t="e">
        <f>Nodes!V124+"'E4!g@"</f>
        <v>#VALUE!</v>
      </c>
      <c r="EJ23" s="548" t="e">
        <f>Nodes!W124+"'E4!gA"</f>
        <v>#VALUE!</v>
      </c>
      <c r="EK23" s="333" t="e">
        <f>Nodes!X124+"'E4!gB"</f>
        <v>#VALUE!</v>
      </c>
      <c r="EL23" t="e">
        <f>Nodes!Y124+"'E4!gC"</f>
        <v>#VALUE!</v>
      </c>
      <c r="EM23" t="e">
        <f>Nodes!Z124+"'E4!gD"</f>
        <v>#VALUE!</v>
      </c>
      <c r="EN23" t="e">
        <f>Nodes!AA124+"'E4!gE"</f>
        <v>#VALUE!</v>
      </c>
      <c r="EO23" t="e">
        <f>Nodes!AB124+"'E4!gF"</f>
        <v>#VALUE!</v>
      </c>
      <c r="EP23" t="e">
        <f>Nodes!AC124+"'E4!gG"</f>
        <v>#VALUE!</v>
      </c>
      <c r="EQ23" t="e">
        <f>Nodes!A125+"'E4!gH"</f>
        <v>#VALUE!</v>
      </c>
      <c r="ER23" t="e">
        <f>Nodes!B125+"'E4!gI"</f>
        <v>#VALUE!</v>
      </c>
      <c r="ES23" t="e">
        <f>Nodes!C125+"'E4!gJ"</f>
        <v>#VALUE!</v>
      </c>
      <c r="ET23" t="e">
        <f>Nodes!D125+"'E4!gK"</f>
        <v>#VALUE!</v>
      </c>
      <c r="EU23" t="e">
        <f>Nodes!E125+"'E4!gL"</f>
        <v>#VALUE!</v>
      </c>
      <c r="EV23" t="e">
        <f>Nodes!F125+"'E4!gM"</f>
        <v>#VALUE!</v>
      </c>
      <c r="EW23" t="e">
        <f>Nodes!G125+"'E4!gN"</f>
        <v>#VALUE!</v>
      </c>
      <c r="EX23" t="e">
        <f>Nodes!H125+"'E4!gO"</f>
        <v>#VALUE!</v>
      </c>
      <c r="EY23" t="e">
        <f>Nodes!I125+"'E4!gP"</f>
        <v>#VALUE!</v>
      </c>
      <c r="EZ23" t="e">
        <f>Nodes!J125+"'E4!gQ"</f>
        <v>#VALUE!</v>
      </c>
      <c r="FA23" t="e">
        <f>Nodes!K125+"'E4!gR"</f>
        <v>#VALUE!</v>
      </c>
      <c r="FB23" t="e">
        <f>Nodes!L125+"'E4!gS"</f>
        <v>#VALUE!</v>
      </c>
      <c r="FC23" t="e">
        <f>Nodes!M125+"'E4!gT"</f>
        <v>#VALUE!</v>
      </c>
      <c r="FD23" t="e">
        <f>Nodes!N125+"'E4!gU"</f>
        <v>#VALUE!</v>
      </c>
      <c r="FE23" t="e">
        <f>Nodes!O125+"'E4!gV"</f>
        <v>#VALUE!</v>
      </c>
      <c r="FF23" t="e">
        <f>Nodes!P125+"'E4!gW"</f>
        <v>#VALUE!</v>
      </c>
      <c r="FG23" t="e">
        <f>Nodes!Q125+"'E4!gX"</f>
        <v>#VALUE!</v>
      </c>
      <c r="FH23" t="e">
        <f>Nodes!R125+"'E4!gY"</f>
        <v>#VALUE!</v>
      </c>
      <c r="FI23" t="e">
        <f>Nodes!S125+"'E4!gZ"</f>
        <v>#VALUE!</v>
      </c>
      <c r="FJ23" t="e">
        <f>Nodes!T125+"'E4!g["</f>
        <v>#VALUE!</v>
      </c>
      <c r="FK23" s="548" t="e">
        <f>Nodes!U125+"'E4!g\"</f>
        <v>#VALUE!</v>
      </c>
      <c r="FL23" s="548" t="e">
        <f>Nodes!V125+"'E4!g]"</f>
        <v>#VALUE!</v>
      </c>
      <c r="FM23" s="548" t="e">
        <f>Nodes!W125+"'E4!g^"</f>
        <v>#VALUE!</v>
      </c>
      <c r="FN23" s="333" t="e">
        <f>Nodes!X125+"'E4!g_"</f>
        <v>#VALUE!</v>
      </c>
      <c r="FO23" t="e">
        <f>Nodes!Y125+"'E4!g`"</f>
        <v>#VALUE!</v>
      </c>
      <c r="FP23" t="e">
        <f>Nodes!Z125+"'E4!ga"</f>
        <v>#VALUE!</v>
      </c>
      <c r="FQ23" t="e">
        <f>Nodes!AA125+"'E4!gb"</f>
        <v>#VALUE!</v>
      </c>
      <c r="FR23" t="e">
        <f>Nodes!AB125+"'E4!gc"</f>
        <v>#VALUE!</v>
      </c>
      <c r="FS23" t="e">
        <f>Nodes!AC125+"'E4!gd"</f>
        <v>#VALUE!</v>
      </c>
      <c r="FT23" t="e">
        <f>Nodes!A126+"'E4!ge"</f>
        <v>#VALUE!</v>
      </c>
      <c r="FU23" t="e">
        <f>Nodes!B126+"'E4!gf"</f>
        <v>#VALUE!</v>
      </c>
      <c r="FV23" t="e">
        <f>Nodes!C126+"'E4!gg"</f>
        <v>#VALUE!</v>
      </c>
      <c r="FW23" t="e">
        <f>Nodes!D126+"'E4!gh"</f>
        <v>#VALUE!</v>
      </c>
      <c r="FX23" t="e">
        <f>Nodes!E126+"'E4!gi"</f>
        <v>#VALUE!</v>
      </c>
      <c r="FY23" t="e">
        <f>Nodes!F126+"'E4!gj"</f>
        <v>#VALUE!</v>
      </c>
      <c r="FZ23" t="e">
        <f>Nodes!G126+"'E4!gk"</f>
        <v>#VALUE!</v>
      </c>
      <c r="GA23" t="e">
        <f>Nodes!H126+"'E4!gl"</f>
        <v>#VALUE!</v>
      </c>
      <c r="GB23" t="e">
        <f>Nodes!I126+"'E4!gm"</f>
        <v>#VALUE!</v>
      </c>
      <c r="GC23" t="e">
        <f>Nodes!J126+"'E4!gn"</f>
        <v>#VALUE!</v>
      </c>
      <c r="GD23" t="e">
        <f>Nodes!K126+"'E4!go"</f>
        <v>#VALUE!</v>
      </c>
      <c r="GE23" t="e">
        <f>Nodes!L126+"'E4!gp"</f>
        <v>#VALUE!</v>
      </c>
      <c r="GF23" t="e">
        <f>Nodes!M126+"'E4!gq"</f>
        <v>#VALUE!</v>
      </c>
      <c r="GG23" t="e">
        <f>Nodes!N126+"'E4!gr"</f>
        <v>#VALUE!</v>
      </c>
      <c r="GH23" t="e">
        <f>Nodes!O126+"'E4!gs"</f>
        <v>#VALUE!</v>
      </c>
      <c r="GI23" t="e">
        <f>Nodes!P126+"'E4!gt"</f>
        <v>#VALUE!</v>
      </c>
      <c r="GJ23" t="e">
        <f>Nodes!Q126+"'E4!gu"</f>
        <v>#VALUE!</v>
      </c>
      <c r="GK23" t="e">
        <f>Nodes!R126+"'E4!gv"</f>
        <v>#VALUE!</v>
      </c>
      <c r="GL23" t="e">
        <f>Nodes!S126+"'E4!gw"</f>
        <v>#VALUE!</v>
      </c>
      <c r="GM23" t="e">
        <f>Nodes!T126+"'E4!gx"</f>
        <v>#VALUE!</v>
      </c>
      <c r="GN23" s="548" t="e">
        <f>Nodes!U126+"'E4!gy"</f>
        <v>#VALUE!</v>
      </c>
      <c r="GO23" s="548" t="e">
        <f>Nodes!V126+"'E4!gz"</f>
        <v>#VALUE!</v>
      </c>
      <c r="GP23" s="548" t="e">
        <f>Nodes!W126+"'E4!g{"</f>
        <v>#VALUE!</v>
      </c>
      <c r="GQ23" s="333" t="e">
        <f>Nodes!X126+"'E4!g|"</f>
        <v>#VALUE!</v>
      </c>
      <c r="GR23" t="e">
        <f>Nodes!Y126+"'E4!g}"</f>
        <v>#VALUE!</v>
      </c>
      <c r="GS23" t="e">
        <f>Nodes!Z126+"'E4!g~"</f>
        <v>#VALUE!</v>
      </c>
      <c r="GT23" t="e">
        <f>Nodes!AA126+"'E4!h#"</f>
        <v>#VALUE!</v>
      </c>
      <c r="GU23" t="e">
        <f>Nodes!AB126+"'E4!h$"</f>
        <v>#VALUE!</v>
      </c>
      <c r="GV23" t="e">
        <f>Nodes!AC126+"'E4!h%"</f>
        <v>#VALUE!</v>
      </c>
      <c r="GW23" t="e">
        <f>Nodes!A127+"'E4!h&amp;"</f>
        <v>#VALUE!</v>
      </c>
      <c r="GX23" t="e">
        <f>Nodes!B127+"'E4!h'"</f>
        <v>#VALUE!</v>
      </c>
      <c r="GY23" t="e">
        <f>Nodes!C127+"'E4!h("</f>
        <v>#VALUE!</v>
      </c>
      <c r="GZ23" t="e">
        <f>Nodes!D127+"'E4!h)"</f>
        <v>#VALUE!</v>
      </c>
      <c r="HA23" t="e">
        <f>Nodes!E127+"'E4!h."</f>
        <v>#VALUE!</v>
      </c>
      <c r="HB23" t="e">
        <f>Nodes!F127+"'E4!h/"</f>
        <v>#VALUE!</v>
      </c>
      <c r="HC23" t="e">
        <f>Nodes!G127+"'E4!h0"</f>
        <v>#VALUE!</v>
      </c>
      <c r="HD23" t="e">
        <f>Nodes!H127+"'E4!h1"</f>
        <v>#VALUE!</v>
      </c>
      <c r="HE23" t="e">
        <f>Nodes!I127+"'E4!h2"</f>
        <v>#VALUE!</v>
      </c>
      <c r="HF23" t="e">
        <f>Nodes!J127+"'E4!h3"</f>
        <v>#VALUE!</v>
      </c>
      <c r="HG23" t="e">
        <f>Nodes!K127+"'E4!h4"</f>
        <v>#VALUE!</v>
      </c>
      <c r="HH23" t="e">
        <f>Nodes!L127+"'E4!h5"</f>
        <v>#VALUE!</v>
      </c>
      <c r="HI23" t="e">
        <f>Nodes!M127+"'E4!h6"</f>
        <v>#VALUE!</v>
      </c>
      <c r="HJ23" t="e">
        <f>Nodes!N127+"'E4!h7"</f>
        <v>#VALUE!</v>
      </c>
      <c r="HK23" t="e">
        <f>Nodes!O127+"'E4!h8"</f>
        <v>#VALUE!</v>
      </c>
      <c r="HL23" t="e">
        <f>Nodes!P127+"'E4!h9"</f>
        <v>#VALUE!</v>
      </c>
      <c r="HM23" t="e">
        <f>Nodes!Q127+"'E4!h:"</f>
        <v>#VALUE!</v>
      </c>
      <c r="HN23" t="e">
        <f>Nodes!R127+"'E4!h;"</f>
        <v>#VALUE!</v>
      </c>
      <c r="HO23" t="e">
        <f>Nodes!S127+"'E4!h&lt;"</f>
        <v>#VALUE!</v>
      </c>
      <c r="HP23" t="e">
        <f>Nodes!T127+"'E4!h="</f>
        <v>#VALUE!</v>
      </c>
      <c r="HQ23" s="548" t="e">
        <f>Nodes!U127+"'E4!h&gt;"</f>
        <v>#VALUE!</v>
      </c>
      <c r="HR23" s="548" t="e">
        <f>Nodes!V127+"'E4!h?"</f>
        <v>#VALUE!</v>
      </c>
      <c r="HS23" s="548" t="e">
        <f>Nodes!W127+"'E4!h@"</f>
        <v>#VALUE!</v>
      </c>
      <c r="HT23" s="333" t="e">
        <f>Nodes!X127+"'E4!hA"</f>
        <v>#VALUE!</v>
      </c>
      <c r="HU23" t="e">
        <f>Nodes!Y127+"'E4!hB"</f>
        <v>#VALUE!</v>
      </c>
      <c r="HV23" t="e">
        <f>Nodes!Z127+"'E4!hC"</f>
        <v>#VALUE!</v>
      </c>
      <c r="HW23" t="e">
        <f>Nodes!AA127+"'E4!hD"</f>
        <v>#VALUE!</v>
      </c>
      <c r="HX23" t="e">
        <f>Nodes!AB127+"'E4!hE"</f>
        <v>#VALUE!</v>
      </c>
      <c r="HY23" t="e">
        <f>Nodes!AC127+"'E4!hF"</f>
        <v>#VALUE!</v>
      </c>
      <c r="HZ23" t="e">
        <f>Nodes!A128+"'E4!hG"</f>
        <v>#VALUE!</v>
      </c>
      <c r="IA23" t="e">
        <f>Nodes!B128+"'E4!hH"</f>
        <v>#VALUE!</v>
      </c>
      <c r="IB23" t="e">
        <f>Nodes!C128+"'E4!hI"</f>
        <v>#VALUE!</v>
      </c>
      <c r="IC23" t="e">
        <f>Nodes!D128+"'E4!hJ"</f>
        <v>#VALUE!</v>
      </c>
      <c r="ID23" t="e">
        <f>Nodes!E128+"'E4!hK"</f>
        <v>#VALUE!</v>
      </c>
      <c r="IE23" t="e">
        <f>Nodes!F128+"'E4!hL"</f>
        <v>#VALUE!</v>
      </c>
      <c r="IF23" t="e">
        <f>Nodes!G128+"'E4!hM"</f>
        <v>#VALUE!</v>
      </c>
      <c r="IG23" t="e">
        <f>Nodes!H128+"'E4!hN"</f>
        <v>#VALUE!</v>
      </c>
      <c r="IH23" t="e">
        <f>Nodes!I128+"'E4!hO"</f>
        <v>#VALUE!</v>
      </c>
      <c r="II23" t="e">
        <f>Nodes!J128+"'E4!hP"</f>
        <v>#VALUE!</v>
      </c>
      <c r="IJ23" t="e">
        <f>Nodes!K128+"'E4!hQ"</f>
        <v>#VALUE!</v>
      </c>
      <c r="IK23" t="e">
        <f>Nodes!L128+"'E4!hR"</f>
        <v>#VALUE!</v>
      </c>
      <c r="IL23" t="e">
        <f>Nodes!M128+"'E4!hS"</f>
        <v>#VALUE!</v>
      </c>
      <c r="IM23" t="e">
        <f>Nodes!N128+"'E4!hT"</f>
        <v>#VALUE!</v>
      </c>
      <c r="IN23" t="e">
        <f>Nodes!O128+"'E4!hU"</f>
        <v>#VALUE!</v>
      </c>
      <c r="IO23" t="e">
        <f>Nodes!P128+"'E4!hV"</f>
        <v>#VALUE!</v>
      </c>
      <c r="IP23" t="e">
        <f>Nodes!Q128+"'E4!hW"</f>
        <v>#VALUE!</v>
      </c>
      <c r="IQ23" t="e">
        <f>Nodes!R128+"'E4!hX"</f>
        <v>#VALUE!</v>
      </c>
      <c r="IR23" t="e">
        <f>Nodes!S128+"'E4!hY"</f>
        <v>#VALUE!</v>
      </c>
      <c r="IS23" t="e">
        <f>Nodes!T128+"'E4!hZ"</f>
        <v>#VALUE!</v>
      </c>
      <c r="IT23" s="548" t="e">
        <f>Nodes!U128+"'E4!h["</f>
        <v>#VALUE!</v>
      </c>
      <c r="IU23" s="548" t="e">
        <f>Nodes!V128+"'E4!h\"</f>
        <v>#VALUE!</v>
      </c>
      <c r="IV23" s="548" t="e">
        <f>Nodes!W128+"'E4!h]"</f>
        <v>#VALUE!</v>
      </c>
    </row>
    <row r="24" spans="6:256">
      <c r="F24" s="333" t="e">
        <f>Nodes!X128+"'E4!h^"</f>
        <v>#VALUE!</v>
      </c>
      <c r="G24" t="e">
        <f>Nodes!Y128+"'E4!h_"</f>
        <v>#VALUE!</v>
      </c>
      <c r="H24" t="e">
        <f>Nodes!Z128+"'E4!h`"</f>
        <v>#VALUE!</v>
      </c>
      <c r="I24" t="e">
        <f>Nodes!AA128+"'E4!ha"</f>
        <v>#VALUE!</v>
      </c>
      <c r="J24" t="e">
        <f>Nodes!AB128+"'E4!hb"</f>
        <v>#VALUE!</v>
      </c>
      <c r="K24" t="e">
        <f>Nodes!AC128+"'E4!hc"</f>
        <v>#VALUE!</v>
      </c>
      <c r="L24" t="e">
        <f>Nodes!A129+"'E4!hd"</f>
        <v>#VALUE!</v>
      </c>
      <c r="M24" t="e">
        <f>Nodes!B129+"'E4!he"</f>
        <v>#VALUE!</v>
      </c>
      <c r="N24" t="e">
        <f>Nodes!C129+"'E4!hf"</f>
        <v>#VALUE!</v>
      </c>
      <c r="O24" t="e">
        <f>Nodes!D129+"'E4!hg"</f>
        <v>#VALUE!</v>
      </c>
      <c r="P24" t="e">
        <f>Nodes!E129+"'E4!hh"</f>
        <v>#VALUE!</v>
      </c>
      <c r="Q24" t="e">
        <f>Nodes!F129+"'E4!hi"</f>
        <v>#VALUE!</v>
      </c>
      <c r="R24" t="e">
        <f>Nodes!G129+"'E4!hj"</f>
        <v>#VALUE!</v>
      </c>
      <c r="S24" t="e">
        <f>Nodes!H129+"'E4!hk"</f>
        <v>#VALUE!</v>
      </c>
      <c r="T24" t="e">
        <f>Nodes!I129+"'E4!hl"</f>
        <v>#VALUE!</v>
      </c>
      <c r="U24" t="e">
        <f>Nodes!J129+"'E4!hm"</f>
        <v>#VALUE!</v>
      </c>
      <c r="V24" t="e">
        <f>Nodes!K129+"'E4!hn"</f>
        <v>#VALUE!</v>
      </c>
      <c r="W24" t="e">
        <f>Nodes!L129+"'E4!ho"</f>
        <v>#VALUE!</v>
      </c>
      <c r="X24" t="e">
        <f>Nodes!M129+"'E4!hp"</f>
        <v>#VALUE!</v>
      </c>
      <c r="Y24" t="e">
        <f>Nodes!N129+"'E4!hq"</f>
        <v>#VALUE!</v>
      </c>
      <c r="Z24" t="e">
        <f>Nodes!O129+"'E4!hr"</f>
        <v>#VALUE!</v>
      </c>
      <c r="AA24" t="e">
        <f>Nodes!P129+"'E4!hs"</f>
        <v>#VALUE!</v>
      </c>
      <c r="AB24" t="e">
        <f>Nodes!Q129+"'E4!ht"</f>
        <v>#VALUE!</v>
      </c>
      <c r="AC24" t="e">
        <f>Nodes!R129+"'E4!hu"</f>
        <v>#VALUE!</v>
      </c>
      <c r="AD24" t="e">
        <f>Nodes!S129+"'E4!hv"</f>
        <v>#VALUE!</v>
      </c>
      <c r="AE24" t="e">
        <f>Nodes!T129+"'E4!hw"</f>
        <v>#VALUE!</v>
      </c>
      <c r="AF24" s="548" t="e">
        <f>Nodes!U129+"'E4!hx"</f>
        <v>#VALUE!</v>
      </c>
      <c r="AG24" s="548" t="e">
        <f>Nodes!V129+"'E4!hy"</f>
        <v>#VALUE!</v>
      </c>
      <c r="AH24" s="548" t="e">
        <f>Nodes!W129+"'E4!hz"</f>
        <v>#VALUE!</v>
      </c>
      <c r="AI24" s="333" t="e">
        <f>Nodes!X129+"'E4!h{"</f>
        <v>#VALUE!</v>
      </c>
      <c r="AJ24" t="e">
        <f>Nodes!Y129+"'E4!h|"</f>
        <v>#VALUE!</v>
      </c>
      <c r="AK24" t="e">
        <f>Nodes!Z129+"'E4!h}"</f>
        <v>#VALUE!</v>
      </c>
      <c r="AL24" t="e">
        <f>Nodes!AA129+"'E4!h~"</f>
        <v>#VALUE!</v>
      </c>
      <c r="AM24" t="e">
        <f>Nodes!AB129+"'E4!i#"</f>
        <v>#VALUE!</v>
      </c>
      <c r="AN24" t="e">
        <f>Nodes!AC129+"'E4!i$"</f>
        <v>#VALUE!</v>
      </c>
      <c r="AO24" t="e">
        <f>Nodes!A130+"'E4!i%"</f>
        <v>#VALUE!</v>
      </c>
      <c r="AP24" t="e">
        <f>Nodes!B130+"'E4!i&amp;"</f>
        <v>#VALUE!</v>
      </c>
      <c r="AQ24" t="e">
        <f>Nodes!C130+"'E4!i'"</f>
        <v>#VALUE!</v>
      </c>
      <c r="AR24" t="e">
        <f>Nodes!D130+"'E4!i("</f>
        <v>#VALUE!</v>
      </c>
      <c r="AS24" t="e">
        <f>Nodes!E130+"'E4!i)"</f>
        <v>#VALUE!</v>
      </c>
      <c r="AT24" t="e">
        <f>Nodes!F130+"'E4!i."</f>
        <v>#VALUE!</v>
      </c>
      <c r="AU24" t="e">
        <f>Nodes!G130+"'E4!i/"</f>
        <v>#VALUE!</v>
      </c>
      <c r="AV24" t="e">
        <f>Nodes!H130+"'E4!i0"</f>
        <v>#VALUE!</v>
      </c>
      <c r="AW24" t="e">
        <f>Nodes!I130+"'E4!i1"</f>
        <v>#VALUE!</v>
      </c>
      <c r="AX24" t="e">
        <f>Nodes!J130+"'E4!i2"</f>
        <v>#VALUE!</v>
      </c>
      <c r="AY24" t="e">
        <f>Nodes!K130+"'E4!i3"</f>
        <v>#VALUE!</v>
      </c>
      <c r="AZ24" t="e">
        <f>Nodes!L130+"'E4!i4"</f>
        <v>#VALUE!</v>
      </c>
      <c r="BA24" t="e">
        <f>Nodes!M130+"'E4!i5"</f>
        <v>#VALUE!</v>
      </c>
      <c r="BB24" t="e">
        <f>Nodes!N130+"'E4!i6"</f>
        <v>#VALUE!</v>
      </c>
      <c r="BC24" t="e">
        <f>Nodes!O130+"'E4!i7"</f>
        <v>#VALUE!</v>
      </c>
      <c r="BD24" t="e">
        <f>Nodes!P130+"'E4!i8"</f>
        <v>#VALUE!</v>
      </c>
      <c r="BE24" t="e">
        <f>Nodes!Q130+"'E4!i9"</f>
        <v>#VALUE!</v>
      </c>
      <c r="BF24" t="e">
        <f>Nodes!R130+"'E4!i:"</f>
        <v>#VALUE!</v>
      </c>
      <c r="BG24" t="e">
        <f>Nodes!S130+"'E4!i;"</f>
        <v>#VALUE!</v>
      </c>
      <c r="BH24" t="e">
        <f>Nodes!T130+"'E4!i&lt;"</f>
        <v>#VALUE!</v>
      </c>
      <c r="BI24" s="548" t="e">
        <f>Nodes!U130+"'E4!i="</f>
        <v>#VALUE!</v>
      </c>
      <c r="BJ24" s="548" t="e">
        <f>Nodes!V130+"'E4!i&gt;"</f>
        <v>#VALUE!</v>
      </c>
      <c r="BK24" s="548" t="e">
        <f>Nodes!W130+"'E4!i?"</f>
        <v>#VALUE!</v>
      </c>
      <c r="BL24" s="333" t="e">
        <f>Nodes!X130+"'E4!i@"</f>
        <v>#VALUE!</v>
      </c>
      <c r="BM24" t="e">
        <f>Nodes!Y130+"'E4!iA"</f>
        <v>#VALUE!</v>
      </c>
      <c r="BN24" t="e">
        <f>Nodes!Z130+"'E4!iB"</f>
        <v>#VALUE!</v>
      </c>
      <c r="BO24" t="e">
        <f>Nodes!AA130+"'E4!iC"</f>
        <v>#VALUE!</v>
      </c>
      <c r="BP24" t="e">
        <f>Nodes!AB130+"'E4!iD"</f>
        <v>#VALUE!</v>
      </c>
      <c r="BQ24" t="e">
        <f>Nodes!AC130+"'E4!iE"</f>
        <v>#VALUE!</v>
      </c>
      <c r="BR24" t="e">
        <f>Nodes!A131+"'E4!iF"</f>
        <v>#VALUE!</v>
      </c>
      <c r="BS24" t="e">
        <f>Nodes!B131+"'E4!iG"</f>
        <v>#VALUE!</v>
      </c>
      <c r="BT24" t="e">
        <f>Nodes!C131+"'E4!iH"</f>
        <v>#VALUE!</v>
      </c>
      <c r="BU24" t="e">
        <f>Nodes!D131+"'E4!iI"</f>
        <v>#VALUE!</v>
      </c>
      <c r="BV24" t="e">
        <f>Nodes!E131+"'E4!iJ"</f>
        <v>#VALUE!</v>
      </c>
      <c r="BW24" t="e">
        <f>Nodes!F131+"'E4!iK"</f>
        <v>#VALUE!</v>
      </c>
      <c r="BX24" t="e">
        <f>Nodes!G131+"'E4!iL"</f>
        <v>#VALUE!</v>
      </c>
      <c r="BY24" t="e">
        <f>Nodes!H131+"'E4!iM"</f>
        <v>#VALUE!</v>
      </c>
      <c r="BZ24" t="e">
        <f>Nodes!I131+"'E4!iN"</f>
        <v>#VALUE!</v>
      </c>
      <c r="CA24" t="e">
        <f>Nodes!J131+"'E4!iO"</f>
        <v>#VALUE!</v>
      </c>
      <c r="CB24" t="e">
        <f>Nodes!K131+"'E4!iP"</f>
        <v>#VALUE!</v>
      </c>
      <c r="CC24" t="e">
        <f>Nodes!L131+"'E4!iQ"</f>
        <v>#VALUE!</v>
      </c>
      <c r="CD24" t="e">
        <f>Nodes!M131+"'E4!iR"</f>
        <v>#VALUE!</v>
      </c>
      <c r="CE24" t="e">
        <f>Nodes!N131+"'E4!iS"</f>
        <v>#VALUE!</v>
      </c>
      <c r="CF24" t="e">
        <f>Nodes!O131+"'E4!iT"</f>
        <v>#VALUE!</v>
      </c>
      <c r="CG24" t="e">
        <f>Nodes!P131+"'E4!iU"</f>
        <v>#VALUE!</v>
      </c>
      <c r="CH24" t="e">
        <f>Nodes!Q131+"'E4!iV"</f>
        <v>#VALUE!</v>
      </c>
      <c r="CI24" t="e">
        <f>Nodes!R131+"'E4!iW"</f>
        <v>#VALUE!</v>
      </c>
      <c r="CJ24" t="e">
        <f>Nodes!S131+"'E4!iX"</f>
        <v>#VALUE!</v>
      </c>
      <c r="CK24" t="e">
        <f>Nodes!T131+"'E4!iY"</f>
        <v>#VALUE!</v>
      </c>
      <c r="CL24" s="548" t="e">
        <f>Nodes!U131+"'E4!iZ"</f>
        <v>#VALUE!</v>
      </c>
      <c r="CM24" s="548" t="e">
        <f>Nodes!V131+"'E4!i["</f>
        <v>#VALUE!</v>
      </c>
      <c r="CN24" s="548" t="e">
        <f>Nodes!W131+"'E4!i\"</f>
        <v>#VALUE!</v>
      </c>
      <c r="CO24" s="333" t="e">
        <f>Nodes!X131+"'E4!i]"</f>
        <v>#VALUE!</v>
      </c>
      <c r="CP24" t="e">
        <f>Nodes!Y131+"'E4!i^"</f>
        <v>#VALUE!</v>
      </c>
      <c r="CQ24" t="e">
        <f>Nodes!Z131+"'E4!i_"</f>
        <v>#VALUE!</v>
      </c>
      <c r="CR24" t="e">
        <f>Nodes!AA131+"'E4!i`"</f>
        <v>#VALUE!</v>
      </c>
      <c r="CS24" t="e">
        <f>Nodes!AB131+"'E4!ia"</f>
        <v>#VALUE!</v>
      </c>
      <c r="CT24" t="e">
        <f>Nodes!AC131+"'E4!ib"</f>
        <v>#VALUE!</v>
      </c>
      <c r="CU24" t="e">
        <f>Nodes!A132+"'E4!ic"</f>
        <v>#VALUE!</v>
      </c>
      <c r="CV24" t="e">
        <f>Nodes!B132+"'E4!id"</f>
        <v>#VALUE!</v>
      </c>
      <c r="CW24" t="e">
        <f>Nodes!C132+"'E4!ie"</f>
        <v>#VALUE!</v>
      </c>
      <c r="CX24" t="e">
        <f>Nodes!D132+"'E4!if"</f>
        <v>#VALUE!</v>
      </c>
      <c r="CY24" t="e">
        <f>Nodes!E132+"'E4!ig"</f>
        <v>#VALUE!</v>
      </c>
      <c r="CZ24" t="e">
        <f>Nodes!F132+"'E4!ih"</f>
        <v>#VALUE!</v>
      </c>
      <c r="DA24" t="e">
        <f>Nodes!G132+"'E4!ii"</f>
        <v>#VALUE!</v>
      </c>
      <c r="DB24" t="e">
        <f>Nodes!H132+"'E4!ij"</f>
        <v>#VALUE!</v>
      </c>
      <c r="DC24" t="e">
        <f>Nodes!I132+"'E4!ik"</f>
        <v>#VALUE!</v>
      </c>
      <c r="DD24" t="e">
        <f>Nodes!J132+"'E4!il"</f>
        <v>#VALUE!</v>
      </c>
      <c r="DE24" t="e">
        <f>Nodes!K132+"'E4!im"</f>
        <v>#VALUE!</v>
      </c>
      <c r="DF24" t="e">
        <f>Nodes!L132+"'E4!in"</f>
        <v>#VALUE!</v>
      </c>
      <c r="DG24" t="e">
        <f>Nodes!M132+"'E4!io"</f>
        <v>#VALUE!</v>
      </c>
      <c r="DH24" t="e">
        <f>Nodes!N132+"'E4!ip"</f>
        <v>#VALUE!</v>
      </c>
      <c r="DI24" t="e">
        <f>Nodes!O132+"'E4!iq"</f>
        <v>#VALUE!</v>
      </c>
      <c r="DJ24" t="e">
        <f>Nodes!P132+"'E4!ir"</f>
        <v>#VALUE!</v>
      </c>
      <c r="DK24" t="e">
        <f>Nodes!Q132+"'E4!is"</f>
        <v>#VALUE!</v>
      </c>
      <c r="DL24" t="e">
        <f>Nodes!R132+"'E4!it"</f>
        <v>#VALUE!</v>
      </c>
      <c r="DM24" t="e">
        <f>Nodes!S132+"'E4!iu"</f>
        <v>#VALUE!</v>
      </c>
      <c r="DN24" t="e">
        <f>Nodes!T132+"'E4!iv"</f>
        <v>#VALUE!</v>
      </c>
      <c r="DO24" s="548" t="e">
        <f>Nodes!U132+"'E4!iw"</f>
        <v>#VALUE!</v>
      </c>
      <c r="DP24" s="548" t="e">
        <f>Nodes!V132+"'E4!ix"</f>
        <v>#VALUE!</v>
      </c>
      <c r="DQ24" s="548" t="e">
        <f>Nodes!W132+"'E4!iy"</f>
        <v>#VALUE!</v>
      </c>
      <c r="DR24" s="333" t="e">
        <f>Nodes!X132+"'E4!iz"</f>
        <v>#VALUE!</v>
      </c>
      <c r="DS24" t="e">
        <f>Nodes!Y132+"'E4!i{"</f>
        <v>#VALUE!</v>
      </c>
      <c r="DT24" t="e">
        <f>Nodes!Z132+"'E4!i|"</f>
        <v>#VALUE!</v>
      </c>
      <c r="DU24" t="e">
        <f>Nodes!AA132+"'E4!i}"</f>
        <v>#VALUE!</v>
      </c>
      <c r="DV24" t="e">
        <f>Nodes!AB132+"'E4!i~"</f>
        <v>#VALUE!</v>
      </c>
      <c r="DW24" t="e">
        <f>Nodes!AC132+"'E4!j#"</f>
        <v>#VALUE!</v>
      </c>
      <c r="DX24" t="e">
        <f>Nodes!A133+"'E4!j$"</f>
        <v>#VALUE!</v>
      </c>
      <c r="DY24" t="e">
        <f>Nodes!B133+"'E4!j%"</f>
        <v>#VALUE!</v>
      </c>
      <c r="DZ24" t="e">
        <f>Nodes!C133+"'E4!j&amp;"</f>
        <v>#VALUE!</v>
      </c>
      <c r="EA24" t="e">
        <f>Nodes!D133+"'E4!j'"</f>
        <v>#VALUE!</v>
      </c>
      <c r="EB24" t="e">
        <f>Nodes!E133+"'E4!j("</f>
        <v>#VALUE!</v>
      </c>
      <c r="EC24" t="e">
        <f>Nodes!F133+"'E4!j)"</f>
        <v>#VALUE!</v>
      </c>
      <c r="ED24" t="e">
        <f>Nodes!G133+"'E4!j."</f>
        <v>#VALUE!</v>
      </c>
      <c r="EE24" t="e">
        <f>Nodes!H133+"'E4!j/"</f>
        <v>#VALUE!</v>
      </c>
      <c r="EF24" t="e">
        <f>Nodes!I133+"'E4!j0"</f>
        <v>#VALUE!</v>
      </c>
      <c r="EG24" t="e">
        <f>Nodes!J133+"'E4!j1"</f>
        <v>#VALUE!</v>
      </c>
      <c r="EH24" t="e">
        <f>Nodes!K133+"'E4!j2"</f>
        <v>#VALUE!</v>
      </c>
      <c r="EI24" t="e">
        <f>Nodes!L133+"'E4!j3"</f>
        <v>#VALUE!</v>
      </c>
      <c r="EJ24" t="e">
        <f>Nodes!M133+"'E4!j4"</f>
        <v>#VALUE!</v>
      </c>
      <c r="EK24" t="e">
        <f>Nodes!N133+"'E4!j5"</f>
        <v>#VALUE!</v>
      </c>
      <c r="EL24" t="e">
        <f>Nodes!O133+"'E4!j6"</f>
        <v>#VALUE!</v>
      </c>
      <c r="EM24" t="e">
        <f>Nodes!P133+"'E4!j7"</f>
        <v>#VALUE!</v>
      </c>
      <c r="EN24" t="e">
        <f>Nodes!Q133+"'E4!j8"</f>
        <v>#VALUE!</v>
      </c>
      <c r="EO24" t="e">
        <f>Nodes!R133+"'E4!j9"</f>
        <v>#VALUE!</v>
      </c>
      <c r="EP24" t="e">
        <f>Nodes!S133+"'E4!j:"</f>
        <v>#VALUE!</v>
      </c>
      <c r="EQ24" t="e">
        <f>Nodes!T133+"'E4!j;"</f>
        <v>#VALUE!</v>
      </c>
      <c r="ER24" s="548" t="e">
        <f>Nodes!U133+"'E4!j&lt;"</f>
        <v>#VALUE!</v>
      </c>
      <c r="ES24" s="548" t="e">
        <f>Nodes!V133+"'E4!j="</f>
        <v>#VALUE!</v>
      </c>
      <c r="ET24" s="548" t="e">
        <f>Nodes!W133+"'E4!j&gt;"</f>
        <v>#VALUE!</v>
      </c>
      <c r="EU24" s="333" t="e">
        <f>Nodes!X133+"'E4!j?"</f>
        <v>#VALUE!</v>
      </c>
      <c r="EV24" t="e">
        <f>Nodes!Y133+"'E4!j@"</f>
        <v>#VALUE!</v>
      </c>
      <c r="EW24" t="e">
        <f>Nodes!Z133+"'E4!jA"</f>
        <v>#VALUE!</v>
      </c>
      <c r="EX24" t="e">
        <f>Nodes!AA133+"'E4!jB"</f>
        <v>#VALUE!</v>
      </c>
      <c r="EY24" t="e">
        <f>Nodes!AB133+"'E4!jC"</f>
        <v>#VALUE!</v>
      </c>
      <c r="EZ24" t="e">
        <f>Nodes!AC133+"'E4!jD"</f>
        <v>#VALUE!</v>
      </c>
      <c r="FA24" t="e">
        <f>Nodes!A134+"'E4!jE"</f>
        <v>#VALUE!</v>
      </c>
      <c r="FB24" t="e">
        <f>Nodes!B134+"'E4!jF"</f>
        <v>#VALUE!</v>
      </c>
      <c r="FC24" t="e">
        <f>Nodes!C134+"'E4!jG"</f>
        <v>#VALUE!</v>
      </c>
      <c r="FD24" t="e">
        <f>Nodes!D134+"'E4!jH"</f>
        <v>#VALUE!</v>
      </c>
      <c r="FE24" t="e">
        <f>Nodes!E134+"'E4!jI"</f>
        <v>#VALUE!</v>
      </c>
      <c r="FF24" t="e">
        <f>Nodes!F134+"'E4!jJ"</f>
        <v>#VALUE!</v>
      </c>
      <c r="FG24" t="e">
        <f>Nodes!G134+"'E4!jK"</f>
        <v>#VALUE!</v>
      </c>
      <c r="FH24" t="e">
        <f>Nodes!H134+"'E4!jL"</f>
        <v>#VALUE!</v>
      </c>
      <c r="FI24" t="e">
        <f>Nodes!I134+"'E4!jM"</f>
        <v>#VALUE!</v>
      </c>
      <c r="FJ24" t="e">
        <f>Nodes!J134+"'E4!jN"</f>
        <v>#VALUE!</v>
      </c>
      <c r="FK24" t="e">
        <f>Nodes!K134+"'E4!jO"</f>
        <v>#VALUE!</v>
      </c>
      <c r="FL24" t="e">
        <f>Nodes!L134+"'E4!jP"</f>
        <v>#VALUE!</v>
      </c>
      <c r="FM24" t="e">
        <f>Nodes!M134+"'E4!jQ"</f>
        <v>#VALUE!</v>
      </c>
      <c r="FN24" t="e">
        <f>Nodes!N134+"'E4!jR"</f>
        <v>#VALUE!</v>
      </c>
      <c r="FO24" t="e">
        <f>Nodes!O134+"'E4!jS"</f>
        <v>#VALUE!</v>
      </c>
      <c r="FP24" t="e">
        <f>Nodes!P134+"'E4!jT"</f>
        <v>#VALUE!</v>
      </c>
      <c r="FQ24" t="e">
        <f>Nodes!Q134+"'E4!jU"</f>
        <v>#VALUE!</v>
      </c>
      <c r="FR24" t="e">
        <f>Nodes!R134+"'E4!jV"</f>
        <v>#VALUE!</v>
      </c>
      <c r="FS24" t="e">
        <f>Nodes!S134+"'E4!jW"</f>
        <v>#VALUE!</v>
      </c>
      <c r="FT24" t="e">
        <f>Nodes!T134+"'E4!jX"</f>
        <v>#VALUE!</v>
      </c>
      <c r="FU24" s="548" t="e">
        <f>Nodes!U134+"'E4!jY"</f>
        <v>#VALUE!</v>
      </c>
      <c r="FV24" s="548" t="e">
        <f>Nodes!V134+"'E4!jZ"</f>
        <v>#VALUE!</v>
      </c>
      <c r="FW24" s="548" t="e">
        <f>Nodes!W134+"'E4!j["</f>
        <v>#VALUE!</v>
      </c>
      <c r="FX24" s="333" t="e">
        <f>Nodes!X134+"'E4!j\"</f>
        <v>#VALUE!</v>
      </c>
      <c r="FY24" t="e">
        <f>Nodes!Y134+"'E4!j]"</f>
        <v>#VALUE!</v>
      </c>
      <c r="FZ24" t="e">
        <f>Nodes!Z134+"'E4!j^"</f>
        <v>#VALUE!</v>
      </c>
      <c r="GA24" t="e">
        <f>Nodes!AA134+"'E4!j_"</f>
        <v>#VALUE!</v>
      </c>
      <c r="GB24" t="e">
        <f>Nodes!AB134+"'E4!j`"</f>
        <v>#VALUE!</v>
      </c>
      <c r="GC24" t="e">
        <f>Nodes!AC134+"'E4!ja"</f>
        <v>#VALUE!</v>
      </c>
      <c r="GD24" t="e">
        <f>Nodes!A135+"'E4!jb"</f>
        <v>#VALUE!</v>
      </c>
      <c r="GE24" t="e">
        <f>Nodes!B135+"'E4!jc"</f>
        <v>#VALUE!</v>
      </c>
      <c r="GF24" t="e">
        <f>Nodes!C135+"'E4!jd"</f>
        <v>#VALUE!</v>
      </c>
      <c r="GG24" t="e">
        <f>Nodes!D135+"'E4!je"</f>
        <v>#VALUE!</v>
      </c>
      <c r="GH24" t="e">
        <f>Nodes!E135+"'E4!jf"</f>
        <v>#VALUE!</v>
      </c>
      <c r="GI24" t="e">
        <f>Nodes!F135+"'E4!jg"</f>
        <v>#VALUE!</v>
      </c>
      <c r="GJ24" t="e">
        <f>Nodes!G135+"'E4!jh"</f>
        <v>#VALUE!</v>
      </c>
      <c r="GK24" t="e">
        <f>Nodes!H135+"'E4!ji"</f>
        <v>#VALUE!</v>
      </c>
      <c r="GL24" t="e">
        <f>Nodes!I135+"'E4!jj"</f>
        <v>#VALUE!</v>
      </c>
      <c r="GM24" t="e">
        <f>Nodes!J135+"'E4!jk"</f>
        <v>#VALUE!</v>
      </c>
      <c r="GN24" t="e">
        <f>Nodes!K135+"'E4!jl"</f>
        <v>#VALUE!</v>
      </c>
      <c r="GO24" t="e">
        <f>Nodes!L135+"'E4!jm"</f>
        <v>#VALUE!</v>
      </c>
      <c r="GP24" t="e">
        <f>Nodes!M135+"'E4!jn"</f>
        <v>#VALUE!</v>
      </c>
      <c r="GQ24" t="e">
        <f>Nodes!N135+"'E4!jo"</f>
        <v>#VALUE!</v>
      </c>
      <c r="GR24" t="e">
        <f>Nodes!O135+"'E4!jp"</f>
        <v>#VALUE!</v>
      </c>
      <c r="GS24" t="e">
        <f>Nodes!P135+"'E4!jq"</f>
        <v>#VALUE!</v>
      </c>
      <c r="GT24" t="e">
        <f>Nodes!Q135+"'E4!jr"</f>
        <v>#VALUE!</v>
      </c>
      <c r="GU24" t="e">
        <f>Nodes!R135+"'E4!js"</f>
        <v>#VALUE!</v>
      </c>
      <c r="GV24" t="e">
        <f>Nodes!S135+"'E4!jt"</f>
        <v>#VALUE!</v>
      </c>
      <c r="GW24" t="e">
        <f>Nodes!T135+"'E4!ju"</f>
        <v>#VALUE!</v>
      </c>
      <c r="GX24" s="548" t="e">
        <f>Nodes!U135+"'E4!jv"</f>
        <v>#VALUE!</v>
      </c>
      <c r="GY24" s="548" t="e">
        <f>Nodes!V135+"'E4!jw"</f>
        <v>#VALUE!</v>
      </c>
      <c r="GZ24" s="548" t="e">
        <f>Nodes!W135+"'E4!jx"</f>
        <v>#VALUE!</v>
      </c>
      <c r="HA24" s="333" t="e">
        <f>Nodes!X135+"'E4!jy"</f>
        <v>#VALUE!</v>
      </c>
      <c r="HB24" t="e">
        <f>Nodes!Y135+"'E4!jz"</f>
        <v>#VALUE!</v>
      </c>
      <c r="HC24" t="e">
        <f>Nodes!Z135+"'E4!j{"</f>
        <v>#VALUE!</v>
      </c>
      <c r="HD24" t="e">
        <f>Nodes!AA135+"'E4!j|"</f>
        <v>#VALUE!</v>
      </c>
      <c r="HE24" t="e">
        <f>Nodes!AB135+"'E4!j}"</f>
        <v>#VALUE!</v>
      </c>
      <c r="HF24" t="e">
        <f>Nodes!AC135+"'E4!j~"</f>
        <v>#VALUE!</v>
      </c>
      <c r="HG24" t="e">
        <f>Nodes!A136+"'E4!k#"</f>
        <v>#VALUE!</v>
      </c>
      <c r="HH24" t="e">
        <f>Nodes!B136+"'E4!k$"</f>
        <v>#VALUE!</v>
      </c>
      <c r="HI24" t="e">
        <f>Nodes!C136+"'E4!k%"</f>
        <v>#VALUE!</v>
      </c>
      <c r="HJ24" t="e">
        <f>Nodes!D136+"'E4!k&amp;"</f>
        <v>#VALUE!</v>
      </c>
      <c r="HK24" t="e">
        <f>Nodes!E136+"'E4!k'"</f>
        <v>#VALUE!</v>
      </c>
      <c r="HL24" t="e">
        <f>Nodes!F136+"'E4!k("</f>
        <v>#VALUE!</v>
      </c>
      <c r="HM24" t="e">
        <f>Nodes!G136+"'E4!k)"</f>
        <v>#VALUE!</v>
      </c>
      <c r="HN24" t="e">
        <f>Nodes!H136+"'E4!k."</f>
        <v>#VALUE!</v>
      </c>
      <c r="HO24" t="e">
        <f>Nodes!I136+"'E4!k/"</f>
        <v>#VALUE!</v>
      </c>
      <c r="HP24" t="e">
        <f>Nodes!J136+"'E4!k0"</f>
        <v>#VALUE!</v>
      </c>
      <c r="HQ24" t="e">
        <f>Nodes!K136+"'E4!k1"</f>
        <v>#VALUE!</v>
      </c>
      <c r="HR24" t="e">
        <f>Nodes!L136+"'E4!k2"</f>
        <v>#VALUE!</v>
      </c>
      <c r="HS24" t="e">
        <f>Nodes!M136+"'E4!k3"</f>
        <v>#VALUE!</v>
      </c>
      <c r="HT24" t="e">
        <f>Nodes!N136+"'E4!k4"</f>
        <v>#VALUE!</v>
      </c>
      <c r="HU24" t="e">
        <f>Nodes!O136+"'E4!k5"</f>
        <v>#VALUE!</v>
      </c>
      <c r="HV24" t="e">
        <f>Nodes!P136+"'E4!k6"</f>
        <v>#VALUE!</v>
      </c>
      <c r="HW24" t="e">
        <f>Nodes!Q136+"'E4!k7"</f>
        <v>#VALUE!</v>
      </c>
      <c r="HX24" t="e">
        <f>Nodes!R136+"'E4!k8"</f>
        <v>#VALUE!</v>
      </c>
      <c r="HY24" t="e">
        <f>Nodes!S136+"'E4!k9"</f>
        <v>#VALUE!</v>
      </c>
      <c r="HZ24" t="e">
        <f>Nodes!T136+"'E4!k:"</f>
        <v>#VALUE!</v>
      </c>
      <c r="IA24" s="548" t="e">
        <f>Nodes!U136+"'E4!k;"</f>
        <v>#VALUE!</v>
      </c>
      <c r="IB24" s="548" t="e">
        <f>Nodes!V136+"'E4!k&lt;"</f>
        <v>#VALUE!</v>
      </c>
      <c r="IC24" s="548" t="e">
        <f>Nodes!W136+"'E4!k="</f>
        <v>#VALUE!</v>
      </c>
      <c r="ID24" s="333" t="e">
        <f>Nodes!X136+"'E4!k&gt;"</f>
        <v>#VALUE!</v>
      </c>
      <c r="IE24" t="e">
        <f>Nodes!Y136+"'E4!k?"</f>
        <v>#VALUE!</v>
      </c>
      <c r="IF24" t="e">
        <f>Nodes!Z136+"'E4!k@"</f>
        <v>#VALUE!</v>
      </c>
      <c r="IG24" t="e">
        <f>Nodes!AA136+"'E4!kA"</f>
        <v>#VALUE!</v>
      </c>
      <c r="IH24" t="e">
        <f>Nodes!AB136+"'E4!kB"</f>
        <v>#VALUE!</v>
      </c>
      <c r="II24" t="e">
        <f>Nodes!AC136+"'E4!kC"</f>
        <v>#VALUE!</v>
      </c>
      <c r="IJ24" t="e">
        <f>Nodes!A137+"'E4!kD"</f>
        <v>#VALUE!</v>
      </c>
      <c r="IK24" t="e">
        <f>Nodes!B137+"'E4!kE"</f>
        <v>#VALUE!</v>
      </c>
      <c r="IL24" t="e">
        <f>Nodes!C137+"'E4!kF"</f>
        <v>#VALUE!</v>
      </c>
      <c r="IM24" t="e">
        <f>Nodes!D137+"'E4!kG"</f>
        <v>#VALUE!</v>
      </c>
      <c r="IN24" t="e">
        <f>Nodes!E137+"'E4!kH"</f>
        <v>#VALUE!</v>
      </c>
      <c r="IO24" t="e">
        <f>Nodes!F137+"'E4!kI"</f>
        <v>#VALUE!</v>
      </c>
      <c r="IP24" t="e">
        <f>Nodes!G137+"'E4!kJ"</f>
        <v>#VALUE!</v>
      </c>
      <c r="IQ24" t="e">
        <f>Nodes!H137+"'E4!kK"</f>
        <v>#VALUE!</v>
      </c>
      <c r="IR24" t="e">
        <f>Nodes!I137+"'E4!kL"</f>
        <v>#VALUE!</v>
      </c>
      <c r="IS24" t="e">
        <f>Nodes!J137+"'E4!kM"</f>
        <v>#VALUE!</v>
      </c>
      <c r="IT24" t="e">
        <f>Nodes!K137+"'E4!kN"</f>
        <v>#VALUE!</v>
      </c>
      <c r="IU24" t="e">
        <f>Nodes!L137+"'E4!kO"</f>
        <v>#VALUE!</v>
      </c>
      <c r="IV24" t="e">
        <f>Nodes!M137+"'E4!kP"</f>
        <v>#VALUE!</v>
      </c>
    </row>
    <row r="25" spans="6:256">
      <c r="F25" t="e">
        <f>Nodes!N137+"'E4!kQ"</f>
        <v>#VALUE!</v>
      </c>
      <c r="G25" t="e">
        <f>Nodes!O137+"'E4!kR"</f>
        <v>#VALUE!</v>
      </c>
      <c r="H25" t="e">
        <f>Nodes!P137+"'E4!kS"</f>
        <v>#VALUE!</v>
      </c>
      <c r="I25" t="e">
        <f>Nodes!Q137+"'E4!kT"</f>
        <v>#VALUE!</v>
      </c>
      <c r="J25" t="e">
        <f>Nodes!R137+"'E4!kU"</f>
        <v>#VALUE!</v>
      </c>
      <c r="K25" t="e">
        <f>Nodes!S137+"'E4!kV"</f>
        <v>#VALUE!</v>
      </c>
      <c r="L25" t="e">
        <f>Nodes!T137+"'E4!kW"</f>
        <v>#VALUE!</v>
      </c>
      <c r="M25" s="548" t="e">
        <f>Nodes!U137+"'E4!kX"</f>
        <v>#VALUE!</v>
      </c>
      <c r="N25" s="548" t="e">
        <f>Nodes!V137+"'E4!kY"</f>
        <v>#VALUE!</v>
      </c>
      <c r="O25" s="548" t="e">
        <f>Nodes!W137+"'E4!kZ"</f>
        <v>#VALUE!</v>
      </c>
      <c r="P25" s="333" t="e">
        <f>Nodes!X137+"'E4!k["</f>
        <v>#VALUE!</v>
      </c>
      <c r="Q25" t="e">
        <f>Nodes!Y137+"'E4!k\"</f>
        <v>#VALUE!</v>
      </c>
      <c r="R25" t="e">
        <f>Nodes!Z137+"'E4!k]"</f>
        <v>#VALUE!</v>
      </c>
      <c r="S25" t="e">
        <f>Nodes!AA137+"'E4!k^"</f>
        <v>#VALUE!</v>
      </c>
      <c r="T25" t="e">
        <f>Nodes!AB137+"'E4!k_"</f>
        <v>#VALUE!</v>
      </c>
      <c r="U25" t="e">
        <f>Nodes!AC137+"'E4!k`"</f>
        <v>#VALUE!</v>
      </c>
      <c r="V25" t="e">
        <f>Nodes!A138+"'E4!ka"</f>
        <v>#VALUE!</v>
      </c>
      <c r="W25" t="e">
        <f>Nodes!B138+"'E4!kb"</f>
        <v>#VALUE!</v>
      </c>
      <c r="X25" t="e">
        <f>Nodes!C138+"'E4!kc"</f>
        <v>#VALUE!</v>
      </c>
      <c r="Y25" t="e">
        <f>Nodes!D138+"'E4!kd"</f>
        <v>#VALUE!</v>
      </c>
      <c r="Z25" t="e">
        <f>Nodes!E138+"'E4!ke"</f>
        <v>#VALUE!</v>
      </c>
      <c r="AA25" t="e">
        <f>Nodes!F138+"'E4!kf"</f>
        <v>#VALUE!</v>
      </c>
      <c r="AB25" t="e">
        <f>Nodes!G138+"'E4!kg"</f>
        <v>#VALUE!</v>
      </c>
      <c r="AC25" t="e">
        <f>Nodes!H138+"'E4!kh"</f>
        <v>#VALUE!</v>
      </c>
      <c r="AD25" t="e">
        <f>Nodes!I138+"'E4!ki"</f>
        <v>#VALUE!</v>
      </c>
      <c r="AE25" t="e">
        <f>Nodes!J138+"'E4!kj"</f>
        <v>#VALUE!</v>
      </c>
      <c r="AF25" t="e">
        <f>Nodes!K138+"'E4!kk"</f>
        <v>#VALUE!</v>
      </c>
      <c r="AG25" t="e">
        <f>Nodes!L138+"'E4!kl"</f>
        <v>#VALUE!</v>
      </c>
      <c r="AH25" t="e">
        <f>Nodes!M138+"'E4!km"</f>
        <v>#VALUE!</v>
      </c>
      <c r="AI25" t="e">
        <f>Nodes!N138+"'E4!kn"</f>
        <v>#VALUE!</v>
      </c>
      <c r="AJ25" t="e">
        <f>Nodes!O138+"'E4!ko"</f>
        <v>#VALUE!</v>
      </c>
      <c r="AK25" t="e">
        <f>Nodes!P138+"'E4!kp"</f>
        <v>#VALUE!</v>
      </c>
      <c r="AL25" t="e">
        <f>Nodes!Q138+"'E4!kq"</f>
        <v>#VALUE!</v>
      </c>
      <c r="AM25" t="e">
        <f>Nodes!R138+"'E4!kr"</f>
        <v>#VALUE!</v>
      </c>
      <c r="AN25" t="e">
        <f>Nodes!S138+"'E4!ks"</f>
        <v>#VALUE!</v>
      </c>
      <c r="AO25" t="e">
        <f>Nodes!T138+"'E4!kt"</f>
        <v>#VALUE!</v>
      </c>
      <c r="AP25" s="548" t="e">
        <f>Nodes!U138+"'E4!ku"</f>
        <v>#VALUE!</v>
      </c>
      <c r="AQ25" s="548" t="e">
        <f>Nodes!V138+"'E4!kv"</f>
        <v>#VALUE!</v>
      </c>
      <c r="AR25" s="548" t="e">
        <f>Nodes!W138+"'E4!kw"</f>
        <v>#VALUE!</v>
      </c>
      <c r="AS25" s="333" t="e">
        <f>Nodes!X138+"'E4!kx"</f>
        <v>#VALUE!</v>
      </c>
      <c r="AT25" t="e">
        <f>Nodes!Y138+"'E4!ky"</f>
        <v>#VALUE!</v>
      </c>
      <c r="AU25" t="e">
        <f>Nodes!Z138+"'E4!kz"</f>
        <v>#VALUE!</v>
      </c>
      <c r="AV25" t="e">
        <f>Nodes!AA138+"'E4!k{"</f>
        <v>#VALUE!</v>
      </c>
      <c r="AW25" t="e">
        <f>Nodes!AB138+"'E4!k|"</f>
        <v>#VALUE!</v>
      </c>
      <c r="AX25" t="e">
        <f>Nodes!AC138+"'E4!k}"</f>
        <v>#VALUE!</v>
      </c>
      <c r="AY25" t="e">
        <f>Nodes!A139+"'E4!k~"</f>
        <v>#VALUE!</v>
      </c>
      <c r="AZ25" t="e">
        <f>Nodes!B139+"'E4!l#"</f>
        <v>#VALUE!</v>
      </c>
      <c r="BA25" t="e">
        <f>Nodes!C139+"'E4!l$"</f>
        <v>#VALUE!</v>
      </c>
      <c r="BB25" t="e">
        <f>Nodes!D139+"'E4!l%"</f>
        <v>#VALUE!</v>
      </c>
      <c r="BC25" t="e">
        <f>Nodes!E139+"'E4!l&amp;"</f>
        <v>#VALUE!</v>
      </c>
      <c r="BD25" t="e">
        <f>Nodes!F139+"'E4!l'"</f>
        <v>#VALUE!</v>
      </c>
      <c r="BE25" t="e">
        <f>Nodes!G139+"'E4!l("</f>
        <v>#VALUE!</v>
      </c>
      <c r="BF25" t="e">
        <f>Nodes!H139+"'E4!l)"</f>
        <v>#VALUE!</v>
      </c>
      <c r="BG25" t="e">
        <f>Nodes!I139+"'E4!l."</f>
        <v>#VALUE!</v>
      </c>
      <c r="BH25" t="e">
        <f>Nodes!J139+"'E4!l/"</f>
        <v>#VALUE!</v>
      </c>
      <c r="BI25" t="e">
        <f>Nodes!K139+"'E4!l0"</f>
        <v>#VALUE!</v>
      </c>
      <c r="BJ25" t="e">
        <f>Nodes!L139+"'E4!l1"</f>
        <v>#VALUE!</v>
      </c>
      <c r="BK25" t="e">
        <f>Nodes!M139+"'E4!l2"</f>
        <v>#VALUE!</v>
      </c>
      <c r="BL25" t="e">
        <f>Nodes!N139+"'E4!l3"</f>
        <v>#VALUE!</v>
      </c>
      <c r="BM25" t="e">
        <f>Nodes!O139+"'E4!l4"</f>
        <v>#VALUE!</v>
      </c>
      <c r="BN25" t="e">
        <f>Nodes!P139+"'E4!l5"</f>
        <v>#VALUE!</v>
      </c>
      <c r="BO25" t="e">
        <f>Nodes!Q139+"'E4!l6"</f>
        <v>#VALUE!</v>
      </c>
      <c r="BP25" t="e">
        <f>Nodes!R139+"'E4!l7"</f>
        <v>#VALUE!</v>
      </c>
      <c r="BQ25" t="e">
        <f>Nodes!S139+"'E4!l8"</f>
        <v>#VALUE!</v>
      </c>
      <c r="BR25" t="e">
        <f>Nodes!T139+"'E4!l9"</f>
        <v>#VALUE!</v>
      </c>
      <c r="BS25" s="548" t="e">
        <f>Nodes!U139+"'E4!l:"</f>
        <v>#VALUE!</v>
      </c>
      <c r="BT25" s="548" t="e">
        <f>Nodes!V139+"'E4!l;"</f>
        <v>#VALUE!</v>
      </c>
      <c r="BU25" s="548" t="e">
        <f>Nodes!W139+"'E4!l&lt;"</f>
        <v>#VALUE!</v>
      </c>
      <c r="BV25" s="333" t="e">
        <f>Nodes!X139+"'E4!l="</f>
        <v>#VALUE!</v>
      </c>
      <c r="BW25" t="e">
        <f>Nodes!Y139+"'E4!l&gt;"</f>
        <v>#VALUE!</v>
      </c>
      <c r="BX25" t="e">
        <f>Nodes!Z139+"'E4!l?"</f>
        <v>#VALUE!</v>
      </c>
      <c r="BY25" t="e">
        <f>Nodes!AA139+"'E4!l@"</f>
        <v>#VALUE!</v>
      </c>
      <c r="BZ25" t="e">
        <f>Nodes!AB139+"'E4!lA"</f>
        <v>#VALUE!</v>
      </c>
      <c r="CA25" t="e">
        <f>Nodes!AC139+"'E4!lB"</f>
        <v>#VALUE!</v>
      </c>
      <c r="CB25" t="e">
        <f>Nodes!A140+"'E4!lC"</f>
        <v>#VALUE!</v>
      </c>
      <c r="CC25" t="e">
        <f>Nodes!B140+"'E4!lD"</f>
        <v>#VALUE!</v>
      </c>
      <c r="CD25" t="e">
        <f>Nodes!C140+"'E4!lE"</f>
        <v>#VALUE!</v>
      </c>
      <c r="CE25" t="e">
        <f>Nodes!D140+"'E4!lF"</f>
        <v>#VALUE!</v>
      </c>
      <c r="CF25" t="e">
        <f>Nodes!E140+"'E4!lG"</f>
        <v>#VALUE!</v>
      </c>
      <c r="CG25" t="e">
        <f>Nodes!F140+"'E4!lH"</f>
        <v>#VALUE!</v>
      </c>
      <c r="CH25" t="e">
        <f>Nodes!G140+"'E4!lI"</f>
        <v>#VALUE!</v>
      </c>
      <c r="CI25" t="e">
        <f>Nodes!H140+"'E4!lJ"</f>
        <v>#VALUE!</v>
      </c>
      <c r="CJ25" t="e">
        <f>Nodes!I140+"'E4!lK"</f>
        <v>#VALUE!</v>
      </c>
      <c r="CK25" t="e">
        <f>Nodes!J140+"'E4!lL"</f>
        <v>#VALUE!</v>
      </c>
      <c r="CL25" t="e">
        <f>Nodes!K140+"'E4!lM"</f>
        <v>#VALUE!</v>
      </c>
      <c r="CM25" t="e">
        <f>Nodes!L140+"'E4!lN"</f>
        <v>#VALUE!</v>
      </c>
      <c r="CN25" t="e">
        <f>Nodes!M140+"'E4!lO"</f>
        <v>#VALUE!</v>
      </c>
      <c r="CO25" t="e">
        <f>Nodes!N140+"'E4!lP"</f>
        <v>#VALUE!</v>
      </c>
      <c r="CP25" t="e">
        <f>Nodes!O140+"'E4!lQ"</f>
        <v>#VALUE!</v>
      </c>
      <c r="CQ25" t="e">
        <f>Nodes!P140+"'E4!lR"</f>
        <v>#VALUE!</v>
      </c>
      <c r="CR25" t="e">
        <f>Nodes!Q140+"'E4!lS"</f>
        <v>#VALUE!</v>
      </c>
      <c r="CS25" t="e">
        <f>Nodes!R140+"'E4!lT"</f>
        <v>#VALUE!</v>
      </c>
      <c r="CT25" t="e">
        <f>Nodes!S140+"'E4!lU"</f>
        <v>#VALUE!</v>
      </c>
      <c r="CU25" t="e">
        <f>Nodes!T140+"'E4!lV"</f>
        <v>#VALUE!</v>
      </c>
      <c r="CV25" s="548" t="e">
        <f>Nodes!U140+"'E4!lW"</f>
        <v>#VALUE!</v>
      </c>
      <c r="CW25" s="548" t="e">
        <f>Nodes!V140+"'E4!lX"</f>
        <v>#VALUE!</v>
      </c>
      <c r="CX25" s="548" t="e">
        <f>Nodes!W140+"'E4!lY"</f>
        <v>#VALUE!</v>
      </c>
      <c r="CY25" s="333" t="e">
        <f>Nodes!X140+"'E4!lZ"</f>
        <v>#VALUE!</v>
      </c>
      <c r="CZ25" t="e">
        <f>Nodes!Y140+"'E4!l["</f>
        <v>#VALUE!</v>
      </c>
      <c r="DA25" t="e">
        <f>Nodes!Z140+"'E4!l\"</f>
        <v>#VALUE!</v>
      </c>
      <c r="DB25" t="e">
        <f>Nodes!AA140+"'E4!l]"</f>
        <v>#VALUE!</v>
      </c>
      <c r="DC25" t="e">
        <f>Nodes!AB140+"'E4!l^"</f>
        <v>#VALUE!</v>
      </c>
      <c r="DD25" t="e">
        <f>Nodes!AC140+"'E4!l_"</f>
        <v>#VALUE!</v>
      </c>
      <c r="DE25" t="e">
        <f>Nodes!A141+"'E4!l`"</f>
        <v>#VALUE!</v>
      </c>
      <c r="DF25" t="e">
        <f>Nodes!B141+"'E4!la"</f>
        <v>#VALUE!</v>
      </c>
      <c r="DG25" t="e">
        <f>Nodes!C141+"'E4!lb"</f>
        <v>#VALUE!</v>
      </c>
      <c r="DH25" t="e">
        <f>Nodes!D141+"'E4!lc"</f>
        <v>#VALUE!</v>
      </c>
      <c r="DI25" t="e">
        <f>Nodes!E141+"'E4!ld"</f>
        <v>#VALUE!</v>
      </c>
      <c r="DJ25" t="e">
        <f>Nodes!F141+"'E4!le"</f>
        <v>#VALUE!</v>
      </c>
      <c r="DK25" t="e">
        <f>Nodes!G141+"'E4!lf"</f>
        <v>#VALUE!</v>
      </c>
      <c r="DL25" t="e">
        <f>Nodes!H141+"'E4!lg"</f>
        <v>#VALUE!</v>
      </c>
      <c r="DM25" t="e">
        <f>Nodes!I141+"'E4!lh"</f>
        <v>#VALUE!</v>
      </c>
      <c r="DN25" t="e">
        <f>Nodes!J141+"'E4!li"</f>
        <v>#VALUE!</v>
      </c>
      <c r="DO25" t="e">
        <f>Nodes!K141+"'E4!lj"</f>
        <v>#VALUE!</v>
      </c>
      <c r="DP25" t="e">
        <f>Nodes!L141+"'E4!lk"</f>
        <v>#VALUE!</v>
      </c>
      <c r="DQ25" t="e">
        <f>Nodes!M141+"'E4!ll"</f>
        <v>#VALUE!</v>
      </c>
      <c r="DR25" t="e">
        <f>Nodes!N141+"'E4!lm"</f>
        <v>#VALUE!</v>
      </c>
      <c r="DS25" t="e">
        <f>Nodes!O141+"'E4!ln"</f>
        <v>#VALUE!</v>
      </c>
      <c r="DT25" t="e">
        <f>Nodes!P141+"'E4!lo"</f>
        <v>#VALUE!</v>
      </c>
      <c r="DU25" t="e">
        <f>Nodes!Q141+"'E4!lp"</f>
        <v>#VALUE!</v>
      </c>
      <c r="DV25" t="e">
        <f>Nodes!R141+"'E4!lq"</f>
        <v>#VALUE!</v>
      </c>
      <c r="DW25" t="e">
        <f>Nodes!S141+"'E4!lr"</f>
        <v>#VALUE!</v>
      </c>
      <c r="DX25" t="e">
        <f>Nodes!T141+"'E4!ls"</f>
        <v>#VALUE!</v>
      </c>
      <c r="DY25" s="548" t="e">
        <f>Nodes!U141+"'E4!lt"</f>
        <v>#VALUE!</v>
      </c>
      <c r="DZ25" s="548" t="e">
        <f>Nodes!V141+"'E4!lu"</f>
        <v>#VALUE!</v>
      </c>
      <c r="EA25" s="548" t="e">
        <f>Nodes!W141+"'E4!lv"</f>
        <v>#VALUE!</v>
      </c>
      <c r="EB25" s="333" t="e">
        <f>Nodes!X141+"'E4!lw"</f>
        <v>#VALUE!</v>
      </c>
      <c r="EC25" t="e">
        <f>Nodes!Y141+"'E4!lx"</f>
        <v>#VALUE!</v>
      </c>
      <c r="ED25" t="e">
        <f>Nodes!Z141+"'E4!ly"</f>
        <v>#VALUE!</v>
      </c>
      <c r="EE25" t="e">
        <f>Nodes!AA141+"'E4!lz"</f>
        <v>#VALUE!</v>
      </c>
      <c r="EF25" t="e">
        <f>Nodes!AB141+"'E4!l{"</f>
        <v>#VALUE!</v>
      </c>
      <c r="EG25" t="e">
        <f>Nodes!AC141+"'E4!l|"</f>
        <v>#VALUE!</v>
      </c>
      <c r="EH25" t="e">
        <f>Nodes!A142+"'E4!l}"</f>
        <v>#VALUE!</v>
      </c>
      <c r="EI25" t="e">
        <f>Nodes!B142+"'E4!l~"</f>
        <v>#VALUE!</v>
      </c>
      <c r="EJ25" t="e">
        <f>Nodes!C142+"'E4!m#"</f>
        <v>#VALUE!</v>
      </c>
      <c r="EK25" t="e">
        <f>Nodes!D142+"'E4!m$"</f>
        <v>#VALUE!</v>
      </c>
      <c r="EL25" t="e">
        <f>Nodes!E142+"'E4!m%"</f>
        <v>#VALUE!</v>
      </c>
      <c r="EM25" t="e">
        <f>Nodes!F142+"'E4!m&amp;"</f>
        <v>#VALUE!</v>
      </c>
      <c r="EN25" t="e">
        <f>Nodes!G142+"'E4!m'"</f>
        <v>#VALUE!</v>
      </c>
      <c r="EO25" t="e">
        <f>Nodes!H142+"'E4!m("</f>
        <v>#VALUE!</v>
      </c>
      <c r="EP25" t="e">
        <f>Nodes!I142+"'E4!m)"</f>
        <v>#VALUE!</v>
      </c>
      <c r="EQ25" t="e">
        <f>Nodes!J142+"'E4!m."</f>
        <v>#VALUE!</v>
      </c>
      <c r="ER25" t="e">
        <f>Nodes!K142+"'E4!m/"</f>
        <v>#VALUE!</v>
      </c>
      <c r="ES25" t="e">
        <f>Nodes!L142+"'E4!m0"</f>
        <v>#VALUE!</v>
      </c>
      <c r="ET25" t="e">
        <f>Nodes!M142+"'E4!m1"</f>
        <v>#VALUE!</v>
      </c>
      <c r="EU25" t="e">
        <f>Nodes!N142+"'E4!m2"</f>
        <v>#VALUE!</v>
      </c>
      <c r="EV25" t="e">
        <f>Nodes!O142+"'E4!m3"</f>
        <v>#VALUE!</v>
      </c>
      <c r="EW25" t="e">
        <f>Nodes!P142+"'E4!m4"</f>
        <v>#VALUE!</v>
      </c>
      <c r="EX25" t="e">
        <f>Nodes!Q142+"'E4!m5"</f>
        <v>#VALUE!</v>
      </c>
      <c r="EY25" t="e">
        <f>Nodes!R142+"'E4!m6"</f>
        <v>#VALUE!</v>
      </c>
      <c r="EZ25" t="e">
        <f>Nodes!S142+"'E4!m7"</f>
        <v>#VALUE!</v>
      </c>
      <c r="FA25" t="e">
        <f>Nodes!T142+"'E4!m8"</f>
        <v>#VALUE!</v>
      </c>
      <c r="FB25" s="548" t="e">
        <f>Nodes!U142+"'E4!m9"</f>
        <v>#VALUE!</v>
      </c>
      <c r="FC25" s="548" t="e">
        <f>Nodes!V142+"'E4!m:"</f>
        <v>#VALUE!</v>
      </c>
      <c r="FD25" s="548" t="e">
        <f>Nodes!W142+"'E4!m;"</f>
        <v>#VALUE!</v>
      </c>
      <c r="FE25" s="333" t="e">
        <f>Nodes!X142+"'E4!m&lt;"</f>
        <v>#VALUE!</v>
      </c>
      <c r="FF25" t="e">
        <f>Nodes!Y142+"'E4!m="</f>
        <v>#VALUE!</v>
      </c>
      <c r="FG25" t="e">
        <f>Nodes!Z142+"'E4!m&gt;"</f>
        <v>#VALUE!</v>
      </c>
      <c r="FH25" t="e">
        <f>Nodes!AA142+"'E4!m?"</f>
        <v>#VALUE!</v>
      </c>
      <c r="FI25" t="e">
        <f>Nodes!AB142+"'E4!m@"</f>
        <v>#VALUE!</v>
      </c>
      <c r="FJ25" t="e">
        <f>Nodes!AC142+"'E4!mA"</f>
        <v>#VALUE!</v>
      </c>
      <c r="FK25" t="e">
        <f>Nodes!A143+"'E4!mB"</f>
        <v>#VALUE!</v>
      </c>
      <c r="FL25" t="e">
        <f>Nodes!B143+"'E4!mC"</f>
        <v>#VALUE!</v>
      </c>
      <c r="FM25" t="e">
        <f>Nodes!C143+"'E4!mD"</f>
        <v>#VALUE!</v>
      </c>
      <c r="FN25" t="e">
        <f>Nodes!D143+"'E4!mE"</f>
        <v>#VALUE!</v>
      </c>
      <c r="FO25" t="e">
        <f>Nodes!E143+"'E4!mF"</f>
        <v>#VALUE!</v>
      </c>
      <c r="FP25" t="e">
        <f>Nodes!F143+"'E4!mG"</f>
        <v>#VALUE!</v>
      </c>
      <c r="FQ25" t="e">
        <f>Nodes!G143+"'E4!mH"</f>
        <v>#VALUE!</v>
      </c>
      <c r="FR25" t="e">
        <f>Nodes!H143+"'E4!mI"</f>
        <v>#VALUE!</v>
      </c>
      <c r="FS25" t="e">
        <f>Nodes!I143+"'E4!mJ"</f>
        <v>#VALUE!</v>
      </c>
      <c r="FT25" t="e">
        <f>Nodes!J143+"'E4!mK"</f>
        <v>#VALUE!</v>
      </c>
      <c r="FU25" t="e">
        <f>Nodes!K143+"'E4!mL"</f>
        <v>#VALUE!</v>
      </c>
      <c r="FV25" t="e">
        <f>Nodes!L143+"'E4!mM"</f>
        <v>#VALUE!</v>
      </c>
      <c r="FW25" t="e">
        <f>Nodes!M143+"'E4!mN"</f>
        <v>#VALUE!</v>
      </c>
      <c r="FX25" t="e">
        <f>Nodes!N143+"'E4!mO"</f>
        <v>#VALUE!</v>
      </c>
      <c r="FY25" t="e">
        <f>Nodes!O143+"'E4!mP"</f>
        <v>#VALUE!</v>
      </c>
      <c r="FZ25" t="e">
        <f>Nodes!P143+"'E4!mQ"</f>
        <v>#VALUE!</v>
      </c>
      <c r="GA25" t="e">
        <f>Nodes!Q143+"'E4!mR"</f>
        <v>#VALUE!</v>
      </c>
      <c r="GB25" t="e">
        <f>Nodes!R143+"'E4!mS"</f>
        <v>#VALUE!</v>
      </c>
      <c r="GC25" t="e">
        <f>Nodes!S143+"'E4!mT"</f>
        <v>#VALUE!</v>
      </c>
      <c r="GD25" t="e">
        <f>Nodes!T143+"'E4!mU"</f>
        <v>#VALUE!</v>
      </c>
      <c r="GE25" s="548" t="e">
        <f>Nodes!U143+"'E4!mV"</f>
        <v>#VALUE!</v>
      </c>
      <c r="GF25" s="548" t="e">
        <f>Nodes!V143+"'E4!mW"</f>
        <v>#VALUE!</v>
      </c>
      <c r="GG25" s="548" t="e">
        <f>Nodes!W143+"'E4!mX"</f>
        <v>#VALUE!</v>
      </c>
      <c r="GH25" s="333" t="e">
        <f>Nodes!X143+"'E4!mY"</f>
        <v>#VALUE!</v>
      </c>
      <c r="GI25" t="e">
        <f>Nodes!Y143+"'E4!mZ"</f>
        <v>#VALUE!</v>
      </c>
      <c r="GJ25" t="e">
        <f>Nodes!Z143+"'E4!m["</f>
        <v>#VALUE!</v>
      </c>
      <c r="GK25" t="e">
        <f>Nodes!AA143+"'E4!m\"</f>
        <v>#VALUE!</v>
      </c>
      <c r="GL25" t="e">
        <f>Nodes!AB143+"'E4!m]"</f>
        <v>#VALUE!</v>
      </c>
      <c r="GM25" t="e">
        <f>Nodes!AC143+"'E4!m^"</f>
        <v>#VALUE!</v>
      </c>
      <c r="GN25" t="e">
        <f>Nodes!A144+"'E4!m_"</f>
        <v>#VALUE!</v>
      </c>
      <c r="GO25" t="e">
        <f>Nodes!B144+"'E4!m`"</f>
        <v>#VALUE!</v>
      </c>
      <c r="GP25" t="e">
        <f>Nodes!C144+"'E4!ma"</f>
        <v>#VALUE!</v>
      </c>
      <c r="GQ25" t="e">
        <f>Nodes!D144+"'E4!mb"</f>
        <v>#VALUE!</v>
      </c>
      <c r="GR25" t="e">
        <f>Nodes!E144+"'E4!mc"</f>
        <v>#VALUE!</v>
      </c>
      <c r="GS25" t="e">
        <f>Nodes!F144+"'E4!md"</f>
        <v>#VALUE!</v>
      </c>
      <c r="GT25" t="e">
        <f>Nodes!G144+"'E4!me"</f>
        <v>#VALUE!</v>
      </c>
      <c r="GU25" t="e">
        <f>Nodes!H144+"'E4!mf"</f>
        <v>#VALUE!</v>
      </c>
      <c r="GV25" t="e">
        <f>Nodes!I144+"'E4!mg"</f>
        <v>#VALUE!</v>
      </c>
      <c r="GW25" t="e">
        <f>Nodes!J144+"'E4!mh"</f>
        <v>#VALUE!</v>
      </c>
      <c r="GX25" t="e">
        <f>Nodes!K144+"'E4!mi"</f>
        <v>#VALUE!</v>
      </c>
      <c r="GY25" t="e">
        <f>Nodes!L144+"'E4!mj"</f>
        <v>#VALUE!</v>
      </c>
      <c r="GZ25" t="e">
        <f>Nodes!M144+"'E4!mk"</f>
        <v>#VALUE!</v>
      </c>
      <c r="HA25" t="e">
        <f>Nodes!N144+"'E4!ml"</f>
        <v>#VALUE!</v>
      </c>
      <c r="HB25" t="e">
        <f>Nodes!O144+"'E4!mm"</f>
        <v>#VALUE!</v>
      </c>
      <c r="HC25" t="e">
        <f>Nodes!P144+"'E4!mn"</f>
        <v>#VALUE!</v>
      </c>
      <c r="HD25" t="e">
        <f>Nodes!Q144+"'E4!mo"</f>
        <v>#VALUE!</v>
      </c>
      <c r="HE25" t="e">
        <f>Nodes!R144+"'E4!mp"</f>
        <v>#VALUE!</v>
      </c>
      <c r="HF25" t="e">
        <f>Nodes!S144+"'E4!mq"</f>
        <v>#VALUE!</v>
      </c>
      <c r="HG25" t="e">
        <f>Nodes!T144+"'E4!mr"</f>
        <v>#VALUE!</v>
      </c>
      <c r="HH25" t="e">
        <f>Nodes!U144+"'E4!ms"</f>
        <v>#VALUE!</v>
      </c>
      <c r="HI25" t="e">
        <f>Nodes!V144+"'E4!mt"</f>
        <v>#VALUE!</v>
      </c>
      <c r="HJ25" t="e">
        <f>Nodes!W144+"'E4!mu"</f>
        <v>#VALUE!</v>
      </c>
      <c r="HK25" s="333" t="e">
        <f>Nodes!X144+"'E4!mv"</f>
        <v>#VALUE!</v>
      </c>
      <c r="HL25" t="e">
        <f>Nodes!Y144+"'E4!mw"</f>
        <v>#VALUE!</v>
      </c>
      <c r="HM25" t="e">
        <f>Nodes!Z144+"'E4!mx"</f>
        <v>#VALUE!</v>
      </c>
      <c r="HN25" t="e">
        <f>Nodes!AA144+"'E4!my"</f>
        <v>#VALUE!</v>
      </c>
      <c r="HO25" t="e">
        <f>Nodes!AB144+"'E4!mz"</f>
        <v>#VALUE!</v>
      </c>
      <c r="HP25" t="e">
        <f>Nodes!AC144+"'E4!m{"</f>
        <v>#VALUE!</v>
      </c>
      <c r="HQ25" t="e">
        <f>Nodes!A145+"'E4!m|"</f>
        <v>#VALUE!</v>
      </c>
      <c r="HR25" t="e">
        <f>Nodes!B145+"'E4!m}"</f>
        <v>#VALUE!</v>
      </c>
      <c r="HS25" t="e">
        <f>Nodes!C145+"'E4!m~"</f>
        <v>#VALUE!</v>
      </c>
      <c r="HT25" t="e">
        <f>Nodes!D145+"'E4!n#"</f>
        <v>#VALUE!</v>
      </c>
      <c r="HU25" t="e">
        <f>Nodes!E145+"'E4!n$"</f>
        <v>#VALUE!</v>
      </c>
      <c r="HV25" t="e">
        <f>Nodes!F145+"'E4!n%"</f>
        <v>#VALUE!</v>
      </c>
      <c r="HW25" t="e">
        <f>Nodes!G145+"'E4!n&amp;"</f>
        <v>#VALUE!</v>
      </c>
      <c r="HX25" t="e">
        <f>Nodes!H145+"'E4!n'"</f>
        <v>#VALUE!</v>
      </c>
      <c r="HY25" t="e">
        <f>Nodes!I145+"'E4!n("</f>
        <v>#VALUE!</v>
      </c>
      <c r="HZ25" t="e">
        <f>Nodes!J145+"'E4!n)"</f>
        <v>#VALUE!</v>
      </c>
      <c r="IA25" t="e">
        <f>Nodes!K145+"'E4!n."</f>
        <v>#VALUE!</v>
      </c>
      <c r="IB25" t="e">
        <f>Nodes!L145+"'E4!n/"</f>
        <v>#VALUE!</v>
      </c>
      <c r="IC25" t="e">
        <f>Nodes!M145+"'E4!n0"</f>
        <v>#VALUE!</v>
      </c>
      <c r="ID25" t="e">
        <f>Nodes!N145+"'E4!n1"</f>
        <v>#VALUE!</v>
      </c>
      <c r="IE25" t="e">
        <f>Nodes!O145+"'E4!n2"</f>
        <v>#VALUE!</v>
      </c>
      <c r="IF25" t="e">
        <f>Nodes!P145+"'E4!n3"</f>
        <v>#VALUE!</v>
      </c>
      <c r="IG25" t="e">
        <f>Nodes!Q145+"'E4!n4"</f>
        <v>#VALUE!</v>
      </c>
      <c r="IH25" t="e">
        <f>Nodes!R145+"'E4!n5"</f>
        <v>#VALUE!</v>
      </c>
      <c r="II25" t="e">
        <f>Nodes!S145+"'E4!n6"</f>
        <v>#VALUE!</v>
      </c>
      <c r="IJ25" t="e">
        <f>Nodes!T145+"'E4!n7"</f>
        <v>#VALUE!</v>
      </c>
      <c r="IK25" t="e">
        <f>Nodes!U145+"'E4!n8"</f>
        <v>#VALUE!</v>
      </c>
      <c r="IL25" t="e">
        <f>Nodes!V145+"'E4!n9"</f>
        <v>#VALUE!</v>
      </c>
      <c r="IM25" t="e">
        <f>Nodes!W145+"'E4!n:"</f>
        <v>#VALUE!</v>
      </c>
      <c r="IN25" s="333" t="e">
        <f>Nodes!X145+"'E4!n;"</f>
        <v>#VALUE!</v>
      </c>
      <c r="IO25" t="e">
        <f>Nodes!Y145+"'E4!n&lt;"</f>
        <v>#VALUE!</v>
      </c>
      <c r="IP25" t="e">
        <f>Nodes!Z145+"'E4!n="</f>
        <v>#VALUE!</v>
      </c>
      <c r="IQ25" t="e">
        <f>Nodes!AA145+"'E4!n&gt;"</f>
        <v>#VALUE!</v>
      </c>
      <c r="IR25" t="e">
        <f>Nodes!AB145+"'E4!n?"</f>
        <v>#VALUE!</v>
      </c>
      <c r="IS25" t="e">
        <f>Nodes!AC145+"'E4!n@"</f>
        <v>#VALUE!</v>
      </c>
      <c r="IT25" t="e">
        <f>Nodes!A146+"'E4!nA"</f>
        <v>#VALUE!</v>
      </c>
      <c r="IU25" t="e">
        <f>Nodes!B146+"'E4!nB"</f>
        <v>#VALUE!</v>
      </c>
      <c r="IV25" t="e">
        <f>Nodes!C146+"'E4!nC"</f>
        <v>#VALUE!</v>
      </c>
    </row>
    <row r="26" spans="6:256">
      <c r="F26" t="e">
        <f>Nodes!D146+"'E4!nD"</f>
        <v>#VALUE!</v>
      </c>
      <c r="G26" t="e">
        <f>Nodes!E146+"'E4!nE"</f>
        <v>#VALUE!</v>
      </c>
      <c r="H26" t="e">
        <f>Nodes!F146+"'E4!nF"</f>
        <v>#VALUE!</v>
      </c>
      <c r="I26" t="e">
        <f>Nodes!G146+"'E4!nG"</f>
        <v>#VALUE!</v>
      </c>
      <c r="J26" t="e">
        <f>Nodes!H146+"'E4!nH"</f>
        <v>#VALUE!</v>
      </c>
      <c r="K26" t="e">
        <f>Nodes!I146+"'E4!nI"</f>
        <v>#VALUE!</v>
      </c>
      <c r="L26" t="e">
        <f>Nodes!J146+"'E4!nJ"</f>
        <v>#VALUE!</v>
      </c>
      <c r="M26" t="e">
        <f>Nodes!K146+"'E4!nK"</f>
        <v>#VALUE!</v>
      </c>
      <c r="N26" t="e">
        <f>Nodes!L146+"'E4!nL"</f>
        <v>#VALUE!</v>
      </c>
      <c r="O26" t="e">
        <f>Nodes!M146+"'E4!nM"</f>
        <v>#VALUE!</v>
      </c>
      <c r="P26" t="e">
        <f>Nodes!N146+"'E4!nN"</f>
        <v>#VALUE!</v>
      </c>
      <c r="Q26" t="e">
        <f>Nodes!O146+"'E4!nO"</f>
        <v>#VALUE!</v>
      </c>
      <c r="R26" t="e">
        <f>Nodes!P146+"'E4!nP"</f>
        <v>#VALUE!</v>
      </c>
      <c r="S26" t="e">
        <f>Nodes!Q146+"'E4!nQ"</f>
        <v>#VALUE!</v>
      </c>
      <c r="T26" t="e">
        <f>Nodes!R146+"'E4!nR"</f>
        <v>#VALUE!</v>
      </c>
      <c r="U26" t="e">
        <f>Nodes!S146+"'E4!nS"</f>
        <v>#VALUE!</v>
      </c>
      <c r="V26" t="e">
        <f>Nodes!T146+"'E4!nT"</f>
        <v>#VALUE!</v>
      </c>
      <c r="W26" t="e">
        <f>Nodes!U146+"'E4!nU"</f>
        <v>#VALUE!</v>
      </c>
      <c r="X26" t="e">
        <f>Nodes!V146+"'E4!nV"</f>
        <v>#VALUE!</v>
      </c>
      <c r="Y26" t="e">
        <f>Nodes!W146+"'E4!nW"</f>
        <v>#VALUE!</v>
      </c>
      <c r="Z26" s="333" t="e">
        <f>Nodes!X146+"'E4!nX"</f>
        <v>#VALUE!</v>
      </c>
      <c r="AA26" t="e">
        <f>Nodes!Y146+"'E4!nY"</f>
        <v>#VALUE!</v>
      </c>
      <c r="AB26" t="e">
        <f>Nodes!Z146+"'E4!nZ"</f>
        <v>#VALUE!</v>
      </c>
      <c r="AC26" t="e">
        <f>Nodes!AA146+"'E4!n["</f>
        <v>#VALUE!</v>
      </c>
      <c r="AD26" t="e">
        <f>Nodes!AB146+"'E4!n\"</f>
        <v>#VALUE!</v>
      </c>
      <c r="AE26" t="e">
        <f>Nodes!AC146+"'E4!n]"</f>
        <v>#VALUE!</v>
      </c>
      <c r="AF26" t="e">
        <f>Nodes!A147+"'E4!n^"</f>
        <v>#VALUE!</v>
      </c>
      <c r="AG26" t="e">
        <f>Nodes!B147+"'E4!n_"</f>
        <v>#VALUE!</v>
      </c>
      <c r="AH26" t="e">
        <f>Nodes!C147+"'E4!n`"</f>
        <v>#VALUE!</v>
      </c>
      <c r="AI26" t="e">
        <f>Nodes!D147+"'E4!na"</f>
        <v>#VALUE!</v>
      </c>
      <c r="AJ26" t="e">
        <f>Nodes!E147+"'E4!nb"</f>
        <v>#VALUE!</v>
      </c>
      <c r="AK26" t="e">
        <f>Nodes!F147+"'E4!nc"</f>
        <v>#VALUE!</v>
      </c>
      <c r="AL26" t="e">
        <f>Nodes!G147+"'E4!nd"</f>
        <v>#VALUE!</v>
      </c>
      <c r="AM26" t="e">
        <f>Nodes!H147+"'E4!ne"</f>
        <v>#VALUE!</v>
      </c>
      <c r="AN26" t="e">
        <f>Nodes!I147+"'E4!nf"</f>
        <v>#VALUE!</v>
      </c>
      <c r="AO26" t="e">
        <f>Nodes!J147+"'E4!ng"</f>
        <v>#VALUE!</v>
      </c>
      <c r="AP26" t="e">
        <f>Nodes!K147+"'E4!nh"</f>
        <v>#VALUE!</v>
      </c>
      <c r="AQ26" t="e">
        <f>Nodes!L147+"'E4!ni"</f>
        <v>#VALUE!</v>
      </c>
      <c r="AR26" t="e">
        <f>Nodes!M147+"'E4!nj"</f>
        <v>#VALUE!</v>
      </c>
      <c r="AS26" t="e">
        <f>Nodes!N147+"'E4!nk"</f>
        <v>#VALUE!</v>
      </c>
      <c r="AT26" t="e">
        <f>Nodes!O147+"'E4!nl"</f>
        <v>#VALUE!</v>
      </c>
      <c r="AU26" t="e">
        <f>Nodes!P147+"'E4!nm"</f>
        <v>#VALUE!</v>
      </c>
      <c r="AV26" t="e">
        <f>Nodes!Q147+"'E4!nn"</f>
        <v>#VALUE!</v>
      </c>
      <c r="AW26" t="e">
        <f>Nodes!R147+"'E4!no"</f>
        <v>#VALUE!</v>
      </c>
      <c r="AX26" t="e">
        <f>Nodes!S147+"'E4!np"</f>
        <v>#VALUE!</v>
      </c>
      <c r="AY26" t="e">
        <f>Nodes!T147+"'E4!nq"</f>
        <v>#VALUE!</v>
      </c>
      <c r="AZ26" t="e">
        <f>Nodes!U147+"'E4!nr"</f>
        <v>#VALUE!</v>
      </c>
      <c r="BA26" t="e">
        <f>Nodes!V147+"'E4!ns"</f>
        <v>#VALUE!</v>
      </c>
      <c r="BB26" t="e">
        <f>Nodes!W147+"'E4!nt"</f>
        <v>#VALUE!</v>
      </c>
      <c r="BC26" s="333" t="e">
        <f>Nodes!X147+"'E4!nu"</f>
        <v>#VALUE!</v>
      </c>
      <c r="BD26" t="e">
        <f>Nodes!Y147+"'E4!nv"</f>
        <v>#VALUE!</v>
      </c>
      <c r="BE26" t="e">
        <f>Nodes!Z147+"'E4!nw"</f>
        <v>#VALUE!</v>
      </c>
      <c r="BF26" t="e">
        <f>Nodes!AA147+"'E4!nx"</f>
        <v>#VALUE!</v>
      </c>
      <c r="BG26" t="e">
        <f>Nodes!AB147+"'E4!ny"</f>
        <v>#VALUE!</v>
      </c>
      <c r="BH26" t="e">
        <f>Nodes!AC147+"'E4!nz"</f>
        <v>#VALUE!</v>
      </c>
      <c r="BI26" t="e">
        <f>Nodes!A148+"'E4!n{"</f>
        <v>#VALUE!</v>
      </c>
      <c r="BJ26" t="e">
        <f>Nodes!B148+"'E4!n|"</f>
        <v>#VALUE!</v>
      </c>
      <c r="BK26" t="e">
        <f>Nodes!C148+"'E4!n}"</f>
        <v>#VALUE!</v>
      </c>
      <c r="BL26" t="e">
        <f>Nodes!D148+"'E4!n~"</f>
        <v>#VALUE!</v>
      </c>
      <c r="BM26" t="e">
        <f>Nodes!E148+"'E4!o#"</f>
        <v>#VALUE!</v>
      </c>
      <c r="BN26" t="e">
        <f>Nodes!F148+"'E4!o$"</f>
        <v>#VALUE!</v>
      </c>
      <c r="BO26" t="e">
        <f>Nodes!G148+"'E4!o%"</f>
        <v>#VALUE!</v>
      </c>
      <c r="BP26" t="e">
        <f>Nodes!H148+"'E4!o&amp;"</f>
        <v>#VALUE!</v>
      </c>
      <c r="BQ26" t="e">
        <f>Nodes!I148+"'E4!o'"</f>
        <v>#VALUE!</v>
      </c>
      <c r="BR26" t="e">
        <f>Nodes!J148+"'E4!o("</f>
        <v>#VALUE!</v>
      </c>
      <c r="BS26" t="e">
        <f>Nodes!K148+"'E4!o)"</f>
        <v>#VALUE!</v>
      </c>
      <c r="BT26" t="e">
        <f>Nodes!L148+"'E4!o."</f>
        <v>#VALUE!</v>
      </c>
      <c r="BU26" t="e">
        <f>Nodes!M148+"'E4!o/"</f>
        <v>#VALUE!</v>
      </c>
      <c r="BV26" t="e">
        <f>Nodes!N148+"'E4!o0"</f>
        <v>#VALUE!</v>
      </c>
      <c r="BW26" t="e">
        <f>Nodes!O148+"'E4!o1"</f>
        <v>#VALUE!</v>
      </c>
      <c r="BX26" t="e">
        <f>Nodes!P148+"'E4!o2"</f>
        <v>#VALUE!</v>
      </c>
      <c r="BY26" t="e">
        <f>Nodes!Q148+"'E4!o3"</f>
        <v>#VALUE!</v>
      </c>
      <c r="BZ26" t="e">
        <f>Nodes!R148+"'E4!o4"</f>
        <v>#VALUE!</v>
      </c>
      <c r="CA26" t="e">
        <f>Nodes!S148+"'E4!o5"</f>
        <v>#VALUE!</v>
      </c>
      <c r="CB26" t="e">
        <f>Nodes!T148+"'E4!o6"</f>
        <v>#VALUE!</v>
      </c>
      <c r="CC26" t="e">
        <f>Nodes!U148+"'E4!o7"</f>
        <v>#VALUE!</v>
      </c>
      <c r="CD26" t="e">
        <f>Nodes!V148+"'E4!o8"</f>
        <v>#VALUE!</v>
      </c>
      <c r="CE26" t="e">
        <f>Nodes!W148+"'E4!o9"</f>
        <v>#VALUE!</v>
      </c>
      <c r="CF26" s="333" t="e">
        <f>Nodes!X148+"'E4!o:"</f>
        <v>#VALUE!</v>
      </c>
      <c r="CG26" t="e">
        <f>Nodes!Y148+"'E4!o;"</f>
        <v>#VALUE!</v>
      </c>
      <c r="CH26" t="e">
        <f>Nodes!Z148+"'E4!o&lt;"</f>
        <v>#VALUE!</v>
      </c>
      <c r="CI26" t="e">
        <f>Nodes!AA148+"'E4!o="</f>
        <v>#VALUE!</v>
      </c>
      <c r="CJ26" t="e">
        <f>Nodes!AB148+"'E4!o&gt;"</f>
        <v>#VALUE!</v>
      </c>
      <c r="CK26" t="e">
        <f>Nodes!AC148+"'E4!o?"</f>
        <v>#VALUE!</v>
      </c>
      <c r="CL26" t="e">
        <f>Nodes!A149+"'E4!o@"</f>
        <v>#VALUE!</v>
      </c>
      <c r="CM26" t="e">
        <f>Nodes!B149+"'E4!oA"</f>
        <v>#VALUE!</v>
      </c>
      <c r="CN26" t="e">
        <f>Nodes!C149+"'E4!oB"</f>
        <v>#VALUE!</v>
      </c>
      <c r="CO26" t="e">
        <f>Nodes!D149+"'E4!oC"</f>
        <v>#VALUE!</v>
      </c>
      <c r="CP26" t="e">
        <f>Nodes!E149+"'E4!oD"</f>
        <v>#VALUE!</v>
      </c>
      <c r="CQ26" t="e">
        <f>Nodes!F149+"'E4!oE"</f>
        <v>#VALUE!</v>
      </c>
      <c r="CR26" t="e">
        <f>Nodes!G149+"'E4!oF"</f>
        <v>#VALUE!</v>
      </c>
      <c r="CS26" t="e">
        <f>Nodes!H149+"'E4!oG"</f>
        <v>#VALUE!</v>
      </c>
      <c r="CT26" t="e">
        <f>Nodes!I149+"'E4!oH"</f>
        <v>#VALUE!</v>
      </c>
      <c r="CU26" t="e">
        <f>Nodes!J149+"'E4!oI"</f>
        <v>#VALUE!</v>
      </c>
      <c r="CV26" t="e">
        <f>Nodes!K149+"'E4!oJ"</f>
        <v>#VALUE!</v>
      </c>
      <c r="CW26" t="e">
        <f>Nodes!L149+"'E4!oK"</f>
        <v>#VALUE!</v>
      </c>
      <c r="CX26" t="e">
        <f>Nodes!M149+"'E4!oL"</f>
        <v>#VALUE!</v>
      </c>
      <c r="CY26" t="e">
        <f>Nodes!N149+"'E4!oM"</f>
        <v>#VALUE!</v>
      </c>
      <c r="CZ26" t="e">
        <f>Nodes!O149+"'E4!oN"</f>
        <v>#VALUE!</v>
      </c>
      <c r="DA26" t="e">
        <f>Nodes!P149+"'E4!oO"</f>
        <v>#VALUE!</v>
      </c>
      <c r="DB26" t="e">
        <f>Nodes!Q149+"'E4!oP"</f>
        <v>#VALUE!</v>
      </c>
      <c r="DC26" t="e">
        <f>Nodes!R149+"'E4!oQ"</f>
        <v>#VALUE!</v>
      </c>
      <c r="DD26" t="e">
        <f>Nodes!S149+"'E4!oR"</f>
        <v>#VALUE!</v>
      </c>
      <c r="DE26" t="e">
        <f>Nodes!T149+"'E4!oS"</f>
        <v>#VALUE!</v>
      </c>
      <c r="DF26" t="e">
        <f>Nodes!U149+"'E4!oT"</f>
        <v>#VALUE!</v>
      </c>
      <c r="DG26" t="e">
        <f>Nodes!V149+"'E4!oU"</f>
        <v>#VALUE!</v>
      </c>
      <c r="DH26" t="e">
        <f>Nodes!W149+"'E4!oV"</f>
        <v>#VALUE!</v>
      </c>
      <c r="DI26" s="333" t="e">
        <f>Nodes!X149+"'E4!oW"</f>
        <v>#VALUE!</v>
      </c>
      <c r="DJ26" t="e">
        <f>Nodes!Y149+"'E4!oX"</f>
        <v>#VALUE!</v>
      </c>
      <c r="DK26" t="e">
        <f>Nodes!Z149+"'E4!oY"</f>
        <v>#VALUE!</v>
      </c>
      <c r="DL26" t="e">
        <f>Nodes!AA149+"'E4!oZ"</f>
        <v>#VALUE!</v>
      </c>
      <c r="DM26" t="e">
        <f>Nodes!AB149+"'E4!o["</f>
        <v>#VALUE!</v>
      </c>
      <c r="DN26" t="e">
        <f>Nodes!AC149+"'E4!o\"</f>
        <v>#VALUE!</v>
      </c>
      <c r="DO26" t="e">
        <f>Nodes!A150+"'E4!o]"</f>
        <v>#VALUE!</v>
      </c>
      <c r="DP26" t="e">
        <f>Nodes!B150+"'E4!o^"</f>
        <v>#VALUE!</v>
      </c>
      <c r="DQ26" t="e">
        <f>Nodes!C150+"'E4!o_"</f>
        <v>#VALUE!</v>
      </c>
      <c r="DR26" t="e">
        <f>Nodes!D150+"'E4!o`"</f>
        <v>#VALUE!</v>
      </c>
      <c r="DS26" t="e">
        <f>Nodes!E150+"'E4!oa"</f>
        <v>#VALUE!</v>
      </c>
      <c r="DT26" t="e">
        <f>Nodes!F150+"'E4!ob"</f>
        <v>#VALUE!</v>
      </c>
      <c r="DU26" t="e">
        <f>Nodes!G150+"'E4!oc"</f>
        <v>#VALUE!</v>
      </c>
      <c r="DV26" t="e">
        <f>Nodes!H150+"'E4!od"</f>
        <v>#VALUE!</v>
      </c>
      <c r="DW26" t="e">
        <f>Nodes!I150+"'E4!oe"</f>
        <v>#VALUE!</v>
      </c>
      <c r="DX26" t="e">
        <f>Nodes!J150+"'E4!of"</f>
        <v>#VALUE!</v>
      </c>
      <c r="DY26" t="e">
        <f>Nodes!K150+"'E4!og"</f>
        <v>#VALUE!</v>
      </c>
      <c r="DZ26" t="e">
        <f>Nodes!L150+"'E4!oh"</f>
        <v>#VALUE!</v>
      </c>
      <c r="EA26" t="e">
        <f>Nodes!M150+"'E4!oi"</f>
        <v>#VALUE!</v>
      </c>
      <c r="EB26" t="e">
        <f>Nodes!N150+"'E4!oj"</f>
        <v>#VALUE!</v>
      </c>
      <c r="EC26" t="e">
        <f>Nodes!O150+"'E4!ok"</f>
        <v>#VALUE!</v>
      </c>
      <c r="ED26" t="e">
        <f>Nodes!P150+"'E4!ol"</f>
        <v>#VALUE!</v>
      </c>
      <c r="EE26" t="e">
        <f>Nodes!Q150+"'E4!om"</f>
        <v>#VALUE!</v>
      </c>
      <c r="EF26" t="e">
        <f>Nodes!R150+"'E4!on"</f>
        <v>#VALUE!</v>
      </c>
      <c r="EG26" t="e">
        <f>Nodes!S150+"'E4!oo"</f>
        <v>#VALUE!</v>
      </c>
      <c r="EH26" t="e">
        <f>Nodes!T150+"'E4!op"</f>
        <v>#VALUE!</v>
      </c>
      <c r="EI26" t="e">
        <f>Nodes!U150+"'E4!oq"</f>
        <v>#VALUE!</v>
      </c>
      <c r="EJ26" t="e">
        <f>Nodes!V150+"'E4!or"</f>
        <v>#VALUE!</v>
      </c>
      <c r="EK26" t="e">
        <f>Nodes!W150+"'E4!os"</f>
        <v>#VALUE!</v>
      </c>
      <c r="EL26" s="333" t="e">
        <f>Nodes!X150+"'E4!ot"</f>
        <v>#VALUE!</v>
      </c>
      <c r="EM26" t="e">
        <f>Nodes!Y150+"'E4!ou"</f>
        <v>#VALUE!</v>
      </c>
      <c r="EN26" t="e">
        <f>Nodes!Z150+"'E4!ov"</f>
        <v>#VALUE!</v>
      </c>
      <c r="EO26" t="e">
        <f>Nodes!AA150+"'E4!ow"</f>
        <v>#VALUE!</v>
      </c>
      <c r="EP26" t="e">
        <f>Nodes!AB150+"'E4!ox"</f>
        <v>#VALUE!</v>
      </c>
      <c r="EQ26" t="e">
        <f>Nodes!AC150+"'E4!oy"</f>
        <v>#VALUE!</v>
      </c>
      <c r="ER26" t="e">
        <f>Nodes!A151+"'E4!oz"</f>
        <v>#VALUE!</v>
      </c>
      <c r="ES26" t="e">
        <f>Nodes!B151+"'E4!o{"</f>
        <v>#VALUE!</v>
      </c>
      <c r="ET26" t="e">
        <f>Nodes!C151+"'E4!o|"</f>
        <v>#VALUE!</v>
      </c>
      <c r="EU26" t="e">
        <f>Nodes!D151+"'E4!o}"</f>
        <v>#VALUE!</v>
      </c>
      <c r="EV26" t="e">
        <f>Nodes!E151+"'E4!o~"</f>
        <v>#VALUE!</v>
      </c>
      <c r="EW26" t="e">
        <f>Nodes!F151+"'E4!p#"</f>
        <v>#VALUE!</v>
      </c>
      <c r="EX26" t="e">
        <f>Nodes!G151+"'E4!p$"</f>
        <v>#VALUE!</v>
      </c>
      <c r="EY26" t="e">
        <f>Nodes!H151+"'E4!p%"</f>
        <v>#VALUE!</v>
      </c>
      <c r="EZ26" t="e">
        <f>Nodes!I151+"'E4!p&amp;"</f>
        <v>#VALUE!</v>
      </c>
      <c r="FA26" t="e">
        <f>Nodes!J151+"'E4!p'"</f>
        <v>#VALUE!</v>
      </c>
      <c r="FB26" t="e">
        <f>Nodes!K151+"'E4!p("</f>
        <v>#VALUE!</v>
      </c>
      <c r="FC26" t="e">
        <f>Nodes!L151+"'E4!p)"</f>
        <v>#VALUE!</v>
      </c>
      <c r="FD26" t="e">
        <f>Nodes!M151+"'E4!p."</f>
        <v>#VALUE!</v>
      </c>
      <c r="FE26" t="e">
        <f>Nodes!N151+"'E4!p/"</f>
        <v>#VALUE!</v>
      </c>
      <c r="FF26" t="e">
        <f>Nodes!O151+"'E4!p0"</f>
        <v>#VALUE!</v>
      </c>
      <c r="FG26" t="e">
        <f>Nodes!P151+"'E4!p1"</f>
        <v>#VALUE!</v>
      </c>
      <c r="FH26" t="e">
        <f>Nodes!Q151+"'E4!p2"</f>
        <v>#VALUE!</v>
      </c>
      <c r="FI26" t="e">
        <f>Nodes!R151+"'E4!p3"</f>
        <v>#VALUE!</v>
      </c>
      <c r="FJ26" t="e">
        <f>Nodes!S151+"'E4!p4"</f>
        <v>#VALUE!</v>
      </c>
      <c r="FK26" t="e">
        <f>Nodes!T151+"'E4!p5"</f>
        <v>#VALUE!</v>
      </c>
      <c r="FL26" t="e">
        <f>Nodes!U151+"'E4!p6"</f>
        <v>#VALUE!</v>
      </c>
      <c r="FM26" t="e">
        <f>Nodes!V151+"'E4!p7"</f>
        <v>#VALUE!</v>
      </c>
      <c r="FN26" t="e">
        <f>Nodes!W151+"'E4!p8"</f>
        <v>#VALUE!</v>
      </c>
      <c r="FO26" s="333" t="e">
        <f>Nodes!X151+"'E4!p9"</f>
        <v>#VALUE!</v>
      </c>
      <c r="FP26" t="e">
        <f>Nodes!Y151+"'E4!p:"</f>
        <v>#VALUE!</v>
      </c>
      <c r="FQ26" t="e">
        <f>Nodes!Z151+"'E4!p;"</f>
        <v>#VALUE!</v>
      </c>
      <c r="FR26" t="e">
        <f>Nodes!AA151+"'E4!p&lt;"</f>
        <v>#VALUE!</v>
      </c>
      <c r="FS26" t="e">
        <f>Nodes!AB151+"'E4!p="</f>
        <v>#VALUE!</v>
      </c>
      <c r="FT26" t="e">
        <f>Nodes!AC151+"'E4!p&gt;"</f>
        <v>#VALUE!</v>
      </c>
      <c r="FU26" t="e">
        <f>Nodes!A152+"'E4!p?"</f>
        <v>#VALUE!</v>
      </c>
      <c r="FV26" t="e">
        <f>Nodes!B152+"'E4!p@"</f>
        <v>#VALUE!</v>
      </c>
      <c r="FW26" t="e">
        <f>Nodes!C152+"'E4!pA"</f>
        <v>#VALUE!</v>
      </c>
      <c r="FX26" t="e">
        <f>Nodes!D152+"'E4!pB"</f>
        <v>#VALUE!</v>
      </c>
      <c r="FY26" t="e">
        <f>Nodes!E152+"'E4!pC"</f>
        <v>#VALUE!</v>
      </c>
      <c r="FZ26" t="e">
        <f>Nodes!F152+"'E4!pD"</f>
        <v>#VALUE!</v>
      </c>
      <c r="GA26" t="e">
        <f>Nodes!G152+"'E4!pE"</f>
        <v>#VALUE!</v>
      </c>
      <c r="GB26" t="e">
        <f>Nodes!H152+"'E4!pF"</f>
        <v>#VALUE!</v>
      </c>
      <c r="GC26" t="e">
        <f>Nodes!I152+"'E4!pG"</f>
        <v>#VALUE!</v>
      </c>
      <c r="GD26" t="e">
        <f>Nodes!J152+"'E4!pH"</f>
        <v>#VALUE!</v>
      </c>
      <c r="GE26" t="e">
        <f>Nodes!K152+"'E4!pI"</f>
        <v>#VALUE!</v>
      </c>
      <c r="GF26" t="e">
        <f>Nodes!L152+"'E4!pJ"</f>
        <v>#VALUE!</v>
      </c>
      <c r="GG26" t="e">
        <f>Nodes!M152+"'E4!pK"</f>
        <v>#VALUE!</v>
      </c>
      <c r="GH26" t="e">
        <f>Nodes!N152+"'E4!pL"</f>
        <v>#VALUE!</v>
      </c>
      <c r="GI26" t="e">
        <f>Nodes!O152+"'E4!pM"</f>
        <v>#VALUE!</v>
      </c>
      <c r="GJ26" t="e">
        <f>Nodes!P152+"'E4!pN"</f>
        <v>#VALUE!</v>
      </c>
      <c r="GK26" t="e">
        <f>Nodes!Q152+"'E4!pO"</f>
        <v>#VALUE!</v>
      </c>
      <c r="GL26" t="e">
        <f>Nodes!R152+"'E4!pP"</f>
        <v>#VALUE!</v>
      </c>
      <c r="GM26" t="e">
        <f>Nodes!S152+"'E4!pQ"</f>
        <v>#VALUE!</v>
      </c>
      <c r="GN26" t="e">
        <f>Nodes!T152+"'E4!pR"</f>
        <v>#VALUE!</v>
      </c>
      <c r="GO26" t="e">
        <f>Nodes!U152+"'E4!pS"</f>
        <v>#VALUE!</v>
      </c>
      <c r="GP26" t="e">
        <f>Nodes!V152+"'E4!pT"</f>
        <v>#VALUE!</v>
      </c>
      <c r="GQ26" t="e">
        <f>Nodes!W152+"'E4!pU"</f>
        <v>#VALUE!</v>
      </c>
      <c r="GR26" s="333" t="e">
        <f>Nodes!X152+"'E4!pV"</f>
        <v>#VALUE!</v>
      </c>
      <c r="GS26" t="e">
        <f>Nodes!Y152+"'E4!pW"</f>
        <v>#VALUE!</v>
      </c>
      <c r="GT26" t="e">
        <f>Nodes!Z152+"'E4!pX"</f>
        <v>#VALUE!</v>
      </c>
      <c r="GU26" t="e">
        <f>Nodes!AA152+"'E4!pY"</f>
        <v>#VALUE!</v>
      </c>
      <c r="GV26" t="e">
        <f>Nodes!AB152+"'E4!pZ"</f>
        <v>#VALUE!</v>
      </c>
      <c r="GW26" t="e">
        <f>Nodes!AC152+"'E4!p["</f>
        <v>#VALUE!</v>
      </c>
      <c r="GX26" t="e">
        <f>Nodes!A153+"'E4!p\"</f>
        <v>#VALUE!</v>
      </c>
      <c r="GY26" t="e">
        <f>Nodes!B153+"'E4!p]"</f>
        <v>#VALUE!</v>
      </c>
      <c r="GZ26" t="e">
        <f>Nodes!C153+"'E4!p^"</f>
        <v>#VALUE!</v>
      </c>
      <c r="HA26" t="e">
        <f>Nodes!D153+"'E4!p_"</f>
        <v>#VALUE!</v>
      </c>
      <c r="HB26" t="e">
        <f>Nodes!E153+"'E4!p`"</f>
        <v>#VALUE!</v>
      </c>
      <c r="HC26" t="e">
        <f>Nodes!F153+"'E4!pa"</f>
        <v>#VALUE!</v>
      </c>
      <c r="HD26" t="e">
        <f>Nodes!G153+"'E4!pb"</f>
        <v>#VALUE!</v>
      </c>
      <c r="HE26" t="e">
        <f>Nodes!H153+"'E4!pc"</f>
        <v>#VALUE!</v>
      </c>
      <c r="HF26" t="e">
        <f>Nodes!I153+"'E4!pd"</f>
        <v>#VALUE!</v>
      </c>
      <c r="HG26" t="e">
        <f>Nodes!J153+"'E4!pe"</f>
        <v>#VALUE!</v>
      </c>
      <c r="HH26" t="e">
        <f>Nodes!K153+"'E4!pf"</f>
        <v>#VALUE!</v>
      </c>
      <c r="HI26" t="e">
        <f>Nodes!L153+"'E4!pg"</f>
        <v>#VALUE!</v>
      </c>
      <c r="HJ26" t="e">
        <f>Nodes!M153+"'E4!ph"</f>
        <v>#VALUE!</v>
      </c>
      <c r="HK26" t="e">
        <f>Nodes!N153+"'E4!pi"</f>
        <v>#VALUE!</v>
      </c>
      <c r="HL26" t="e">
        <f>Nodes!O153+"'E4!pj"</f>
        <v>#VALUE!</v>
      </c>
      <c r="HM26" t="e">
        <f>Nodes!P153+"'E4!pk"</f>
        <v>#VALUE!</v>
      </c>
      <c r="HN26" t="e">
        <f>Nodes!Q153+"'E4!pl"</f>
        <v>#VALUE!</v>
      </c>
      <c r="HO26" t="e">
        <f>Nodes!R153+"'E4!pm"</f>
        <v>#VALUE!</v>
      </c>
      <c r="HP26" t="e">
        <f>Nodes!S153+"'E4!pn"</f>
        <v>#VALUE!</v>
      </c>
      <c r="HQ26" t="e">
        <f>Nodes!T153+"'E4!po"</f>
        <v>#VALUE!</v>
      </c>
      <c r="HR26" t="e">
        <f>Nodes!U153+"'E4!pp"</f>
        <v>#VALUE!</v>
      </c>
      <c r="HS26" t="e">
        <f>Nodes!V153+"'E4!pq"</f>
        <v>#VALUE!</v>
      </c>
      <c r="HT26" t="e">
        <f>Nodes!W153+"'E4!pr"</f>
        <v>#VALUE!</v>
      </c>
      <c r="HU26" s="333" t="e">
        <f>Nodes!X153+"'E4!ps"</f>
        <v>#VALUE!</v>
      </c>
      <c r="HV26" t="e">
        <f>Nodes!Y153+"'E4!pt"</f>
        <v>#VALUE!</v>
      </c>
      <c r="HW26" t="e">
        <f>Nodes!Z153+"'E4!pu"</f>
        <v>#VALUE!</v>
      </c>
      <c r="HX26" t="e">
        <f>Nodes!AA153+"'E4!pv"</f>
        <v>#VALUE!</v>
      </c>
      <c r="HY26" t="e">
        <f>Nodes!AB153+"'E4!pw"</f>
        <v>#VALUE!</v>
      </c>
      <c r="HZ26" t="e">
        <f>Nodes!AC153+"'E4!px"</f>
        <v>#VALUE!</v>
      </c>
      <c r="IA26" t="e">
        <f>Nodes!A154+"'E4!py"</f>
        <v>#VALUE!</v>
      </c>
      <c r="IB26" t="e">
        <f>Nodes!B154+"'E4!pz"</f>
        <v>#VALUE!</v>
      </c>
      <c r="IC26" t="e">
        <f>Nodes!C154+"'E4!p{"</f>
        <v>#VALUE!</v>
      </c>
      <c r="ID26" t="e">
        <f>Nodes!D154+"'E4!p|"</f>
        <v>#VALUE!</v>
      </c>
      <c r="IE26" t="e">
        <f>Nodes!E154+"'E4!p}"</f>
        <v>#VALUE!</v>
      </c>
      <c r="IF26" t="e">
        <f>Nodes!F154+"'E4!p~"</f>
        <v>#VALUE!</v>
      </c>
      <c r="IG26" t="e">
        <f>Nodes!G154+"'E4!q#"</f>
        <v>#VALUE!</v>
      </c>
      <c r="IH26" t="e">
        <f>Nodes!H154+"'E4!q$"</f>
        <v>#VALUE!</v>
      </c>
      <c r="II26" t="e">
        <f>Nodes!I154+"'E4!q%"</f>
        <v>#VALUE!</v>
      </c>
      <c r="IJ26" t="e">
        <f>Nodes!J154+"'E4!q&amp;"</f>
        <v>#VALUE!</v>
      </c>
      <c r="IK26" t="e">
        <f>Nodes!K154+"'E4!q'"</f>
        <v>#VALUE!</v>
      </c>
      <c r="IL26" t="e">
        <f>Nodes!L154+"'E4!q("</f>
        <v>#VALUE!</v>
      </c>
      <c r="IM26" t="e">
        <f>Nodes!M154+"'E4!q)"</f>
        <v>#VALUE!</v>
      </c>
      <c r="IN26" t="e">
        <f>Nodes!N154+"'E4!q."</f>
        <v>#VALUE!</v>
      </c>
      <c r="IO26" t="e">
        <f>Nodes!O154+"'E4!q/"</f>
        <v>#VALUE!</v>
      </c>
      <c r="IP26" t="e">
        <f>Nodes!P154+"'E4!q0"</f>
        <v>#VALUE!</v>
      </c>
      <c r="IQ26" t="e">
        <f>Nodes!Q154+"'E4!q1"</f>
        <v>#VALUE!</v>
      </c>
      <c r="IR26" t="e">
        <f>Nodes!R154+"'E4!q2"</f>
        <v>#VALUE!</v>
      </c>
      <c r="IS26" t="e">
        <f>Nodes!S154+"'E4!q3"</f>
        <v>#VALUE!</v>
      </c>
      <c r="IT26" t="e">
        <f>Nodes!T154+"'E4!q4"</f>
        <v>#VALUE!</v>
      </c>
      <c r="IU26" t="e">
        <f>Nodes!U154+"'E4!q5"</f>
        <v>#VALUE!</v>
      </c>
      <c r="IV26" t="e">
        <f>Nodes!V154+"'E4!q6"</f>
        <v>#VALUE!</v>
      </c>
    </row>
    <row r="27" spans="6:256">
      <c r="F27" t="e">
        <f>Nodes!W154+"'E4!q7"</f>
        <v>#VALUE!</v>
      </c>
      <c r="G27" s="333" t="e">
        <f>Nodes!X154+"'E4!q8"</f>
        <v>#VALUE!</v>
      </c>
      <c r="H27" t="e">
        <f>Nodes!Y154+"'E4!q9"</f>
        <v>#VALUE!</v>
      </c>
      <c r="I27" t="e">
        <f>Nodes!Z154+"'E4!q:"</f>
        <v>#VALUE!</v>
      </c>
      <c r="J27" t="e">
        <f>Nodes!AA154+"'E4!q;"</f>
        <v>#VALUE!</v>
      </c>
      <c r="K27" t="e">
        <f>Nodes!AB154+"'E4!q&lt;"</f>
        <v>#VALUE!</v>
      </c>
      <c r="L27" t="e">
        <f>Nodes!AC154+"'E4!q="</f>
        <v>#VALUE!</v>
      </c>
      <c r="M27" t="e">
        <f>Nodes!A155+"'E4!q&gt;"</f>
        <v>#VALUE!</v>
      </c>
      <c r="N27" t="e">
        <f>Nodes!B155+"'E4!q?"</f>
        <v>#VALUE!</v>
      </c>
      <c r="O27" t="e">
        <f>Nodes!C155+"'E4!q@"</f>
        <v>#VALUE!</v>
      </c>
      <c r="P27" t="e">
        <f>Nodes!D155+"'E4!qA"</f>
        <v>#VALUE!</v>
      </c>
      <c r="Q27" t="e">
        <f>Nodes!E155+"'E4!qB"</f>
        <v>#VALUE!</v>
      </c>
      <c r="R27" t="e">
        <f>Nodes!F155+"'E4!qC"</f>
        <v>#VALUE!</v>
      </c>
      <c r="S27" t="e">
        <f>Nodes!G155+"'E4!qD"</f>
        <v>#VALUE!</v>
      </c>
      <c r="T27" t="e">
        <f>Nodes!H155+"'E4!qE"</f>
        <v>#VALUE!</v>
      </c>
      <c r="U27" t="e">
        <f>Nodes!I155+"'E4!qF"</f>
        <v>#VALUE!</v>
      </c>
      <c r="V27" t="e">
        <f>Nodes!J155+"'E4!qG"</f>
        <v>#VALUE!</v>
      </c>
      <c r="W27" t="e">
        <f>Nodes!K155+"'E4!qH"</f>
        <v>#VALUE!</v>
      </c>
      <c r="X27" t="e">
        <f>Nodes!L155+"'E4!qI"</f>
        <v>#VALUE!</v>
      </c>
      <c r="Y27" t="e">
        <f>Nodes!M155+"'E4!qJ"</f>
        <v>#VALUE!</v>
      </c>
      <c r="Z27" t="e">
        <f>Nodes!N155+"'E4!qK"</f>
        <v>#VALUE!</v>
      </c>
      <c r="AA27" t="e">
        <f>Nodes!O155+"'E4!qL"</f>
        <v>#VALUE!</v>
      </c>
      <c r="AB27" t="e">
        <f>Nodes!P155+"'E4!qM"</f>
        <v>#VALUE!</v>
      </c>
      <c r="AC27" t="e">
        <f>Nodes!Q155+"'E4!qN"</f>
        <v>#VALUE!</v>
      </c>
      <c r="AD27" t="e">
        <f>Nodes!R155+"'E4!qO"</f>
        <v>#VALUE!</v>
      </c>
      <c r="AE27" t="e">
        <f>Nodes!S155+"'E4!qP"</f>
        <v>#VALUE!</v>
      </c>
      <c r="AF27" t="e">
        <f>Nodes!T155+"'E4!qQ"</f>
        <v>#VALUE!</v>
      </c>
      <c r="AG27" t="e">
        <f>Nodes!U155+"'E4!qR"</f>
        <v>#VALUE!</v>
      </c>
      <c r="AH27" t="e">
        <f>Nodes!V155+"'E4!qS"</f>
        <v>#VALUE!</v>
      </c>
      <c r="AI27" t="e">
        <f>Nodes!W155+"'E4!qT"</f>
        <v>#VALUE!</v>
      </c>
      <c r="AJ27" s="333" t="e">
        <f>Nodes!X155+"'E4!qU"</f>
        <v>#VALUE!</v>
      </c>
      <c r="AK27" t="e">
        <f>Nodes!Y155+"'E4!qV"</f>
        <v>#VALUE!</v>
      </c>
      <c r="AL27" t="e">
        <f>Nodes!Z155+"'E4!qW"</f>
        <v>#VALUE!</v>
      </c>
      <c r="AM27" t="e">
        <f>Nodes!AA155+"'E4!qX"</f>
        <v>#VALUE!</v>
      </c>
      <c r="AN27" t="e">
        <f>Nodes!AB155+"'E4!qY"</f>
        <v>#VALUE!</v>
      </c>
      <c r="AO27" t="e">
        <f>Nodes!AC155+"'E4!qZ"</f>
        <v>#VALUE!</v>
      </c>
      <c r="AP27" t="e">
        <f>Nodes!A156+"'E4!q["</f>
        <v>#VALUE!</v>
      </c>
      <c r="AQ27" t="e">
        <f>Nodes!B156+"'E4!q\"</f>
        <v>#VALUE!</v>
      </c>
      <c r="AR27" t="e">
        <f>Nodes!C156+"'E4!q]"</f>
        <v>#VALUE!</v>
      </c>
      <c r="AS27" t="e">
        <f>Nodes!D156+"'E4!q^"</f>
        <v>#VALUE!</v>
      </c>
      <c r="AT27" t="e">
        <f>Nodes!E156+"'E4!q_"</f>
        <v>#VALUE!</v>
      </c>
      <c r="AU27" t="e">
        <f>Nodes!F156+"'E4!q`"</f>
        <v>#VALUE!</v>
      </c>
      <c r="AV27" t="e">
        <f>Nodes!G156+"'E4!qa"</f>
        <v>#VALUE!</v>
      </c>
      <c r="AW27" t="e">
        <f>Nodes!H156+"'E4!qb"</f>
        <v>#VALUE!</v>
      </c>
      <c r="AX27" t="e">
        <f>Nodes!I156+"'E4!qc"</f>
        <v>#VALUE!</v>
      </c>
      <c r="AY27" t="e">
        <f>Nodes!J156+"'E4!qd"</f>
        <v>#VALUE!</v>
      </c>
      <c r="AZ27" t="e">
        <f>Nodes!K156+"'E4!qe"</f>
        <v>#VALUE!</v>
      </c>
      <c r="BA27" t="e">
        <f>Nodes!L156+"'E4!qf"</f>
        <v>#VALUE!</v>
      </c>
      <c r="BB27" t="e">
        <f>Nodes!M156+"'E4!qg"</f>
        <v>#VALUE!</v>
      </c>
      <c r="BC27" t="e">
        <f>Nodes!N156+"'E4!qh"</f>
        <v>#VALUE!</v>
      </c>
      <c r="BD27" t="e">
        <f>Nodes!O156+"'E4!qi"</f>
        <v>#VALUE!</v>
      </c>
      <c r="BE27" t="e">
        <f>Nodes!P156+"'E4!qj"</f>
        <v>#VALUE!</v>
      </c>
      <c r="BF27" t="e">
        <f>Nodes!Q156+"'E4!qk"</f>
        <v>#VALUE!</v>
      </c>
      <c r="BG27" t="e">
        <f>Nodes!R156+"'E4!ql"</f>
        <v>#VALUE!</v>
      </c>
      <c r="BH27" t="e">
        <f>Nodes!S156+"'E4!qm"</f>
        <v>#VALUE!</v>
      </c>
      <c r="BI27" t="e">
        <f>Nodes!T156+"'E4!qn"</f>
        <v>#VALUE!</v>
      </c>
      <c r="BJ27" t="e">
        <f>Nodes!U156+"'E4!qo"</f>
        <v>#VALUE!</v>
      </c>
      <c r="BK27" t="e">
        <f>Nodes!V156+"'E4!qp"</f>
        <v>#VALUE!</v>
      </c>
      <c r="BL27" t="e">
        <f>Nodes!W156+"'E4!qq"</f>
        <v>#VALUE!</v>
      </c>
      <c r="BM27" s="333" t="e">
        <f>Nodes!X156+"'E4!qr"</f>
        <v>#VALUE!</v>
      </c>
      <c r="BN27" t="e">
        <f>Nodes!Y156+"'E4!qs"</f>
        <v>#VALUE!</v>
      </c>
      <c r="BO27" t="e">
        <f>Nodes!Z156+"'E4!qt"</f>
        <v>#VALUE!</v>
      </c>
      <c r="BP27" t="e">
        <f>Nodes!AA156+"'E4!qu"</f>
        <v>#VALUE!</v>
      </c>
      <c r="BQ27" t="e">
        <f>Nodes!AB156+"'E4!qv"</f>
        <v>#VALUE!</v>
      </c>
      <c r="BR27" t="e">
        <f>Nodes!AC156+"'E4!qw"</f>
        <v>#VALUE!</v>
      </c>
      <c r="BS27" t="e">
        <f>Nodes!A157+"'E4!qx"</f>
        <v>#VALUE!</v>
      </c>
      <c r="BT27" t="e">
        <f>Nodes!B157+"'E4!qy"</f>
        <v>#VALUE!</v>
      </c>
      <c r="BU27" t="e">
        <f>Nodes!C157+"'E4!qz"</f>
        <v>#VALUE!</v>
      </c>
      <c r="BV27" t="e">
        <f>Nodes!D157+"'E4!q{"</f>
        <v>#VALUE!</v>
      </c>
      <c r="BW27" t="e">
        <f>Nodes!E157+"'E4!q|"</f>
        <v>#VALUE!</v>
      </c>
      <c r="BX27" t="e">
        <f>Nodes!F157+"'E4!q}"</f>
        <v>#VALUE!</v>
      </c>
      <c r="BY27" t="e">
        <f>Nodes!G157+"'E4!q~"</f>
        <v>#VALUE!</v>
      </c>
      <c r="BZ27" t="e">
        <f>Nodes!H157+"'E4!r#"</f>
        <v>#VALUE!</v>
      </c>
      <c r="CA27" t="e">
        <f>Nodes!I157+"'E4!r$"</f>
        <v>#VALUE!</v>
      </c>
      <c r="CB27" t="e">
        <f>Nodes!J157+"'E4!r%"</f>
        <v>#VALUE!</v>
      </c>
      <c r="CC27" t="e">
        <f>Nodes!K157+"'E4!r&amp;"</f>
        <v>#VALUE!</v>
      </c>
      <c r="CD27" t="e">
        <f>Nodes!L157+"'E4!r'"</f>
        <v>#VALUE!</v>
      </c>
      <c r="CE27" t="e">
        <f>Nodes!M157+"'E4!r("</f>
        <v>#VALUE!</v>
      </c>
      <c r="CF27" t="e">
        <f>Nodes!N157+"'E4!r)"</f>
        <v>#VALUE!</v>
      </c>
      <c r="CG27" t="e">
        <f>Nodes!O157+"'E4!r."</f>
        <v>#VALUE!</v>
      </c>
      <c r="CH27" t="e">
        <f>Nodes!P157+"'E4!r/"</f>
        <v>#VALUE!</v>
      </c>
      <c r="CI27" t="e">
        <f>Nodes!Q157+"'E4!r0"</f>
        <v>#VALUE!</v>
      </c>
      <c r="CJ27" t="e">
        <f>Nodes!R157+"'E4!r1"</f>
        <v>#VALUE!</v>
      </c>
      <c r="CK27" t="e">
        <f>Nodes!S157+"'E4!r2"</f>
        <v>#VALUE!</v>
      </c>
      <c r="CL27" t="e">
        <f>Nodes!T157+"'E4!r3"</f>
        <v>#VALUE!</v>
      </c>
      <c r="CM27" t="e">
        <f>Nodes!U157+"'E4!r4"</f>
        <v>#VALUE!</v>
      </c>
      <c r="CN27" t="e">
        <f>Nodes!V157+"'E4!r5"</f>
        <v>#VALUE!</v>
      </c>
      <c r="CO27" t="e">
        <f>Nodes!W157+"'E4!r6"</f>
        <v>#VALUE!</v>
      </c>
      <c r="CP27" s="333" t="e">
        <f>Nodes!X157+"'E4!r7"</f>
        <v>#VALUE!</v>
      </c>
      <c r="CQ27" t="e">
        <f>Nodes!Y157+"'E4!r8"</f>
        <v>#VALUE!</v>
      </c>
      <c r="CR27" t="e">
        <f>Nodes!Z157+"'E4!r9"</f>
        <v>#VALUE!</v>
      </c>
      <c r="CS27" t="e">
        <f>Nodes!AA157+"'E4!r:"</f>
        <v>#VALUE!</v>
      </c>
      <c r="CT27" t="e">
        <f>Nodes!AB157+"'E4!r;"</f>
        <v>#VALUE!</v>
      </c>
      <c r="CU27" t="e">
        <f>Nodes!AC157+"'E4!r&lt;"</f>
        <v>#VALUE!</v>
      </c>
      <c r="CV27" t="e">
        <f>Nodes!A158+"'E4!r="</f>
        <v>#VALUE!</v>
      </c>
      <c r="CW27" t="e">
        <f>Nodes!B158+"'E4!r&gt;"</f>
        <v>#VALUE!</v>
      </c>
      <c r="CX27" t="e">
        <f>Nodes!C158+"'E4!r?"</f>
        <v>#VALUE!</v>
      </c>
      <c r="CY27" t="e">
        <f>Nodes!D158+"'E4!r@"</f>
        <v>#VALUE!</v>
      </c>
      <c r="CZ27" t="e">
        <f>Nodes!E158+"'E4!rA"</f>
        <v>#VALUE!</v>
      </c>
      <c r="DA27" t="e">
        <f>Nodes!F158+"'E4!rB"</f>
        <v>#VALUE!</v>
      </c>
      <c r="DB27" t="e">
        <f>Nodes!G158+"'E4!rC"</f>
        <v>#VALUE!</v>
      </c>
      <c r="DC27" t="e">
        <f>Nodes!H158+"'E4!rD"</f>
        <v>#VALUE!</v>
      </c>
      <c r="DD27" t="e">
        <f>Nodes!I158+"'E4!rE"</f>
        <v>#VALUE!</v>
      </c>
      <c r="DE27" t="e">
        <f>Nodes!J158+"'E4!rF"</f>
        <v>#VALUE!</v>
      </c>
      <c r="DF27" t="e">
        <f>Nodes!K158+"'E4!rG"</f>
        <v>#VALUE!</v>
      </c>
      <c r="DG27" t="e">
        <f>Nodes!L158+"'E4!rH"</f>
        <v>#VALUE!</v>
      </c>
      <c r="DH27" t="e">
        <f>Nodes!M158+"'E4!rI"</f>
        <v>#VALUE!</v>
      </c>
      <c r="DI27" t="e">
        <f>Nodes!N158+"'E4!rJ"</f>
        <v>#VALUE!</v>
      </c>
      <c r="DJ27" t="e">
        <f>Nodes!O158+"'E4!rK"</f>
        <v>#VALUE!</v>
      </c>
      <c r="DK27" t="e">
        <f>Nodes!P158+"'E4!rL"</f>
        <v>#VALUE!</v>
      </c>
      <c r="DL27" t="e">
        <f>Nodes!Q158+"'E4!rM"</f>
        <v>#VALUE!</v>
      </c>
      <c r="DM27" t="e">
        <f>Nodes!R158+"'E4!rN"</f>
        <v>#VALUE!</v>
      </c>
      <c r="DN27" t="e">
        <f>Nodes!S158+"'E4!rO"</f>
        <v>#VALUE!</v>
      </c>
      <c r="DO27" t="e">
        <f>Nodes!T158+"'E4!rP"</f>
        <v>#VALUE!</v>
      </c>
      <c r="DP27" t="e">
        <f>Nodes!U158+"'E4!rQ"</f>
        <v>#VALUE!</v>
      </c>
      <c r="DQ27" t="e">
        <f>Nodes!V158+"'E4!rR"</f>
        <v>#VALUE!</v>
      </c>
      <c r="DR27" t="e">
        <f>Nodes!W158+"'E4!rS"</f>
        <v>#VALUE!</v>
      </c>
      <c r="DS27" s="333" t="e">
        <f>Nodes!X158+"'E4!rT"</f>
        <v>#VALUE!</v>
      </c>
      <c r="DT27" t="e">
        <f>Nodes!Y158+"'E4!rU"</f>
        <v>#VALUE!</v>
      </c>
      <c r="DU27" t="e">
        <f>Nodes!Z158+"'E4!rV"</f>
        <v>#VALUE!</v>
      </c>
      <c r="DV27" t="e">
        <f>Nodes!AA158+"'E4!rW"</f>
        <v>#VALUE!</v>
      </c>
      <c r="DW27" t="e">
        <f>Nodes!AB158+"'E4!rX"</f>
        <v>#VALUE!</v>
      </c>
      <c r="DX27" t="e">
        <f>Nodes!AC158+"'E4!rY"</f>
        <v>#VALUE!</v>
      </c>
      <c r="DY27" t="e">
        <f>Nodes!A159+"'E4!rZ"</f>
        <v>#VALUE!</v>
      </c>
      <c r="DZ27" t="e">
        <f>Nodes!B159+"'E4!r["</f>
        <v>#VALUE!</v>
      </c>
      <c r="EA27" t="e">
        <f>Nodes!C159+"'E4!r\"</f>
        <v>#VALUE!</v>
      </c>
      <c r="EB27" t="e">
        <f>Nodes!D159+"'E4!r]"</f>
        <v>#VALUE!</v>
      </c>
      <c r="EC27" t="e">
        <f>Nodes!E159+"'E4!r^"</f>
        <v>#VALUE!</v>
      </c>
      <c r="ED27" t="e">
        <f>Nodes!F159+"'E4!r_"</f>
        <v>#VALUE!</v>
      </c>
      <c r="EE27" t="e">
        <f>Nodes!G159+"'E4!r`"</f>
        <v>#VALUE!</v>
      </c>
      <c r="EF27" t="e">
        <f>Nodes!H159+"'E4!ra"</f>
        <v>#VALUE!</v>
      </c>
      <c r="EG27" t="e">
        <f>Nodes!I159+"'E4!rb"</f>
        <v>#VALUE!</v>
      </c>
      <c r="EH27" t="e">
        <f>Nodes!J159+"'E4!rc"</f>
        <v>#VALUE!</v>
      </c>
      <c r="EI27" t="e">
        <f>Nodes!K159+"'E4!rd"</f>
        <v>#VALUE!</v>
      </c>
      <c r="EJ27" t="e">
        <f>Nodes!L159+"'E4!re"</f>
        <v>#VALUE!</v>
      </c>
      <c r="EK27" t="e">
        <f>Nodes!M159+"'E4!rf"</f>
        <v>#VALUE!</v>
      </c>
      <c r="EL27" t="e">
        <f>Nodes!N159+"'E4!rg"</f>
        <v>#VALUE!</v>
      </c>
      <c r="EM27" t="e">
        <f>Nodes!O159+"'E4!rh"</f>
        <v>#VALUE!</v>
      </c>
      <c r="EN27" t="e">
        <f>Nodes!P159+"'E4!ri"</f>
        <v>#VALUE!</v>
      </c>
      <c r="EO27" t="e">
        <f>Nodes!Q159+"'E4!rj"</f>
        <v>#VALUE!</v>
      </c>
      <c r="EP27" t="e">
        <f>Nodes!R159+"'E4!rk"</f>
        <v>#VALUE!</v>
      </c>
      <c r="EQ27" t="e">
        <f>Nodes!S159+"'E4!rl"</f>
        <v>#VALUE!</v>
      </c>
      <c r="ER27" t="e">
        <f>Nodes!T159+"'E4!rm"</f>
        <v>#VALUE!</v>
      </c>
      <c r="ES27" t="e">
        <f>Nodes!U159+"'E4!rn"</f>
        <v>#VALUE!</v>
      </c>
      <c r="ET27" t="e">
        <f>Nodes!V159+"'E4!ro"</f>
        <v>#VALUE!</v>
      </c>
      <c r="EU27" t="e">
        <f>Nodes!W159+"'E4!rp"</f>
        <v>#VALUE!</v>
      </c>
      <c r="EV27" s="333" t="e">
        <f>Nodes!X159+"'E4!rq"</f>
        <v>#VALUE!</v>
      </c>
      <c r="EW27" t="e">
        <f>Nodes!Y159+"'E4!rr"</f>
        <v>#VALUE!</v>
      </c>
      <c r="EX27" t="e">
        <f>Nodes!Z159+"'E4!rs"</f>
        <v>#VALUE!</v>
      </c>
      <c r="EY27" t="e">
        <f>Nodes!AA159+"'E4!rt"</f>
        <v>#VALUE!</v>
      </c>
      <c r="EZ27" t="e">
        <f>Nodes!AB159+"'E4!ru"</f>
        <v>#VALUE!</v>
      </c>
      <c r="FA27" t="e">
        <f>Nodes!AC159+"'E4!rv"</f>
        <v>#VALUE!</v>
      </c>
      <c r="FB27" t="e">
        <f>Nodes!A160+"'E4!rw"</f>
        <v>#VALUE!</v>
      </c>
      <c r="FC27" t="e">
        <f>Nodes!B160+"'E4!rx"</f>
        <v>#VALUE!</v>
      </c>
      <c r="FD27" t="e">
        <f>Nodes!C160+"'E4!ry"</f>
        <v>#VALUE!</v>
      </c>
      <c r="FE27" t="e">
        <f>Nodes!D160+"'E4!rz"</f>
        <v>#VALUE!</v>
      </c>
      <c r="FF27" t="e">
        <f>Nodes!E160+"'E4!r{"</f>
        <v>#VALUE!</v>
      </c>
      <c r="FG27" t="e">
        <f>Nodes!F160+"'E4!r|"</f>
        <v>#VALUE!</v>
      </c>
      <c r="FH27" t="e">
        <f>Nodes!G160+"'E4!r}"</f>
        <v>#VALUE!</v>
      </c>
      <c r="FI27" t="e">
        <f>Nodes!H160+"'E4!r~"</f>
        <v>#VALUE!</v>
      </c>
      <c r="FJ27" t="e">
        <f>Nodes!I160+"'E4!s#"</f>
        <v>#VALUE!</v>
      </c>
      <c r="FK27" t="e">
        <f>Nodes!J160+"'E4!s$"</f>
        <v>#VALUE!</v>
      </c>
      <c r="FL27" t="e">
        <f>Nodes!K160+"'E4!s%"</f>
        <v>#VALUE!</v>
      </c>
      <c r="FM27" t="e">
        <f>Nodes!L160+"'E4!s&amp;"</f>
        <v>#VALUE!</v>
      </c>
      <c r="FN27" t="e">
        <f>Nodes!M160+"'E4!s'"</f>
        <v>#VALUE!</v>
      </c>
      <c r="FO27" t="e">
        <f>Nodes!N160+"'E4!s("</f>
        <v>#VALUE!</v>
      </c>
      <c r="FP27" t="e">
        <f>Nodes!O160+"'E4!s)"</f>
        <v>#VALUE!</v>
      </c>
      <c r="FQ27" t="e">
        <f>Nodes!P160+"'E4!s."</f>
        <v>#VALUE!</v>
      </c>
      <c r="FR27" t="e">
        <f>Nodes!Q160+"'E4!s/"</f>
        <v>#VALUE!</v>
      </c>
      <c r="FS27" t="e">
        <f>Nodes!R160+"'E4!s0"</f>
        <v>#VALUE!</v>
      </c>
      <c r="FT27" t="e">
        <f>Nodes!S160+"'E4!s1"</f>
        <v>#VALUE!</v>
      </c>
      <c r="FU27" t="e">
        <f>Nodes!T160+"'E4!s2"</f>
        <v>#VALUE!</v>
      </c>
      <c r="FV27" t="e">
        <f>Nodes!U160+"'E4!s3"</f>
        <v>#VALUE!</v>
      </c>
      <c r="FW27" t="e">
        <f>Nodes!V160+"'E4!s4"</f>
        <v>#VALUE!</v>
      </c>
      <c r="FX27" t="e">
        <f>Nodes!W160+"'E4!s5"</f>
        <v>#VALUE!</v>
      </c>
      <c r="FY27" s="333" t="e">
        <f>Nodes!X160+"'E4!s6"</f>
        <v>#VALUE!</v>
      </c>
      <c r="FZ27" t="e">
        <f>Nodes!Y160+"'E4!s7"</f>
        <v>#VALUE!</v>
      </c>
      <c r="GA27" t="e">
        <f>Nodes!Z160+"'E4!s8"</f>
        <v>#VALUE!</v>
      </c>
      <c r="GB27" t="e">
        <f>Nodes!AA160+"'E4!s9"</f>
        <v>#VALUE!</v>
      </c>
      <c r="GC27" t="e">
        <f>Nodes!AB160+"'E4!s:"</f>
        <v>#VALUE!</v>
      </c>
      <c r="GD27" t="e">
        <f>Nodes!AC160+"'E4!s;"</f>
        <v>#VALUE!</v>
      </c>
      <c r="GE27" t="e">
        <f>Nodes!A161+"'E4!s&lt;"</f>
        <v>#VALUE!</v>
      </c>
      <c r="GF27" t="e">
        <f>Nodes!B161+"'E4!s="</f>
        <v>#VALUE!</v>
      </c>
      <c r="GG27" t="e">
        <f>Nodes!C161+"'E4!s&gt;"</f>
        <v>#VALUE!</v>
      </c>
      <c r="GH27" t="e">
        <f>Nodes!D161+"'E4!s?"</f>
        <v>#VALUE!</v>
      </c>
      <c r="GI27" t="e">
        <f>Nodes!E161+"'E4!s@"</f>
        <v>#VALUE!</v>
      </c>
      <c r="GJ27" t="e">
        <f>Nodes!F161+"'E4!sA"</f>
        <v>#VALUE!</v>
      </c>
      <c r="GK27" t="e">
        <f>Nodes!G161+"'E4!sB"</f>
        <v>#VALUE!</v>
      </c>
      <c r="GL27" t="e">
        <f>Nodes!H161+"'E4!sC"</f>
        <v>#VALUE!</v>
      </c>
      <c r="GM27" t="e">
        <f>Nodes!I161+"'E4!sD"</f>
        <v>#VALUE!</v>
      </c>
      <c r="GN27" t="e">
        <f>Nodes!J161+"'E4!sE"</f>
        <v>#VALUE!</v>
      </c>
      <c r="GO27" t="e">
        <f>Nodes!K161+"'E4!sF"</f>
        <v>#VALUE!</v>
      </c>
      <c r="GP27" t="e">
        <f>Nodes!L161+"'E4!sG"</f>
        <v>#VALUE!</v>
      </c>
      <c r="GQ27" t="e">
        <f>Nodes!M161+"'E4!sH"</f>
        <v>#VALUE!</v>
      </c>
      <c r="GR27" t="e">
        <f>Nodes!N161+"'E4!sI"</f>
        <v>#VALUE!</v>
      </c>
      <c r="GS27" t="e">
        <f>Nodes!O161+"'E4!sJ"</f>
        <v>#VALUE!</v>
      </c>
      <c r="GT27" t="e">
        <f>Nodes!P161+"'E4!sK"</f>
        <v>#VALUE!</v>
      </c>
      <c r="GU27" t="e">
        <f>Nodes!Q161+"'E4!sL"</f>
        <v>#VALUE!</v>
      </c>
      <c r="GV27" t="e">
        <f>Nodes!R161+"'E4!sM"</f>
        <v>#VALUE!</v>
      </c>
      <c r="GW27" t="e">
        <f>Nodes!S161+"'E4!sN"</f>
        <v>#VALUE!</v>
      </c>
      <c r="GX27" t="e">
        <f>Nodes!T161+"'E4!sO"</f>
        <v>#VALUE!</v>
      </c>
      <c r="GY27" t="e">
        <f>Nodes!U161+"'E4!sP"</f>
        <v>#VALUE!</v>
      </c>
      <c r="GZ27" t="e">
        <f>Nodes!V161+"'E4!sQ"</f>
        <v>#VALUE!</v>
      </c>
      <c r="HA27" t="e">
        <f>Nodes!W161+"'E4!sR"</f>
        <v>#VALUE!</v>
      </c>
      <c r="HB27" s="333" t="e">
        <f>Nodes!X161+"'E4!sS"</f>
        <v>#VALUE!</v>
      </c>
      <c r="HC27" t="e">
        <f>Nodes!Y161+"'E4!sT"</f>
        <v>#VALUE!</v>
      </c>
      <c r="HD27" t="e">
        <f>Nodes!Z161+"'E4!sU"</f>
        <v>#VALUE!</v>
      </c>
      <c r="HE27" t="e">
        <f>Nodes!AA161+"'E4!sV"</f>
        <v>#VALUE!</v>
      </c>
      <c r="HF27" t="e">
        <f>Nodes!AB161+"'E4!sW"</f>
        <v>#VALUE!</v>
      </c>
      <c r="HG27" t="e">
        <f>Nodes!AC161+"'E4!sX"</f>
        <v>#VALUE!</v>
      </c>
      <c r="HH27" t="e">
        <f>Nodes!A162+"'E4!sY"</f>
        <v>#VALUE!</v>
      </c>
      <c r="HI27" t="e">
        <f>Nodes!B162+"'E4!sZ"</f>
        <v>#VALUE!</v>
      </c>
      <c r="HJ27" t="e">
        <f>Nodes!C162+"'E4!s["</f>
        <v>#VALUE!</v>
      </c>
      <c r="HK27" t="e">
        <f>Nodes!D162+"'E4!s\"</f>
        <v>#VALUE!</v>
      </c>
      <c r="HL27" t="e">
        <f>Nodes!E162+"'E4!s]"</f>
        <v>#VALUE!</v>
      </c>
      <c r="HM27" t="e">
        <f>Nodes!F162+"'E4!s^"</f>
        <v>#VALUE!</v>
      </c>
      <c r="HN27" t="e">
        <f>Nodes!G162+"'E4!s_"</f>
        <v>#VALUE!</v>
      </c>
      <c r="HO27" t="e">
        <f>Nodes!H162+"'E4!s`"</f>
        <v>#VALUE!</v>
      </c>
      <c r="HP27" t="e">
        <f>Nodes!I162+"'E4!sa"</f>
        <v>#VALUE!</v>
      </c>
      <c r="HQ27" t="e">
        <f>Nodes!J162+"'E4!sb"</f>
        <v>#VALUE!</v>
      </c>
      <c r="HR27" t="e">
        <f>Nodes!K162+"'E4!sc"</f>
        <v>#VALUE!</v>
      </c>
      <c r="HS27" t="e">
        <f>Nodes!L162+"'E4!sd"</f>
        <v>#VALUE!</v>
      </c>
      <c r="HT27" t="e">
        <f>Nodes!M162+"'E4!se"</f>
        <v>#VALUE!</v>
      </c>
      <c r="HU27" t="e">
        <f>Nodes!N162+"'E4!sf"</f>
        <v>#VALUE!</v>
      </c>
      <c r="HV27" t="e">
        <f>Nodes!O162+"'E4!sg"</f>
        <v>#VALUE!</v>
      </c>
      <c r="HW27" t="e">
        <f>Nodes!P162+"'E4!sh"</f>
        <v>#VALUE!</v>
      </c>
      <c r="HX27" t="e">
        <f>Nodes!Q162+"'E4!si"</f>
        <v>#VALUE!</v>
      </c>
      <c r="HY27" t="e">
        <f>Nodes!R162+"'E4!sj"</f>
        <v>#VALUE!</v>
      </c>
      <c r="HZ27" t="e">
        <f>Nodes!S162+"'E4!sk"</f>
        <v>#VALUE!</v>
      </c>
      <c r="IA27" t="e">
        <f>Nodes!T162+"'E4!sl"</f>
        <v>#VALUE!</v>
      </c>
      <c r="IB27" t="e">
        <f>Nodes!U162+"'E4!sm"</f>
        <v>#VALUE!</v>
      </c>
      <c r="IC27" t="e">
        <f>Nodes!V162+"'E4!sn"</f>
        <v>#VALUE!</v>
      </c>
      <c r="ID27" t="e">
        <f>Nodes!W162+"'E4!so"</f>
        <v>#VALUE!</v>
      </c>
      <c r="IE27" s="333" t="e">
        <f>Nodes!X162+"'E4!sp"</f>
        <v>#VALUE!</v>
      </c>
      <c r="IF27" t="e">
        <f>Nodes!Y162+"'E4!sq"</f>
        <v>#VALUE!</v>
      </c>
      <c r="IG27" t="e">
        <f>Nodes!Z162+"'E4!sr"</f>
        <v>#VALUE!</v>
      </c>
      <c r="IH27" t="e">
        <f>Nodes!AA162+"'E4!ss"</f>
        <v>#VALUE!</v>
      </c>
      <c r="II27" t="e">
        <f>Nodes!AB162+"'E4!st"</f>
        <v>#VALUE!</v>
      </c>
      <c r="IJ27" t="e">
        <f>Nodes!AC162+"'E4!su"</f>
        <v>#VALUE!</v>
      </c>
      <c r="IK27" t="e">
        <f>Nodes!A163+"'E4!sv"</f>
        <v>#VALUE!</v>
      </c>
      <c r="IL27" t="e">
        <f>Nodes!B163+"'E4!sw"</f>
        <v>#VALUE!</v>
      </c>
      <c r="IM27" t="e">
        <f>Nodes!C163+"'E4!sx"</f>
        <v>#VALUE!</v>
      </c>
      <c r="IN27" t="e">
        <f>Nodes!D163+"'E4!sy"</f>
        <v>#VALUE!</v>
      </c>
      <c r="IO27" t="e">
        <f>Nodes!E163+"'E4!sz"</f>
        <v>#VALUE!</v>
      </c>
      <c r="IP27" t="e">
        <f>Nodes!F163+"'E4!s{"</f>
        <v>#VALUE!</v>
      </c>
      <c r="IQ27" t="e">
        <f>Nodes!G163+"'E4!s|"</f>
        <v>#VALUE!</v>
      </c>
      <c r="IR27" t="e">
        <f>Nodes!H163+"'E4!s}"</f>
        <v>#VALUE!</v>
      </c>
      <c r="IS27" t="e">
        <f>Nodes!I163+"'E4!s~"</f>
        <v>#VALUE!</v>
      </c>
      <c r="IT27" t="e">
        <f>Nodes!J163+"'E4!t#"</f>
        <v>#VALUE!</v>
      </c>
      <c r="IU27" t="e">
        <f>Nodes!K163+"'E4!t$"</f>
        <v>#VALUE!</v>
      </c>
      <c r="IV27" t="e">
        <f>Nodes!L163+"'E4!t%"</f>
        <v>#VALUE!</v>
      </c>
    </row>
    <row r="28" spans="6:256">
      <c r="F28" t="e">
        <f>Nodes!M163+"'E4!t&amp;"</f>
        <v>#VALUE!</v>
      </c>
      <c r="G28" t="e">
        <f>Nodes!N163+"'E4!t'"</f>
        <v>#VALUE!</v>
      </c>
      <c r="H28" t="e">
        <f>Nodes!O163+"'E4!t("</f>
        <v>#VALUE!</v>
      </c>
      <c r="I28" t="e">
        <f>Nodes!P163+"'E4!t)"</f>
        <v>#VALUE!</v>
      </c>
      <c r="J28" t="e">
        <f>Nodes!Q163+"'E4!t."</f>
        <v>#VALUE!</v>
      </c>
      <c r="K28" t="e">
        <f>Nodes!R163+"'E4!t/"</f>
        <v>#VALUE!</v>
      </c>
      <c r="L28" t="e">
        <f>Nodes!S163+"'E4!t0"</f>
        <v>#VALUE!</v>
      </c>
      <c r="M28" t="e">
        <f>Nodes!T163+"'E4!t1"</f>
        <v>#VALUE!</v>
      </c>
      <c r="N28" t="e">
        <f>Nodes!U163+"'E4!t2"</f>
        <v>#VALUE!</v>
      </c>
      <c r="O28" t="e">
        <f>Nodes!V163+"'E4!t3"</f>
        <v>#VALUE!</v>
      </c>
      <c r="P28" t="e">
        <f>Nodes!W163+"'E4!t4"</f>
        <v>#VALUE!</v>
      </c>
      <c r="Q28" s="333" t="e">
        <f>Nodes!X163+"'E4!t5"</f>
        <v>#VALUE!</v>
      </c>
      <c r="R28" t="e">
        <f>Nodes!Y163+"'E4!t6"</f>
        <v>#VALUE!</v>
      </c>
      <c r="S28" t="e">
        <f>Nodes!Z163+"'E4!t7"</f>
        <v>#VALUE!</v>
      </c>
      <c r="T28" t="e">
        <f>Nodes!AA163+"'E4!t8"</f>
        <v>#VALUE!</v>
      </c>
      <c r="U28" t="e">
        <f>Nodes!AB163+"'E4!t9"</f>
        <v>#VALUE!</v>
      </c>
      <c r="V28" t="e">
        <f>Nodes!AC163+"'E4!t:"</f>
        <v>#VALUE!</v>
      </c>
      <c r="W28" t="e">
        <f>Nodes!A164+"'E4!t;"</f>
        <v>#VALUE!</v>
      </c>
      <c r="X28" t="e">
        <f>Nodes!B164+"'E4!t&lt;"</f>
        <v>#VALUE!</v>
      </c>
      <c r="Y28" t="e">
        <f>Nodes!C164+"'E4!t="</f>
        <v>#VALUE!</v>
      </c>
      <c r="Z28" t="e">
        <f>Nodes!D164+"'E4!t&gt;"</f>
        <v>#VALUE!</v>
      </c>
      <c r="AA28" t="e">
        <f>Nodes!E164+"'E4!t?"</f>
        <v>#VALUE!</v>
      </c>
      <c r="AB28" t="e">
        <f>Nodes!F164+"'E4!t@"</f>
        <v>#VALUE!</v>
      </c>
      <c r="AC28" t="e">
        <f>Nodes!G164+"'E4!tA"</f>
        <v>#VALUE!</v>
      </c>
      <c r="AD28" t="e">
        <f>Nodes!H164+"'E4!tB"</f>
        <v>#VALUE!</v>
      </c>
      <c r="AE28" t="e">
        <f>Nodes!I164+"'E4!tC"</f>
        <v>#VALUE!</v>
      </c>
      <c r="AF28" t="e">
        <f>Nodes!J164+"'E4!tD"</f>
        <v>#VALUE!</v>
      </c>
      <c r="AG28" t="e">
        <f>Nodes!K164+"'E4!tE"</f>
        <v>#VALUE!</v>
      </c>
      <c r="AH28" t="e">
        <f>Nodes!L164+"'E4!tF"</f>
        <v>#VALUE!</v>
      </c>
      <c r="AI28" t="e">
        <f>Nodes!M164+"'E4!tG"</f>
        <v>#VALUE!</v>
      </c>
      <c r="AJ28" t="e">
        <f>Nodes!N164+"'E4!tH"</f>
        <v>#VALUE!</v>
      </c>
      <c r="AK28" t="e">
        <f>Nodes!O164+"'E4!tI"</f>
        <v>#VALUE!</v>
      </c>
      <c r="AL28" t="e">
        <f>Nodes!P164+"'E4!tJ"</f>
        <v>#VALUE!</v>
      </c>
      <c r="AM28" t="e">
        <f>Nodes!Q164+"'E4!tK"</f>
        <v>#VALUE!</v>
      </c>
      <c r="AN28" t="e">
        <f>Nodes!R164+"'E4!tL"</f>
        <v>#VALUE!</v>
      </c>
      <c r="AO28" t="e">
        <f>Nodes!S164+"'E4!tM"</f>
        <v>#VALUE!</v>
      </c>
      <c r="AP28" t="e">
        <f>Nodes!T164+"'E4!tN"</f>
        <v>#VALUE!</v>
      </c>
      <c r="AQ28" t="e">
        <f>Nodes!U164+"'E4!tO"</f>
        <v>#VALUE!</v>
      </c>
      <c r="AR28" t="e">
        <f>Nodes!V164+"'E4!tP"</f>
        <v>#VALUE!</v>
      </c>
      <c r="AS28" t="e">
        <f>Nodes!W164+"'E4!tQ"</f>
        <v>#VALUE!</v>
      </c>
      <c r="AT28" s="333" t="e">
        <f>Nodes!X164+"'E4!tR"</f>
        <v>#VALUE!</v>
      </c>
      <c r="AU28" t="e">
        <f>Nodes!Y164+"'E4!tS"</f>
        <v>#VALUE!</v>
      </c>
      <c r="AV28" t="e">
        <f>Nodes!Z164+"'E4!tT"</f>
        <v>#VALUE!</v>
      </c>
      <c r="AW28" t="e">
        <f>Nodes!AA164+"'E4!tU"</f>
        <v>#VALUE!</v>
      </c>
      <c r="AX28" t="e">
        <f>Nodes!AB164+"'E4!tV"</f>
        <v>#VALUE!</v>
      </c>
      <c r="AY28" t="e">
        <f>Nodes!AC164+"'E4!tW"</f>
        <v>#VALUE!</v>
      </c>
      <c r="AZ28" t="e">
        <f>Nodes!A165+"'E4!tX"</f>
        <v>#VALUE!</v>
      </c>
      <c r="BA28" t="e">
        <f>Nodes!B165+"'E4!tY"</f>
        <v>#VALUE!</v>
      </c>
      <c r="BB28" t="e">
        <f>Nodes!C165+"'E4!tZ"</f>
        <v>#VALUE!</v>
      </c>
      <c r="BC28" t="e">
        <f>Nodes!D165+"'E4!t["</f>
        <v>#VALUE!</v>
      </c>
      <c r="BD28" t="e">
        <f>Nodes!E165+"'E4!t\"</f>
        <v>#VALUE!</v>
      </c>
      <c r="BE28" t="e">
        <f>Nodes!F165+"'E4!t]"</f>
        <v>#VALUE!</v>
      </c>
      <c r="BF28" t="e">
        <f>Nodes!G165+"'E4!t^"</f>
        <v>#VALUE!</v>
      </c>
      <c r="BG28" t="e">
        <f>Nodes!H165+"'E4!t_"</f>
        <v>#VALUE!</v>
      </c>
      <c r="BH28" t="e">
        <f>Nodes!I165+"'E4!t`"</f>
        <v>#VALUE!</v>
      </c>
      <c r="BI28" t="e">
        <f>Nodes!J165+"'E4!ta"</f>
        <v>#VALUE!</v>
      </c>
      <c r="BJ28" t="e">
        <f>Nodes!K165+"'E4!tb"</f>
        <v>#VALUE!</v>
      </c>
      <c r="BK28" t="e">
        <f>Nodes!L165+"'E4!tc"</f>
        <v>#VALUE!</v>
      </c>
      <c r="BL28" t="e">
        <f>Nodes!M165+"'E4!td"</f>
        <v>#VALUE!</v>
      </c>
      <c r="BM28" t="e">
        <f>Nodes!N165+"'E4!te"</f>
        <v>#VALUE!</v>
      </c>
      <c r="BN28" t="e">
        <f>Nodes!O165+"'E4!tf"</f>
        <v>#VALUE!</v>
      </c>
      <c r="BO28" t="e">
        <f>Nodes!P165+"'E4!tg"</f>
        <v>#VALUE!</v>
      </c>
      <c r="BP28" t="e">
        <f>Nodes!Q165+"'E4!th"</f>
        <v>#VALUE!</v>
      </c>
      <c r="BQ28" t="e">
        <f>Nodes!R165+"'E4!ti"</f>
        <v>#VALUE!</v>
      </c>
      <c r="BR28" t="e">
        <f>Nodes!S165+"'E4!tj"</f>
        <v>#VALUE!</v>
      </c>
      <c r="BS28" t="e">
        <f>Nodes!T165+"'E4!tk"</f>
        <v>#VALUE!</v>
      </c>
      <c r="BT28" t="e">
        <f>Nodes!U165+"'E4!tl"</f>
        <v>#VALUE!</v>
      </c>
      <c r="BU28" t="e">
        <f>Nodes!V165+"'E4!tm"</f>
        <v>#VALUE!</v>
      </c>
      <c r="BV28" t="e">
        <f>Nodes!W165+"'E4!tn"</f>
        <v>#VALUE!</v>
      </c>
      <c r="BW28" s="333" t="e">
        <f>Nodes!X165+"'E4!to"</f>
        <v>#VALUE!</v>
      </c>
      <c r="BX28" t="e">
        <f>Nodes!Y165+"'E4!tp"</f>
        <v>#VALUE!</v>
      </c>
      <c r="BY28" t="e">
        <f>Nodes!Z165+"'E4!tq"</f>
        <v>#VALUE!</v>
      </c>
      <c r="BZ28" t="e">
        <f>Nodes!AA165+"'E4!tr"</f>
        <v>#VALUE!</v>
      </c>
      <c r="CA28" t="e">
        <f>Nodes!AB165+"'E4!ts"</f>
        <v>#VALUE!</v>
      </c>
      <c r="CB28" t="e">
        <f>Nodes!AC165+"'E4!tt"</f>
        <v>#VALUE!</v>
      </c>
      <c r="CC28" t="e">
        <f>Nodes!A166+"'E4!tu"</f>
        <v>#VALUE!</v>
      </c>
      <c r="CD28" t="e">
        <f>Nodes!B166+"'E4!tv"</f>
        <v>#VALUE!</v>
      </c>
      <c r="CE28" t="e">
        <f>Nodes!C166+"'E4!tw"</f>
        <v>#VALUE!</v>
      </c>
      <c r="CF28" t="e">
        <f>Nodes!D166+"'E4!tx"</f>
        <v>#VALUE!</v>
      </c>
      <c r="CG28" t="e">
        <f>Nodes!E166+"'E4!ty"</f>
        <v>#VALUE!</v>
      </c>
      <c r="CH28" t="e">
        <f>Nodes!F166+"'E4!tz"</f>
        <v>#VALUE!</v>
      </c>
      <c r="CI28" t="e">
        <f>Nodes!G166+"'E4!t{"</f>
        <v>#VALUE!</v>
      </c>
      <c r="CJ28" t="e">
        <f>Nodes!H166+"'E4!t|"</f>
        <v>#VALUE!</v>
      </c>
      <c r="CK28" t="e">
        <f>Nodes!I166+"'E4!t}"</f>
        <v>#VALUE!</v>
      </c>
      <c r="CL28" t="e">
        <f>Nodes!J166+"'E4!t~"</f>
        <v>#VALUE!</v>
      </c>
      <c r="CM28" t="e">
        <f>Nodes!K166+"'E4!u#"</f>
        <v>#VALUE!</v>
      </c>
      <c r="CN28" t="e">
        <f>Nodes!L166+"'E4!u$"</f>
        <v>#VALUE!</v>
      </c>
      <c r="CO28" t="e">
        <f>Nodes!M166+"'E4!u%"</f>
        <v>#VALUE!</v>
      </c>
      <c r="CP28" t="e">
        <f>Nodes!N166+"'E4!u&amp;"</f>
        <v>#VALUE!</v>
      </c>
      <c r="CQ28" t="e">
        <f>Nodes!O166+"'E4!u'"</f>
        <v>#VALUE!</v>
      </c>
      <c r="CR28" t="e">
        <f>Nodes!P166+"'E4!u("</f>
        <v>#VALUE!</v>
      </c>
      <c r="CS28" t="e">
        <f>Nodes!Q166+"'E4!u)"</f>
        <v>#VALUE!</v>
      </c>
      <c r="CT28" t="e">
        <f>Nodes!R166+"'E4!u."</f>
        <v>#VALUE!</v>
      </c>
      <c r="CU28" t="e">
        <f>Nodes!S166+"'E4!u/"</f>
        <v>#VALUE!</v>
      </c>
      <c r="CV28" t="e">
        <f>Nodes!T166+"'E4!u0"</f>
        <v>#VALUE!</v>
      </c>
      <c r="CW28" t="e">
        <f>Nodes!U166+"'E4!u1"</f>
        <v>#VALUE!</v>
      </c>
      <c r="CX28" t="e">
        <f>Nodes!V166+"'E4!u2"</f>
        <v>#VALUE!</v>
      </c>
      <c r="CY28" t="e">
        <f>Nodes!W166+"'E4!u3"</f>
        <v>#VALUE!</v>
      </c>
      <c r="CZ28" s="333" t="e">
        <f>Nodes!X166+"'E4!u4"</f>
        <v>#VALUE!</v>
      </c>
      <c r="DA28" t="e">
        <f>Nodes!Y166+"'E4!u5"</f>
        <v>#VALUE!</v>
      </c>
      <c r="DB28" t="e">
        <f>Nodes!Z166+"'E4!u6"</f>
        <v>#VALUE!</v>
      </c>
      <c r="DC28" t="e">
        <f>Nodes!AA166+"'E4!u7"</f>
        <v>#VALUE!</v>
      </c>
      <c r="DD28" t="e">
        <f>Nodes!AB166+"'E4!u8"</f>
        <v>#VALUE!</v>
      </c>
      <c r="DE28" t="e">
        <f>Nodes!AC166+"'E4!u9"</f>
        <v>#VALUE!</v>
      </c>
      <c r="DF28" t="e">
        <f>Nodes!A167+"'E4!u:"</f>
        <v>#VALUE!</v>
      </c>
      <c r="DG28" t="e">
        <f>Nodes!B167+"'E4!u;"</f>
        <v>#VALUE!</v>
      </c>
      <c r="DH28" t="e">
        <f>Nodes!C167+"'E4!u&lt;"</f>
        <v>#VALUE!</v>
      </c>
      <c r="DI28" t="e">
        <f>Nodes!D167+"'E4!u="</f>
        <v>#VALUE!</v>
      </c>
      <c r="DJ28" t="e">
        <f>Nodes!E167+"'E4!u&gt;"</f>
        <v>#VALUE!</v>
      </c>
      <c r="DK28" t="e">
        <f>Nodes!F167+"'E4!u?"</f>
        <v>#VALUE!</v>
      </c>
      <c r="DL28" t="e">
        <f>Nodes!G167+"'E4!u@"</f>
        <v>#VALUE!</v>
      </c>
      <c r="DM28" t="e">
        <f>Nodes!H167+"'E4!uA"</f>
        <v>#VALUE!</v>
      </c>
      <c r="DN28" t="e">
        <f>Nodes!I167+"'E4!uB"</f>
        <v>#VALUE!</v>
      </c>
      <c r="DO28" t="e">
        <f>Nodes!J167+"'E4!uC"</f>
        <v>#VALUE!</v>
      </c>
      <c r="DP28" t="e">
        <f>Nodes!K167+"'E4!uD"</f>
        <v>#VALUE!</v>
      </c>
      <c r="DQ28" t="e">
        <f>Nodes!L167+"'E4!uE"</f>
        <v>#VALUE!</v>
      </c>
      <c r="DR28" t="e">
        <f>Nodes!M167+"'E4!uF"</f>
        <v>#VALUE!</v>
      </c>
      <c r="DS28" t="e">
        <f>Nodes!N167+"'E4!uG"</f>
        <v>#VALUE!</v>
      </c>
      <c r="DT28" t="e">
        <f>Nodes!O167+"'E4!uH"</f>
        <v>#VALUE!</v>
      </c>
      <c r="DU28" t="e">
        <f>Nodes!P167+"'E4!uI"</f>
        <v>#VALUE!</v>
      </c>
      <c r="DV28" t="e">
        <f>Nodes!Q167+"'E4!uJ"</f>
        <v>#VALUE!</v>
      </c>
      <c r="DW28" t="e">
        <f>Nodes!R167+"'E4!uK"</f>
        <v>#VALUE!</v>
      </c>
      <c r="DX28" t="e">
        <f>Nodes!S167+"'E4!uL"</f>
        <v>#VALUE!</v>
      </c>
      <c r="DY28" t="e">
        <f>Nodes!T167+"'E4!uM"</f>
        <v>#VALUE!</v>
      </c>
      <c r="DZ28" t="e">
        <f>Nodes!U167+"'E4!uN"</f>
        <v>#VALUE!</v>
      </c>
      <c r="EA28" t="e">
        <f>Nodes!V167+"'E4!uO"</f>
        <v>#VALUE!</v>
      </c>
      <c r="EB28" t="e">
        <f>Nodes!W167+"'E4!uP"</f>
        <v>#VALUE!</v>
      </c>
      <c r="EC28" s="333" t="e">
        <f>Nodes!X167+"'E4!uQ"</f>
        <v>#VALUE!</v>
      </c>
      <c r="ED28" t="e">
        <f>Nodes!Y167+"'E4!uR"</f>
        <v>#VALUE!</v>
      </c>
      <c r="EE28" t="e">
        <f>Nodes!Z167+"'E4!uS"</f>
        <v>#VALUE!</v>
      </c>
      <c r="EF28" t="e">
        <f>Nodes!AA167+"'E4!uT"</f>
        <v>#VALUE!</v>
      </c>
      <c r="EG28" t="e">
        <f>Nodes!AB167+"'E4!uU"</f>
        <v>#VALUE!</v>
      </c>
      <c r="EH28" t="e">
        <f>Nodes!AC167+"'E4!uV"</f>
        <v>#VALUE!</v>
      </c>
      <c r="EI28" t="e">
        <f>Nodes!A168+"'E4!uW"</f>
        <v>#VALUE!</v>
      </c>
      <c r="EJ28" t="e">
        <f>Nodes!B168+"'E4!uX"</f>
        <v>#VALUE!</v>
      </c>
      <c r="EK28" t="e">
        <f>Nodes!C168+"'E4!uY"</f>
        <v>#VALUE!</v>
      </c>
      <c r="EL28" t="e">
        <f>Nodes!D168+"'E4!uZ"</f>
        <v>#VALUE!</v>
      </c>
      <c r="EM28" t="e">
        <f>Nodes!E168+"'E4!u["</f>
        <v>#VALUE!</v>
      </c>
      <c r="EN28" t="e">
        <f>Nodes!F168+"'E4!u\"</f>
        <v>#VALUE!</v>
      </c>
      <c r="EO28" t="e">
        <f>Nodes!G168+"'E4!u]"</f>
        <v>#VALUE!</v>
      </c>
      <c r="EP28" t="e">
        <f>Nodes!H168+"'E4!u^"</f>
        <v>#VALUE!</v>
      </c>
      <c r="EQ28" t="e">
        <f>Nodes!I168+"'E4!u_"</f>
        <v>#VALUE!</v>
      </c>
      <c r="ER28" t="e">
        <f>Nodes!J168+"'E4!u`"</f>
        <v>#VALUE!</v>
      </c>
      <c r="ES28" t="e">
        <f>Nodes!K168+"'E4!ua"</f>
        <v>#VALUE!</v>
      </c>
      <c r="ET28" t="e">
        <f>Nodes!L168+"'E4!ub"</f>
        <v>#VALUE!</v>
      </c>
      <c r="EU28" t="e">
        <f>Nodes!M168+"'E4!uc"</f>
        <v>#VALUE!</v>
      </c>
      <c r="EV28" t="e">
        <f>Nodes!N168+"'E4!ud"</f>
        <v>#VALUE!</v>
      </c>
      <c r="EW28" t="e">
        <f>Nodes!O168+"'E4!ue"</f>
        <v>#VALUE!</v>
      </c>
      <c r="EX28" t="e">
        <f>Nodes!P168+"'E4!uf"</f>
        <v>#VALUE!</v>
      </c>
      <c r="EY28" t="e">
        <f>Nodes!Q168+"'E4!ug"</f>
        <v>#VALUE!</v>
      </c>
      <c r="EZ28" t="e">
        <f>Nodes!R168+"'E4!uh"</f>
        <v>#VALUE!</v>
      </c>
      <c r="FA28" t="e">
        <f>Nodes!S168+"'E4!ui"</f>
        <v>#VALUE!</v>
      </c>
      <c r="FB28" t="e">
        <f>Nodes!T168+"'E4!uj"</f>
        <v>#VALUE!</v>
      </c>
      <c r="FC28" t="e">
        <f>Nodes!U168+"'E4!uk"</f>
        <v>#VALUE!</v>
      </c>
      <c r="FD28" t="e">
        <f>Nodes!V168+"'E4!ul"</f>
        <v>#VALUE!</v>
      </c>
      <c r="FE28" t="e">
        <f>Nodes!W168+"'E4!um"</f>
        <v>#VALUE!</v>
      </c>
      <c r="FF28" s="333" t="e">
        <f>Nodes!X168+"'E4!un"</f>
        <v>#VALUE!</v>
      </c>
      <c r="FG28" t="e">
        <f>Nodes!Y168+"'E4!uo"</f>
        <v>#VALUE!</v>
      </c>
      <c r="FH28" t="e">
        <f>Nodes!Z168+"'E4!up"</f>
        <v>#VALUE!</v>
      </c>
      <c r="FI28" t="e">
        <f>Nodes!AA168+"'E4!uq"</f>
        <v>#VALUE!</v>
      </c>
      <c r="FJ28" t="e">
        <f>Nodes!AB168+"'E4!ur"</f>
        <v>#VALUE!</v>
      </c>
      <c r="FK28" t="e">
        <f>Nodes!AC168+"'E4!us"</f>
        <v>#VALUE!</v>
      </c>
      <c r="FL28" t="e">
        <f>Nodes!A169+"'E4!ut"</f>
        <v>#VALUE!</v>
      </c>
      <c r="FM28" t="e">
        <f>Nodes!B169+"'E4!uu"</f>
        <v>#VALUE!</v>
      </c>
      <c r="FN28" t="e">
        <f>Nodes!C169+"'E4!uv"</f>
        <v>#VALUE!</v>
      </c>
      <c r="FO28" t="e">
        <f>Nodes!D169+"'E4!uw"</f>
        <v>#VALUE!</v>
      </c>
      <c r="FP28" t="e">
        <f>Nodes!E169+"'E4!ux"</f>
        <v>#VALUE!</v>
      </c>
      <c r="FQ28" t="e">
        <f>Nodes!F169+"'E4!uy"</f>
        <v>#VALUE!</v>
      </c>
      <c r="FR28" t="e">
        <f>Nodes!G169+"'E4!uz"</f>
        <v>#VALUE!</v>
      </c>
      <c r="FS28" t="e">
        <f>Nodes!H169+"'E4!u{"</f>
        <v>#VALUE!</v>
      </c>
      <c r="FT28" t="e">
        <f>Nodes!I169+"'E4!u|"</f>
        <v>#VALUE!</v>
      </c>
      <c r="FU28" t="e">
        <f>Nodes!J169+"'E4!u}"</f>
        <v>#VALUE!</v>
      </c>
      <c r="FV28" t="e">
        <f>Nodes!K169+"'E4!u~"</f>
        <v>#VALUE!</v>
      </c>
      <c r="FW28" t="e">
        <f>Nodes!L169+"'E4!v#"</f>
        <v>#VALUE!</v>
      </c>
      <c r="FX28" t="e">
        <f>Nodes!M169+"'E4!v$"</f>
        <v>#VALUE!</v>
      </c>
      <c r="FY28" t="e">
        <f>Nodes!N169+"'E4!v%"</f>
        <v>#VALUE!</v>
      </c>
      <c r="FZ28" t="e">
        <f>Nodes!O169+"'E4!v&amp;"</f>
        <v>#VALUE!</v>
      </c>
      <c r="GA28" t="e">
        <f>Nodes!P169+"'E4!v'"</f>
        <v>#VALUE!</v>
      </c>
      <c r="GB28" t="e">
        <f>Nodes!Q169+"'E4!v("</f>
        <v>#VALUE!</v>
      </c>
      <c r="GC28" t="e">
        <f>Nodes!R169+"'E4!v)"</f>
        <v>#VALUE!</v>
      </c>
      <c r="GD28" t="e">
        <f>Nodes!S169+"'E4!v."</f>
        <v>#VALUE!</v>
      </c>
      <c r="GE28" t="e">
        <f>Nodes!T169+"'E4!v/"</f>
        <v>#VALUE!</v>
      </c>
      <c r="GF28" t="e">
        <f>Nodes!U169+"'E4!v0"</f>
        <v>#VALUE!</v>
      </c>
      <c r="GG28" t="e">
        <f>Nodes!V169+"'E4!v1"</f>
        <v>#VALUE!</v>
      </c>
      <c r="GH28" t="e">
        <f>Nodes!W169+"'E4!v2"</f>
        <v>#VALUE!</v>
      </c>
      <c r="GI28" s="333" t="e">
        <f>Nodes!X169+"'E4!v3"</f>
        <v>#VALUE!</v>
      </c>
      <c r="GJ28" t="e">
        <f>Nodes!Y169+"'E4!v4"</f>
        <v>#VALUE!</v>
      </c>
      <c r="GK28" t="e">
        <f>Nodes!Z169+"'E4!v5"</f>
        <v>#VALUE!</v>
      </c>
      <c r="GL28" t="e">
        <f>Nodes!AA169+"'E4!v6"</f>
        <v>#VALUE!</v>
      </c>
      <c r="GM28" t="e">
        <f>Nodes!AB169+"'E4!v7"</f>
        <v>#VALUE!</v>
      </c>
      <c r="GN28" t="e">
        <f>Nodes!AC169+"'E4!v8"</f>
        <v>#VALUE!</v>
      </c>
      <c r="GO28" t="e">
        <f>Nodes!A170+"'E4!v9"</f>
        <v>#VALUE!</v>
      </c>
      <c r="GP28" t="e">
        <f>Nodes!B170+"'E4!v:"</f>
        <v>#VALUE!</v>
      </c>
      <c r="GQ28" t="e">
        <f>Nodes!C170+"'E4!v;"</f>
        <v>#VALUE!</v>
      </c>
      <c r="GR28" t="e">
        <f>Nodes!D170+"'E4!v&lt;"</f>
        <v>#VALUE!</v>
      </c>
      <c r="GS28" t="e">
        <f>Nodes!E170+"'E4!v="</f>
        <v>#VALUE!</v>
      </c>
      <c r="GT28" t="e">
        <f>Nodes!F170+"'E4!v&gt;"</f>
        <v>#VALUE!</v>
      </c>
      <c r="GU28" t="e">
        <f>Nodes!G170+"'E4!v?"</f>
        <v>#VALUE!</v>
      </c>
      <c r="GV28" t="e">
        <f>Nodes!H170+"'E4!v@"</f>
        <v>#VALUE!</v>
      </c>
      <c r="GW28" t="e">
        <f>Nodes!I170+"'E4!vA"</f>
        <v>#VALUE!</v>
      </c>
      <c r="GX28" t="e">
        <f>Nodes!J170+"'E4!vB"</f>
        <v>#VALUE!</v>
      </c>
      <c r="GY28" t="e">
        <f>Nodes!K170+"'E4!vC"</f>
        <v>#VALUE!</v>
      </c>
      <c r="GZ28" t="e">
        <f>Nodes!L170+"'E4!vD"</f>
        <v>#VALUE!</v>
      </c>
      <c r="HA28" t="e">
        <f>Nodes!M170+"'E4!vE"</f>
        <v>#VALUE!</v>
      </c>
      <c r="HB28" t="e">
        <f>Nodes!N170+"'E4!vF"</f>
        <v>#VALUE!</v>
      </c>
      <c r="HC28" t="e">
        <f>Nodes!O170+"'E4!vG"</f>
        <v>#VALUE!</v>
      </c>
      <c r="HD28" t="e">
        <f>Nodes!P170+"'E4!vH"</f>
        <v>#VALUE!</v>
      </c>
      <c r="HE28" t="e">
        <f>Nodes!Q170+"'E4!vI"</f>
        <v>#VALUE!</v>
      </c>
      <c r="HF28" t="e">
        <f>Nodes!R170+"'E4!vJ"</f>
        <v>#VALUE!</v>
      </c>
      <c r="HG28" t="e">
        <f>Nodes!S170+"'E4!vK"</f>
        <v>#VALUE!</v>
      </c>
      <c r="HH28" t="e">
        <f>Nodes!T170+"'E4!vL"</f>
        <v>#VALUE!</v>
      </c>
      <c r="HI28" t="e">
        <f>Nodes!U170+"'E4!vM"</f>
        <v>#VALUE!</v>
      </c>
      <c r="HJ28" t="e">
        <f>Nodes!V170+"'E4!vN"</f>
        <v>#VALUE!</v>
      </c>
      <c r="HK28" t="e">
        <f>Nodes!W170+"'E4!vO"</f>
        <v>#VALUE!</v>
      </c>
      <c r="HL28" s="333" t="e">
        <f>Nodes!X170+"'E4!vP"</f>
        <v>#VALUE!</v>
      </c>
      <c r="HM28" t="e">
        <f>Nodes!Y170+"'E4!vQ"</f>
        <v>#VALUE!</v>
      </c>
      <c r="HN28" t="e">
        <f>Nodes!Z170+"'E4!vR"</f>
        <v>#VALUE!</v>
      </c>
      <c r="HO28" t="e">
        <f>Nodes!AA170+"'E4!vS"</f>
        <v>#VALUE!</v>
      </c>
      <c r="HP28" t="e">
        <f>Nodes!AB170+"'E4!vT"</f>
        <v>#VALUE!</v>
      </c>
      <c r="HQ28" t="e">
        <f>Nodes!AC170+"'E4!vU"</f>
        <v>#VALUE!</v>
      </c>
      <c r="HR28" t="e">
        <f>Nodes!A171+"'E4!vV"</f>
        <v>#VALUE!</v>
      </c>
      <c r="HS28" t="e">
        <f>Nodes!B171+"'E4!vW"</f>
        <v>#VALUE!</v>
      </c>
      <c r="HT28" t="e">
        <f>Nodes!C171+"'E4!vX"</f>
        <v>#VALUE!</v>
      </c>
      <c r="HU28" t="e">
        <f>Nodes!D171+"'E4!vY"</f>
        <v>#VALUE!</v>
      </c>
      <c r="HV28" t="e">
        <f>Nodes!E171+"'E4!vZ"</f>
        <v>#VALUE!</v>
      </c>
      <c r="HW28" t="e">
        <f>Nodes!F171+"'E4!v["</f>
        <v>#VALUE!</v>
      </c>
      <c r="HX28" t="e">
        <f>Nodes!G171+"'E4!v\"</f>
        <v>#VALUE!</v>
      </c>
      <c r="HY28" t="e">
        <f>Nodes!H171+"'E4!v]"</f>
        <v>#VALUE!</v>
      </c>
      <c r="HZ28" t="e">
        <f>Nodes!I171+"'E4!v^"</f>
        <v>#VALUE!</v>
      </c>
      <c r="IA28" t="e">
        <f>Nodes!J171+"'E4!v_"</f>
        <v>#VALUE!</v>
      </c>
      <c r="IB28" t="e">
        <f>Nodes!K171+"'E4!v`"</f>
        <v>#VALUE!</v>
      </c>
      <c r="IC28" t="e">
        <f>Nodes!L171+"'E4!va"</f>
        <v>#VALUE!</v>
      </c>
      <c r="ID28" t="e">
        <f>Nodes!M171+"'E4!vb"</f>
        <v>#VALUE!</v>
      </c>
      <c r="IE28" t="e">
        <f>Nodes!N171+"'E4!vc"</f>
        <v>#VALUE!</v>
      </c>
      <c r="IF28" t="e">
        <f>Nodes!O171+"'E4!vd"</f>
        <v>#VALUE!</v>
      </c>
      <c r="IG28" t="e">
        <f>Nodes!P171+"'E4!ve"</f>
        <v>#VALUE!</v>
      </c>
      <c r="IH28" t="e">
        <f>Nodes!Q171+"'E4!vf"</f>
        <v>#VALUE!</v>
      </c>
      <c r="II28" t="e">
        <f>Nodes!R171+"'E4!vg"</f>
        <v>#VALUE!</v>
      </c>
      <c r="IJ28" t="e">
        <f>Nodes!S171+"'E4!vh"</f>
        <v>#VALUE!</v>
      </c>
      <c r="IK28" t="e">
        <f>Nodes!T171+"'E4!vi"</f>
        <v>#VALUE!</v>
      </c>
      <c r="IL28" t="e">
        <f>Nodes!U171+"'E4!vj"</f>
        <v>#VALUE!</v>
      </c>
      <c r="IM28" t="e">
        <f>Nodes!V171+"'E4!vk"</f>
        <v>#VALUE!</v>
      </c>
      <c r="IN28" t="e">
        <f>Nodes!W171+"'E4!vl"</f>
        <v>#VALUE!</v>
      </c>
      <c r="IO28" s="333" t="e">
        <f>Nodes!X171+"'E4!vm"</f>
        <v>#VALUE!</v>
      </c>
      <c r="IP28" t="e">
        <f>Nodes!Y171+"'E4!vn"</f>
        <v>#VALUE!</v>
      </c>
      <c r="IQ28" t="e">
        <f>Nodes!Z171+"'E4!vo"</f>
        <v>#VALUE!</v>
      </c>
      <c r="IR28" t="e">
        <f>Nodes!AA171+"'E4!vp"</f>
        <v>#VALUE!</v>
      </c>
      <c r="IS28" t="e">
        <f>Nodes!AB171+"'E4!vq"</f>
        <v>#VALUE!</v>
      </c>
      <c r="IT28" t="e">
        <f>Nodes!AC171+"'E4!vr"</f>
        <v>#VALUE!</v>
      </c>
      <c r="IU28" t="e">
        <f>Nodes!A172+"'E4!vs"</f>
        <v>#VALUE!</v>
      </c>
      <c r="IV28" t="e">
        <f>Nodes!B172+"'E4!vt"</f>
        <v>#VALUE!</v>
      </c>
    </row>
    <row r="29" spans="6:256">
      <c r="F29" t="e">
        <f>Nodes!C172+"'E4!vu"</f>
        <v>#VALUE!</v>
      </c>
      <c r="G29" t="e">
        <f>Nodes!D172+"'E4!vv"</f>
        <v>#VALUE!</v>
      </c>
      <c r="H29" t="e">
        <f>Nodes!E172+"'E4!vw"</f>
        <v>#VALUE!</v>
      </c>
      <c r="I29" t="e">
        <f>Nodes!F172+"'E4!vx"</f>
        <v>#VALUE!</v>
      </c>
      <c r="J29" t="e">
        <f>Nodes!G172+"'E4!vy"</f>
        <v>#VALUE!</v>
      </c>
      <c r="K29" t="e">
        <f>Nodes!H172+"'E4!vz"</f>
        <v>#VALUE!</v>
      </c>
      <c r="L29" t="e">
        <f>Nodes!I172+"'E4!v{"</f>
        <v>#VALUE!</v>
      </c>
      <c r="M29" t="e">
        <f>Nodes!J172+"'E4!v|"</f>
        <v>#VALUE!</v>
      </c>
      <c r="N29" t="e">
        <f>Nodes!K172+"'E4!v}"</f>
        <v>#VALUE!</v>
      </c>
      <c r="O29" t="e">
        <f>Nodes!L172+"'E4!v~"</f>
        <v>#VALUE!</v>
      </c>
      <c r="P29" t="e">
        <f>Nodes!M172+"'E4!w#"</f>
        <v>#VALUE!</v>
      </c>
      <c r="Q29" t="e">
        <f>Nodes!N172+"'E4!w$"</f>
        <v>#VALUE!</v>
      </c>
      <c r="R29" t="e">
        <f>Nodes!O172+"'E4!w%"</f>
        <v>#VALUE!</v>
      </c>
      <c r="S29" t="e">
        <f>Nodes!P172+"'E4!w&amp;"</f>
        <v>#VALUE!</v>
      </c>
      <c r="T29" t="e">
        <f>Nodes!Q172+"'E4!w'"</f>
        <v>#VALUE!</v>
      </c>
      <c r="U29" t="e">
        <f>Nodes!R172+"'E4!w("</f>
        <v>#VALUE!</v>
      </c>
      <c r="V29" t="e">
        <f>Nodes!S172+"'E4!w)"</f>
        <v>#VALUE!</v>
      </c>
      <c r="W29" t="e">
        <f>Nodes!T172+"'E4!w."</f>
        <v>#VALUE!</v>
      </c>
      <c r="X29" t="e">
        <f>Nodes!U172+"'E4!w/"</f>
        <v>#VALUE!</v>
      </c>
      <c r="Y29" t="e">
        <f>Nodes!V172+"'E4!w0"</f>
        <v>#VALUE!</v>
      </c>
      <c r="Z29" t="e">
        <f>Nodes!W172+"'E4!w1"</f>
        <v>#VALUE!</v>
      </c>
      <c r="AA29" s="333" t="e">
        <f>Nodes!X172+"'E4!w2"</f>
        <v>#VALUE!</v>
      </c>
      <c r="AB29" t="e">
        <f>Nodes!Y172+"'E4!w3"</f>
        <v>#VALUE!</v>
      </c>
      <c r="AC29" t="e">
        <f>Nodes!Z172+"'E4!w4"</f>
        <v>#VALUE!</v>
      </c>
      <c r="AD29" t="e">
        <f>Nodes!AA172+"'E4!w5"</f>
        <v>#VALUE!</v>
      </c>
      <c r="AE29" t="e">
        <f>Nodes!AB172+"'E4!w6"</f>
        <v>#VALUE!</v>
      </c>
      <c r="AF29" t="e">
        <f>Nodes!AC172+"'E4!w7"</f>
        <v>#VALUE!</v>
      </c>
      <c r="AG29" t="e">
        <f>Nodes!A173+"'E4!w8"</f>
        <v>#VALUE!</v>
      </c>
      <c r="AH29" t="e">
        <f>Nodes!B173+"'E4!w9"</f>
        <v>#VALUE!</v>
      </c>
      <c r="AI29" t="e">
        <f>Nodes!C173+"'E4!w:"</f>
        <v>#VALUE!</v>
      </c>
      <c r="AJ29" t="e">
        <f>Nodes!D173+"'E4!w;"</f>
        <v>#VALUE!</v>
      </c>
      <c r="AK29" t="e">
        <f>Nodes!E173+"'E4!w&lt;"</f>
        <v>#VALUE!</v>
      </c>
      <c r="AL29" t="e">
        <f>Nodes!F173+"'E4!w="</f>
        <v>#VALUE!</v>
      </c>
      <c r="AM29" t="e">
        <f>Nodes!G173+"'E4!w&gt;"</f>
        <v>#VALUE!</v>
      </c>
      <c r="AN29" t="e">
        <f>Nodes!H173+"'E4!w?"</f>
        <v>#VALUE!</v>
      </c>
      <c r="AO29" t="e">
        <f>Nodes!I173+"'E4!w@"</f>
        <v>#VALUE!</v>
      </c>
      <c r="AP29" t="e">
        <f>Nodes!J173+"'E4!wA"</f>
        <v>#VALUE!</v>
      </c>
      <c r="AQ29" t="e">
        <f>Nodes!K173+"'E4!wB"</f>
        <v>#VALUE!</v>
      </c>
      <c r="AR29" t="e">
        <f>Nodes!L173+"'E4!wC"</f>
        <v>#VALUE!</v>
      </c>
      <c r="AS29" t="e">
        <f>Nodes!M173+"'E4!wD"</f>
        <v>#VALUE!</v>
      </c>
      <c r="AT29" t="e">
        <f>Nodes!N173+"'E4!wE"</f>
        <v>#VALUE!</v>
      </c>
      <c r="AU29" t="e">
        <f>Nodes!O173+"'E4!wF"</f>
        <v>#VALUE!</v>
      </c>
      <c r="AV29" t="e">
        <f>Nodes!P173+"'E4!wG"</f>
        <v>#VALUE!</v>
      </c>
      <c r="AW29" t="e">
        <f>Nodes!Q173+"'E4!wH"</f>
        <v>#VALUE!</v>
      </c>
      <c r="AX29" t="e">
        <f>Nodes!R173+"'E4!wI"</f>
        <v>#VALUE!</v>
      </c>
      <c r="AY29" t="e">
        <f>Nodes!S173+"'E4!wJ"</f>
        <v>#VALUE!</v>
      </c>
      <c r="AZ29" t="e">
        <f>Nodes!T173+"'E4!wK"</f>
        <v>#VALUE!</v>
      </c>
      <c r="BA29" t="e">
        <f>Nodes!U173+"'E4!wL"</f>
        <v>#VALUE!</v>
      </c>
      <c r="BB29" t="e">
        <f>Nodes!V173+"'E4!wM"</f>
        <v>#VALUE!</v>
      </c>
      <c r="BC29" t="e">
        <f>Nodes!W173+"'E4!wN"</f>
        <v>#VALUE!</v>
      </c>
      <c r="BD29" s="333" t="e">
        <f>Nodes!X173+"'E4!wO"</f>
        <v>#VALUE!</v>
      </c>
      <c r="BE29" t="e">
        <f>Nodes!Y173+"'E4!wP"</f>
        <v>#VALUE!</v>
      </c>
      <c r="BF29" t="e">
        <f>Nodes!Z173+"'E4!wQ"</f>
        <v>#VALUE!</v>
      </c>
      <c r="BG29" t="e">
        <f>Nodes!AA173+"'E4!wR"</f>
        <v>#VALUE!</v>
      </c>
      <c r="BH29" t="e">
        <f>Nodes!AB173+"'E4!wS"</f>
        <v>#VALUE!</v>
      </c>
      <c r="BI29" t="e">
        <f>Nodes!AC173+"'E4!wT"</f>
        <v>#VALUE!</v>
      </c>
      <c r="BJ29" t="e">
        <f>Nodes!A174+"'E4!wU"</f>
        <v>#VALUE!</v>
      </c>
      <c r="BK29" t="e">
        <f>Nodes!B174+"'E4!wV"</f>
        <v>#VALUE!</v>
      </c>
      <c r="BL29" t="e">
        <f>Nodes!C174+"'E4!wW"</f>
        <v>#VALUE!</v>
      </c>
      <c r="BM29" t="e">
        <f>Nodes!D174+"'E4!wX"</f>
        <v>#VALUE!</v>
      </c>
      <c r="BN29" t="e">
        <f>Nodes!E174+"'E4!wY"</f>
        <v>#VALUE!</v>
      </c>
      <c r="BO29" t="e">
        <f>Nodes!F174+"'E4!wZ"</f>
        <v>#VALUE!</v>
      </c>
      <c r="BP29" t="e">
        <f>Nodes!G174+"'E4!w["</f>
        <v>#VALUE!</v>
      </c>
      <c r="BQ29" t="e">
        <f>Nodes!H174+"'E4!w\"</f>
        <v>#VALUE!</v>
      </c>
      <c r="BR29" t="e">
        <f>Nodes!I174+"'E4!w]"</f>
        <v>#VALUE!</v>
      </c>
      <c r="BS29" t="e">
        <f>Nodes!J174+"'E4!w^"</f>
        <v>#VALUE!</v>
      </c>
      <c r="BT29" t="e">
        <f>Nodes!K174+"'E4!w_"</f>
        <v>#VALUE!</v>
      </c>
      <c r="BU29" t="e">
        <f>Nodes!L174+"'E4!w`"</f>
        <v>#VALUE!</v>
      </c>
      <c r="BV29" t="e">
        <f>Nodes!M174+"'E4!wa"</f>
        <v>#VALUE!</v>
      </c>
      <c r="BW29" t="e">
        <f>Nodes!N174+"'E4!wb"</f>
        <v>#VALUE!</v>
      </c>
      <c r="BX29" t="e">
        <f>Nodes!O174+"'E4!wc"</f>
        <v>#VALUE!</v>
      </c>
      <c r="BY29" t="e">
        <f>Nodes!P174+"'E4!wd"</f>
        <v>#VALUE!</v>
      </c>
      <c r="BZ29" t="e">
        <f>Nodes!Q174+"'E4!we"</f>
        <v>#VALUE!</v>
      </c>
      <c r="CA29" t="e">
        <f>Nodes!R174+"'E4!wf"</f>
        <v>#VALUE!</v>
      </c>
      <c r="CB29" t="e">
        <f>Nodes!S174+"'E4!wg"</f>
        <v>#VALUE!</v>
      </c>
      <c r="CC29" t="e">
        <f>Nodes!T174+"'E4!wh"</f>
        <v>#VALUE!</v>
      </c>
      <c r="CD29" t="e">
        <f>Nodes!U174+"'E4!wi"</f>
        <v>#VALUE!</v>
      </c>
      <c r="CE29" t="e">
        <f>Nodes!V174+"'E4!wj"</f>
        <v>#VALUE!</v>
      </c>
      <c r="CF29" t="e">
        <f>Nodes!W174+"'E4!wk"</f>
        <v>#VALUE!</v>
      </c>
      <c r="CG29" s="333" t="e">
        <f>Nodes!X174+"'E4!wl"</f>
        <v>#VALUE!</v>
      </c>
      <c r="CH29" t="e">
        <f>Nodes!Y174+"'E4!wm"</f>
        <v>#VALUE!</v>
      </c>
      <c r="CI29" t="e">
        <f>Nodes!Z174+"'E4!wn"</f>
        <v>#VALUE!</v>
      </c>
      <c r="CJ29" t="e">
        <f>Nodes!AA174+"'E4!wo"</f>
        <v>#VALUE!</v>
      </c>
      <c r="CK29" t="e">
        <f>Nodes!AB174+"'E4!wp"</f>
        <v>#VALUE!</v>
      </c>
      <c r="CL29" t="e">
        <f>Nodes!AC174+"'E4!wq"</f>
        <v>#VALUE!</v>
      </c>
      <c r="CM29" t="e">
        <f>Nodes!A175+"'E4!wr"</f>
        <v>#VALUE!</v>
      </c>
      <c r="CN29" t="e">
        <f>Nodes!B175+"'E4!ws"</f>
        <v>#VALUE!</v>
      </c>
      <c r="CO29" t="e">
        <f>Nodes!C175+"'E4!wt"</f>
        <v>#VALUE!</v>
      </c>
      <c r="CP29" t="e">
        <f>Nodes!D175+"'E4!wu"</f>
        <v>#VALUE!</v>
      </c>
      <c r="CQ29" t="e">
        <f>Nodes!E175+"'E4!wv"</f>
        <v>#VALUE!</v>
      </c>
      <c r="CR29" t="e">
        <f>Nodes!F175+"'E4!ww"</f>
        <v>#VALUE!</v>
      </c>
      <c r="CS29" t="e">
        <f>Nodes!G175+"'E4!wx"</f>
        <v>#VALUE!</v>
      </c>
      <c r="CT29" t="e">
        <f>Nodes!H175+"'E4!wy"</f>
        <v>#VALUE!</v>
      </c>
      <c r="CU29" t="e">
        <f>Nodes!I175+"'E4!wz"</f>
        <v>#VALUE!</v>
      </c>
      <c r="CV29" t="e">
        <f>Nodes!J175+"'E4!w{"</f>
        <v>#VALUE!</v>
      </c>
      <c r="CW29" t="e">
        <f>Nodes!K175+"'E4!w|"</f>
        <v>#VALUE!</v>
      </c>
      <c r="CX29" t="e">
        <f>Nodes!L175+"'E4!w}"</f>
        <v>#VALUE!</v>
      </c>
      <c r="CY29" t="e">
        <f>Nodes!M175+"'E4!w~"</f>
        <v>#VALUE!</v>
      </c>
      <c r="CZ29" t="e">
        <f>Nodes!N175+"'E4!x#"</f>
        <v>#VALUE!</v>
      </c>
      <c r="DA29" t="e">
        <f>Nodes!O175+"'E4!x$"</f>
        <v>#VALUE!</v>
      </c>
      <c r="DB29" t="e">
        <f>Nodes!P175+"'E4!x%"</f>
        <v>#VALUE!</v>
      </c>
      <c r="DC29" t="e">
        <f>Nodes!Q175+"'E4!x&amp;"</f>
        <v>#VALUE!</v>
      </c>
      <c r="DD29" t="e">
        <f>Nodes!R175+"'E4!x'"</f>
        <v>#VALUE!</v>
      </c>
      <c r="DE29" t="e">
        <f>Nodes!S175+"'E4!x("</f>
        <v>#VALUE!</v>
      </c>
      <c r="DF29" t="e">
        <f>Nodes!T175+"'E4!x)"</f>
        <v>#VALUE!</v>
      </c>
      <c r="DG29" t="e">
        <f>Nodes!U175+"'E4!x."</f>
        <v>#VALUE!</v>
      </c>
      <c r="DH29" t="e">
        <f>Nodes!V175+"'E4!x/"</f>
        <v>#VALUE!</v>
      </c>
      <c r="DI29" t="e">
        <f>Nodes!W175+"'E4!x0"</f>
        <v>#VALUE!</v>
      </c>
      <c r="DJ29" s="333" t="e">
        <f>Nodes!X175+"'E4!x1"</f>
        <v>#VALUE!</v>
      </c>
      <c r="DK29" t="e">
        <f>Nodes!Y175+"'E4!x2"</f>
        <v>#VALUE!</v>
      </c>
      <c r="DL29" t="e">
        <f>Nodes!Z175+"'E4!x3"</f>
        <v>#VALUE!</v>
      </c>
      <c r="DM29" t="e">
        <f>Nodes!AA175+"'E4!x4"</f>
        <v>#VALUE!</v>
      </c>
      <c r="DN29" t="e">
        <f>Nodes!AB175+"'E4!x5"</f>
        <v>#VALUE!</v>
      </c>
      <c r="DO29" t="e">
        <f>Nodes!AC175+"'E4!x6"</f>
        <v>#VALUE!</v>
      </c>
      <c r="DP29" t="e">
        <f>Nodes!A176+"'E4!x7"</f>
        <v>#VALUE!</v>
      </c>
      <c r="DQ29" t="e">
        <f>Nodes!B176+"'E4!x8"</f>
        <v>#VALUE!</v>
      </c>
      <c r="DR29" t="e">
        <f>Nodes!C176+"'E4!x9"</f>
        <v>#VALUE!</v>
      </c>
      <c r="DS29" t="e">
        <f>Nodes!D176+"'E4!x:"</f>
        <v>#VALUE!</v>
      </c>
      <c r="DT29" t="e">
        <f>Nodes!E176+"'E4!x;"</f>
        <v>#VALUE!</v>
      </c>
      <c r="DU29" t="e">
        <f>Nodes!F176+"'E4!x&lt;"</f>
        <v>#VALUE!</v>
      </c>
      <c r="DV29" t="e">
        <f>Nodes!G176+"'E4!x="</f>
        <v>#VALUE!</v>
      </c>
      <c r="DW29" t="e">
        <f>Nodes!H176+"'E4!x&gt;"</f>
        <v>#VALUE!</v>
      </c>
      <c r="DX29" t="e">
        <f>Nodes!I176+"'E4!x?"</f>
        <v>#VALUE!</v>
      </c>
      <c r="DY29" t="e">
        <f>Nodes!J176+"'E4!x@"</f>
        <v>#VALUE!</v>
      </c>
      <c r="DZ29" t="e">
        <f>Nodes!K176+"'E4!xA"</f>
        <v>#VALUE!</v>
      </c>
      <c r="EA29" t="e">
        <f>Nodes!L176+"'E4!xB"</f>
        <v>#VALUE!</v>
      </c>
      <c r="EB29" t="e">
        <f>Nodes!M176+"'E4!xC"</f>
        <v>#VALUE!</v>
      </c>
      <c r="EC29" t="e">
        <f>Nodes!N176+"'E4!xD"</f>
        <v>#VALUE!</v>
      </c>
      <c r="ED29" t="e">
        <f>Nodes!O176+"'E4!xE"</f>
        <v>#VALUE!</v>
      </c>
      <c r="EE29" t="e">
        <f>Nodes!P176+"'E4!xF"</f>
        <v>#VALUE!</v>
      </c>
      <c r="EF29" t="e">
        <f>Nodes!Q176+"'E4!xG"</f>
        <v>#VALUE!</v>
      </c>
      <c r="EG29" t="e">
        <f>Nodes!R176+"'E4!xH"</f>
        <v>#VALUE!</v>
      </c>
      <c r="EH29" t="e">
        <f>Nodes!S176+"'E4!xI"</f>
        <v>#VALUE!</v>
      </c>
      <c r="EI29" t="e">
        <f>Nodes!T176+"'E4!xJ"</f>
        <v>#VALUE!</v>
      </c>
      <c r="EJ29" t="e">
        <f>Nodes!U176+"'E4!xK"</f>
        <v>#VALUE!</v>
      </c>
      <c r="EK29" t="e">
        <f>Nodes!V176+"'E4!xL"</f>
        <v>#VALUE!</v>
      </c>
      <c r="EL29" t="e">
        <f>Nodes!W176+"'E4!xM"</f>
        <v>#VALUE!</v>
      </c>
      <c r="EM29" s="333" t="e">
        <f>Nodes!X176+"'E4!xN"</f>
        <v>#VALUE!</v>
      </c>
      <c r="EN29" t="e">
        <f>Nodes!Y176+"'E4!xO"</f>
        <v>#VALUE!</v>
      </c>
      <c r="EO29" t="e">
        <f>Nodes!Z176+"'E4!xP"</f>
        <v>#VALUE!</v>
      </c>
      <c r="EP29" t="e">
        <f>Nodes!AA176+"'E4!xQ"</f>
        <v>#VALUE!</v>
      </c>
      <c r="EQ29" t="e">
        <f>Nodes!AB176+"'E4!xR"</f>
        <v>#VALUE!</v>
      </c>
      <c r="ER29" t="e">
        <f>Nodes!AC176+"'E4!xS"</f>
        <v>#VALUE!</v>
      </c>
      <c r="ES29" t="e">
        <f>Nodes!A177+"'E4!xT"</f>
        <v>#VALUE!</v>
      </c>
      <c r="ET29" t="e">
        <f>Nodes!B177+"'E4!xU"</f>
        <v>#VALUE!</v>
      </c>
      <c r="EU29" t="e">
        <f>Nodes!C177+"'E4!xV"</f>
        <v>#VALUE!</v>
      </c>
      <c r="EV29" t="e">
        <f>Nodes!D177+"'E4!xW"</f>
        <v>#VALUE!</v>
      </c>
      <c r="EW29" t="e">
        <f>Nodes!E177+"'E4!xX"</f>
        <v>#VALUE!</v>
      </c>
      <c r="EX29" t="e">
        <f>Nodes!F177+"'E4!xY"</f>
        <v>#VALUE!</v>
      </c>
      <c r="EY29" t="e">
        <f>Nodes!G177+"'E4!xZ"</f>
        <v>#VALUE!</v>
      </c>
      <c r="EZ29" t="e">
        <f>Nodes!H177+"'E4!x["</f>
        <v>#VALUE!</v>
      </c>
      <c r="FA29" t="e">
        <f>Nodes!I177+"'E4!x\"</f>
        <v>#VALUE!</v>
      </c>
      <c r="FB29" t="e">
        <f>Nodes!J177+"'E4!x]"</f>
        <v>#VALUE!</v>
      </c>
      <c r="FC29" t="e">
        <f>Nodes!K177+"'E4!x^"</f>
        <v>#VALUE!</v>
      </c>
      <c r="FD29" t="e">
        <f>Nodes!L177+"'E4!x_"</f>
        <v>#VALUE!</v>
      </c>
      <c r="FE29" t="e">
        <f>Nodes!M177+"'E4!x`"</f>
        <v>#VALUE!</v>
      </c>
      <c r="FF29" t="e">
        <f>Nodes!N177+"'E4!xa"</f>
        <v>#VALUE!</v>
      </c>
      <c r="FG29" t="e">
        <f>Nodes!O177+"'E4!xb"</f>
        <v>#VALUE!</v>
      </c>
      <c r="FH29" t="e">
        <f>Nodes!P177+"'E4!xc"</f>
        <v>#VALUE!</v>
      </c>
      <c r="FI29" t="e">
        <f>Nodes!Q177+"'E4!xd"</f>
        <v>#VALUE!</v>
      </c>
      <c r="FJ29" t="e">
        <f>Nodes!R177+"'E4!xe"</f>
        <v>#VALUE!</v>
      </c>
      <c r="FK29" t="e">
        <f>Nodes!S177+"'E4!xf"</f>
        <v>#VALUE!</v>
      </c>
      <c r="FL29" t="e">
        <f>Nodes!T177+"'E4!xg"</f>
        <v>#VALUE!</v>
      </c>
      <c r="FM29" t="e">
        <f>Nodes!U177+"'E4!xh"</f>
        <v>#VALUE!</v>
      </c>
      <c r="FN29" t="e">
        <f>Nodes!V177+"'E4!xi"</f>
        <v>#VALUE!</v>
      </c>
      <c r="FO29" t="e">
        <f>Nodes!W177+"'E4!xj"</f>
        <v>#VALUE!</v>
      </c>
      <c r="FP29" s="333" t="e">
        <f>Nodes!X177+"'E4!xk"</f>
        <v>#VALUE!</v>
      </c>
      <c r="FQ29" t="e">
        <f>Nodes!Y177+"'E4!xl"</f>
        <v>#VALUE!</v>
      </c>
      <c r="FR29" t="e">
        <f>Nodes!Z177+"'E4!xm"</f>
        <v>#VALUE!</v>
      </c>
      <c r="FS29" t="e">
        <f>Nodes!AA177+"'E4!xn"</f>
        <v>#VALUE!</v>
      </c>
      <c r="FT29" t="e">
        <f>Nodes!AB177+"'E4!xo"</f>
        <v>#VALUE!</v>
      </c>
      <c r="FU29" t="e">
        <f>Nodes!AC177+"'E4!xp"</f>
        <v>#VALUE!</v>
      </c>
      <c r="FV29" t="e">
        <f>Nodes!A178+"'E4!xq"</f>
        <v>#VALUE!</v>
      </c>
      <c r="FW29" t="e">
        <f>Nodes!B178+"'E4!xr"</f>
        <v>#VALUE!</v>
      </c>
      <c r="FX29" t="e">
        <f>Nodes!C178+"'E4!xs"</f>
        <v>#VALUE!</v>
      </c>
      <c r="FY29" t="e">
        <f>Nodes!D178+"'E4!xt"</f>
        <v>#VALUE!</v>
      </c>
      <c r="FZ29" t="e">
        <f>Nodes!E178+"'E4!xu"</f>
        <v>#VALUE!</v>
      </c>
      <c r="GA29" t="e">
        <f>Nodes!F178+"'E4!xv"</f>
        <v>#VALUE!</v>
      </c>
      <c r="GB29" t="e">
        <f>Nodes!G178+"'E4!xw"</f>
        <v>#VALUE!</v>
      </c>
      <c r="GC29" t="e">
        <f>Nodes!H178+"'E4!xx"</f>
        <v>#VALUE!</v>
      </c>
      <c r="GD29" t="e">
        <f>Nodes!I178+"'E4!xy"</f>
        <v>#VALUE!</v>
      </c>
      <c r="GE29" t="e">
        <f>Nodes!J178+"'E4!xz"</f>
        <v>#VALUE!</v>
      </c>
      <c r="GF29" t="e">
        <f>Nodes!K178+"'E4!x{"</f>
        <v>#VALUE!</v>
      </c>
      <c r="GG29" t="e">
        <f>Nodes!L178+"'E4!x|"</f>
        <v>#VALUE!</v>
      </c>
      <c r="GH29" t="e">
        <f>Nodes!M178+"'E4!x}"</f>
        <v>#VALUE!</v>
      </c>
      <c r="GI29" t="e">
        <f>Nodes!N178+"'E4!x~"</f>
        <v>#VALUE!</v>
      </c>
      <c r="GJ29" t="e">
        <f>Nodes!O178+"'E4!y#"</f>
        <v>#VALUE!</v>
      </c>
      <c r="GK29" t="e">
        <f>Nodes!P178+"'E4!y$"</f>
        <v>#VALUE!</v>
      </c>
      <c r="GL29" t="e">
        <f>Nodes!Q178+"'E4!y%"</f>
        <v>#VALUE!</v>
      </c>
      <c r="GM29" t="e">
        <f>Nodes!R178+"'E4!y&amp;"</f>
        <v>#VALUE!</v>
      </c>
      <c r="GN29" t="e">
        <f>Nodes!S178+"'E4!y'"</f>
        <v>#VALUE!</v>
      </c>
      <c r="GO29" t="e">
        <f>Nodes!T178+"'E4!y("</f>
        <v>#VALUE!</v>
      </c>
      <c r="GP29" t="e">
        <f>Nodes!U178+"'E4!y)"</f>
        <v>#VALUE!</v>
      </c>
      <c r="GQ29" t="e">
        <f>Nodes!V178+"'E4!y."</f>
        <v>#VALUE!</v>
      </c>
      <c r="GR29" t="e">
        <f>Nodes!W178+"'E4!y/"</f>
        <v>#VALUE!</v>
      </c>
      <c r="GS29" s="333" t="e">
        <f>Nodes!X178+"'E4!y0"</f>
        <v>#VALUE!</v>
      </c>
      <c r="GT29" t="e">
        <f>Nodes!Y178+"'E4!y1"</f>
        <v>#VALUE!</v>
      </c>
      <c r="GU29" t="e">
        <f>Nodes!Z178+"'E4!y2"</f>
        <v>#VALUE!</v>
      </c>
      <c r="GV29" t="e">
        <f>Nodes!AA178+"'E4!y3"</f>
        <v>#VALUE!</v>
      </c>
      <c r="GW29" t="e">
        <f>Nodes!AB178+"'E4!y4"</f>
        <v>#VALUE!</v>
      </c>
      <c r="GX29" t="e">
        <f>Nodes!AC178+"'E4!y5"</f>
        <v>#VALUE!</v>
      </c>
      <c r="GY29" t="e">
        <f>Nodes!A179+"'E4!y6"</f>
        <v>#VALUE!</v>
      </c>
      <c r="GZ29" t="e">
        <f>Nodes!B179+"'E4!y7"</f>
        <v>#VALUE!</v>
      </c>
      <c r="HA29" t="e">
        <f>Nodes!C179+"'E4!y8"</f>
        <v>#VALUE!</v>
      </c>
      <c r="HB29" t="e">
        <f>Nodes!D179+"'E4!y9"</f>
        <v>#VALUE!</v>
      </c>
      <c r="HC29" t="e">
        <f>Nodes!E179+"'E4!y:"</f>
        <v>#VALUE!</v>
      </c>
      <c r="HD29" t="e">
        <f>Nodes!F179+"'E4!y;"</f>
        <v>#VALUE!</v>
      </c>
      <c r="HE29" t="e">
        <f>Nodes!G179+"'E4!y&lt;"</f>
        <v>#VALUE!</v>
      </c>
      <c r="HF29" t="e">
        <f>Nodes!H179+"'E4!y="</f>
        <v>#VALUE!</v>
      </c>
      <c r="HG29" t="e">
        <f>Nodes!I179+"'E4!y&gt;"</f>
        <v>#VALUE!</v>
      </c>
      <c r="HH29" t="e">
        <f>Nodes!J179+"'E4!y?"</f>
        <v>#VALUE!</v>
      </c>
      <c r="HI29" t="e">
        <f>Nodes!K179+"'E4!y@"</f>
        <v>#VALUE!</v>
      </c>
      <c r="HJ29" t="e">
        <f>Nodes!L179+"'E4!yA"</f>
        <v>#VALUE!</v>
      </c>
      <c r="HK29" t="e">
        <f>Nodes!M179+"'E4!yB"</f>
        <v>#VALUE!</v>
      </c>
      <c r="HL29" t="e">
        <f>Nodes!N179+"'E4!yC"</f>
        <v>#VALUE!</v>
      </c>
      <c r="HM29" t="e">
        <f>Nodes!O179+"'E4!yD"</f>
        <v>#VALUE!</v>
      </c>
      <c r="HN29" t="e">
        <f>Nodes!P179+"'E4!yE"</f>
        <v>#VALUE!</v>
      </c>
      <c r="HO29" t="e">
        <f>Nodes!Q179+"'E4!yF"</f>
        <v>#VALUE!</v>
      </c>
      <c r="HP29" t="e">
        <f>Nodes!R179+"'E4!yG"</f>
        <v>#VALUE!</v>
      </c>
      <c r="HQ29" t="e">
        <f>Nodes!S179+"'E4!yH"</f>
        <v>#VALUE!</v>
      </c>
      <c r="HR29" t="e">
        <f>Nodes!T179+"'E4!yI"</f>
        <v>#VALUE!</v>
      </c>
      <c r="HS29" t="e">
        <f>Nodes!U179+"'E4!yJ"</f>
        <v>#VALUE!</v>
      </c>
      <c r="HT29" t="e">
        <f>Nodes!V179+"'E4!yK"</f>
        <v>#VALUE!</v>
      </c>
      <c r="HU29" t="e">
        <f>Nodes!W179+"'E4!yL"</f>
        <v>#VALUE!</v>
      </c>
      <c r="HV29" s="333" t="e">
        <f>Nodes!X179+"'E4!yM"</f>
        <v>#VALUE!</v>
      </c>
      <c r="HW29" t="e">
        <f>Nodes!Y179+"'E4!yN"</f>
        <v>#VALUE!</v>
      </c>
      <c r="HX29" t="e">
        <f>Nodes!Z179+"'E4!yO"</f>
        <v>#VALUE!</v>
      </c>
      <c r="HY29" t="e">
        <f>Nodes!AA179+"'E4!yP"</f>
        <v>#VALUE!</v>
      </c>
      <c r="HZ29" t="e">
        <f>Nodes!AB179+"'E4!yQ"</f>
        <v>#VALUE!</v>
      </c>
      <c r="IA29" t="e">
        <f>Nodes!AC179+"'E4!yR"</f>
        <v>#VALUE!</v>
      </c>
      <c r="IB29" t="e">
        <f>Nodes!A180+"'E4!yS"</f>
        <v>#VALUE!</v>
      </c>
      <c r="IC29" t="e">
        <f>Nodes!B180+"'E4!yT"</f>
        <v>#VALUE!</v>
      </c>
      <c r="ID29" t="e">
        <f>Nodes!C180+"'E4!yU"</f>
        <v>#VALUE!</v>
      </c>
      <c r="IE29" t="e">
        <f>Nodes!D180+"'E4!yV"</f>
        <v>#VALUE!</v>
      </c>
      <c r="IF29" t="e">
        <f>Nodes!E180+"'E4!yW"</f>
        <v>#VALUE!</v>
      </c>
      <c r="IG29" t="e">
        <f>Nodes!F180+"'E4!yX"</f>
        <v>#VALUE!</v>
      </c>
      <c r="IH29" t="e">
        <f>Nodes!G180+"'E4!yY"</f>
        <v>#VALUE!</v>
      </c>
      <c r="II29" t="e">
        <f>Nodes!H180+"'E4!yZ"</f>
        <v>#VALUE!</v>
      </c>
      <c r="IJ29" t="e">
        <f>Nodes!I180+"'E4!y["</f>
        <v>#VALUE!</v>
      </c>
      <c r="IK29" t="e">
        <f>Nodes!J180+"'E4!y\"</f>
        <v>#VALUE!</v>
      </c>
      <c r="IL29" t="e">
        <f>Nodes!K180+"'E4!y]"</f>
        <v>#VALUE!</v>
      </c>
      <c r="IM29" t="e">
        <f>Nodes!L180+"'E4!y^"</f>
        <v>#VALUE!</v>
      </c>
      <c r="IN29" t="e">
        <f>Nodes!M180+"'E4!y_"</f>
        <v>#VALUE!</v>
      </c>
      <c r="IO29" t="e">
        <f>Nodes!N180+"'E4!y`"</f>
        <v>#VALUE!</v>
      </c>
      <c r="IP29" t="e">
        <f>Nodes!O180+"'E4!ya"</f>
        <v>#VALUE!</v>
      </c>
      <c r="IQ29" t="e">
        <f>Nodes!P180+"'E4!yb"</f>
        <v>#VALUE!</v>
      </c>
      <c r="IR29" t="e">
        <f>Nodes!Q180+"'E4!yc"</f>
        <v>#VALUE!</v>
      </c>
      <c r="IS29" t="e">
        <f>Nodes!R180+"'E4!yd"</f>
        <v>#VALUE!</v>
      </c>
      <c r="IT29" t="e">
        <f>Nodes!S180+"'E4!ye"</f>
        <v>#VALUE!</v>
      </c>
      <c r="IU29" t="e">
        <f>Nodes!T180+"'E4!yf"</f>
        <v>#VALUE!</v>
      </c>
      <c r="IV29" t="e">
        <f>Nodes!U180+"'E4!yg"</f>
        <v>#VALUE!</v>
      </c>
    </row>
    <row r="30" spans="6:256">
      <c r="F30" t="e">
        <f>Nodes!V180+"'E4!yh"</f>
        <v>#VALUE!</v>
      </c>
      <c r="G30" t="e">
        <f>Nodes!W180+"'E4!yi"</f>
        <v>#VALUE!</v>
      </c>
      <c r="H30" s="333" t="e">
        <f>Nodes!X180+"'E4!yj"</f>
        <v>#VALUE!</v>
      </c>
      <c r="I30" t="e">
        <f>Nodes!Y180+"'E4!yk"</f>
        <v>#VALUE!</v>
      </c>
      <c r="J30" t="e">
        <f>Nodes!Z180+"'E4!yl"</f>
        <v>#VALUE!</v>
      </c>
      <c r="K30" t="e">
        <f>Nodes!AA180+"'E4!ym"</f>
        <v>#VALUE!</v>
      </c>
      <c r="L30" t="e">
        <f>Nodes!AB180+"'E4!yn"</f>
        <v>#VALUE!</v>
      </c>
      <c r="M30" t="e">
        <f>Nodes!AC180+"'E4!yo"</f>
        <v>#VALUE!</v>
      </c>
      <c r="N30" t="e">
        <f>Nodes!A181+"'E4!yp"</f>
        <v>#VALUE!</v>
      </c>
      <c r="O30" t="e">
        <f>Nodes!B181+"'E4!yq"</f>
        <v>#VALUE!</v>
      </c>
      <c r="P30" t="e">
        <f>Nodes!C181+"'E4!yr"</f>
        <v>#VALUE!</v>
      </c>
      <c r="Q30" t="e">
        <f>Nodes!D181+"'E4!ys"</f>
        <v>#VALUE!</v>
      </c>
      <c r="R30" t="e">
        <f>Nodes!E181+"'E4!yt"</f>
        <v>#VALUE!</v>
      </c>
      <c r="S30" t="e">
        <f>Nodes!F181+"'E4!yu"</f>
        <v>#VALUE!</v>
      </c>
      <c r="T30" t="e">
        <f>Nodes!G181+"'E4!yv"</f>
        <v>#VALUE!</v>
      </c>
      <c r="U30" t="e">
        <f>Nodes!H181+"'E4!yw"</f>
        <v>#VALUE!</v>
      </c>
      <c r="V30" t="e">
        <f>Nodes!I181+"'E4!yx"</f>
        <v>#VALUE!</v>
      </c>
      <c r="W30" t="e">
        <f>Nodes!J181+"'E4!yy"</f>
        <v>#VALUE!</v>
      </c>
      <c r="X30" t="e">
        <f>Nodes!K181+"'E4!yz"</f>
        <v>#VALUE!</v>
      </c>
      <c r="Y30" t="e">
        <f>Nodes!L181+"'E4!y{"</f>
        <v>#VALUE!</v>
      </c>
      <c r="Z30" t="e">
        <f>Nodes!M181+"'E4!y|"</f>
        <v>#VALUE!</v>
      </c>
      <c r="AA30" t="e">
        <f>Nodes!N181+"'E4!y}"</f>
        <v>#VALUE!</v>
      </c>
      <c r="AB30" t="e">
        <f>Nodes!O181+"'E4!y~"</f>
        <v>#VALUE!</v>
      </c>
      <c r="AC30" t="e">
        <f>Nodes!P181+"'E4!z#"</f>
        <v>#VALUE!</v>
      </c>
      <c r="AD30" t="e">
        <f>Nodes!Q181+"'E4!z$"</f>
        <v>#VALUE!</v>
      </c>
      <c r="AE30" t="e">
        <f>Nodes!R181+"'E4!z%"</f>
        <v>#VALUE!</v>
      </c>
      <c r="AF30" t="e">
        <f>Nodes!S181+"'E4!z&amp;"</f>
        <v>#VALUE!</v>
      </c>
      <c r="AG30" t="e">
        <f>Nodes!T181+"'E4!z'"</f>
        <v>#VALUE!</v>
      </c>
      <c r="AH30" t="e">
        <f>Nodes!U181+"'E4!z("</f>
        <v>#VALUE!</v>
      </c>
      <c r="AI30" t="e">
        <f>Nodes!V181+"'E4!z)"</f>
        <v>#VALUE!</v>
      </c>
      <c r="AJ30" t="e">
        <f>Nodes!W181+"'E4!z."</f>
        <v>#VALUE!</v>
      </c>
      <c r="AK30" s="333" t="e">
        <f>Nodes!X181+"'E4!z/"</f>
        <v>#VALUE!</v>
      </c>
      <c r="AL30" t="e">
        <f>Nodes!Y181+"'E4!z0"</f>
        <v>#VALUE!</v>
      </c>
      <c r="AM30" t="e">
        <f>Nodes!Z181+"'E4!z1"</f>
        <v>#VALUE!</v>
      </c>
      <c r="AN30" t="e">
        <f>Nodes!AA181+"'E4!z2"</f>
        <v>#VALUE!</v>
      </c>
      <c r="AO30" t="e">
        <f>Nodes!AB181+"'E4!z3"</f>
        <v>#VALUE!</v>
      </c>
      <c r="AP30" t="e">
        <f>Nodes!AC181+"'E4!z4"</f>
        <v>#VALUE!</v>
      </c>
      <c r="AQ30" t="e">
        <f>Nodes!A182+"'E4!z5"</f>
        <v>#VALUE!</v>
      </c>
      <c r="AR30" t="e">
        <f>Nodes!B182+"'E4!z6"</f>
        <v>#VALUE!</v>
      </c>
      <c r="AS30" t="e">
        <f>Nodes!C182+"'E4!z7"</f>
        <v>#VALUE!</v>
      </c>
      <c r="AT30" t="e">
        <f>Nodes!D182+"'E4!z8"</f>
        <v>#VALUE!</v>
      </c>
      <c r="AU30" t="e">
        <f>Nodes!E182+"'E4!z9"</f>
        <v>#VALUE!</v>
      </c>
      <c r="AV30" t="e">
        <f>Nodes!F182+"'E4!z:"</f>
        <v>#VALUE!</v>
      </c>
      <c r="AW30" t="e">
        <f>Nodes!G182+"'E4!z;"</f>
        <v>#VALUE!</v>
      </c>
      <c r="AX30" t="e">
        <f>Nodes!H182+"'E4!z&lt;"</f>
        <v>#VALUE!</v>
      </c>
      <c r="AY30" t="e">
        <f>Nodes!I182+"'E4!z="</f>
        <v>#VALUE!</v>
      </c>
      <c r="AZ30" t="e">
        <f>Nodes!J182+"'E4!z&gt;"</f>
        <v>#VALUE!</v>
      </c>
      <c r="BA30" t="e">
        <f>Nodes!K182+"'E4!z?"</f>
        <v>#VALUE!</v>
      </c>
      <c r="BB30" t="e">
        <f>Nodes!L182+"'E4!z@"</f>
        <v>#VALUE!</v>
      </c>
      <c r="BC30" t="e">
        <f>Nodes!M182+"'E4!zA"</f>
        <v>#VALUE!</v>
      </c>
      <c r="BD30" t="e">
        <f>Nodes!N182+"'E4!zB"</f>
        <v>#VALUE!</v>
      </c>
      <c r="BE30" t="e">
        <f>Nodes!O182+"'E4!zC"</f>
        <v>#VALUE!</v>
      </c>
      <c r="BF30" t="e">
        <f>Nodes!P182+"'E4!zD"</f>
        <v>#VALUE!</v>
      </c>
      <c r="BG30" t="e">
        <f>Nodes!Q182+"'E4!zE"</f>
        <v>#VALUE!</v>
      </c>
      <c r="BH30" t="e">
        <f>Nodes!R182+"'E4!zF"</f>
        <v>#VALUE!</v>
      </c>
      <c r="BI30" t="e">
        <f>Nodes!S182+"'E4!zG"</f>
        <v>#VALUE!</v>
      </c>
      <c r="BJ30" t="e">
        <f>Nodes!T182+"'E4!zH"</f>
        <v>#VALUE!</v>
      </c>
      <c r="BK30" t="e">
        <f>Nodes!U182+"'E4!zI"</f>
        <v>#VALUE!</v>
      </c>
      <c r="BL30" t="e">
        <f>Nodes!V182+"'E4!zJ"</f>
        <v>#VALUE!</v>
      </c>
      <c r="BM30" t="e">
        <f>Nodes!W182+"'E4!zK"</f>
        <v>#VALUE!</v>
      </c>
      <c r="BN30" s="333" t="e">
        <f>Nodes!X182+"'E4!zL"</f>
        <v>#VALUE!</v>
      </c>
      <c r="BO30" t="e">
        <f>Nodes!Y182+"'E4!zM"</f>
        <v>#VALUE!</v>
      </c>
      <c r="BP30" t="e">
        <f>Nodes!Z182+"'E4!zN"</f>
        <v>#VALUE!</v>
      </c>
      <c r="BQ30" t="e">
        <f>Nodes!AA182+"'E4!zO"</f>
        <v>#VALUE!</v>
      </c>
      <c r="BR30" t="e">
        <f>Nodes!AB182+"'E4!zP"</f>
        <v>#VALUE!</v>
      </c>
      <c r="BS30" t="e">
        <f>Nodes!AC182+"'E4!zQ"</f>
        <v>#VALUE!</v>
      </c>
      <c r="BT30" t="e">
        <f>Nodes!A183+"'E4!zR"</f>
        <v>#VALUE!</v>
      </c>
      <c r="BU30" t="e">
        <f>Nodes!B183+"'E4!zS"</f>
        <v>#VALUE!</v>
      </c>
      <c r="BV30" t="e">
        <f>Nodes!C183+"'E4!zT"</f>
        <v>#VALUE!</v>
      </c>
      <c r="BW30" t="e">
        <f>Nodes!D183+"'E4!zU"</f>
        <v>#VALUE!</v>
      </c>
      <c r="BX30" t="e">
        <f>Nodes!E183+"'E4!zV"</f>
        <v>#VALUE!</v>
      </c>
      <c r="BY30" t="e">
        <f>Nodes!F183+"'E4!zW"</f>
        <v>#VALUE!</v>
      </c>
      <c r="BZ30" t="e">
        <f>Nodes!G183+"'E4!zX"</f>
        <v>#VALUE!</v>
      </c>
      <c r="CA30" t="e">
        <f>Nodes!H183+"'E4!zY"</f>
        <v>#VALUE!</v>
      </c>
      <c r="CB30" t="e">
        <f>Nodes!I183+"'E4!zZ"</f>
        <v>#VALUE!</v>
      </c>
      <c r="CC30" t="e">
        <f>Nodes!J183+"'E4!z["</f>
        <v>#VALUE!</v>
      </c>
      <c r="CD30" t="e">
        <f>Nodes!K183+"'E4!z\"</f>
        <v>#VALUE!</v>
      </c>
      <c r="CE30" t="e">
        <f>Nodes!L183+"'E4!z]"</f>
        <v>#VALUE!</v>
      </c>
      <c r="CF30" t="e">
        <f>Nodes!M183+"'E4!z^"</f>
        <v>#VALUE!</v>
      </c>
      <c r="CG30" t="e">
        <f>Nodes!N183+"'E4!z_"</f>
        <v>#VALUE!</v>
      </c>
      <c r="CH30" t="e">
        <f>Nodes!O183+"'E4!z`"</f>
        <v>#VALUE!</v>
      </c>
      <c r="CI30" t="e">
        <f>Nodes!P183+"'E4!za"</f>
        <v>#VALUE!</v>
      </c>
      <c r="CJ30" t="e">
        <f>Nodes!Q183+"'E4!zb"</f>
        <v>#VALUE!</v>
      </c>
      <c r="CK30" t="e">
        <f>Nodes!R183+"'E4!zc"</f>
        <v>#VALUE!</v>
      </c>
      <c r="CL30" t="e">
        <f>Nodes!S183+"'E4!zd"</f>
        <v>#VALUE!</v>
      </c>
      <c r="CM30" t="e">
        <f>Nodes!T183+"'E4!ze"</f>
        <v>#VALUE!</v>
      </c>
      <c r="CN30" t="e">
        <f>Nodes!U183+"'E4!zf"</f>
        <v>#VALUE!</v>
      </c>
      <c r="CO30" t="e">
        <f>Nodes!V183+"'E4!zg"</f>
        <v>#VALUE!</v>
      </c>
      <c r="CP30" t="e">
        <f>Nodes!W183+"'E4!zh"</f>
        <v>#VALUE!</v>
      </c>
      <c r="CQ30" s="333" t="e">
        <f>Nodes!X183+"'E4!zi"</f>
        <v>#VALUE!</v>
      </c>
      <c r="CR30" t="e">
        <f>Nodes!Y183+"'E4!zj"</f>
        <v>#VALUE!</v>
      </c>
      <c r="CS30" t="e">
        <f>Nodes!Z183+"'E4!zk"</f>
        <v>#VALUE!</v>
      </c>
      <c r="CT30" t="e">
        <f>Nodes!AA183+"'E4!zl"</f>
        <v>#VALUE!</v>
      </c>
      <c r="CU30" t="e">
        <f>Nodes!AB183+"'E4!zm"</f>
        <v>#VALUE!</v>
      </c>
      <c r="CV30" t="e">
        <f>Nodes!AC183+"'E4!zn"</f>
        <v>#VALUE!</v>
      </c>
      <c r="CW30" t="e">
        <f>Nodes!A184+"'E4!zo"</f>
        <v>#VALUE!</v>
      </c>
      <c r="CX30" t="e">
        <f>Nodes!B184+"'E4!zp"</f>
        <v>#VALUE!</v>
      </c>
      <c r="CY30" t="e">
        <f>Nodes!C184+"'E4!zq"</f>
        <v>#VALUE!</v>
      </c>
      <c r="CZ30" t="e">
        <f>Nodes!D184+"'E4!zr"</f>
        <v>#VALUE!</v>
      </c>
      <c r="DA30" t="e">
        <f>Nodes!E184+"'E4!zs"</f>
        <v>#VALUE!</v>
      </c>
      <c r="DB30" t="e">
        <f>Nodes!F184+"'E4!zt"</f>
        <v>#VALUE!</v>
      </c>
      <c r="DC30" t="e">
        <f>Nodes!G184+"'E4!zu"</f>
        <v>#VALUE!</v>
      </c>
      <c r="DD30" t="e">
        <f>Nodes!H184+"'E4!zv"</f>
        <v>#VALUE!</v>
      </c>
      <c r="DE30" t="e">
        <f>Nodes!I184+"'E4!zw"</f>
        <v>#VALUE!</v>
      </c>
      <c r="DF30" t="e">
        <f>Nodes!J184+"'E4!zx"</f>
        <v>#VALUE!</v>
      </c>
      <c r="DG30" t="e">
        <f>Nodes!K184+"'E4!zy"</f>
        <v>#VALUE!</v>
      </c>
      <c r="DH30" t="e">
        <f>Nodes!L184+"'E4!zz"</f>
        <v>#VALUE!</v>
      </c>
      <c r="DI30" t="e">
        <f>Nodes!M184+"'E4!z{"</f>
        <v>#VALUE!</v>
      </c>
      <c r="DJ30" t="e">
        <f>Nodes!N184+"'E4!z|"</f>
        <v>#VALUE!</v>
      </c>
      <c r="DK30" t="e">
        <f>Nodes!O184+"'E4!z}"</f>
        <v>#VALUE!</v>
      </c>
      <c r="DL30" t="e">
        <f>Nodes!P184+"'E4!z~"</f>
        <v>#VALUE!</v>
      </c>
      <c r="DM30" t="e">
        <f>Nodes!Q184+"'E4!{#"</f>
        <v>#VALUE!</v>
      </c>
      <c r="DN30" t="e">
        <f>Nodes!R184+"'E4!{$"</f>
        <v>#VALUE!</v>
      </c>
      <c r="DO30" t="e">
        <f>Nodes!S184+"'E4!{%"</f>
        <v>#VALUE!</v>
      </c>
      <c r="DP30" t="e">
        <f>Nodes!T184+"'E4!{&amp;"</f>
        <v>#VALUE!</v>
      </c>
      <c r="DQ30" t="e">
        <f>Nodes!U184+"'E4!{'"</f>
        <v>#VALUE!</v>
      </c>
      <c r="DR30" t="e">
        <f>Nodes!V184+"'E4!{("</f>
        <v>#VALUE!</v>
      </c>
      <c r="DS30" t="e">
        <f>Nodes!W184+"'E4!{)"</f>
        <v>#VALUE!</v>
      </c>
      <c r="DT30" s="333" t="e">
        <f>Nodes!X184+"'E4!{."</f>
        <v>#VALUE!</v>
      </c>
      <c r="DU30" t="e">
        <f>Nodes!Y184+"'E4!{/"</f>
        <v>#VALUE!</v>
      </c>
      <c r="DV30" t="e">
        <f>Nodes!Z184+"'E4!{0"</f>
        <v>#VALUE!</v>
      </c>
      <c r="DW30" t="e">
        <f>Nodes!AA184+"'E4!{1"</f>
        <v>#VALUE!</v>
      </c>
      <c r="DX30" t="e">
        <f>Nodes!AB184+"'E4!{2"</f>
        <v>#VALUE!</v>
      </c>
      <c r="DY30" t="e">
        <f>Nodes!AC184+"'E4!{3"</f>
        <v>#VALUE!</v>
      </c>
      <c r="DZ30" t="e">
        <f>Nodes!A185+"'E4!{4"</f>
        <v>#VALUE!</v>
      </c>
      <c r="EA30" t="e">
        <f>Nodes!B185+"'E4!{5"</f>
        <v>#VALUE!</v>
      </c>
      <c r="EB30" t="e">
        <f>Nodes!C185+"'E4!{6"</f>
        <v>#VALUE!</v>
      </c>
      <c r="EC30" t="e">
        <f>Nodes!D185+"'E4!{7"</f>
        <v>#VALUE!</v>
      </c>
      <c r="ED30" t="e">
        <f>Nodes!E185+"'E4!{8"</f>
        <v>#VALUE!</v>
      </c>
      <c r="EE30" t="e">
        <f>Nodes!F185+"'E4!{9"</f>
        <v>#VALUE!</v>
      </c>
      <c r="EF30" t="e">
        <f>Nodes!G185+"'E4!{:"</f>
        <v>#VALUE!</v>
      </c>
      <c r="EG30" t="e">
        <f>Nodes!H185+"'E4!{;"</f>
        <v>#VALUE!</v>
      </c>
      <c r="EH30" t="e">
        <f>Nodes!I185+"'E4!{&lt;"</f>
        <v>#VALUE!</v>
      </c>
      <c r="EI30" t="e">
        <f>Nodes!J185+"'E4!{="</f>
        <v>#VALUE!</v>
      </c>
      <c r="EJ30" t="e">
        <f>Nodes!K185+"'E4!{&gt;"</f>
        <v>#VALUE!</v>
      </c>
      <c r="EK30" t="e">
        <f>Nodes!L185+"'E4!{?"</f>
        <v>#VALUE!</v>
      </c>
      <c r="EL30" t="e">
        <f>Nodes!M185+"'E4!{@"</f>
        <v>#VALUE!</v>
      </c>
      <c r="EM30" t="e">
        <f>Nodes!N185+"'E4!{A"</f>
        <v>#VALUE!</v>
      </c>
      <c r="EN30" t="e">
        <f>Nodes!O185+"'E4!{B"</f>
        <v>#VALUE!</v>
      </c>
      <c r="EO30" t="e">
        <f>Nodes!P185+"'E4!{C"</f>
        <v>#VALUE!</v>
      </c>
      <c r="EP30" t="e">
        <f>Nodes!Q185+"'E4!{D"</f>
        <v>#VALUE!</v>
      </c>
      <c r="EQ30" t="e">
        <f>Nodes!R185+"'E4!{E"</f>
        <v>#VALUE!</v>
      </c>
      <c r="ER30" t="e">
        <f>Nodes!S185+"'E4!{F"</f>
        <v>#VALUE!</v>
      </c>
      <c r="ES30" t="e">
        <f>Nodes!T185+"'E4!{G"</f>
        <v>#VALUE!</v>
      </c>
      <c r="ET30" t="e">
        <f>Nodes!U185+"'E4!{H"</f>
        <v>#VALUE!</v>
      </c>
      <c r="EU30" t="e">
        <f>Nodes!V185+"'E4!{I"</f>
        <v>#VALUE!</v>
      </c>
      <c r="EV30" t="e">
        <f>Nodes!W185+"'E4!{J"</f>
        <v>#VALUE!</v>
      </c>
      <c r="EW30" s="333" t="e">
        <f>Nodes!X185+"'E4!{K"</f>
        <v>#VALUE!</v>
      </c>
      <c r="EX30" t="e">
        <f>Nodes!Y185+"'E4!{L"</f>
        <v>#VALUE!</v>
      </c>
      <c r="EY30" t="e">
        <f>Nodes!Z185+"'E4!{M"</f>
        <v>#VALUE!</v>
      </c>
      <c r="EZ30" t="e">
        <f>Nodes!AA185+"'E4!{N"</f>
        <v>#VALUE!</v>
      </c>
      <c r="FA30" t="e">
        <f>Nodes!AB185+"'E4!{O"</f>
        <v>#VALUE!</v>
      </c>
      <c r="FB30" t="e">
        <f>Nodes!AC185+"'E4!{P"</f>
        <v>#VALUE!</v>
      </c>
      <c r="FC30" t="e">
        <f>Nodes!A186+"'E4!{Q"</f>
        <v>#VALUE!</v>
      </c>
      <c r="FD30" t="e">
        <f>Nodes!B186+"'E4!{R"</f>
        <v>#VALUE!</v>
      </c>
      <c r="FE30" t="e">
        <f>Nodes!C186+"'E4!{S"</f>
        <v>#VALUE!</v>
      </c>
      <c r="FF30" t="e">
        <f>Nodes!D186+"'E4!{T"</f>
        <v>#VALUE!</v>
      </c>
      <c r="FG30" t="e">
        <f>Nodes!E186+"'E4!{U"</f>
        <v>#VALUE!</v>
      </c>
      <c r="FH30" t="e">
        <f>Nodes!F186+"'E4!{V"</f>
        <v>#VALUE!</v>
      </c>
      <c r="FI30" t="e">
        <f>Nodes!G186+"'E4!{W"</f>
        <v>#VALUE!</v>
      </c>
      <c r="FJ30" t="e">
        <f>Nodes!H186+"'E4!{X"</f>
        <v>#VALUE!</v>
      </c>
      <c r="FK30" t="e">
        <f>Nodes!I186+"'E4!{Y"</f>
        <v>#VALUE!</v>
      </c>
      <c r="FL30" t="e">
        <f>Nodes!J186+"'E4!{Z"</f>
        <v>#VALUE!</v>
      </c>
      <c r="FM30" t="e">
        <f>Nodes!K186+"'E4!{["</f>
        <v>#VALUE!</v>
      </c>
      <c r="FN30" t="e">
        <f>Nodes!L186+"'E4!{\"</f>
        <v>#VALUE!</v>
      </c>
      <c r="FO30" t="e">
        <f>Nodes!M186+"'E4!{]"</f>
        <v>#VALUE!</v>
      </c>
      <c r="FP30" t="e">
        <f>Nodes!N186+"'E4!{^"</f>
        <v>#VALUE!</v>
      </c>
      <c r="FQ30" t="e">
        <f>Nodes!O186+"'E4!{_"</f>
        <v>#VALUE!</v>
      </c>
      <c r="FR30" t="e">
        <f>Nodes!P186+"'E4!{`"</f>
        <v>#VALUE!</v>
      </c>
      <c r="FS30" t="e">
        <f>Nodes!Q186+"'E4!{a"</f>
        <v>#VALUE!</v>
      </c>
      <c r="FT30" t="e">
        <f>Nodes!R186+"'E4!{b"</f>
        <v>#VALUE!</v>
      </c>
      <c r="FU30" t="e">
        <f>Nodes!S186+"'E4!{c"</f>
        <v>#VALUE!</v>
      </c>
      <c r="FV30" t="e">
        <f>Nodes!T186+"'E4!{d"</f>
        <v>#VALUE!</v>
      </c>
      <c r="FW30" t="e">
        <f>Nodes!U186+"'E4!{e"</f>
        <v>#VALUE!</v>
      </c>
      <c r="FX30" t="e">
        <f>Nodes!V186+"'E4!{f"</f>
        <v>#VALUE!</v>
      </c>
      <c r="FY30" t="e">
        <f>Nodes!W186+"'E4!{g"</f>
        <v>#VALUE!</v>
      </c>
      <c r="FZ30" s="333" t="e">
        <f>Nodes!X186+"'E4!{h"</f>
        <v>#VALUE!</v>
      </c>
      <c r="GA30" t="e">
        <f>Nodes!Y186+"'E4!{i"</f>
        <v>#VALUE!</v>
      </c>
      <c r="GB30" t="e">
        <f>Nodes!Z186+"'E4!{j"</f>
        <v>#VALUE!</v>
      </c>
      <c r="GC30" t="e">
        <f>Nodes!AA186+"'E4!{k"</f>
        <v>#VALUE!</v>
      </c>
      <c r="GD30" t="e">
        <f>Nodes!AB186+"'E4!{l"</f>
        <v>#VALUE!</v>
      </c>
      <c r="GE30" t="e">
        <f>Nodes!AC186+"'E4!{m"</f>
        <v>#VALUE!</v>
      </c>
      <c r="GF30" t="e">
        <f>Nodes!A187+"'E4!{n"</f>
        <v>#VALUE!</v>
      </c>
      <c r="GG30" t="e">
        <f>Nodes!B187+"'E4!{o"</f>
        <v>#VALUE!</v>
      </c>
      <c r="GH30" t="e">
        <f>Nodes!C187+"'E4!{p"</f>
        <v>#VALUE!</v>
      </c>
      <c r="GI30" t="e">
        <f>Nodes!D187+"'E4!{q"</f>
        <v>#VALUE!</v>
      </c>
      <c r="GJ30" t="e">
        <f>Nodes!E187+"'E4!{r"</f>
        <v>#VALUE!</v>
      </c>
      <c r="GK30" t="e">
        <f>Nodes!F187+"'E4!{s"</f>
        <v>#VALUE!</v>
      </c>
      <c r="GL30" t="e">
        <f>Nodes!G187+"'E4!{t"</f>
        <v>#VALUE!</v>
      </c>
      <c r="GM30" t="e">
        <f>Nodes!H187+"'E4!{u"</f>
        <v>#VALUE!</v>
      </c>
      <c r="GN30" t="e">
        <f>Nodes!I187+"'E4!{v"</f>
        <v>#VALUE!</v>
      </c>
      <c r="GO30" t="e">
        <f>Nodes!J187+"'E4!{w"</f>
        <v>#VALUE!</v>
      </c>
      <c r="GP30" t="e">
        <f>Nodes!K187+"'E4!{x"</f>
        <v>#VALUE!</v>
      </c>
      <c r="GQ30" t="e">
        <f>Nodes!L187+"'E4!{y"</f>
        <v>#VALUE!</v>
      </c>
      <c r="GR30" t="e">
        <f>Nodes!M187+"'E4!{z"</f>
        <v>#VALUE!</v>
      </c>
      <c r="GS30" t="e">
        <f>Nodes!N187+"'E4!{{"</f>
        <v>#VALUE!</v>
      </c>
      <c r="GT30" t="e">
        <f>Nodes!O187+"'E4!{|"</f>
        <v>#VALUE!</v>
      </c>
      <c r="GU30" t="e">
        <f>Nodes!P187+"'E4!{}"</f>
        <v>#VALUE!</v>
      </c>
      <c r="GV30" t="e">
        <f>Nodes!Q187+"'E4!{~"</f>
        <v>#VALUE!</v>
      </c>
      <c r="GW30" t="e">
        <f>Nodes!R187+"'E4!|#"</f>
        <v>#VALUE!</v>
      </c>
      <c r="GX30" t="e">
        <f>Nodes!S187+"'E4!|$"</f>
        <v>#VALUE!</v>
      </c>
      <c r="GY30" t="e">
        <f>Nodes!T187+"'E4!|%"</f>
        <v>#VALUE!</v>
      </c>
      <c r="GZ30" t="e">
        <f>Nodes!U187+"'E4!|&amp;"</f>
        <v>#VALUE!</v>
      </c>
      <c r="HA30" t="e">
        <f>Nodes!V187+"'E4!|'"</f>
        <v>#VALUE!</v>
      </c>
      <c r="HB30" t="e">
        <f>Nodes!W187+"'E4!|("</f>
        <v>#VALUE!</v>
      </c>
      <c r="HC30" s="333" t="e">
        <f>Nodes!X187+"'E4!|)"</f>
        <v>#VALUE!</v>
      </c>
      <c r="HD30" t="e">
        <f>Nodes!Y187+"'E4!|."</f>
        <v>#VALUE!</v>
      </c>
      <c r="HE30" t="e">
        <f>Nodes!Z187+"'E4!|/"</f>
        <v>#VALUE!</v>
      </c>
      <c r="HF30" t="e">
        <f>Nodes!AA187+"'E4!|0"</f>
        <v>#VALUE!</v>
      </c>
      <c r="HG30" t="e">
        <f>Nodes!AB187+"'E4!|1"</f>
        <v>#VALUE!</v>
      </c>
      <c r="HH30" t="e">
        <f>Nodes!AC187+"'E4!|2"</f>
        <v>#VALUE!</v>
      </c>
      <c r="HI30" t="e">
        <f>Nodes!A188+"'E4!|3"</f>
        <v>#VALUE!</v>
      </c>
      <c r="HJ30" t="e">
        <f>Nodes!B188+"'E4!|4"</f>
        <v>#VALUE!</v>
      </c>
      <c r="HK30" t="e">
        <f>Nodes!C188+"'E4!|5"</f>
        <v>#VALUE!</v>
      </c>
      <c r="HL30" t="e">
        <f>Nodes!D188+"'E4!|6"</f>
        <v>#VALUE!</v>
      </c>
      <c r="HM30" t="e">
        <f>Nodes!E188+"'E4!|7"</f>
        <v>#VALUE!</v>
      </c>
      <c r="HN30" t="e">
        <f>Nodes!F188+"'E4!|8"</f>
        <v>#VALUE!</v>
      </c>
      <c r="HO30" t="e">
        <f>Nodes!G188+"'E4!|9"</f>
        <v>#VALUE!</v>
      </c>
      <c r="HP30" t="e">
        <f>Nodes!H188+"'E4!|:"</f>
        <v>#VALUE!</v>
      </c>
      <c r="HQ30" t="e">
        <f>Nodes!I188+"'E4!|;"</f>
        <v>#VALUE!</v>
      </c>
      <c r="HR30" t="e">
        <f>Nodes!J188+"'E4!|&lt;"</f>
        <v>#VALUE!</v>
      </c>
      <c r="HS30" t="e">
        <f>Nodes!K188+"'E4!|="</f>
        <v>#VALUE!</v>
      </c>
      <c r="HT30" t="e">
        <f>Nodes!L188+"'E4!|&gt;"</f>
        <v>#VALUE!</v>
      </c>
      <c r="HU30" t="e">
        <f>Nodes!M188+"'E4!|?"</f>
        <v>#VALUE!</v>
      </c>
      <c r="HV30" t="e">
        <f>Nodes!N188+"'E4!|@"</f>
        <v>#VALUE!</v>
      </c>
      <c r="HW30" t="e">
        <f>Nodes!O188+"'E4!|A"</f>
        <v>#VALUE!</v>
      </c>
      <c r="HX30" t="e">
        <f>Nodes!P188+"'E4!|B"</f>
        <v>#VALUE!</v>
      </c>
      <c r="HY30" t="e">
        <f>Nodes!Q188+"'E4!|C"</f>
        <v>#VALUE!</v>
      </c>
      <c r="HZ30" t="e">
        <f>Nodes!R188+"'E4!|D"</f>
        <v>#VALUE!</v>
      </c>
      <c r="IA30" t="e">
        <f>Nodes!S188+"'E4!|E"</f>
        <v>#VALUE!</v>
      </c>
      <c r="IB30" t="e">
        <f>Nodes!T188+"'E4!|F"</f>
        <v>#VALUE!</v>
      </c>
      <c r="IC30" t="e">
        <f>Nodes!U188+"'E4!|G"</f>
        <v>#VALUE!</v>
      </c>
      <c r="ID30" t="e">
        <f>Nodes!V188+"'E4!|H"</f>
        <v>#VALUE!</v>
      </c>
      <c r="IE30" t="e">
        <f>Nodes!W188+"'E4!|I"</f>
        <v>#VALUE!</v>
      </c>
      <c r="IF30" s="333" t="e">
        <f>Nodes!X188+"'E4!|J"</f>
        <v>#VALUE!</v>
      </c>
      <c r="IG30" t="e">
        <f>Nodes!Y188+"'E4!|K"</f>
        <v>#VALUE!</v>
      </c>
      <c r="IH30" t="e">
        <f>Nodes!Z188+"'E4!|L"</f>
        <v>#VALUE!</v>
      </c>
      <c r="II30" t="e">
        <f>Nodes!AA188+"'E4!|M"</f>
        <v>#VALUE!</v>
      </c>
      <c r="IJ30" t="e">
        <f>Nodes!AB188+"'E4!|N"</f>
        <v>#VALUE!</v>
      </c>
      <c r="IK30" t="e">
        <f>Nodes!AC188+"'E4!|O"</f>
        <v>#VALUE!</v>
      </c>
      <c r="IL30" t="e">
        <f>Nodes!A189+"'E4!|P"</f>
        <v>#VALUE!</v>
      </c>
      <c r="IM30" t="e">
        <f>Nodes!B189+"'E4!|Q"</f>
        <v>#VALUE!</v>
      </c>
      <c r="IN30" t="e">
        <f>Nodes!C189+"'E4!|R"</f>
        <v>#VALUE!</v>
      </c>
      <c r="IO30" t="e">
        <f>Nodes!D189+"'E4!|S"</f>
        <v>#VALUE!</v>
      </c>
      <c r="IP30" t="e">
        <f>Nodes!E189+"'E4!|T"</f>
        <v>#VALUE!</v>
      </c>
      <c r="IQ30" t="e">
        <f>Nodes!F189+"'E4!|U"</f>
        <v>#VALUE!</v>
      </c>
      <c r="IR30" t="e">
        <f>Nodes!G189+"'E4!|V"</f>
        <v>#VALUE!</v>
      </c>
      <c r="IS30" t="e">
        <f>Nodes!H189+"'E4!|W"</f>
        <v>#VALUE!</v>
      </c>
      <c r="IT30" t="e">
        <f>Nodes!I189+"'E4!|X"</f>
        <v>#VALUE!</v>
      </c>
      <c r="IU30" t="e">
        <f>Nodes!J189+"'E4!|Y"</f>
        <v>#VALUE!</v>
      </c>
      <c r="IV30" t="e">
        <f>Nodes!K189+"'E4!|Z"</f>
        <v>#VALUE!</v>
      </c>
    </row>
    <row r="31" spans="6:256">
      <c r="F31" t="e">
        <f>Nodes!L189+"'E4!|["</f>
        <v>#VALUE!</v>
      </c>
      <c r="G31" t="e">
        <f>Nodes!M189+"'E4!|\"</f>
        <v>#VALUE!</v>
      </c>
      <c r="H31" t="e">
        <f>Nodes!N189+"'E4!|]"</f>
        <v>#VALUE!</v>
      </c>
      <c r="I31" t="e">
        <f>Nodes!O189+"'E4!|^"</f>
        <v>#VALUE!</v>
      </c>
      <c r="J31" t="e">
        <f>Nodes!P189+"'E4!|_"</f>
        <v>#VALUE!</v>
      </c>
      <c r="K31" t="e">
        <f>Nodes!Q189+"'E4!|`"</f>
        <v>#VALUE!</v>
      </c>
      <c r="L31" t="e">
        <f>Nodes!R189+"'E4!|a"</f>
        <v>#VALUE!</v>
      </c>
      <c r="M31" t="e">
        <f>Nodes!S189+"'E4!|b"</f>
        <v>#VALUE!</v>
      </c>
      <c r="N31" t="e">
        <f>Nodes!T189+"'E4!|c"</f>
        <v>#VALUE!</v>
      </c>
      <c r="O31" t="e">
        <f>Nodes!U189+"'E4!|d"</f>
        <v>#VALUE!</v>
      </c>
      <c r="P31" t="e">
        <f>Nodes!V189+"'E4!|e"</f>
        <v>#VALUE!</v>
      </c>
      <c r="Q31" t="e">
        <f>Nodes!W189+"'E4!|f"</f>
        <v>#VALUE!</v>
      </c>
      <c r="R31" s="333" t="e">
        <f>Nodes!X189+"'E4!|g"</f>
        <v>#VALUE!</v>
      </c>
      <c r="S31" t="e">
        <f>Nodes!Y189+"'E4!|h"</f>
        <v>#VALUE!</v>
      </c>
      <c r="T31" t="e">
        <f>Nodes!Z189+"'E4!|i"</f>
        <v>#VALUE!</v>
      </c>
      <c r="U31" t="e">
        <f>Nodes!AA189+"'E4!|j"</f>
        <v>#VALUE!</v>
      </c>
      <c r="V31" t="e">
        <f>Nodes!AB189+"'E4!|k"</f>
        <v>#VALUE!</v>
      </c>
      <c r="W31" t="e">
        <f>Nodes!AC189+"'E4!|l"</f>
        <v>#VALUE!</v>
      </c>
      <c r="X31" t="e">
        <f>Nodes!A190+"'E4!|m"</f>
        <v>#VALUE!</v>
      </c>
      <c r="Y31" t="e">
        <f>Nodes!B190+"'E4!|n"</f>
        <v>#VALUE!</v>
      </c>
      <c r="Z31" t="e">
        <f>Nodes!C190+"'E4!|o"</f>
        <v>#VALUE!</v>
      </c>
      <c r="AA31" t="e">
        <f>Nodes!D190+"'E4!|p"</f>
        <v>#VALUE!</v>
      </c>
      <c r="AB31" t="e">
        <f>Nodes!E190+"'E4!|q"</f>
        <v>#VALUE!</v>
      </c>
      <c r="AC31" t="e">
        <f>Nodes!F190+"'E4!|r"</f>
        <v>#VALUE!</v>
      </c>
      <c r="AD31" t="e">
        <f>Nodes!G190+"'E4!|s"</f>
        <v>#VALUE!</v>
      </c>
      <c r="AE31" t="e">
        <f>Nodes!H190+"'E4!|t"</f>
        <v>#VALUE!</v>
      </c>
      <c r="AF31" t="e">
        <f>Nodes!I190+"'E4!|u"</f>
        <v>#VALUE!</v>
      </c>
      <c r="AG31" t="e">
        <f>Nodes!J190+"'E4!|v"</f>
        <v>#VALUE!</v>
      </c>
      <c r="AH31" t="e">
        <f>Nodes!K190+"'E4!|w"</f>
        <v>#VALUE!</v>
      </c>
      <c r="AI31" t="e">
        <f>Nodes!L190+"'E4!|x"</f>
        <v>#VALUE!</v>
      </c>
      <c r="AJ31" t="e">
        <f>Nodes!M190+"'E4!|y"</f>
        <v>#VALUE!</v>
      </c>
      <c r="AK31" t="e">
        <f>Nodes!N190+"'E4!|z"</f>
        <v>#VALUE!</v>
      </c>
      <c r="AL31" t="e">
        <f>Nodes!O190+"'E4!|{"</f>
        <v>#VALUE!</v>
      </c>
      <c r="AM31" t="e">
        <f>Nodes!P190+"'E4!||"</f>
        <v>#VALUE!</v>
      </c>
      <c r="AN31" t="e">
        <f>Nodes!Q190+"'E4!|}"</f>
        <v>#VALUE!</v>
      </c>
      <c r="AO31" t="e">
        <f>Nodes!R190+"'E4!|~"</f>
        <v>#VALUE!</v>
      </c>
      <c r="AP31" t="e">
        <f>Nodes!S190+"'E4!}#"</f>
        <v>#VALUE!</v>
      </c>
      <c r="AQ31" t="e">
        <f>Nodes!T190+"'E4!}$"</f>
        <v>#VALUE!</v>
      </c>
      <c r="AR31" t="e">
        <f>Nodes!U190+"'E4!}%"</f>
        <v>#VALUE!</v>
      </c>
      <c r="AS31" t="e">
        <f>Nodes!V190+"'E4!}&amp;"</f>
        <v>#VALUE!</v>
      </c>
      <c r="AT31" t="e">
        <f>Nodes!W190+"'E4!}'"</f>
        <v>#VALUE!</v>
      </c>
      <c r="AU31" s="333" t="e">
        <f>Nodes!X190+"'E4!}("</f>
        <v>#VALUE!</v>
      </c>
      <c r="AV31" t="e">
        <f>Nodes!Y190+"'E4!})"</f>
        <v>#VALUE!</v>
      </c>
      <c r="AW31" t="e">
        <f>Nodes!Z190+"'E4!}."</f>
        <v>#VALUE!</v>
      </c>
      <c r="AX31" t="e">
        <f>Nodes!AA190+"'E4!}/"</f>
        <v>#VALUE!</v>
      </c>
      <c r="AY31" t="e">
        <f>Nodes!AB190+"'E4!}0"</f>
        <v>#VALUE!</v>
      </c>
      <c r="AZ31" t="e">
        <f>Nodes!AC190+"'E4!}1"</f>
        <v>#VALUE!</v>
      </c>
      <c r="BA31" t="e">
        <f>Nodes!A191+"'E4!}2"</f>
        <v>#VALUE!</v>
      </c>
      <c r="BB31" t="e">
        <f>Nodes!B191+"'E4!}3"</f>
        <v>#VALUE!</v>
      </c>
      <c r="BC31" t="e">
        <f>Nodes!C191+"'E4!}4"</f>
        <v>#VALUE!</v>
      </c>
      <c r="BD31" t="e">
        <f>Nodes!D191+"'E4!}5"</f>
        <v>#VALUE!</v>
      </c>
      <c r="BE31" t="e">
        <f>Nodes!E191+"'E4!}6"</f>
        <v>#VALUE!</v>
      </c>
      <c r="BF31" t="e">
        <f>Nodes!F191+"'E4!}7"</f>
        <v>#VALUE!</v>
      </c>
      <c r="BG31" t="e">
        <f>Nodes!G191+"'E4!}8"</f>
        <v>#VALUE!</v>
      </c>
      <c r="BH31" t="e">
        <f>Nodes!H191+"'E4!}9"</f>
        <v>#VALUE!</v>
      </c>
      <c r="BI31" t="e">
        <f>Nodes!I191+"'E4!}:"</f>
        <v>#VALUE!</v>
      </c>
      <c r="BJ31" t="e">
        <f>Nodes!J191+"'E4!};"</f>
        <v>#VALUE!</v>
      </c>
      <c r="BK31" t="e">
        <f>Nodes!K191+"'E4!}&lt;"</f>
        <v>#VALUE!</v>
      </c>
      <c r="BL31" t="e">
        <f>Nodes!L191+"'E4!}="</f>
        <v>#VALUE!</v>
      </c>
      <c r="BM31" t="e">
        <f>Nodes!M191+"'E4!}&gt;"</f>
        <v>#VALUE!</v>
      </c>
      <c r="BN31" t="e">
        <f>Nodes!N191+"'E4!}?"</f>
        <v>#VALUE!</v>
      </c>
      <c r="BO31" t="e">
        <f>Nodes!O191+"'E4!}@"</f>
        <v>#VALUE!</v>
      </c>
      <c r="BP31" t="e">
        <f>Nodes!P191+"'E4!}A"</f>
        <v>#VALUE!</v>
      </c>
      <c r="BQ31" t="e">
        <f>Nodes!Q191+"'E4!}B"</f>
        <v>#VALUE!</v>
      </c>
      <c r="BR31" t="e">
        <f>Nodes!R191+"'E4!}C"</f>
        <v>#VALUE!</v>
      </c>
      <c r="BS31" t="e">
        <f>Nodes!S191+"'E4!}D"</f>
        <v>#VALUE!</v>
      </c>
      <c r="BT31" t="e">
        <f>Nodes!T191+"'E4!}E"</f>
        <v>#VALUE!</v>
      </c>
      <c r="BU31" t="e">
        <f>Nodes!U191+"'E4!}F"</f>
        <v>#VALUE!</v>
      </c>
      <c r="BV31" t="e">
        <f>Nodes!V191+"'E4!}G"</f>
        <v>#VALUE!</v>
      </c>
      <c r="BW31" t="e">
        <f>Nodes!W191+"'E4!}H"</f>
        <v>#VALUE!</v>
      </c>
      <c r="BX31" s="333" t="e">
        <f>Nodes!X191+"'E4!}I"</f>
        <v>#VALUE!</v>
      </c>
      <c r="BY31" t="e">
        <f>Nodes!Y191+"'E4!}J"</f>
        <v>#VALUE!</v>
      </c>
      <c r="BZ31" t="e">
        <f>Nodes!Z191+"'E4!}K"</f>
        <v>#VALUE!</v>
      </c>
      <c r="CA31" t="e">
        <f>Nodes!AA191+"'E4!}L"</f>
        <v>#VALUE!</v>
      </c>
      <c r="CB31" t="e">
        <f>Nodes!AB191+"'E4!}M"</f>
        <v>#VALUE!</v>
      </c>
      <c r="CC31" t="e">
        <f>Nodes!AC191+"'E4!}N"</f>
        <v>#VALUE!</v>
      </c>
      <c r="CD31" t="e">
        <f>Nodes!A192+"'E4!}O"</f>
        <v>#VALUE!</v>
      </c>
      <c r="CE31" t="e">
        <f>Nodes!B192+"'E4!}P"</f>
        <v>#VALUE!</v>
      </c>
      <c r="CF31" t="e">
        <f>Nodes!C192+"'E4!}Q"</f>
        <v>#VALUE!</v>
      </c>
      <c r="CG31" t="e">
        <f>Nodes!D192+"'E4!}R"</f>
        <v>#VALUE!</v>
      </c>
      <c r="CH31" t="e">
        <f>Nodes!E192+"'E4!}S"</f>
        <v>#VALUE!</v>
      </c>
      <c r="CI31" t="e">
        <f>Nodes!F192+"'E4!}T"</f>
        <v>#VALUE!</v>
      </c>
      <c r="CJ31" t="e">
        <f>Nodes!G192+"'E4!}U"</f>
        <v>#VALUE!</v>
      </c>
      <c r="CK31" t="e">
        <f>Nodes!H192+"'E4!}V"</f>
        <v>#VALUE!</v>
      </c>
      <c r="CL31" t="e">
        <f>Nodes!I192+"'E4!}W"</f>
        <v>#VALUE!</v>
      </c>
      <c r="CM31" t="e">
        <f>Nodes!J192+"'E4!}X"</f>
        <v>#VALUE!</v>
      </c>
      <c r="CN31" t="e">
        <f>Nodes!K192+"'E4!}Y"</f>
        <v>#VALUE!</v>
      </c>
      <c r="CO31" t="e">
        <f>Nodes!L192+"'E4!}Z"</f>
        <v>#VALUE!</v>
      </c>
      <c r="CP31" t="e">
        <f>Nodes!M192+"'E4!}["</f>
        <v>#VALUE!</v>
      </c>
      <c r="CQ31" t="e">
        <f>Nodes!N192+"'E4!}\"</f>
        <v>#VALUE!</v>
      </c>
      <c r="CR31" t="e">
        <f>Nodes!O192+"'E4!}]"</f>
        <v>#VALUE!</v>
      </c>
      <c r="CS31" t="e">
        <f>Nodes!P192+"'E4!}^"</f>
        <v>#VALUE!</v>
      </c>
      <c r="CT31" t="e">
        <f>Nodes!Q192+"'E4!}_"</f>
        <v>#VALUE!</v>
      </c>
      <c r="CU31" t="e">
        <f>Nodes!R192+"'E4!}`"</f>
        <v>#VALUE!</v>
      </c>
      <c r="CV31" t="e">
        <f>Nodes!S192+"'E4!}a"</f>
        <v>#VALUE!</v>
      </c>
      <c r="CW31" t="e">
        <f>Nodes!T192+"'E4!}b"</f>
        <v>#VALUE!</v>
      </c>
      <c r="CX31" t="e">
        <f>Nodes!U192+"'E4!}c"</f>
        <v>#VALUE!</v>
      </c>
      <c r="CY31" t="e">
        <f>Nodes!V192+"'E4!}d"</f>
        <v>#VALUE!</v>
      </c>
      <c r="CZ31" t="e">
        <f>Nodes!W192+"'E4!}e"</f>
        <v>#VALUE!</v>
      </c>
      <c r="DA31" s="333" t="e">
        <f>Nodes!X192+"'E4!}f"</f>
        <v>#VALUE!</v>
      </c>
      <c r="DB31" t="e">
        <f>Nodes!Y192+"'E4!}g"</f>
        <v>#VALUE!</v>
      </c>
      <c r="DC31" t="e">
        <f>Nodes!Z192+"'E4!}h"</f>
        <v>#VALUE!</v>
      </c>
      <c r="DD31" t="e">
        <f>Nodes!AA192+"'E4!}i"</f>
        <v>#VALUE!</v>
      </c>
      <c r="DE31" t="e">
        <f>Nodes!AB192+"'E4!}j"</f>
        <v>#VALUE!</v>
      </c>
      <c r="DF31" t="e">
        <f>Nodes!AC192+"'E4!}k"</f>
        <v>#VALUE!</v>
      </c>
      <c r="DG31" t="e">
        <f>Nodes!A193+"'E4!}l"</f>
        <v>#VALUE!</v>
      </c>
      <c r="DH31" t="e">
        <f>Nodes!B193+"'E4!}m"</f>
        <v>#VALUE!</v>
      </c>
      <c r="DI31" t="e">
        <f>Nodes!C193+"'E4!}n"</f>
        <v>#VALUE!</v>
      </c>
      <c r="DJ31" t="e">
        <f>Nodes!D193+"'E4!}o"</f>
        <v>#VALUE!</v>
      </c>
      <c r="DK31" t="e">
        <f>Nodes!E193+"'E4!}p"</f>
        <v>#VALUE!</v>
      </c>
      <c r="DL31" t="e">
        <f>Nodes!F193+"'E4!}q"</f>
        <v>#VALUE!</v>
      </c>
      <c r="DM31" t="e">
        <f>Nodes!G193+"'E4!}r"</f>
        <v>#VALUE!</v>
      </c>
      <c r="DN31" t="e">
        <f>Nodes!H193+"'E4!}s"</f>
        <v>#VALUE!</v>
      </c>
      <c r="DO31" t="e">
        <f>Nodes!I193+"'E4!}t"</f>
        <v>#VALUE!</v>
      </c>
      <c r="DP31" t="e">
        <f>Nodes!J193+"'E4!}u"</f>
        <v>#VALUE!</v>
      </c>
      <c r="DQ31" t="e">
        <f>Nodes!K193+"'E4!}v"</f>
        <v>#VALUE!</v>
      </c>
      <c r="DR31" t="e">
        <f>Nodes!L193+"'E4!}w"</f>
        <v>#VALUE!</v>
      </c>
      <c r="DS31" t="e">
        <f>Nodes!M193+"'E4!}x"</f>
        <v>#VALUE!</v>
      </c>
      <c r="DT31" t="e">
        <f>Nodes!N193+"'E4!}y"</f>
        <v>#VALUE!</v>
      </c>
      <c r="DU31" t="e">
        <f>Nodes!O193+"'E4!}z"</f>
        <v>#VALUE!</v>
      </c>
      <c r="DV31" t="e">
        <f>Nodes!P193+"'E4!}{"</f>
        <v>#VALUE!</v>
      </c>
      <c r="DW31" t="e">
        <f>Nodes!Q193+"'E4!}|"</f>
        <v>#VALUE!</v>
      </c>
      <c r="DX31" t="e">
        <f>Nodes!R193+"'E4!}}"</f>
        <v>#VALUE!</v>
      </c>
      <c r="DY31" t="e">
        <f>Nodes!S193+"'E4!}~"</f>
        <v>#VALUE!</v>
      </c>
      <c r="DZ31" t="e">
        <f>Nodes!T193+"'E4!~#"</f>
        <v>#VALUE!</v>
      </c>
      <c r="EA31" t="e">
        <f>Nodes!U193+"'E4!~$"</f>
        <v>#VALUE!</v>
      </c>
      <c r="EB31" t="e">
        <f>Nodes!V193+"'E4!~%"</f>
        <v>#VALUE!</v>
      </c>
      <c r="EC31" t="e">
        <f>Nodes!W193+"'E4!~&amp;"</f>
        <v>#VALUE!</v>
      </c>
      <c r="ED31" s="333" t="e">
        <f>Nodes!X193+"'E4!~'"</f>
        <v>#VALUE!</v>
      </c>
      <c r="EE31" t="e">
        <f>Nodes!Y193+"'E4!~("</f>
        <v>#VALUE!</v>
      </c>
      <c r="EF31" t="e">
        <f>Nodes!Z193+"'E4!~)"</f>
        <v>#VALUE!</v>
      </c>
      <c r="EG31" t="e">
        <f>Nodes!AA193+"'E4!~."</f>
        <v>#VALUE!</v>
      </c>
      <c r="EH31" t="e">
        <f>Nodes!AB193+"'E4!~/"</f>
        <v>#VALUE!</v>
      </c>
      <c r="EI31" t="e">
        <f>Nodes!AC193+"'E4!~0"</f>
        <v>#VALUE!</v>
      </c>
      <c r="EJ31" t="e">
        <f>Nodes!A194+"'E4!~1"</f>
        <v>#VALUE!</v>
      </c>
      <c r="EK31" t="e">
        <f>Nodes!B194+"'E4!~2"</f>
        <v>#VALUE!</v>
      </c>
      <c r="EL31" t="e">
        <f>Nodes!C194+"'E4!~3"</f>
        <v>#VALUE!</v>
      </c>
      <c r="EM31" t="e">
        <f>Nodes!D194+"'E4!~4"</f>
        <v>#VALUE!</v>
      </c>
      <c r="EN31" t="e">
        <f>Nodes!E194+"'E4!~5"</f>
        <v>#VALUE!</v>
      </c>
      <c r="EO31" t="e">
        <f>Nodes!F194+"'E4!~6"</f>
        <v>#VALUE!</v>
      </c>
      <c r="EP31" t="e">
        <f>Nodes!G194+"'E4!~7"</f>
        <v>#VALUE!</v>
      </c>
      <c r="EQ31" t="e">
        <f>Nodes!H194+"'E4!~8"</f>
        <v>#VALUE!</v>
      </c>
      <c r="ER31" t="e">
        <f>Nodes!I194+"'E4!~9"</f>
        <v>#VALUE!</v>
      </c>
      <c r="ES31" t="e">
        <f>Nodes!J194+"'E4!~:"</f>
        <v>#VALUE!</v>
      </c>
      <c r="ET31" t="e">
        <f>Nodes!K194+"'E4!~;"</f>
        <v>#VALUE!</v>
      </c>
      <c r="EU31" t="e">
        <f>Nodes!L194+"'E4!~&lt;"</f>
        <v>#VALUE!</v>
      </c>
      <c r="EV31" t="e">
        <f>Nodes!M194+"'E4!~="</f>
        <v>#VALUE!</v>
      </c>
      <c r="EW31" t="e">
        <f>Nodes!N194+"'E4!~&gt;"</f>
        <v>#VALUE!</v>
      </c>
      <c r="EX31" t="e">
        <f>Nodes!O194+"'E4!~?"</f>
        <v>#VALUE!</v>
      </c>
      <c r="EY31" t="e">
        <f>Nodes!P194+"'E4!~@"</f>
        <v>#VALUE!</v>
      </c>
      <c r="EZ31" t="e">
        <f>Nodes!Q194+"'E4!~A"</f>
        <v>#VALUE!</v>
      </c>
      <c r="FA31" t="e">
        <f>Nodes!R194+"'E4!~B"</f>
        <v>#VALUE!</v>
      </c>
      <c r="FB31" t="e">
        <f>Nodes!S194+"'E4!~C"</f>
        <v>#VALUE!</v>
      </c>
      <c r="FC31" t="e">
        <f>Nodes!T194+"'E4!~D"</f>
        <v>#VALUE!</v>
      </c>
      <c r="FD31" s="548" t="e">
        <f>Nodes!U194+"'E4!~E"</f>
        <v>#VALUE!</v>
      </c>
      <c r="FE31" s="548" t="e">
        <f>Nodes!V194+"'E4!~F"</f>
        <v>#VALUE!</v>
      </c>
      <c r="FF31" t="e">
        <f>Nodes!W194+"'E4!~G"</f>
        <v>#VALUE!</v>
      </c>
      <c r="FG31" s="333" t="e">
        <f>Nodes!X194+"'E4!~H"</f>
        <v>#VALUE!</v>
      </c>
      <c r="FH31" t="e">
        <f>Nodes!Y194+"'E4!~I"</f>
        <v>#VALUE!</v>
      </c>
      <c r="FI31" t="e">
        <f>Nodes!Z194+"'E4!~J"</f>
        <v>#VALUE!</v>
      </c>
      <c r="FJ31" t="e">
        <f>Nodes!AA194+"'E4!~K"</f>
        <v>#VALUE!</v>
      </c>
      <c r="FK31" t="e">
        <f>Nodes!AB194+"'E4!~L"</f>
        <v>#VALUE!</v>
      </c>
      <c r="FL31" t="e">
        <f>Nodes!AC194+"'E4!~M"</f>
        <v>#VALUE!</v>
      </c>
      <c r="FM31" t="e">
        <f>Nodes!A195+"'E4!~N"</f>
        <v>#VALUE!</v>
      </c>
      <c r="FN31" t="e">
        <f>Nodes!B195+"'E4!~O"</f>
        <v>#VALUE!</v>
      </c>
      <c r="FO31" t="e">
        <f>Nodes!C195+"'E4!~P"</f>
        <v>#VALUE!</v>
      </c>
      <c r="FP31" t="e">
        <f>Nodes!D195+"'E4!~Q"</f>
        <v>#VALUE!</v>
      </c>
      <c r="FQ31" t="e">
        <f>Nodes!E195+"'E4!~R"</f>
        <v>#VALUE!</v>
      </c>
      <c r="FR31" t="e">
        <f>Nodes!F195+"'E4!~S"</f>
        <v>#VALUE!</v>
      </c>
      <c r="FS31" t="e">
        <f>Nodes!G195+"'E4!~T"</f>
        <v>#VALUE!</v>
      </c>
      <c r="FT31" t="e">
        <f>Nodes!H195+"'E4!~U"</f>
        <v>#VALUE!</v>
      </c>
      <c r="FU31" t="e">
        <f>Nodes!I195+"'E4!~V"</f>
        <v>#VALUE!</v>
      </c>
      <c r="FV31" t="e">
        <f>Nodes!J195+"'E4!~W"</f>
        <v>#VALUE!</v>
      </c>
      <c r="FW31" t="e">
        <f>Nodes!K195+"'E4!~X"</f>
        <v>#VALUE!</v>
      </c>
      <c r="FX31" t="e">
        <f>Nodes!L195+"'E4!~Y"</f>
        <v>#VALUE!</v>
      </c>
      <c r="FY31" t="e">
        <f>Nodes!M195+"'E4!~Z"</f>
        <v>#VALUE!</v>
      </c>
      <c r="FZ31" t="e">
        <f>Nodes!N195+"'E4!~["</f>
        <v>#VALUE!</v>
      </c>
      <c r="GA31" t="e">
        <f>Nodes!O195+"'E4!~\"</f>
        <v>#VALUE!</v>
      </c>
      <c r="GB31" t="e">
        <f>Nodes!P195+"'E4!~]"</f>
        <v>#VALUE!</v>
      </c>
      <c r="GC31" t="e">
        <f>Nodes!Q195+"'E4!~^"</f>
        <v>#VALUE!</v>
      </c>
      <c r="GD31" t="e">
        <f>Nodes!R195+"'E4!~_"</f>
        <v>#VALUE!</v>
      </c>
      <c r="GE31" t="e">
        <f>Nodes!S195+"'E4!~`"</f>
        <v>#VALUE!</v>
      </c>
      <c r="GF31" t="e">
        <f>Nodes!T195+"'E4!~a"</f>
        <v>#VALUE!</v>
      </c>
      <c r="GG31" s="548" t="e">
        <f>Nodes!U195+"'E4!~b"</f>
        <v>#VALUE!</v>
      </c>
      <c r="GH31" s="548" t="e">
        <f>Nodes!V195+"'E4!~c"</f>
        <v>#VALUE!</v>
      </c>
      <c r="GI31" s="548" t="e">
        <f>Nodes!W195+"'E4!~d"</f>
        <v>#VALUE!</v>
      </c>
      <c r="GJ31" s="333" t="e">
        <f>Nodes!X195+"'E4!~e"</f>
        <v>#VALUE!</v>
      </c>
      <c r="GK31" t="e">
        <f>Nodes!Y195+"'E4!~f"</f>
        <v>#VALUE!</v>
      </c>
      <c r="GL31" t="e">
        <f>Nodes!Z195+"'E4!~g"</f>
        <v>#VALUE!</v>
      </c>
      <c r="GM31" t="e">
        <f>Nodes!AA195+"'E4!~h"</f>
        <v>#VALUE!</v>
      </c>
      <c r="GN31" t="e">
        <f>Nodes!AB195+"'E4!~i"</f>
        <v>#VALUE!</v>
      </c>
      <c r="GO31" t="e">
        <f>Nodes!AC195+"'E4!~j"</f>
        <v>#VALUE!</v>
      </c>
      <c r="GP31" t="e">
        <f>Nodes!A196+"'E4!~k"</f>
        <v>#VALUE!</v>
      </c>
      <c r="GQ31" t="e">
        <f>Nodes!B196+"'E4!~l"</f>
        <v>#VALUE!</v>
      </c>
      <c r="GR31" t="e">
        <f>Nodes!C196+"'E4!~m"</f>
        <v>#VALUE!</v>
      </c>
      <c r="GS31" t="e">
        <f>Nodes!D196+"'E4!~n"</f>
        <v>#VALUE!</v>
      </c>
      <c r="GT31" t="e">
        <f>Nodes!E196+"'E4!~o"</f>
        <v>#VALUE!</v>
      </c>
      <c r="GU31" t="e">
        <f>Nodes!F196+"'E4!~p"</f>
        <v>#VALUE!</v>
      </c>
      <c r="GV31" t="e">
        <f>Nodes!G196+"'E4!~q"</f>
        <v>#VALUE!</v>
      </c>
      <c r="GW31" t="e">
        <f>Nodes!H196+"'E4!~r"</f>
        <v>#VALUE!</v>
      </c>
      <c r="GX31" t="e">
        <f>Nodes!I196+"'E4!~s"</f>
        <v>#VALUE!</v>
      </c>
      <c r="GY31" t="e">
        <f>Nodes!J196+"'E4!~t"</f>
        <v>#VALUE!</v>
      </c>
      <c r="GZ31" t="e">
        <f>Nodes!K196+"'E4!~u"</f>
        <v>#VALUE!</v>
      </c>
      <c r="HA31" t="e">
        <f>Nodes!L196+"'E4!~v"</f>
        <v>#VALUE!</v>
      </c>
      <c r="HB31" t="e">
        <f>Nodes!M196+"'E4!~w"</f>
        <v>#VALUE!</v>
      </c>
      <c r="HC31" t="e">
        <f>Nodes!N196+"'E4!~x"</f>
        <v>#VALUE!</v>
      </c>
      <c r="HD31" t="e">
        <f>Nodes!O196+"'E4!~y"</f>
        <v>#VALUE!</v>
      </c>
      <c r="HE31" t="e">
        <f>Nodes!P196+"'E4!~z"</f>
        <v>#VALUE!</v>
      </c>
      <c r="HF31" t="e">
        <f>Nodes!Q196+"'E4!~{"</f>
        <v>#VALUE!</v>
      </c>
      <c r="HG31" t="e">
        <f>Nodes!R196+"'E4!~|"</f>
        <v>#VALUE!</v>
      </c>
      <c r="HH31" t="e">
        <f>Nodes!S196+"'E4!~}"</f>
        <v>#VALUE!</v>
      </c>
      <c r="HI31" t="e">
        <f>Nodes!T196+"'E4!~~"</f>
        <v>#VALUE!</v>
      </c>
      <c r="HJ31" s="548" t="e">
        <f>Nodes!U196+"'E4!$##"</f>
        <v>#VALUE!</v>
      </c>
      <c r="HK31" s="548" t="e">
        <f>Nodes!V196+"'E4!$#$"</f>
        <v>#VALUE!</v>
      </c>
      <c r="HL31" s="548" t="e">
        <f>Nodes!W196+"'E4!$#%"</f>
        <v>#VALUE!</v>
      </c>
      <c r="HM31" s="333" t="e">
        <f>Nodes!X196+"'E4!$#&amp;"</f>
        <v>#VALUE!</v>
      </c>
      <c r="HN31" t="e">
        <f>Nodes!Y196+"'E4!$#'"</f>
        <v>#VALUE!</v>
      </c>
      <c r="HO31" t="e">
        <f>Nodes!Z196+"'E4!$#("</f>
        <v>#VALUE!</v>
      </c>
      <c r="HP31" t="e">
        <f>Nodes!AA196+"'E4!$#)"</f>
        <v>#VALUE!</v>
      </c>
      <c r="HQ31" t="e">
        <f>Nodes!AB196+"'E4!$#."</f>
        <v>#VALUE!</v>
      </c>
      <c r="HR31" t="e">
        <f>Nodes!AC196+"'E4!$#/"</f>
        <v>#VALUE!</v>
      </c>
      <c r="HS31" t="e">
        <f>Nodes!A197+"'E4!$#0"</f>
        <v>#VALUE!</v>
      </c>
      <c r="HT31" t="e">
        <f>Nodes!B197+"'E4!$#1"</f>
        <v>#VALUE!</v>
      </c>
      <c r="HU31" t="e">
        <f>Nodes!C197+"'E4!$#2"</f>
        <v>#VALUE!</v>
      </c>
      <c r="HV31" t="e">
        <f>Nodes!D197+"'E4!$#3"</f>
        <v>#VALUE!</v>
      </c>
      <c r="HW31" t="e">
        <f>Nodes!E197+"'E4!$#4"</f>
        <v>#VALUE!</v>
      </c>
      <c r="HX31" t="e">
        <f>Nodes!F197+"'E4!$#5"</f>
        <v>#VALUE!</v>
      </c>
      <c r="HY31" t="e">
        <f>Nodes!G197+"'E4!$#6"</f>
        <v>#VALUE!</v>
      </c>
      <c r="HZ31" t="e">
        <f>Nodes!H197+"'E4!$#7"</f>
        <v>#VALUE!</v>
      </c>
      <c r="IA31" t="e">
        <f>Nodes!I197+"'E4!$#8"</f>
        <v>#VALUE!</v>
      </c>
      <c r="IB31" t="e">
        <f>Nodes!J197+"'E4!$#9"</f>
        <v>#VALUE!</v>
      </c>
      <c r="IC31" t="e">
        <f>Nodes!K197+"'E4!$#:"</f>
        <v>#VALUE!</v>
      </c>
      <c r="ID31" t="e">
        <f>Nodes!L197+"'E4!$#;"</f>
        <v>#VALUE!</v>
      </c>
      <c r="IE31" t="e">
        <f>Nodes!M197+"'E4!$#&lt;"</f>
        <v>#VALUE!</v>
      </c>
      <c r="IF31" t="e">
        <f>Nodes!N197+"'E4!$#="</f>
        <v>#VALUE!</v>
      </c>
      <c r="IG31" t="e">
        <f>Nodes!O197+"'E4!$#&gt;"</f>
        <v>#VALUE!</v>
      </c>
      <c r="IH31" t="e">
        <f>Nodes!P197+"'E4!$#?"</f>
        <v>#VALUE!</v>
      </c>
      <c r="II31" t="e">
        <f>Nodes!Q197+"'E4!$#@"</f>
        <v>#VALUE!</v>
      </c>
      <c r="IJ31" t="e">
        <f>Nodes!R197+"'E4!$#A"</f>
        <v>#VALUE!</v>
      </c>
      <c r="IK31" t="e">
        <f>Nodes!S197+"'E4!$#B"</f>
        <v>#VALUE!</v>
      </c>
      <c r="IL31" t="e">
        <f>Nodes!T197+"'E4!$#C"</f>
        <v>#VALUE!</v>
      </c>
      <c r="IM31" s="548" t="e">
        <f>Nodes!U197+"'E4!$#D"</f>
        <v>#VALUE!</v>
      </c>
      <c r="IN31" s="548" t="e">
        <f>Nodes!V197+"'E4!$#E"</f>
        <v>#VALUE!</v>
      </c>
      <c r="IO31" s="548" t="e">
        <f>Nodes!W197+"'E4!$#F"</f>
        <v>#VALUE!</v>
      </c>
      <c r="IP31" s="333" t="e">
        <f>Nodes!X197+"'E4!$#G"</f>
        <v>#VALUE!</v>
      </c>
      <c r="IQ31" t="e">
        <f>Nodes!Y197+"'E4!$#H"</f>
        <v>#VALUE!</v>
      </c>
      <c r="IR31" t="e">
        <f>Nodes!Z197+"'E4!$#I"</f>
        <v>#VALUE!</v>
      </c>
      <c r="IS31" t="e">
        <f>Nodes!AA197+"'E4!$#J"</f>
        <v>#VALUE!</v>
      </c>
      <c r="IT31" t="e">
        <f>Nodes!AB197+"'E4!$#K"</f>
        <v>#VALUE!</v>
      </c>
      <c r="IU31" t="e">
        <f>Nodes!AC197+"'E4!$#L"</f>
        <v>#VALUE!</v>
      </c>
      <c r="IV31" t="e">
        <f>Nodes!A198+"'E4!$#M"</f>
        <v>#VALUE!</v>
      </c>
    </row>
    <row r="32" spans="6:256">
      <c r="F32" t="e">
        <f>Nodes!B198+"'E4!$#N"</f>
        <v>#VALUE!</v>
      </c>
      <c r="G32" t="e">
        <f>Nodes!C198+"'E4!$#O"</f>
        <v>#VALUE!</v>
      </c>
      <c r="H32" t="e">
        <f>Nodes!D198+"'E4!$#P"</f>
        <v>#VALUE!</v>
      </c>
      <c r="I32" t="e">
        <f>Nodes!E198+"'E4!$#Q"</f>
        <v>#VALUE!</v>
      </c>
      <c r="J32" t="e">
        <f>Nodes!F198+"'E4!$#R"</f>
        <v>#VALUE!</v>
      </c>
      <c r="K32" t="e">
        <f>Nodes!G198+"'E4!$#S"</f>
        <v>#VALUE!</v>
      </c>
      <c r="L32" t="e">
        <f>Nodes!H198+"'E4!$#T"</f>
        <v>#VALUE!</v>
      </c>
      <c r="M32" t="e">
        <f>Nodes!I198+"'E4!$#U"</f>
        <v>#VALUE!</v>
      </c>
      <c r="N32" t="e">
        <f>Nodes!J198+"'E4!$#V"</f>
        <v>#VALUE!</v>
      </c>
      <c r="O32" t="e">
        <f>Nodes!K198+"'E4!$#W"</f>
        <v>#VALUE!</v>
      </c>
      <c r="P32" t="e">
        <f>Nodes!L198+"'E4!$#X"</f>
        <v>#VALUE!</v>
      </c>
      <c r="Q32" t="e">
        <f>Nodes!M198+"'E4!$#Y"</f>
        <v>#VALUE!</v>
      </c>
      <c r="R32" t="e">
        <f>Nodes!N198+"'E4!$#Z"</f>
        <v>#VALUE!</v>
      </c>
      <c r="S32" t="e">
        <f>Nodes!O198+"'E4!$#["</f>
        <v>#VALUE!</v>
      </c>
      <c r="T32" t="e">
        <f>Nodes!P198+"'E4!$#\"</f>
        <v>#VALUE!</v>
      </c>
      <c r="U32" t="e">
        <f>Nodes!Q198+"'E4!$#]"</f>
        <v>#VALUE!</v>
      </c>
      <c r="V32" t="e">
        <f>Nodes!R198+"'E4!$#^"</f>
        <v>#VALUE!</v>
      </c>
      <c r="W32" t="e">
        <f>Nodes!S198+"'E4!$#_"</f>
        <v>#VALUE!</v>
      </c>
      <c r="X32" t="e">
        <f>Nodes!T198+"'E4!$#`"</f>
        <v>#VALUE!</v>
      </c>
      <c r="Y32" s="548" t="e">
        <f>Nodes!U198+"'E4!$#a"</f>
        <v>#VALUE!</v>
      </c>
      <c r="Z32" s="548" t="e">
        <f>Nodes!V198+"'E4!$#b"</f>
        <v>#VALUE!</v>
      </c>
      <c r="AA32" s="548" t="e">
        <f>Nodes!W198+"'E4!$#c"</f>
        <v>#VALUE!</v>
      </c>
      <c r="AB32" s="333" t="e">
        <f>Nodes!X198+"'E4!$#d"</f>
        <v>#VALUE!</v>
      </c>
      <c r="AC32" t="e">
        <f>Nodes!Y198+"'E4!$#e"</f>
        <v>#VALUE!</v>
      </c>
      <c r="AD32" t="e">
        <f>Nodes!Z198+"'E4!$#f"</f>
        <v>#VALUE!</v>
      </c>
      <c r="AE32" t="e">
        <f>Nodes!AA198+"'E4!$#g"</f>
        <v>#VALUE!</v>
      </c>
      <c r="AF32" t="e">
        <f>Nodes!AB198+"'E4!$#h"</f>
        <v>#VALUE!</v>
      </c>
      <c r="AG32" t="e">
        <f>Nodes!AC198+"'E4!$#i"</f>
        <v>#VALUE!</v>
      </c>
      <c r="AH32" t="e">
        <f>Nodes!A199+"'E4!$#j"</f>
        <v>#VALUE!</v>
      </c>
      <c r="AI32" t="e">
        <f>Nodes!B199+"'E4!$#k"</f>
        <v>#VALUE!</v>
      </c>
      <c r="AJ32" t="e">
        <f>Nodes!C199+"'E4!$#l"</f>
        <v>#VALUE!</v>
      </c>
      <c r="AK32" t="e">
        <f>Nodes!D199+"'E4!$#m"</f>
        <v>#VALUE!</v>
      </c>
      <c r="AL32" t="e">
        <f>Nodes!E199+"'E4!$#n"</f>
        <v>#VALUE!</v>
      </c>
      <c r="AM32" t="e">
        <f>Nodes!F199+"'E4!$#o"</f>
        <v>#VALUE!</v>
      </c>
      <c r="AN32" t="e">
        <f>Nodes!G199+"'E4!$#p"</f>
        <v>#VALUE!</v>
      </c>
      <c r="AO32" t="e">
        <f>Nodes!H199+"'E4!$#q"</f>
        <v>#VALUE!</v>
      </c>
      <c r="AP32" t="e">
        <f>Nodes!I199+"'E4!$#r"</f>
        <v>#VALUE!</v>
      </c>
      <c r="AQ32" t="e">
        <f>Nodes!J199+"'E4!$#s"</f>
        <v>#VALUE!</v>
      </c>
      <c r="AR32" t="e">
        <f>Nodes!K199+"'E4!$#t"</f>
        <v>#VALUE!</v>
      </c>
      <c r="AS32" t="e">
        <f>Nodes!L199+"'E4!$#u"</f>
        <v>#VALUE!</v>
      </c>
      <c r="AT32" t="e">
        <f>Nodes!M199+"'E4!$#v"</f>
        <v>#VALUE!</v>
      </c>
      <c r="AU32" t="e">
        <f>Nodes!N199+"'E4!$#w"</f>
        <v>#VALUE!</v>
      </c>
      <c r="AV32" t="e">
        <f>Nodes!O199+"'E4!$#x"</f>
        <v>#VALUE!</v>
      </c>
      <c r="AW32" t="e">
        <f>Nodes!P199+"'E4!$#y"</f>
        <v>#VALUE!</v>
      </c>
      <c r="AX32" t="e">
        <f>Nodes!Q199+"'E4!$#z"</f>
        <v>#VALUE!</v>
      </c>
      <c r="AY32" t="e">
        <f>Nodes!R199+"'E4!$#{"</f>
        <v>#VALUE!</v>
      </c>
      <c r="AZ32" t="e">
        <f>Nodes!S199+"'E4!$#|"</f>
        <v>#VALUE!</v>
      </c>
      <c r="BA32" t="e">
        <f>Nodes!T199+"'E4!$#}"</f>
        <v>#VALUE!</v>
      </c>
      <c r="BB32" s="548" t="e">
        <f>Nodes!U199+"'E4!$#~"</f>
        <v>#VALUE!</v>
      </c>
      <c r="BC32" s="548" t="e">
        <f>Nodes!V199+"'E4!$$#"</f>
        <v>#VALUE!</v>
      </c>
      <c r="BD32" s="548" t="e">
        <f>Nodes!W199+"'E4!$$$"</f>
        <v>#VALUE!</v>
      </c>
      <c r="BE32" s="333" t="e">
        <f>Nodes!X199+"'E4!$$%"</f>
        <v>#VALUE!</v>
      </c>
      <c r="BF32" t="e">
        <f>Nodes!Y199+"'E4!$$&amp;"</f>
        <v>#VALUE!</v>
      </c>
      <c r="BG32" t="e">
        <f>Nodes!Z199+"'E4!$$'"</f>
        <v>#VALUE!</v>
      </c>
      <c r="BH32" t="e">
        <f>Nodes!AA199+"'E4!$$("</f>
        <v>#VALUE!</v>
      </c>
      <c r="BI32" t="e">
        <f>Nodes!AB199+"'E4!$$)"</f>
        <v>#VALUE!</v>
      </c>
      <c r="BJ32" t="e">
        <f>Nodes!AC199+"'E4!$$."</f>
        <v>#VALUE!</v>
      </c>
      <c r="BK32" t="e">
        <f>Nodes!A200+"'E4!$$/"</f>
        <v>#VALUE!</v>
      </c>
      <c r="BL32" t="e">
        <f>Nodes!B200+"'E4!$$0"</f>
        <v>#VALUE!</v>
      </c>
      <c r="BM32" t="e">
        <f>Nodes!C200+"'E4!$$1"</f>
        <v>#VALUE!</v>
      </c>
      <c r="BN32" t="e">
        <f>Nodes!D200+"'E4!$$2"</f>
        <v>#VALUE!</v>
      </c>
      <c r="BO32" t="e">
        <f>Nodes!E200+"'E4!$$3"</f>
        <v>#VALUE!</v>
      </c>
      <c r="BP32" t="e">
        <f>Nodes!F200+"'E4!$$4"</f>
        <v>#VALUE!</v>
      </c>
      <c r="BQ32" t="e">
        <f>Nodes!G200+"'E4!$$5"</f>
        <v>#VALUE!</v>
      </c>
      <c r="BR32" t="e">
        <f>Nodes!H200+"'E4!$$6"</f>
        <v>#VALUE!</v>
      </c>
      <c r="BS32" t="e">
        <f>Nodes!I200+"'E4!$$7"</f>
        <v>#VALUE!</v>
      </c>
      <c r="BT32" t="e">
        <f>Nodes!J200+"'E4!$$8"</f>
        <v>#VALUE!</v>
      </c>
      <c r="BU32" t="e">
        <f>Nodes!K200+"'E4!$$9"</f>
        <v>#VALUE!</v>
      </c>
      <c r="BV32" t="e">
        <f>Nodes!L200+"'E4!$$:"</f>
        <v>#VALUE!</v>
      </c>
      <c r="BW32" t="e">
        <f>Nodes!M200+"'E4!$$;"</f>
        <v>#VALUE!</v>
      </c>
      <c r="BX32" t="e">
        <f>Nodes!N200+"'E4!$$&lt;"</f>
        <v>#VALUE!</v>
      </c>
      <c r="BY32" t="e">
        <f>Nodes!O200+"'E4!$$="</f>
        <v>#VALUE!</v>
      </c>
      <c r="BZ32" t="e">
        <f>Nodes!P200+"'E4!$$&gt;"</f>
        <v>#VALUE!</v>
      </c>
      <c r="CA32" t="e">
        <f>Nodes!Q200+"'E4!$$?"</f>
        <v>#VALUE!</v>
      </c>
      <c r="CB32" t="e">
        <f>Nodes!R200+"'E4!$$@"</f>
        <v>#VALUE!</v>
      </c>
      <c r="CC32" t="e">
        <f>Nodes!S200+"'E4!$$A"</f>
        <v>#VALUE!</v>
      </c>
      <c r="CD32" t="e">
        <f>Nodes!T200+"'E4!$$B"</f>
        <v>#VALUE!</v>
      </c>
      <c r="CE32" s="548" t="e">
        <f>Nodes!U200+"'E4!$$C"</f>
        <v>#VALUE!</v>
      </c>
      <c r="CF32" s="548" t="e">
        <f>Nodes!V200+"'E4!$$D"</f>
        <v>#VALUE!</v>
      </c>
      <c r="CG32" s="548" t="e">
        <f>Nodes!W200+"'E4!$$E"</f>
        <v>#VALUE!</v>
      </c>
      <c r="CH32" s="333" t="e">
        <f>Nodes!X200+"'E4!$$F"</f>
        <v>#VALUE!</v>
      </c>
      <c r="CI32" t="e">
        <f>Nodes!Y200+"'E4!$$G"</f>
        <v>#VALUE!</v>
      </c>
      <c r="CJ32" t="e">
        <f>Nodes!Z200+"'E4!$$H"</f>
        <v>#VALUE!</v>
      </c>
      <c r="CK32" t="e">
        <f>Nodes!AA200+"'E4!$$I"</f>
        <v>#VALUE!</v>
      </c>
      <c r="CL32" t="e">
        <f>Nodes!AB200+"'E4!$$J"</f>
        <v>#VALUE!</v>
      </c>
      <c r="CM32" t="e">
        <f>Nodes!AC200+"'E4!$$K"</f>
        <v>#VALUE!</v>
      </c>
      <c r="CN32" t="e">
        <f>Nodes!A201+"'E4!$$L"</f>
        <v>#VALUE!</v>
      </c>
      <c r="CO32" t="e">
        <f>Nodes!B201+"'E4!$$M"</f>
        <v>#VALUE!</v>
      </c>
      <c r="CP32" t="e">
        <f>Nodes!C201+"'E4!$$N"</f>
        <v>#VALUE!</v>
      </c>
      <c r="CQ32" t="e">
        <f>Nodes!D201+"'E4!$$O"</f>
        <v>#VALUE!</v>
      </c>
      <c r="CR32" t="e">
        <f>Nodes!E201+"'E4!$$P"</f>
        <v>#VALUE!</v>
      </c>
      <c r="CS32" t="e">
        <f>Nodes!F201+"'E4!$$Q"</f>
        <v>#VALUE!</v>
      </c>
      <c r="CT32" t="e">
        <f>Nodes!G201+"'E4!$$R"</f>
        <v>#VALUE!</v>
      </c>
      <c r="CU32" t="e">
        <f>Nodes!H201+"'E4!$$S"</f>
        <v>#VALUE!</v>
      </c>
      <c r="CV32" t="e">
        <f>Nodes!I201+"'E4!$$T"</f>
        <v>#VALUE!</v>
      </c>
      <c r="CW32" t="e">
        <f>Nodes!J201+"'E4!$$U"</f>
        <v>#VALUE!</v>
      </c>
      <c r="CX32" t="e">
        <f>Nodes!K201+"'E4!$$V"</f>
        <v>#VALUE!</v>
      </c>
      <c r="CY32" t="e">
        <f>Nodes!L201+"'E4!$$W"</f>
        <v>#VALUE!</v>
      </c>
      <c r="CZ32" t="e">
        <f>Nodes!M201+"'E4!$$X"</f>
        <v>#VALUE!</v>
      </c>
      <c r="DA32" t="e">
        <f>Nodes!N201+"'E4!$$Y"</f>
        <v>#VALUE!</v>
      </c>
      <c r="DB32" t="e">
        <f>Nodes!O201+"'E4!$$Z"</f>
        <v>#VALUE!</v>
      </c>
      <c r="DC32" t="e">
        <f>Nodes!P201+"'E4!$$["</f>
        <v>#VALUE!</v>
      </c>
      <c r="DD32" t="e">
        <f>Nodes!Q201+"'E4!$$\"</f>
        <v>#VALUE!</v>
      </c>
      <c r="DE32" t="e">
        <f>Nodes!R201+"'E4!$$]"</f>
        <v>#VALUE!</v>
      </c>
      <c r="DF32" t="e">
        <f>Nodes!S201+"'E4!$$^"</f>
        <v>#VALUE!</v>
      </c>
      <c r="DG32" t="e">
        <f>Nodes!T201+"'E4!$$_"</f>
        <v>#VALUE!</v>
      </c>
      <c r="DH32" s="548" t="e">
        <f>Nodes!U201+"'E4!$$`"</f>
        <v>#VALUE!</v>
      </c>
      <c r="DI32" s="548" t="e">
        <f>Nodes!V201+"'E4!$$a"</f>
        <v>#VALUE!</v>
      </c>
      <c r="DJ32" s="548" t="e">
        <f>Nodes!W201+"'E4!$$b"</f>
        <v>#VALUE!</v>
      </c>
      <c r="DK32" s="333" t="e">
        <f>Nodes!X201+"'E4!$$c"</f>
        <v>#VALUE!</v>
      </c>
      <c r="DL32" t="e">
        <f>Nodes!Y201+"'E4!$$d"</f>
        <v>#VALUE!</v>
      </c>
      <c r="DM32" t="e">
        <f>Nodes!Z201+"'E4!$$e"</f>
        <v>#VALUE!</v>
      </c>
      <c r="DN32" t="e">
        <f>Nodes!AA201+"'E4!$$f"</f>
        <v>#VALUE!</v>
      </c>
      <c r="DO32" t="e">
        <f>Nodes!AB201+"'E4!$$g"</f>
        <v>#VALUE!</v>
      </c>
      <c r="DP32" t="e">
        <f>Nodes!AC201+"'E4!$$h"</f>
        <v>#VALUE!</v>
      </c>
      <c r="DQ32" t="e">
        <f>Nodes!A202+"'E4!$$i"</f>
        <v>#VALUE!</v>
      </c>
      <c r="DR32" t="e">
        <f>Nodes!B202+"'E4!$$j"</f>
        <v>#VALUE!</v>
      </c>
      <c r="DS32" t="e">
        <f>Nodes!C202+"'E4!$$k"</f>
        <v>#VALUE!</v>
      </c>
      <c r="DT32" t="e">
        <f>Nodes!D202+"'E4!$$l"</f>
        <v>#VALUE!</v>
      </c>
      <c r="DU32" t="e">
        <f>Nodes!E202+"'E4!$$m"</f>
        <v>#VALUE!</v>
      </c>
      <c r="DV32" t="e">
        <f>Nodes!F202+"'E4!$$n"</f>
        <v>#VALUE!</v>
      </c>
      <c r="DW32" t="e">
        <f>Nodes!G202+"'E4!$$o"</f>
        <v>#VALUE!</v>
      </c>
      <c r="DX32" t="e">
        <f>Nodes!H202+"'E4!$$p"</f>
        <v>#VALUE!</v>
      </c>
      <c r="DY32" t="e">
        <f>Nodes!I202+"'E4!$$q"</f>
        <v>#VALUE!</v>
      </c>
      <c r="DZ32" t="e">
        <f>Nodes!J202+"'E4!$$r"</f>
        <v>#VALUE!</v>
      </c>
      <c r="EA32" t="e">
        <f>Nodes!K202+"'E4!$$s"</f>
        <v>#VALUE!</v>
      </c>
      <c r="EB32" t="e">
        <f>Nodes!L202+"'E4!$$t"</f>
        <v>#VALUE!</v>
      </c>
      <c r="EC32" t="e">
        <f>Nodes!M202+"'E4!$$u"</f>
        <v>#VALUE!</v>
      </c>
      <c r="ED32" t="e">
        <f>Nodes!N202+"'E4!$$v"</f>
        <v>#VALUE!</v>
      </c>
      <c r="EE32" t="e">
        <f>Nodes!O202+"'E4!$$w"</f>
        <v>#VALUE!</v>
      </c>
      <c r="EF32" t="e">
        <f>Nodes!P202+"'E4!$$x"</f>
        <v>#VALUE!</v>
      </c>
      <c r="EG32" t="e">
        <f>Nodes!Q202+"'E4!$$y"</f>
        <v>#VALUE!</v>
      </c>
      <c r="EH32" t="e">
        <f>Nodes!R202+"'E4!$$z"</f>
        <v>#VALUE!</v>
      </c>
      <c r="EI32" t="e">
        <f>Nodes!S202+"'E4!$${"</f>
        <v>#VALUE!</v>
      </c>
      <c r="EJ32" t="e">
        <f>Nodes!T202+"'E4!$$|"</f>
        <v>#VALUE!</v>
      </c>
      <c r="EK32" s="548" t="e">
        <f>Nodes!U202+"'E4!$$}"</f>
        <v>#VALUE!</v>
      </c>
      <c r="EL32" s="548" t="e">
        <f>Nodes!V202+"'E4!$$~"</f>
        <v>#VALUE!</v>
      </c>
      <c r="EM32" s="548" t="e">
        <f>Nodes!W202+"'E4!$%#"</f>
        <v>#VALUE!</v>
      </c>
      <c r="EN32" s="333" t="e">
        <f>Nodes!X202+"'E4!$%$"</f>
        <v>#VALUE!</v>
      </c>
      <c r="EO32" t="e">
        <f>Nodes!Y202+"'E4!$%%"</f>
        <v>#VALUE!</v>
      </c>
      <c r="EP32" t="e">
        <f>Nodes!Z202+"'E4!$%&amp;"</f>
        <v>#VALUE!</v>
      </c>
      <c r="EQ32" t="e">
        <f>Nodes!AA202+"'E4!$%'"</f>
        <v>#VALUE!</v>
      </c>
      <c r="ER32" t="e">
        <f>Nodes!AB202+"'E4!$%("</f>
        <v>#VALUE!</v>
      </c>
      <c r="ES32" t="e">
        <f>Nodes!AC202+"'E4!$%)"</f>
        <v>#VALUE!</v>
      </c>
      <c r="ET32" t="e">
        <f>Nodes!A203+"'E4!$%."</f>
        <v>#VALUE!</v>
      </c>
      <c r="EU32" t="e">
        <f>Nodes!B203+"'E4!$%/"</f>
        <v>#VALUE!</v>
      </c>
      <c r="EV32" t="e">
        <f>Nodes!C203+"'E4!$%0"</f>
        <v>#VALUE!</v>
      </c>
      <c r="EW32" t="e">
        <f>Nodes!D203+"'E4!$%1"</f>
        <v>#VALUE!</v>
      </c>
      <c r="EX32" t="e">
        <f>Nodes!E203+"'E4!$%2"</f>
        <v>#VALUE!</v>
      </c>
      <c r="EY32" t="e">
        <f>Nodes!F203+"'E4!$%3"</f>
        <v>#VALUE!</v>
      </c>
      <c r="EZ32" t="e">
        <f>Nodes!G203+"'E4!$%4"</f>
        <v>#VALUE!</v>
      </c>
      <c r="FA32" t="e">
        <f>Nodes!H203+"'E4!$%5"</f>
        <v>#VALUE!</v>
      </c>
      <c r="FB32" t="e">
        <f>Nodes!I203+"'E4!$%6"</f>
        <v>#VALUE!</v>
      </c>
      <c r="FC32" t="e">
        <f>Nodes!J203+"'E4!$%7"</f>
        <v>#VALUE!</v>
      </c>
      <c r="FD32" t="e">
        <f>Nodes!K203+"'E4!$%8"</f>
        <v>#VALUE!</v>
      </c>
      <c r="FE32" t="e">
        <f>Nodes!L203+"'E4!$%9"</f>
        <v>#VALUE!</v>
      </c>
      <c r="FF32" t="e">
        <f>Nodes!M203+"'E4!$%:"</f>
        <v>#VALUE!</v>
      </c>
      <c r="FG32" t="e">
        <f>Nodes!N203+"'E4!$%;"</f>
        <v>#VALUE!</v>
      </c>
      <c r="FH32" t="e">
        <f>Nodes!O203+"'E4!$%&lt;"</f>
        <v>#VALUE!</v>
      </c>
      <c r="FI32" t="e">
        <f>Nodes!P203+"'E4!$%="</f>
        <v>#VALUE!</v>
      </c>
      <c r="FJ32" t="e">
        <f>Nodes!Q203+"'E4!$%&gt;"</f>
        <v>#VALUE!</v>
      </c>
      <c r="FK32" t="e">
        <f>Nodes!R203+"'E4!$%?"</f>
        <v>#VALUE!</v>
      </c>
      <c r="FL32" t="e">
        <f>Nodes!S203+"'E4!$%@"</f>
        <v>#VALUE!</v>
      </c>
      <c r="FM32" t="e">
        <f>Nodes!T203+"'E4!$%A"</f>
        <v>#VALUE!</v>
      </c>
      <c r="FN32" s="548" t="e">
        <f>Nodes!U203+"'E4!$%B"</f>
        <v>#VALUE!</v>
      </c>
      <c r="FO32" s="548" t="e">
        <f>Nodes!V203+"'E4!$%C"</f>
        <v>#VALUE!</v>
      </c>
      <c r="FP32" s="548" t="e">
        <f>Nodes!W203+"'E4!$%D"</f>
        <v>#VALUE!</v>
      </c>
      <c r="FQ32" s="333" t="e">
        <f>Nodes!X203+"'E4!$%E"</f>
        <v>#VALUE!</v>
      </c>
      <c r="FR32" t="e">
        <f>Nodes!Y203+"'E4!$%F"</f>
        <v>#VALUE!</v>
      </c>
      <c r="FS32" t="e">
        <f>Nodes!Z203+"'E4!$%G"</f>
        <v>#VALUE!</v>
      </c>
      <c r="FT32" t="e">
        <f>Nodes!AA203+"'E4!$%H"</f>
        <v>#VALUE!</v>
      </c>
      <c r="FU32" t="e">
        <f>Nodes!AB203+"'E4!$%I"</f>
        <v>#VALUE!</v>
      </c>
      <c r="FV32" t="e">
        <f>Nodes!AC203+"'E4!$%J"</f>
        <v>#VALUE!</v>
      </c>
      <c r="FW32" t="e">
        <f>Nodes!A204+"'E4!$%K"</f>
        <v>#VALUE!</v>
      </c>
      <c r="FX32" t="e">
        <f>Nodes!B204+"'E4!$%L"</f>
        <v>#VALUE!</v>
      </c>
      <c r="FY32" t="e">
        <f>Nodes!C204+"'E4!$%M"</f>
        <v>#VALUE!</v>
      </c>
      <c r="FZ32" t="e">
        <f>Nodes!D204+"'E4!$%N"</f>
        <v>#VALUE!</v>
      </c>
      <c r="GA32" t="e">
        <f>Nodes!E204+"'E4!$%O"</f>
        <v>#VALUE!</v>
      </c>
      <c r="GB32" t="e">
        <f>Nodes!F204+"'E4!$%P"</f>
        <v>#VALUE!</v>
      </c>
      <c r="GC32" t="e">
        <f>Nodes!G204+"'E4!$%Q"</f>
        <v>#VALUE!</v>
      </c>
      <c r="GD32" t="e">
        <f>Nodes!H204+"'E4!$%R"</f>
        <v>#VALUE!</v>
      </c>
      <c r="GE32" t="e">
        <f>Nodes!I204+"'E4!$%S"</f>
        <v>#VALUE!</v>
      </c>
      <c r="GF32" t="e">
        <f>Nodes!J204+"'E4!$%T"</f>
        <v>#VALUE!</v>
      </c>
      <c r="GG32" t="e">
        <f>Nodes!K204+"'E4!$%U"</f>
        <v>#VALUE!</v>
      </c>
      <c r="GH32" t="e">
        <f>Nodes!L204+"'E4!$%V"</f>
        <v>#VALUE!</v>
      </c>
      <c r="GI32" t="e">
        <f>Nodes!M204+"'E4!$%W"</f>
        <v>#VALUE!</v>
      </c>
      <c r="GJ32" t="e">
        <f>Nodes!N204+"'E4!$%X"</f>
        <v>#VALUE!</v>
      </c>
      <c r="GK32" t="e">
        <f>Nodes!O204+"'E4!$%Y"</f>
        <v>#VALUE!</v>
      </c>
      <c r="GL32" t="e">
        <f>Nodes!P204+"'E4!$%Z"</f>
        <v>#VALUE!</v>
      </c>
      <c r="GM32" t="e">
        <f>Nodes!Q204+"'E4!$%["</f>
        <v>#VALUE!</v>
      </c>
      <c r="GN32" t="e">
        <f>Nodes!R204+"'E4!$%\"</f>
        <v>#VALUE!</v>
      </c>
      <c r="GO32" t="e">
        <f>Nodes!S204+"'E4!$%]"</f>
        <v>#VALUE!</v>
      </c>
      <c r="GP32" t="e">
        <f>Nodes!T204+"'E4!$%^"</f>
        <v>#VALUE!</v>
      </c>
      <c r="GQ32" s="548" t="e">
        <f>Nodes!U204+"'E4!$%_"</f>
        <v>#VALUE!</v>
      </c>
      <c r="GR32" s="548" t="e">
        <f>Nodes!V204+"'E4!$%`"</f>
        <v>#VALUE!</v>
      </c>
      <c r="GS32" s="548" t="e">
        <f>Nodes!W204+"'E4!$%a"</f>
        <v>#VALUE!</v>
      </c>
      <c r="GT32" s="333" t="e">
        <f>Nodes!X204+"'E4!$%b"</f>
        <v>#VALUE!</v>
      </c>
      <c r="GU32" t="e">
        <f>Nodes!Y204+"'E4!$%c"</f>
        <v>#VALUE!</v>
      </c>
      <c r="GV32" t="e">
        <f>Nodes!Z204+"'E4!$%d"</f>
        <v>#VALUE!</v>
      </c>
      <c r="GW32" t="e">
        <f>Nodes!AA204+"'E4!$%e"</f>
        <v>#VALUE!</v>
      </c>
      <c r="GX32" t="e">
        <f>Nodes!AB204+"'E4!$%f"</f>
        <v>#VALUE!</v>
      </c>
      <c r="GY32" t="e">
        <f>Nodes!AC204+"'E4!$%g"</f>
        <v>#VALUE!</v>
      </c>
      <c r="GZ32" t="e">
        <f>Nodes!A205+"'E4!$%h"</f>
        <v>#VALUE!</v>
      </c>
      <c r="HA32" t="e">
        <f>Nodes!B205+"'E4!$%i"</f>
        <v>#VALUE!</v>
      </c>
      <c r="HB32" t="e">
        <f>Nodes!C205+"'E4!$%j"</f>
        <v>#VALUE!</v>
      </c>
      <c r="HC32" t="e">
        <f>Nodes!D205+"'E4!$%k"</f>
        <v>#VALUE!</v>
      </c>
      <c r="HD32" t="e">
        <f>Nodes!E205+"'E4!$%l"</f>
        <v>#VALUE!</v>
      </c>
      <c r="HE32" t="e">
        <f>Nodes!F205+"'E4!$%m"</f>
        <v>#VALUE!</v>
      </c>
      <c r="HF32" t="e">
        <f>Nodes!G205+"'E4!$%n"</f>
        <v>#VALUE!</v>
      </c>
      <c r="HG32" t="e">
        <f>Nodes!H205+"'E4!$%o"</f>
        <v>#VALUE!</v>
      </c>
      <c r="HH32" t="e">
        <f>Nodes!I205+"'E4!$%p"</f>
        <v>#VALUE!</v>
      </c>
      <c r="HI32" t="e">
        <f>Nodes!J205+"'E4!$%q"</f>
        <v>#VALUE!</v>
      </c>
      <c r="HJ32" t="e">
        <f>Nodes!K205+"'E4!$%r"</f>
        <v>#VALUE!</v>
      </c>
      <c r="HK32" t="e">
        <f>Nodes!L205+"'E4!$%s"</f>
        <v>#VALUE!</v>
      </c>
      <c r="HL32" t="e">
        <f>Nodes!M205+"'E4!$%t"</f>
        <v>#VALUE!</v>
      </c>
      <c r="HM32" t="e">
        <f>Nodes!N205+"'E4!$%u"</f>
        <v>#VALUE!</v>
      </c>
      <c r="HN32" t="e">
        <f>Nodes!O205+"'E4!$%v"</f>
        <v>#VALUE!</v>
      </c>
      <c r="HO32" t="e">
        <f>Nodes!P205+"'E4!$%w"</f>
        <v>#VALUE!</v>
      </c>
      <c r="HP32" t="e">
        <f>Nodes!Q205+"'E4!$%x"</f>
        <v>#VALUE!</v>
      </c>
      <c r="HQ32" t="e">
        <f>Nodes!R205+"'E4!$%y"</f>
        <v>#VALUE!</v>
      </c>
      <c r="HR32" t="e">
        <f>Nodes!S205+"'E4!$%z"</f>
        <v>#VALUE!</v>
      </c>
      <c r="HS32" t="e">
        <f>Nodes!T205+"'E4!$%{"</f>
        <v>#VALUE!</v>
      </c>
      <c r="HT32" s="548" t="e">
        <f>Nodes!U205+"'E4!$%|"</f>
        <v>#VALUE!</v>
      </c>
      <c r="HU32" s="548" t="e">
        <f>Nodes!V205+"'E4!$%}"</f>
        <v>#VALUE!</v>
      </c>
      <c r="HV32" s="548" t="e">
        <f>Nodes!W205+"'E4!$%~"</f>
        <v>#VALUE!</v>
      </c>
      <c r="HW32" s="333" t="e">
        <f>Nodes!X205+"'E4!$&amp;#"</f>
        <v>#VALUE!</v>
      </c>
      <c r="HX32" t="e">
        <f>Nodes!Y205+"'E4!$&amp;$"</f>
        <v>#VALUE!</v>
      </c>
      <c r="HY32" t="e">
        <f>Nodes!Z205+"'E4!$&amp;%"</f>
        <v>#VALUE!</v>
      </c>
      <c r="HZ32" t="e">
        <f>Nodes!AA205+"'E4!$&amp;&amp;"</f>
        <v>#VALUE!</v>
      </c>
      <c r="IA32" t="e">
        <f>Nodes!AB205+"'E4!$&amp;'"</f>
        <v>#VALUE!</v>
      </c>
      <c r="IB32" t="e">
        <f>Nodes!AC205+"'E4!$&amp;("</f>
        <v>#VALUE!</v>
      </c>
      <c r="IC32" t="e">
        <f>Nodes!A206+"'E4!$&amp;)"</f>
        <v>#VALUE!</v>
      </c>
      <c r="ID32" t="e">
        <f>Nodes!B206+"'E4!$&amp;."</f>
        <v>#VALUE!</v>
      </c>
      <c r="IE32" t="e">
        <f>Nodes!C206+"'E4!$&amp;/"</f>
        <v>#VALUE!</v>
      </c>
      <c r="IF32" t="e">
        <f>Nodes!D206+"'E4!$&amp;0"</f>
        <v>#VALUE!</v>
      </c>
      <c r="IG32" t="e">
        <f>Nodes!E206+"'E4!$&amp;1"</f>
        <v>#VALUE!</v>
      </c>
      <c r="IH32" t="e">
        <f>Nodes!F206+"'E4!$&amp;2"</f>
        <v>#VALUE!</v>
      </c>
      <c r="II32" t="e">
        <f>Nodes!G206+"'E4!$&amp;3"</f>
        <v>#VALUE!</v>
      </c>
      <c r="IJ32" t="e">
        <f>Nodes!H206+"'E4!$&amp;4"</f>
        <v>#VALUE!</v>
      </c>
      <c r="IK32" t="e">
        <f>Nodes!I206+"'E4!$&amp;5"</f>
        <v>#VALUE!</v>
      </c>
      <c r="IL32" t="e">
        <f>Nodes!J206+"'E4!$&amp;6"</f>
        <v>#VALUE!</v>
      </c>
      <c r="IM32" t="e">
        <f>Nodes!K206+"'E4!$&amp;7"</f>
        <v>#VALUE!</v>
      </c>
      <c r="IN32" t="e">
        <f>Nodes!L206+"'E4!$&amp;8"</f>
        <v>#VALUE!</v>
      </c>
      <c r="IO32" t="e">
        <f>Nodes!M206+"'E4!$&amp;9"</f>
        <v>#VALUE!</v>
      </c>
      <c r="IP32" t="e">
        <f>Nodes!N206+"'E4!$&amp;:"</f>
        <v>#VALUE!</v>
      </c>
      <c r="IQ32" t="e">
        <f>Nodes!O206+"'E4!$&amp;;"</f>
        <v>#VALUE!</v>
      </c>
      <c r="IR32" t="e">
        <f>Nodes!P206+"'E4!$&amp;&lt;"</f>
        <v>#VALUE!</v>
      </c>
      <c r="IS32" t="e">
        <f>Nodes!Q206+"'E4!$&amp;="</f>
        <v>#VALUE!</v>
      </c>
      <c r="IT32" t="e">
        <f>Nodes!R206+"'E4!$&amp;&gt;"</f>
        <v>#VALUE!</v>
      </c>
      <c r="IU32" t="e">
        <f>Nodes!S206+"'E4!$&amp;?"</f>
        <v>#VALUE!</v>
      </c>
      <c r="IV32" t="e">
        <f>Nodes!T206+"'E4!$&amp;@"</f>
        <v>#VALUE!</v>
      </c>
    </row>
    <row r="33" spans="6:256">
      <c r="F33" s="548" t="e">
        <f>Nodes!U206+"'E4!$&amp;A"</f>
        <v>#VALUE!</v>
      </c>
      <c r="G33" s="548" t="e">
        <f>Nodes!V206+"'E4!$&amp;B"</f>
        <v>#VALUE!</v>
      </c>
      <c r="H33" s="548" t="e">
        <f>Nodes!W206+"'E4!$&amp;C"</f>
        <v>#VALUE!</v>
      </c>
      <c r="I33" s="333" t="e">
        <f>Nodes!X206+"'E4!$&amp;D"</f>
        <v>#VALUE!</v>
      </c>
      <c r="J33" t="e">
        <f>Nodes!Y206+"'E4!$&amp;E"</f>
        <v>#VALUE!</v>
      </c>
      <c r="K33" t="e">
        <f>Nodes!Z206+"'E4!$&amp;F"</f>
        <v>#VALUE!</v>
      </c>
      <c r="L33" t="e">
        <f>Nodes!AA206+"'E4!$&amp;G"</f>
        <v>#VALUE!</v>
      </c>
      <c r="M33" t="e">
        <f>Nodes!AB206+"'E4!$&amp;H"</f>
        <v>#VALUE!</v>
      </c>
      <c r="N33" t="e">
        <f>Nodes!AC206+"'E4!$&amp;I"</f>
        <v>#VALUE!</v>
      </c>
      <c r="O33" t="e">
        <f>Nodes!A207+"'E4!$&amp;J"</f>
        <v>#VALUE!</v>
      </c>
      <c r="P33" t="e">
        <f>Nodes!B207+"'E4!$&amp;K"</f>
        <v>#VALUE!</v>
      </c>
      <c r="Q33" t="e">
        <f>Nodes!C207+"'E4!$&amp;L"</f>
        <v>#VALUE!</v>
      </c>
      <c r="R33" t="e">
        <f>Nodes!D207+"'E4!$&amp;M"</f>
        <v>#VALUE!</v>
      </c>
      <c r="S33" t="e">
        <f>Nodes!E207+"'E4!$&amp;N"</f>
        <v>#VALUE!</v>
      </c>
      <c r="T33" t="e">
        <f>Nodes!F207+"'E4!$&amp;O"</f>
        <v>#VALUE!</v>
      </c>
      <c r="U33" t="e">
        <f>Nodes!G207+"'E4!$&amp;P"</f>
        <v>#VALUE!</v>
      </c>
      <c r="V33" t="e">
        <f>Nodes!H207+"'E4!$&amp;Q"</f>
        <v>#VALUE!</v>
      </c>
      <c r="W33" t="e">
        <f>Nodes!I207+"'E4!$&amp;R"</f>
        <v>#VALUE!</v>
      </c>
      <c r="X33" t="e">
        <f>Nodes!J207+"'E4!$&amp;S"</f>
        <v>#VALUE!</v>
      </c>
      <c r="Y33" t="e">
        <f>Nodes!K207+"'E4!$&amp;T"</f>
        <v>#VALUE!</v>
      </c>
      <c r="Z33" t="e">
        <f>Nodes!L207+"'E4!$&amp;U"</f>
        <v>#VALUE!</v>
      </c>
      <c r="AA33" t="e">
        <f>Nodes!M207+"'E4!$&amp;V"</f>
        <v>#VALUE!</v>
      </c>
      <c r="AB33" t="e">
        <f>Nodes!N207+"'E4!$&amp;W"</f>
        <v>#VALUE!</v>
      </c>
      <c r="AC33" t="e">
        <f>Nodes!O207+"'E4!$&amp;X"</f>
        <v>#VALUE!</v>
      </c>
      <c r="AD33" t="e">
        <f>Nodes!P207+"'E4!$&amp;Y"</f>
        <v>#VALUE!</v>
      </c>
      <c r="AE33" t="e">
        <f>Nodes!Q207+"'E4!$&amp;Z"</f>
        <v>#VALUE!</v>
      </c>
      <c r="AF33" t="e">
        <f>Nodes!R207+"'E4!$&amp;["</f>
        <v>#VALUE!</v>
      </c>
      <c r="AG33" t="e">
        <f>Nodes!S207+"'E4!$&amp;\"</f>
        <v>#VALUE!</v>
      </c>
      <c r="AH33" t="e">
        <f>Nodes!T207+"'E4!$&amp;]"</f>
        <v>#VALUE!</v>
      </c>
      <c r="AI33" s="548" t="e">
        <f>Nodes!U207+"'E4!$&amp;^"</f>
        <v>#VALUE!</v>
      </c>
      <c r="AJ33" s="548" t="e">
        <f>Nodes!V207+"'E4!$&amp;_"</f>
        <v>#VALUE!</v>
      </c>
      <c r="AK33" s="548" t="e">
        <f>Nodes!W207+"'E4!$&amp;`"</f>
        <v>#VALUE!</v>
      </c>
      <c r="AL33" s="333" t="e">
        <f>Nodes!X207+"'E4!$&amp;a"</f>
        <v>#VALUE!</v>
      </c>
      <c r="AM33" t="e">
        <f>Nodes!Y207+"'E4!$&amp;b"</f>
        <v>#VALUE!</v>
      </c>
      <c r="AN33" t="e">
        <f>Nodes!Z207+"'E4!$&amp;c"</f>
        <v>#VALUE!</v>
      </c>
      <c r="AO33" t="e">
        <f>Nodes!AA207+"'E4!$&amp;d"</f>
        <v>#VALUE!</v>
      </c>
      <c r="AP33" t="e">
        <f>Nodes!AB207+"'E4!$&amp;e"</f>
        <v>#VALUE!</v>
      </c>
      <c r="AQ33" t="e">
        <f>Nodes!AC207+"'E4!$&amp;f"</f>
        <v>#VALUE!</v>
      </c>
      <c r="AR33" t="e">
        <f>Nodes!A208+"'E4!$&amp;g"</f>
        <v>#VALUE!</v>
      </c>
      <c r="AS33" t="e">
        <f>Nodes!B208+"'E4!$&amp;h"</f>
        <v>#VALUE!</v>
      </c>
      <c r="AT33" t="e">
        <f>Nodes!C208+"'E4!$&amp;i"</f>
        <v>#VALUE!</v>
      </c>
      <c r="AU33" t="e">
        <f>Nodes!D208+"'E4!$&amp;j"</f>
        <v>#VALUE!</v>
      </c>
      <c r="AV33" t="e">
        <f>Nodes!E208+"'E4!$&amp;k"</f>
        <v>#VALUE!</v>
      </c>
      <c r="AW33" t="e">
        <f>Nodes!F208+"'E4!$&amp;l"</f>
        <v>#VALUE!</v>
      </c>
      <c r="AX33" t="e">
        <f>Nodes!G208+"'E4!$&amp;m"</f>
        <v>#VALUE!</v>
      </c>
      <c r="AY33" t="e">
        <f>Nodes!H208+"'E4!$&amp;n"</f>
        <v>#VALUE!</v>
      </c>
      <c r="AZ33" t="e">
        <f>Nodes!I208+"'E4!$&amp;o"</f>
        <v>#VALUE!</v>
      </c>
      <c r="BA33" t="e">
        <f>Nodes!J208+"'E4!$&amp;p"</f>
        <v>#VALUE!</v>
      </c>
      <c r="BB33" t="e">
        <f>Nodes!K208+"'E4!$&amp;q"</f>
        <v>#VALUE!</v>
      </c>
      <c r="BC33" t="e">
        <f>Nodes!L208+"'E4!$&amp;r"</f>
        <v>#VALUE!</v>
      </c>
      <c r="BD33" t="e">
        <f>Nodes!M208+"'E4!$&amp;s"</f>
        <v>#VALUE!</v>
      </c>
      <c r="BE33" t="e">
        <f>Nodes!N208+"'E4!$&amp;t"</f>
        <v>#VALUE!</v>
      </c>
      <c r="BF33" t="e">
        <f>Nodes!O208+"'E4!$&amp;u"</f>
        <v>#VALUE!</v>
      </c>
      <c r="BG33" t="e">
        <f>Nodes!P208+"'E4!$&amp;v"</f>
        <v>#VALUE!</v>
      </c>
      <c r="BH33" t="e">
        <f>Nodes!Q208+"'E4!$&amp;w"</f>
        <v>#VALUE!</v>
      </c>
      <c r="BI33" t="e">
        <f>Nodes!R208+"'E4!$&amp;x"</f>
        <v>#VALUE!</v>
      </c>
      <c r="BJ33" t="e">
        <f>Nodes!S208+"'E4!$&amp;y"</f>
        <v>#VALUE!</v>
      </c>
      <c r="BK33" t="e">
        <f>Nodes!T208+"'E4!$&amp;z"</f>
        <v>#VALUE!</v>
      </c>
      <c r="BL33" s="548" t="e">
        <f>Nodes!U208+"'E4!$&amp;{"</f>
        <v>#VALUE!</v>
      </c>
      <c r="BM33" s="548" t="e">
        <f>Nodes!V208+"'E4!$&amp;|"</f>
        <v>#VALUE!</v>
      </c>
      <c r="BN33" s="548" t="e">
        <f>Nodes!W208+"'E4!$&amp;}"</f>
        <v>#VALUE!</v>
      </c>
      <c r="BO33" s="333" t="e">
        <f>Nodes!X208+"'E4!$&amp;~"</f>
        <v>#VALUE!</v>
      </c>
      <c r="BP33" t="e">
        <f>Nodes!Y208+"'E4!$'#"</f>
        <v>#VALUE!</v>
      </c>
      <c r="BQ33" t="e">
        <f>Nodes!Z208+"'E4!$'$"</f>
        <v>#VALUE!</v>
      </c>
      <c r="BR33" t="e">
        <f>Nodes!AA208+"'E4!$'%"</f>
        <v>#VALUE!</v>
      </c>
      <c r="BS33" t="e">
        <f>Nodes!AB208+"'E4!$'&amp;"</f>
        <v>#VALUE!</v>
      </c>
      <c r="BT33" t="e">
        <f>Nodes!AC208+"'E4!$''"</f>
        <v>#VALUE!</v>
      </c>
      <c r="BU33" t="e">
        <f>Nodes!A209+"'E4!$'("</f>
        <v>#VALUE!</v>
      </c>
      <c r="BV33" t="e">
        <f>Nodes!B209+"'E4!$')"</f>
        <v>#VALUE!</v>
      </c>
      <c r="BW33" t="e">
        <f>Nodes!C209+"'E4!$'."</f>
        <v>#VALUE!</v>
      </c>
      <c r="BX33" t="e">
        <f>Nodes!D209+"'E4!$'/"</f>
        <v>#VALUE!</v>
      </c>
      <c r="BY33" t="e">
        <f>Nodes!E209+"'E4!$'0"</f>
        <v>#VALUE!</v>
      </c>
      <c r="BZ33" t="e">
        <f>Nodes!F209+"'E4!$'1"</f>
        <v>#VALUE!</v>
      </c>
      <c r="CA33" t="e">
        <f>Nodes!G209+"'E4!$'2"</f>
        <v>#VALUE!</v>
      </c>
      <c r="CB33" t="e">
        <f>Nodes!H209+"'E4!$'3"</f>
        <v>#VALUE!</v>
      </c>
      <c r="CC33" t="e">
        <f>Nodes!I209+"'E4!$'4"</f>
        <v>#VALUE!</v>
      </c>
      <c r="CD33" t="e">
        <f>Nodes!J209+"'E4!$'5"</f>
        <v>#VALUE!</v>
      </c>
      <c r="CE33" t="e">
        <f>Nodes!K209+"'E4!$'6"</f>
        <v>#VALUE!</v>
      </c>
      <c r="CF33" t="e">
        <f>Nodes!L209+"'E4!$'7"</f>
        <v>#VALUE!</v>
      </c>
      <c r="CG33" t="e">
        <f>Nodes!M209+"'E4!$'8"</f>
        <v>#VALUE!</v>
      </c>
      <c r="CH33" t="e">
        <f>Nodes!N209+"'E4!$'9"</f>
        <v>#VALUE!</v>
      </c>
      <c r="CI33" t="e">
        <f>Nodes!O209+"'E4!$':"</f>
        <v>#VALUE!</v>
      </c>
      <c r="CJ33" t="e">
        <f>Nodes!P209+"'E4!$';"</f>
        <v>#VALUE!</v>
      </c>
      <c r="CK33" t="e">
        <f>Nodes!Q209+"'E4!$'&lt;"</f>
        <v>#VALUE!</v>
      </c>
      <c r="CL33" t="e">
        <f>Nodes!R209+"'E4!$'="</f>
        <v>#VALUE!</v>
      </c>
      <c r="CM33" t="e">
        <f>Nodes!S209+"'E4!$'&gt;"</f>
        <v>#VALUE!</v>
      </c>
      <c r="CN33" t="e">
        <f>Nodes!T209+"'E4!$'?"</f>
        <v>#VALUE!</v>
      </c>
      <c r="CO33" s="548" t="e">
        <f>Nodes!U209+"'E4!$'@"</f>
        <v>#VALUE!</v>
      </c>
      <c r="CP33" s="548" t="e">
        <f>Nodes!V209+"'E4!$'A"</f>
        <v>#VALUE!</v>
      </c>
      <c r="CQ33" s="548" t="e">
        <f>Nodes!W209+"'E4!$'B"</f>
        <v>#VALUE!</v>
      </c>
      <c r="CR33" s="333" t="e">
        <f>Nodes!X209+"'E4!$'C"</f>
        <v>#VALUE!</v>
      </c>
      <c r="CS33" t="e">
        <f>Nodes!Y209+"'E4!$'D"</f>
        <v>#VALUE!</v>
      </c>
      <c r="CT33" t="e">
        <f>Nodes!Z209+"'E4!$'E"</f>
        <v>#VALUE!</v>
      </c>
      <c r="CU33" t="e">
        <f>Nodes!AA209+"'E4!$'F"</f>
        <v>#VALUE!</v>
      </c>
      <c r="CV33" t="e">
        <f>Nodes!AB209+"'E4!$'G"</f>
        <v>#VALUE!</v>
      </c>
      <c r="CW33" t="e">
        <f>Nodes!AC209+"'E4!$'H"</f>
        <v>#VALUE!</v>
      </c>
      <c r="CX33" t="e">
        <f>Nodes!A210+"'E4!$'I"</f>
        <v>#VALUE!</v>
      </c>
      <c r="CY33" t="e">
        <f>Nodes!B210+"'E4!$'J"</f>
        <v>#VALUE!</v>
      </c>
      <c r="CZ33" t="e">
        <f>Nodes!C210+"'E4!$'K"</f>
        <v>#VALUE!</v>
      </c>
      <c r="DA33" t="e">
        <f>Nodes!D210+"'E4!$'L"</f>
        <v>#VALUE!</v>
      </c>
      <c r="DB33" t="e">
        <f>Nodes!E210+"'E4!$'M"</f>
        <v>#VALUE!</v>
      </c>
      <c r="DC33" t="e">
        <f>Nodes!F210+"'E4!$'N"</f>
        <v>#VALUE!</v>
      </c>
      <c r="DD33" t="e">
        <f>Nodes!G210+"'E4!$'O"</f>
        <v>#VALUE!</v>
      </c>
      <c r="DE33" t="e">
        <f>Nodes!H210+"'E4!$'P"</f>
        <v>#VALUE!</v>
      </c>
      <c r="DF33" t="e">
        <f>Nodes!I210+"'E4!$'Q"</f>
        <v>#VALUE!</v>
      </c>
      <c r="DG33" t="e">
        <f>Nodes!J210+"'E4!$'R"</f>
        <v>#VALUE!</v>
      </c>
      <c r="DH33" t="e">
        <f>Nodes!K210+"'E4!$'S"</f>
        <v>#VALUE!</v>
      </c>
      <c r="DI33" t="e">
        <f>Nodes!L210+"'E4!$'T"</f>
        <v>#VALUE!</v>
      </c>
      <c r="DJ33" t="e">
        <f>Nodes!M210+"'E4!$'U"</f>
        <v>#VALUE!</v>
      </c>
      <c r="DK33" t="e">
        <f>Nodes!N210+"'E4!$'V"</f>
        <v>#VALUE!</v>
      </c>
      <c r="DL33" t="e">
        <f>Nodes!O210+"'E4!$'W"</f>
        <v>#VALUE!</v>
      </c>
      <c r="DM33" t="e">
        <f>Nodes!P210+"'E4!$'X"</f>
        <v>#VALUE!</v>
      </c>
      <c r="DN33" t="e">
        <f>Nodes!Q210+"'E4!$'Y"</f>
        <v>#VALUE!</v>
      </c>
      <c r="DO33" t="e">
        <f>Nodes!R210+"'E4!$'Z"</f>
        <v>#VALUE!</v>
      </c>
      <c r="DP33" t="e">
        <f>Nodes!S210+"'E4!$'["</f>
        <v>#VALUE!</v>
      </c>
      <c r="DQ33" t="e">
        <f>Nodes!T210+"'E4!$'\"</f>
        <v>#VALUE!</v>
      </c>
      <c r="DR33" s="548" t="e">
        <f>Nodes!U210+"'E4!$']"</f>
        <v>#VALUE!</v>
      </c>
      <c r="DS33" s="548" t="e">
        <f>Nodes!V210+"'E4!$'^"</f>
        <v>#VALUE!</v>
      </c>
      <c r="DT33" s="548" t="e">
        <f>Nodes!W210+"'E4!$'_"</f>
        <v>#VALUE!</v>
      </c>
      <c r="DU33" s="333" t="e">
        <f>Nodes!X210+"'E4!$'`"</f>
        <v>#VALUE!</v>
      </c>
      <c r="DV33" t="e">
        <f>Nodes!Y210+"'E4!$'a"</f>
        <v>#VALUE!</v>
      </c>
      <c r="DW33" t="e">
        <f>Nodes!Z210+"'E4!$'b"</f>
        <v>#VALUE!</v>
      </c>
      <c r="DX33" t="e">
        <f>Nodes!AA210+"'E4!$'c"</f>
        <v>#VALUE!</v>
      </c>
      <c r="DY33" t="e">
        <f>Nodes!AB210+"'E4!$'d"</f>
        <v>#VALUE!</v>
      </c>
      <c r="DZ33" t="e">
        <f>Nodes!AC210+"'E4!$'e"</f>
        <v>#VALUE!</v>
      </c>
      <c r="EA33" t="e">
        <f>Nodes!A211+"'E4!$'f"</f>
        <v>#VALUE!</v>
      </c>
      <c r="EB33" t="e">
        <f>Nodes!B211+"'E4!$'g"</f>
        <v>#VALUE!</v>
      </c>
      <c r="EC33" t="e">
        <f>Nodes!C211+"'E4!$'h"</f>
        <v>#VALUE!</v>
      </c>
      <c r="ED33" t="e">
        <f>Nodes!D211+"'E4!$'i"</f>
        <v>#VALUE!</v>
      </c>
      <c r="EE33" t="e">
        <f>Nodes!E211+"'E4!$'j"</f>
        <v>#VALUE!</v>
      </c>
      <c r="EF33" t="e">
        <f>Nodes!F211+"'E4!$'k"</f>
        <v>#VALUE!</v>
      </c>
      <c r="EG33" t="e">
        <f>Nodes!G211+"'E4!$'l"</f>
        <v>#VALUE!</v>
      </c>
      <c r="EH33" t="e">
        <f>Nodes!H211+"'E4!$'m"</f>
        <v>#VALUE!</v>
      </c>
      <c r="EI33" t="e">
        <f>Nodes!I211+"'E4!$'n"</f>
        <v>#VALUE!</v>
      </c>
      <c r="EJ33" t="e">
        <f>Nodes!J211+"'E4!$'o"</f>
        <v>#VALUE!</v>
      </c>
      <c r="EK33" t="e">
        <f>Nodes!K211+"'E4!$'p"</f>
        <v>#VALUE!</v>
      </c>
      <c r="EL33" t="e">
        <f>Nodes!L211+"'E4!$'q"</f>
        <v>#VALUE!</v>
      </c>
      <c r="EM33" t="e">
        <f>Nodes!M211+"'E4!$'r"</f>
        <v>#VALUE!</v>
      </c>
      <c r="EN33" t="e">
        <f>Nodes!N211+"'E4!$'s"</f>
        <v>#VALUE!</v>
      </c>
      <c r="EO33" t="e">
        <f>Nodes!O211+"'E4!$'t"</f>
        <v>#VALUE!</v>
      </c>
      <c r="EP33" t="e">
        <f>Nodes!P211+"'E4!$'u"</f>
        <v>#VALUE!</v>
      </c>
      <c r="EQ33" t="e">
        <f>Nodes!Q211+"'E4!$'v"</f>
        <v>#VALUE!</v>
      </c>
      <c r="ER33" t="e">
        <f>Nodes!R211+"'E4!$'w"</f>
        <v>#VALUE!</v>
      </c>
      <c r="ES33" t="e">
        <f>Nodes!S211+"'E4!$'x"</f>
        <v>#VALUE!</v>
      </c>
      <c r="ET33" t="e">
        <f>Nodes!T211+"'E4!$'y"</f>
        <v>#VALUE!</v>
      </c>
      <c r="EU33" s="548" t="e">
        <f>Nodes!U211+"'E4!$'z"</f>
        <v>#VALUE!</v>
      </c>
      <c r="EV33" s="548" t="e">
        <f>Nodes!V211+"'E4!$'{"</f>
        <v>#VALUE!</v>
      </c>
      <c r="EW33" s="548" t="e">
        <f>Nodes!W211+"'E4!$'|"</f>
        <v>#VALUE!</v>
      </c>
      <c r="EX33" s="333" t="e">
        <f>Nodes!X211+"'E4!$'}"</f>
        <v>#VALUE!</v>
      </c>
      <c r="EY33" t="e">
        <f>Nodes!Y211+"'E4!$'~"</f>
        <v>#VALUE!</v>
      </c>
      <c r="EZ33" t="e">
        <f>Nodes!Z211+"'E4!$(#"</f>
        <v>#VALUE!</v>
      </c>
      <c r="FA33" t="e">
        <f>Nodes!AA211+"'E4!$($"</f>
        <v>#VALUE!</v>
      </c>
      <c r="FB33" t="e">
        <f>Nodes!AB211+"'E4!$(%"</f>
        <v>#VALUE!</v>
      </c>
      <c r="FC33" t="e">
        <f>Nodes!AC211+"'E4!$(&amp;"</f>
        <v>#VALUE!</v>
      </c>
      <c r="FD33" t="e">
        <f>Nodes!A212+"'E4!$('"</f>
        <v>#VALUE!</v>
      </c>
      <c r="FE33" t="e">
        <f>Nodes!B212+"'E4!$(("</f>
        <v>#VALUE!</v>
      </c>
      <c r="FF33" t="e">
        <f>Nodes!C212+"'E4!$()"</f>
        <v>#VALUE!</v>
      </c>
      <c r="FG33" t="e">
        <f>Nodes!D212+"'E4!$(."</f>
        <v>#VALUE!</v>
      </c>
      <c r="FH33" t="e">
        <f>Nodes!E212+"'E4!$(/"</f>
        <v>#VALUE!</v>
      </c>
      <c r="FI33" t="e">
        <f>Nodes!F212+"'E4!$(0"</f>
        <v>#VALUE!</v>
      </c>
      <c r="FJ33" t="e">
        <f>Nodes!G212+"'E4!$(1"</f>
        <v>#VALUE!</v>
      </c>
      <c r="FK33" t="e">
        <f>Nodes!H212+"'E4!$(2"</f>
        <v>#VALUE!</v>
      </c>
      <c r="FL33" t="e">
        <f>Nodes!I212+"'E4!$(3"</f>
        <v>#VALUE!</v>
      </c>
      <c r="FM33" t="e">
        <f>Nodes!J212+"'E4!$(4"</f>
        <v>#VALUE!</v>
      </c>
      <c r="FN33" t="e">
        <f>Nodes!K212+"'E4!$(5"</f>
        <v>#VALUE!</v>
      </c>
      <c r="FO33" t="e">
        <f>Nodes!L212+"'E4!$(6"</f>
        <v>#VALUE!</v>
      </c>
      <c r="FP33" t="e">
        <f>Nodes!M212+"'E4!$(7"</f>
        <v>#VALUE!</v>
      </c>
      <c r="FQ33" t="e">
        <f>Nodes!N212+"'E4!$(8"</f>
        <v>#VALUE!</v>
      </c>
      <c r="FR33" t="e">
        <f>Nodes!O212+"'E4!$(9"</f>
        <v>#VALUE!</v>
      </c>
      <c r="FS33" t="e">
        <f>Nodes!P212+"'E4!$(:"</f>
        <v>#VALUE!</v>
      </c>
      <c r="FT33" t="e">
        <f>Nodes!Q212+"'E4!$(;"</f>
        <v>#VALUE!</v>
      </c>
      <c r="FU33" t="e">
        <f>Nodes!R212+"'E4!$(&lt;"</f>
        <v>#VALUE!</v>
      </c>
      <c r="FV33" t="e">
        <f>Nodes!S212+"'E4!$(="</f>
        <v>#VALUE!</v>
      </c>
      <c r="FW33" t="e">
        <f>Nodes!T212+"'E4!$(&gt;"</f>
        <v>#VALUE!</v>
      </c>
      <c r="FX33" s="548" t="e">
        <f>Nodes!U212+"'E4!$(?"</f>
        <v>#VALUE!</v>
      </c>
      <c r="FY33" s="548" t="e">
        <f>Nodes!V212+"'E4!$(@"</f>
        <v>#VALUE!</v>
      </c>
      <c r="FZ33" s="548" t="e">
        <f>Nodes!W212+"'E4!$(A"</f>
        <v>#VALUE!</v>
      </c>
      <c r="GA33" s="333" t="e">
        <f>Nodes!X212+"'E4!$(B"</f>
        <v>#VALUE!</v>
      </c>
      <c r="GB33" t="e">
        <f>Nodes!Y212+"'E4!$(C"</f>
        <v>#VALUE!</v>
      </c>
      <c r="GC33" t="e">
        <f>Nodes!Z212+"'E4!$(D"</f>
        <v>#VALUE!</v>
      </c>
      <c r="GD33" t="e">
        <f>Nodes!AA212+"'E4!$(E"</f>
        <v>#VALUE!</v>
      </c>
      <c r="GE33" t="e">
        <f>Nodes!AB212+"'E4!$(F"</f>
        <v>#VALUE!</v>
      </c>
      <c r="GF33" t="e">
        <f>Nodes!AC212+"'E4!$(G"</f>
        <v>#VALUE!</v>
      </c>
      <c r="GG33" t="e">
        <f>Nodes!A213+"'E4!$(H"</f>
        <v>#VALUE!</v>
      </c>
      <c r="GH33" t="e">
        <f>Nodes!B213+"'E4!$(I"</f>
        <v>#VALUE!</v>
      </c>
      <c r="GI33" t="e">
        <f>Nodes!C213+"'E4!$(J"</f>
        <v>#VALUE!</v>
      </c>
      <c r="GJ33" t="e">
        <f>Nodes!D213+"'E4!$(K"</f>
        <v>#VALUE!</v>
      </c>
      <c r="GK33" t="e">
        <f>Nodes!E213+"'E4!$(L"</f>
        <v>#VALUE!</v>
      </c>
      <c r="GL33" t="e">
        <f>Nodes!F213+"'E4!$(M"</f>
        <v>#VALUE!</v>
      </c>
      <c r="GM33" t="e">
        <f>Nodes!G213+"'E4!$(N"</f>
        <v>#VALUE!</v>
      </c>
      <c r="GN33" t="e">
        <f>Nodes!H213+"'E4!$(O"</f>
        <v>#VALUE!</v>
      </c>
      <c r="GO33" t="e">
        <f>Nodes!I213+"'E4!$(P"</f>
        <v>#VALUE!</v>
      </c>
      <c r="GP33" t="e">
        <f>Nodes!J213+"'E4!$(Q"</f>
        <v>#VALUE!</v>
      </c>
      <c r="GQ33" t="e">
        <f>Nodes!K213+"'E4!$(R"</f>
        <v>#VALUE!</v>
      </c>
      <c r="GR33" t="e">
        <f>Nodes!L213+"'E4!$(S"</f>
        <v>#VALUE!</v>
      </c>
      <c r="GS33" t="e">
        <f>Nodes!M213+"'E4!$(T"</f>
        <v>#VALUE!</v>
      </c>
      <c r="GT33" t="e">
        <f>Nodes!N213+"'E4!$(U"</f>
        <v>#VALUE!</v>
      </c>
      <c r="GU33" t="e">
        <f>Nodes!O213+"'E4!$(V"</f>
        <v>#VALUE!</v>
      </c>
      <c r="GV33" t="e">
        <f>Nodes!P213+"'E4!$(W"</f>
        <v>#VALUE!</v>
      </c>
      <c r="GW33" t="e">
        <f>Nodes!Q213+"'E4!$(X"</f>
        <v>#VALUE!</v>
      </c>
      <c r="GX33" t="e">
        <f>Nodes!R213+"'E4!$(Y"</f>
        <v>#VALUE!</v>
      </c>
      <c r="GY33" t="e">
        <f>Nodes!S213+"'E4!$(Z"</f>
        <v>#VALUE!</v>
      </c>
      <c r="GZ33" t="e">
        <f>Nodes!T213+"'E4!$(["</f>
        <v>#VALUE!</v>
      </c>
      <c r="HA33" s="548" t="e">
        <f>Nodes!U213+"'E4!$(\"</f>
        <v>#VALUE!</v>
      </c>
      <c r="HB33" s="548" t="e">
        <f>Nodes!V213+"'E4!$(]"</f>
        <v>#VALUE!</v>
      </c>
      <c r="HC33" s="548" t="e">
        <f>Nodes!W213+"'E4!$(^"</f>
        <v>#VALUE!</v>
      </c>
      <c r="HD33" s="333" t="e">
        <f>Nodes!X213+"'E4!$(_"</f>
        <v>#VALUE!</v>
      </c>
      <c r="HE33" t="e">
        <f>Nodes!Y213+"'E4!$(`"</f>
        <v>#VALUE!</v>
      </c>
      <c r="HF33" t="e">
        <f>Nodes!Z213+"'E4!$(a"</f>
        <v>#VALUE!</v>
      </c>
      <c r="HG33" t="e">
        <f>Nodes!AA213+"'E4!$(b"</f>
        <v>#VALUE!</v>
      </c>
      <c r="HH33" t="e">
        <f>Nodes!AB213+"'E4!$(c"</f>
        <v>#VALUE!</v>
      </c>
      <c r="HI33" t="e">
        <f>Nodes!AC213+"'E4!$(d"</f>
        <v>#VALUE!</v>
      </c>
      <c r="HJ33" t="e">
        <f>Nodes!A214+"'E4!$(e"</f>
        <v>#VALUE!</v>
      </c>
      <c r="HK33" t="e">
        <f>Nodes!B214+"'E4!$(f"</f>
        <v>#VALUE!</v>
      </c>
      <c r="HL33" t="e">
        <f>Nodes!C214+"'E4!$(g"</f>
        <v>#VALUE!</v>
      </c>
      <c r="HM33" t="e">
        <f>Nodes!D214+"'E4!$(h"</f>
        <v>#VALUE!</v>
      </c>
      <c r="HN33" t="e">
        <f>Nodes!E214+"'E4!$(i"</f>
        <v>#VALUE!</v>
      </c>
      <c r="HO33" t="e">
        <f>Nodes!F214+"'E4!$(j"</f>
        <v>#VALUE!</v>
      </c>
      <c r="HP33" t="e">
        <f>Nodes!G214+"'E4!$(k"</f>
        <v>#VALUE!</v>
      </c>
      <c r="HQ33" t="e">
        <f>Nodes!H214+"'E4!$(l"</f>
        <v>#VALUE!</v>
      </c>
      <c r="HR33" t="e">
        <f>Nodes!I214+"'E4!$(m"</f>
        <v>#VALUE!</v>
      </c>
      <c r="HS33" t="e">
        <f>Nodes!J214+"'E4!$(n"</f>
        <v>#VALUE!</v>
      </c>
      <c r="HT33" t="e">
        <f>Nodes!K214+"'E4!$(o"</f>
        <v>#VALUE!</v>
      </c>
      <c r="HU33" t="e">
        <f>Nodes!L214+"'E4!$(p"</f>
        <v>#VALUE!</v>
      </c>
      <c r="HV33" t="e">
        <f>Nodes!M214+"'E4!$(q"</f>
        <v>#VALUE!</v>
      </c>
      <c r="HW33" t="e">
        <f>Nodes!N214+"'E4!$(r"</f>
        <v>#VALUE!</v>
      </c>
      <c r="HX33" t="e">
        <f>Nodes!O214+"'E4!$(s"</f>
        <v>#VALUE!</v>
      </c>
      <c r="HY33" t="e">
        <f>Nodes!P214+"'E4!$(t"</f>
        <v>#VALUE!</v>
      </c>
      <c r="HZ33" t="e">
        <f>Nodes!Q214+"'E4!$(u"</f>
        <v>#VALUE!</v>
      </c>
      <c r="IA33" t="e">
        <f>Nodes!R214+"'E4!$(v"</f>
        <v>#VALUE!</v>
      </c>
      <c r="IB33" t="e">
        <f>Nodes!S214+"'E4!$(w"</f>
        <v>#VALUE!</v>
      </c>
      <c r="IC33" t="e">
        <f>Nodes!T214+"'E4!$(x"</f>
        <v>#VALUE!</v>
      </c>
      <c r="ID33" s="548" t="e">
        <f>Nodes!U214+"'E4!$(y"</f>
        <v>#VALUE!</v>
      </c>
      <c r="IE33" s="548" t="e">
        <f>Nodes!V214+"'E4!$(z"</f>
        <v>#VALUE!</v>
      </c>
      <c r="IF33" s="548" t="e">
        <f>Nodes!W214+"'E4!$({"</f>
        <v>#VALUE!</v>
      </c>
      <c r="IG33" s="333" t="e">
        <f>Nodes!X214+"'E4!$(|"</f>
        <v>#VALUE!</v>
      </c>
      <c r="IH33" t="e">
        <f>Nodes!Y214+"'E4!$(}"</f>
        <v>#VALUE!</v>
      </c>
      <c r="II33" t="e">
        <f>Nodes!Z214+"'E4!$(~"</f>
        <v>#VALUE!</v>
      </c>
      <c r="IJ33" t="e">
        <f>Nodes!AA214+"'E4!$)#"</f>
        <v>#VALUE!</v>
      </c>
      <c r="IK33" t="e">
        <f>Nodes!AB214+"'E4!$)$"</f>
        <v>#VALUE!</v>
      </c>
      <c r="IL33" t="e">
        <f>Nodes!AC214+"'E4!$)%"</f>
        <v>#VALUE!</v>
      </c>
      <c r="IM33" t="e">
        <f>Nodes!A215+"'E4!$)&amp;"</f>
        <v>#VALUE!</v>
      </c>
      <c r="IN33" t="e">
        <f>Nodes!B215+"'E4!$)'"</f>
        <v>#VALUE!</v>
      </c>
      <c r="IO33" t="e">
        <f>Nodes!C215+"'E4!$)("</f>
        <v>#VALUE!</v>
      </c>
      <c r="IP33" t="e">
        <f>Nodes!D215+"'E4!$))"</f>
        <v>#VALUE!</v>
      </c>
      <c r="IQ33" t="e">
        <f>Nodes!E215+"'E4!$)."</f>
        <v>#VALUE!</v>
      </c>
      <c r="IR33" t="e">
        <f>Nodes!F215+"'E4!$)/"</f>
        <v>#VALUE!</v>
      </c>
      <c r="IS33" t="e">
        <f>Nodes!G215+"'E4!$)0"</f>
        <v>#VALUE!</v>
      </c>
      <c r="IT33" t="e">
        <f>Nodes!H215+"'E4!$)1"</f>
        <v>#VALUE!</v>
      </c>
      <c r="IU33" t="e">
        <f>Nodes!I215+"'E4!$)2"</f>
        <v>#VALUE!</v>
      </c>
      <c r="IV33" t="e">
        <f>Nodes!J215+"'E4!$)3"</f>
        <v>#VALUE!</v>
      </c>
    </row>
    <row r="34" spans="6:256">
      <c r="F34" t="e">
        <f>Nodes!K215+"'E4!$)4"</f>
        <v>#VALUE!</v>
      </c>
      <c r="G34" t="e">
        <f>Nodes!L215+"'E4!$)5"</f>
        <v>#VALUE!</v>
      </c>
      <c r="H34" t="e">
        <f>Nodes!M215+"'E4!$)6"</f>
        <v>#VALUE!</v>
      </c>
      <c r="I34" t="e">
        <f>Nodes!N215+"'E4!$)7"</f>
        <v>#VALUE!</v>
      </c>
      <c r="J34" t="e">
        <f>Nodes!O215+"'E4!$)8"</f>
        <v>#VALUE!</v>
      </c>
      <c r="K34" t="e">
        <f>Nodes!P215+"'E4!$)9"</f>
        <v>#VALUE!</v>
      </c>
      <c r="L34" t="e">
        <f>Nodes!Q215+"'E4!$):"</f>
        <v>#VALUE!</v>
      </c>
      <c r="M34" t="e">
        <f>Nodes!R215+"'E4!$);"</f>
        <v>#VALUE!</v>
      </c>
      <c r="N34" t="e">
        <f>Nodes!S215+"'E4!$)&lt;"</f>
        <v>#VALUE!</v>
      </c>
      <c r="O34" t="e">
        <f>Nodes!T215+"'E4!$)="</f>
        <v>#VALUE!</v>
      </c>
      <c r="P34" s="548" t="e">
        <f>Nodes!U215+"'E4!$)&gt;"</f>
        <v>#VALUE!</v>
      </c>
      <c r="Q34" s="548" t="e">
        <f>Nodes!V215+"'E4!$)?"</f>
        <v>#VALUE!</v>
      </c>
      <c r="R34" s="548" t="e">
        <f>Nodes!W215+"'E4!$)@"</f>
        <v>#VALUE!</v>
      </c>
      <c r="S34" s="333" t="e">
        <f>Nodes!X215+"'E4!$)A"</f>
        <v>#VALUE!</v>
      </c>
      <c r="T34" t="e">
        <f>Nodes!Y215+"'E4!$)B"</f>
        <v>#VALUE!</v>
      </c>
      <c r="U34" t="e">
        <f>Nodes!Z215+"'E4!$)C"</f>
        <v>#VALUE!</v>
      </c>
      <c r="V34" t="e">
        <f>Nodes!AA215+"'E4!$)D"</f>
        <v>#VALUE!</v>
      </c>
      <c r="W34" t="e">
        <f>Nodes!AB215+"'E4!$)E"</f>
        <v>#VALUE!</v>
      </c>
      <c r="X34" t="e">
        <f>Nodes!AC215+"'E4!$)F"</f>
        <v>#VALUE!</v>
      </c>
      <c r="Y34" t="e">
        <f>Nodes!A216+"'E4!$)G"</f>
        <v>#VALUE!</v>
      </c>
      <c r="Z34" t="e">
        <f>Nodes!B216+"'E4!$)H"</f>
        <v>#VALUE!</v>
      </c>
      <c r="AA34" t="e">
        <f>Nodes!C216+"'E4!$)I"</f>
        <v>#VALUE!</v>
      </c>
      <c r="AB34" t="e">
        <f>Nodes!D216+"'E4!$)J"</f>
        <v>#VALUE!</v>
      </c>
      <c r="AC34" t="e">
        <f>Nodes!E216+"'E4!$)K"</f>
        <v>#VALUE!</v>
      </c>
      <c r="AD34" t="e">
        <f>Nodes!F216+"'E4!$)L"</f>
        <v>#VALUE!</v>
      </c>
      <c r="AE34" t="e">
        <f>Nodes!G216+"'E4!$)M"</f>
        <v>#VALUE!</v>
      </c>
      <c r="AF34" t="e">
        <f>Nodes!H216+"'E4!$)N"</f>
        <v>#VALUE!</v>
      </c>
      <c r="AG34" t="e">
        <f>Nodes!I216+"'E4!$)O"</f>
        <v>#VALUE!</v>
      </c>
      <c r="AH34" t="e">
        <f>Nodes!J216+"'E4!$)P"</f>
        <v>#VALUE!</v>
      </c>
      <c r="AI34" t="e">
        <f>Nodes!K216+"'E4!$)Q"</f>
        <v>#VALUE!</v>
      </c>
      <c r="AJ34" t="e">
        <f>Nodes!L216+"'E4!$)R"</f>
        <v>#VALUE!</v>
      </c>
      <c r="AK34" t="e">
        <f>Nodes!M216+"'E4!$)S"</f>
        <v>#VALUE!</v>
      </c>
      <c r="AL34" t="e">
        <f>Nodes!N216+"'E4!$)T"</f>
        <v>#VALUE!</v>
      </c>
      <c r="AM34" t="e">
        <f>Nodes!O216+"'E4!$)U"</f>
        <v>#VALUE!</v>
      </c>
      <c r="AN34" t="e">
        <f>Nodes!P216+"'E4!$)V"</f>
        <v>#VALUE!</v>
      </c>
      <c r="AO34" t="e">
        <f>Nodes!Q216+"'E4!$)W"</f>
        <v>#VALUE!</v>
      </c>
      <c r="AP34" t="e">
        <f>Nodes!R216+"'E4!$)X"</f>
        <v>#VALUE!</v>
      </c>
      <c r="AQ34" t="e">
        <f>Nodes!S216+"'E4!$)Y"</f>
        <v>#VALUE!</v>
      </c>
      <c r="AR34" t="e">
        <f>Nodes!T216+"'E4!$)Z"</f>
        <v>#VALUE!</v>
      </c>
      <c r="AS34" s="548" t="e">
        <f>Nodes!U216+"'E4!$)["</f>
        <v>#VALUE!</v>
      </c>
      <c r="AT34" s="548" t="e">
        <f>Nodes!V216+"'E4!$)\"</f>
        <v>#VALUE!</v>
      </c>
      <c r="AU34" s="548" t="e">
        <f>Nodes!W216+"'E4!$)]"</f>
        <v>#VALUE!</v>
      </c>
      <c r="AV34" s="333" t="e">
        <f>Nodes!X216+"'E4!$)^"</f>
        <v>#VALUE!</v>
      </c>
      <c r="AW34" t="e">
        <f>Nodes!Y216+"'E4!$)_"</f>
        <v>#VALUE!</v>
      </c>
      <c r="AX34" t="e">
        <f>Nodes!Z216+"'E4!$)`"</f>
        <v>#VALUE!</v>
      </c>
      <c r="AY34" t="e">
        <f>Nodes!AA216+"'E4!$)a"</f>
        <v>#VALUE!</v>
      </c>
      <c r="AZ34" t="e">
        <f>Nodes!AB216+"'E4!$)b"</f>
        <v>#VALUE!</v>
      </c>
      <c r="BA34" t="e">
        <f>Nodes!AC216+"'E4!$)c"</f>
        <v>#VALUE!</v>
      </c>
      <c r="BB34" t="e">
        <f>Nodes!A217+"'E4!$)d"</f>
        <v>#VALUE!</v>
      </c>
      <c r="BC34" t="e">
        <f>Nodes!B217+"'E4!$)e"</f>
        <v>#VALUE!</v>
      </c>
      <c r="BD34" t="e">
        <f>Nodes!C217+"'E4!$)f"</f>
        <v>#VALUE!</v>
      </c>
      <c r="BE34" t="e">
        <f>Nodes!D217+"'E4!$)g"</f>
        <v>#VALUE!</v>
      </c>
      <c r="BF34" t="e">
        <f>Nodes!E217+"'E4!$)h"</f>
        <v>#VALUE!</v>
      </c>
      <c r="BG34" t="e">
        <f>Nodes!F217+"'E4!$)i"</f>
        <v>#VALUE!</v>
      </c>
      <c r="BH34" t="e">
        <f>Nodes!G217+"'E4!$)j"</f>
        <v>#VALUE!</v>
      </c>
      <c r="BI34" t="e">
        <f>Nodes!H217+"'E4!$)k"</f>
        <v>#VALUE!</v>
      </c>
      <c r="BJ34" t="e">
        <f>Nodes!I217+"'E4!$)l"</f>
        <v>#VALUE!</v>
      </c>
      <c r="BK34" t="e">
        <f>Nodes!J217+"'E4!$)m"</f>
        <v>#VALUE!</v>
      </c>
      <c r="BL34" t="e">
        <f>Nodes!K217+"'E4!$)n"</f>
        <v>#VALUE!</v>
      </c>
      <c r="BM34" t="e">
        <f>Nodes!L217+"'E4!$)o"</f>
        <v>#VALUE!</v>
      </c>
      <c r="BN34" t="e">
        <f>Nodes!M217+"'E4!$)p"</f>
        <v>#VALUE!</v>
      </c>
      <c r="BO34" t="e">
        <f>Nodes!N217+"'E4!$)q"</f>
        <v>#VALUE!</v>
      </c>
      <c r="BP34" t="e">
        <f>Nodes!O217+"'E4!$)r"</f>
        <v>#VALUE!</v>
      </c>
      <c r="BQ34" t="e">
        <f>Nodes!P217+"'E4!$)s"</f>
        <v>#VALUE!</v>
      </c>
      <c r="BR34" t="e">
        <f>Nodes!Q217+"'E4!$)t"</f>
        <v>#VALUE!</v>
      </c>
      <c r="BS34" t="e">
        <f>Nodes!R217+"'E4!$)u"</f>
        <v>#VALUE!</v>
      </c>
      <c r="BT34" t="e">
        <f>Nodes!S217+"'E4!$)v"</f>
        <v>#VALUE!</v>
      </c>
      <c r="BU34" t="e">
        <f>Nodes!T217+"'E4!$)w"</f>
        <v>#VALUE!</v>
      </c>
      <c r="BV34" s="548" t="e">
        <f>Nodes!U217+"'E4!$)x"</f>
        <v>#VALUE!</v>
      </c>
      <c r="BW34" s="548" t="e">
        <f>Nodes!V217+"'E4!$)y"</f>
        <v>#VALUE!</v>
      </c>
      <c r="BX34" s="548" t="e">
        <f>Nodes!W217+"'E4!$)z"</f>
        <v>#VALUE!</v>
      </c>
      <c r="BY34" s="333" t="e">
        <f>Nodes!X217+"'E4!$){"</f>
        <v>#VALUE!</v>
      </c>
      <c r="BZ34" t="e">
        <f>Nodes!Y217+"'E4!$)|"</f>
        <v>#VALUE!</v>
      </c>
      <c r="CA34" t="e">
        <f>Nodes!Z217+"'E4!$)}"</f>
        <v>#VALUE!</v>
      </c>
      <c r="CB34" t="e">
        <f>Nodes!AA217+"'E4!$)~"</f>
        <v>#VALUE!</v>
      </c>
      <c r="CC34" t="e">
        <f>Nodes!AB217+"'E4!$.#"</f>
        <v>#VALUE!</v>
      </c>
      <c r="CD34" t="e">
        <f>Nodes!AC217+"'E4!$.$"</f>
        <v>#VALUE!</v>
      </c>
      <c r="CE34" t="e">
        <f>Nodes!A218+"'E4!$.%"</f>
        <v>#VALUE!</v>
      </c>
      <c r="CF34" t="e">
        <f>Nodes!B218+"'E4!$.&amp;"</f>
        <v>#VALUE!</v>
      </c>
      <c r="CG34" t="e">
        <f>Nodes!C218+"'E4!$.'"</f>
        <v>#VALUE!</v>
      </c>
      <c r="CH34" t="e">
        <f>Nodes!D218+"'E4!$.("</f>
        <v>#VALUE!</v>
      </c>
      <c r="CI34" t="e">
        <f>Nodes!E218+"'E4!$.)"</f>
        <v>#VALUE!</v>
      </c>
      <c r="CJ34" t="e">
        <f>Nodes!F218+"'E4!$.."</f>
        <v>#VALUE!</v>
      </c>
      <c r="CK34" t="e">
        <f>Nodes!G218+"'E4!$./"</f>
        <v>#VALUE!</v>
      </c>
      <c r="CL34" t="e">
        <f>Nodes!H218+"'E4!$.0"</f>
        <v>#VALUE!</v>
      </c>
      <c r="CM34" t="e">
        <f>Nodes!I218+"'E4!$.1"</f>
        <v>#VALUE!</v>
      </c>
      <c r="CN34" t="e">
        <f>Nodes!J218+"'E4!$.2"</f>
        <v>#VALUE!</v>
      </c>
      <c r="CO34" t="e">
        <f>Nodes!K218+"'E4!$.3"</f>
        <v>#VALUE!</v>
      </c>
      <c r="CP34" t="e">
        <f>Nodes!L218+"'E4!$.4"</f>
        <v>#VALUE!</v>
      </c>
      <c r="CQ34" t="e">
        <f>Nodes!M218+"'E4!$.5"</f>
        <v>#VALUE!</v>
      </c>
      <c r="CR34" t="e">
        <f>Nodes!N218+"'E4!$.6"</f>
        <v>#VALUE!</v>
      </c>
      <c r="CS34" t="e">
        <f>Nodes!O218+"'E4!$.7"</f>
        <v>#VALUE!</v>
      </c>
      <c r="CT34" t="e">
        <f>Nodes!P218+"'E4!$.8"</f>
        <v>#VALUE!</v>
      </c>
      <c r="CU34" t="e">
        <f>Nodes!Q218+"'E4!$.9"</f>
        <v>#VALUE!</v>
      </c>
      <c r="CV34" t="e">
        <f>Nodes!R218+"'E4!$.:"</f>
        <v>#VALUE!</v>
      </c>
      <c r="CW34" t="e">
        <f>Nodes!S218+"'E4!$.;"</f>
        <v>#VALUE!</v>
      </c>
      <c r="CX34" t="e">
        <f>Nodes!T218+"'E4!$.&lt;"</f>
        <v>#VALUE!</v>
      </c>
      <c r="CY34" s="548" t="e">
        <f>Nodes!U218+"'E4!$.="</f>
        <v>#VALUE!</v>
      </c>
      <c r="CZ34" s="548" t="e">
        <f>Nodes!V218+"'E4!$.&gt;"</f>
        <v>#VALUE!</v>
      </c>
      <c r="DA34" s="548" t="e">
        <f>Nodes!W218+"'E4!$.?"</f>
        <v>#VALUE!</v>
      </c>
      <c r="DB34" s="333" t="e">
        <f>Nodes!X218+"'E4!$.@"</f>
        <v>#VALUE!</v>
      </c>
      <c r="DC34" t="e">
        <f>Nodes!Y218+"'E4!$.A"</f>
        <v>#VALUE!</v>
      </c>
      <c r="DD34" t="e">
        <f>Nodes!Z218+"'E4!$.B"</f>
        <v>#VALUE!</v>
      </c>
      <c r="DE34" t="e">
        <f>Nodes!AA218+"'E4!$.C"</f>
        <v>#VALUE!</v>
      </c>
      <c r="DF34" t="e">
        <f>Nodes!AB218+"'E4!$.D"</f>
        <v>#VALUE!</v>
      </c>
      <c r="DG34" t="e">
        <f>Nodes!AC218+"'E4!$.E"</f>
        <v>#VALUE!</v>
      </c>
      <c r="DH34" t="e">
        <f>Nodes!A219+"'E4!$.F"</f>
        <v>#VALUE!</v>
      </c>
      <c r="DI34" t="e">
        <f>Nodes!B219+"'E4!$.G"</f>
        <v>#VALUE!</v>
      </c>
      <c r="DJ34" t="e">
        <f>Nodes!C219+"'E4!$.H"</f>
        <v>#VALUE!</v>
      </c>
      <c r="DK34" t="e">
        <f>Nodes!D219+"'E4!$.I"</f>
        <v>#VALUE!</v>
      </c>
      <c r="DL34" t="e">
        <f>Nodes!E219+"'E4!$.J"</f>
        <v>#VALUE!</v>
      </c>
      <c r="DM34" t="e">
        <f>Nodes!F219+"'E4!$.K"</f>
        <v>#VALUE!</v>
      </c>
      <c r="DN34" t="e">
        <f>Nodes!G219+"'E4!$.L"</f>
        <v>#VALUE!</v>
      </c>
      <c r="DO34" t="e">
        <f>Nodes!H219+"'E4!$.M"</f>
        <v>#VALUE!</v>
      </c>
      <c r="DP34" t="e">
        <f>Nodes!I219+"'E4!$.N"</f>
        <v>#VALUE!</v>
      </c>
      <c r="DQ34" t="e">
        <f>Nodes!J219+"'E4!$.O"</f>
        <v>#VALUE!</v>
      </c>
      <c r="DR34" t="e">
        <f>Nodes!K219+"'E4!$.P"</f>
        <v>#VALUE!</v>
      </c>
      <c r="DS34" t="e">
        <f>Nodes!L219+"'E4!$.Q"</f>
        <v>#VALUE!</v>
      </c>
      <c r="DT34" t="e">
        <f>Nodes!M219+"'E4!$.R"</f>
        <v>#VALUE!</v>
      </c>
      <c r="DU34" t="e">
        <f>Nodes!N219+"'E4!$.S"</f>
        <v>#VALUE!</v>
      </c>
      <c r="DV34" t="e">
        <f>Nodes!O219+"'E4!$.T"</f>
        <v>#VALUE!</v>
      </c>
      <c r="DW34" t="e">
        <f>Nodes!P219+"'E4!$.U"</f>
        <v>#VALUE!</v>
      </c>
      <c r="DX34" t="e">
        <f>Nodes!Q219+"'E4!$.V"</f>
        <v>#VALUE!</v>
      </c>
      <c r="DY34" t="e">
        <f>Nodes!R219+"'E4!$.W"</f>
        <v>#VALUE!</v>
      </c>
      <c r="DZ34" t="e">
        <f>Nodes!S219+"'E4!$.X"</f>
        <v>#VALUE!</v>
      </c>
      <c r="EA34" t="e">
        <f>Nodes!T219+"'E4!$.Y"</f>
        <v>#VALUE!</v>
      </c>
      <c r="EB34" s="548" t="e">
        <f>Nodes!U219+"'E4!$.Z"</f>
        <v>#VALUE!</v>
      </c>
      <c r="EC34" s="548" t="e">
        <f>Nodes!V219+"'E4!$.["</f>
        <v>#VALUE!</v>
      </c>
      <c r="ED34" s="548" t="e">
        <f>Nodes!W219+"'E4!$.\"</f>
        <v>#VALUE!</v>
      </c>
      <c r="EE34" s="333" t="e">
        <f>Nodes!X219+"'E4!$.]"</f>
        <v>#VALUE!</v>
      </c>
      <c r="EF34" t="e">
        <f>Nodes!Y219+"'E4!$.^"</f>
        <v>#VALUE!</v>
      </c>
      <c r="EG34" t="e">
        <f>Nodes!Z219+"'E4!$._"</f>
        <v>#VALUE!</v>
      </c>
      <c r="EH34" t="e">
        <f>Nodes!AA219+"'E4!$.`"</f>
        <v>#VALUE!</v>
      </c>
      <c r="EI34" t="e">
        <f>Nodes!AB219+"'E4!$.a"</f>
        <v>#VALUE!</v>
      </c>
      <c r="EJ34" t="e">
        <f>Nodes!AC219+"'E4!$.b"</f>
        <v>#VALUE!</v>
      </c>
      <c r="EK34" t="e">
        <f>Nodes!A220+"'E4!$.c"</f>
        <v>#VALUE!</v>
      </c>
      <c r="EL34" t="e">
        <f>Nodes!B220+"'E4!$.d"</f>
        <v>#VALUE!</v>
      </c>
      <c r="EM34" t="e">
        <f>Nodes!C220+"'E4!$.e"</f>
        <v>#VALUE!</v>
      </c>
      <c r="EN34" t="e">
        <f>Nodes!D220+"'E4!$.f"</f>
        <v>#VALUE!</v>
      </c>
      <c r="EO34" t="e">
        <f>Nodes!E220+"'E4!$.g"</f>
        <v>#VALUE!</v>
      </c>
      <c r="EP34" t="e">
        <f>Nodes!F220+"'E4!$.h"</f>
        <v>#VALUE!</v>
      </c>
      <c r="EQ34" t="e">
        <f>Nodes!G220+"'E4!$.i"</f>
        <v>#VALUE!</v>
      </c>
      <c r="ER34" t="e">
        <f>Nodes!H220+"'E4!$.j"</f>
        <v>#VALUE!</v>
      </c>
      <c r="ES34" t="e">
        <f>Nodes!I220+"'E4!$.k"</f>
        <v>#VALUE!</v>
      </c>
      <c r="ET34" t="e">
        <f>Nodes!J220+"'E4!$.l"</f>
        <v>#VALUE!</v>
      </c>
      <c r="EU34" t="e">
        <f>Nodes!K220+"'E4!$.m"</f>
        <v>#VALUE!</v>
      </c>
      <c r="EV34" t="e">
        <f>Nodes!L220+"'E4!$.n"</f>
        <v>#VALUE!</v>
      </c>
      <c r="EW34" t="e">
        <f>Nodes!M220+"'E4!$.o"</f>
        <v>#VALUE!</v>
      </c>
      <c r="EX34" t="e">
        <f>Nodes!N220+"'E4!$.p"</f>
        <v>#VALUE!</v>
      </c>
      <c r="EY34" t="e">
        <f>Nodes!O220+"'E4!$.q"</f>
        <v>#VALUE!</v>
      </c>
      <c r="EZ34" t="e">
        <f>Nodes!P220+"'E4!$.r"</f>
        <v>#VALUE!</v>
      </c>
      <c r="FA34" t="e">
        <f>Nodes!Q220+"'E4!$.s"</f>
        <v>#VALUE!</v>
      </c>
      <c r="FB34" t="e">
        <f>Nodes!R220+"'E4!$.t"</f>
        <v>#VALUE!</v>
      </c>
      <c r="FC34" t="e">
        <f>Nodes!S220+"'E4!$.u"</f>
        <v>#VALUE!</v>
      </c>
      <c r="FD34" t="e">
        <f>Nodes!T220+"'E4!$.v"</f>
        <v>#VALUE!</v>
      </c>
      <c r="FE34" s="548" t="e">
        <f>Nodes!U220+"'E4!$.w"</f>
        <v>#VALUE!</v>
      </c>
      <c r="FF34" s="548" t="e">
        <f>Nodes!V220+"'E4!$.x"</f>
        <v>#VALUE!</v>
      </c>
      <c r="FG34" s="548" t="e">
        <f>Nodes!W220+"'E4!$.y"</f>
        <v>#VALUE!</v>
      </c>
      <c r="FH34" s="333" t="e">
        <f>Nodes!X220+"'E4!$.z"</f>
        <v>#VALUE!</v>
      </c>
      <c r="FI34" t="e">
        <f>Nodes!Y220+"'E4!$.{"</f>
        <v>#VALUE!</v>
      </c>
      <c r="FJ34" t="e">
        <f>Nodes!Z220+"'E4!$.|"</f>
        <v>#VALUE!</v>
      </c>
      <c r="FK34" t="e">
        <f>Nodes!AA220+"'E4!$.}"</f>
        <v>#VALUE!</v>
      </c>
      <c r="FL34" t="e">
        <f>Nodes!AB220+"'E4!$.~"</f>
        <v>#VALUE!</v>
      </c>
      <c r="FM34" t="e">
        <f>Nodes!AC220+"'E4!$/#"</f>
        <v>#VALUE!</v>
      </c>
      <c r="FN34" t="e">
        <f>Nodes!A221+"'E4!$/$"</f>
        <v>#VALUE!</v>
      </c>
      <c r="FO34" t="e">
        <f>Nodes!B221+"'E4!$/%"</f>
        <v>#VALUE!</v>
      </c>
      <c r="FP34" t="e">
        <f>Nodes!C221+"'E4!$/&amp;"</f>
        <v>#VALUE!</v>
      </c>
      <c r="FQ34" t="e">
        <f>Nodes!D221+"'E4!$/'"</f>
        <v>#VALUE!</v>
      </c>
      <c r="FR34" t="e">
        <f>Nodes!E221+"'E4!$/("</f>
        <v>#VALUE!</v>
      </c>
      <c r="FS34" t="e">
        <f>Nodes!F221+"'E4!$/)"</f>
        <v>#VALUE!</v>
      </c>
      <c r="FT34" t="e">
        <f>Nodes!G221+"'E4!$/."</f>
        <v>#VALUE!</v>
      </c>
      <c r="FU34" t="e">
        <f>Nodes!H221+"'E4!$//"</f>
        <v>#VALUE!</v>
      </c>
      <c r="FV34" t="e">
        <f>Nodes!I221+"'E4!$/0"</f>
        <v>#VALUE!</v>
      </c>
      <c r="FW34" t="e">
        <f>Nodes!J221+"'E4!$/1"</f>
        <v>#VALUE!</v>
      </c>
      <c r="FX34" t="e">
        <f>Nodes!K221+"'E4!$/2"</f>
        <v>#VALUE!</v>
      </c>
      <c r="FY34" t="e">
        <f>Nodes!L221+"'E4!$/3"</f>
        <v>#VALUE!</v>
      </c>
      <c r="FZ34" t="e">
        <f>Nodes!M221+"'E4!$/4"</f>
        <v>#VALUE!</v>
      </c>
      <c r="GA34" t="e">
        <f>Nodes!N221+"'E4!$/5"</f>
        <v>#VALUE!</v>
      </c>
      <c r="GB34" t="e">
        <f>Nodes!O221+"'E4!$/6"</f>
        <v>#VALUE!</v>
      </c>
      <c r="GC34" t="e">
        <f>Nodes!P221+"'E4!$/7"</f>
        <v>#VALUE!</v>
      </c>
      <c r="GD34" t="e">
        <f>Nodes!Q221+"'E4!$/8"</f>
        <v>#VALUE!</v>
      </c>
      <c r="GE34" t="e">
        <f>Nodes!R221+"'E4!$/9"</f>
        <v>#VALUE!</v>
      </c>
      <c r="GF34" t="e">
        <f>Nodes!S221+"'E4!$/:"</f>
        <v>#VALUE!</v>
      </c>
      <c r="GG34" t="e">
        <f>Nodes!T221+"'E4!$/;"</f>
        <v>#VALUE!</v>
      </c>
      <c r="GH34" t="e">
        <f>Nodes!U221+"'E4!$/&lt;"</f>
        <v>#VALUE!</v>
      </c>
      <c r="GI34" t="e">
        <f>Nodes!V221+"'E4!$/="</f>
        <v>#VALUE!</v>
      </c>
      <c r="GJ34" t="e">
        <f>Nodes!W221+"'E4!$/&gt;"</f>
        <v>#VALUE!</v>
      </c>
      <c r="GK34" s="333" t="e">
        <f>Nodes!X221+"'E4!$/?"</f>
        <v>#VALUE!</v>
      </c>
      <c r="GL34" t="e">
        <f>Nodes!Y221+"'E4!$/@"</f>
        <v>#VALUE!</v>
      </c>
      <c r="GM34" t="e">
        <f>Nodes!Z221+"'E4!$/A"</f>
        <v>#VALUE!</v>
      </c>
      <c r="GN34" t="e">
        <f>Nodes!AA221+"'E4!$/B"</f>
        <v>#VALUE!</v>
      </c>
      <c r="GO34" t="e">
        <f>Nodes!AB221+"'E4!$/C"</f>
        <v>#VALUE!</v>
      </c>
      <c r="GP34" t="e">
        <f>Nodes!AC221+"'E4!$/D"</f>
        <v>#VALUE!</v>
      </c>
      <c r="GQ34" t="e">
        <f>Nodes!A222+"'E4!$/E"</f>
        <v>#VALUE!</v>
      </c>
      <c r="GR34" t="e">
        <f>Nodes!B222+"'E4!$/F"</f>
        <v>#VALUE!</v>
      </c>
      <c r="GS34" t="e">
        <f>Nodes!C222+"'E4!$/G"</f>
        <v>#VALUE!</v>
      </c>
      <c r="GT34" t="e">
        <f>Nodes!D222+"'E4!$/H"</f>
        <v>#VALUE!</v>
      </c>
      <c r="GU34" t="e">
        <f>Nodes!E222+"'E4!$/I"</f>
        <v>#VALUE!</v>
      </c>
      <c r="GV34" t="e">
        <f>Nodes!F222+"'E4!$/J"</f>
        <v>#VALUE!</v>
      </c>
      <c r="GW34" t="e">
        <f>Nodes!G222+"'E4!$/K"</f>
        <v>#VALUE!</v>
      </c>
      <c r="GX34" t="e">
        <f>Nodes!H222+"'E4!$/L"</f>
        <v>#VALUE!</v>
      </c>
      <c r="GY34" t="e">
        <f>Nodes!I222+"'E4!$/M"</f>
        <v>#VALUE!</v>
      </c>
      <c r="GZ34" t="e">
        <f>Nodes!J222+"'E4!$/N"</f>
        <v>#VALUE!</v>
      </c>
      <c r="HA34" t="e">
        <f>Nodes!K222+"'E4!$/O"</f>
        <v>#VALUE!</v>
      </c>
      <c r="HB34" t="e">
        <f>Nodes!L222+"'E4!$/P"</f>
        <v>#VALUE!</v>
      </c>
      <c r="HC34" t="e">
        <f>Nodes!M222+"'E4!$/Q"</f>
        <v>#VALUE!</v>
      </c>
      <c r="HD34" t="e">
        <f>Nodes!N222+"'E4!$/R"</f>
        <v>#VALUE!</v>
      </c>
      <c r="HE34" t="e">
        <f>Nodes!O222+"'E4!$/S"</f>
        <v>#VALUE!</v>
      </c>
      <c r="HF34" t="e">
        <f>Nodes!P222+"'E4!$/T"</f>
        <v>#VALUE!</v>
      </c>
      <c r="HG34" t="e">
        <f>Nodes!Q222+"'E4!$/U"</f>
        <v>#VALUE!</v>
      </c>
      <c r="HH34" t="e">
        <f>Nodes!R222+"'E4!$/V"</f>
        <v>#VALUE!</v>
      </c>
      <c r="HI34" t="e">
        <f>Nodes!S222+"'E4!$/W"</f>
        <v>#VALUE!</v>
      </c>
      <c r="HJ34" t="e">
        <f>Nodes!T222+"'E4!$/X"</f>
        <v>#VALUE!</v>
      </c>
      <c r="HK34" t="e">
        <f>Nodes!U222+"'E4!$/Y"</f>
        <v>#VALUE!</v>
      </c>
      <c r="HL34" t="e">
        <f>Nodes!V222+"'E4!$/Z"</f>
        <v>#VALUE!</v>
      </c>
      <c r="HM34" t="e">
        <f>Nodes!W222+"'E4!$/["</f>
        <v>#VALUE!</v>
      </c>
      <c r="HN34" s="333" t="e">
        <f>Nodes!X222+"'E4!$/\"</f>
        <v>#VALUE!</v>
      </c>
      <c r="HO34" t="e">
        <f>Nodes!Y222+"'E4!$/]"</f>
        <v>#VALUE!</v>
      </c>
      <c r="HP34" t="e">
        <f>Nodes!Z222+"'E4!$/^"</f>
        <v>#VALUE!</v>
      </c>
      <c r="HQ34" t="e">
        <f>Nodes!AA222+"'E4!$/_"</f>
        <v>#VALUE!</v>
      </c>
      <c r="HR34" t="e">
        <f>Nodes!AB222+"'E4!$/`"</f>
        <v>#VALUE!</v>
      </c>
      <c r="HS34" t="e">
        <f>Nodes!AC222+"'E4!$/a"</f>
        <v>#VALUE!</v>
      </c>
      <c r="HT34" t="e">
        <f>Nodes!A223+"'E4!$/b"</f>
        <v>#VALUE!</v>
      </c>
      <c r="HU34" t="e">
        <f>Nodes!B223+"'E4!$/c"</f>
        <v>#VALUE!</v>
      </c>
      <c r="HV34" t="e">
        <f>Nodes!C223+"'E4!$/d"</f>
        <v>#VALUE!</v>
      </c>
      <c r="HW34" t="e">
        <f>Nodes!D223+"'E4!$/e"</f>
        <v>#VALUE!</v>
      </c>
      <c r="HX34" t="e">
        <f>Nodes!E223+"'E4!$/f"</f>
        <v>#VALUE!</v>
      </c>
      <c r="HY34" t="e">
        <f>Nodes!F223+"'E4!$/g"</f>
        <v>#VALUE!</v>
      </c>
      <c r="HZ34" t="e">
        <f>Nodes!G223+"'E4!$/h"</f>
        <v>#VALUE!</v>
      </c>
      <c r="IA34" t="e">
        <f>Nodes!H223+"'E4!$/i"</f>
        <v>#VALUE!</v>
      </c>
      <c r="IB34" t="e">
        <f>Nodes!I223+"'E4!$/j"</f>
        <v>#VALUE!</v>
      </c>
      <c r="IC34" t="e">
        <f>Nodes!J223+"'E4!$/k"</f>
        <v>#VALUE!</v>
      </c>
      <c r="ID34" t="e">
        <f>Nodes!K223+"'E4!$/l"</f>
        <v>#VALUE!</v>
      </c>
      <c r="IE34" t="e">
        <f>Nodes!L223+"'E4!$/m"</f>
        <v>#VALUE!</v>
      </c>
      <c r="IF34" t="e">
        <f>Nodes!M223+"'E4!$/n"</f>
        <v>#VALUE!</v>
      </c>
      <c r="IG34" t="e">
        <f>Nodes!N223+"'E4!$/o"</f>
        <v>#VALUE!</v>
      </c>
      <c r="IH34" t="e">
        <f>Nodes!O223+"'E4!$/p"</f>
        <v>#VALUE!</v>
      </c>
      <c r="II34" t="e">
        <f>Nodes!P223+"'E4!$/q"</f>
        <v>#VALUE!</v>
      </c>
      <c r="IJ34" t="e">
        <f>Nodes!Q223+"'E4!$/r"</f>
        <v>#VALUE!</v>
      </c>
      <c r="IK34" t="e">
        <f>Nodes!R223+"'E4!$/s"</f>
        <v>#VALUE!</v>
      </c>
      <c r="IL34" t="e">
        <f>Nodes!S223+"'E4!$/t"</f>
        <v>#VALUE!</v>
      </c>
      <c r="IM34" t="e">
        <f>Nodes!T223+"'E4!$/u"</f>
        <v>#VALUE!</v>
      </c>
      <c r="IN34" t="e">
        <f>Nodes!U223+"'E4!$/v"</f>
        <v>#VALUE!</v>
      </c>
      <c r="IO34" t="e">
        <f>Nodes!V223+"'E4!$/w"</f>
        <v>#VALUE!</v>
      </c>
      <c r="IP34" t="e">
        <f>Nodes!W223+"'E4!$/x"</f>
        <v>#VALUE!</v>
      </c>
      <c r="IQ34" s="333" t="e">
        <f>Nodes!X223+"'E4!$/y"</f>
        <v>#VALUE!</v>
      </c>
      <c r="IR34" t="e">
        <f>Nodes!Y223+"'E4!$/z"</f>
        <v>#VALUE!</v>
      </c>
      <c r="IS34" t="e">
        <f>Nodes!Z223+"'E4!$/{"</f>
        <v>#VALUE!</v>
      </c>
      <c r="IT34" t="e">
        <f>Nodes!AA223+"'E4!$/|"</f>
        <v>#VALUE!</v>
      </c>
      <c r="IU34" t="e">
        <f>Nodes!AB223+"'E4!$/}"</f>
        <v>#VALUE!</v>
      </c>
      <c r="IV34" t="e">
        <f>Nodes!AC223+"'E4!$/~"</f>
        <v>#VALUE!</v>
      </c>
    </row>
    <row r="35" spans="6:256">
      <c r="F35" t="e">
        <f>Nodes!A224+"'E4!$0#"</f>
        <v>#VALUE!</v>
      </c>
      <c r="G35" t="e">
        <f>Nodes!B224+"'E4!$0$"</f>
        <v>#VALUE!</v>
      </c>
      <c r="H35" t="e">
        <f>Nodes!C224+"'E4!$0%"</f>
        <v>#VALUE!</v>
      </c>
      <c r="I35" t="e">
        <f>Nodes!D224+"'E4!$0&amp;"</f>
        <v>#VALUE!</v>
      </c>
      <c r="J35" t="e">
        <f>Nodes!E224+"'E4!$0'"</f>
        <v>#VALUE!</v>
      </c>
      <c r="K35" t="e">
        <f>Nodes!F224+"'E4!$0("</f>
        <v>#VALUE!</v>
      </c>
      <c r="L35" t="e">
        <f>Nodes!G224+"'E4!$0)"</f>
        <v>#VALUE!</v>
      </c>
      <c r="M35" t="e">
        <f>Nodes!H224+"'E4!$0."</f>
        <v>#VALUE!</v>
      </c>
      <c r="N35" t="e">
        <f>Nodes!I224+"'E4!$0/"</f>
        <v>#VALUE!</v>
      </c>
      <c r="O35" t="e">
        <f>Nodes!J224+"'E4!$00"</f>
        <v>#VALUE!</v>
      </c>
      <c r="P35" t="e">
        <f>Nodes!K224+"'E4!$01"</f>
        <v>#VALUE!</v>
      </c>
      <c r="Q35" t="e">
        <f>Nodes!L224+"'E4!$02"</f>
        <v>#VALUE!</v>
      </c>
      <c r="R35" t="e">
        <f>Nodes!M224+"'E4!$03"</f>
        <v>#VALUE!</v>
      </c>
      <c r="S35" t="e">
        <f>Nodes!N224+"'E4!$04"</f>
        <v>#VALUE!</v>
      </c>
      <c r="T35" t="e">
        <f>Nodes!O224+"'E4!$05"</f>
        <v>#VALUE!</v>
      </c>
      <c r="U35" t="e">
        <f>Nodes!P224+"'E4!$06"</f>
        <v>#VALUE!</v>
      </c>
      <c r="V35" t="e">
        <f>Nodes!Q224+"'E4!$07"</f>
        <v>#VALUE!</v>
      </c>
      <c r="W35" t="e">
        <f>Nodes!R224+"'E4!$08"</f>
        <v>#VALUE!</v>
      </c>
      <c r="X35" t="e">
        <f>Nodes!S224+"'E4!$09"</f>
        <v>#VALUE!</v>
      </c>
      <c r="Y35" t="e">
        <f>Nodes!T224+"'E4!$0:"</f>
        <v>#VALUE!</v>
      </c>
      <c r="Z35" t="e">
        <f>Nodes!U224+"'E4!$0;"</f>
        <v>#VALUE!</v>
      </c>
      <c r="AA35" t="e">
        <f>Nodes!V224+"'E4!$0&lt;"</f>
        <v>#VALUE!</v>
      </c>
      <c r="AB35" t="e">
        <f>Nodes!W224+"'E4!$0="</f>
        <v>#VALUE!</v>
      </c>
      <c r="AC35" s="333" t="e">
        <f>Nodes!X224+"'E4!$0&gt;"</f>
        <v>#VALUE!</v>
      </c>
      <c r="AD35" t="e">
        <f>Nodes!Y224+"'E4!$0?"</f>
        <v>#VALUE!</v>
      </c>
      <c r="AE35" t="e">
        <f>Nodes!Z224+"'E4!$0@"</f>
        <v>#VALUE!</v>
      </c>
      <c r="AF35" t="e">
        <f>Nodes!AA224+"'E4!$0A"</f>
        <v>#VALUE!</v>
      </c>
      <c r="AG35" t="e">
        <f>Nodes!AB224+"'E4!$0B"</f>
        <v>#VALUE!</v>
      </c>
      <c r="AH35" t="e">
        <f>Nodes!AC224+"'E4!$0C"</f>
        <v>#VALUE!</v>
      </c>
      <c r="AI35" t="e">
        <f>Nodes!A225+"'E4!$0D"</f>
        <v>#VALUE!</v>
      </c>
      <c r="AJ35" t="e">
        <f>Nodes!B225+"'E4!$0E"</f>
        <v>#VALUE!</v>
      </c>
      <c r="AK35" t="e">
        <f>Nodes!C225+"'E4!$0F"</f>
        <v>#VALUE!</v>
      </c>
      <c r="AL35" t="e">
        <f>Nodes!D225+"'E4!$0G"</f>
        <v>#VALUE!</v>
      </c>
      <c r="AM35" t="e">
        <f>Nodes!E225+"'E4!$0H"</f>
        <v>#VALUE!</v>
      </c>
      <c r="AN35" t="e">
        <f>Nodes!F225+"'E4!$0I"</f>
        <v>#VALUE!</v>
      </c>
      <c r="AO35" t="e">
        <f>Nodes!G225+"'E4!$0J"</f>
        <v>#VALUE!</v>
      </c>
      <c r="AP35" t="e">
        <f>Nodes!H225+"'E4!$0K"</f>
        <v>#VALUE!</v>
      </c>
      <c r="AQ35" t="e">
        <f>Nodes!I225+"'E4!$0L"</f>
        <v>#VALUE!</v>
      </c>
      <c r="AR35" t="e">
        <f>Nodes!J225+"'E4!$0M"</f>
        <v>#VALUE!</v>
      </c>
      <c r="AS35" t="e">
        <f>Nodes!K225+"'E4!$0N"</f>
        <v>#VALUE!</v>
      </c>
      <c r="AT35" t="e">
        <f>Nodes!L225+"'E4!$0O"</f>
        <v>#VALUE!</v>
      </c>
      <c r="AU35" t="e">
        <f>Nodes!M225+"'E4!$0P"</f>
        <v>#VALUE!</v>
      </c>
      <c r="AV35" t="e">
        <f>Nodes!N225+"'E4!$0Q"</f>
        <v>#VALUE!</v>
      </c>
      <c r="AW35" t="e">
        <f>Nodes!O225+"'E4!$0R"</f>
        <v>#VALUE!</v>
      </c>
      <c r="AX35" t="e">
        <f>Nodes!P225+"'E4!$0S"</f>
        <v>#VALUE!</v>
      </c>
      <c r="AY35" t="e">
        <f>Nodes!Q225+"'E4!$0T"</f>
        <v>#VALUE!</v>
      </c>
      <c r="AZ35" t="e">
        <f>Nodes!R225+"'E4!$0U"</f>
        <v>#VALUE!</v>
      </c>
      <c r="BA35" t="e">
        <f>Nodes!S225+"'E4!$0V"</f>
        <v>#VALUE!</v>
      </c>
      <c r="BB35" t="e">
        <f>Nodes!T225+"'E4!$0W"</f>
        <v>#VALUE!</v>
      </c>
      <c r="BC35" t="e">
        <f>Nodes!U225+"'E4!$0X"</f>
        <v>#VALUE!</v>
      </c>
      <c r="BD35" t="e">
        <f>Nodes!V225+"'E4!$0Y"</f>
        <v>#VALUE!</v>
      </c>
      <c r="BE35" t="e">
        <f>Nodes!W225+"'E4!$0Z"</f>
        <v>#VALUE!</v>
      </c>
      <c r="BF35" s="333" t="e">
        <f>Nodes!X225+"'E4!$0["</f>
        <v>#VALUE!</v>
      </c>
      <c r="BG35" t="e">
        <f>Nodes!Y225+"'E4!$0\"</f>
        <v>#VALUE!</v>
      </c>
      <c r="BH35" t="e">
        <f>Nodes!Z225+"'E4!$0]"</f>
        <v>#VALUE!</v>
      </c>
      <c r="BI35" t="e">
        <f>Nodes!AA225+"'E4!$0^"</f>
        <v>#VALUE!</v>
      </c>
      <c r="BJ35" t="e">
        <f>Nodes!AB225+"'E4!$0_"</f>
        <v>#VALUE!</v>
      </c>
      <c r="BK35" t="e">
        <f>Nodes!AC225+"'E4!$0`"</f>
        <v>#VALUE!</v>
      </c>
      <c r="BL35" t="e">
        <f>Nodes!A226+"'E4!$0a"</f>
        <v>#VALUE!</v>
      </c>
      <c r="BM35" t="e">
        <f>Nodes!B226+"'E4!$0b"</f>
        <v>#VALUE!</v>
      </c>
      <c r="BN35" t="e">
        <f>Nodes!C226+"'E4!$0c"</f>
        <v>#VALUE!</v>
      </c>
      <c r="BO35" t="e">
        <f>Nodes!D226+"'E4!$0d"</f>
        <v>#VALUE!</v>
      </c>
      <c r="BP35" t="e">
        <f>Nodes!E226+"'E4!$0e"</f>
        <v>#VALUE!</v>
      </c>
      <c r="BQ35" t="e">
        <f>Nodes!F226+"'E4!$0f"</f>
        <v>#VALUE!</v>
      </c>
      <c r="BR35" t="e">
        <f>Nodes!G226+"'E4!$0g"</f>
        <v>#VALUE!</v>
      </c>
      <c r="BS35" t="e">
        <f>Nodes!H226+"'E4!$0h"</f>
        <v>#VALUE!</v>
      </c>
      <c r="BT35" t="e">
        <f>Nodes!I226+"'E4!$0i"</f>
        <v>#VALUE!</v>
      </c>
      <c r="BU35" t="e">
        <f>Nodes!J226+"'E4!$0j"</f>
        <v>#VALUE!</v>
      </c>
      <c r="BV35" t="e">
        <f>Nodes!K226+"'E4!$0k"</f>
        <v>#VALUE!</v>
      </c>
      <c r="BW35" t="e">
        <f>Nodes!L226+"'E4!$0l"</f>
        <v>#VALUE!</v>
      </c>
      <c r="BX35" t="e">
        <f>Nodes!M226+"'E4!$0m"</f>
        <v>#VALUE!</v>
      </c>
      <c r="BY35" t="e">
        <f>Nodes!N226+"'E4!$0n"</f>
        <v>#VALUE!</v>
      </c>
      <c r="BZ35" t="e">
        <f>Nodes!O226+"'E4!$0o"</f>
        <v>#VALUE!</v>
      </c>
      <c r="CA35" t="e">
        <f>Nodes!P226+"'E4!$0p"</f>
        <v>#VALUE!</v>
      </c>
      <c r="CB35" t="e">
        <f>Nodes!Q226+"'E4!$0q"</f>
        <v>#VALUE!</v>
      </c>
      <c r="CC35" t="e">
        <f>Nodes!R226+"'E4!$0r"</f>
        <v>#VALUE!</v>
      </c>
      <c r="CD35" t="e">
        <f>Nodes!S226+"'E4!$0s"</f>
        <v>#VALUE!</v>
      </c>
      <c r="CE35" t="e">
        <f>Nodes!T226+"'E4!$0t"</f>
        <v>#VALUE!</v>
      </c>
      <c r="CF35" t="e">
        <f>Nodes!U226+"'E4!$0u"</f>
        <v>#VALUE!</v>
      </c>
      <c r="CG35" t="e">
        <f>Nodes!V226+"'E4!$0v"</f>
        <v>#VALUE!</v>
      </c>
      <c r="CH35" t="e">
        <f>Nodes!W226+"'E4!$0w"</f>
        <v>#VALUE!</v>
      </c>
      <c r="CI35" s="333" t="e">
        <f>Nodes!X226+"'E4!$0x"</f>
        <v>#VALUE!</v>
      </c>
      <c r="CJ35" t="e">
        <f>Nodes!Y226+"'E4!$0y"</f>
        <v>#VALUE!</v>
      </c>
      <c r="CK35" t="e">
        <f>Nodes!Z226+"'E4!$0z"</f>
        <v>#VALUE!</v>
      </c>
      <c r="CL35" t="e">
        <f>Nodes!AA226+"'E4!$0{"</f>
        <v>#VALUE!</v>
      </c>
      <c r="CM35" t="e">
        <f>Nodes!AB226+"'E4!$0|"</f>
        <v>#VALUE!</v>
      </c>
      <c r="CN35" t="e">
        <f>Nodes!AC226+"'E4!$0}"</f>
        <v>#VALUE!</v>
      </c>
      <c r="CO35" t="e">
        <f>Nodes!A227+"'E4!$0~"</f>
        <v>#VALUE!</v>
      </c>
      <c r="CP35" t="e">
        <f>Nodes!B227+"'E4!$1#"</f>
        <v>#VALUE!</v>
      </c>
      <c r="CQ35" t="e">
        <f>Nodes!C227+"'E4!$1$"</f>
        <v>#VALUE!</v>
      </c>
      <c r="CR35" t="e">
        <f>Nodes!D227+"'E4!$1%"</f>
        <v>#VALUE!</v>
      </c>
      <c r="CS35" t="e">
        <f>Nodes!E227+"'E4!$1&amp;"</f>
        <v>#VALUE!</v>
      </c>
      <c r="CT35" t="e">
        <f>Nodes!F227+"'E4!$1'"</f>
        <v>#VALUE!</v>
      </c>
      <c r="CU35" t="e">
        <f>Nodes!G227+"'E4!$1("</f>
        <v>#VALUE!</v>
      </c>
      <c r="CV35" t="e">
        <f>Nodes!H227+"'E4!$1)"</f>
        <v>#VALUE!</v>
      </c>
      <c r="CW35" t="e">
        <f>Nodes!I227+"'E4!$1."</f>
        <v>#VALUE!</v>
      </c>
      <c r="CX35" t="e">
        <f>Nodes!J227+"'E4!$1/"</f>
        <v>#VALUE!</v>
      </c>
      <c r="CY35" t="e">
        <f>Nodes!K227+"'E4!$10"</f>
        <v>#VALUE!</v>
      </c>
      <c r="CZ35" t="e">
        <f>Nodes!L227+"'E4!$11"</f>
        <v>#VALUE!</v>
      </c>
      <c r="DA35" t="e">
        <f>Nodes!M227+"'E4!$12"</f>
        <v>#VALUE!</v>
      </c>
      <c r="DB35" t="e">
        <f>Nodes!N227+"'E4!$13"</f>
        <v>#VALUE!</v>
      </c>
      <c r="DC35" t="e">
        <f>Nodes!O227+"'E4!$14"</f>
        <v>#VALUE!</v>
      </c>
      <c r="DD35" t="e">
        <f>Nodes!P227+"'E4!$15"</f>
        <v>#VALUE!</v>
      </c>
      <c r="DE35" t="e">
        <f>Nodes!Q227+"'E4!$16"</f>
        <v>#VALUE!</v>
      </c>
      <c r="DF35" t="e">
        <f>Nodes!R227+"'E4!$17"</f>
        <v>#VALUE!</v>
      </c>
      <c r="DG35" t="e">
        <f>Nodes!S227+"'E4!$18"</f>
        <v>#VALUE!</v>
      </c>
      <c r="DH35" t="e">
        <f>Nodes!T227+"'E4!$19"</f>
        <v>#VALUE!</v>
      </c>
      <c r="DI35" t="e">
        <f>Nodes!U227+"'E4!$1:"</f>
        <v>#VALUE!</v>
      </c>
      <c r="DJ35" t="e">
        <f>Nodes!V227+"'E4!$1;"</f>
        <v>#VALUE!</v>
      </c>
      <c r="DK35" t="e">
        <f>Nodes!W227+"'E4!$1&lt;"</f>
        <v>#VALUE!</v>
      </c>
      <c r="DL35" s="333" t="e">
        <f>Nodes!X227+"'E4!$1="</f>
        <v>#VALUE!</v>
      </c>
      <c r="DM35" t="e">
        <f>Nodes!Y227+"'E4!$1&gt;"</f>
        <v>#VALUE!</v>
      </c>
      <c r="DN35" t="e">
        <f>Nodes!Z227+"'E4!$1?"</f>
        <v>#VALUE!</v>
      </c>
      <c r="DO35" t="e">
        <f>Nodes!AA227+"'E4!$1@"</f>
        <v>#VALUE!</v>
      </c>
      <c r="DP35" t="e">
        <f>Nodes!AB227+"'E4!$1A"</f>
        <v>#VALUE!</v>
      </c>
      <c r="DQ35" t="e">
        <f>Nodes!AC227+"'E4!$1B"</f>
        <v>#VALUE!</v>
      </c>
      <c r="DR35" t="e">
        <f>Nodes!A228+"'E4!$1C"</f>
        <v>#VALUE!</v>
      </c>
      <c r="DS35" t="e">
        <f>Nodes!B228+"'E4!$1D"</f>
        <v>#VALUE!</v>
      </c>
      <c r="DT35" t="e">
        <f>Nodes!C228+"'E4!$1E"</f>
        <v>#VALUE!</v>
      </c>
      <c r="DU35" t="e">
        <f>Nodes!D228+"'E4!$1F"</f>
        <v>#VALUE!</v>
      </c>
      <c r="DV35" t="e">
        <f>Nodes!E228+"'E4!$1G"</f>
        <v>#VALUE!</v>
      </c>
      <c r="DW35" t="e">
        <f>Nodes!F228+"'E4!$1H"</f>
        <v>#VALUE!</v>
      </c>
      <c r="DX35" t="e">
        <f>Nodes!G228+"'E4!$1I"</f>
        <v>#VALUE!</v>
      </c>
      <c r="DY35" t="e">
        <f>Nodes!H228+"'E4!$1J"</f>
        <v>#VALUE!</v>
      </c>
      <c r="DZ35" t="e">
        <f>Nodes!I228+"'E4!$1K"</f>
        <v>#VALUE!</v>
      </c>
      <c r="EA35" t="e">
        <f>Nodes!J228+"'E4!$1L"</f>
        <v>#VALUE!</v>
      </c>
      <c r="EB35" t="e">
        <f>Nodes!K228+"'E4!$1M"</f>
        <v>#VALUE!</v>
      </c>
      <c r="EC35" t="e">
        <f>Nodes!L228+"'E4!$1N"</f>
        <v>#VALUE!</v>
      </c>
      <c r="ED35" t="e">
        <f>Nodes!M228+"'E4!$1O"</f>
        <v>#VALUE!</v>
      </c>
      <c r="EE35" t="e">
        <f>Nodes!N228+"'E4!$1P"</f>
        <v>#VALUE!</v>
      </c>
      <c r="EF35" t="e">
        <f>Nodes!O228+"'E4!$1Q"</f>
        <v>#VALUE!</v>
      </c>
      <c r="EG35" t="e">
        <f>Nodes!P228+"'E4!$1R"</f>
        <v>#VALUE!</v>
      </c>
      <c r="EH35" t="e">
        <f>Nodes!Q228+"'E4!$1S"</f>
        <v>#VALUE!</v>
      </c>
      <c r="EI35" t="e">
        <f>Nodes!R228+"'E4!$1T"</f>
        <v>#VALUE!</v>
      </c>
      <c r="EJ35" t="e">
        <f>Nodes!S228+"'E4!$1U"</f>
        <v>#VALUE!</v>
      </c>
      <c r="EK35" t="e">
        <f>Nodes!T228+"'E4!$1V"</f>
        <v>#VALUE!</v>
      </c>
      <c r="EL35" t="e">
        <f>Nodes!U228+"'E4!$1W"</f>
        <v>#VALUE!</v>
      </c>
      <c r="EM35" t="e">
        <f>Nodes!V228+"'E4!$1X"</f>
        <v>#VALUE!</v>
      </c>
      <c r="EN35" t="e">
        <f>Nodes!W228+"'E4!$1Y"</f>
        <v>#VALUE!</v>
      </c>
      <c r="EO35" s="333" t="e">
        <f>Nodes!X228+"'E4!$1Z"</f>
        <v>#VALUE!</v>
      </c>
      <c r="EP35" t="e">
        <f>Nodes!Y228+"'E4!$1["</f>
        <v>#VALUE!</v>
      </c>
      <c r="EQ35" t="e">
        <f>Nodes!Z228+"'E4!$1\"</f>
        <v>#VALUE!</v>
      </c>
      <c r="ER35" t="e">
        <f>Nodes!AA228+"'E4!$1]"</f>
        <v>#VALUE!</v>
      </c>
      <c r="ES35" t="e">
        <f>Nodes!AB228+"'E4!$1^"</f>
        <v>#VALUE!</v>
      </c>
      <c r="ET35" t="e">
        <f>Nodes!AC228+"'E4!$1_"</f>
        <v>#VALUE!</v>
      </c>
      <c r="EU35" t="e">
        <f>Nodes!A229+"'E4!$1`"</f>
        <v>#VALUE!</v>
      </c>
      <c r="EV35" t="e">
        <f>Nodes!B229+"'E4!$1a"</f>
        <v>#VALUE!</v>
      </c>
      <c r="EW35" t="e">
        <f>Nodes!C229+"'E4!$1b"</f>
        <v>#VALUE!</v>
      </c>
      <c r="EX35" t="e">
        <f>Nodes!D229+"'E4!$1c"</f>
        <v>#VALUE!</v>
      </c>
      <c r="EY35" t="e">
        <f>Nodes!E229+"'E4!$1d"</f>
        <v>#VALUE!</v>
      </c>
      <c r="EZ35" t="e">
        <f>Nodes!F229+"'E4!$1e"</f>
        <v>#VALUE!</v>
      </c>
      <c r="FA35" t="e">
        <f>Nodes!G229+"'E4!$1f"</f>
        <v>#VALUE!</v>
      </c>
      <c r="FB35" t="e">
        <f>Nodes!H229+"'E4!$1g"</f>
        <v>#VALUE!</v>
      </c>
      <c r="FC35" t="e">
        <f>Nodes!I229+"'E4!$1h"</f>
        <v>#VALUE!</v>
      </c>
      <c r="FD35" t="e">
        <f>Nodes!J229+"'E4!$1i"</f>
        <v>#VALUE!</v>
      </c>
      <c r="FE35" t="e">
        <f>Nodes!K229+"'E4!$1j"</f>
        <v>#VALUE!</v>
      </c>
      <c r="FF35" t="e">
        <f>Nodes!L229+"'E4!$1k"</f>
        <v>#VALUE!</v>
      </c>
      <c r="FG35" t="e">
        <f>Nodes!M229+"'E4!$1l"</f>
        <v>#VALUE!</v>
      </c>
      <c r="FH35" t="e">
        <f>Nodes!N229+"'E4!$1m"</f>
        <v>#VALUE!</v>
      </c>
      <c r="FI35" t="e">
        <f>Nodes!O229+"'E4!$1n"</f>
        <v>#VALUE!</v>
      </c>
      <c r="FJ35" t="e">
        <f>Nodes!P229+"'E4!$1o"</f>
        <v>#VALUE!</v>
      </c>
      <c r="FK35" t="e">
        <f>Nodes!Q229+"'E4!$1p"</f>
        <v>#VALUE!</v>
      </c>
      <c r="FL35" t="e">
        <f>Nodes!R229+"'E4!$1q"</f>
        <v>#VALUE!</v>
      </c>
      <c r="FM35" t="e">
        <f>Nodes!S229+"'E4!$1r"</f>
        <v>#VALUE!</v>
      </c>
      <c r="FN35" t="e">
        <f>Nodes!T229+"'E4!$1s"</f>
        <v>#VALUE!</v>
      </c>
      <c r="FO35" s="548" t="e">
        <f>Nodes!U229+"'E4!$1t"</f>
        <v>#VALUE!</v>
      </c>
      <c r="FP35" s="548" t="e">
        <f>Nodes!V229+"'E4!$1u"</f>
        <v>#VALUE!</v>
      </c>
      <c r="FQ35" t="e">
        <f>Nodes!W229+"'E4!$1v"</f>
        <v>#VALUE!</v>
      </c>
      <c r="FR35" s="333" t="e">
        <f>Nodes!X229+"'E4!$1w"</f>
        <v>#VALUE!</v>
      </c>
      <c r="FS35" t="e">
        <f>Nodes!Y229+"'E4!$1x"</f>
        <v>#VALUE!</v>
      </c>
      <c r="FT35" t="e">
        <f>Nodes!Z229+"'E4!$1y"</f>
        <v>#VALUE!</v>
      </c>
      <c r="FU35" t="e">
        <f>Nodes!AA229+"'E4!$1z"</f>
        <v>#VALUE!</v>
      </c>
      <c r="FV35" t="e">
        <f>Nodes!AB229+"'E4!$1{"</f>
        <v>#VALUE!</v>
      </c>
      <c r="FW35" t="e">
        <f>Nodes!AC229+"'E4!$1|"</f>
        <v>#VALUE!</v>
      </c>
      <c r="FX35" t="e">
        <f>Nodes!A230+"'E4!$1}"</f>
        <v>#VALUE!</v>
      </c>
      <c r="FY35" t="e">
        <f>Nodes!B230+"'E4!$1~"</f>
        <v>#VALUE!</v>
      </c>
      <c r="FZ35" t="e">
        <f>Nodes!C230+"'E4!$2#"</f>
        <v>#VALUE!</v>
      </c>
      <c r="GA35" t="e">
        <f>Nodes!D230+"'E4!$2$"</f>
        <v>#VALUE!</v>
      </c>
      <c r="GB35" t="e">
        <f>Nodes!E230+"'E4!$2%"</f>
        <v>#VALUE!</v>
      </c>
      <c r="GC35" t="e">
        <f>Nodes!F230+"'E4!$2&amp;"</f>
        <v>#VALUE!</v>
      </c>
      <c r="GD35" t="e">
        <f>Nodes!G230+"'E4!$2'"</f>
        <v>#VALUE!</v>
      </c>
      <c r="GE35" t="e">
        <f>Nodes!H230+"'E4!$2("</f>
        <v>#VALUE!</v>
      </c>
      <c r="GF35" t="e">
        <f>Nodes!I230+"'E4!$2)"</f>
        <v>#VALUE!</v>
      </c>
      <c r="GG35" t="e">
        <f>Nodes!J230+"'E4!$2."</f>
        <v>#VALUE!</v>
      </c>
      <c r="GH35" t="e">
        <f>Nodes!K230+"'E4!$2/"</f>
        <v>#VALUE!</v>
      </c>
      <c r="GI35" t="e">
        <f>Nodes!L230+"'E4!$20"</f>
        <v>#VALUE!</v>
      </c>
      <c r="GJ35" t="e">
        <f>Nodes!M230+"'E4!$21"</f>
        <v>#VALUE!</v>
      </c>
      <c r="GK35" t="e">
        <f>Nodes!N230+"'E4!$22"</f>
        <v>#VALUE!</v>
      </c>
      <c r="GL35" t="e">
        <f>Nodes!O230+"'E4!$23"</f>
        <v>#VALUE!</v>
      </c>
      <c r="GM35" t="e">
        <f>Nodes!P230+"'E4!$24"</f>
        <v>#VALUE!</v>
      </c>
      <c r="GN35" t="e">
        <f>Nodes!Q230+"'E4!$25"</f>
        <v>#VALUE!</v>
      </c>
      <c r="GO35" t="e">
        <f>Nodes!R230+"'E4!$26"</f>
        <v>#VALUE!</v>
      </c>
      <c r="GP35" t="e">
        <f>Nodes!S230+"'E4!$27"</f>
        <v>#VALUE!</v>
      </c>
      <c r="GQ35" t="e">
        <f>Nodes!T230+"'E4!$28"</f>
        <v>#VALUE!</v>
      </c>
      <c r="GR35" s="548" t="e">
        <f>Nodes!U230+"'E4!$29"</f>
        <v>#VALUE!</v>
      </c>
      <c r="GS35" s="548" t="e">
        <f>Nodes!V230+"'E4!$2:"</f>
        <v>#VALUE!</v>
      </c>
      <c r="GT35" t="e">
        <f>Nodes!W230+"'E4!$2;"</f>
        <v>#VALUE!</v>
      </c>
      <c r="GU35" s="333" t="e">
        <f>Nodes!X230+"'E4!$2&lt;"</f>
        <v>#VALUE!</v>
      </c>
      <c r="GV35" t="e">
        <f>Nodes!Y230+"'E4!$2="</f>
        <v>#VALUE!</v>
      </c>
      <c r="GW35" t="e">
        <f>Nodes!Z230+"'E4!$2&gt;"</f>
        <v>#VALUE!</v>
      </c>
      <c r="GX35" t="e">
        <f>Nodes!AA230+"'E4!$2?"</f>
        <v>#VALUE!</v>
      </c>
      <c r="GY35" t="e">
        <f>Nodes!AB230+"'E4!$2@"</f>
        <v>#VALUE!</v>
      </c>
      <c r="GZ35" t="e">
        <f>Nodes!AC230+"'E4!$2A"</f>
        <v>#VALUE!</v>
      </c>
      <c r="HA35" t="e">
        <f>Nodes!A231+"'E4!$2B"</f>
        <v>#VALUE!</v>
      </c>
      <c r="HB35" t="e">
        <f>Nodes!B231+"'E4!$2C"</f>
        <v>#VALUE!</v>
      </c>
      <c r="HC35" t="e">
        <f>Nodes!C231+"'E4!$2D"</f>
        <v>#VALUE!</v>
      </c>
      <c r="HD35" t="e">
        <f>Nodes!D231+"'E4!$2E"</f>
        <v>#VALUE!</v>
      </c>
      <c r="HE35" t="e">
        <f>Nodes!E231+"'E4!$2F"</f>
        <v>#VALUE!</v>
      </c>
      <c r="HF35" t="e">
        <f>Nodes!F231+"'E4!$2G"</f>
        <v>#VALUE!</v>
      </c>
      <c r="HG35" t="e">
        <f>Nodes!G231+"'E4!$2H"</f>
        <v>#VALUE!</v>
      </c>
      <c r="HH35" t="e">
        <f>Nodes!H231+"'E4!$2I"</f>
        <v>#VALUE!</v>
      </c>
      <c r="HI35" t="e">
        <f>Nodes!I231+"'E4!$2J"</f>
        <v>#VALUE!</v>
      </c>
      <c r="HJ35" t="e">
        <f>Nodes!J231+"'E4!$2K"</f>
        <v>#VALUE!</v>
      </c>
      <c r="HK35" t="e">
        <f>Nodes!K231+"'E4!$2L"</f>
        <v>#VALUE!</v>
      </c>
      <c r="HL35" t="e">
        <f>Nodes!L231+"'E4!$2M"</f>
        <v>#VALUE!</v>
      </c>
      <c r="HM35" t="e">
        <f>Nodes!M231+"'E4!$2N"</f>
        <v>#VALUE!</v>
      </c>
      <c r="HN35" t="e">
        <f>Nodes!N231+"'E4!$2O"</f>
        <v>#VALUE!</v>
      </c>
      <c r="HO35" t="e">
        <f>Nodes!O231+"'E4!$2P"</f>
        <v>#VALUE!</v>
      </c>
      <c r="HP35" t="e">
        <f>Nodes!P231+"'E4!$2Q"</f>
        <v>#VALUE!</v>
      </c>
      <c r="HQ35" t="e">
        <f>Nodes!Q231+"'E4!$2R"</f>
        <v>#VALUE!</v>
      </c>
      <c r="HR35" t="e">
        <f>Nodes!R231+"'E4!$2S"</f>
        <v>#VALUE!</v>
      </c>
      <c r="HS35" t="e">
        <f>Nodes!S231+"'E4!$2T"</f>
        <v>#VALUE!</v>
      </c>
      <c r="HT35" t="e">
        <f>Nodes!T231+"'E4!$2U"</f>
        <v>#VALUE!</v>
      </c>
      <c r="HU35" s="548" t="e">
        <f>Nodes!U231+"'E4!$2V"</f>
        <v>#VALUE!</v>
      </c>
      <c r="HV35" s="548" t="e">
        <f>Nodes!V231+"'E4!$2W"</f>
        <v>#VALUE!</v>
      </c>
      <c r="HW35" t="e">
        <f>Nodes!W231+"'E4!$2X"</f>
        <v>#VALUE!</v>
      </c>
      <c r="HX35" s="333" t="e">
        <f>Nodes!X231+"'E4!$2Y"</f>
        <v>#VALUE!</v>
      </c>
      <c r="HY35" t="e">
        <f>Nodes!Y231+"'E4!$2Z"</f>
        <v>#VALUE!</v>
      </c>
      <c r="HZ35" t="e">
        <f>Nodes!Z231+"'E4!$2["</f>
        <v>#VALUE!</v>
      </c>
      <c r="IA35" t="e">
        <f>Nodes!AA231+"'E4!$2\"</f>
        <v>#VALUE!</v>
      </c>
      <c r="IB35" t="e">
        <f>Nodes!AB231+"'E4!$2]"</f>
        <v>#VALUE!</v>
      </c>
      <c r="IC35" t="e">
        <f>Nodes!AC231+"'E4!$2^"</f>
        <v>#VALUE!</v>
      </c>
      <c r="ID35" t="e">
        <f>Nodes!A232+"'E4!$2_"</f>
        <v>#VALUE!</v>
      </c>
      <c r="IE35" t="e">
        <f>Nodes!B232+"'E4!$2`"</f>
        <v>#VALUE!</v>
      </c>
      <c r="IF35" t="e">
        <f>Nodes!C232+"'E4!$2a"</f>
        <v>#VALUE!</v>
      </c>
      <c r="IG35" t="e">
        <f>Nodes!D232+"'E4!$2b"</f>
        <v>#VALUE!</v>
      </c>
      <c r="IH35" t="e">
        <f>Nodes!E232+"'E4!$2c"</f>
        <v>#VALUE!</v>
      </c>
      <c r="II35" t="e">
        <f>Nodes!F232+"'E4!$2d"</f>
        <v>#VALUE!</v>
      </c>
      <c r="IJ35" t="e">
        <f>Nodes!G232+"'E4!$2e"</f>
        <v>#VALUE!</v>
      </c>
      <c r="IK35" t="e">
        <f>Nodes!H232+"'E4!$2f"</f>
        <v>#VALUE!</v>
      </c>
      <c r="IL35" t="e">
        <f>Nodes!I232+"'E4!$2g"</f>
        <v>#VALUE!</v>
      </c>
      <c r="IM35" t="e">
        <f>Nodes!J232+"'E4!$2h"</f>
        <v>#VALUE!</v>
      </c>
      <c r="IN35" t="e">
        <f>Nodes!K232+"'E4!$2i"</f>
        <v>#VALUE!</v>
      </c>
      <c r="IO35" t="e">
        <f>Nodes!L232+"'E4!$2j"</f>
        <v>#VALUE!</v>
      </c>
      <c r="IP35" t="e">
        <f>Nodes!M232+"'E4!$2k"</f>
        <v>#VALUE!</v>
      </c>
      <c r="IQ35" t="e">
        <f>Nodes!N232+"'E4!$2l"</f>
        <v>#VALUE!</v>
      </c>
      <c r="IR35" t="e">
        <f>Nodes!O232+"'E4!$2m"</f>
        <v>#VALUE!</v>
      </c>
      <c r="IS35" t="e">
        <f>Nodes!P232+"'E4!$2n"</f>
        <v>#VALUE!</v>
      </c>
      <c r="IT35" t="e">
        <f>Nodes!Q232+"'E4!$2o"</f>
        <v>#VALUE!</v>
      </c>
      <c r="IU35" t="e">
        <f>Nodes!R232+"'E4!$2p"</f>
        <v>#VALUE!</v>
      </c>
      <c r="IV35" t="e">
        <f>Nodes!S232+"'E4!$2q"</f>
        <v>#VALUE!</v>
      </c>
    </row>
    <row r="36" spans="6:256">
      <c r="F36" t="e">
        <f>Nodes!T232+"'E4!$2r"</f>
        <v>#VALUE!</v>
      </c>
      <c r="G36" s="548" t="e">
        <f>Nodes!U232+"'E4!$2s"</f>
        <v>#VALUE!</v>
      </c>
      <c r="H36" s="548" t="e">
        <f>Nodes!V232+"'E4!$2t"</f>
        <v>#VALUE!</v>
      </c>
      <c r="I36" t="e">
        <f>Nodes!W232+"'E4!$2u"</f>
        <v>#VALUE!</v>
      </c>
      <c r="J36" s="333" t="e">
        <f>Nodes!X232+"'E4!$2v"</f>
        <v>#VALUE!</v>
      </c>
      <c r="K36" t="e">
        <f>Nodes!Y232+"'E4!$2w"</f>
        <v>#VALUE!</v>
      </c>
      <c r="L36" t="e">
        <f>Nodes!Z232+"'E4!$2x"</f>
        <v>#VALUE!</v>
      </c>
      <c r="M36" t="e">
        <f>Nodes!AA232+"'E4!$2y"</f>
        <v>#VALUE!</v>
      </c>
      <c r="N36" t="e">
        <f>Nodes!AB232+"'E4!$2z"</f>
        <v>#VALUE!</v>
      </c>
      <c r="O36" t="e">
        <f>Nodes!AC232+"'E4!$2{"</f>
        <v>#VALUE!</v>
      </c>
      <c r="P36" t="e">
        <f>Nodes!A233+"'E4!$2|"</f>
        <v>#VALUE!</v>
      </c>
      <c r="Q36" t="e">
        <f>Nodes!B233+"'E4!$2}"</f>
        <v>#VALUE!</v>
      </c>
      <c r="R36" t="e">
        <f>Nodes!C233+"'E4!$2~"</f>
        <v>#VALUE!</v>
      </c>
      <c r="S36" t="e">
        <f>Nodes!D233+"'E4!$3#"</f>
        <v>#VALUE!</v>
      </c>
      <c r="T36" t="e">
        <f>Nodes!E233+"'E4!$3$"</f>
        <v>#VALUE!</v>
      </c>
      <c r="U36" t="e">
        <f>Nodes!F233+"'E4!$3%"</f>
        <v>#VALUE!</v>
      </c>
      <c r="V36" t="e">
        <f>Nodes!G233+"'E4!$3&amp;"</f>
        <v>#VALUE!</v>
      </c>
      <c r="W36" t="e">
        <f>Nodes!H233+"'E4!$3'"</f>
        <v>#VALUE!</v>
      </c>
      <c r="X36" t="e">
        <f>Nodes!I233+"'E4!$3("</f>
        <v>#VALUE!</v>
      </c>
      <c r="Y36" t="e">
        <f>Nodes!J233+"'E4!$3)"</f>
        <v>#VALUE!</v>
      </c>
      <c r="Z36" t="e">
        <f>Nodes!K233+"'E4!$3."</f>
        <v>#VALUE!</v>
      </c>
      <c r="AA36" t="e">
        <f>Nodes!L233+"'E4!$3/"</f>
        <v>#VALUE!</v>
      </c>
      <c r="AB36" t="e">
        <f>Nodes!M233+"'E4!$30"</f>
        <v>#VALUE!</v>
      </c>
      <c r="AC36" t="e">
        <f>Nodes!N233+"'E4!$31"</f>
        <v>#VALUE!</v>
      </c>
      <c r="AD36" t="e">
        <f>Nodes!O233+"'E4!$32"</f>
        <v>#VALUE!</v>
      </c>
      <c r="AE36" t="e">
        <f>Nodes!P233+"'E4!$33"</f>
        <v>#VALUE!</v>
      </c>
      <c r="AF36" t="e">
        <f>Nodes!Q233+"'E4!$34"</f>
        <v>#VALUE!</v>
      </c>
      <c r="AG36" t="e">
        <f>Nodes!R233+"'E4!$35"</f>
        <v>#VALUE!</v>
      </c>
      <c r="AH36" t="e">
        <f>Nodes!S233+"'E4!$36"</f>
        <v>#VALUE!</v>
      </c>
      <c r="AI36" t="e">
        <f>Nodes!T233+"'E4!$37"</f>
        <v>#VALUE!</v>
      </c>
      <c r="AJ36" s="548" t="e">
        <f>Nodes!U233+"'E4!$38"</f>
        <v>#VALUE!</v>
      </c>
      <c r="AK36" s="548" t="e">
        <f>Nodes!V233+"'E4!$39"</f>
        <v>#VALUE!</v>
      </c>
      <c r="AL36" t="e">
        <f>Nodes!W233+"'E4!$3:"</f>
        <v>#VALUE!</v>
      </c>
      <c r="AM36" s="333" t="e">
        <f>Nodes!X233+"'E4!$3;"</f>
        <v>#VALUE!</v>
      </c>
      <c r="AN36" t="e">
        <f>Nodes!Y233+"'E4!$3&lt;"</f>
        <v>#VALUE!</v>
      </c>
      <c r="AO36" t="e">
        <f>Nodes!Z233+"'E4!$3="</f>
        <v>#VALUE!</v>
      </c>
      <c r="AP36" t="e">
        <f>Nodes!AA233+"'E4!$3&gt;"</f>
        <v>#VALUE!</v>
      </c>
      <c r="AQ36" t="e">
        <f>Nodes!AB233+"'E4!$3?"</f>
        <v>#VALUE!</v>
      </c>
      <c r="AR36" t="e">
        <f>Nodes!AC233+"'E4!$3@"</f>
        <v>#VALUE!</v>
      </c>
      <c r="AS36" t="e">
        <f>Nodes!A234+"'E4!$3A"</f>
        <v>#VALUE!</v>
      </c>
      <c r="AT36" t="e">
        <f>Nodes!B234+"'E4!$3B"</f>
        <v>#VALUE!</v>
      </c>
      <c r="AU36" t="e">
        <f>Nodes!C234+"'E4!$3C"</f>
        <v>#VALUE!</v>
      </c>
      <c r="AV36" t="e">
        <f>Nodes!D234+"'E4!$3D"</f>
        <v>#VALUE!</v>
      </c>
      <c r="AW36" t="e">
        <f>Nodes!E234+"'E4!$3E"</f>
        <v>#VALUE!</v>
      </c>
      <c r="AX36" t="e">
        <f>Nodes!F234+"'E4!$3F"</f>
        <v>#VALUE!</v>
      </c>
      <c r="AY36" t="e">
        <f>Nodes!G234+"'E4!$3G"</f>
        <v>#VALUE!</v>
      </c>
      <c r="AZ36" t="e">
        <f>Nodes!H234+"'E4!$3H"</f>
        <v>#VALUE!</v>
      </c>
      <c r="BA36" t="e">
        <f>Nodes!I234+"'E4!$3I"</f>
        <v>#VALUE!</v>
      </c>
      <c r="BB36" t="e">
        <f>Nodes!J234+"'E4!$3J"</f>
        <v>#VALUE!</v>
      </c>
      <c r="BC36" t="e">
        <f>Nodes!K234+"'E4!$3K"</f>
        <v>#VALUE!</v>
      </c>
      <c r="BD36" t="e">
        <f>Nodes!L234+"'E4!$3L"</f>
        <v>#VALUE!</v>
      </c>
      <c r="BE36" t="e">
        <f>Nodes!M234+"'E4!$3M"</f>
        <v>#VALUE!</v>
      </c>
      <c r="BF36" t="e">
        <f>Nodes!N234+"'E4!$3N"</f>
        <v>#VALUE!</v>
      </c>
      <c r="BG36" t="e">
        <f>Nodes!O234+"'E4!$3O"</f>
        <v>#VALUE!</v>
      </c>
      <c r="BH36" t="e">
        <f>Nodes!P234+"'E4!$3P"</f>
        <v>#VALUE!</v>
      </c>
      <c r="BI36" t="e">
        <f>Nodes!Q234+"'E4!$3Q"</f>
        <v>#VALUE!</v>
      </c>
      <c r="BJ36" t="e">
        <f>Nodes!R234+"'E4!$3R"</f>
        <v>#VALUE!</v>
      </c>
      <c r="BK36" t="e">
        <f>Nodes!S234+"'E4!$3S"</f>
        <v>#VALUE!</v>
      </c>
      <c r="BL36" t="e">
        <f>Nodes!T234+"'E4!$3T"</f>
        <v>#VALUE!</v>
      </c>
      <c r="BM36" s="548" t="e">
        <f>Nodes!U234+"'E4!$3U"</f>
        <v>#VALUE!</v>
      </c>
      <c r="BN36" s="548" t="e">
        <f>Nodes!V234+"'E4!$3V"</f>
        <v>#VALUE!</v>
      </c>
      <c r="BO36" t="e">
        <f>Nodes!W234+"'E4!$3W"</f>
        <v>#VALUE!</v>
      </c>
      <c r="BP36" s="333" t="e">
        <f>Nodes!X234+"'E4!$3X"</f>
        <v>#VALUE!</v>
      </c>
      <c r="BQ36" t="e">
        <f>Nodes!Y234+"'E4!$3Y"</f>
        <v>#VALUE!</v>
      </c>
      <c r="BR36" t="e">
        <f>Nodes!Z234+"'E4!$3Z"</f>
        <v>#VALUE!</v>
      </c>
      <c r="BS36" t="e">
        <f>Nodes!AA234+"'E4!$3["</f>
        <v>#VALUE!</v>
      </c>
      <c r="BT36" t="e">
        <f>Nodes!AB234+"'E4!$3\"</f>
        <v>#VALUE!</v>
      </c>
      <c r="BU36" t="e">
        <f>Nodes!AC234+"'E4!$3]"</f>
        <v>#VALUE!</v>
      </c>
      <c r="BV36" t="e">
        <f>Nodes!A235+"'E4!$3^"</f>
        <v>#VALUE!</v>
      </c>
      <c r="BW36" t="e">
        <f>Nodes!B235+"'E4!$3_"</f>
        <v>#VALUE!</v>
      </c>
      <c r="BX36" t="e">
        <f>Nodes!C235+"'E4!$3`"</f>
        <v>#VALUE!</v>
      </c>
      <c r="BY36" t="e">
        <f>Nodes!D235+"'E4!$3a"</f>
        <v>#VALUE!</v>
      </c>
      <c r="BZ36" t="e">
        <f>Nodes!E235+"'E4!$3b"</f>
        <v>#VALUE!</v>
      </c>
      <c r="CA36" t="e">
        <f>Nodes!F235+"'E4!$3c"</f>
        <v>#VALUE!</v>
      </c>
      <c r="CB36" t="e">
        <f>Nodes!G235+"'E4!$3d"</f>
        <v>#VALUE!</v>
      </c>
      <c r="CC36" t="e">
        <f>Nodes!H235+"'E4!$3e"</f>
        <v>#VALUE!</v>
      </c>
      <c r="CD36" t="e">
        <f>Nodes!I235+"'E4!$3f"</f>
        <v>#VALUE!</v>
      </c>
      <c r="CE36" t="e">
        <f>Nodes!J235+"'E4!$3g"</f>
        <v>#VALUE!</v>
      </c>
      <c r="CF36" t="e">
        <f>Nodes!K235+"'E4!$3h"</f>
        <v>#VALUE!</v>
      </c>
      <c r="CG36" t="e">
        <f>Nodes!L235+"'E4!$3i"</f>
        <v>#VALUE!</v>
      </c>
      <c r="CH36" t="e">
        <f>Nodes!M235+"'E4!$3j"</f>
        <v>#VALUE!</v>
      </c>
      <c r="CI36" t="e">
        <f>Nodes!N235+"'E4!$3k"</f>
        <v>#VALUE!</v>
      </c>
      <c r="CJ36" t="e">
        <f>Nodes!O235+"'E4!$3l"</f>
        <v>#VALUE!</v>
      </c>
      <c r="CK36" t="e">
        <f>Nodes!P235+"'E4!$3m"</f>
        <v>#VALUE!</v>
      </c>
      <c r="CL36" t="e">
        <f>Nodes!Q235+"'E4!$3n"</f>
        <v>#VALUE!</v>
      </c>
      <c r="CM36" t="e">
        <f>Nodes!R235+"'E4!$3o"</f>
        <v>#VALUE!</v>
      </c>
      <c r="CN36" t="e">
        <f>Nodes!S235+"'E4!$3p"</f>
        <v>#VALUE!</v>
      </c>
      <c r="CO36" t="e">
        <f>Nodes!T235+"'E4!$3q"</f>
        <v>#VALUE!</v>
      </c>
      <c r="CP36" s="548" t="e">
        <f>Nodes!U235+"'E4!$3r"</f>
        <v>#VALUE!</v>
      </c>
      <c r="CQ36" s="548" t="e">
        <f>Nodes!V235+"'E4!$3s"</f>
        <v>#VALUE!</v>
      </c>
      <c r="CR36" t="e">
        <f>Nodes!W235+"'E4!$3t"</f>
        <v>#VALUE!</v>
      </c>
      <c r="CS36" s="333" t="e">
        <f>Nodes!X235+"'E4!$3u"</f>
        <v>#VALUE!</v>
      </c>
      <c r="CT36" t="e">
        <f>Nodes!Y235+"'E4!$3v"</f>
        <v>#VALUE!</v>
      </c>
      <c r="CU36" t="e">
        <f>Nodes!Z235+"'E4!$3w"</f>
        <v>#VALUE!</v>
      </c>
      <c r="CV36" t="e">
        <f>Nodes!AA235+"'E4!$3x"</f>
        <v>#VALUE!</v>
      </c>
      <c r="CW36" t="e">
        <f>Nodes!AB235+"'E4!$3y"</f>
        <v>#VALUE!</v>
      </c>
      <c r="CX36" t="e">
        <f>Nodes!AC235+"'E4!$3z"</f>
        <v>#VALUE!</v>
      </c>
      <c r="CY36" t="e">
        <f>Nodes!A236+"'E4!$3{"</f>
        <v>#VALUE!</v>
      </c>
      <c r="CZ36" t="e">
        <f>Nodes!B236+"'E4!$3|"</f>
        <v>#VALUE!</v>
      </c>
      <c r="DA36" t="e">
        <f>Nodes!C236+"'E4!$3}"</f>
        <v>#VALUE!</v>
      </c>
      <c r="DB36" t="e">
        <f>Nodes!D236+"'E4!$3~"</f>
        <v>#VALUE!</v>
      </c>
      <c r="DC36" t="e">
        <f>Nodes!E236+"'E4!$4#"</f>
        <v>#VALUE!</v>
      </c>
      <c r="DD36" t="e">
        <f>Nodes!F236+"'E4!$4$"</f>
        <v>#VALUE!</v>
      </c>
      <c r="DE36" t="e">
        <f>Nodes!G236+"'E4!$4%"</f>
        <v>#VALUE!</v>
      </c>
      <c r="DF36" t="e">
        <f>Nodes!H236+"'E4!$4&amp;"</f>
        <v>#VALUE!</v>
      </c>
      <c r="DG36" t="e">
        <f>Nodes!I236+"'E4!$4'"</f>
        <v>#VALUE!</v>
      </c>
      <c r="DH36" t="e">
        <f>Nodes!J236+"'E4!$4("</f>
        <v>#VALUE!</v>
      </c>
      <c r="DI36" t="e">
        <f>Nodes!K236+"'E4!$4)"</f>
        <v>#VALUE!</v>
      </c>
      <c r="DJ36" t="e">
        <f>Nodes!L236+"'E4!$4."</f>
        <v>#VALUE!</v>
      </c>
      <c r="DK36" t="e">
        <f>Nodes!M236+"'E4!$4/"</f>
        <v>#VALUE!</v>
      </c>
      <c r="DL36" t="e">
        <f>Nodes!N236+"'E4!$40"</f>
        <v>#VALUE!</v>
      </c>
      <c r="DM36" t="e">
        <f>Nodes!O236+"'E4!$41"</f>
        <v>#VALUE!</v>
      </c>
      <c r="DN36" t="e">
        <f>Nodes!P236+"'E4!$42"</f>
        <v>#VALUE!</v>
      </c>
      <c r="DO36" t="e">
        <f>Nodes!Q236+"'E4!$43"</f>
        <v>#VALUE!</v>
      </c>
      <c r="DP36" t="e">
        <f>Nodes!R236+"'E4!$44"</f>
        <v>#VALUE!</v>
      </c>
      <c r="DQ36" t="e">
        <f>Nodes!S236+"'E4!$45"</f>
        <v>#VALUE!</v>
      </c>
      <c r="DR36" t="e">
        <f>Nodes!T236+"'E4!$46"</f>
        <v>#VALUE!</v>
      </c>
      <c r="DS36" s="548" t="e">
        <f>Nodes!U236+"'E4!$47"</f>
        <v>#VALUE!</v>
      </c>
      <c r="DT36" s="548" t="e">
        <f>Nodes!V236+"'E4!$48"</f>
        <v>#VALUE!</v>
      </c>
      <c r="DU36" t="e">
        <f>Nodes!W236+"'E4!$49"</f>
        <v>#VALUE!</v>
      </c>
      <c r="DV36" s="333" t="e">
        <f>Nodes!X236+"'E4!$4:"</f>
        <v>#VALUE!</v>
      </c>
      <c r="DW36" t="e">
        <f>Nodes!Y236+"'E4!$4;"</f>
        <v>#VALUE!</v>
      </c>
      <c r="DX36" t="e">
        <f>Nodes!Z236+"'E4!$4&lt;"</f>
        <v>#VALUE!</v>
      </c>
      <c r="DY36" t="e">
        <f>Nodes!AA236+"'E4!$4="</f>
        <v>#VALUE!</v>
      </c>
      <c r="DZ36" t="e">
        <f>Nodes!AB236+"'E4!$4&gt;"</f>
        <v>#VALUE!</v>
      </c>
      <c r="EA36" t="e">
        <f>Nodes!AC236+"'E4!$4?"</f>
        <v>#VALUE!</v>
      </c>
      <c r="EB36" t="e">
        <f>Nodes!A237+"'E4!$4@"</f>
        <v>#VALUE!</v>
      </c>
      <c r="EC36" t="e">
        <f>Nodes!B237+"'E4!$4A"</f>
        <v>#VALUE!</v>
      </c>
      <c r="ED36" t="e">
        <f>Nodes!C237+"'E4!$4B"</f>
        <v>#VALUE!</v>
      </c>
      <c r="EE36" t="e">
        <f>Nodes!D237+"'E4!$4C"</f>
        <v>#VALUE!</v>
      </c>
      <c r="EF36" t="e">
        <f>Nodes!E237+"'E4!$4D"</f>
        <v>#VALUE!</v>
      </c>
      <c r="EG36" t="e">
        <f>Nodes!F237+"'E4!$4E"</f>
        <v>#VALUE!</v>
      </c>
      <c r="EH36" t="e">
        <f>Nodes!G237+"'E4!$4F"</f>
        <v>#VALUE!</v>
      </c>
      <c r="EI36" t="e">
        <f>Nodes!H237+"'E4!$4G"</f>
        <v>#VALUE!</v>
      </c>
      <c r="EJ36" t="e">
        <f>Nodes!I237+"'E4!$4H"</f>
        <v>#VALUE!</v>
      </c>
      <c r="EK36" t="e">
        <f>Nodes!J237+"'E4!$4I"</f>
        <v>#VALUE!</v>
      </c>
      <c r="EL36" t="e">
        <f>Nodes!K237+"'E4!$4J"</f>
        <v>#VALUE!</v>
      </c>
      <c r="EM36" t="e">
        <f>Nodes!L237+"'E4!$4K"</f>
        <v>#VALUE!</v>
      </c>
      <c r="EN36" t="e">
        <f>Nodes!M237+"'E4!$4L"</f>
        <v>#VALUE!</v>
      </c>
      <c r="EO36" t="e">
        <f>Nodes!N237+"'E4!$4M"</f>
        <v>#VALUE!</v>
      </c>
      <c r="EP36" t="e">
        <f>Nodes!O237+"'E4!$4N"</f>
        <v>#VALUE!</v>
      </c>
      <c r="EQ36" t="e">
        <f>Nodes!P237+"'E4!$4O"</f>
        <v>#VALUE!</v>
      </c>
      <c r="ER36" t="e">
        <f>Nodes!Q237+"'E4!$4P"</f>
        <v>#VALUE!</v>
      </c>
      <c r="ES36" t="e">
        <f>Nodes!R237+"'E4!$4Q"</f>
        <v>#VALUE!</v>
      </c>
      <c r="ET36" t="e">
        <f>Nodes!S237+"'E4!$4R"</f>
        <v>#VALUE!</v>
      </c>
      <c r="EU36" t="e">
        <f>Nodes!T237+"'E4!$4S"</f>
        <v>#VALUE!</v>
      </c>
      <c r="EV36" s="548" t="e">
        <f>Nodes!U237+"'E4!$4T"</f>
        <v>#VALUE!</v>
      </c>
      <c r="EW36" s="548" t="e">
        <f>Nodes!V237+"'E4!$4U"</f>
        <v>#VALUE!</v>
      </c>
      <c r="EX36" t="e">
        <f>Nodes!W237+"'E4!$4V"</f>
        <v>#VALUE!</v>
      </c>
      <c r="EY36" s="333" t="e">
        <f>Nodes!X237+"'E4!$4W"</f>
        <v>#VALUE!</v>
      </c>
      <c r="EZ36" t="e">
        <f>Nodes!Y237+"'E4!$4X"</f>
        <v>#VALUE!</v>
      </c>
      <c r="FA36" t="e">
        <f>Nodes!Z237+"'E4!$4Y"</f>
        <v>#VALUE!</v>
      </c>
      <c r="FB36" t="e">
        <f>Nodes!AA237+"'E4!$4Z"</f>
        <v>#VALUE!</v>
      </c>
      <c r="FC36" t="e">
        <f>Nodes!AB237+"'E4!$4["</f>
        <v>#VALUE!</v>
      </c>
      <c r="FD36" t="e">
        <f>Nodes!AC237+"'E4!$4\"</f>
        <v>#VALUE!</v>
      </c>
      <c r="FE36" t="e">
        <f>Nodes!A238+"'E4!$4]"</f>
        <v>#VALUE!</v>
      </c>
      <c r="FF36" t="e">
        <f>Nodes!B238+"'E4!$4^"</f>
        <v>#VALUE!</v>
      </c>
      <c r="FG36" t="e">
        <f>Nodes!C238+"'E4!$4_"</f>
        <v>#VALUE!</v>
      </c>
      <c r="FH36" t="e">
        <f>Nodes!D238+"'E4!$4`"</f>
        <v>#VALUE!</v>
      </c>
      <c r="FI36" t="e">
        <f>Nodes!E238+"'E4!$4a"</f>
        <v>#VALUE!</v>
      </c>
      <c r="FJ36" t="e">
        <f>Nodes!F238+"'E4!$4b"</f>
        <v>#VALUE!</v>
      </c>
      <c r="FK36" t="e">
        <f>Nodes!G238+"'E4!$4c"</f>
        <v>#VALUE!</v>
      </c>
      <c r="FL36" t="e">
        <f>Nodes!H238+"'E4!$4d"</f>
        <v>#VALUE!</v>
      </c>
      <c r="FM36" t="e">
        <f>Nodes!I238+"'E4!$4e"</f>
        <v>#VALUE!</v>
      </c>
      <c r="FN36" t="e">
        <f>Nodes!J238+"'E4!$4f"</f>
        <v>#VALUE!</v>
      </c>
      <c r="FO36" t="e">
        <f>Nodes!K238+"'E4!$4g"</f>
        <v>#VALUE!</v>
      </c>
      <c r="FP36" t="e">
        <f>Nodes!L238+"'E4!$4h"</f>
        <v>#VALUE!</v>
      </c>
      <c r="FQ36" t="e">
        <f>Nodes!M238+"'E4!$4i"</f>
        <v>#VALUE!</v>
      </c>
      <c r="FR36" t="e">
        <f>Nodes!N238+"'E4!$4j"</f>
        <v>#VALUE!</v>
      </c>
      <c r="FS36" t="e">
        <f>Nodes!O238+"'E4!$4k"</f>
        <v>#VALUE!</v>
      </c>
      <c r="FT36" t="e">
        <f>Nodes!P238+"'E4!$4l"</f>
        <v>#VALUE!</v>
      </c>
      <c r="FU36" t="e">
        <f>Nodes!Q238+"'E4!$4m"</f>
        <v>#VALUE!</v>
      </c>
      <c r="FV36" t="e">
        <f>Nodes!R238+"'E4!$4n"</f>
        <v>#VALUE!</v>
      </c>
      <c r="FW36" t="e">
        <f>Nodes!S238+"'E4!$4o"</f>
        <v>#VALUE!</v>
      </c>
      <c r="FX36" t="e">
        <f>Nodes!T238+"'E4!$4p"</f>
        <v>#VALUE!</v>
      </c>
      <c r="FY36" s="548" t="e">
        <f>Nodes!U238+"'E4!$4q"</f>
        <v>#VALUE!</v>
      </c>
      <c r="FZ36" s="548" t="e">
        <f>Nodes!V238+"'E4!$4r"</f>
        <v>#VALUE!</v>
      </c>
      <c r="GA36" t="e">
        <f>Nodes!W238+"'E4!$4s"</f>
        <v>#VALUE!</v>
      </c>
      <c r="GB36" s="333" t="e">
        <f>Nodes!X238+"'E4!$4t"</f>
        <v>#VALUE!</v>
      </c>
      <c r="GC36" t="e">
        <f>Nodes!Y238+"'E4!$4u"</f>
        <v>#VALUE!</v>
      </c>
      <c r="GD36" t="e">
        <f>Nodes!Z238+"'E4!$4v"</f>
        <v>#VALUE!</v>
      </c>
      <c r="GE36" t="e">
        <f>Nodes!AA238+"'E4!$4w"</f>
        <v>#VALUE!</v>
      </c>
      <c r="GF36" t="e">
        <f>Nodes!AB238+"'E4!$4x"</f>
        <v>#VALUE!</v>
      </c>
      <c r="GG36" t="e">
        <f>Nodes!AC238+"'E4!$4y"</f>
        <v>#VALUE!</v>
      </c>
      <c r="GH36" t="e">
        <f>Nodes!A239+"'E4!$4z"</f>
        <v>#VALUE!</v>
      </c>
      <c r="GI36" t="e">
        <f>Nodes!B239+"'E4!$4{"</f>
        <v>#VALUE!</v>
      </c>
      <c r="GJ36" t="e">
        <f>Nodes!C239+"'E4!$4|"</f>
        <v>#VALUE!</v>
      </c>
      <c r="GK36" t="e">
        <f>Nodes!D239+"'E4!$4}"</f>
        <v>#VALUE!</v>
      </c>
      <c r="GL36" t="e">
        <f>Nodes!E239+"'E4!$4~"</f>
        <v>#VALUE!</v>
      </c>
      <c r="GM36" t="e">
        <f>Nodes!F239+"'E4!$5#"</f>
        <v>#VALUE!</v>
      </c>
      <c r="GN36" t="e">
        <f>Nodes!G239+"'E4!$5$"</f>
        <v>#VALUE!</v>
      </c>
      <c r="GO36" t="e">
        <f>Nodes!H239+"'E4!$5%"</f>
        <v>#VALUE!</v>
      </c>
      <c r="GP36" t="e">
        <f>Nodes!I239+"'E4!$5&amp;"</f>
        <v>#VALUE!</v>
      </c>
      <c r="GQ36" t="e">
        <f>Nodes!J239+"'E4!$5'"</f>
        <v>#VALUE!</v>
      </c>
      <c r="GR36" t="e">
        <f>Nodes!K239+"'E4!$5("</f>
        <v>#VALUE!</v>
      </c>
      <c r="GS36" t="e">
        <f>Nodes!L239+"'E4!$5)"</f>
        <v>#VALUE!</v>
      </c>
      <c r="GT36" t="e">
        <f>Nodes!M239+"'E4!$5."</f>
        <v>#VALUE!</v>
      </c>
      <c r="GU36" t="e">
        <f>Nodes!N239+"'E4!$5/"</f>
        <v>#VALUE!</v>
      </c>
      <c r="GV36" t="e">
        <f>Nodes!O239+"'E4!$50"</f>
        <v>#VALUE!</v>
      </c>
      <c r="GW36" t="e">
        <f>Nodes!P239+"'E4!$51"</f>
        <v>#VALUE!</v>
      </c>
      <c r="GX36" t="e">
        <f>Nodes!Q239+"'E4!$52"</f>
        <v>#VALUE!</v>
      </c>
      <c r="GY36" t="e">
        <f>Nodes!R239+"'E4!$53"</f>
        <v>#VALUE!</v>
      </c>
      <c r="GZ36" t="e">
        <f>Nodes!S239+"'E4!$54"</f>
        <v>#VALUE!</v>
      </c>
      <c r="HA36" t="e">
        <f>Nodes!T239+"'E4!$55"</f>
        <v>#VALUE!</v>
      </c>
      <c r="HB36" s="548" t="e">
        <f>Nodes!U239+"'E4!$56"</f>
        <v>#VALUE!</v>
      </c>
      <c r="HC36" s="548" t="e">
        <f>Nodes!V239+"'E4!$57"</f>
        <v>#VALUE!</v>
      </c>
      <c r="HD36" t="e">
        <f>Nodes!W239+"'E4!$58"</f>
        <v>#VALUE!</v>
      </c>
      <c r="HE36" s="333" t="e">
        <f>Nodes!X239+"'E4!$59"</f>
        <v>#VALUE!</v>
      </c>
      <c r="HF36" t="e">
        <f>Nodes!Y239+"'E4!$5:"</f>
        <v>#VALUE!</v>
      </c>
      <c r="HG36" t="e">
        <f>Nodes!Z239+"'E4!$5;"</f>
        <v>#VALUE!</v>
      </c>
      <c r="HH36" t="e">
        <f>Nodes!AA239+"'E4!$5&lt;"</f>
        <v>#VALUE!</v>
      </c>
      <c r="HI36" t="e">
        <f>Nodes!AB239+"'E4!$5="</f>
        <v>#VALUE!</v>
      </c>
      <c r="HJ36" t="e">
        <f>Nodes!AC239+"'E4!$5&gt;"</f>
        <v>#VALUE!</v>
      </c>
      <c r="HK36" t="e">
        <f>Nodes!A240+"'E4!$5?"</f>
        <v>#VALUE!</v>
      </c>
      <c r="HL36" t="e">
        <f>Nodes!B240+"'E4!$5@"</f>
        <v>#VALUE!</v>
      </c>
      <c r="HM36" t="e">
        <f>Nodes!C240+"'E4!$5A"</f>
        <v>#VALUE!</v>
      </c>
      <c r="HN36" t="e">
        <f>Nodes!D240+"'E4!$5B"</f>
        <v>#VALUE!</v>
      </c>
      <c r="HO36" t="e">
        <f>Nodes!E240+"'E4!$5C"</f>
        <v>#VALUE!</v>
      </c>
      <c r="HP36" t="e">
        <f>Nodes!F240+"'E4!$5D"</f>
        <v>#VALUE!</v>
      </c>
      <c r="HQ36" t="e">
        <f>Nodes!G240+"'E4!$5E"</f>
        <v>#VALUE!</v>
      </c>
      <c r="HR36" t="e">
        <f>Nodes!H240+"'E4!$5F"</f>
        <v>#VALUE!</v>
      </c>
      <c r="HS36" t="e">
        <f>Nodes!I240+"'E4!$5G"</f>
        <v>#VALUE!</v>
      </c>
      <c r="HT36" t="e">
        <f>Nodes!J240+"'E4!$5H"</f>
        <v>#VALUE!</v>
      </c>
      <c r="HU36" t="e">
        <f>Nodes!K240+"'E4!$5I"</f>
        <v>#VALUE!</v>
      </c>
      <c r="HV36" t="e">
        <f>Nodes!L240+"'E4!$5J"</f>
        <v>#VALUE!</v>
      </c>
      <c r="HW36" t="e">
        <f>Nodes!M240+"'E4!$5K"</f>
        <v>#VALUE!</v>
      </c>
      <c r="HX36" t="e">
        <f>Nodes!N240+"'E4!$5L"</f>
        <v>#VALUE!</v>
      </c>
      <c r="HY36" t="e">
        <f>Nodes!O240+"'E4!$5M"</f>
        <v>#VALUE!</v>
      </c>
      <c r="HZ36" t="e">
        <f>Nodes!P240+"'E4!$5N"</f>
        <v>#VALUE!</v>
      </c>
      <c r="IA36" t="e">
        <f>Nodes!Q240+"'E4!$5O"</f>
        <v>#VALUE!</v>
      </c>
      <c r="IB36" t="e">
        <f>Nodes!R240+"'E4!$5P"</f>
        <v>#VALUE!</v>
      </c>
      <c r="IC36" t="e">
        <f>Nodes!S240+"'E4!$5Q"</f>
        <v>#VALUE!</v>
      </c>
      <c r="ID36" t="e">
        <f>Nodes!T240+"'E4!$5R"</f>
        <v>#VALUE!</v>
      </c>
      <c r="IE36" s="548" t="e">
        <f>Nodes!U240+"'E4!$5S"</f>
        <v>#VALUE!</v>
      </c>
      <c r="IF36" s="548" t="e">
        <f>Nodes!V240+"'E4!$5T"</f>
        <v>#VALUE!</v>
      </c>
      <c r="IG36" t="e">
        <f>Nodes!W240+"'E4!$5U"</f>
        <v>#VALUE!</v>
      </c>
      <c r="IH36" s="333" t="e">
        <f>Nodes!X240+"'E4!$5V"</f>
        <v>#VALUE!</v>
      </c>
      <c r="II36" t="e">
        <f>Nodes!Y240+"'E4!$5W"</f>
        <v>#VALUE!</v>
      </c>
      <c r="IJ36" t="e">
        <f>Nodes!Z240+"'E4!$5X"</f>
        <v>#VALUE!</v>
      </c>
      <c r="IK36" t="e">
        <f>Nodes!AA240+"'E4!$5Y"</f>
        <v>#VALUE!</v>
      </c>
      <c r="IL36" t="e">
        <f>Nodes!AB240+"'E4!$5Z"</f>
        <v>#VALUE!</v>
      </c>
      <c r="IM36" t="e">
        <f>Nodes!AC240+"'E4!$5["</f>
        <v>#VALUE!</v>
      </c>
      <c r="IN36" t="e">
        <f>Nodes!A241+"'E4!$5\"</f>
        <v>#VALUE!</v>
      </c>
      <c r="IO36" t="e">
        <f>Nodes!B241+"'E4!$5]"</f>
        <v>#VALUE!</v>
      </c>
      <c r="IP36" t="e">
        <f>Nodes!C241+"'E4!$5^"</f>
        <v>#VALUE!</v>
      </c>
      <c r="IQ36" t="e">
        <f>Nodes!D241+"'E4!$5_"</f>
        <v>#VALUE!</v>
      </c>
      <c r="IR36" t="e">
        <f>Nodes!E241+"'E4!$5`"</f>
        <v>#VALUE!</v>
      </c>
      <c r="IS36" t="e">
        <f>Nodes!F241+"'E4!$5a"</f>
        <v>#VALUE!</v>
      </c>
      <c r="IT36" t="e">
        <f>Nodes!G241+"'E4!$5b"</f>
        <v>#VALUE!</v>
      </c>
      <c r="IU36" t="e">
        <f>Nodes!H241+"'E4!$5c"</f>
        <v>#VALUE!</v>
      </c>
      <c r="IV36" t="e">
        <f>Nodes!I241+"'E4!$5d"</f>
        <v>#VALUE!</v>
      </c>
    </row>
    <row r="37" spans="6:256">
      <c r="F37" t="e">
        <f>Nodes!J241+"'E4!$5e"</f>
        <v>#VALUE!</v>
      </c>
      <c r="G37" t="e">
        <f>Nodes!K241+"'E4!$5f"</f>
        <v>#VALUE!</v>
      </c>
      <c r="H37" t="e">
        <f>Nodes!L241+"'E4!$5g"</f>
        <v>#VALUE!</v>
      </c>
      <c r="I37" t="e">
        <f>Nodes!M241+"'E4!$5h"</f>
        <v>#VALUE!</v>
      </c>
      <c r="J37" t="e">
        <f>Nodes!N241+"'E4!$5i"</f>
        <v>#VALUE!</v>
      </c>
      <c r="K37" t="e">
        <f>Nodes!O241+"'E4!$5j"</f>
        <v>#VALUE!</v>
      </c>
      <c r="L37" t="e">
        <f>Nodes!P241+"'E4!$5k"</f>
        <v>#VALUE!</v>
      </c>
      <c r="M37" t="e">
        <f>Nodes!Q241+"'E4!$5l"</f>
        <v>#VALUE!</v>
      </c>
      <c r="N37" t="e">
        <f>Nodes!R241+"'E4!$5m"</f>
        <v>#VALUE!</v>
      </c>
      <c r="O37" t="e">
        <f>Nodes!S241+"'E4!$5n"</f>
        <v>#VALUE!</v>
      </c>
      <c r="P37" t="e">
        <f>Nodes!T241+"'E4!$5o"</f>
        <v>#VALUE!</v>
      </c>
      <c r="Q37" s="548" t="e">
        <f>Nodes!U241+"'E4!$5p"</f>
        <v>#VALUE!</v>
      </c>
      <c r="R37" s="548" t="e">
        <f>Nodes!V241+"'E4!$5q"</f>
        <v>#VALUE!</v>
      </c>
      <c r="S37" t="e">
        <f>Nodes!W241+"'E4!$5r"</f>
        <v>#VALUE!</v>
      </c>
      <c r="T37" s="333" t="e">
        <f>Nodes!X241+"'E4!$5s"</f>
        <v>#VALUE!</v>
      </c>
      <c r="U37" t="e">
        <f>Nodes!Y241+"'E4!$5t"</f>
        <v>#VALUE!</v>
      </c>
      <c r="V37" t="e">
        <f>Nodes!Z241+"'E4!$5u"</f>
        <v>#VALUE!</v>
      </c>
      <c r="W37" t="e">
        <f>Nodes!AA241+"'E4!$5v"</f>
        <v>#VALUE!</v>
      </c>
      <c r="X37" t="e">
        <f>Nodes!AB241+"'E4!$5w"</f>
        <v>#VALUE!</v>
      </c>
      <c r="Y37" t="e">
        <f>Nodes!AC241+"'E4!$5x"</f>
        <v>#VALUE!</v>
      </c>
      <c r="Z37" t="e">
        <f>Nodes!A242+"'E4!$5y"</f>
        <v>#VALUE!</v>
      </c>
      <c r="AA37" t="e">
        <f>Nodes!B242+"'E4!$5z"</f>
        <v>#VALUE!</v>
      </c>
      <c r="AB37" t="e">
        <f>Nodes!C242+"'E4!$5{"</f>
        <v>#VALUE!</v>
      </c>
      <c r="AC37" t="e">
        <f>Nodes!D242+"'E4!$5|"</f>
        <v>#VALUE!</v>
      </c>
      <c r="AD37" t="e">
        <f>Nodes!E242+"'E4!$5}"</f>
        <v>#VALUE!</v>
      </c>
      <c r="AE37" t="e">
        <f>Nodes!F242+"'E4!$5~"</f>
        <v>#VALUE!</v>
      </c>
      <c r="AF37" t="e">
        <f>Nodes!G242+"'E4!$6#"</f>
        <v>#VALUE!</v>
      </c>
      <c r="AG37" t="e">
        <f>Nodes!H242+"'E4!$6$"</f>
        <v>#VALUE!</v>
      </c>
      <c r="AH37" t="e">
        <f>Nodes!I242+"'E4!$6%"</f>
        <v>#VALUE!</v>
      </c>
      <c r="AI37" t="e">
        <f>Nodes!J242+"'E4!$6&amp;"</f>
        <v>#VALUE!</v>
      </c>
      <c r="AJ37" t="e">
        <f>Nodes!K242+"'E4!$6'"</f>
        <v>#VALUE!</v>
      </c>
      <c r="AK37" t="e">
        <f>Nodes!L242+"'E4!$6("</f>
        <v>#VALUE!</v>
      </c>
      <c r="AL37" t="e">
        <f>Nodes!M242+"'E4!$6)"</f>
        <v>#VALUE!</v>
      </c>
      <c r="AM37" t="e">
        <f>Nodes!N242+"'E4!$6."</f>
        <v>#VALUE!</v>
      </c>
      <c r="AN37" t="e">
        <f>Nodes!O242+"'E4!$6/"</f>
        <v>#VALUE!</v>
      </c>
      <c r="AO37" t="e">
        <f>Nodes!P242+"'E4!$60"</f>
        <v>#VALUE!</v>
      </c>
      <c r="AP37" t="e">
        <f>Nodes!Q242+"'E4!$61"</f>
        <v>#VALUE!</v>
      </c>
      <c r="AQ37" t="e">
        <f>Nodes!R242+"'E4!$62"</f>
        <v>#VALUE!</v>
      </c>
      <c r="AR37" t="e">
        <f>Nodes!S242+"'E4!$63"</f>
        <v>#VALUE!</v>
      </c>
      <c r="AS37" t="e">
        <f>Nodes!T242+"'E4!$64"</f>
        <v>#VALUE!</v>
      </c>
      <c r="AT37" s="548" t="e">
        <f>Nodes!U242+"'E4!$65"</f>
        <v>#VALUE!</v>
      </c>
      <c r="AU37" s="548" t="e">
        <f>Nodes!V242+"'E4!$66"</f>
        <v>#VALUE!</v>
      </c>
      <c r="AV37" t="e">
        <f>Nodes!W242+"'E4!$67"</f>
        <v>#VALUE!</v>
      </c>
      <c r="AW37" s="333" t="e">
        <f>Nodes!X242+"'E4!$68"</f>
        <v>#VALUE!</v>
      </c>
      <c r="AX37" t="e">
        <f>Nodes!Y242+"'E4!$69"</f>
        <v>#VALUE!</v>
      </c>
      <c r="AY37" t="e">
        <f>Nodes!Z242+"'E4!$6:"</f>
        <v>#VALUE!</v>
      </c>
      <c r="AZ37" t="e">
        <f>Nodes!AA242+"'E4!$6;"</f>
        <v>#VALUE!</v>
      </c>
      <c r="BA37" t="e">
        <f>Nodes!AB242+"'E4!$6&lt;"</f>
        <v>#VALUE!</v>
      </c>
      <c r="BB37" t="e">
        <f>Nodes!AC242+"'E4!$6="</f>
        <v>#VALUE!</v>
      </c>
      <c r="BC37" t="e">
        <f>Nodes!A243+"'E4!$6&gt;"</f>
        <v>#VALUE!</v>
      </c>
      <c r="BD37" t="e">
        <f>Nodes!B243+"'E4!$6?"</f>
        <v>#VALUE!</v>
      </c>
      <c r="BE37" t="e">
        <f>Nodes!C243+"'E4!$6@"</f>
        <v>#VALUE!</v>
      </c>
      <c r="BF37" t="e">
        <f>Nodes!D243+"'E4!$6A"</f>
        <v>#VALUE!</v>
      </c>
      <c r="BG37" t="e">
        <f>Nodes!E243+"'E4!$6B"</f>
        <v>#VALUE!</v>
      </c>
      <c r="BH37" t="e">
        <f>Nodes!F243+"'E4!$6C"</f>
        <v>#VALUE!</v>
      </c>
      <c r="BI37" t="e">
        <f>Nodes!G243+"'E4!$6D"</f>
        <v>#VALUE!</v>
      </c>
      <c r="BJ37" t="e">
        <f>Nodes!H243+"'E4!$6E"</f>
        <v>#VALUE!</v>
      </c>
      <c r="BK37" t="e">
        <f>Nodes!I243+"'E4!$6F"</f>
        <v>#VALUE!</v>
      </c>
      <c r="BL37" t="e">
        <f>Nodes!J243+"'E4!$6G"</f>
        <v>#VALUE!</v>
      </c>
      <c r="BM37" t="e">
        <f>Nodes!K243+"'E4!$6H"</f>
        <v>#VALUE!</v>
      </c>
      <c r="BN37" t="e">
        <f>Nodes!L243+"'E4!$6I"</f>
        <v>#VALUE!</v>
      </c>
      <c r="BO37" t="e">
        <f>Nodes!M243+"'E4!$6J"</f>
        <v>#VALUE!</v>
      </c>
      <c r="BP37" t="e">
        <f>Nodes!N243+"'E4!$6K"</f>
        <v>#VALUE!</v>
      </c>
      <c r="BQ37" t="e">
        <f>Nodes!O243+"'E4!$6L"</f>
        <v>#VALUE!</v>
      </c>
      <c r="BR37" t="e">
        <f>Nodes!P243+"'E4!$6M"</f>
        <v>#VALUE!</v>
      </c>
      <c r="BS37" t="e">
        <f>Nodes!Q243+"'E4!$6N"</f>
        <v>#VALUE!</v>
      </c>
      <c r="BT37" t="e">
        <f>Nodes!R243+"'E4!$6O"</f>
        <v>#VALUE!</v>
      </c>
      <c r="BU37" t="e">
        <f>Nodes!S243+"'E4!$6P"</f>
        <v>#VALUE!</v>
      </c>
      <c r="BV37" t="e">
        <f>Nodes!T243+"'E4!$6Q"</f>
        <v>#VALUE!</v>
      </c>
      <c r="BW37" s="548" t="e">
        <f>Nodes!U243+"'E4!$6R"</f>
        <v>#VALUE!</v>
      </c>
      <c r="BX37" s="548" t="e">
        <f>Nodes!V243+"'E4!$6S"</f>
        <v>#VALUE!</v>
      </c>
      <c r="BY37" t="e">
        <f>Nodes!W243+"'E4!$6T"</f>
        <v>#VALUE!</v>
      </c>
      <c r="BZ37" s="333" t="e">
        <f>Nodes!X243+"'E4!$6U"</f>
        <v>#VALUE!</v>
      </c>
      <c r="CA37" t="e">
        <f>Nodes!Y243+"'E4!$6V"</f>
        <v>#VALUE!</v>
      </c>
      <c r="CB37" t="e">
        <f>Nodes!Z243+"'E4!$6W"</f>
        <v>#VALUE!</v>
      </c>
      <c r="CC37" t="e">
        <f>Nodes!AA243+"'E4!$6X"</f>
        <v>#VALUE!</v>
      </c>
      <c r="CD37" t="e">
        <f>Nodes!AB243+"'E4!$6Y"</f>
        <v>#VALUE!</v>
      </c>
      <c r="CE37" t="e">
        <f>Nodes!AC243+"'E4!$6Z"</f>
        <v>#VALUE!</v>
      </c>
      <c r="CF37" t="e">
        <f>Nodes!A244+"'E4!$6["</f>
        <v>#VALUE!</v>
      </c>
      <c r="CG37" t="e">
        <f>Nodes!B244+"'E4!$6\"</f>
        <v>#VALUE!</v>
      </c>
      <c r="CH37" t="e">
        <f>Nodes!C244+"'E4!$6]"</f>
        <v>#VALUE!</v>
      </c>
      <c r="CI37" t="e">
        <f>Nodes!D244+"'E4!$6^"</f>
        <v>#VALUE!</v>
      </c>
      <c r="CJ37" t="e">
        <f>Nodes!E244+"'E4!$6_"</f>
        <v>#VALUE!</v>
      </c>
      <c r="CK37" t="e">
        <f>Nodes!F244+"'E4!$6`"</f>
        <v>#VALUE!</v>
      </c>
      <c r="CL37" t="e">
        <f>Nodes!G244+"'E4!$6a"</f>
        <v>#VALUE!</v>
      </c>
      <c r="CM37" t="e">
        <f>Nodes!H244+"'E4!$6b"</f>
        <v>#VALUE!</v>
      </c>
      <c r="CN37" t="e">
        <f>Nodes!I244+"'E4!$6c"</f>
        <v>#VALUE!</v>
      </c>
      <c r="CO37" t="e">
        <f>Nodes!J244+"'E4!$6d"</f>
        <v>#VALUE!</v>
      </c>
      <c r="CP37" t="e">
        <f>Nodes!K244+"'E4!$6e"</f>
        <v>#VALUE!</v>
      </c>
      <c r="CQ37" t="e">
        <f>Nodes!L244+"'E4!$6f"</f>
        <v>#VALUE!</v>
      </c>
      <c r="CR37" t="e">
        <f>Nodes!M244+"'E4!$6g"</f>
        <v>#VALUE!</v>
      </c>
      <c r="CS37" t="e">
        <f>Nodes!N244+"'E4!$6h"</f>
        <v>#VALUE!</v>
      </c>
      <c r="CT37" t="e">
        <f>Nodes!O244+"'E4!$6i"</f>
        <v>#VALUE!</v>
      </c>
      <c r="CU37" t="e">
        <f>Nodes!P244+"'E4!$6j"</f>
        <v>#VALUE!</v>
      </c>
      <c r="CV37" t="e">
        <f>Nodes!Q244+"'E4!$6k"</f>
        <v>#VALUE!</v>
      </c>
      <c r="CW37" t="e">
        <f>Nodes!R244+"'E4!$6l"</f>
        <v>#VALUE!</v>
      </c>
      <c r="CX37" t="e">
        <f>Nodes!S244+"'E4!$6m"</f>
        <v>#VALUE!</v>
      </c>
      <c r="CY37" t="e">
        <f>Nodes!T244+"'E4!$6n"</f>
        <v>#VALUE!</v>
      </c>
      <c r="CZ37" s="548" t="e">
        <f>Nodes!U244+"'E4!$6o"</f>
        <v>#VALUE!</v>
      </c>
      <c r="DA37" s="548" t="e">
        <f>Nodes!V244+"'E4!$6p"</f>
        <v>#VALUE!</v>
      </c>
      <c r="DB37" t="e">
        <f>Nodes!W244+"'E4!$6q"</f>
        <v>#VALUE!</v>
      </c>
      <c r="DC37" s="333" t="e">
        <f>Nodes!X244+"'E4!$6r"</f>
        <v>#VALUE!</v>
      </c>
      <c r="DD37" t="e">
        <f>Nodes!Y244+"'E4!$6s"</f>
        <v>#VALUE!</v>
      </c>
      <c r="DE37" t="e">
        <f>Nodes!Z244+"'E4!$6t"</f>
        <v>#VALUE!</v>
      </c>
      <c r="DF37" t="e">
        <f>Nodes!AA244+"'E4!$6u"</f>
        <v>#VALUE!</v>
      </c>
      <c r="DG37" t="e">
        <f>Nodes!AB244+"'E4!$6v"</f>
        <v>#VALUE!</v>
      </c>
      <c r="DH37" t="e">
        <f>Nodes!AC244+"'E4!$6w"</f>
        <v>#VALUE!</v>
      </c>
      <c r="DI37" t="e">
        <f>Nodes!A245+"'E4!$6x"</f>
        <v>#VALUE!</v>
      </c>
      <c r="DJ37" t="e">
        <f>Nodes!B245+"'E4!$6y"</f>
        <v>#VALUE!</v>
      </c>
      <c r="DK37" t="e">
        <f>Nodes!C245+"'E4!$6z"</f>
        <v>#VALUE!</v>
      </c>
      <c r="DL37" t="e">
        <f>Nodes!D245+"'E4!$6{"</f>
        <v>#VALUE!</v>
      </c>
      <c r="DM37" t="e">
        <f>Nodes!E245+"'E4!$6|"</f>
        <v>#VALUE!</v>
      </c>
      <c r="DN37" t="e">
        <f>Nodes!F245+"'E4!$6}"</f>
        <v>#VALUE!</v>
      </c>
      <c r="DO37" t="e">
        <f>Nodes!G245+"'E4!$6~"</f>
        <v>#VALUE!</v>
      </c>
      <c r="DP37" t="e">
        <f>Nodes!H245+"'E4!$7#"</f>
        <v>#VALUE!</v>
      </c>
      <c r="DQ37" t="e">
        <f>Nodes!I245+"'E4!$7$"</f>
        <v>#VALUE!</v>
      </c>
      <c r="DR37" t="e">
        <f>Nodes!J245+"'E4!$7%"</f>
        <v>#VALUE!</v>
      </c>
      <c r="DS37" t="e">
        <f>Nodes!K245+"'E4!$7&amp;"</f>
        <v>#VALUE!</v>
      </c>
      <c r="DT37" t="e">
        <f>Nodes!L245+"'E4!$7'"</f>
        <v>#VALUE!</v>
      </c>
      <c r="DU37" t="e">
        <f>Nodes!M245+"'E4!$7("</f>
        <v>#VALUE!</v>
      </c>
      <c r="DV37" t="e">
        <f>Nodes!N245+"'E4!$7)"</f>
        <v>#VALUE!</v>
      </c>
      <c r="DW37" t="e">
        <f>Nodes!O245+"'E4!$7."</f>
        <v>#VALUE!</v>
      </c>
      <c r="DX37" t="e">
        <f>Nodes!P245+"'E4!$7/"</f>
        <v>#VALUE!</v>
      </c>
      <c r="DY37" t="e">
        <f>Nodes!Q245+"'E4!$70"</f>
        <v>#VALUE!</v>
      </c>
      <c r="DZ37" t="e">
        <f>Nodes!R245+"'E4!$71"</f>
        <v>#VALUE!</v>
      </c>
      <c r="EA37" t="e">
        <f>Nodes!S245+"'E4!$72"</f>
        <v>#VALUE!</v>
      </c>
      <c r="EB37" t="e">
        <f>Nodes!T245+"'E4!$73"</f>
        <v>#VALUE!</v>
      </c>
      <c r="EC37" s="548" t="e">
        <f>Nodes!U245+"'E4!$74"</f>
        <v>#VALUE!</v>
      </c>
      <c r="ED37" s="548" t="e">
        <f>Nodes!V245+"'E4!$75"</f>
        <v>#VALUE!</v>
      </c>
      <c r="EE37" t="e">
        <f>Nodes!W245+"'E4!$76"</f>
        <v>#VALUE!</v>
      </c>
      <c r="EF37" s="333" t="e">
        <f>Nodes!X245+"'E4!$77"</f>
        <v>#VALUE!</v>
      </c>
      <c r="EG37" t="e">
        <f>Nodes!Y245+"'E4!$78"</f>
        <v>#VALUE!</v>
      </c>
      <c r="EH37" t="e">
        <f>Nodes!Z245+"'E4!$79"</f>
        <v>#VALUE!</v>
      </c>
      <c r="EI37" t="e">
        <f>Nodes!AA245+"'E4!$7:"</f>
        <v>#VALUE!</v>
      </c>
      <c r="EJ37" t="e">
        <f>Nodes!AB245+"'E4!$7;"</f>
        <v>#VALUE!</v>
      </c>
      <c r="EK37" t="e">
        <f>Nodes!AC245+"'E4!$7&lt;"</f>
        <v>#VALUE!</v>
      </c>
      <c r="EL37" t="e">
        <f>Nodes!A246+"'E4!$7="</f>
        <v>#VALUE!</v>
      </c>
      <c r="EM37" t="e">
        <f>Nodes!B246+"'E4!$7&gt;"</f>
        <v>#VALUE!</v>
      </c>
      <c r="EN37" t="e">
        <f>Nodes!C246+"'E4!$7?"</f>
        <v>#VALUE!</v>
      </c>
      <c r="EO37" t="e">
        <f>Nodes!D246+"'E4!$7@"</f>
        <v>#VALUE!</v>
      </c>
      <c r="EP37" t="e">
        <f>Nodes!E246+"'E4!$7A"</f>
        <v>#VALUE!</v>
      </c>
      <c r="EQ37" t="e">
        <f>Nodes!F246+"'E4!$7B"</f>
        <v>#VALUE!</v>
      </c>
      <c r="ER37" t="e">
        <f>Nodes!G246+"'E4!$7C"</f>
        <v>#VALUE!</v>
      </c>
      <c r="ES37" t="e">
        <f>Nodes!H246+"'E4!$7D"</f>
        <v>#VALUE!</v>
      </c>
      <c r="ET37" t="e">
        <f>Nodes!I246+"'E4!$7E"</f>
        <v>#VALUE!</v>
      </c>
      <c r="EU37" t="e">
        <f>Nodes!J246+"'E4!$7F"</f>
        <v>#VALUE!</v>
      </c>
      <c r="EV37" t="e">
        <f>Nodes!K246+"'E4!$7G"</f>
        <v>#VALUE!</v>
      </c>
      <c r="EW37" t="e">
        <f>Nodes!L246+"'E4!$7H"</f>
        <v>#VALUE!</v>
      </c>
      <c r="EX37" t="e">
        <f>Nodes!M246+"'E4!$7I"</f>
        <v>#VALUE!</v>
      </c>
      <c r="EY37" t="e">
        <f>Nodes!N246+"'E4!$7J"</f>
        <v>#VALUE!</v>
      </c>
      <c r="EZ37" t="e">
        <f>Nodes!O246+"'E4!$7K"</f>
        <v>#VALUE!</v>
      </c>
      <c r="FA37" t="e">
        <f>Nodes!P246+"'E4!$7L"</f>
        <v>#VALUE!</v>
      </c>
      <c r="FB37" t="e">
        <f>Nodes!Q246+"'E4!$7M"</f>
        <v>#VALUE!</v>
      </c>
      <c r="FC37" t="e">
        <f>Nodes!R246+"'E4!$7N"</f>
        <v>#VALUE!</v>
      </c>
      <c r="FD37" t="e">
        <f>Nodes!S246+"'E4!$7O"</f>
        <v>#VALUE!</v>
      </c>
      <c r="FE37" t="e">
        <f>Nodes!T246+"'E4!$7P"</f>
        <v>#VALUE!</v>
      </c>
      <c r="FF37" s="548" t="e">
        <f>Nodes!U246+"'E4!$7Q"</f>
        <v>#VALUE!</v>
      </c>
      <c r="FG37" s="548" t="e">
        <f>Nodes!V246+"'E4!$7R"</f>
        <v>#VALUE!</v>
      </c>
      <c r="FH37" t="e">
        <f>Nodes!W246+"'E4!$7S"</f>
        <v>#VALUE!</v>
      </c>
      <c r="FI37" s="333" t="e">
        <f>Nodes!X246+"'E4!$7T"</f>
        <v>#VALUE!</v>
      </c>
      <c r="FJ37" t="e">
        <f>Nodes!Y246+"'E4!$7U"</f>
        <v>#VALUE!</v>
      </c>
      <c r="FK37" t="e">
        <f>Nodes!Z246+"'E4!$7V"</f>
        <v>#VALUE!</v>
      </c>
      <c r="FL37" t="e">
        <f>Nodes!AA246+"'E4!$7W"</f>
        <v>#VALUE!</v>
      </c>
      <c r="FM37" t="e">
        <f>Nodes!AB246+"'E4!$7X"</f>
        <v>#VALUE!</v>
      </c>
      <c r="FN37" t="e">
        <f>Nodes!AC246+"'E4!$7Y"</f>
        <v>#VALUE!</v>
      </c>
      <c r="FO37" t="e">
        <f>Nodes!A247+"'E4!$7Z"</f>
        <v>#VALUE!</v>
      </c>
      <c r="FP37" t="e">
        <f>Nodes!B247+"'E4!$7["</f>
        <v>#VALUE!</v>
      </c>
      <c r="FQ37" t="e">
        <f>Nodes!C247+"'E4!$7\"</f>
        <v>#VALUE!</v>
      </c>
      <c r="FR37" t="e">
        <f>Nodes!D247+"'E4!$7]"</f>
        <v>#VALUE!</v>
      </c>
      <c r="FS37" t="e">
        <f>Nodes!E247+"'E4!$7^"</f>
        <v>#VALUE!</v>
      </c>
      <c r="FT37" t="e">
        <f>Nodes!F247+"'E4!$7_"</f>
        <v>#VALUE!</v>
      </c>
      <c r="FU37" t="e">
        <f>Nodes!G247+"'E4!$7`"</f>
        <v>#VALUE!</v>
      </c>
      <c r="FV37" t="e">
        <f>Nodes!H247+"'E4!$7a"</f>
        <v>#VALUE!</v>
      </c>
      <c r="FW37" t="e">
        <f>Nodes!I247+"'E4!$7b"</f>
        <v>#VALUE!</v>
      </c>
      <c r="FX37" t="e">
        <f>Nodes!J247+"'E4!$7c"</f>
        <v>#VALUE!</v>
      </c>
      <c r="FY37" t="e">
        <f>Nodes!K247+"'E4!$7d"</f>
        <v>#VALUE!</v>
      </c>
      <c r="FZ37" t="e">
        <f>Nodes!L247+"'E4!$7e"</f>
        <v>#VALUE!</v>
      </c>
      <c r="GA37" t="e">
        <f>Nodes!M247+"'E4!$7f"</f>
        <v>#VALUE!</v>
      </c>
      <c r="GB37" t="e">
        <f>Nodes!N247+"'E4!$7g"</f>
        <v>#VALUE!</v>
      </c>
      <c r="GC37" t="e">
        <f>Nodes!O247+"'E4!$7h"</f>
        <v>#VALUE!</v>
      </c>
      <c r="GD37" t="e">
        <f>Nodes!P247+"'E4!$7i"</f>
        <v>#VALUE!</v>
      </c>
      <c r="GE37" t="e">
        <f>Nodes!Q247+"'E4!$7j"</f>
        <v>#VALUE!</v>
      </c>
      <c r="GF37" t="e">
        <f>Nodes!R247+"'E4!$7k"</f>
        <v>#VALUE!</v>
      </c>
      <c r="GG37" t="e">
        <f>Nodes!S247+"'E4!$7l"</f>
        <v>#VALUE!</v>
      </c>
      <c r="GH37" t="e">
        <f>Nodes!T247+"'E4!$7m"</f>
        <v>#VALUE!</v>
      </c>
      <c r="GI37" s="548" t="e">
        <f>Nodes!U247+"'E4!$7n"</f>
        <v>#VALUE!</v>
      </c>
      <c r="GJ37" s="548" t="e">
        <f>Nodes!V247+"'E4!$7o"</f>
        <v>#VALUE!</v>
      </c>
      <c r="GK37" t="e">
        <f>Nodes!W247+"'E4!$7p"</f>
        <v>#VALUE!</v>
      </c>
      <c r="GL37" s="333" t="e">
        <f>Nodes!X247+"'E4!$7q"</f>
        <v>#VALUE!</v>
      </c>
      <c r="GM37" t="e">
        <f>Nodes!Y247+"'E4!$7r"</f>
        <v>#VALUE!</v>
      </c>
      <c r="GN37" t="e">
        <f>Nodes!Z247+"'E4!$7s"</f>
        <v>#VALUE!</v>
      </c>
      <c r="GO37" t="e">
        <f>Nodes!AA247+"'E4!$7t"</f>
        <v>#VALUE!</v>
      </c>
      <c r="GP37" t="e">
        <f>Nodes!AB247+"'E4!$7u"</f>
        <v>#VALUE!</v>
      </c>
      <c r="GQ37" t="e">
        <f>Nodes!AC247+"'E4!$7v"</f>
        <v>#VALUE!</v>
      </c>
      <c r="GR37" t="e">
        <f>Nodes!A248+"'E4!$7w"</f>
        <v>#VALUE!</v>
      </c>
      <c r="GS37" t="e">
        <f>Nodes!B248+"'E4!$7x"</f>
        <v>#VALUE!</v>
      </c>
      <c r="GT37" t="e">
        <f>Nodes!C248+"'E4!$7y"</f>
        <v>#VALUE!</v>
      </c>
      <c r="GU37" t="e">
        <f>Nodes!D248+"'E4!$7z"</f>
        <v>#VALUE!</v>
      </c>
      <c r="GV37" t="e">
        <f>Nodes!E248+"'E4!$7{"</f>
        <v>#VALUE!</v>
      </c>
      <c r="GW37" t="e">
        <f>Nodes!F248+"'E4!$7|"</f>
        <v>#VALUE!</v>
      </c>
      <c r="GX37" t="e">
        <f>Nodes!G248+"'E4!$7}"</f>
        <v>#VALUE!</v>
      </c>
      <c r="GY37" t="e">
        <f>Nodes!H248+"'E4!$7~"</f>
        <v>#VALUE!</v>
      </c>
      <c r="GZ37" t="e">
        <f>Nodes!I248+"'E4!$8#"</f>
        <v>#VALUE!</v>
      </c>
      <c r="HA37" t="e">
        <f>Nodes!J248+"'E4!$8$"</f>
        <v>#VALUE!</v>
      </c>
      <c r="HB37" t="e">
        <f>Nodes!K248+"'E4!$8%"</f>
        <v>#VALUE!</v>
      </c>
      <c r="HC37" t="e">
        <f>Nodes!L248+"'E4!$8&amp;"</f>
        <v>#VALUE!</v>
      </c>
      <c r="HD37" t="e">
        <f>Nodes!M248+"'E4!$8'"</f>
        <v>#VALUE!</v>
      </c>
      <c r="HE37" t="e">
        <f>Nodes!N248+"'E4!$8("</f>
        <v>#VALUE!</v>
      </c>
      <c r="HF37" t="e">
        <f>Nodes!O248+"'E4!$8)"</f>
        <v>#VALUE!</v>
      </c>
      <c r="HG37" t="e">
        <f>Nodes!P248+"'E4!$8."</f>
        <v>#VALUE!</v>
      </c>
      <c r="HH37" t="e">
        <f>Nodes!Q248+"'E4!$8/"</f>
        <v>#VALUE!</v>
      </c>
      <c r="HI37" t="e">
        <f>Nodes!R248+"'E4!$80"</f>
        <v>#VALUE!</v>
      </c>
      <c r="HJ37" t="e">
        <f>Nodes!S248+"'E4!$81"</f>
        <v>#VALUE!</v>
      </c>
      <c r="HK37" t="e">
        <f>Nodes!T248+"'E4!$82"</f>
        <v>#VALUE!</v>
      </c>
      <c r="HL37" t="e">
        <f>Nodes!U248+"'E4!$83"</f>
        <v>#VALUE!</v>
      </c>
      <c r="HM37" t="e">
        <f>Nodes!V248+"'E4!$84"</f>
        <v>#VALUE!</v>
      </c>
      <c r="HN37" t="e">
        <f>Nodes!W248+"'E4!$85"</f>
        <v>#VALUE!</v>
      </c>
      <c r="HO37" s="333" t="e">
        <f>Nodes!X248+"'E4!$86"</f>
        <v>#VALUE!</v>
      </c>
      <c r="HP37" t="e">
        <f>Nodes!Y248+"'E4!$87"</f>
        <v>#VALUE!</v>
      </c>
      <c r="HQ37" t="e">
        <f>Nodes!Z248+"'E4!$88"</f>
        <v>#VALUE!</v>
      </c>
      <c r="HR37" t="e">
        <f>Nodes!AA248+"'E4!$89"</f>
        <v>#VALUE!</v>
      </c>
      <c r="HS37" t="e">
        <f>Nodes!AB248+"'E4!$8:"</f>
        <v>#VALUE!</v>
      </c>
      <c r="HT37" t="e">
        <f>Nodes!AC248+"'E4!$8;"</f>
        <v>#VALUE!</v>
      </c>
      <c r="HU37" t="e">
        <f>Nodes!A249+"'E4!$8&lt;"</f>
        <v>#VALUE!</v>
      </c>
      <c r="HV37" t="e">
        <f>Nodes!B249+"'E4!$8="</f>
        <v>#VALUE!</v>
      </c>
      <c r="HW37" t="e">
        <f>Nodes!C249+"'E4!$8&gt;"</f>
        <v>#VALUE!</v>
      </c>
      <c r="HX37" t="e">
        <f>Nodes!D249+"'E4!$8?"</f>
        <v>#VALUE!</v>
      </c>
      <c r="HY37" t="e">
        <f>Nodes!E249+"'E4!$8@"</f>
        <v>#VALUE!</v>
      </c>
      <c r="HZ37" t="e">
        <f>Nodes!F249+"'E4!$8A"</f>
        <v>#VALUE!</v>
      </c>
      <c r="IA37" t="e">
        <f>Nodes!G249+"'E4!$8B"</f>
        <v>#VALUE!</v>
      </c>
      <c r="IB37" t="e">
        <f>Nodes!H249+"'E4!$8C"</f>
        <v>#VALUE!</v>
      </c>
      <c r="IC37" t="e">
        <f>Nodes!I249+"'E4!$8D"</f>
        <v>#VALUE!</v>
      </c>
      <c r="ID37" t="e">
        <f>Nodes!J249+"'E4!$8E"</f>
        <v>#VALUE!</v>
      </c>
      <c r="IE37" t="e">
        <f>Nodes!K249+"'E4!$8F"</f>
        <v>#VALUE!</v>
      </c>
      <c r="IF37" t="e">
        <f>Nodes!L249+"'E4!$8G"</f>
        <v>#VALUE!</v>
      </c>
      <c r="IG37" t="e">
        <f>Nodes!M249+"'E4!$8H"</f>
        <v>#VALUE!</v>
      </c>
      <c r="IH37" t="e">
        <f>Nodes!N249+"'E4!$8I"</f>
        <v>#VALUE!</v>
      </c>
      <c r="II37" t="e">
        <f>Nodes!O249+"'E4!$8J"</f>
        <v>#VALUE!</v>
      </c>
      <c r="IJ37" t="e">
        <f>Nodes!P249+"'E4!$8K"</f>
        <v>#VALUE!</v>
      </c>
      <c r="IK37" t="e">
        <f>Nodes!Q249+"'E4!$8L"</f>
        <v>#VALUE!</v>
      </c>
      <c r="IL37" t="e">
        <f>Nodes!R249+"'E4!$8M"</f>
        <v>#VALUE!</v>
      </c>
      <c r="IM37" t="e">
        <f>Nodes!S249+"'E4!$8N"</f>
        <v>#VALUE!</v>
      </c>
      <c r="IN37" t="e">
        <f>Nodes!T249+"'E4!$8O"</f>
        <v>#VALUE!</v>
      </c>
      <c r="IO37" s="548" t="e">
        <f>Nodes!U249+"'E4!$8P"</f>
        <v>#VALUE!</v>
      </c>
      <c r="IP37" s="548" t="e">
        <f>Nodes!V249+"'E4!$8Q"</f>
        <v>#VALUE!</v>
      </c>
      <c r="IQ37" t="e">
        <f>Nodes!W249+"'E4!$8R"</f>
        <v>#VALUE!</v>
      </c>
      <c r="IR37" s="333" t="e">
        <f>Nodes!X249+"'E4!$8S"</f>
        <v>#VALUE!</v>
      </c>
      <c r="IS37" t="e">
        <f>Nodes!Y249+"'E4!$8T"</f>
        <v>#VALUE!</v>
      </c>
      <c r="IT37" t="e">
        <f>Nodes!Z249+"'E4!$8U"</f>
        <v>#VALUE!</v>
      </c>
      <c r="IU37" t="e">
        <f>Nodes!AA249+"'E4!$8V"</f>
        <v>#VALUE!</v>
      </c>
      <c r="IV37" t="e">
        <f>Nodes!AB249+"'E4!$8W"</f>
        <v>#VALUE!</v>
      </c>
    </row>
    <row r="38" spans="6:256">
      <c r="F38" t="e">
        <f>Nodes!AC249+"'E4!$8X"</f>
        <v>#VALUE!</v>
      </c>
      <c r="G38" t="e">
        <f>Nodes!A250+"'E4!$8Y"</f>
        <v>#VALUE!</v>
      </c>
      <c r="H38" t="e">
        <f>Nodes!B250+"'E4!$8Z"</f>
        <v>#VALUE!</v>
      </c>
      <c r="I38" t="e">
        <f>Nodes!C250+"'E4!$8["</f>
        <v>#VALUE!</v>
      </c>
      <c r="J38" t="e">
        <f>Nodes!D250+"'E4!$8\"</f>
        <v>#VALUE!</v>
      </c>
      <c r="K38" t="e">
        <f>Nodes!E250+"'E4!$8]"</f>
        <v>#VALUE!</v>
      </c>
      <c r="L38" t="e">
        <f>Nodes!F250+"'E4!$8^"</f>
        <v>#VALUE!</v>
      </c>
      <c r="M38" t="e">
        <f>Nodes!G250+"'E4!$8_"</f>
        <v>#VALUE!</v>
      </c>
      <c r="N38" t="e">
        <f>Nodes!H250+"'E4!$8`"</f>
        <v>#VALUE!</v>
      </c>
      <c r="O38" t="e">
        <f>Nodes!I250+"'E4!$8a"</f>
        <v>#VALUE!</v>
      </c>
      <c r="P38" t="e">
        <f>Nodes!J250+"'E4!$8b"</f>
        <v>#VALUE!</v>
      </c>
      <c r="Q38" t="e">
        <f>Nodes!K250+"'E4!$8c"</f>
        <v>#VALUE!</v>
      </c>
      <c r="R38" t="e">
        <f>Nodes!L250+"'E4!$8d"</f>
        <v>#VALUE!</v>
      </c>
      <c r="S38" t="e">
        <f>Nodes!M250+"'E4!$8e"</f>
        <v>#VALUE!</v>
      </c>
      <c r="T38" t="e">
        <f>Nodes!N250+"'E4!$8f"</f>
        <v>#VALUE!</v>
      </c>
      <c r="U38" t="e">
        <f>Nodes!O250+"'E4!$8g"</f>
        <v>#VALUE!</v>
      </c>
      <c r="V38" t="e">
        <f>Nodes!P250+"'E4!$8h"</f>
        <v>#VALUE!</v>
      </c>
      <c r="W38" t="e">
        <f>Nodes!Q250+"'E4!$8i"</f>
        <v>#VALUE!</v>
      </c>
      <c r="X38" t="e">
        <f>Nodes!R250+"'E4!$8j"</f>
        <v>#VALUE!</v>
      </c>
      <c r="Y38" t="e">
        <f>Nodes!S250+"'E4!$8k"</f>
        <v>#VALUE!</v>
      </c>
      <c r="Z38" t="e">
        <f>Nodes!T250+"'E4!$8l"</f>
        <v>#VALUE!</v>
      </c>
      <c r="AA38" s="548" t="e">
        <f>Nodes!U250+"'E4!$8m"</f>
        <v>#VALUE!</v>
      </c>
      <c r="AB38" s="548" t="e">
        <f>Nodes!V250+"'E4!$8n"</f>
        <v>#VALUE!</v>
      </c>
      <c r="AC38" t="e">
        <f>Nodes!W250+"'E4!$8o"</f>
        <v>#VALUE!</v>
      </c>
      <c r="AD38" s="333" t="e">
        <f>Nodes!X250+"'E4!$8p"</f>
        <v>#VALUE!</v>
      </c>
      <c r="AE38" t="e">
        <f>Nodes!Y250+"'E4!$8q"</f>
        <v>#VALUE!</v>
      </c>
      <c r="AF38" t="e">
        <f>Nodes!Z250+"'E4!$8r"</f>
        <v>#VALUE!</v>
      </c>
      <c r="AG38" t="e">
        <f>Nodes!AA250+"'E4!$8s"</f>
        <v>#VALUE!</v>
      </c>
      <c r="AH38" t="e">
        <f>Nodes!AB250+"'E4!$8t"</f>
        <v>#VALUE!</v>
      </c>
      <c r="AI38" t="e">
        <f>Nodes!AC250+"'E4!$8u"</f>
        <v>#VALUE!</v>
      </c>
      <c r="AJ38" t="e">
        <f>Nodes!A251+"'E4!$8v"</f>
        <v>#VALUE!</v>
      </c>
      <c r="AK38" t="e">
        <f>Nodes!B251+"'E4!$8w"</f>
        <v>#VALUE!</v>
      </c>
      <c r="AL38" t="e">
        <f>Nodes!C251+"'E4!$8x"</f>
        <v>#VALUE!</v>
      </c>
      <c r="AM38" t="e">
        <f>Nodes!D251+"'E4!$8y"</f>
        <v>#VALUE!</v>
      </c>
      <c r="AN38" t="e">
        <f>Nodes!E251+"'E4!$8z"</f>
        <v>#VALUE!</v>
      </c>
      <c r="AO38" t="e">
        <f>Nodes!F251+"'E4!$8{"</f>
        <v>#VALUE!</v>
      </c>
      <c r="AP38" t="e">
        <f>Nodes!G251+"'E4!$8|"</f>
        <v>#VALUE!</v>
      </c>
      <c r="AQ38" t="e">
        <f>Nodes!H251+"'E4!$8}"</f>
        <v>#VALUE!</v>
      </c>
      <c r="AR38" t="e">
        <f>Nodes!I251+"'E4!$8~"</f>
        <v>#VALUE!</v>
      </c>
      <c r="AS38" t="e">
        <f>Nodes!J251+"'E4!$9#"</f>
        <v>#VALUE!</v>
      </c>
      <c r="AT38" t="e">
        <f>Nodes!K251+"'E4!$9$"</f>
        <v>#VALUE!</v>
      </c>
      <c r="AU38" t="e">
        <f>Nodes!L251+"'E4!$9%"</f>
        <v>#VALUE!</v>
      </c>
      <c r="AV38" t="e">
        <f>Nodes!M251+"'E4!$9&amp;"</f>
        <v>#VALUE!</v>
      </c>
      <c r="AW38" t="e">
        <f>Nodes!N251+"'E4!$9'"</f>
        <v>#VALUE!</v>
      </c>
      <c r="AX38" t="e">
        <f>Nodes!O251+"'E4!$9("</f>
        <v>#VALUE!</v>
      </c>
      <c r="AY38" t="e">
        <f>Nodes!P251+"'E4!$9)"</f>
        <v>#VALUE!</v>
      </c>
      <c r="AZ38" t="e">
        <f>Nodes!Q251+"'E4!$9."</f>
        <v>#VALUE!</v>
      </c>
      <c r="BA38" t="e">
        <f>Nodes!R251+"'E4!$9/"</f>
        <v>#VALUE!</v>
      </c>
      <c r="BB38" t="e">
        <f>Nodes!S251+"'E4!$90"</f>
        <v>#VALUE!</v>
      </c>
      <c r="BC38" t="e">
        <f>Nodes!T251+"'E4!$91"</f>
        <v>#VALUE!</v>
      </c>
      <c r="BD38" t="e">
        <f>Nodes!U251+"'E4!$92"</f>
        <v>#VALUE!</v>
      </c>
      <c r="BE38" t="e">
        <f>Nodes!V251+"'E4!$93"</f>
        <v>#VALUE!</v>
      </c>
      <c r="BF38" t="e">
        <f>Nodes!W251+"'E4!$94"</f>
        <v>#VALUE!</v>
      </c>
      <c r="BG38" s="333" t="e">
        <f>Nodes!X251+"'E4!$95"</f>
        <v>#VALUE!</v>
      </c>
      <c r="BH38" t="e">
        <f>Nodes!Y251+"'E4!$96"</f>
        <v>#VALUE!</v>
      </c>
      <c r="BI38" t="e">
        <f>Nodes!Z251+"'E4!$97"</f>
        <v>#VALUE!</v>
      </c>
      <c r="BJ38" t="e">
        <f>Nodes!AA251+"'E4!$98"</f>
        <v>#VALUE!</v>
      </c>
      <c r="BK38" t="e">
        <f>Nodes!AB251+"'E4!$99"</f>
        <v>#VALUE!</v>
      </c>
      <c r="BL38" t="e">
        <f>Nodes!AC251+"'E4!$9:"</f>
        <v>#VALUE!</v>
      </c>
      <c r="BM38" t="e">
        <f>Nodes!A252+"'E4!$9;"</f>
        <v>#VALUE!</v>
      </c>
      <c r="BN38" t="e">
        <f>Nodes!B252+"'E4!$9&lt;"</f>
        <v>#VALUE!</v>
      </c>
      <c r="BO38" t="e">
        <f>Nodes!C252+"'E4!$9="</f>
        <v>#VALUE!</v>
      </c>
      <c r="BP38" t="e">
        <f>Nodes!D252+"'E4!$9&gt;"</f>
        <v>#VALUE!</v>
      </c>
      <c r="BQ38" t="e">
        <f>Nodes!E252+"'E4!$9?"</f>
        <v>#VALUE!</v>
      </c>
      <c r="BR38" t="e">
        <f>Nodes!F252+"'E4!$9@"</f>
        <v>#VALUE!</v>
      </c>
      <c r="BS38" t="e">
        <f>Nodes!G252+"'E4!$9A"</f>
        <v>#VALUE!</v>
      </c>
      <c r="BT38" t="e">
        <f>Nodes!H252+"'E4!$9B"</f>
        <v>#VALUE!</v>
      </c>
      <c r="BU38" t="e">
        <f>Nodes!I252+"'E4!$9C"</f>
        <v>#VALUE!</v>
      </c>
      <c r="BV38" t="e">
        <f>Nodes!J252+"'E4!$9D"</f>
        <v>#VALUE!</v>
      </c>
      <c r="BW38" t="e">
        <f>Nodes!K252+"'E4!$9E"</f>
        <v>#VALUE!</v>
      </c>
      <c r="BX38" t="e">
        <f>Nodes!L252+"'E4!$9F"</f>
        <v>#VALUE!</v>
      </c>
      <c r="BY38" t="e">
        <f>Nodes!M252+"'E4!$9G"</f>
        <v>#VALUE!</v>
      </c>
      <c r="BZ38" t="e">
        <f>Nodes!N252+"'E4!$9H"</f>
        <v>#VALUE!</v>
      </c>
      <c r="CA38" t="e">
        <f>Nodes!O252+"'E4!$9I"</f>
        <v>#VALUE!</v>
      </c>
      <c r="CB38" t="e">
        <f>Nodes!P252+"'E4!$9J"</f>
        <v>#VALUE!</v>
      </c>
      <c r="CC38" t="e">
        <f>Nodes!Q252+"'E4!$9K"</f>
        <v>#VALUE!</v>
      </c>
      <c r="CD38" t="e">
        <f>Nodes!R252+"'E4!$9L"</f>
        <v>#VALUE!</v>
      </c>
      <c r="CE38" t="e">
        <f>Nodes!S252+"'E4!$9M"</f>
        <v>#VALUE!</v>
      </c>
      <c r="CF38" t="e">
        <f>Nodes!T252+"'E4!$9N"</f>
        <v>#VALUE!</v>
      </c>
      <c r="CG38" s="548" t="e">
        <f>Nodes!U252+"'E4!$9O"</f>
        <v>#VALUE!</v>
      </c>
      <c r="CH38" s="548" t="e">
        <f>Nodes!V252+"'E4!$9P"</f>
        <v>#VALUE!</v>
      </c>
      <c r="CI38" t="e">
        <f>Nodes!W252+"'E4!$9Q"</f>
        <v>#VALUE!</v>
      </c>
      <c r="CJ38" s="333" t="e">
        <f>Nodes!X252+"'E4!$9R"</f>
        <v>#VALUE!</v>
      </c>
      <c r="CK38" t="e">
        <f>Nodes!Y252+"'E4!$9S"</f>
        <v>#VALUE!</v>
      </c>
      <c r="CL38" t="e">
        <f>Nodes!Z252+"'E4!$9T"</f>
        <v>#VALUE!</v>
      </c>
      <c r="CM38" t="e">
        <f>Nodes!AA252+"'E4!$9U"</f>
        <v>#VALUE!</v>
      </c>
      <c r="CN38" t="e">
        <f>Nodes!AB252+"'E4!$9V"</f>
        <v>#VALUE!</v>
      </c>
      <c r="CO38" t="e">
        <f>Nodes!AC252+"'E4!$9W"</f>
        <v>#VALUE!</v>
      </c>
      <c r="CP38" t="e">
        <f>Nodes!A253+"'E4!$9X"</f>
        <v>#VALUE!</v>
      </c>
      <c r="CQ38" t="e">
        <f>Nodes!B253+"'E4!$9Y"</f>
        <v>#VALUE!</v>
      </c>
      <c r="CR38" t="e">
        <f>Nodes!C253+"'E4!$9Z"</f>
        <v>#VALUE!</v>
      </c>
      <c r="CS38" t="e">
        <f>Nodes!D253+"'E4!$9["</f>
        <v>#VALUE!</v>
      </c>
      <c r="CT38" t="e">
        <f>Nodes!E253+"'E4!$9\"</f>
        <v>#VALUE!</v>
      </c>
      <c r="CU38" t="e">
        <f>Nodes!F253+"'E4!$9]"</f>
        <v>#VALUE!</v>
      </c>
      <c r="CV38" t="e">
        <f>Nodes!G253+"'E4!$9^"</f>
        <v>#VALUE!</v>
      </c>
      <c r="CW38" t="e">
        <f>Nodes!H253+"'E4!$9_"</f>
        <v>#VALUE!</v>
      </c>
      <c r="CX38" t="e">
        <f>Nodes!I253+"'E4!$9`"</f>
        <v>#VALUE!</v>
      </c>
      <c r="CY38" t="e">
        <f>Nodes!J253+"'E4!$9a"</f>
        <v>#VALUE!</v>
      </c>
      <c r="CZ38" t="e">
        <f>Nodes!K253+"'E4!$9b"</f>
        <v>#VALUE!</v>
      </c>
      <c r="DA38" t="e">
        <f>Nodes!L253+"'E4!$9c"</f>
        <v>#VALUE!</v>
      </c>
      <c r="DB38" t="e">
        <f>Nodes!M253+"'E4!$9d"</f>
        <v>#VALUE!</v>
      </c>
      <c r="DC38" t="e">
        <f>Nodes!N253+"'E4!$9e"</f>
        <v>#VALUE!</v>
      </c>
      <c r="DD38" t="e">
        <f>Nodes!O253+"'E4!$9f"</f>
        <v>#VALUE!</v>
      </c>
      <c r="DE38" t="e">
        <f>Nodes!P253+"'E4!$9g"</f>
        <v>#VALUE!</v>
      </c>
      <c r="DF38" t="e">
        <f>Nodes!Q253+"'E4!$9h"</f>
        <v>#VALUE!</v>
      </c>
      <c r="DG38" t="e">
        <f>Nodes!R253+"'E4!$9i"</f>
        <v>#VALUE!</v>
      </c>
      <c r="DH38" t="e">
        <f>Nodes!S253+"'E4!$9j"</f>
        <v>#VALUE!</v>
      </c>
      <c r="DI38" s="548" t="e">
        <f>Nodes!T253+"'E4!$9k"</f>
        <v>#VALUE!</v>
      </c>
      <c r="DJ38" s="548" t="e">
        <f>Nodes!U253+"'E4!$9l"</f>
        <v>#VALUE!</v>
      </c>
      <c r="DK38" s="548" t="e">
        <f>Nodes!V253+"'E4!$9m"</f>
        <v>#VALUE!</v>
      </c>
      <c r="DL38" s="548" t="e">
        <f>Nodes!W253+"'E4!$9n"</f>
        <v>#VALUE!</v>
      </c>
      <c r="DM38" s="333" t="e">
        <f>Nodes!X253+"'E4!$9o"</f>
        <v>#VALUE!</v>
      </c>
      <c r="DN38" t="e">
        <f>Nodes!Y253+"'E4!$9p"</f>
        <v>#VALUE!</v>
      </c>
      <c r="DO38" t="e">
        <f>Nodes!Z253+"'E4!$9q"</f>
        <v>#VALUE!</v>
      </c>
      <c r="DP38" t="e">
        <f>Nodes!AA253+"'E4!$9r"</f>
        <v>#VALUE!</v>
      </c>
      <c r="DQ38" t="e">
        <f>Nodes!AB253+"'E4!$9s"</f>
        <v>#VALUE!</v>
      </c>
      <c r="DR38" t="e">
        <f>Nodes!AC253+"'E4!$9t"</f>
        <v>#VALUE!</v>
      </c>
      <c r="DS38" t="e">
        <f>Nodes!A254+"'E4!$9u"</f>
        <v>#VALUE!</v>
      </c>
      <c r="DT38" t="e">
        <f>Nodes!B254+"'E4!$9v"</f>
        <v>#VALUE!</v>
      </c>
      <c r="DU38" t="e">
        <f>Nodes!C254+"'E4!$9w"</f>
        <v>#VALUE!</v>
      </c>
      <c r="DV38" t="e">
        <f>Nodes!D254+"'E4!$9x"</f>
        <v>#VALUE!</v>
      </c>
      <c r="DW38" t="e">
        <f>Nodes!E254+"'E4!$9y"</f>
        <v>#VALUE!</v>
      </c>
      <c r="DX38" t="e">
        <f>Nodes!F254+"'E4!$9z"</f>
        <v>#VALUE!</v>
      </c>
      <c r="DY38" t="e">
        <f>Nodes!G254+"'E4!$9{"</f>
        <v>#VALUE!</v>
      </c>
      <c r="DZ38" t="e">
        <f>Nodes!H254+"'E4!$9|"</f>
        <v>#VALUE!</v>
      </c>
      <c r="EA38" t="e">
        <f>Nodes!I254+"'E4!$9}"</f>
        <v>#VALUE!</v>
      </c>
      <c r="EB38" t="e">
        <f>Nodes!J254+"'E4!$9~"</f>
        <v>#VALUE!</v>
      </c>
      <c r="EC38" t="e">
        <f>Nodes!K254+"'E4!$:#"</f>
        <v>#VALUE!</v>
      </c>
      <c r="ED38" t="e">
        <f>Nodes!L254+"'E4!$:$"</f>
        <v>#VALUE!</v>
      </c>
      <c r="EE38" t="e">
        <f>Nodes!M254+"'E4!$:%"</f>
        <v>#VALUE!</v>
      </c>
      <c r="EF38" t="e">
        <f>Nodes!N254+"'E4!$:&amp;"</f>
        <v>#VALUE!</v>
      </c>
      <c r="EG38" t="e">
        <f>Nodes!O254+"'E4!$:'"</f>
        <v>#VALUE!</v>
      </c>
      <c r="EH38" t="e">
        <f>Nodes!P254+"'E4!$:("</f>
        <v>#VALUE!</v>
      </c>
      <c r="EI38" t="e">
        <f>Nodes!Q254+"'E4!$:)"</f>
        <v>#VALUE!</v>
      </c>
      <c r="EJ38" t="e">
        <f>Nodes!R254+"'E4!$:."</f>
        <v>#VALUE!</v>
      </c>
      <c r="EK38" t="e">
        <f>Nodes!S254+"'E4!$:/"</f>
        <v>#VALUE!</v>
      </c>
      <c r="EL38" s="548" t="e">
        <f>Nodes!T254+"'E4!$:0"</f>
        <v>#VALUE!</v>
      </c>
      <c r="EM38" s="548" t="e">
        <f>Nodes!U254+"'E4!$:1"</f>
        <v>#VALUE!</v>
      </c>
      <c r="EN38" t="e">
        <f>Nodes!V254+"'E4!$:2"</f>
        <v>#VALUE!</v>
      </c>
      <c r="EO38" t="e">
        <f>Nodes!W254+"'E4!$:3"</f>
        <v>#VALUE!</v>
      </c>
      <c r="EP38" s="333" t="e">
        <f>Nodes!X254+"'E4!$:4"</f>
        <v>#VALUE!</v>
      </c>
      <c r="EQ38" t="e">
        <f>Nodes!Y254+"'E4!$:5"</f>
        <v>#VALUE!</v>
      </c>
      <c r="ER38" t="e">
        <f>Nodes!Z254+"'E4!$:6"</f>
        <v>#VALUE!</v>
      </c>
      <c r="ES38" t="e">
        <f>Nodes!AA254+"'E4!$:7"</f>
        <v>#VALUE!</v>
      </c>
      <c r="ET38" t="e">
        <f>Nodes!AB254+"'E4!$:8"</f>
        <v>#VALUE!</v>
      </c>
      <c r="EU38" t="e">
        <f>Nodes!AC254+"'E4!$:9"</f>
        <v>#VALUE!</v>
      </c>
      <c r="EV38" t="e">
        <f>Nodes!A255+"'E4!$::"</f>
        <v>#VALUE!</v>
      </c>
      <c r="EW38" t="e">
        <f>Nodes!B255+"'E4!$:;"</f>
        <v>#VALUE!</v>
      </c>
      <c r="EX38" t="e">
        <f>Nodes!C255+"'E4!$:&lt;"</f>
        <v>#VALUE!</v>
      </c>
      <c r="EY38" t="e">
        <f>Nodes!D255+"'E4!$:="</f>
        <v>#VALUE!</v>
      </c>
      <c r="EZ38" t="e">
        <f>Nodes!E255+"'E4!$:&gt;"</f>
        <v>#VALUE!</v>
      </c>
      <c r="FA38" t="e">
        <f>Nodes!F255+"'E4!$:?"</f>
        <v>#VALUE!</v>
      </c>
      <c r="FB38" t="e">
        <f>Nodes!G255+"'E4!$:@"</f>
        <v>#VALUE!</v>
      </c>
      <c r="FC38" t="e">
        <f>Nodes!H255+"'E4!$:A"</f>
        <v>#VALUE!</v>
      </c>
      <c r="FD38" t="e">
        <f>Nodes!I255+"'E4!$:B"</f>
        <v>#VALUE!</v>
      </c>
      <c r="FE38" t="e">
        <f>Nodes!J255+"'E4!$:C"</f>
        <v>#VALUE!</v>
      </c>
      <c r="FF38" t="e">
        <f>Nodes!K255+"'E4!$:D"</f>
        <v>#VALUE!</v>
      </c>
      <c r="FG38" t="e">
        <f>Nodes!L255+"'E4!$:E"</f>
        <v>#VALUE!</v>
      </c>
      <c r="FH38" t="e">
        <f>Nodes!M255+"'E4!$:F"</f>
        <v>#VALUE!</v>
      </c>
      <c r="FI38" t="e">
        <f>Nodes!N255+"'E4!$:G"</f>
        <v>#VALUE!</v>
      </c>
      <c r="FJ38" t="e">
        <f>Nodes!O255+"'E4!$:H"</f>
        <v>#VALUE!</v>
      </c>
      <c r="FK38" t="e">
        <f>Nodes!P255+"'E4!$:I"</f>
        <v>#VALUE!</v>
      </c>
      <c r="FL38" t="e">
        <f>Nodes!Q255+"'E4!$:J"</f>
        <v>#VALUE!</v>
      </c>
      <c r="FM38" t="e">
        <f>Nodes!R255+"'E4!$:K"</f>
        <v>#VALUE!</v>
      </c>
      <c r="FN38" t="e">
        <f>Nodes!S255+"'E4!$:L"</f>
        <v>#VALUE!</v>
      </c>
      <c r="FO38" s="548" t="e">
        <f>Nodes!T255+"'E4!$:M"</f>
        <v>#VALUE!</v>
      </c>
      <c r="FP38" s="548" t="e">
        <f>Nodes!U255+"'E4!$:N"</f>
        <v>#VALUE!</v>
      </c>
      <c r="FQ38" t="e">
        <f>Nodes!V255+"'E4!$:O"</f>
        <v>#VALUE!</v>
      </c>
      <c r="FR38" t="e">
        <f>Nodes!W255+"'E4!$:P"</f>
        <v>#VALUE!</v>
      </c>
      <c r="FS38" s="333" t="e">
        <f>Nodes!X255+"'E4!$:Q"</f>
        <v>#VALUE!</v>
      </c>
      <c r="FT38" t="e">
        <f>Nodes!Y255+"'E4!$:R"</f>
        <v>#VALUE!</v>
      </c>
      <c r="FU38" t="e">
        <f>Nodes!Z255+"'E4!$:S"</f>
        <v>#VALUE!</v>
      </c>
      <c r="FV38" t="e">
        <f>Nodes!AA255+"'E4!$:T"</f>
        <v>#VALUE!</v>
      </c>
      <c r="FW38" t="e">
        <f>Nodes!AB255+"'E4!$:U"</f>
        <v>#VALUE!</v>
      </c>
      <c r="FX38" t="e">
        <f>Nodes!AC255+"'E4!$:V"</f>
        <v>#VALUE!</v>
      </c>
      <c r="FY38" t="e">
        <f>Nodes!A256+"'E4!$:W"</f>
        <v>#VALUE!</v>
      </c>
      <c r="FZ38" t="e">
        <f>Nodes!B256+"'E4!$:X"</f>
        <v>#VALUE!</v>
      </c>
      <c r="GA38" t="e">
        <f>Nodes!C256+"'E4!$:Y"</f>
        <v>#VALUE!</v>
      </c>
      <c r="GB38" t="e">
        <f>Nodes!D256+"'E4!$:Z"</f>
        <v>#VALUE!</v>
      </c>
      <c r="GC38" t="e">
        <f>Nodes!E256+"'E4!$:["</f>
        <v>#VALUE!</v>
      </c>
      <c r="GD38" t="e">
        <f>Nodes!F256+"'E4!$:\"</f>
        <v>#VALUE!</v>
      </c>
      <c r="GE38" t="e">
        <f>Nodes!G256+"'E4!$:]"</f>
        <v>#VALUE!</v>
      </c>
      <c r="GF38" t="e">
        <f>Nodes!H256+"'E4!$:^"</f>
        <v>#VALUE!</v>
      </c>
      <c r="GG38" t="e">
        <f>Nodes!I256+"'E4!$:_"</f>
        <v>#VALUE!</v>
      </c>
      <c r="GH38" t="e">
        <f>Nodes!J256+"'E4!$:`"</f>
        <v>#VALUE!</v>
      </c>
      <c r="GI38" t="e">
        <f>Nodes!K256+"'E4!$:a"</f>
        <v>#VALUE!</v>
      </c>
      <c r="GJ38" t="e">
        <f>Nodes!L256+"'E4!$:b"</f>
        <v>#VALUE!</v>
      </c>
      <c r="GK38" t="e">
        <f>Nodes!M256+"'E4!$:c"</f>
        <v>#VALUE!</v>
      </c>
      <c r="GL38" t="e">
        <f>Nodes!N256+"'E4!$:d"</f>
        <v>#VALUE!</v>
      </c>
      <c r="GM38" t="e">
        <f>Nodes!O256+"'E4!$:e"</f>
        <v>#VALUE!</v>
      </c>
      <c r="GN38" t="e">
        <f>Nodes!P256+"'E4!$:f"</f>
        <v>#VALUE!</v>
      </c>
      <c r="GO38" t="e">
        <f>Nodes!Q256+"'E4!$:g"</f>
        <v>#VALUE!</v>
      </c>
      <c r="GP38" t="e">
        <f>Nodes!R256+"'E4!$:h"</f>
        <v>#VALUE!</v>
      </c>
      <c r="GQ38" t="e">
        <f>Nodes!S256+"'E4!$:i"</f>
        <v>#VALUE!</v>
      </c>
      <c r="GR38" s="548" t="e">
        <f>Nodes!T256+"'E4!$:j"</f>
        <v>#VALUE!</v>
      </c>
      <c r="GS38" s="548" t="e">
        <f>Nodes!U256+"'E4!$:k"</f>
        <v>#VALUE!</v>
      </c>
      <c r="GT38" t="e">
        <f>Nodes!V256+"'E4!$:l"</f>
        <v>#VALUE!</v>
      </c>
      <c r="GU38" t="e">
        <f>Nodes!W256+"'E4!$:m"</f>
        <v>#VALUE!</v>
      </c>
      <c r="GV38" s="333" t="e">
        <f>Nodes!X256+"'E4!$:n"</f>
        <v>#VALUE!</v>
      </c>
      <c r="GW38" t="e">
        <f>Nodes!Y256+"'E4!$:o"</f>
        <v>#VALUE!</v>
      </c>
      <c r="GX38" t="e">
        <f>Nodes!Z256+"'E4!$:p"</f>
        <v>#VALUE!</v>
      </c>
      <c r="GY38" t="e">
        <f>Nodes!AA256+"'E4!$:q"</f>
        <v>#VALUE!</v>
      </c>
      <c r="GZ38" t="e">
        <f>Nodes!AB256+"'E4!$:r"</f>
        <v>#VALUE!</v>
      </c>
      <c r="HA38" t="e">
        <f>Nodes!AC256+"'E4!$:s"</f>
        <v>#VALUE!</v>
      </c>
      <c r="HB38" t="e">
        <f>Nodes!A257+"'E4!$:t"</f>
        <v>#VALUE!</v>
      </c>
      <c r="HC38" t="e">
        <f>Nodes!B257+"'E4!$:u"</f>
        <v>#VALUE!</v>
      </c>
      <c r="HD38" t="e">
        <f>Nodes!C257+"'E4!$:v"</f>
        <v>#VALUE!</v>
      </c>
      <c r="HE38" t="e">
        <f>Nodes!D257+"'E4!$:w"</f>
        <v>#VALUE!</v>
      </c>
      <c r="HF38" t="e">
        <f>Nodes!E257+"'E4!$:x"</f>
        <v>#VALUE!</v>
      </c>
      <c r="HG38" t="e">
        <f>Nodes!F257+"'E4!$:y"</f>
        <v>#VALUE!</v>
      </c>
      <c r="HH38" t="e">
        <f>Nodes!G257+"'E4!$:z"</f>
        <v>#VALUE!</v>
      </c>
      <c r="HI38" t="e">
        <f>Nodes!H257+"'E4!$:{"</f>
        <v>#VALUE!</v>
      </c>
      <c r="HJ38" t="e">
        <f>Nodes!I257+"'E4!$:|"</f>
        <v>#VALUE!</v>
      </c>
      <c r="HK38" t="e">
        <f>Nodes!J257+"'E4!$:}"</f>
        <v>#VALUE!</v>
      </c>
      <c r="HL38" t="e">
        <f>Nodes!K257+"'E4!$:~"</f>
        <v>#VALUE!</v>
      </c>
      <c r="HM38" t="e">
        <f>Nodes!L257+"'E4!$;#"</f>
        <v>#VALUE!</v>
      </c>
      <c r="HN38" t="e">
        <f>Nodes!M257+"'E4!$;$"</f>
        <v>#VALUE!</v>
      </c>
      <c r="HO38" t="e">
        <f>Nodes!N257+"'E4!$;%"</f>
        <v>#VALUE!</v>
      </c>
      <c r="HP38" t="e">
        <f>Nodes!O257+"'E4!$;&amp;"</f>
        <v>#VALUE!</v>
      </c>
      <c r="HQ38" t="e">
        <f>Nodes!P257+"'E4!$;'"</f>
        <v>#VALUE!</v>
      </c>
      <c r="HR38" t="e">
        <f>Nodes!Q257+"'E4!$;("</f>
        <v>#VALUE!</v>
      </c>
      <c r="HS38" t="e">
        <f>Nodes!R257+"'E4!$;)"</f>
        <v>#VALUE!</v>
      </c>
      <c r="HT38" t="e">
        <f>Nodes!S257+"'E4!$;."</f>
        <v>#VALUE!</v>
      </c>
      <c r="HU38" s="548" t="e">
        <f>Nodes!T257+"'E4!$;/"</f>
        <v>#VALUE!</v>
      </c>
      <c r="HV38" s="548" t="e">
        <f>Nodes!U257+"'E4!$;0"</f>
        <v>#VALUE!</v>
      </c>
      <c r="HW38" t="e">
        <f>Nodes!V257+"'E4!$;1"</f>
        <v>#VALUE!</v>
      </c>
      <c r="HX38" t="e">
        <f>Nodes!W257+"'E4!$;2"</f>
        <v>#VALUE!</v>
      </c>
      <c r="HY38" s="333" t="e">
        <f>Nodes!X257+"'E4!$;3"</f>
        <v>#VALUE!</v>
      </c>
      <c r="HZ38" t="e">
        <f>Nodes!Y257+"'E4!$;4"</f>
        <v>#VALUE!</v>
      </c>
      <c r="IA38" t="e">
        <f>Nodes!Z257+"'E4!$;5"</f>
        <v>#VALUE!</v>
      </c>
      <c r="IB38" t="e">
        <f>Nodes!AA257+"'E4!$;6"</f>
        <v>#VALUE!</v>
      </c>
      <c r="IC38" t="e">
        <f>Nodes!AB257+"'E4!$;7"</f>
        <v>#VALUE!</v>
      </c>
      <c r="ID38" t="e">
        <f>Nodes!AC257+"'E4!$;8"</f>
        <v>#VALUE!</v>
      </c>
      <c r="IE38" t="e">
        <f>Nodes!A258+"'E4!$;9"</f>
        <v>#VALUE!</v>
      </c>
      <c r="IF38" t="e">
        <f>Nodes!B258+"'E4!$;:"</f>
        <v>#VALUE!</v>
      </c>
      <c r="IG38" t="e">
        <f>Nodes!C258+"'E4!$;;"</f>
        <v>#VALUE!</v>
      </c>
      <c r="IH38" t="e">
        <f>Nodes!D258+"'E4!$;&lt;"</f>
        <v>#VALUE!</v>
      </c>
      <c r="II38" t="e">
        <f>Nodes!E258+"'E4!$;="</f>
        <v>#VALUE!</v>
      </c>
      <c r="IJ38" t="e">
        <f>Nodes!F258+"'E4!$;&gt;"</f>
        <v>#VALUE!</v>
      </c>
      <c r="IK38" t="e">
        <f>Nodes!G258+"'E4!$;?"</f>
        <v>#VALUE!</v>
      </c>
      <c r="IL38" t="e">
        <f>Nodes!H258+"'E4!$;@"</f>
        <v>#VALUE!</v>
      </c>
      <c r="IM38" t="e">
        <f>Nodes!I258+"'E4!$;A"</f>
        <v>#VALUE!</v>
      </c>
      <c r="IN38" t="e">
        <f>Nodes!J258+"'E4!$;B"</f>
        <v>#VALUE!</v>
      </c>
      <c r="IO38" t="e">
        <f>Nodes!K258+"'E4!$;C"</f>
        <v>#VALUE!</v>
      </c>
      <c r="IP38" t="e">
        <f>Nodes!L258+"'E4!$;D"</f>
        <v>#VALUE!</v>
      </c>
      <c r="IQ38" t="e">
        <f>Nodes!M258+"'E4!$;E"</f>
        <v>#VALUE!</v>
      </c>
      <c r="IR38" t="e">
        <f>Nodes!N258+"'E4!$;F"</f>
        <v>#VALUE!</v>
      </c>
      <c r="IS38" t="e">
        <f>Nodes!O258+"'E4!$;G"</f>
        <v>#VALUE!</v>
      </c>
      <c r="IT38" t="e">
        <f>Nodes!P258+"'E4!$;H"</f>
        <v>#VALUE!</v>
      </c>
      <c r="IU38" t="e">
        <f>Nodes!Q258+"'E4!$;I"</f>
        <v>#VALUE!</v>
      </c>
      <c r="IV38" t="e">
        <f>Nodes!R258+"'E4!$;J"</f>
        <v>#VALUE!</v>
      </c>
    </row>
    <row r="39" spans="6:256">
      <c r="F39" t="e">
        <f>Nodes!S258+"'E4!$;K"</f>
        <v>#VALUE!</v>
      </c>
      <c r="G39" s="548" t="e">
        <f>Nodes!T258+"'E4!$;L"</f>
        <v>#VALUE!</v>
      </c>
      <c r="H39" s="548" t="e">
        <f>Nodes!U258+"'E4!$;M"</f>
        <v>#VALUE!</v>
      </c>
      <c r="I39" t="e">
        <f>Nodes!V258+"'E4!$;N"</f>
        <v>#VALUE!</v>
      </c>
      <c r="J39" t="e">
        <f>Nodes!W258+"'E4!$;O"</f>
        <v>#VALUE!</v>
      </c>
      <c r="K39" s="333" t="e">
        <f>Nodes!X258+"'E4!$;P"</f>
        <v>#VALUE!</v>
      </c>
      <c r="L39" t="e">
        <f>Nodes!Y258+"'E4!$;Q"</f>
        <v>#VALUE!</v>
      </c>
      <c r="M39" t="e">
        <f>Nodes!Z258+"'E4!$;R"</f>
        <v>#VALUE!</v>
      </c>
      <c r="N39" t="e">
        <f>Nodes!AA258+"'E4!$;S"</f>
        <v>#VALUE!</v>
      </c>
      <c r="O39" t="e">
        <f>Nodes!AB258+"'E4!$;T"</f>
        <v>#VALUE!</v>
      </c>
      <c r="P39" t="e">
        <f>Nodes!AC258+"'E4!$;U"</f>
        <v>#VALUE!</v>
      </c>
      <c r="Q39" t="e">
        <f>Nodes!A259+"'E4!$;V"</f>
        <v>#VALUE!</v>
      </c>
      <c r="R39" t="e">
        <f>Nodes!B259+"'E4!$;W"</f>
        <v>#VALUE!</v>
      </c>
      <c r="S39" t="e">
        <f>Nodes!C259+"'E4!$;X"</f>
        <v>#VALUE!</v>
      </c>
      <c r="T39" t="e">
        <f>Nodes!D259+"'E4!$;Y"</f>
        <v>#VALUE!</v>
      </c>
      <c r="U39" t="e">
        <f>Nodes!E259+"'E4!$;Z"</f>
        <v>#VALUE!</v>
      </c>
      <c r="V39" t="e">
        <f>Nodes!F259+"'E4!$;["</f>
        <v>#VALUE!</v>
      </c>
      <c r="W39" t="e">
        <f>Nodes!G259+"'E4!$;\"</f>
        <v>#VALUE!</v>
      </c>
      <c r="X39" t="e">
        <f>Nodes!H259+"'E4!$;]"</f>
        <v>#VALUE!</v>
      </c>
      <c r="Y39" t="e">
        <f>Nodes!I259+"'E4!$;^"</f>
        <v>#VALUE!</v>
      </c>
      <c r="Z39" t="e">
        <f>Nodes!J259+"'E4!$;_"</f>
        <v>#VALUE!</v>
      </c>
      <c r="AA39" t="e">
        <f>Nodes!K259+"'E4!$;`"</f>
        <v>#VALUE!</v>
      </c>
      <c r="AB39" t="e">
        <f>Nodes!L259+"'E4!$;a"</f>
        <v>#VALUE!</v>
      </c>
      <c r="AC39" t="e">
        <f>Nodes!M259+"'E4!$;b"</f>
        <v>#VALUE!</v>
      </c>
      <c r="AD39" t="e">
        <f>Nodes!N259+"'E4!$;c"</f>
        <v>#VALUE!</v>
      </c>
      <c r="AE39" t="e">
        <f>Nodes!O259+"'E4!$;d"</f>
        <v>#VALUE!</v>
      </c>
      <c r="AF39" t="e">
        <f>Nodes!P259+"'E4!$;e"</f>
        <v>#VALUE!</v>
      </c>
      <c r="AG39" t="e">
        <f>Nodes!Q259+"'E4!$;f"</f>
        <v>#VALUE!</v>
      </c>
      <c r="AH39" t="e">
        <f>Nodes!R259+"'E4!$;g"</f>
        <v>#VALUE!</v>
      </c>
      <c r="AI39" t="e">
        <f>Nodes!S259+"'E4!$;h"</f>
        <v>#VALUE!</v>
      </c>
      <c r="AJ39" s="548" t="e">
        <f>Nodes!T259+"'E4!$;i"</f>
        <v>#VALUE!</v>
      </c>
      <c r="AK39" s="548" t="e">
        <f>Nodes!U259+"'E4!$;j"</f>
        <v>#VALUE!</v>
      </c>
      <c r="AL39" t="e">
        <f>Nodes!V259+"'E4!$;k"</f>
        <v>#VALUE!</v>
      </c>
      <c r="AM39" t="e">
        <f>Nodes!W259+"'E4!$;l"</f>
        <v>#VALUE!</v>
      </c>
      <c r="AN39" s="333" t="e">
        <f>Nodes!X259+"'E4!$;m"</f>
        <v>#VALUE!</v>
      </c>
      <c r="AO39" t="e">
        <f>Nodes!Y259+"'E4!$;n"</f>
        <v>#VALUE!</v>
      </c>
      <c r="AP39" t="e">
        <f>Nodes!Z259+"'E4!$;o"</f>
        <v>#VALUE!</v>
      </c>
      <c r="AQ39" t="e">
        <f>Nodes!AA259+"'E4!$;p"</f>
        <v>#VALUE!</v>
      </c>
      <c r="AR39" t="e">
        <f>Nodes!AB259+"'E4!$;q"</f>
        <v>#VALUE!</v>
      </c>
      <c r="AS39" t="e">
        <f>Nodes!AC259+"'E4!$;r"</f>
        <v>#VALUE!</v>
      </c>
      <c r="AT39" t="e">
        <f>Nodes!A260+"'E4!$;s"</f>
        <v>#VALUE!</v>
      </c>
      <c r="AU39" t="e">
        <f>Nodes!B260+"'E4!$;t"</f>
        <v>#VALUE!</v>
      </c>
      <c r="AV39" t="e">
        <f>Nodes!C260+"'E4!$;u"</f>
        <v>#VALUE!</v>
      </c>
      <c r="AW39" t="e">
        <f>Nodes!D260+"'E4!$;v"</f>
        <v>#VALUE!</v>
      </c>
      <c r="AX39" t="e">
        <f>Nodes!E260+"'E4!$;w"</f>
        <v>#VALUE!</v>
      </c>
      <c r="AY39" t="e">
        <f>Nodes!F260+"'E4!$;x"</f>
        <v>#VALUE!</v>
      </c>
      <c r="AZ39" t="e">
        <f>Nodes!G260+"'E4!$;y"</f>
        <v>#VALUE!</v>
      </c>
      <c r="BA39" t="e">
        <f>Nodes!H260+"'E4!$;z"</f>
        <v>#VALUE!</v>
      </c>
      <c r="BB39" t="e">
        <f>Nodes!I260+"'E4!$;{"</f>
        <v>#VALUE!</v>
      </c>
      <c r="BC39" t="e">
        <f>Nodes!J260+"'E4!$;|"</f>
        <v>#VALUE!</v>
      </c>
      <c r="BD39" t="e">
        <f>Nodes!K260+"'E4!$;}"</f>
        <v>#VALUE!</v>
      </c>
      <c r="BE39" t="e">
        <f>Nodes!L260+"'E4!$;~"</f>
        <v>#VALUE!</v>
      </c>
      <c r="BF39" t="e">
        <f>Nodes!M260+"'E4!$&lt;#"</f>
        <v>#VALUE!</v>
      </c>
      <c r="BG39" t="e">
        <f>Nodes!N260+"'E4!$&lt;$"</f>
        <v>#VALUE!</v>
      </c>
      <c r="BH39" t="e">
        <f>Nodes!O260+"'E4!$&lt;%"</f>
        <v>#VALUE!</v>
      </c>
      <c r="BI39" t="e">
        <f>Nodes!P260+"'E4!$&lt;&amp;"</f>
        <v>#VALUE!</v>
      </c>
      <c r="BJ39" t="e">
        <f>Nodes!Q260+"'E4!$&lt;'"</f>
        <v>#VALUE!</v>
      </c>
      <c r="BK39" t="e">
        <f>Nodes!R260+"'E4!$&lt;("</f>
        <v>#VALUE!</v>
      </c>
      <c r="BL39" t="e">
        <f>Nodes!S260+"'E4!$&lt;)"</f>
        <v>#VALUE!</v>
      </c>
      <c r="BM39" s="548" t="e">
        <f>Nodes!T260+"'E4!$&lt;."</f>
        <v>#VALUE!</v>
      </c>
      <c r="BN39" s="548" t="e">
        <f>Nodes!U260+"'E4!$&lt;/"</f>
        <v>#VALUE!</v>
      </c>
      <c r="BO39" t="e">
        <f>Nodes!V260+"'E4!$&lt;0"</f>
        <v>#VALUE!</v>
      </c>
      <c r="BP39" t="e">
        <f>Nodes!W260+"'E4!$&lt;1"</f>
        <v>#VALUE!</v>
      </c>
      <c r="BQ39" s="333" t="e">
        <f>Nodes!X260+"'E4!$&lt;2"</f>
        <v>#VALUE!</v>
      </c>
      <c r="BR39" t="e">
        <f>Nodes!Y260+"'E4!$&lt;3"</f>
        <v>#VALUE!</v>
      </c>
      <c r="BS39" t="e">
        <f>Nodes!Z260+"'E4!$&lt;4"</f>
        <v>#VALUE!</v>
      </c>
      <c r="BT39" t="e">
        <f>Nodes!AA260+"'E4!$&lt;5"</f>
        <v>#VALUE!</v>
      </c>
      <c r="BU39" t="e">
        <f>Nodes!AB260+"'E4!$&lt;6"</f>
        <v>#VALUE!</v>
      </c>
      <c r="BV39" t="e">
        <f>Nodes!AC260+"'E4!$&lt;7"</f>
        <v>#VALUE!</v>
      </c>
      <c r="BW39" t="e">
        <f>Nodes!A261+"'E4!$&lt;8"</f>
        <v>#VALUE!</v>
      </c>
      <c r="BX39" t="e">
        <f>Nodes!B261+"'E4!$&lt;9"</f>
        <v>#VALUE!</v>
      </c>
      <c r="BY39" t="e">
        <f>Nodes!C261+"'E4!$&lt;:"</f>
        <v>#VALUE!</v>
      </c>
      <c r="BZ39" t="e">
        <f>Nodes!D261+"'E4!$&lt;;"</f>
        <v>#VALUE!</v>
      </c>
      <c r="CA39" t="e">
        <f>Nodes!E261+"'E4!$&lt;&lt;"</f>
        <v>#VALUE!</v>
      </c>
      <c r="CB39" t="e">
        <f>Nodes!F261+"'E4!$&lt;="</f>
        <v>#VALUE!</v>
      </c>
      <c r="CC39" t="e">
        <f>Nodes!G261+"'E4!$&lt;&gt;"</f>
        <v>#VALUE!</v>
      </c>
      <c r="CD39" t="e">
        <f>Nodes!H261+"'E4!$&lt;?"</f>
        <v>#VALUE!</v>
      </c>
      <c r="CE39" t="e">
        <f>Nodes!I261+"'E4!$&lt;@"</f>
        <v>#VALUE!</v>
      </c>
      <c r="CF39" t="e">
        <f>Nodes!J261+"'E4!$&lt;A"</f>
        <v>#VALUE!</v>
      </c>
      <c r="CG39" t="e">
        <f>Nodes!K261+"'E4!$&lt;B"</f>
        <v>#VALUE!</v>
      </c>
      <c r="CH39" t="e">
        <f>Nodes!L261+"'E4!$&lt;C"</f>
        <v>#VALUE!</v>
      </c>
      <c r="CI39" t="e">
        <f>Nodes!M261+"'E4!$&lt;D"</f>
        <v>#VALUE!</v>
      </c>
      <c r="CJ39" t="e">
        <f>Nodes!N261+"'E4!$&lt;E"</f>
        <v>#VALUE!</v>
      </c>
      <c r="CK39" t="e">
        <f>Nodes!O261+"'E4!$&lt;F"</f>
        <v>#VALUE!</v>
      </c>
      <c r="CL39" t="e">
        <f>Nodes!P261+"'E4!$&lt;G"</f>
        <v>#VALUE!</v>
      </c>
      <c r="CM39" t="e">
        <f>Nodes!Q261+"'E4!$&lt;H"</f>
        <v>#VALUE!</v>
      </c>
      <c r="CN39" t="e">
        <f>Nodes!R261+"'E4!$&lt;I"</f>
        <v>#VALUE!</v>
      </c>
      <c r="CO39" t="e">
        <f>Nodes!S261+"'E4!$&lt;J"</f>
        <v>#VALUE!</v>
      </c>
      <c r="CP39" s="548" t="e">
        <f>Nodes!T261+"'E4!$&lt;K"</f>
        <v>#VALUE!</v>
      </c>
      <c r="CQ39" s="548" t="e">
        <f>Nodes!U261+"'E4!$&lt;L"</f>
        <v>#VALUE!</v>
      </c>
      <c r="CR39" t="e">
        <f>Nodes!V261+"'E4!$&lt;M"</f>
        <v>#VALUE!</v>
      </c>
      <c r="CS39" t="e">
        <f>Nodes!W261+"'E4!$&lt;N"</f>
        <v>#VALUE!</v>
      </c>
      <c r="CT39" s="333" t="e">
        <f>Nodes!X261+"'E4!$&lt;O"</f>
        <v>#VALUE!</v>
      </c>
      <c r="CU39" t="e">
        <f>Nodes!Y261+"'E4!$&lt;P"</f>
        <v>#VALUE!</v>
      </c>
      <c r="CV39" t="e">
        <f>Nodes!Z261+"'E4!$&lt;Q"</f>
        <v>#VALUE!</v>
      </c>
      <c r="CW39" t="e">
        <f>Nodes!AA261+"'E4!$&lt;R"</f>
        <v>#VALUE!</v>
      </c>
      <c r="CX39" t="e">
        <f>Nodes!AB261+"'E4!$&lt;S"</f>
        <v>#VALUE!</v>
      </c>
      <c r="CY39" t="e">
        <f>Nodes!AC261+"'E4!$&lt;T"</f>
        <v>#VALUE!</v>
      </c>
      <c r="CZ39" t="e">
        <f>Nodes!A262+"'E4!$&lt;U"</f>
        <v>#VALUE!</v>
      </c>
      <c r="DA39" t="e">
        <f>Nodes!B262+"'E4!$&lt;V"</f>
        <v>#VALUE!</v>
      </c>
      <c r="DB39" t="e">
        <f>Nodes!C262+"'E4!$&lt;W"</f>
        <v>#VALUE!</v>
      </c>
      <c r="DC39" t="e">
        <f>Nodes!D262+"'E4!$&lt;X"</f>
        <v>#VALUE!</v>
      </c>
      <c r="DD39" t="e">
        <f>Nodes!E262+"'E4!$&lt;Y"</f>
        <v>#VALUE!</v>
      </c>
      <c r="DE39" t="e">
        <f>Nodes!F262+"'E4!$&lt;Z"</f>
        <v>#VALUE!</v>
      </c>
      <c r="DF39" t="e">
        <f>Nodes!G262+"'E4!$&lt;["</f>
        <v>#VALUE!</v>
      </c>
      <c r="DG39" t="e">
        <f>Nodes!H262+"'E4!$&lt;\"</f>
        <v>#VALUE!</v>
      </c>
      <c r="DH39" t="e">
        <f>Nodes!I262+"'E4!$&lt;]"</f>
        <v>#VALUE!</v>
      </c>
      <c r="DI39" t="e">
        <f>Nodes!J262+"'E4!$&lt;^"</f>
        <v>#VALUE!</v>
      </c>
      <c r="DJ39" t="e">
        <f>Nodes!K262+"'E4!$&lt;_"</f>
        <v>#VALUE!</v>
      </c>
      <c r="DK39" t="e">
        <f>Nodes!L262+"'E4!$&lt;`"</f>
        <v>#VALUE!</v>
      </c>
      <c r="DL39" t="e">
        <f>Nodes!M262+"'E4!$&lt;a"</f>
        <v>#VALUE!</v>
      </c>
      <c r="DM39" t="e">
        <f>Nodes!N262+"'E4!$&lt;b"</f>
        <v>#VALUE!</v>
      </c>
      <c r="DN39" t="e">
        <f>Nodes!O262+"'E4!$&lt;c"</f>
        <v>#VALUE!</v>
      </c>
      <c r="DO39" t="e">
        <f>Nodes!P262+"'E4!$&lt;d"</f>
        <v>#VALUE!</v>
      </c>
      <c r="DP39" t="e">
        <f>Nodes!Q262+"'E4!$&lt;e"</f>
        <v>#VALUE!</v>
      </c>
      <c r="DQ39" t="e">
        <f>Nodes!R262+"'E4!$&lt;f"</f>
        <v>#VALUE!</v>
      </c>
      <c r="DR39" t="e">
        <f>Nodes!S262+"'E4!$&lt;g"</f>
        <v>#VALUE!</v>
      </c>
      <c r="DS39" s="548" t="e">
        <f>Nodes!T262+"'E4!$&lt;h"</f>
        <v>#VALUE!</v>
      </c>
      <c r="DT39" s="548" t="e">
        <f>Nodes!U262+"'E4!$&lt;i"</f>
        <v>#VALUE!</v>
      </c>
      <c r="DU39" t="e">
        <f>Nodes!V262+"'E4!$&lt;j"</f>
        <v>#VALUE!</v>
      </c>
      <c r="DV39" t="e">
        <f>Nodes!W262+"'E4!$&lt;k"</f>
        <v>#VALUE!</v>
      </c>
      <c r="DW39" s="333" t="e">
        <f>Nodes!X262+"'E4!$&lt;l"</f>
        <v>#VALUE!</v>
      </c>
      <c r="DX39" t="e">
        <f>Nodes!Y262+"'E4!$&lt;m"</f>
        <v>#VALUE!</v>
      </c>
      <c r="DY39" t="e">
        <f>Nodes!Z262+"'E4!$&lt;n"</f>
        <v>#VALUE!</v>
      </c>
      <c r="DZ39" t="e">
        <f>Nodes!AA262+"'E4!$&lt;o"</f>
        <v>#VALUE!</v>
      </c>
      <c r="EA39" t="e">
        <f>Nodes!AB262+"'E4!$&lt;p"</f>
        <v>#VALUE!</v>
      </c>
      <c r="EB39" t="e">
        <f>Nodes!AC262+"'E4!$&lt;q"</f>
        <v>#VALUE!</v>
      </c>
      <c r="EC39" t="e">
        <f>Nodes!A263+"'E4!$&lt;r"</f>
        <v>#VALUE!</v>
      </c>
      <c r="ED39" t="e">
        <f>Nodes!B263+"'E4!$&lt;s"</f>
        <v>#VALUE!</v>
      </c>
      <c r="EE39" t="e">
        <f>Nodes!C263+"'E4!$&lt;t"</f>
        <v>#VALUE!</v>
      </c>
      <c r="EF39" t="e">
        <f>Nodes!D263+"'E4!$&lt;u"</f>
        <v>#VALUE!</v>
      </c>
      <c r="EG39" t="e">
        <f>Nodes!E263+"'E4!$&lt;v"</f>
        <v>#VALUE!</v>
      </c>
      <c r="EH39" t="e">
        <f>Nodes!F263+"'E4!$&lt;w"</f>
        <v>#VALUE!</v>
      </c>
      <c r="EI39" t="e">
        <f>Nodes!G263+"'E4!$&lt;x"</f>
        <v>#VALUE!</v>
      </c>
      <c r="EJ39" t="e">
        <f>Nodes!H263+"'E4!$&lt;y"</f>
        <v>#VALUE!</v>
      </c>
      <c r="EK39" t="e">
        <f>Nodes!I263+"'E4!$&lt;z"</f>
        <v>#VALUE!</v>
      </c>
      <c r="EL39" t="e">
        <f>Nodes!J263+"'E4!$&lt;{"</f>
        <v>#VALUE!</v>
      </c>
      <c r="EM39" t="e">
        <f>Nodes!K263+"'E4!$&lt;|"</f>
        <v>#VALUE!</v>
      </c>
      <c r="EN39" t="e">
        <f>Nodes!L263+"'E4!$&lt;}"</f>
        <v>#VALUE!</v>
      </c>
      <c r="EO39" t="e">
        <f>Nodes!M263+"'E4!$&lt;~"</f>
        <v>#VALUE!</v>
      </c>
      <c r="EP39" t="e">
        <f>Nodes!N263+"'E4!$=#"</f>
        <v>#VALUE!</v>
      </c>
      <c r="EQ39" t="e">
        <f>Nodes!O263+"'E4!$=$"</f>
        <v>#VALUE!</v>
      </c>
      <c r="ER39" t="e">
        <f>Nodes!P263+"'E4!$=%"</f>
        <v>#VALUE!</v>
      </c>
      <c r="ES39" t="e">
        <f>Nodes!Q263+"'E4!$=&amp;"</f>
        <v>#VALUE!</v>
      </c>
      <c r="ET39" t="e">
        <f>Nodes!R263+"'E4!$='"</f>
        <v>#VALUE!</v>
      </c>
      <c r="EU39" t="e">
        <f>Nodes!S263+"'E4!$=("</f>
        <v>#VALUE!</v>
      </c>
      <c r="EV39" s="548" t="e">
        <f>Nodes!T263+"'E4!$=)"</f>
        <v>#VALUE!</v>
      </c>
      <c r="EW39" s="548" t="e">
        <f>Nodes!U263+"'E4!$=."</f>
        <v>#VALUE!</v>
      </c>
      <c r="EX39" t="e">
        <f>Nodes!V263+"'E4!$=/"</f>
        <v>#VALUE!</v>
      </c>
      <c r="EY39" t="e">
        <f>Nodes!W263+"'E4!$=0"</f>
        <v>#VALUE!</v>
      </c>
      <c r="EZ39" s="333" t="e">
        <f>Nodes!X263+"'E4!$=1"</f>
        <v>#VALUE!</v>
      </c>
      <c r="FA39" t="e">
        <f>Nodes!Y263+"'E4!$=2"</f>
        <v>#VALUE!</v>
      </c>
      <c r="FB39" t="e">
        <f>Nodes!Z263+"'E4!$=3"</f>
        <v>#VALUE!</v>
      </c>
      <c r="FC39" t="e">
        <f>Nodes!AA263+"'E4!$=4"</f>
        <v>#VALUE!</v>
      </c>
      <c r="FD39" t="e">
        <f>Nodes!AB263+"'E4!$=5"</f>
        <v>#VALUE!</v>
      </c>
      <c r="FE39" t="e">
        <f>Nodes!AC263+"'E4!$=6"</f>
        <v>#VALUE!</v>
      </c>
      <c r="FF39" t="e">
        <f>Nodes!A264+"'E4!$=7"</f>
        <v>#VALUE!</v>
      </c>
      <c r="FG39" t="e">
        <f>Nodes!B264+"'E4!$=8"</f>
        <v>#VALUE!</v>
      </c>
      <c r="FH39" t="e">
        <f>Nodes!C264+"'E4!$=9"</f>
        <v>#VALUE!</v>
      </c>
      <c r="FI39" t="e">
        <f>Nodes!D264+"'E4!$=:"</f>
        <v>#VALUE!</v>
      </c>
      <c r="FJ39" t="e">
        <f>Nodes!E264+"'E4!$=;"</f>
        <v>#VALUE!</v>
      </c>
      <c r="FK39" t="e">
        <f>Nodes!F264+"'E4!$=&lt;"</f>
        <v>#VALUE!</v>
      </c>
      <c r="FL39" t="e">
        <f>Nodes!G264+"'E4!$=="</f>
        <v>#VALUE!</v>
      </c>
      <c r="FM39" t="e">
        <f>Nodes!H264+"'E4!$=&gt;"</f>
        <v>#VALUE!</v>
      </c>
      <c r="FN39" t="e">
        <f>Nodes!I264+"'E4!$=?"</f>
        <v>#VALUE!</v>
      </c>
      <c r="FO39" t="e">
        <f>Nodes!J264+"'E4!$=@"</f>
        <v>#VALUE!</v>
      </c>
      <c r="FP39" t="e">
        <f>Nodes!K264+"'E4!$=A"</f>
        <v>#VALUE!</v>
      </c>
      <c r="FQ39" t="e">
        <f>Nodes!L264+"'E4!$=B"</f>
        <v>#VALUE!</v>
      </c>
      <c r="FR39" t="e">
        <f>Nodes!M264+"'E4!$=C"</f>
        <v>#VALUE!</v>
      </c>
      <c r="FS39" t="e">
        <f>Nodes!N264+"'E4!$=D"</f>
        <v>#VALUE!</v>
      </c>
      <c r="FT39" t="e">
        <f>Nodes!O264+"'E4!$=E"</f>
        <v>#VALUE!</v>
      </c>
      <c r="FU39" t="e">
        <f>Nodes!P264+"'E4!$=F"</f>
        <v>#VALUE!</v>
      </c>
      <c r="FV39" t="e">
        <f>Nodes!Q264+"'E4!$=G"</f>
        <v>#VALUE!</v>
      </c>
      <c r="FW39" t="e">
        <f>Nodes!R264+"'E4!$=H"</f>
        <v>#VALUE!</v>
      </c>
      <c r="FX39" t="e">
        <f>Nodes!S264+"'E4!$=I"</f>
        <v>#VALUE!</v>
      </c>
      <c r="FY39" s="548" t="e">
        <f>Nodes!T264+"'E4!$=J"</f>
        <v>#VALUE!</v>
      </c>
      <c r="FZ39" s="548" t="e">
        <f>Nodes!U264+"'E4!$=K"</f>
        <v>#VALUE!</v>
      </c>
      <c r="GA39" t="e">
        <f>Nodes!V264+"'E4!$=L"</f>
        <v>#VALUE!</v>
      </c>
      <c r="GB39" t="e">
        <f>Nodes!W264+"'E4!$=M"</f>
        <v>#VALUE!</v>
      </c>
      <c r="GC39" s="333" t="e">
        <f>Nodes!X264+"'E4!$=N"</f>
        <v>#VALUE!</v>
      </c>
      <c r="GD39" t="e">
        <f>Nodes!Y264+"'E4!$=O"</f>
        <v>#VALUE!</v>
      </c>
      <c r="GE39" t="e">
        <f>Nodes!Z264+"'E4!$=P"</f>
        <v>#VALUE!</v>
      </c>
      <c r="GF39" t="e">
        <f>Nodes!AA264+"'E4!$=Q"</f>
        <v>#VALUE!</v>
      </c>
      <c r="GG39" t="e">
        <f>Nodes!AB264+"'E4!$=R"</f>
        <v>#VALUE!</v>
      </c>
      <c r="GH39" t="e">
        <f>Nodes!AC264+"'E4!$=S"</f>
        <v>#VALUE!</v>
      </c>
      <c r="GI39" t="e">
        <f>Nodes!A265+"'E4!$=T"</f>
        <v>#VALUE!</v>
      </c>
      <c r="GJ39" t="e">
        <f>Nodes!B265+"'E4!$=U"</f>
        <v>#VALUE!</v>
      </c>
      <c r="GK39" t="e">
        <f>Nodes!C265+"'E4!$=V"</f>
        <v>#VALUE!</v>
      </c>
      <c r="GL39" t="e">
        <f>Nodes!D265+"'E4!$=W"</f>
        <v>#VALUE!</v>
      </c>
      <c r="GM39" t="e">
        <f>Nodes!E265+"'E4!$=X"</f>
        <v>#VALUE!</v>
      </c>
      <c r="GN39" t="e">
        <f>Nodes!F265+"'E4!$=Y"</f>
        <v>#VALUE!</v>
      </c>
      <c r="GO39" t="e">
        <f>Nodes!G265+"'E4!$=Z"</f>
        <v>#VALUE!</v>
      </c>
      <c r="GP39" t="e">
        <f>Nodes!H265+"'E4!$=["</f>
        <v>#VALUE!</v>
      </c>
      <c r="GQ39" t="e">
        <f>Nodes!I265+"'E4!$=\"</f>
        <v>#VALUE!</v>
      </c>
      <c r="GR39" t="e">
        <f>Nodes!J265+"'E4!$=]"</f>
        <v>#VALUE!</v>
      </c>
      <c r="GS39" t="e">
        <f>Nodes!K265+"'E4!$=^"</f>
        <v>#VALUE!</v>
      </c>
      <c r="GT39" t="e">
        <f>Nodes!L265+"'E4!$=_"</f>
        <v>#VALUE!</v>
      </c>
      <c r="GU39" t="e">
        <f>Nodes!M265+"'E4!$=`"</f>
        <v>#VALUE!</v>
      </c>
      <c r="GV39" t="e">
        <f>Nodes!N265+"'E4!$=a"</f>
        <v>#VALUE!</v>
      </c>
      <c r="GW39" t="e">
        <f>Nodes!O265+"'E4!$=b"</f>
        <v>#VALUE!</v>
      </c>
      <c r="GX39" t="e">
        <f>Nodes!P265+"'E4!$=c"</f>
        <v>#VALUE!</v>
      </c>
      <c r="GY39" t="e">
        <f>Nodes!Q265+"'E4!$=d"</f>
        <v>#VALUE!</v>
      </c>
      <c r="GZ39" t="e">
        <f>Nodes!R265+"'E4!$=e"</f>
        <v>#VALUE!</v>
      </c>
      <c r="HA39" t="e">
        <f>Nodes!S265+"'E4!$=f"</f>
        <v>#VALUE!</v>
      </c>
      <c r="HB39" s="548" t="e">
        <f>Nodes!T265+"'E4!$=g"</f>
        <v>#VALUE!</v>
      </c>
      <c r="HC39" s="548" t="e">
        <f>Nodes!U265+"'E4!$=h"</f>
        <v>#VALUE!</v>
      </c>
      <c r="HD39" t="e">
        <f>Nodes!V265+"'E4!$=i"</f>
        <v>#VALUE!</v>
      </c>
      <c r="HE39" t="e">
        <f>Nodes!W265+"'E4!$=j"</f>
        <v>#VALUE!</v>
      </c>
      <c r="HF39" s="333" t="e">
        <f>Nodes!X265+"'E4!$=k"</f>
        <v>#VALUE!</v>
      </c>
      <c r="HG39" t="e">
        <f>Nodes!Y265+"'E4!$=l"</f>
        <v>#VALUE!</v>
      </c>
      <c r="HH39" t="e">
        <f>Nodes!Z265+"'E4!$=m"</f>
        <v>#VALUE!</v>
      </c>
      <c r="HI39" t="e">
        <f>Nodes!AA265+"'E4!$=n"</f>
        <v>#VALUE!</v>
      </c>
      <c r="HJ39" t="e">
        <f>Nodes!AB265+"'E4!$=o"</f>
        <v>#VALUE!</v>
      </c>
      <c r="HK39" t="e">
        <f>Nodes!AC265+"'E4!$=p"</f>
        <v>#VALUE!</v>
      </c>
      <c r="HL39" t="e">
        <f>Nodes!A266+"'E4!$=q"</f>
        <v>#VALUE!</v>
      </c>
      <c r="HM39" t="e">
        <f>Nodes!B266+"'E4!$=r"</f>
        <v>#VALUE!</v>
      </c>
      <c r="HN39" t="e">
        <f>Nodes!C266+"'E4!$=s"</f>
        <v>#VALUE!</v>
      </c>
      <c r="HO39" t="e">
        <f>Nodes!D266+"'E4!$=t"</f>
        <v>#VALUE!</v>
      </c>
      <c r="HP39" t="e">
        <f>Nodes!E266+"'E4!$=u"</f>
        <v>#VALUE!</v>
      </c>
      <c r="HQ39" t="e">
        <f>Nodes!F266+"'E4!$=v"</f>
        <v>#VALUE!</v>
      </c>
      <c r="HR39" t="e">
        <f>Nodes!G266+"'E4!$=w"</f>
        <v>#VALUE!</v>
      </c>
      <c r="HS39" t="e">
        <f>Nodes!H266+"'E4!$=x"</f>
        <v>#VALUE!</v>
      </c>
      <c r="HT39" t="e">
        <f>Nodes!I266+"'E4!$=y"</f>
        <v>#VALUE!</v>
      </c>
      <c r="HU39" t="e">
        <f>Nodes!J266+"'E4!$=z"</f>
        <v>#VALUE!</v>
      </c>
      <c r="HV39" t="e">
        <f>Nodes!K266+"'E4!$={"</f>
        <v>#VALUE!</v>
      </c>
      <c r="HW39" t="e">
        <f>Nodes!L266+"'E4!$=|"</f>
        <v>#VALUE!</v>
      </c>
      <c r="HX39" t="e">
        <f>Nodes!M266+"'E4!$=}"</f>
        <v>#VALUE!</v>
      </c>
      <c r="HY39" t="e">
        <f>Nodes!N266+"'E4!$=~"</f>
        <v>#VALUE!</v>
      </c>
      <c r="HZ39" t="e">
        <f>Nodes!O266+"'E4!$&gt;#"</f>
        <v>#VALUE!</v>
      </c>
      <c r="IA39" t="e">
        <f>Nodes!P266+"'E4!$&gt;$"</f>
        <v>#VALUE!</v>
      </c>
      <c r="IB39" t="e">
        <f>Nodes!Q266+"'E4!$&gt;%"</f>
        <v>#VALUE!</v>
      </c>
      <c r="IC39" t="e">
        <f>Nodes!R266+"'E4!$&gt;&amp;"</f>
        <v>#VALUE!</v>
      </c>
      <c r="ID39" t="e">
        <f>Nodes!S266+"'E4!$&gt;'"</f>
        <v>#VALUE!</v>
      </c>
      <c r="IE39" s="548" t="e">
        <f>Nodes!T266+"'E4!$&gt;("</f>
        <v>#VALUE!</v>
      </c>
      <c r="IF39" s="548" t="e">
        <f>Nodes!U266+"'E4!$&gt;)"</f>
        <v>#VALUE!</v>
      </c>
      <c r="IG39" t="e">
        <f>Nodes!V266+"'E4!$&gt;."</f>
        <v>#VALUE!</v>
      </c>
      <c r="IH39" t="e">
        <f>Nodes!W266+"'E4!$&gt;/"</f>
        <v>#VALUE!</v>
      </c>
      <c r="II39" s="333" t="e">
        <f>Nodes!X266+"'E4!$&gt;0"</f>
        <v>#VALUE!</v>
      </c>
      <c r="IJ39" t="e">
        <f>Nodes!Y266+"'E4!$&gt;1"</f>
        <v>#VALUE!</v>
      </c>
      <c r="IK39" t="e">
        <f>Nodes!Z266+"'E4!$&gt;2"</f>
        <v>#VALUE!</v>
      </c>
      <c r="IL39" t="e">
        <f>Nodes!AA266+"'E4!$&gt;3"</f>
        <v>#VALUE!</v>
      </c>
      <c r="IM39" t="e">
        <f>Nodes!AB266+"'E4!$&gt;4"</f>
        <v>#VALUE!</v>
      </c>
      <c r="IN39" t="e">
        <f>Nodes!AC266+"'E4!$&gt;5"</f>
        <v>#VALUE!</v>
      </c>
      <c r="IO39" t="e">
        <f>Nodes!A267+"'E4!$&gt;6"</f>
        <v>#VALUE!</v>
      </c>
      <c r="IP39" t="e">
        <f>Nodes!B267+"'E4!$&gt;7"</f>
        <v>#VALUE!</v>
      </c>
      <c r="IQ39" t="e">
        <f>Nodes!C267+"'E4!$&gt;8"</f>
        <v>#VALUE!</v>
      </c>
      <c r="IR39" t="e">
        <f>Nodes!D267+"'E4!$&gt;9"</f>
        <v>#VALUE!</v>
      </c>
      <c r="IS39" t="e">
        <f>Nodes!E267+"'E4!$&gt;:"</f>
        <v>#VALUE!</v>
      </c>
      <c r="IT39" t="e">
        <f>Nodes!F267+"'E4!$&gt;;"</f>
        <v>#VALUE!</v>
      </c>
      <c r="IU39" t="e">
        <f>Nodes!G267+"'E4!$&gt;&lt;"</f>
        <v>#VALUE!</v>
      </c>
      <c r="IV39" t="e">
        <f>Nodes!H267+"'E4!$&gt;="</f>
        <v>#VALUE!</v>
      </c>
    </row>
    <row r="40" spans="6:256">
      <c r="F40" t="e">
        <f>Nodes!I267+"'E4!$&gt;&gt;"</f>
        <v>#VALUE!</v>
      </c>
      <c r="G40" t="e">
        <f>Nodes!J267+"'E4!$&gt;?"</f>
        <v>#VALUE!</v>
      </c>
      <c r="H40" t="e">
        <f>Nodes!K267+"'E4!$&gt;@"</f>
        <v>#VALUE!</v>
      </c>
      <c r="I40" t="e">
        <f>Nodes!L267+"'E4!$&gt;A"</f>
        <v>#VALUE!</v>
      </c>
      <c r="J40" t="e">
        <f>Nodes!M267+"'E4!$&gt;B"</f>
        <v>#VALUE!</v>
      </c>
      <c r="K40" t="e">
        <f>Nodes!N267+"'E4!$&gt;C"</f>
        <v>#VALUE!</v>
      </c>
      <c r="L40" t="e">
        <f>Nodes!O267+"'E4!$&gt;D"</f>
        <v>#VALUE!</v>
      </c>
      <c r="M40" t="e">
        <f>Nodes!P267+"'E4!$&gt;E"</f>
        <v>#VALUE!</v>
      </c>
      <c r="N40" t="e">
        <f>Nodes!Q267+"'E4!$&gt;F"</f>
        <v>#VALUE!</v>
      </c>
      <c r="O40" t="e">
        <f>Nodes!R267+"'E4!$&gt;G"</f>
        <v>#VALUE!</v>
      </c>
      <c r="P40" t="e">
        <f>Nodes!S267+"'E4!$&gt;H"</f>
        <v>#VALUE!</v>
      </c>
      <c r="Q40" s="548" t="e">
        <f>Nodes!T267+"'E4!$&gt;I"</f>
        <v>#VALUE!</v>
      </c>
      <c r="R40" s="548" t="e">
        <f>Nodes!U267+"'E4!$&gt;J"</f>
        <v>#VALUE!</v>
      </c>
      <c r="S40" t="e">
        <f>Nodes!V267+"'E4!$&gt;K"</f>
        <v>#VALUE!</v>
      </c>
      <c r="T40" t="e">
        <f>Nodes!W267+"'E4!$&gt;L"</f>
        <v>#VALUE!</v>
      </c>
      <c r="U40" s="333" t="e">
        <f>Nodes!X267+"'E4!$&gt;M"</f>
        <v>#VALUE!</v>
      </c>
      <c r="V40" t="e">
        <f>Nodes!Y267+"'E4!$&gt;N"</f>
        <v>#VALUE!</v>
      </c>
      <c r="W40" t="e">
        <f>Nodes!Z267+"'E4!$&gt;O"</f>
        <v>#VALUE!</v>
      </c>
      <c r="X40" t="e">
        <f>Nodes!AA267+"'E4!$&gt;P"</f>
        <v>#VALUE!</v>
      </c>
      <c r="Y40" t="e">
        <f>Nodes!AB267+"'E4!$&gt;Q"</f>
        <v>#VALUE!</v>
      </c>
      <c r="Z40" t="e">
        <f>Nodes!AC267+"'E4!$&gt;R"</f>
        <v>#VALUE!</v>
      </c>
      <c r="AA40" t="e">
        <f>Nodes!A268+"'E4!$&gt;S"</f>
        <v>#VALUE!</v>
      </c>
      <c r="AB40" t="e">
        <f>Nodes!B268+"'E4!$&gt;T"</f>
        <v>#VALUE!</v>
      </c>
      <c r="AC40" t="e">
        <f>Nodes!C268+"'E4!$&gt;U"</f>
        <v>#VALUE!</v>
      </c>
      <c r="AD40" t="e">
        <f>Nodes!D268+"'E4!$&gt;V"</f>
        <v>#VALUE!</v>
      </c>
      <c r="AE40" t="e">
        <f>Nodes!E268+"'E4!$&gt;W"</f>
        <v>#VALUE!</v>
      </c>
      <c r="AF40" t="e">
        <f>Nodes!F268+"'E4!$&gt;X"</f>
        <v>#VALUE!</v>
      </c>
      <c r="AG40" t="e">
        <f>Nodes!G268+"'E4!$&gt;Y"</f>
        <v>#VALUE!</v>
      </c>
      <c r="AH40" t="e">
        <f>Nodes!H268+"'E4!$&gt;Z"</f>
        <v>#VALUE!</v>
      </c>
      <c r="AI40" t="e">
        <f>Nodes!I268+"'E4!$&gt;["</f>
        <v>#VALUE!</v>
      </c>
      <c r="AJ40" t="e">
        <f>Nodes!J268+"'E4!$&gt;\"</f>
        <v>#VALUE!</v>
      </c>
      <c r="AK40" t="e">
        <f>Nodes!K268+"'E4!$&gt;]"</f>
        <v>#VALUE!</v>
      </c>
      <c r="AL40" t="e">
        <f>Nodes!L268+"'E4!$&gt;^"</f>
        <v>#VALUE!</v>
      </c>
      <c r="AM40" t="e">
        <f>Nodes!M268+"'E4!$&gt;_"</f>
        <v>#VALUE!</v>
      </c>
      <c r="AN40" t="e">
        <f>Nodes!N268+"'E4!$&gt;`"</f>
        <v>#VALUE!</v>
      </c>
      <c r="AO40" t="e">
        <f>Nodes!O268+"'E4!$&gt;a"</f>
        <v>#VALUE!</v>
      </c>
      <c r="AP40" t="e">
        <f>Nodes!P268+"'E4!$&gt;b"</f>
        <v>#VALUE!</v>
      </c>
      <c r="AQ40" t="e">
        <f>Nodes!Q268+"'E4!$&gt;c"</f>
        <v>#VALUE!</v>
      </c>
      <c r="AR40" t="e">
        <f>Nodes!R268+"'E4!$&gt;d"</f>
        <v>#VALUE!</v>
      </c>
      <c r="AS40" t="e">
        <f>Nodes!S268+"'E4!$&gt;e"</f>
        <v>#VALUE!</v>
      </c>
      <c r="AT40" s="548" t="e">
        <f>Nodes!T268+"'E4!$&gt;f"</f>
        <v>#VALUE!</v>
      </c>
      <c r="AU40" s="548" t="e">
        <f>Nodes!U268+"'E4!$&gt;g"</f>
        <v>#VALUE!</v>
      </c>
      <c r="AV40" t="e">
        <f>Nodes!V268+"'E4!$&gt;h"</f>
        <v>#VALUE!</v>
      </c>
      <c r="AW40" t="e">
        <f>Nodes!W268+"'E4!$&gt;i"</f>
        <v>#VALUE!</v>
      </c>
      <c r="AX40" s="333" t="e">
        <f>Nodes!X268+"'E4!$&gt;j"</f>
        <v>#VALUE!</v>
      </c>
      <c r="AY40" t="e">
        <f>Nodes!Y268+"'E4!$&gt;k"</f>
        <v>#VALUE!</v>
      </c>
      <c r="AZ40" t="e">
        <f>Nodes!Z268+"'E4!$&gt;l"</f>
        <v>#VALUE!</v>
      </c>
      <c r="BA40" t="e">
        <f>Nodes!AA268+"'E4!$&gt;m"</f>
        <v>#VALUE!</v>
      </c>
      <c r="BB40" t="e">
        <f>Nodes!AB268+"'E4!$&gt;n"</f>
        <v>#VALUE!</v>
      </c>
      <c r="BC40" t="e">
        <f>Nodes!AC268+"'E4!$&gt;o"</f>
        <v>#VALUE!</v>
      </c>
      <c r="BD40" t="e">
        <f>Nodes!A269+"'E4!$&gt;p"</f>
        <v>#VALUE!</v>
      </c>
      <c r="BE40" t="e">
        <f>Nodes!B269+"'E4!$&gt;q"</f>
        <v>#VALUE!</v>
      </c>
      <c r="BF40" t="e">
        <f>Nodes!C269+"'E4!$&gt;r"</f>
        <v>#VALUE!</v>
      </c>
      <c r="BG40" t="e">
        <f>Nodes!D269+"'E4!$&gt;s"</f>
        <v>#VALUE!</v>
      </c>
      <c r="BH40" t="e">
        <f>Nodes!E269+"'E4!$&gt;t"</f>
        <v>#VALUE!</v>
      </c>
      <c r="BI40" t="e">
        <f>Nodes!F269+"'E4!$&gt;u"</f>
        <v>#VALUE!</v>
      </c>
      <c r="BJ40" t="e">
        <f>Nodes!G269+"'E4!$&gt;v"</f>
        <v>#VALUE!</v>
      </c>
      <c r="BK40" t="e">
        <f>Nodes!H269+"'E4!$&gt;w"</f>
        <v>#VALUE!</v>
      </c>
      <c r="BL40" t="e">
        <f>Nodes!I269+"'E4!$&gt;x"</f>
        <v>#VALUE!</v>
      </c>
      <c r="BM40" t="e">
        <f>Nodes!J269+"'E4!$&gt;y"</f>
        <v>#VALUE!</v>
      </c>
      <c r="BN40" t="e">
        <f>Nodes!K269+"'E4!$&gt;z"</f>
        <v>#VALUE!</v>
      </c>
      <c r="BO40" t="e">
        <f>Nodes!L269+"'E4!$&gt;{"</f>
        <v>#VALUE!</v>
      </c>
      <c r="BP40" t="e">
        <f>Nodes!M269+"'E4!$&gt;|"</f>
        <v>#VALUE!</v>
      </c>
      <c r="BQ40" t="e">
        <f>Nodes!N269+"'E4!$&gt;}"</f>
        <v>#VALUE!</v>
      </c>
      <c r="BR40" t="e">
        <f>Nodes!O269+"'E4!$&gt;~"</f>
        <v>#VALUE!</v>
      </c>
      <c r="BS40" t="e">
        <f>Nodes!P269+"'E4!$?#"</f>
        <v>#VALUE!</v>
      </c>
      <c r="BT40" t="e">
        <f>Nodes!Q269+"'E4!$?$"</f>
        <v>#VALUE!</v>
      </c>
      <c r="BU40" t="e">
        <f>Nodes!R269+"'E4!$?%"</f>
        <v>#VALUE!</v>
      </c>
      <c r="BV40" t="e">
        <f>Nodes!S269+"'E4!$?&amp;"</f>
        <v>#VALUE!</v>
      </c>
      <c r="BW40" s="548" t="e">
        <f>Nodes!T269+"'E4!$?'"</f>
        <v>#VALUE!</v>
      </c>
      <c r="BX40" s="548" t="e">
        <f>Nodes!U269+"'E4!$?("</f>
        <v>#VALUE!</v>
      </c>
      <c r="BY40" t="e">
        <f>Nodes!V269+"'E4!$?)"</f>
        <v>#VALUE!</v>
      </c>
      <c r="BZ40" t="e">
        <f>Nodes!W269+"'E4!$?."</f>
        <v>#VALUE!</v>
      </c>
      <c r="CA40" s="333" t="e">
        <f>Nodes!X269+"'E4!$?/"</f>
        <v>#VALUE!</v>
      </c>
      <c r="CB40" t="e">
        <f>Nodes!Y269+"'E4!$?0"</f>
        <v>#VALUE!</v>
      </c>
      <c r="CC40" t="e">
        <f>Nodes!Z269+"'E4!$?1"</f>
        <v>#VALUE!</v>
      </c>
      <c r="CD40" t="e">
        <f>Nodes!AA269+"'E4!$?2"</f>
        <v>#VALUE!</v>
      </c>
      <c r="CE40" t="e">
        <f>Nodes!AB269+"'E4!$?3"</f>
        <v>#VALUE!</v>
      </c>
      <c r="CF40" t="e">
        <f>Nodes!AC269+"'E4!$?4"</f>
        <v>#VALUE!</v>
      </c>
      <c r="CG40" t="e">
        <f>Nodes!A270+"'E4!$?5"</f>
        <v>#VALUE!</v>
      </c>
      <c r="CH40" t="e">
        <f>Nodes!B270+"'E4!$?6"</f>
        <v>#VALUE!</v>
      </c>
      <c r="CI40" t="e">
        <f>Nodes!C270+"'E4!$?7"</f>
        <v>#VALUE!</v>
      </c>
      <c r="CJ40" t="e">
        <f>Nodes!D270+"'E4!$?8"</f>
        <v>#VALUE!</v>
      </c>
      <c r="CK40" t="e">
        <f>Nodes!E270+"'E4!$?9"</f>
        <v>#VALUE!</v>
      </c>
      <c r="CL40" t="e">
        <f>Nodes!F270+"'E4!$?:"</f>
        <v>#VALUE!</v>
      </c>
      <c r="CM40" t="e">
        <f>Nodes!G270+"'E4!$?;"</f>
        <v>#VALUE!</v>
      </c>
      <c r="CN40" t="e">
        <f>Nodes!H270+"'E4!$?&lt;"</f>
        <v>#VALUE!</v>
      </c>
      <c r="CO40" t="e">
        <f>Nodes!I270+"'E4!$?="</f>
        <v>#VALUE!</v>
      </c>
      <c r="CP40" t="e">
        <f>Nodes!J270+"'E4!$?&gt;"</f>
        <v>#VALUE!</v>
      </c>
      <c r="CQ40" t="e">
        <f>Nodes!K270+"'E4!$??"</f>
        <v>#VALUE!</v>
      </c>
      <c r="CR40" t="e">
        <f>Nodes!L270+"'E4!$?@"</f>
        <v>#VALUE!</v>
      </c>
      <c r="CS40" t="e">
        <f>Nodes!M270+"'E4!$?A"</f>
        <v>#VALUE!</v>
      </c>
      <c r="CT40" t="e">
        <f>Nodes!N270+"'E4!$?B"</f>
        <v>#VALUE!</v>
      </c>
      <c r="CU40" t="e">
        <f>Nodes!O270+"'E4!$?C"</f>
        <v>#VALUE!</v>
      </c>
      <c r="CV40" t="e">
        <f>Nodes!P270+"'E4!$?D"</f>
        <v>#VALUE!</v>
      </c>
      <c r="CW40" t="e">
        <f>Nodes!Q270+"'E4!$?E"</f>
        <v>#VALUE!</v>
      </c>
      <c r="CX40" t="e">
        <f>Nodes!R270+"'E4!$?F"</f>
        <v>#VALUE!</v>
      </c>
      <c r="CY40" t="e">
        <f>Nodes!S270+"'E4!$?G"</f>
        <v>#VALUE!</v>
      </c>
      <c r="CZ40" s="548" t="e">
        <f>Nodes!T270+"'E4!$?H"</f>
        <v>#VALUE!</v>
      </c>
      <c r="DA40" s="548" t="e">
        <f>Nodes!U270+"'E4!$?I"</f>
        <v>#VALUE!</v>
      </c>
      <c r="DB40" t="e">
        <f>Nodes!V270+"'E4!$?J"</f>
        <v>#VALUE!</v>
      </c>
      <c r="DC40" t="e">
        <f>Nodes!W270+"'E4!$?K"</f>
        <v>#VALUE!</v>
      </c>
      <c r="DD40" s="333" t="e">
        <f>Nodes!X270+"'E4!$?L"</f>
        <v>#VALUE!</v>
      </c>
      <c r="DE40" t="e">
        <f>Nodes!Y270+"'E4!$?M"</f>
        <v>#VALUE!</v>
      </c>
      <c r="DF40" t="e">
        <f>Nodes!Z270+"'E4!$?N"</f>
        <v>#VALUE!</v>
      </c>
      <c r="DG40" t="e">
        <f>Nodes!AA270+"'E4!$?O"</f>
        <v>#VALUE!</v>
      </c>
      <c r="DH40" t="e">
        <f>Nodes!AB270+"'E4!$?P"</f>
        <v>#VALUE!</v>
      </c>
      <c r="DI40" t="e">
        <f>Nodes!AC270+"'E4!$?Q"</f>
        <v>#VALUE!</v>
      </c>
      <c r="DJ40" t="e">
        <f>Nodes!A271+"'E4!$?R"</f>
        <v>#VALUE!</v>
      </c>
      <c r="DK40" t="e">
        <f>Nodes!B271+"'E4!$?S"</f>
        <v>#VALUE!</v>
      </c>
      <c r="DL40" t="e">
        <f>Nodes!C271+"'E4!$?T"</f>
        <v>#VALUE!</v>
      </c>
      <c r="DM40" t="e">
        <f>Nodes!D271+"'E4!$?U"</f>
        <v>#VALUE!</v>
      </c>
      <c r="DN40" t="e">
        <f>Nodes!E271+"'E4!$?V"</f>
        <v>#VALUE!</v>
      </c>
      <c r="DO40" t="e">
        <f>Nodes!F271+"'E4!$?W"</f>
        <v>#VALUE!</v>
      </c>
      <c r="DP40" t="e">
        <f>Nodes!G271+"'E4!$?X"</f>
        <v>#VALUE!</v>
      </c>
      <c r="DQ40" t="e">
        <f>Nodes!H271+"'E4!$?Y"</f>
        <v>#VALUE!</v>
      </c>
      <c r="DR40" t="e">
        <f>Nodes!I271+"'E4!$?Z"</f>
        <v>#VALUE!</v>
      </c>
      <c r="DS40" t="e">
        <f>Nodes!J271+"'E4!$?["</f>
        <v>#VALUE!</v>
      </c>
      <c r="DT40" t="e">
        <f>Nodes!K271+"'E4!$?\"</f>
        <v>#VALUE!</v>
      </c>
      <c r="DU40" t="e">
        <f>Nodes!L271+"'E4!$?]"</f>
        <v>#VALUE!</v>
      </c>
      <c r="DV40" t="e">
        <f>Nodes!M271+"'E4!$?^"</f>
        <v>#VALUE!</v>
      </c>
      <c r="DW40" t="e">
        <f>Nodes!N271+"'E4!$?_"</f>
        <v>#VALUE!</v>
      </c>
      <c r="DX40" t="e">
        <f>Nodes!O271+"'E4!$?`"</f>
        <v>#VALUE!</v>
      </c>
      <c r="DY40" t="e">
        <f>Nodes!P271+"'E4!$?a"</f>
        <v>#VALUE!</v>
      </c>
      <c r="DZ40" t="e">
        <f>Nodes!Q271+"'E4!$?b"</f>
        <v>#VALUE!</v>
      </c>
      <c r="EA40" t="e">
        <f>Nodes!R271+"'E4!$?c"</f>
        <v>#VALUE!</v>
      </c>
      <c r="EB40" t="e">
        <f>Nodes!S271+"'E4!$?d"</f>
        <v>#VALUE!</v>
      </c>
      <c r="EC40" s="548" t="e">
        <f>Nodes!T271+"'E4!$?e"</f>
        <v>#VALUE!</v>
      </c>
      <c r="ED40" s="548" t="e">
        <f>Nodes!U271+"'E4!$?f"</f>
        <v>#VALUE!</v>
      </c>
      <c r="EE40" t="e">
        <f>Nodes!V271+"'E4!$?g"</f>
        <v>#VALUE!</v>
      </c>
      <c r="EF40" t="e">
        <f>Nodes!W271+"'E4!$?h"</f>
        <v>#VALUE!</v>
      </c>
      <c r="EG40" s="333" t="e">
        <f>Nodes!X271+"'E4!$?i"</f>
        <v>#VALUE!</v>
      </c>
      <c r="EH40" t="e">
        <f>Nodes!Y271+"'E4!$?j"</f>
        <v>#VALUE!</v>
      </c>
      <c r="EI40" t="e">
        <f>Nodes!Z271+"'E4!$?k"</f>
        <v>#VALUE!</v>
      </c>
      <c r="EJ40" t="e">
        <f>Nodes!AA271+"'E4!$?l"</f>
        <v>#VALUE!</v>
      </c>
      <c r="EK40" t="e">
        <f>Nodes!AB271+"'E4!$?m"</f>
        <v>#VALUE!</v>
      </c>
      <c r="EL40" t="e">
        <f>Nodes!AC271+"'E4!$?n"</f>
        <v>#VALUE!</v>
      </c>
      <c r="EM40" t="e">
        <f>Nodes!A272+"'E4!$?o"</f>
        <v>#VALUE!</v>
      </c>
      <c r="EN40" t="e">
        <f>Nodes!B272+"'E4!$?p"</f>
        <v>#VALUE!</v>
      </c>
      <c r="EO40" t="e">
        <f>Nodes!C272+"'E4!$?q"</f>
        <v>#VALUE!</v>
      </c>
      <c r="EP40" t="e">
        <f>Nodes!D272+"'E4!$?r"</f>
        <v>#VALUE!</v>
      </c>
      <c r="EQ40" t="e">
        <f>Nodes!E272+"'E4!$?s"</f>
        <v>#VALUE!</v>
      </c>
      <c r="ER40" t="e">
        <f>Nodes!F272+"'E4!$?t"</f>
        <v>#VALUE!</v>
      </c>
      <c r="ES40" t="e">
        <f>Nodes!G272+"'E4!$?u"</f>
        <v>#VALUE!</v>
      </c>
      <c r="ET40" t="e">
        <f>Nodes!H272+"'E4!$?v"</f>
        <v>#VALUE!</v>
      </c>
      <c r="EU40" t="e">
        <f>Nodes!I272+"'E4!$?w"</f>
        <v>#VALUE!</v>
      </c>
      <c r="EV40" t="e">
        <f>Nodes!J272+"'E4!$?x"</f>
        <v>#VALUE!</v>
      </c>
      <c r="EW40" t="e">
        <f>Nodes!K272+"'E4!$?y"</f>
        <v>#VALUE!</v>
      </c>
      <c r="EX40" t="e">
        <f>Nodes!L272+"'E4!$?z"</f>
        <v>#VALUE!</v>
      </c>
      <c r="EY40" t="e">
        <f>Nodes!M272+"'E4!$?{"</f>
        <v>#VALUE!</v>
      </c>
      <c r="EZ40" t="e">
        <f>Nodes!N272+"'E4!$?|"</f>
        <v>#VALUE!</v>
      </c>
      <c r="FA40" t="e">
        <f>Nodes!O272+"'E4!$?}"</f>
        <v>#VALUE!</v>
      </c>
      <c r="FB40" t="e">
        <f>Nodes!P272+"'E4!$?~"</f>
        <v>#VALUE!</v>
      </c>
      <c r="FC40" t="e">
        <f>Nodes!Q272+"'E4!$@#"</f>
        <v>#VALUE!</v>
      </c>
      <c r="FD40" t="e">
        <f>Nodes!R272+"'E4!$@$"</f>
        <v>#VALUE!</v>
      </c>
      <c r="FE40" t="e">
        <f>Nodes!S272+"'E4!$@%"</f>
        <v>#VALUE!</v>
      </c>
      <c r="FF40" s="548" t="e">
        <f>Nodes!T272+"'E4!$@&amp;"</f>
        <v>#VALUE!</v>
      </c>
      <c r="FG40" s="548" t="e">
        <f>Nodes!U272+"'E4!$@'"</f>
        <v>#VALUE!</v>
      </c>
      <c r="FH40" t="e">
        <f>Nodes!V272+"'E4!$@("</f>
        <v>#VALUE!</v>
      </c>
      <c r="FI40" t="e">
        <f>Nodes!W272+"'E4!$@)"</f>
        <v>#VALUE!</v>
      </c>
      <c r="FJ40" s="333" t="e">
        <f>Nodes!X272+"'E4!$@."</f>
        <v>#VALUE!</v>
      </c>
      <c r="FK40" t="e">
        <f>Nodes!Y272+"'E4!$@/"</f>
        <v>#VALUE!</v>
      </c>
      <c r="FL40" t="e">
        <f>Nodes!Z272+"'E4!$@0"</f>
        <v>#VALUE!</v>
      </c>
      <c r="FM40" t="e">
        <f>Nodes!AA272+"'E4!$@1"</f>
        <v>#VALUE!</v>
      </c>
      <c r="FN40" t="e">
        <f>Nodes!AB272+"'E4!$@2"</f>
        <v>#VALUE!</v>
      </c>
      <c r="FO40" t="e">
        <f>Nodes!AC272+"'E4!$@3"</f>
        <v>#VALUE!</v>
      </c>
      <c r="FP40" t="e">
        <f>Nodes!A273+"'E4!$@4"</f>
        <v>#VALUE!</v>
      </c>
      <c r="FQ40" t="e">
        <f>Nodes!B273+"'E4!$@5"</f>
        <v>#VALUE!</v>
      </c>
      <c r="FR40" t="e">
        <f>Nodes!C273+"'E4!$@6"</f>
        <v>#VALUE!</v>
      </c>
      <c r="FS40" t="e">
        <f>Nodes!D273+"'E4!$@7"</f>
        <v>#VALUE!</v>
      </c>
      <c r="FT40" t="e">
        <f>Nodes!E273+"'E4!$@8"</f>
        <v>#VALUE!</v>
      </c>
      <c r="FU40" t="e">
        <f>Nodes!F273+"'E4!$@9"</f>
        <v>#VALUE!</v>
      </c>
      <c r="FV40" t="e">
        <f>Nodes!G273+"'E4!$@:"</f>
        <v>#VALUE!</v>
      </c>
      <c r="FW40" t="e">
        <f>Nodes!H273+"'E4!$@;"</f>
        <v>#VALUE!</v>
      </c>
      <c r="FX40" t="e">
        <f>Nodes!I273+"'E4!$@&lt;"</f>
        <v>#VALUE!</v>
      </c>
      <c r="FY40" t="e">
        <f>Nodes!J273+"'E4!$@="</f>
        <v>#VALUE!</v>
      </c>
      <c r="FZ40" t="e">
        <f>Nodes!K273+"'E4!$@&gt;"</f>
        <v>#VALUE!</v>
      </c>
      <c r="GA40" t="e">
        <f>Nodes!L273+"'E4!$@?"</f>
        <v>#VALUE!</v>
      </c>
      <c r="GB40" t="e">
        <f>Nodes!M273+"'E4!$@@"</f>
        <v>#VALUE!</v>
      </c>
      <c r="GC40" t="e">
        <f>Nodes!N273+"'E4!$@A"</f>
        <v>#VALUE!</v>
      </c>
      <c r="GD40" t="e">
        <f>Nodes!O273+"'E4!$@B"</f>
        <v>#VALUE!</v>
      </c>
      <c r="GE40" t="e">
        <f>Nodes!P273+"'E4!$@C"</f>
        <v>#VALUE!</v>
      </c>
      <c r="GF40" t="e">
        <f>Nodes!Q273+"'E4!$@D"</f>
        <v>#VALUE!</v>
      </c>
      <c r="GG40" t="e">
        <f>Nodes!R273+"'E4!$@E"</f>
        <v>#VALUE!</v>
      </c>
      <c r="GH40" t="e">
        <f>Nodes!S273+"'E4!$@F"</f>
        <v>#VALUE!</v>
      </c>
      <c r="GI40" s="548" t="e">
        <f>Nodes!T273+"'E4!$@G"</f>
        <v>#VALUE!</v>
      </c>
      <c r="GJ40" s="548" t="e">
        <f>Nodes!U273+"'E4!$@H"</f>
        <v>#VALUE!</v>
      </c>
      <c r="GK40" t="e">
        <f>Nodes!V273+"'E4!$@I"</f>
        <v>#VALUE!</v>
      </c>
      <c r="GL40" t="e">
        <f>Nodes!W273+"'E4!$@J"</f>
        <v>#VALUE!</v>
      </c>
      <c r="GM40" s="333" t="e">
        <f>Nodes!X273+"'E4!$@K"</f>
        <v>#VALUE!</v>
      </c>
      <c r="GN40" t="e">
        <f>Nodes!Y273+"'E4!$@L"</f>
        <v>#VALUE!</v>
      </c>
      <c r="GO40" t="e">
        <f>Nodes!Z273+"'E4!$@M"</f>
        <v>#VALUE!</v>
      </c>
      <c r="GP40" t="e">
        <f>Nodes!AA273+"'E4!$@N"</f>
        <v>#VALUE!</v>
      </c>
      <c r="GQ40" t="e">
        <f>Nodes!AB273+"'E4!$@O"</f>
        <v>#VALUE!</v>
      </c>
      <c r="GR40" t="e">
        <f>Nodes!AC273+"'E4!$@P"</f>
        <v>#VALUE!</v>
      </c>
      <c r="GS40" t="e">
        <f>Nodes!A274+"'E4!$@Q"</f>
        <v>#VALUE!</v>
      </c>
      <c r="GT40" t="e">
        <f>Nodes!B274+"'E4!$@R"</f>
        <v>#VALUE!</v>
      </c>
      <c r="GU40" t="e">
        <f>Nodes!C274+"'E4!$@S"</f>
        <v>#VALUE!</v>
      </c>
      <c r="GV40" t="e">
        <f>Nodes!D274+"'E4!$@T"</f>
        <v>#VALUE!</v>
      </c>
      <c r="GW40" t="e">
        <f>Nodes!E274+"'E4!$@U"</f>
        <v>#VALUE!</v>
      </c>
      <c r="GX40" t="e">
        <f>Nodes!F274+"'E4!$@V"</f>
        <v>#VALUE!</v>
      </c>
      <c r="GY40" t="e">
        <f>Nodes!G274+"'E4!$@W"</f>
        <v>#VALUE!</v>
      </c>
      <c r="GZ40" t="e">
        <f>Nodes!H274+"'E4!$@X"</f>
        <v>#VALUE!</v>
      </c>
      <c r="HA40" t="e">
        <f>Nodes!I274+"'E4!$@Y"</f>
        <v>#VALUE!</v>
      </c>
      <c r="HB40" t="e">
        <f>Nodes!J274+"'E4!$@Z"</f>
        <v>#VALUE!</v>
      </c>
      <c r="HC40" t="e">
        <f>Nodes!K274+"'E4!$@["</f>
        <v>#VALUE!</v>
      </c>
      <c r="HD40" t="e">
        <f>Nodes!L274+"'E4!$@\"</f>
        <v>#VALUE!</v>
      </c>
      <c r="HE40" t="e">
        <f>Nodes!M274+"'E4!$@]"</f>
        <v>#VALUE!</v>
      </c>
      <c r="HF40" t="e">
        <f>Nodes!N274+"'E4!$@^"</f>
        <v>#VALUE!</v>
      </c>
      <c r="HG40" t="e">
        <f>Nodes!O274+"'E4!$@_"</f>
        <v>#VALUE!</v>
      </c>
      <c r="HH40" t="e">
        <f>Nodes!P274+"'E4!$@`"</f>
        <v>#VALUE!</v>
      </c>
      <c r="HI40" t="e">
        <f>Nodes!Q274+"'E4!$@a"</f>
        <v>#VALUE!</v>
      </c>
      <c r="HJ40" t="e">
        <f>Nodes!R274+"'E4!$@b"</f>
        <v>#VALUE!</v>
      </c>
      <c r="HK40" t="e">
        <f>Nodes!S274+"'E4!$@c"</f>
        <v>#VALUE!</v>
      </c>
      <c r="HL40" s="548" t="e">
        <f>Nodes!T274+"'E4!$@d"</f>
        <v>#VALUE!</v>
      </c>
      <c r="HM40" s="548" t="e">
        <f>Nodes!U274+"'E4!$@e"</f>
        <v>#VALUE!</v>
      </c>
      <c r="HN40" t="e">
        <f>Nodes!V274+"'E4!$@f"</f>
        <v>#VALUE!</v>
      </c>
      <c r="HO40" t="e">
        <f>Nodes!W274+"'E4!$@g"</f>
        <v>#VALUE!</v>
      </c>
      <c r="HP40" s="333" t="e">
        <f>Nodes!X274+"'E4!$@h"</f>
        <v>#VALUE!</v>
      </c>
      <c r="HQ40" t="e">
        <f>Nodes!Y274+"'E4!$@i"</f>
        <v>#VALUE!</v>
      </c>
      <c r="HR40" t="e">
        <f>Nodes!Z274+"'E4!$@j"</f>
        <v>#VALUE!</v>
      </c>
      <c r="HS40" t="e">
        <f>Nodes!AA274+"'E4!$@k"</f>
        <v>#VALUE!</v>
      </c>
      <c r="HT40" t="e">
        <f>Nodes!AB274+"'E4!$@l"</f>
        <v>#VALUE!</v>
      </c>
      <c r="HU40" t="e">
        <f>Nodes!AC274+"'E4!$@m"</f>
        <v>#VALUE!</v>
      </c>
      <c r="HV40" t="e">
        <f>Nodes!A275+"'E4!$@n"</f>
        <v>#VALUE!</v>
      </c>
      <c r="HW40" t="e">
        <f>Nodes!B275+"'E4!$@o"</f>
        <v>#VALUE!</v>
      </c>
      <c r="HX40" t="e">
        <f>Nodes!C275+"'E4!$@p"</f>
        <v>#VALUE!</v>
      </c>
      <c r="HY40" t="e">
        <f>Nodes!D275+"'E4!$@q"</f>
        <v>#VALUE!</v>
      </c>
      <c r="HZ40" t="e">
        <f>Nodes!E275+"'E4!$@r"</f>
        <v>#VALUE!</v>
      </c>
      <c r="IA40" t="e">
        <f>Nodes!F275+"'E4!$@s"</f>
        <v>#VALUE!</v>
      </c>
      <c r="IB40" t="e">
        <f>Nodes!G275+"'E4!$@t"</f>
        <v>#VALUE!</v>
      </c>
      <c r="IC40" t="e">
        <f>Nodes!H275+"'E4!$@u"</f>
        <v>#VALUE!</v>
      </c>
      <c r="ID40" t="e">
        <f>Nodes!I275+"'E4!$@v"</f>
        <v>#VALUE!</v>
      </c>
      <c r="IE40" t="e">
        <f>Nodes!J275+"'E4!$@w"</f>
        <v>#VALUE!</v>
      </c>
      <c r="IF40" t="e">
        <f>Nodes!K275+"'E4!$@x"</f>
        <v>#VALUE!</v>
      </c>
      <c r="IG40" t="e">
        <f>Nodes!L275+"'E4!$@y"</f>
        <v>#VALUE!</v>
      </c>
      <c r="IH40" t="e">
        <f>Nodes!M275+"'E4!$@z"</f>
        <v>#VALUE!</v>
      </c>
      <c r="II40" t="e">
        <f>Nodes!N275+"'E4!$@{"</f>
        <v>#VALUE!</v>
      </c>
      <c r="IJ40" t="e">
        <f>Nodes!O275+"'E4!$@|"</f>
        <v>#VALUE!</v>
      </c>
      <c r="IK40" t="e">
        <f>Nodes!P275+"'E4!$@}"</f>
        <v>#VALUE!</v>
      </c>
      <c r="IL40" t="e">
        <f>Nodes!Q275+"'E4!$@~"</f>
        <v>#VALUE!</v>
      </c>
      <c r="IM40" t="e">
        <f>Nodes!R275+"'E4!$A#"</f>
        <v>#VALUE!</v>
      </c>
      <c r="IN40" t="e">
        <f>Nodes!S275+"'E4!$A$"</f>
        <v>#VALUE!</v>
      </c>
      <c r="IO40" s="548" t="e">
        <f>Nodes!T275+"'E4!$A%"</f>
        <v>#VALUE!</v>
      </c>
      <c r="IP40" s="548" t="e">
        <f>Nodes!U275+"'E4!$A&amp;"</f>
        <v>#VALUE!</v>
      </c>
      <c r="IQ40" t="e">
        <f>Nodes!V275+"'E4!$A'"</f>
        <v>#VALUE!</v>
      </c>
      <c r="IR40" t="e">
        <f>Nodes!W275+"'E4!$A("</f>
        <v>#VALUE!</v>
      </c>
      <c r="IS40" s="333" t="e">
        <f>Nodes!X275+"'E4!$A)"</f>
        <v>#VALUE!</v>
      </c>
      <c r="IT40" t="e">
        <f>Nodes!Y275+"'E4!$A."</f>
        <v>#VALUE!</v>
      </c>
      <c r="IU40" t="e">
        <f>Nodes!Z275+"'E4!$A/"</f>
        <v>#VALUE!</v>
      </c>
      <c r="IV40" t="e">
        <f>Nodes!AA275+"'E4!$A0"</f>
        <v>#VALUE!</v>
      </c>
    </row>
    <row r="41" spans="6:256">
      <c r="F41" t="e">
        <f>Nodes!AB275+"'E4!$A1"</f>
        <v>#VALUE!</v>
      </c>
      <c r="G41" t="e">
        <f>Nodes!AC275+"'E4!$A2"</f>
        <v>#VALUE!</v>
      </c>
      <c r="H41" t="e">
        <f>Nodes!A276+"'E4!$A3"</f>
        <v>#VALUE!</v>
      </c>
      <c r="I41" t="e">
        <f>Nodes!B276+"'E4!$A4"</f>
        <v>#VALUE!</v>
      </c>
      <c r="J41" t="e">
        <f>Nodes!C276+"'E4!$A5"</f>
        <v>#VALUE!</v>
      </c>
      <c r="K41" t="e">
        <f>Nodes!D276+"'E4!$A6"</f>
        <v>#VALUE!</v>
      </c>
      <c r="L41" t="e">
        <f>Nodes!E276+"'E4!$A7"</f>
        <v>#VALUE!</v>
      </c>
      <c r="M41" t="e">
        <f>Nodes!F276+"'E4!$A8"</f>
        <v>#VALUE!</v>
      </c>
      <c r="N41" t="e">
        <f>Nodes!G276+"'E4!$A9"</f>
        <v>#VALUE!</v>
      </c>
      <c r="O41" t="e">
        <f>Nodes!H276+"'E4!$A:"</f>
        <v>#VALUE!</v>
      </c>
      <c r="P41" t="e">
        <f>Nodes!I276+"'E4!$A;"</f>
        <v>#VALUE!</v>
      </c>
      <c r="Q41" t="e">
        <f>Nodes!J276+"'E4!$A&lt;"</f>
        <v>#VALUE!</v>
      </c>
      <c r="R41" t="e">
        <f>Nodes!K276+"'E4!$A="</f>
        <v>#VALUE!</v>
      </c>
      <c r="S41" t="e">
        <f>Nodes!L276+"'E4!$A&gt;"</f>
        <v>#VALUE!</v>
      </c>
      <c r="T41" t="e">
        <f>Nodes!M276+"'E4!$A?"</f>
        <v>#VALUE!</v>
      </c>
      <c r="U41" t="e">
        <f>Nodes!N276+"'E4!$A@"</f>
        <v>#VALUE!</v>
      </c>
      <c r="V41" t="e">
        <f>Nodes!O276+"'E4!$AA"</f>
        <v>#VALUE!</v>
      </c>
      <c r="W41" t="e">
        <f>Nodes!P276+"'E4!$AB"</f>
        <v>#VALUE!</v>
      </c>
      <c r="X41" t="e">
        <f>Nodes!Q276+"'E4!$AC"</f>
        <v>#VALUE!</v>
      </c>
      <c r="Y41" t="e">
        <f>Nodes!R276+"'E4!$AD"</f>
        <v>#VALUE!</v>
      </c>
      <c r="Z41" t="e">
        <f>Nodes!S276+"'E4!$AE"</f>
        <v>#VALUE!</v>
      </c>
      <c r="AA41" s="548" t="e">
        <f>Nodes!T276+"'E4!$AF"</f>
        <v>#VALUE!</v>
      </c>
      <c r="AB41" s="548" t="e">
        <f>Nodes!U276+"'E4!$AG"</f>
        <v>#VALUE!</v>
      </c>
      <c r="AC41" t="e">
        <f>Nodes!V276+"'E4!$AH"</f>
        <v>#VALUE!</v>
      </c>
      <c r="AD41" t="e">
        <f>Nodes!W276+"'E4!$AI"</f>
        <v>#VALUE!</v>
      </c>
      <c r="AE41" s="333" t="e">
        <f>Nodes!X276+"'E4!$AJ"</f>
        <v>#VALUE!</v>
      </c>
      <c r="AF41" t="e">
        <f>Nodes!Y276+"'E4!$AK"</f>
        <v>#VALUE!</v>
      </c>
      <c r="AG41" t="e">
        <f>Nodes!Z276+"'E4!$AL"</f>
        <v>#VALUE!</v>
      </c>
      <c r="AH41" t="e">
        <f>Nodes!AA276+"'E4!$AM"</f>
        <v>#VALUE!</v>
      </c>
      <c r="AI41" t="e">
        <f>Nodes!AB276+"'E4!$AN"</f>
        <v>#VALUE!</v>
      </c>
      <c r="AJ41" t="e">
        <f>Nodes!AC276+"'E4!$AO"</f>
        <v>#VALUE!</v>
      </c>
      <c r="AK41" t="e">
        <f>Nodes!A277+"'E4!$AP"</f>
        <v>#VALUE!</v>
      </c>
      <c r="AL41" t="e">
        <f>Nodes!B277+"'E4!$AQ"</f>
        <v>#VALUE!</v>
      </c>
      <c r="AM41" t="e">
        <f>Nodes!C277+"'E4!$AR"</f>
        <v>#VALUE!</v>
      </c>
      <c r="AN41" t="e">
        <f>Nodes!D277+"'E4!$AS"</f>
        <v>#VALUE!</v>
      </c>
      <c r="AO41" t="e">
        <f>Nodes!E277+"'E4!$AT"</f>
        <v>#VALUE!</v>
      </c>
      <c r="AP41" t="e">
        <f>Nodes!F277+"'E4!$AU"</f>
        <v>#VALUE!</v>
      </c>
      <c r="AQ41" t="e">
        <f>Nodes!G277+"'E4!$AV"</f>
        <v>#VALUE!</v>
      </c>
      <c r="AR41" t="e">
        <f>Nodes!H277+"'E4!$AW"</f>
        <v>#VALUE!</v>
      </c>
      <c r="AS41" t="e">
        <f>Nodes!I277+"'E4!$AX"</f>
        <v>#VALUE!</v>
      </c>
      <c r="AT41" t="e">
        <f>Nodes!J277+"'E4!$AY"</f>
        <v>#VALUE!</v>
      </c>
      <c r="AU41" t="e">
        <f>Nodes!K277+"'E4!$AZ"</f>
        <v>#VALUE!</v>
      </c>
      <c r="AV41" t="e">
        <f>Nodes!L277+"'E4!$A["</f>
        <v>#VALUE!</v>
      </c>
      <c r="AW41" t="e">
        <f>Nodes!M277+"'E4!$A\"</f>
        <v>#VALUE!</v>
      </c>
      <c r="AX41" t="e">
        <f>Nodes!N277+"'E4!$A]"</f>
        <v>#VALUE!</v>
      </c>
      <c r="AY41" t="e">
        <f>Nodes!O277+"'E4!$A^"</f>
        <v>#VALUE!</v>
      </c>
      <c r="AZ41" t="e">
        <f>Nodes!P277+"'E4!$A_"</f>
        <v>#VALUE!</v>
      </c>
      <c r="BA41" t="e">
        <f>Nodes!Q277+"'E4!$A`"</f>
        <v>#VALUE!</v>
      </c>
      <c r="BB41" t="e">
        <f>Nodes!R277+"'E4!$Aa"</f>
        <v>#VALUE!</v>
      </c>
      <c r="BC41" t="e">
        <f>Nodes!S277+"'E4!$Ab"</f>
        <v>#VALUE!</v>
      </c>
      <c r="BD41" s="548" t="e">
        <f>Nodes!T277+"'E4!$Ac"</f>
        <v>#VALUE!</v>
      </c>
      <c r="BE41" s="548" t="e">
        <f>Nodes!U277+"'E4!$Ad"</f>
        <v>#VALUE!</v>
      </c>
      <c r="BF41" t="e">
        <f>Nodes!V277+"'E4!$Ae"</f>
        <v>#VALUE!</v>
      </c>
      <c r="BG41" t="e">
        <f>Nodes!W277+"'E4!$Af"</f>
        <v>#VALUE!</v>
      </c>
      <c r="BH41" s="333" t="e">
        <f>Nodes!X277+"'E4!$Ag"</f>
        <v>#VALUE!</v>
      </c>
      <c r="BI41" t="e">
        <f>Nodes!Y277+"'E4!$Ah"</f>
        <v>#VALUE!</v>
      </c>
      <c r="BJ41" t="e">
        <f>Nodes!Z277+"'E4!$Ai"</f>
        <v>#VALUE!</v>
      </c>
      <c r="BK41" t="e">
        <f>Nodes!AA277+"'E4!$Aj"</f>
        <v>#VALUE!</v>
      </c>
      <c r="BL41" t="e">
        <f>Nodes!AB277+"'E4!$Ak"</f>
        <v>#VALUE!</v>
      </c>
      <c r="BM41" t="e">
        <f>Nodes!AC277+"'E4!$Al"</f>
        <v>#VALUE!</v>
      </c>
      <c r="BN41" t="e">
        <f>Nodes!A278+"'E4!$Am"</f>
        <v>#VALUE!</v>
      </c>
      <c r="BO41" t="e">
        <f>Nodes!B278+"'E4!$An"</f>
        <v>#VALUE!</v>
      </c>
      <c r="BP41" t="e">
        <f>Nodes!C278+"'E4!$Ao"</f>
        <v>#VALUE!</v>
      </c>
      <c r="BQ41" t="e">
        <f>Nodes!D278+"'E4!$Ap"</f>
        <v>#VALUE!</v>
      </c>
      <c r="BR41" t="e">
        <f>Nodes!E278+"'E4!$Aq"</f>
        <v>#VALUE!</v>
      </c>
      <c r="BS41" t="e">
        <f>Nodes!F278+"'E4!$Ar"</f>
        <v>#VALUE!</v>
      </c>
      <c r="BT41" t="e">
        <f>Nodes!G278+"'E4!$As"</f>
        <v>#VALUE!</v>
      </c>
      <c r="BU41" t="e">
        <f>Nodes!H278+"'E4!$At"</f>
        <v>#VALUE!</v>
      </c>
      <c r="BV41" t="e">
        <f>Nodes!I278+"'E4!$Au"</f>
        <v>#VALUE!</v>
      </c>
      <c r="BW41" t="e">
        <f>Nodes!J278+"'E4!$Av"</f>
        <v>#VALUE!</v>
      </c>
      <c r="BX41" t="e">
        <f>Nodes!K278+"'E4!$Aw"</f>
        <v>#VALUE!</v>
      </c>
      <c r="BY41" t="e">
        <f>Nodes!L278+"'E4!$Ax"</f>
        <v>#VALUE!</v>
      </c>
      <c r="BZ41" t="e">
        <f>Nodes!M278+"'E4!$Ay"</f>
        <v>#VALUE!</v>
      </c>
      <c r="CA41" t="e">
        <f>Nodes!N278+"'E4!$Az"</f>
        <v>#VALUE!</v>
      </c>
      <c r="CB41" t="e">
        <f>Nodes!O278+"'E4!$A{"</f>
        <v>#VALUE!</v>
      </c>
      <c r="CC41" t="e">
        <f>Nodes!P278+"'E4!$A|"</f>
        <v>#VALUE!</v>
      </c>
      <c r="CD41" t="e">
        <f>Nodes!Q278+"'E4!$A}"</f>
        <v>#VALUE!</v>
      </c>
      <c r="CE41" t="e">
        <f>Nodes!R278+"'E4!$A~"</f>
        <v>#VALUE!</v>
      </c>
      <c r="CF41" t="e">
        <f>Nodes!S278+"'E4!$B#"</f>
        <v>#VALUE!</v>
      </c>
      <c r="CG41" s="548" t="e">
        <f>Nodes!T278+"'E4!$B$"</f>
        <v>#VALUE!</v>
      </c>
      <c r="CH41" s="548" t="e">
        <f>Nodes!U278+"'E4!$B%"</f>
        <v>#VALUE!</v>
      </c>
      <c r="CI41" t="e">
        <f>Nodes!V278+"'E4!$B&amp;"</f>
        <v>#VALUE!</v>
      </c>
      <c r="CJ41" t="e">
        <f>Nodes!W278+"'E4!$B'"</f>
        <v>#VALUE!</v>
      </c>
      <c r="CK41" s="333" t="e">
        <f>Nodes!X278+"'E4!$B("</f>
        <v>#VALUE!</v>
      </c>
      <c r="CL41" t="e">
        <f>Nodes!Y278+"'E4!$B)"</f>
        <v>#VALUE!</v>
      </c>
      <c r="CM41" t="e">
        <f>Nodes!Z278+"'E4!$B."</f>
        <v>#VALUE!</v>
      </c>
      <c r="CN41" t="e">
        <f>Nodes!AA278+"'E4!$B/"</f>
        <v>#VALUE!</v>
      </c>
      <c r="CO41" t="e">
        <f>Nodes!AB278+"'E4!$B0"</f>
        <v>#VALUE!</v>
      </c>
      <c r="CP41" t="e">
        <f>Nodes!AC278+"'E4!$B1"</f>
        <v>#VALUE!</v>
      </c>
      <c r="CQ41" t="e">
        <f>Nodes!A279+"'E4!$B2"</f>
        <v>#VALUE!</v>
      </c>
      <c r="CR41" t="e">
        <f>Nodes!B279+"'E4!$B3"</f>
        <v>#VALUE!</v>
      </c>
      <c r="CS41" t="e">
        <f>Nodes!C279+"'E4!$B4"</f>
        <v>#VALUE!</v>
      </c>
      <c r="CT41" t="e">
        <f>Nodes!D279+"'E4!$B5"</f>
        <v>#VALUE!</v>
      </c>
      <c r="CU41" t="e">
        <f>Nodes!E279+"'E4!$B6"</f>
        <v>#VALUE!</v>
      </c>
      <c r="CV41" t="e">
        <f>Nodes!F279+"'E4!$B7"</f>
        <v>#VALUE!</v>
      </c>
      <c r="CW41" t="e">
        <f>Nodes!G279+"'E4!$B8"</f>
        <v>#VALUE!</v>
      </c>
      <c r="CX41" t="e">
        <f>Nodes!H279+"'E4!$B9"</f>
        <v>#VALUE!</v>
      </c>
      <c r="CY41" t="e">
        <f>Nodes!I279+"'E4!$B:"</f>
        <v>#VALUE!</v>
      </c>
      <c r="CZ41" t="e">
        <f>Nodes!J279+"'E4!$B;"</f>
        <v>#VALUE!</v>
      </c>
      <c r="DA41" t="e">
        <f>Nodes!K279+"'E4!$B&lt;"</f>
        <v>#VALUE!</v>
      </c>
      <c r="DB41" t="e">
        <f>Nodes!L279+"'E4!$B="</f>
        <v>#VALUE!</v>
      </c>
      <c r="DC41" t="e">
        <f>Nodes!M279+"'E4!$B&gt;"</f>
        <v>#VALUE!</v>
      </c>
      <c r="DD41" t="e">
        <f>Nodes!N279+"'E4!$B?"</f>
        <v>#VALUE!</v>
      </c>
      <c r="DE41" t="e">
        <f>Nodes!O279+"'E4!$B@"</f>
        <v>#VALUE!</v>
      </c>
      <c r="DF41" t="e">
        <f>Nodes!P279+"'E4!$BA"</f>
        <v>#VALUE!</v>
      </c>
      <c r="DG41" t="e">
        <f>Nodes!Q279+"'E4!$BB"</f>
        <v>#VALUE!</v>
      </c>
      <c r="DH41" t="e">
        <f>Nodes!R279+"'E4!$BC"</f>
        <v>#VALUE!</v>
      </c>
      <c r="DI41" t="e">
        <f>Nodes!S279+"'E4!$BD"</f>
        <v>#VALUE!</v>
      </c>
      <c r="DJ41" s="548" t="e">
        <f>Nodes!T279+"'E4!$BE"</f>
        <v>#VALUE!</v>
      </c>
      <c r="DK41" s="548" t="e">
        <f>Nodes!U279+"'E4!$BF"</f>
        <v>#VALUE!</v>
      </c>
      <c r="DL41" t="e">
        <f>Nodes!V279+"'E4!$BG"</f>
        <v>#VALUE!</v>
      </c>
      <c r="DM41" t="e">
        <f>Nodes!W279+"'E4!$BH"</f>
        <v>#VALUE!</v>
      </c>
      <c r="DN41" s="333" t="e">
        <f>Nodes!X279+"'E4!$BI"</f>
        <v>#VALUE!</v>
      </c>
      <c r="DO41" t="e">
        <f>Nodes!Y279+"'E4!$BJ"</f>
        <v>#VALUE!</v>
      </c>
      <c r="DP41" t="e">
        <f>Nodes!Z279+"'E4!$BK"</f>
        <v>#VALUE!</v>
      </c>
      <c r="DQ41" t="e">
        <f>Nodes!AA279+"'E4!$BL"</f>
        <v>#VALUE!</v>
      </c>
      <c r="DR41" t="e">
        <f>Nodes!AB279+"'E4!$BM"</f>
        <v>#VALUE!</v>
      </c>
      <c r="DS41" t="e">
        <f>Nodes!AC279+"'E4!$BN"</f>
        <v>#VALUE!</v>
      </c>
      <c r="DT41" t="e">
        <f>Nodes!A280+"'E4!$BO"</f>
        <v>#VALUE!</v>
      </c>
      <c r="DU41" t="e">
        <f>Nodes!B280+"'E4!$BP"</f>
        <v>#VALUE!</v>
      </c>
      <c r="DV41" t="e">
        <f>Nodes!C280+"'E4!$BQ"</f>
        <v>#VALUE!</v>
      </c>
      <c r="DW41" t="e">
        <f>Nodes!D280+"'E4!$BR"</f>
        <v>#VALUE!</v>
      </c>
      <c r="DX41" t="e">
        <f>Nodes!E280+"'E4!$BS"</f>
        <v>#VALUE!</v>
      </c>
      <c r="DY41" t="e">
        <f>Nodes!F280+"'E4!$BT"</f>
        <v>#VALUE!</v>
      </c>
      <c r="DZ41" t="e">
        <f>Nodes!G280+"'E4!$BU"</f>
        <v>#VALUE!</v>
      </c>
      <c r="EA41" t="e">
        <f>Nodes!H280+"'E4!$BV"</f>
        <v>#VALUE!</v>
      </c>
      <c r="EB41" t="e">
        <f>Nodes!I280+"'E4!$BW"</f>
        <v>#VALUE!</v>
      </c>
      <c r="EC41" t="e">
        <f>Nodes!J280+"'E4!$BX"</f>
        <v>#VALUE!</v>
      </c>
      <c r="ED41" t="e">
        <f>Nodes!K280+"'E4!$BY"</f>
        <v>#VALUE!</v>
      </c>
      <c r="EE41" t="e">
        <f>Nodes!L280+"'E4!$BZ"</f>
        <v>#VALUE!</v>
      </c>
      <c r="EF41" t="e">
        <f>Nodes!M280+"'E4!$B["</f>
        <v>#VALUE!</v>
      </c>
      <c r="EG41" t="e">
        <f>Nodes!N280+"'E4!$B\"</f>
        <v>#VALUE!</v>
      </c>
      <c r="EH41" t="e">
        <f>Nodes!O280+"'E4!$B]"</f>
        <v>#VALUE!</v>
      </c>
      <c r="EI41" t="e">
        <f>Nodes!P280+"'E4!$B^"</f>
        <v>#VALUE!</v>
      </c>
      <c r="EJ41" t="e">
        <f>Nodes!Q280+"'E4!$B_"</f>
        <v>#VALUE!</v>
      </c>
      <c r="EK41" t="e">
        <f>Nodes!R280+"'E4!$B`"</f>
        <v>#VALUE!</v>
      </c>
      <c r="EL41" t="e">
        <f>Nodes!S280+"'E4!$Ba"</f>
        <v>#VALUE!</v>
      </c>
      <c r="EM41" s="548" t="e">
        <f>Nodes!T280+"'E4!$Bb"</f>
        <v>#VALUE!</v>
      </c>
      <c r="EN41" s="548" t="e">
        <f>Nodes!U280+"'E4!$Bc"</f>
        <v>#VALUE!</v>
      </c>
      <c r="EO41" t="e">
        <f>Nodes!V280+"'E4!$Bd"</f>
        <v>#VALUE!</v>
      </c>
      <c r="EP41" t="e">
        <f>Nodes!W280+"'E4!$Be"</f>
        <v>#VALUE!</v>
      </c>
      <c r="EQ41" s="333" t="e">
        <f>Nodes!X280+"'E4!$Bf"</f>
        <v>#VALUE!</v>
      </c>
      <c r="ER41" t="e">
        <f>Nodes!Y280+"'E4!$Bg"</f>
        <v>#VALUE!</v>
      </c>
      <c r="ES41" t="e">
        <f>Nodes!Z280+"'E4!$Bh"</f>
        <v>#VALUE!</v>
      </c>
      <c r="ET41" t="e">
        <f>Nodes!AA280+"'E4!$Bi"</f>
        <v>#VALUE!</v>
      </c>
      <c r="EU41" t="e">
        <f>Nodes!AB280+"'E4!$Bj"</f>
        <v>#VALUE!</v>
      </c>
      <c r="EV41" t="e">
        <f>Nodes!AC280+"'E4!$Bk"</f>
        <v>#VALUE!</v>
      </c>
      <c r="EW41" t="e">
        <f>Nodes!A281+"'E4!$Bl"</f>
        <v>#VALUE!</v>
      </c>
      <c r="EX41" t="e">
        <f>Nodes!B281+"'E4!$Bm"</f>
        <v>#VALUE!</v>
      </c>
      <c r="EY41" t="e">
        <f>Nodes!C281+"'E4!$Bn"</f>
        <v>#VALUE!</v>
      </c>
      <c r="EZ41" t="e">
        <f>Nodes!D281+"'E4!$Bo"</f>
        <v>#VALUE!</v>
      </c>
      <c r="FA41" t="e">
        <f>Nodes!E281+"'E4!$Bp"</f>
        <v>#VALUE!</v>
      </c>
      <c r="FB41" t="e">
        <f>Nodes!F281+"'E4!$Bq"</f>
        <v>#VALUE!</v>
      </c>
      <c r="FC41" t="e">
        <f>Nodes!G281+"'E4!$Br"</f>
        <v>#VALUE!</v>
      </c>
      <c r="FD41" t="e">
        <f>Nodes!H281+"'E4!$Bs"</f>
        <v>#VALUE!</v>
      </c>
      <c r="FE41" t="e">
        <f>Nodes!I281+"'E4!$Bt"</f>
        <v>#VALUE!</v>
      </c>
      <c r="FF41" t="e">
        <f>Nodes!J281+"'E4!$Bu"</f>
        <v>#VALUE!</v>
      </c>
      <c r="FG41" t="e">
        <f>Nodes!K281+"'E4!$Bv"</f>
        <v>#VALUE!</v>
      </c>
      <c r="FH41" t="e">
        <f>Nodes!L281+"'E4!$Bw"</f>
        <v>#VALUE!</v>
      </c>
      <c r="FI41" t="e">
        <f>Nodes!M281+"'E4!$Bx"</f>
        <v>#VALUE!</v>
      </c>
      <c r="FJ41" t="e">
        <f>Nodes!N281+"'E4!$By"</f>
        <v>#VALUE!</v>
      </c>
      <c r="FK41" t="e">
        <f>Nodes!O281+"'E4!$Bz"</f>
        <v>#VALUE!</v>
      </c>
      <c r="FL41" t="e">
        <f>Nodes!P281+"'E4!$B{"</f>
        <v>#VALUE!</v>
      </c>
      <c r="FM41" t="e">
        <f>Nodes!Q281+"'E4!$B|"</f>
        <v>#VALUE!</v>
      </c>
      <c r="FN41" t="e">
        <f>Nodes!R281+"'E4!$B}"</f>
        <v>#VALUE!</v>
      </c>
      <c r="FO41" t="e">
        <f>Nodes!S281+"'E4!$B~"</f>
        <v>#VALUE!</v>
      </c>
      <c r="FP41" s="548" t="e">
        <f>Nodes!T281+"'E4!$C#"</f>
        <v>#VALUE!</v>
      </c>
      <c r="FQ41" s="548" t="e">
        <f>Nodes!U281+"'E4!$C$"</f>
        <v>#VALUE!</v>
      </c>
      <c r="FR41" t="e">
        <f>Nodes!V281+"'E4!$C%"</f>
        <v>#VALUE!</v>
      </c>
      <c r="FS41" t="e">
        <f>Nodes!W281+"'E4!$C&amp;"</f>
        <v>#VALUE!</v>
      </c>
      <c r="FT41" s="333" t="e">
        <f>Nodes!X281+"'E4!$C'"</f>
        <v>#VALUE!</v>
      </c>
      <c r="FU41" t="e">
        <f>Nodes!Y281+"'E4!$C("</f>
        <v>#VALUE!</v>
      </c>
      <c r="FV41" t="e">
        <f>Nodes!Z281+"'E4!$C)"</f>
        <v>#VALUE!</v>
      </c>
      <c r="FW41" t="e">
        <f>Nodes!AA281+"'E4!$C."</f>
        <v>#VALUE!</v>
      </c>
      <c r="FX41" t="e">
        <f>Nodes!AB281+"'E4!$C/"</f>
        <v>#VALUE!</v>
      </c>
      <c r="FY41" t="e">
        <f>Nodes!AC281+"'E4!$C0"</f>
        <v>#VALUE!</v>
      </c>
      <c r="FZ41" t="e">
        <f>Nodes!A282+"'E4!$C1"</f>
        <v>#VALUE!</v>
      </c>
      <c r="GA41" t="e">
        <f>Nodes!B282+"'E4!$C2"</f>
        <v>#VALUE!</v>
      </c>
      <c r="GB41" t="e">
        <f>Nodes!C282+"'E4!$C3"</f>
        <v>#VALUE!</v>
      </c>
      <c r="GC41" t="e">
        <f>Nodes!D282+"'E4!$C4"</f>
        <v>#VALUE!</v>
      </c>
      <c r="GD41" t="e">
        <f>Nodes!E282+"'E4!$C5"</f>
        <v>#VALUE!</v>
      </c>
      <c r="GE41" t="e">
        <f>Nodes!F282+"'E4!$C6"</f>
        <v>#VALUE!</v>
      </c>
      <c r="GF41" t="e">
        <f>Nodes!G282+"'E4!$C7"</f>
        <v>#VALUE!</v>
      </c>
      <c r="GG41" t="e">
        <f>Nodes!H282+"'E4!$C8"</f>
        <v>#VALUE!</v>
      </c>
      <c r="GH41" t="e">
        <f>Nodes!I282+"'E4!$C9"</f>
        <v>#VALUE!</v>
      </c>
      <c r="GI41" t="e">
        <f>Nodes!J282+"'E4!$C:"</f>
        <v>#VALUE!</v>
      </c>
      <c r="GJ41" t="e">
        <f>Nodes!K282+"'E4!$C;"</f>
        <v>#VALUE!</v>
      </c>
      <c r="GK41" t="e">
        <f>Nodes!L282+"'E4!$C&lt;"</f>
        <v>#VALUE!</v>
      </c>
      <c r="GL41" t="e">
        <f>Nodes!M282+"'E4!$C="</f>
        <v>#VALUE!</v>
      </c>
      <c r="GM41" t="e">
        <f>Nodes!N282+"'E4!$C&gt;"</f>
        <v>#VALUE!</v>
      </c>
      <c r="GN41" t="e">
        <f>Nodes!O282+"'E4!$C?"</f>
        <v>#VALUE!</v>
      </c>
      <c r="GO41" t="e">
        <f>Nodes!P282+"'E4!$C@"</f>
        <v>#VALUE!</v>
      </c>
      <c r="GP41" t="e">
        <f>Nodes!Q282+"'E4!$CA"</f>
        <v>#VALUE!</v>
      </c>
      <c r="GQ41" t="e">
        <f>Nodes!R282+"'E4!$CB"</f>
        <v>#VALUE!</v>
      </c>
      <c r="GR41" t="e">
        <f>Nodes!S282+"'E4!$CC"</f>
        <v>#VALUE!</v>
      </c>
      <c r="GS41" s="548" t="e">
        <f>Nodes!T282+"'E4!$CD"</f>
        <v>#VALUE!</v>
      </c>
      <c r="GT41" s="548" t="e">
        <f>Nodes!U282+"'E4!$CE"</f>
        <v>#VALUE!</v>
      </c>
      <c r="GU41" t="e">
        <f>Nodes!V282+"'E4!$CF"</f>
        <v>#VALUE!</v>
      </c>
      <c r="GV41" t="e">
        <f>Nodes!W282+"'E4!$CG"</f>
        <v>#VALUE!</v>
      </c>
      <c r="GW41" s="333" t="e">
        <f>Nodes!X282+"'E4!$CH"</f>
        <v>#VALUE!</v>
      </c>
      <c r="GX41" t="e">
        <f>Nodes!Y282+"'E4!$CI"</f>
        <v>#VALUE!</v>
      </c>
      <c r="GY41" t="e">
        <f>Nodes!Z282+"'E4!$CJ"</f>
        <v>#VALUE!</v>
      </c>
      <c r="GZ41" t="e">
        <f>Nodes!AA282+"'E4!$CK"</f>
        <v>#VALUE!</v>
      </c>
      <c r="HA41" t="e">
        <f>Nodes!AB282+"'E4!$CL"</f>
        <v>#VALUE!</v>
      </c>
      <c r="HB41" t="e">
        <f>Nodes!AC282+"'E4!$CM"</f>
        <v>#VALUE!</v>
      </c>
      <c r="HC41" t="e">
        <f>Nodes!A283+"'E4!$CN"</f>
        <v>#VALUE!</v>
      </c>
      <c r="HD41" t="e">
        <f>Nodes!B283+"'E4!$CO"</f>
        <v>#VALUE!</v>
      </c>
      <c r="HE41" t="e">
        <f>Nodes!C283+"'E4!$CP"</f>
        <v>#VALUE!</v>
      </c>
      <c r="HF41" t="e">
        <f>Nodes!D283+"'E4!$CQ"</f>
        <v>#VALUE!</v>
      </c>
      <c r="HG41" t="e">
        <f>Nodes!E283+"'E4!$CR"</f>
        <v>#VALUE!</v>
      </c>
      <c r="HH41" t="e">
        <f>Nodes!F283+"'E4!$CS"</f>
        <v>#VALUE!</v>
      </c>
      <c r="HI41" t="e">
        <f>Nodes!G283+"'E4!$CT"</f>
        <v>#VALUE!</v>
      </c>
      <c r="HJ41" t="e">
        <f>Nodes!H283+"'E4!$CU"</f>
        <v>#VALUE!</v>
      </c>
      <c r="HK41" t="e">
        <f>Nodes!I283+"'E4!$CV"</f>
        <v>#VALUE!</v>
      </c>
      <c r="HL41" t="e">
        <f>Nodes!J283+"'E4!$CW"</f>
        <v>#VALUE!</v>
      </c>
      <c r="HM41" t="e">
        <f>Nodes!K283+"'E4!$CX"</f>
        <v>#VALUE!</v>
      </c>
      <c r="HN41" t="e">
        <f>Nodes!L283+"'E4!$CY"</f>
        <v>#VALUE!</v>
      </c>
      <c r="HO41" t="e">
        <f>Nodes!M283+"'E4!$CZ"</f>
        <v>#VALUE!</v>
      </c>
      <c r="HP41" t="e">
        <f>Nodes!N283+"'E4!$C["</f>
        <v>#VALUE!</v>
      </c>
      <c r="HQ41" t="e">
        <f>Nodes!O283+"'E4!$C\"</f>
        <v>#VALUE!</v>
      </c>
      <c r="HR41" t="e">
        <f>Nodes!P283+"'E4!$C]"</f>
        <v>#VALUE!</v>
      </c>
      <c r="HS41" t="e">
        <f>Nodes!Q283+"'E4!$C^"</f>
        <v>#VALUE!</v>
      </c>
      <c r="HT41" t="e">
        <f>Nodes!R283+"'E4!$C_"</f>
        <v>#VALUE!</v>
      </c>
      <c r="HU41" t="e">
        <f>Nodes!S283+"'E4!$C`"</f>
        <v>#VALUE!</v>
      </c>
      <c r="HV41" s="548" t="e">
        <f>Nodes!T283+"'E4!$Ca"</f>
        <v>#VALUE!</v>
      </c>
      <c r="HW41" s="548" t="e">
        <f>Nodes!U283+"'E4!$Cb"</f>
        <v>#VALUE!</v>
      </c>
      <c r="HX41" t="e">
        <f>Nodes!V283+"'E4!$Cc"</f>
        <v>#VALUE!</v>
      </c>
      <c r="HY41" t="e">
        <f>Nodes!W283+"'E4!$Cd"</f>
        <v>#VALUE!</v>
      </c>
      <c r="HZ41" s="333" t="e">
        <f>Nodes!X283+"'E4!$Ce"</f>
        <v>#VALUE!</v>
      </c>
      <c r="IA41" t="e">
        <f>Nodes!Y283+"'E4!$Cf"</f>
        <v>#VALUE!</v>
      </c>
      <c r="IB41" t="e">
        <f>Nodes!Z283+"'E4!$Cg"</f>
        <v>#VALUE!</v>
      </c>
      <c r="IC41" t="e">
        <f>Nodes!AA283+"'E4!$Ch"</f>
        <v>#VALUE!</v>
      </c>
      <c r="ID41" t="e">
        <f>Nodes!AB283+"'E4!$Ci"</f>
        <v>#VALUE!</v>
      </c>
      <c r="IE41" t="e">
        <f>Nodes!AC283+"'E4!$Cj"</f>
        <v>#VALUE!</v>
      </c>
      <c r="IF41" t="e">
        <f>Nodes!A284+"'E4!$Ck"</f>
        <v>#VALUE!</v>
      </c>
      <c r="IG41" t="e">
        <f>Nodes!B284+"'E4!$Cl"</f>
        <v>#VALUE!</v>
      </c>
      <c r="IH41" t="e">
        <f>Nodes!C284+"'E4!$Cm"</f>
        <v>#VALUE!</v>
      </c>
      <c r="II41" t="e">
        <f>Nodes!D284+"'E4!$Cn"</f>
        <v>#VALUE!</v>
      </c>
      <c r="IJ41" t="e">
        <f>Nodes!E284+"'E4!$Co"</f>
        <v>#VALUE!</v>
      </c>
      <c r="IK41" t="e">
        <f>Nodes!F284+"'E4!$Cp"</f>
        <v>#VALUE!</v>
      </c>
      <c r="IL41" t="e">
        <f>Nodes!G284+"'E4!$Cq"</f>
        <v>#VALUE!</v>
      </c>
      <c r="IM41" t="e">
        <f>Nodes!H284+"'E4!$Cr"</f>
        <v>#VALUE!</v>
      </c>
      <c r="IN41" t="e">
        <f>Nodes!I284+"'E4!$Cs"</f>
        <v>#VALUE!</v>
      </c>
      <c r="IO41" t="e">
        <f>Nodes!J284+"'E4!$Ct"</f>
        <v>#VALUE!</v>
      </c>
      <c r="IP41" t="e">
        <f>Nodes!K284+"'E4!$Cu"</f>
        <v>#VALUE!</v>
      </c>
      <c r="IQ41" t="e">
        <f>Nodes!L284+"'E4!$Cv"</f>
        <v>#VALUE!</v>
      </c>
      <c r="IR41" t="e">
        <f>Nodes!M284+"'E4!$Cw"</f>
        <v>#VALUE!</v>
      </c>
      <c r="IS41" t="e">
        <f>Nodes!N284+"'E4!$Cx"</f>
        <v>#VALUE!</v>
      </c>
      <c r="IT41" t="e">
        <f>Nodes!O284+"'E4!$Cy"</f>
        <v>#VALUE!</v>
      </c>
      <c r="IU41" t="e">
        <f>Nodes!P284+"'E4!$Cz"</f>
        <v>#VALUE!</v>
      </c>
      <c r="IV41" t="e">
        <f>Nodes!Q284+"'E4!$C{"</f>
        <v>#VALUE!</v>
      </c>
    </row>
    <row r="42" spans="6:256">
      <c r="F42" t="e">
        <f>Nodes!R284+"'E4!$C|"</f>
        <v>#VALUE!</v>
      </c>
      <c r="G42" t="e">
        <f>Nodes!S284+"'E4!$C}"</f>
        <v>#VALUE!</v>
      </c>
      <c r="H42" s="548" t="e">
        <f>Nodes!T284+"'E4!$C~"</f>
        <v>#VALUE!</v>
      </c>
      <c r="I42" s="548" t="e">
        <f>Nodes!U284+"'E4!$D#"</f>
        <v>#VALUE!</v>
      </c>
      <c r="J42" t="e">
        <f>Nodes!V284+"'E4!$D$"</f>
        <v>#VALUE!</v>
      </c>
      <c r="K42" t="e">
        <f>Nodes!W284+"'E4!$D%"</f>
        <v>#VALUE!</v>
      </c>
      <c r="L42" s="333" t="e">
        <f>Nodes!X284+"'E4!$D&amp;"</f>
        <v>#VALUE!</v>
      </c>
      <c r="M42" t="e">
        <f>Nodes!Y284+"'E4!$D'"</f>
        <v>#VALUE!</v>
      </c>
      <c r="N42" t="e">
        <f>Nodes!Z284+"'E4!$D("</f>
        <v>#VALUE!</v>
      </c>
      <c r="O42" t="e">
        <f>Nodes!AA284+"'E4!$D)"</f>
        <v>#VALUE!</v>
      </c>
      <c r="P42" t="e">
        <f>Nodes!AB284+"'E4!$D."</f>
        <v>#VALUE!</v>
      </c>
      <c r="Q42" t="e">
        <f>Nodes!AC284+"'E4!$D/"</f>
        <v>#VALUE!</v>
      </c>
      <c r="R42" t="e">
        <f>Nodes!A285+"'E4!$D0"</f>
        <v>#VALUE!</v>
      </c>
      <c r="S42" t="e">
        <f>Nodes!B285+"'E4!$D1"</f>
        <v>#VALUE!</v>
      </c>
      <c r="T42" t="e">
        <f>Nodes!C285+"'E4!$D2"</f>
        <v>#VALUE!</v>
      </c>
      <c r="U42" t="e">
        <f>Nodes!D285+"'E4!$D3"</f>
        <v>#VALUE!</v>
      </c>
      <c r="V42" t="e">
        <f>Nodes!E285+"'E4!$D4"</f>
        <v>#VALUE!</v>
      </c>
      <c r="W42" t="e">
        <f>Nodes!F285+"'E4!$D5"</f>
        <v>#VALUE!</v>
      </c>
      <c r="X42" t="e">
        <f>Nodes!G285+"'E4!$D6"</f>
        <v>#VALUE!</v>
      </c>
      <c r="Y42" t="e">
        <f>Nodes!H285+"'E4!$D7"</f>
        <v>#VALUE!</v>
      </c>
      <c r="Z42" t="e">
        <f>Nodes!I285+"'E4!$D8"</f>
        <v>#VALUE!</v>
      </c>
      <c r="AA42" t="e">
        <f>Nodes!J285+"'E4!$D9"</f>
        <v>#VALUE!</v>
      </c>
      <c r="AB42" t="e">
        <f>Nodes!K285+"'E4!$D:"</f>
        <v>#VALUE!</v>
      </c>
      <c r="AC42" t="e">
        <f>Nodes!L285+"'E4!$D;"</f>
        <v>#VALUE!</v>
      </c>
      <c r="AD42" t="e">
        <f>Nodes!M285+"'E4!$D&lt;"</f>
        <v>#VALUE!</v>
      </c>
      <c r="AE42" t="e">
        <f>Nodes!N285+"'E4!$D="</f>
        <v>#VALUE!</v>
      </c>
      <c r="AF42" t="e">
        <f>Nodes!O285+"'E4!$D&gt;"</f>
        <v>#VALUE!</v>
      </c>
      <c r="AG42" t="e">
        <f>Nodes!P285+"'E4!$D?"</f>
        <v>#VALUE!</v>
      </c>
      <c r="AH42" t="e">
        <f>Nodes!Q285+"'E4!$D@"</f>
        <v>#VALUE!</v>
      </c>
      <c r="AI42" t="e">
        <f>Nodes!R285+"'E4!$DA"</f>
        <v>#VALUE!</v>
      </c>
      <c r="AJ42" t="e">
        <f>Nodes!S285+"'E4!$DB"</f>
        <v>#VALUE!</v>
      </c>
      <c r="AK42" s="548" t="e">
        <f>Nodes!T285+"'E4!$DC"</f>
        <v>#VALUE!</v>
      </c>
      <c r="AL42" s="548" t="e">
        <f>Nodes!U285+"'E4!$DD"</f>
        <v>#VALUE!</v>
      </c>
      <c r="AM42" t="e">
        <f>Nodes!V285+"'E4!$DE"</f>
        <v>#VALUE!</v>
      </c>
      <c r="AN42" t="e">
        <f>Nodes!W285+"'E4!$DF"</f>
        <v>#VALUE!</v>
      </c>
      <c r="AO42" s="333" t="e">
        <f>Nodes!X285+"'E4!$DG"</f>
        <v>#VALUE!</v>
      </c>
      <c r="AP42" t="e">
        <f>Nodes!Y285+"'E4!$DH"</f>
        <v>#VALUE!</v>
      </c>
      <c r="AQ42" t="e">
        <f>Nodes!Z285+"'E4!$DI"</f>
        <v>#VALUE!</v>
      </c>
      <c r="AR42" t="e">
        <f>Nodes!AA285+"'E4!$DJ"</f>
        <v>#VALUE!</v>
      </c>
      <c r="AS42" t="e">
        <f>Nodes!AB285+"'E4!$DK"</f>
        <v>#VALUE!</v>
      </c>
      <c r="AT42" t="e">
        <f>Nodes!AC285+"'E4!$DL"</f>
        <v>#VALUE!</v>
      </c>
      <c r="AU42" t="e">
        <f>Nodes!A286+"'E4!$DM"</f>
        <v>#VALUE!</v>
      </c>
      <c r="AV42" t="e">
        <f>Nodes!B286+"'E4!$DN"</f>
        <v>#VALUE!</v>
      </c>
      <c r="AW42" t="e">
        <f>Nodes!C286+"'E4!$DO"</f>
        <v>#VALUE!</v>
      </c>
      <c r="AX42" t="e">
        <f>Nodes!D286+"'E4!$DP"</f>
        <v>#VALUE!</v>
      </c>
      <c r="AY42" t="e">
        <f>Nodes!E286+"'E4!$DQ"</f>
        <v>#VALUE!</v>
      </c>
      <c r="AZ42" t="e">
        <f>Nodes!F286+"'E4!$DR"</f>
        <v>#VALUE!</v>
      </c>
      <c r="BA42" t="e">
        <f>Nodes!G286+"'E4!$DS"</f>
        <v>#VALUE!</v>
      </c>
      <c r="BB42" t="e">
        <f>Nodes!H286+"'E4!$DT"</f>
        <v>#VALUE!</v>
      </c>
      <c r="BC42" t="e">
        <f>Nodes!I286+"'E4!$DU"</f>
        <v>#VALUE!</v>
      </c>
      <c r="BD42" t="e">
        <f>Nodes!J286+"'E4!$DV"</f>
        <v>#VALUE!</v>
      </c>
      <c r="BE42" t="e">
        <f>Nodes!K286+"'E4!$DW"</f>
        <v>#VALUE!</v>
      </c>
      <c r="BF42" t="e">
        <f>Nodes!L286+"'E4!$DX"</f>
        <v>#VALUE!</v>
      </c>
      <c r="BG42" t="e">
        <f>Nodes!M286+"'E4!$DY"</f>
        <v>#VALUE!</v>
      </c>
      <c r="BH42" t="e">
        <f>Nodes!N286+"'E4!$DZ"</f>
        <v>#VALUE!</v>
      </c>
      <c r="BI42" t="e">
        <f>Nodes!O286+"'E4!$D["</f>
        <v>#VALUE!</v>
      </c>
      <c r="BJ42" t="e">
        <f>Nodes!P286+"'E4!$D\"</f>
        <v>#VALUE!</v>
      </c>
      <c r="BK42" t="e">
        <f>Nodes!Q286+"'E4!$D]"</f>
        <v>#VALUE!</v>
      </c>
      <c r="BL42" t="e">
        <f>Nodes!R286+"'E4!$D^"</f>
        <v>#VALUE!</v>
      </c>
      <c r="BM42" t="e">
        <f>Nodes!S286+"'E4!$D_"</f>
        <v>#VALUE!</v>
      </c>
      <c r="BN42" s="548" t="e">
        <f>Nodes!T286+"'E4!$D`"</f>
        <v>#VALUE!</v>
      </c>
      <c r="BO42" s="548" t="e">
        <f>Nodes!U286+"'E4!$Da"</f>
        <v>#VALUE!</v>
      </c>
      <c r="BP42" t="e">
        <f>Nodes!V286+"'E4!$Db"</f>
        <v>#VALUE!</v>
      </c>
      <c r="BQ42" t="e">
        <f>Nodes!W286+"'E4!$Dc"</f>
        <v>#VALUE!</v>
      </c>
      <c r="BR42" s="333" t="e">
        <f>Nodes!X286+"'E4!$Dd"</f>
        <v>#VALUE!</v>
      </c>
      <c r="BS42" t="e">
        <f>Nodes!Y286+"'E4!$De"</f>
        <v>#VALUE!</v>
      </c>
      <c r="BT42" t="e">
        <f>Nodes!Z286+"'E4!$Df"</f>
        <v>#VALUE!</v>
      </c>
      <c r="BU42" t="e">
        <f>Nodes!AA286+"'E4!$Dg"</f>
        <v>#VALUE!</v>
      </c>
      <c r="BV42" t="e">
        <f>Nodes!AB286+"'E4!$Dh"</f>
        <v>#VALUE!</v>
      </c>
      <c r="BW42" t="e">
        <f>Nodes!AC286+"'E4!$Di"</f>
        <v>#VALUE!</v>
      </c>
      <c r="BX42" t="e">
        <f>Nodes!A287+"'E4!$Dj"</f>
        <v>#VALUE!</v>
      </c>
      <c r="BY42" t="e">
        <f>Nodes!B287+"'E4!$Dk"</f>
        <v>#VALUE!</v>
      </c>
      <c r="BZ42" t="e">
        <f>Nodes!C287+"'E4!$Dl"</f>
        <v>#VALUE!</v>
      </c>
      <c r="CA42" t="e">
        <f>Nodes!D287+"'E4!$Dm"</f>
        <v>#VALUE!</v>
      </c>
      <c r="CB42" t="e">
        <f>Nodes!E287+"'E4!$Dn"</f>
        <v>#VALUE!</v>
      </c>
      <c r="CC42" t="e">
        <f>Nodes!F287+"'E4!$Do"</f>
        <v>#VALUE!</v>
      </c>
      <c r="CD42" t="e">
        <f>Nodes!G287+"'E4!$Dp"</f>
        <v>#VALUE!</v>
      </c>
      <c r="CE42" t="e">
        <f>Nodes!H287+"'E4!$Dq"</f>
        <v>#VALUE!</v>
      </c>
      <c r="CF42" t="e">
        <f>Nodes!I287+"'E4!$Dr"</f>
        <v>#VALUE!</v>
      </c>
      <c r="CG42" t="e">
        <f>Nodes!J287+"'E4!$Ds"</f>
        <v>#VALUE!</v>
      </c>
      <c r="CH42" t="e">
        <f>Nodes!K287+"'E4!$Dt"</f>
        <v>#VALUE!</v>
      </c>
      <c r="CI42" t="e">
        <f>Nodes!L287+"'E4!$Du"</f>
        <v>#VALUE!</v>
      </c>
      <c r="CJ42" t="e">
        <f>Nodes!M287+"'E4!$Dv"</f>
        <v>#VALUE!</v>
      </c>
      <c r="CK42" t="e">
        <f>Nodes!N287+"'E4!$Dw"</f>
        <v>#VALUE!</v>
      </c>
      <c r="CL42" t="e">
        <f>Nodes!O287+"'E4!$Dx"</f>
        <v>#VALUE!</v>
      </c>
      <c r="CM42" t="e">
        <f>Nodes!P287+"'E4!$Dy"</f>
        <v>#VALUE!</v>
      </c>
      <c r="CN42" t="e">
        <f>Nodes!Q287+"'E4!$Dz"</f>
        <v>#VALUE!</v>
      </c>
      <c r="CO42" t="e">
        <f>Nodes!R287+"'E4!$D{"</f>
        <v>#VALUE!</v>
      </c>
      <c r="CP42" t="e">
        <f>Nodes!S287+"'E4!$D|"</f>
        <v>#VALUE!</v>
      </c>
      <c r="CQ42" s="548" t="e">
        <f>Nodes!T287+"'E4!$D}"</f>
        <v>#VALUE!</v>
      </c>
      <c r="CR42" s="548" t="e">
        <f>Nodes!U287+"'E4!$D~"</f>
        <v>#VALUE!</v>
      </c>
      <c r="CS42" t="e">
        <f>Nodes!V287+"'E4!$E#"</f>
        <v>#VALUE!</v>
      </c>
      <c r="CT42" t="e">
        <f>Nodes!W287+"'E4!$E$"</f>
        <v>#VALUE!</v>
      </c>
      <c r="CU42" s="333" t="e">
        <f>Nodes!X287+"'E4!$E%"</f>
        <v>#VALUE!</v>
      </c>
      <c r="CV42" t="e">
        <f>Nodes!Y287+"'E4!$E&amp;"</f>
        <v>#VALUE!</v>
      </c>
      <c r="CW42" t="e">
        <f>Nodes!Z287+"'E4!$E'"</f>
        <v>#VALUE!</v>
      </c>
      <c r="CX42" t="e">
        <f>Nodes!AA287+"'E4!$E("</f>
        <v>#VALUE!</v>
      </c>
      <c r="CY42" t="e">
        <f>Nodes!AB287+"'E4!$E)"</f>
        <v>#VALUE!</v>
      </c>
      <c r="CZ42" t="e">
        <f>Nodes!AC287+"'E4!$E."</f>
        <v>#VALUE!</v>
      </c>
      <c r="DA42" t="e">
        <f>Nodes!A288+"'E4!$E/"</f>
        <v>#VALUE!</v>
      </c>
      <c r="DB42" t="e">
        <f>Nodes!B288+"'E4!$E0"</f>
        <v>#VALUE!</v>
      </c>
      <c r="DC42" t="e">
        <f>Nodes!C288+"'E4!$E1"</f>
        <v>#VALUE!</v>
      </c>
      <c r="DD42" t="e">
        <f>Nodes!D288+"'E4!$E2"</f>
        <v>#VALUE!</v>
      </c>
      <c r="DE42" t="e">
        <f>Nodes!E288+"'E4!$E3"</f>
        <v>#VALUE!</v>
      </c>
      <c r="DF42" t="e">
        <f>Nodes!F288+"'E4!$E4"</f>
        <v>#VALUE!</v>
      </c>
      <c r="DG42" t="e">
        <f>Nodes!G288+"'E4!$E5"</f>
        <v>#VALUE!</v>
      </c>
      <c r="DH42" t="e">
        <f>Nodes!H288+"'E4!$E6"</f>
        <v>#VALUE!</v>
      </c>
      <c r="DI42" t="e">
        <f>Nodes!I288+"'E4!$E7"</f>
        <v>#VALUE!</v>
      </c>
      <c r="DJ42" t="e">
        <f>Nodes!J288+"'E4!$E8"</f>
        <v>#VALUE!</v>
      </c>
      <c r="DK42" t="e">
        <f>Nodes!K288+"'E4!$E9"</f>
        <v>#VALUE!</v>
      </c>
      <c r="DL42" t="e">
        <f>Nodes!L288+"'E4!$E:"</f>
        <v>#VALUE!</v>
      </c>
      <c r="DM42" t="e">
        <f>Nodes!M288+"'E4!$E;"</f>
        <v>#VALUE!</v>
      </c>
      <c r="DN42" t="e">
        <f>Nodes!N288+"'E4!$E&lt;"</f>
        <v>#VALUE!</v>
      </c>
      <c r="DO42" t="e">
        <f>Nodes!O288+"'E4!$E="</f>
        <v>#VALUE!</v>
      </c>
      <c r="DP42" t="e">
        <f>Nodes!P288+"'E4!$E&gt;"</f>
        <v>#VALUE!</v>
      </c>
      <c r="DQ42" t="e">
        <f>Nodes!Q288+"'E4!$E?"</f>
        <v>#VALUE!</v>
      </c>
      <c r="DR42" t="e">
        <f>Nodes!R288+"'E4!$E@"</f>
        <v>#VALUE!</v>
      </c>
      <c r="DS42" t="e">
        <f>Nodes!S288+"'E4!$EA"</f>
        <v>#VALUE!</v>
      </c>
      <c r="DT42" s="548" t="e">
        <f>Nodes!T288+"'E4!$EB"</f>
        <v>#VALUE!</v>
      </c>
      <c r="DU42" s="548" t="e">
        <f>Nodes!U288+"'E4!$EC"</f>
        <v>#VALUE!</v>
      </c>
      <c r="DV42" t="e">
        <f>Nodes!V288+"'E4!$ED"</f>
        <v>#VALUE!</v>
      </c>
      <c r="DW42" t="e">
        <f>Nodes!W288+"'E4!$EE"</f>
        <v>#VALUE!</v>
      </c>
      <c r="DX42" s="333" t="e">
        <f>Nodes!X288+"'E4!$EF"</f>
        <v>#VALUE!</v>
      </c>
      <c r="DY42" t="e">
        <f>Nodes!Y288+"'E4!$EG"</f>
        <v>#VALUE!</v>
      </c>
      <c r="DZ42" t="e">
        <f>Nodes!Z288+"'E4!$EH"</f>
        <v>#VALUE!</v>
      </c>
      <c r="EA42" t="e">
        <f>Nodes!AA288+"'E4!$EI"</f>
        <v>#VALUE!</v>
      </c>
      <c r="EB42" t="e">
        <f>Nodes!AB288+"'E4!$EJ"</f>
        <v>#VALUE!</v>
      </c>
      <c r="EC42" t="e">
        <f>Nodes!AC288+"'E4!$EK"</f>
        <v>#VALUE!</v>
      </c>
      <c r="ED42" t="e">
        <f>Nodes!A289+"'E4!$EL"</f>
        <v>#VALUE!</v>
      </c>
      <c r="EE42" t="e">
        <f>Nodes!B289+"'E4!$EM"</f>
        <v>#VALUE!</v>
      </c>
      <c r="EF42" t="e">
        <f>Nodes!C289+"'E4!$EN"</f>
        <v>#VALUE!</v>
      </c>
      <c r="EG42" t="e">
        <f>Nodes!D289+"'E4!$EO"</f>
        <v>#VALUE!</v>
      </c>
      <c r="EH42" t="e">
        <f>Nodes!E289+"'E4!$EP"</f>
        <v>#VALUE!</v>
      </c>
      <c r="EI42" t="e">
        <f>Nodes!F289+"'E4!$EQ"</f>
        <v>#VALUE!</v>
      </c>
      <c r="EJ42" t="e">
        <f>Nodes!G289+"'E4!$ER"</f>
        <v>#VALUE!</v>
      </c>
      <c r="EK42" t="e">
        <f>Nodes!H289+"'E4!$ES"</f>
        <v>#VALUE!</v>
      </c>
      <c r="EL42" t="e">
        <f>Nodes!I289+"'E4!$ET"</f>
        <v>#VALUE!</v>
      </c>
      <c r="EM42" t="e">
        <f>Nodes!J289+"'E4!$EU"</f>
        <v>#VALUE!</v>
      </c>
      <c r="EN42" t="e">
        <f>Nodes!K289+"'E4!$EV"</f>
        <v>#VALUE!</v>
      </c>
      <c r="EO42" t="e">
        <f>Nodes!L289+"'E4!$EW"</f>
        <v>#VALUE!</v>
      </c>
      <c r="EP42" t="e">
        <f>Nodes!M289+"'E4!$EX"</f>
        <v>#VALUE!</v>
      </c>
      <c r="EQ42" t="e">
        <f>Nodes!N289+"'E4!$EY"</f>
        <v>#VALUE!</v>
      </c>
      <c r="ER42" t="e">
        <f>Nodes!O289+"'E4!$EZ"</f>
        <v>#VALUE!</v>
      </c>
      <c r="ES42" t="e">
        <f>Nodes!P289+"'E4!$E["</f>
        <v>#VALUE!</v>
      </c>
      <c r="ET42" t="e">
        <f>Nodes!Q289+"'E4!$E\"</f>
        <v>#VALUE!</v>
      </c>
      <c r="EU42" t="e">
        <f>Nodes!R289+"'E4!$E]"</f>
        <v>#VALUE!</v>
      </c>
      <c r="EV42" t="e">
        <f>Nodes!S289+"'E4!$E^"</f>
        <v>#VALUE!</v>
      </c>
      <c r="EW42" s="548" t="e">
        <f>Nodes!T289+"'E4!$E_"</f>
        <v>#VALUE!</v>
      </c>
      <c r="EX42" s="548" t="e">
        <f>Nodes!U289+"'E4!$E`"</f>
        <v>#VALUE!</v>
      </c>
      <c r="EY42" t="e">
        <f>Nodes!V289+"'E4!$Ea"</f>
        <v>#VALUE!</v>
      </c>
      <c r="EZ42" t="e">
        <f>Nodes!W289+"'E4!$Eb"</f>
        <v>#VALUE!</v>
      </c>
      <c r="FA42" t="e">
        <f>Nodes!X289+"'E4!$Ec"</f>
        <v>#VALUE!</v>
      </c>
      <c r="FB42" t="e">
        <f>Nodes!Y289+"'E4!$Ed"</f>
        <v>#VALUE!</v>
      </c>
      <c r="FC42" t="e">
        <f>Nodes!Z289+"'E4!$Ee"</f>
        <v>#VALUE!</v>
      </c>
      <c r="FD42" t="e">
        <f>Nodes!AA289+"'E4!$Ef"</f>
        <v>#VALUE!</v>
      </c>
      <c r="FE42" t="e">
        <f>Nodes!AB289+"'E4!$Eg"</f>
        <v>#VALUE!</v>
      </c>
      <c r="FF42" t="e">
        <f>Nodes!AC289+"'E4!$Eh"</f>
        <v>#VALUE!</v>
      </c>
      <c r="FG42" t="e">
        <f>Nodes!A290+"'E4!$Ei"</f>
        <v>#VALUE!</v>
      </c>
      <c r="FH42" t="e">
        <f>Nodes!B290+"'E4!$Ej"</f>
        <v>#VALUE!</v>
      </c>
      <c r="FI42" t="e">
        <f>Nodes!C290+"'E4!$Ek"</f>
        <v>#VALUE!</v>
      </c>
      <c r="FJ42" t="e">
        <f>Nodes!D290+"'E4!$El"</f>
        <v>#VALUE!</v>
      </c>
      <c r="FK42" t="e">
        <f>Nodes!E290+"'E4!$Em"</f>
        <v>#VALUE!</v>
      </c>
      <c r="FL42" t="e">
        <f>Nodes!F290+"'E4!$En"</f>
        <v>#VALUE!</v>
      </c>
      <c r="FM42" t="e">
        <f>Nodes!G290+"'E4!$Eo"</f>
        <v>#VALUE!</v>
      </c>
      <c r="FN42" t="e">
        <f>Nodes!H290+"'E4!$Ep"</f>
        <v>#VALUE!</v>
      </c>
      <c r="FO42" t="e">
        <f>Nodes!I290+"'E4!$Eq"</f>
        <v>#VALUE!</v>
      </c>
      <c r="FP42" t="e">
        <f>Nodes!J290+"'E4!$Er"</f>
        <v>#VALUE!</v>
      </c>
      <c r="FQ42" t="e">
        <f>Nodes!K290+"'E4!$Es"</f>
        <v>#VALUE!</v>
      </c>
      <c r="FR42" t="e">
        <f>Nodes!L290+"'E4!$Et"</f>
        <v>#VALUE!</v>
      </c>
      <c r="FS42" t="e">
        <f>Nodes!M290+"'E4!$Eu"</f>
        <v>#VALUE!</v>
      </c>
      <c r="FT42" t="e">
        <f>Nodes!N290+"'E4!$Ev"</f>
        <v>#VALUE!</v>
      </c>
      <c r="FU42" t="e">
        <f>Nodes!O290+"'E4!$Ew"</f>
        <v>#VALUE!</v>
      </c>
      <c r="FV42" t="e">
        <f>Nodes!P290+"'E4!$Ex"</f>
        <v>#VALUE!</v>
      </c>
      <c r="FW42" t="e">
        <f>Nodes!Q290+"'E4!$Ey"</f>
        <v>#VALUE!</v>
      </c>
      <c r="FX42" t="e">
        <f>Nodes!R290+"'E4!$Ez"</f>
        <v>#VALUE!</v>
      </c>
      <c r="FY42" t="e">
        <f>Nodes!S290+"'E4!$E{"</f>
        <v>#VALUE!</v>
      </c>
      <c r="FZ42" s="548" t="e">
        <f>Nodes!T290+"'E4!$E|"</f>
        <v>#VALUE!</v>
      </c>
      <c r="GA42" s="548" t="e">
        <f>Nodes!U290+"'E4!$E}"</f>
        <v>#VALUE!</v>
      </c>
      <c r="GB42" t="e">
        <f>Nodes!V290+"'E4!$E~"</f>
        <v>#VALUE!</v>
      </c>
      <c r="GC42" t="e">
        <f>Nodes!W290+"'E4!$F#"</f>
        <v>#VALUE!</v>
      </c>
      <c r="GD42" s="333" t="e">
        <f>Nodes!X290+"'E4!$F$"</f>
        <v>#VALUE!</v>
      </c>
      <c r="GE42" t="e">
        <f>Nodes!Y290+"'E4!$F%"</f>
        <v>#VALUE!</v>
      </c>
      <c r="GF42" t="e">
        <f>Nodes!Z290+"'E4!$F&amp;"</f>
        <v>#VALUE!</v>
      </c>
      <c r="GG42" t="e">
        <f>Nodes!AA290+"'E4!$F'"</f>
        <v>#VALUE!</v>
      </c>
      <c r="GH42" t="e">
        <f>Nodes!AB290+"'E4!$F("</f>
        <v>#VALUE!</v>
      </c>
      <c r="GI42" t="e">
        <f>Nodes!AC290+"'E4!$F)"</f>
        <v>#VALUE!</v>
      </c>
      <c r="GJ42" t="e">
        <f>Nodes!A291+"'E4!$F."</f>
        <v>#VALUE!</v>
      </c>
      <c r="GK42" t="e">
        <f>Nodes!B291+"'E4!$F/"</f>
        <v>#VALUE!</v>
      </c>
      <c r="GL42" t="e">
        <f>Nodes!C291+"'E4!$F0"</f>
        <v>#VALUE!</v>
      </c>
      <c r="GM42" t="e">
        <f>Nodes!D291+"'E4!$F1"</f>
        <v>#VALUE!</v>
      </c>
      <c r="GN42" t="e">
        <f>Nodes!E291+"'E4!$F2"</f>
        <v>#VALUE!</v>
      </c>
      <c r="GO42" t="e">
        <f>Nodes!F291+"'E4!$F3"</f>
        <v>#VALUE!</v>
      </c>
      <c r="GP42" t="e">
        <f>Nodes!G291+"'E4!$F4"</f>
        <v>#VALUE!</v>
      </c>
      <c r="GQ42" t="e">
        <f>Nodes!H291+"'E4!$F5"</f>
        <v>#VALUE!</v>
      </c>
      <c r="GR42" t="e">
        <f>Nodes!I291+"'E4!$F6"</f>
        <v>#VALUE!</v>
      </c>
      <c r="GS42" t="e">
        <f>Nodes!J291+"'E4!$F7"</f>
        <v>#VALUE!</v>
      </c>
      <c r="GT42" t="e">
        <f>Nodes!K291+"'E4!$F8"</f>
        <v>#VALUE!</v>
      </c>
      <c r="GU42" t="e">
        <f>Nodes!L291+"'E4!$F9"</f>
        <v>#VALUE!</v>
      </c>
      <c r="GV42" t="e">
        <f>Nodes!M291+"'E4!$F:"</f>
        <v>#VALUE!</v>
      </c>
      <c r="GW42" t="e">
        <f>Nodes!N291+"'E4!$F;"</f>
        <v>#VALUE!</v>
      </c>
      <c r="GX42" t="e">
        <f>Nodes!O291+"'E4!$F&lt;"</f>
        <v>#VALUE!</v>
      </c>
      <c r="GY42" t="e">
        <f>Nodes!P291+"'E4!$F="</f>
        <v>#VALUE!</v>
      </c>
      <c r="GZ42" t="e">
        <f>Nodes!Q291+"'E4!$F&gt;"</f>
        <v>#VALUE!</v>
      </c>
      <c r="HA42" t="e">
        <f>Nodes!R291+"'E4!$F?"</f>
        <v>#VALUE!</v>
      </c>
      <c r="HB42" t="e">
        <f>Nodes!S291+"'E4!$F@"</f>
        <v>#VALUE!</v>
      </c>
      <c r="HC42" s="548" t="e">
        <f>Nodes!T291+"'E4!$FA"</f>
        <v>#VALUE!</v>
      </c>
      <c r="HD42" s="548" t="e">
        <f>Nodes!U291+"'E4!$FB"</f>
        <v>#VALUE!</v>
      </c>
      <c r="HE42" t="e">
        <f>Nodes!V291+"'E4!$FC"</f>
        <v>#VALUE!</v>
      </c>
      <c r="HF42" t="e">
        <f>Nodes!W291+"'E4!$FD"</f>
        <v>#VALUE!</v>
      </c>
      <c r="HG42" s="333" t="e">
        <f>Nodes!X291+"'E4!$FE"</f>
        <v>#VALUE!</v>
      </c>
      <c r="HH42" t="e">
        <f>Nodes!Y291+"'E4!$FF"</f>
        <v>#VALUE!</v>
      </c>
      <c r="HI42" t="e">
        <f>Nodes!Z291+"'E4!$FG"</f>
        <v>#VALUE!</v>
      </c>
      <c r="HJ42" t="e">
        <f>Nodes!AA291+"'E4!$FH"</f>
        <v>#VALUE!</v>
      </c>
      <c r="HK42" t="e">
        <f>Nodes!AB291+"'E4!$FI"</f>
        <v>#VALUE!</v>
      </c>
      <c r="HL42" t="e">
        <f>Nodes!AC291+"'E4!$FJ"</f>
        <v>#VALUE!</v>
      </c>
      <c r="HM42" t="e">
        <f>Nodes!A292+"'E4!$FK"</f>
        <v>#VALUE!</v>
      </c>
      <c r="HN42" t="e">
        <f>Nodes!B292+"'E4!$FL"</f>
        <v>#VALUE!</v>
      </c>
      <c r="HO42" t="e">
        <f>Nodes!C292+"'E4!$FM"</f>
        <v>#VALUE!</v>
      </c>
      <c r="HP42" t="e">
        <f>Nodes!D292+"'E4!$FN"</f>
        <v>#VALUE!</v>
      </c>
      <c r="HQ42" t="e">
        <f>Nodes!E292+"'E4!$FO"</f>
        <v>#VALUE!</v>
      </c>
      <c r="HR42" t="e">
        <f>Nodes!F292+"'E4!$FP"</f>
        <v>#VALUE!</v>
      </c>
      <c r="HS42" t="e">
        <f>Nodes!G292+"'E4!$FQ"</f>
        <v>#VALUE!</v>
      </c>
      <c r="HT42" t="e">
        <f>Nodes!H292+"'E4!$FR"</f>
        <v>#VALUE!</v>
      </c>
      <c r="HU42" t="e">
        <f>Nodes!I292+"'E4!$FS"</f>
        <v>#VALUE!</v>
      </c>
      <c r="HV42" t="e">
        <f>Nodes!J292+"'E4!$FT"</f>
        <v>#VALUE!</v>
      </c>
      <c r="HW42" t="e">
        <f>Nodes!K292+"'E4!$FU"</f>
        <v>#VALUE!</v>
      </c>
      <c r="HX42" t="e">
        <f>Nodes!L292+"'E4!$FV"</f>
        <v>#VALUE!</v>
      </c>
      <c r="HY42" t="e">
        <f>Nodes!M292+"'E4!$FW"</f>
        <v>#VALUE!</v>
      </c>
      <c r="HZ42" t="e">
        <f>Nodes!N292+"'E4!$FX"</f>
        <v>#VALUE!</v>
      </c>
      <c r="IA42" t="e">
        <f>Nodes!O292+"'E4!$FY"</f>
        <v>#VALUE!</v>
      </c>
      <c r="IB42" t="e">
        <f>Nodes!P292+"'E4!$FZ"</f>
        <v>#VALUE!</v>
      </c>
      <c r="IC42" t="e">
        <f>Nodes!Q292+"'E4!$F["</f>
        <v>#VALUE!</v>
      </c>
      <c r="ID42" t="e">
        <f>Nodes!R292+"'E4!$F\"</f>
        <v>#VALUE!</v>
      </c>
      <c r="IE42" t="e">
        <f>Nodes!S292+"'E4!$F]"</f>
        <v>#VALUE!</v>
      </c>
      <c r="IF42" s="548" t="e">
        <f>Nodes!T292+"'E4!$F^"</f>
        <v>#VALUE!</v>
      </c>
      <c r="IG42" s="548" t="e">
        <f>Nodes!U292+"'E4!$F_"</f>
        <v>#VALUE!</v>
      </c>
      <c r="IH42" t="e">
        <f>Nodes!V292+"'E4!$F`"</f>
        <v>#VALUE!</v>
      </c>
      <c r="II42" t="e">
        <f>Nodes!W292+"'E4!$Fa"</f>
        <v>#VALUE!</v>
      </c>
      <c r="IJ42" s="333" t="e">
        <f>Nodes!X292+"'E4!$Fb"</f>
        <v>#VALUE!</v>
      </c>
      <c r="IK42" t="e">
        <f>Nodes!Y292+"'E4!$Fc"</f>
        <v>#VALUE!</v>
      </c>
      <c r="IL42" t="e">
        <f>Nodes!Z292+"'E4!$Fd"</f>
        <v>#VALUE!</v>
      </c>
      <c r="IM42" t="e">
        <f>Nodes!AA292+"'E4!$Fe"</f>
        <v>#VALUE!</v>
      </c>
      <c r="IN42" t="e">
        <f>Nodes!AB292+"'E4!$Ff"</f>
        <v>#VALUE!</v>
      </c>
      <c r="IO42" t="e">
        <f>Nodes!AC292+"'E4!$Fg"</f>
        <v>#VALUE!</v>
      </c>
      <c r="IP42" t="e">
        <f>Nodes!A293+"'E4!$Fh"</f>
        <v>#VALUE!</v>
      </c>
      <c r="IQ42" t="e">
        <f>Nodes!B293+"'E4!$Fi"</f>
        <v>#VALUE!</v>
      </c>
      <c r="IR42" t="e">
        <f>Nodes!C293+"'E4!$Fj"</f>
        <v>#VALUE!</v>
      </c>
      <c r="IS42" t="e">
        <f>Nodes!D293+"'E4!$Fk"</f>
        <v>#VALUE!</v>
      </c>
      <c r="IT42" t="e">
        <f>Nodes!E293+"'E4!$Fl"</f>
        <v>#VALUE!</v>
      </c>
      <c r="IU42" t="e">
        <f>Nodes!F293+"'E4!$Fm"</f>
        <v>#VALUE!</v>
      </c>
      <c r="IV42" t="e">
        <f>Nodes!G293+"'E4!$Fn"</f>
        <v>#VALUE!</v>
      </c>
    </row>
    <row r="43" spans="6:256">
      <c r="F43" t="e">
        <f>Nodes!H293+"'E4!$Fo"</f>
        <v>#VALUE!</v>
      </c>
      <c r="G43" t="e">
        <f>Nodes!I293+"'E4!$Fp"</f>
        <v>#VALUE!</v>
      </c>
      <c r="H43" t="e">
        <f>Nodes!J293+"'E4!$Fq"</f>
        <v>#VALUE!</v>
      </c>
      <c r="I43" t="e">
        <f>Nodes!K293+"'E4!$Fr"</f>
        <v>#VALUE!</v>
      </c>
      <c r="J43" t="e">
        <f>Nodes!L293+"'E4!$Fs"</f>
        <v>#VALUE!</v>
      </c>
      <c r="K43" t="e">
        <f>Nodes!M293+"'E4!$Ft"</f>
        <v>#VALUE!</v>
      </c>
      <c r="L43" t="e">
        <f>Nodes!N293+"'E4!$Fu"</f>
        <v>#VALUE!</v>
      </c>
      <c r="M43" t="e">
        <f>Nodes!O293+"'E4!$Fv"</f>
        <v>#VALUE!</v>
      </c>
      <c r="N43" t="e">
        <f>Nodes!P293+"'E4!$Fw"</f>
        <v>#VALUE!</v>
      </c>
      <c r="O43" t="e">
        <f>Nodes!Q293+"'E4!$Fx"</f>
        <v>#VALUE!</v>
      </c>
      <c r="P43" t="e">
        <f>Nodes!R293+"'E4!$Fy"</f>
        <v>#VALUE!</v>
      </c>
      <c r="Q43" t="e">
        <f>Nodes!S293+"'E4!$Fz"</f>
        <v>#VALUE!</v>
      </c>
      <c r="R43" s="548" t="e">
        <f>Nodes!T293+"'E4!$F{"</f>
        <v>#VALUE!</v>
      </c>
      <c r="S43" s="548" t="e">
        <f>Nodes!U293+"'E4!$F|"</f>
        <v>#VALUE!</v>
      </c>
      <c r="T43" t="e">
        <f>Nodes!V293+"'E4!$F}"</f>
        <v>#VALUE!</v>
      </c>
      <c r="U43" t="e">
        <f>Nodes!W293+"'E4!$F~"</f>
        <v>#VALUE!</v>
      </c>
      <c r="V43" s="333" t="e">
        <f>Nodes!X293+"'E4!$G#"</f>
        <v>#VALUE!</v>
      </c>
      <c r="W43" t="e">
        <f>Nodes!Y293+"'E4!$G$"</f>
        <v>#VALUE!</v>
      </c>
      <c r="X43" t="e">
        <f>Nodes!Z293+"'E4!$G%"</f>
        <v>#VALUE!</v>
      </c>
      <c r="Y43" t="e">
        <f>Nodes!AA293+"'E4!$G&amp;"</f>
        <v>#VALUE!</v>
      </c>
      <c r="Z43" t="e">
        <f>Nodes!AB293+"'E4!$G'"</f>
        <v>#VALUE!</v>
      </c>
      <c r="AA43" t="e">
        <f>Nodes!AC293+"'E4!$G("</f>
        <v>#VALUE!</v>
      </c>
      <c r="AB43" t="e">
        <f>Nodes!A294+"'E4!$G)"</f>
        <v>#VALUE!</v>
      </c>
      <c r="AC43" t="e">
        <f>Nodes!B294+"'E4!$G."</f>
        <v>#VALUE!</v>
      </c>
      <c r="AD43" t="e">
        <f>Nodes!C294+"'E4!$G/"</f>
        <v>#VALUE!</v>
      </c>
      <c r="AE43" t="e">
        <f>Nodes!D294+"'E4!$G0"</f>
        <v>#VALUE!</v>
      </c>
      <c r="AF43" t="e">
        <f>Nodes!E294+"'E4!$G1"</f>
        <v>#VALUE!</v>
      </c>
      <c r="AG43" t="e">
        <f>Nodes!F294+"'E4!$G2"</f>
        <v>#VALUE!</v>
      </c>
      <c r="AH43" t="e">
        <f>Nodes!G294+"'E4!$G3"</f>
        <v>#VALUE!</v>
      </c>
      <c r="AI43" t="e">
        <f>Nodes!H294+"'E4!$G4"</f>
        <v>#VALUE!</v>
      </c>
      <c r="AJ43" t="e">
        <f>Nodes!I294+"'E4!$G5"</f>
        <v>#VALUE!</v>
      </c>
      <c r="AK43" t="e">
        <f>Nodes!J294+"'E4!$G6"</f>
        <v>#VALUE!</v>
      </c>
      <c r="AL43" t="e">
        <f>Nodes!K294+"'E4!$G7"</f>
        <v>#VALUE!</v>
      </c>
      <c r="AM43" t="e">
        <f>Nodes!L294+"'E4!$G8"</f>
        <v>#VALUE!</v>
      </c>
      <c r="AN43" t="e">
        <f>Nodes!M294+"'E4!$G9"</f>
        <v>#VALUE!</v>
      </c>
      <c r="AO43" t="e">
        <f>Nodes!N294+"'E4!$G:"</f>
        <v>#VALUE!</v>
      </c>
      <c r="AP43" t="e">
        <f>Nodes!O294+"'E4!$G;"</f>
        <v>#VALUE!</v>
      </c>
      <c r="AQ43" t="e">
        <f>Nodes!P294+"'E4!$G&lt;"</f>
        <v>#VALUE!</v>
      </c>
      <c r="AR43" t="e">
        <f>Nodes!Q294+"'E4!$G="</f>
        <v>#VALUE!</v>
      </c>
      <c r="AS43" t="e">
        <f>Nodes!R294+"'E4!$G&gt;"</f>
        <v>#VALUE!</v>
      </c>
      <c r="AT43" t="e">
        <f>Nodes!S294+"'E4!$G?"</f>
        <v>#VALUE!</v>
      </c>
      <c r="AU43" s="548" t="e">
        <f>Nodes!T294+"'E4!$G@"</f>
        <v>#VALUE!</v>
      </c>
      <c r="AV43" s="548" t="e">
        <f>Nodes!U294+"'E4!$GA"</f>
        <v>#VALUE!</v>
      </c>
      <c r="AW43" t="e">
        <f>Nodes!V294+"'E4!$GB"</f>
        <v>#VALUE!</v>
      </c>
      <c r="AX43" t="e">
        <f>Nodes!W294+"'E4!$GC"</f>
        <v>#VALUE!</v>
      </c>
      <c r="AY43" s="333" t="e">
        <f>Nodes!X294+"'E4!$GD"</f>
        <v>#VALUE!</v>
      </c>
      <c r="AZ43" t="e">
        <f>Nodes!Y294+"'E4!$GE"</f>
        <v>#VALUE!</v>
      </c>
      <c r="BA43" t="e">
        <f>Nodes!Z294+"'E4!$GF"</f>
        <v>#VALUE!</v>
      </c>
      <c r="BB43" t="e">
        <f>Nodes!AA294+"'E4!$GG"</f>
        <v>#VALUE!</v>
      </c>
      <c r="BC43" t="e">
        <f>Nodes!AB294+"'E4!$GH"</f>
        <v>#VALUE!</v>
      </c>
      <c r="BD43" t="e">
        <f>Nodes!AC294+"'E4!$GI"</f>
        <v>#VALUE!</v>
      </c>
      <c r="BE43" t="e">
        <f>Nodes!A295+"'E4!$GJ"</f>
        <v>#VALUE!</v>
      </c>
      <c r="BF43" t="e">
        <f>Nodes!B295+"'E4!$GK"</f>
        <v>#VALUE!</v>
      </c>
      <c r="BG43" t="e">
        <f>Nodes!C295+"'E4!$GL"</f>
        <v>#VALUE!</v>
      </c>
      <c r="BH43" t="e">
        <f>Nodes!D295+"'E4!$GM"</f>
        <v>#VALUE!</v>
      </c>
      <c r="BI43" t="e">
        <f>Nodes!E295+"'E4!$GN"</f>
        <v>#VALUE!</v>
      </c>
      <c r="BJ43" t="e">
        <f>Nodes!F295+"'E4!$GO"</f>
        <v>#VALUE!</v>
      </c>
      <c r="BK43" t="e">
        <f>Nodes!G295+"'E4!$GP"</f>
        <v>#VALUE!</v>
      </c>
      <c r="BL43" t="e">
        <f>Nodes!H295+"'E4!$GQ"</f>
        <v>#VALUE!</v>
      </c>
      <c r="BM43" t="e">
        <f>Nodes!I295+"'E4!$GR"</f>
        <v>#VALUE!</v>
      </c>
      <c r="BN43" t="e">
        <f>Nodes!J295+"'E4!$GS"</f>
        <v>#VALUE!</v>
      </c>
      <c r="BO43" t="e">
        <f>Nodes!K295+"'E4!$GT"</f>
        <v>#VALUE!</v>
      </c>
      <c r="BP43" t="e">
        <f>Nodes!L295+"'E4!$GU"</f>
        <v>#VALUE!</v>
      </c>
      <c r="BQ43" t="e">
        <f>Nodes!M295+"'E4!$GV"</f>
        <v>#VALUE!</v>
      </c>
      <c r="BR43" t="e">
        <f>Nodes!N295+"'E4!$GW"</f>
        <v>#VALUE!</v>
      </c>
      <c r="BS43" t="e">
        <f>Nodes!O295+"'E4!$GX"</f>
        <v>#VALUE!</v>
      </c>
      <c r="BT43" t="e">
        <f>Nodes!P295+"'E4!$GY"</f>
        <v>#VALUE!</v>
      </c>
      <c r="BU43" t="e">
        <f>Nodes!Q295+"'E4!$GZ"</f>
        <v>#VALUE!</v>
      </c>
      <c r="BV43" t="e">
        <f>Nodes!R295+"'E4!$G["</f>
        <v>#VALUE!</v>
      </c>
      <c r="BW43" t="e">
        <f>Nodes!S295+"'E4!$G\"</f>
        <v>#VALUE!</v>
      </c>
      <c r="BX43" s="548" t="e">
        <f>Nodes!T295+"'E4!$G]"</f>
        <v>#VALUE!</v>
      </c>
      <c r="BY43" s="548" t="e">
        <f>Nodes!U295+"'E4!$G^"</f>
        <v>#VALUE!</v>
      </c>
      <c r="BZ43" t="e">
        <f>Nodes!V295+"'E4!$G_"</f>
        <v>#VALUE!</v>
      </c>
      <c r="CA43" t="e">
        <f>Nodes!W295+"'E4!$G`"</f>
        <v>#VALUE!</v>
      </c>
      <c r="CB43" s="333" t="e">
        <f>Nodes!X295+"'E4!$Ga"</f>
        <v>#VALUE!</v>
      </c>
      <c r="CC43" t="e">
        <f>Nodes!Y295+"'E4!$Gb"</f>
        <v>#VALUE!</v>
      </c>
      <c r="CD43" t="e">
        <f>Nodes!Z295+"'E4!$Gc"</f>
        <v>#VALUE!</v>
      </c>
      <c r="CE43" t="e">
        <f>Nodes!AA295+"'E4!$Gd"</f>
        <v>#VALUE!</v>
      </c>
      <c r="CF43" t="e">
        <f>Nodes!AB295+"'E4!$Ge"</f>
        <v>#VALUE!</v>
      </c>
      <c r="CG43" t="e">
        <f>Nodes!AC295+"'E4!$Gf"</f>
        <v>#VALUE!</v>
      </c>
      <c r="CH43" t="e">
        <f>Nodes!A296+"'E4!$Gg"</f>
        <v>#VALUE!</v>
      </c>
      <c r="CI43" t="e">
        <f>Nodes!B296+"'E4!$Gh"</f>
        <v>#VALUE!</v>
      </c>
      <c r="CJ43" t="e">
        <f>Nodes!C296+"'E4!$Gi"</f>
        <v>#VALUE!</v>
      </c>
      <c r="CK43" t="e">
        <f>Nodes!D296+"'E4!$Gj"</f>
        <v>#VALUE!</v>
      </c>
      <c r="CL43" t="e">
        <f>Nodes!E296+"'E4!$Gk"</f>
        <v>#VALUE!</v>
      </c>
      <c r="CM43" t="e">
        <f>Nodes!F296+"'E4!$Gl"</f>
        <v>#VALUE!</v>
      </c>
      <c r="CN43" t="e">
        <f>Nodes!G296+"'E4!$Gm"</f>
        <v>#VALUE!</v>
      </c>
      <c r="CO43" t="e">
        <f>Nodes!H296+"'E4!$Gn"</f>
        <v>#VALUE!</v>
      </c>
      <c r="CP43" t="e">
        <f>Nodes!I296+"'E4!$Go"</f>
        <v>#VALUE!</v>
      </c>
      <c r="CQ43" t="e">
        <f>Nodes!J296+"'E4!$Gp"</f>
        <v>#VALUE!</v>
      </c>
      <c r="CR43" t="e">
        <f>Nodes!K296+"'E4!$Gq"</f>
        <v>#VALUE!</v>
      </c>
      <c r="CS43" t="e">
        <f>Nodes!L296+"'E4!$Gr"</f>
        <v>#VALUE!</v>
      </c>
      <c r="CT43" t="e">
        <f>Nodes!M296+"'E4!$Gs"</f>
        <v>#VALUE!</v>
      </c>
      <c r="CU43" t="e">
        <f>Nodes!N296+"'E4!$Gt"</f>
        <v>#VALUE!</v>
      </c>
      <c r="CV43" t="e">
        <f>Nodes!O296+"'E4!$Gu"</f>
        <v>#VALUE!</v>
      </c>
      <c r="CW43" t="e">
        <f>Nodes!P296+"'E4!$Gv"</f>
        <v>#VALUE!</v>
      </c>
      <c r="CX43" t="e">
        <f>Nodes!Q296+"'E4!$Gw"</f>
        <v>#VALUE!</v>
      </c>
      <c r="CY43" t="e">
        <f>Nodes!R296+"'E4!$Gx"</f>
        <v>#VALUE!</v>
      </c>
      <c r="CZ43" t="e">
        <f>Nodes!S296+"'E4!$Gy"</f>
        <v>#VALUE!</v>
      </c>
      <c r="DA43" s="548" t="e">
        <f>Nodes!T296+"'E4!$Gz"</f>
        <v>#VALUE!</v>
      </c>
      <c r="DB43" s="548" t="e">
        <f>Nodes!U296+"'E4!$G{"</f>
        <v>#VALUE!</v>
      </c>
      <c r="DC43" t="e">
        <f>Nodes!V296+"'E4!$G|"</f>
        <v>#VALUE!</v>
      </c>
      <c r="DD43" t="e">
        <f>Nodes!W296+"'E4!$G}"</f>
        <v>#VALUE!</v>
      </c>
      <c r="DE43" s="333" t="e">
        <f>Nodes!X296+"'E4!$G~"</f>
        <v>#VALUE!</v>
      </c>
      <c r="DF43" t="e">
        <f>Nodes!Y296+"'E4!$H#"</f>
        <v>#VALUE!</v>
      </c>
      <c r="DG43" t="e">
        <f>Nodes!Z296+"'E4!$H$"</f>
        <v>#VALUE!</v>
      </c>
      <c r="DH43" t="e">
        <f>Nodes!AA296+"'E4!$H%"</f>
        <v>#VALUE!</v>
      </c>
      <c r="DI43" t="e">
        <f>Nodes!AB296+"'E4!$H&amp;"</f>
        <v>#VALUE!</v>
      </c>
      <c r="DJ43" t="e">
        <f>Nodes!AC296+"'E4!$H'"</f>
        <v>#VALUE!</v>
      </c>
      <c r="DK43" t="e">
        <f>Nodes!A297+"'E4!$H("</f>
        <v>#VALUE!</v>
      </c>
      <c r="DL43" t="e">
        <f>Nodes!B297+"'E4!$H)"</f>
        <v>#VALUE!</v>
      </c>
      <c r="DM43" t="e">
        <f>Nodes!C297+"'E4!$H."</f>
        <v>#VALUE!</v>
      </c>
      <c r="DN43" t="e">
        <f>Nodes!D297+"'E4!$H/"</f>
        <v>#VALUE!</v>
      </c>
      <c r="DO43" t="e">
        <f>Nodes!E297+"'E4!$H0"</f>
        <v>#VALUE!</v>
      </c>
      <c r="DP43" t="e">
        <f>Nodes!F297+"'E4!$H1"</f>
        <v>#VALUE!</v>
      </c>
      <c r="DQ43" t="e">
        <f>Nodes!G297+"'E4!$H2"</f>
        <v>#VALUE!</v>
      </c>
      <c r="DR43" t="e">
        <f>Nodes!H297+"'E4!$H3"</f>
        <v>#VALUE!</v>
      </c>
      <c r="DS43" t="e">
        <f>Nodes!I297+"'E4!$H4"</f>
        <v>#VALUE!</v>
      </c>
      <c r="DT43" t="e">
        <f>Nodes!J297+"'E4!$H5"</f>
        <v>#VALUE!</v>
      </c>
      <c r="DU43" t="e">
        <f>Nodes!K297+"'E4!$H6"</f>
        <v>#VALUE!</v>
      </c>
      <c r="DV43" t="e">
        <f>Nodes!L297+"'E4!$H7"</f>
        <v>#VALUE!</v>
      </c>
      <c r="DW43" t="e">
        <f>Nodes!M297+"'E4!$H8"</f>
        <v>#VALUE!</v>
      </c>
      <c r="DX43" t="e">
        <f>Nodes!N297+"'E4!$H9"</f>
        <v>#VALUE!</v>
      </c>
      <c r="DY43" t="e">
        <f>Nodes!O297+"'E4!$H:"</f>
        <v>#VALUE!</v>
      </c>
      <c r="DZ43" t="e">
        <f>Nodes!P297+"'E4!$H;"</f>
        <v>#VALUE!</v>
      </c>
      <c r="EA43" t="e">
        <f>Nodes!Q297+"'E4!$H&lt;"</f>
        <v>#VALUE!</v>
      </c>
      <c r="EB43" t="e">
        <f>Nodes!R297+"'E4!$H="</f>
        <v>#VALUE!</v>
      </c>
      <c r="EC43" t="e">
        <f>Nodes!S297+"'E4!$H&gt;"</f>
        <v>#VALUE!</v>
      </c>
      <c r="ED43" s="548" t="e">
        <f>Nodes!T297+"'E4!$H?"</f>
        <v>#VALUE!</v>
      </c>
      <c r="EE43" s="548" t="e">
        <f>Nodes!U297+"'E4!$H@"</f>
        <v>#VALUE!</v>
      </c>
      <c r="EF43" t="e">
        <f>Nodes!V297+"'E4!$HA"</f>
        <v>#VALUE!</v>
      </c>
      <c r="EG43" t="e">
        <f>Nodes!W297+"'E4!$HB"</f>
        <v>#VALUE!</v>
      </c>
      <c r="EH43" s="333" t="e">
        <f>Nodes!X297+"'E4!$HC"</f>
        <v>#VALUE!</v>
      </c>
      <c r="EI43" t="e">
        <f>Nodes!Y297+"'E4!$HD"</f>
        <v>#VALUE!</v>
      </c>
      <c r="EJ43" t="e">
        <f>Nodes!Z297+"'E4!$HE"</f>
        <v>#VALUE!</v>
      </c>
      <c r="EK43" t="e">
        <f>Nodes!AA297+"'E4!$HF"</f>
        <v>#VALUE!</v>
      </c>
      <c r="EL43" t="e">
        <f>Nodes!AB297+"'E4!$HG"</f>
        <v>#VALUE!</v>
      </c>
      <c r="EM43" t="e">
        <f>Nodes!AC297+"'E4!$HH"</f>
        <v>#VALUE!</v>
      </c>
      <c r="EN43" t="e">
        <f>Nodes!A298+"'E4!$HI"</f>
        <v>#VALUE!</v>
      </c>
      <c r="EO43" t="e">
        <f>Nodes!B298+"'E4!$HJ"</f>
        <v>#VALUE!</v>
      </c>
      <c r="EP43" t="e">
        <f>Nodes!C298+"'E4!$HK"</f>
        <v>#VALUE!</v>
      </c>
      <c r="EQ43" t="e">
        <f>Nodes!D298+"'E4!$HL"</f>
        <v>#VALUE!</v>
      </c>
      <c r="ER43" t="e">
        <f>Nodes!E298+"'E4!$HM"</f>
        <v>#VALUE!</v>
      </c>
      <c r="ES43" t="e">
        <f>Nodes!F298+"'E4!$HN"</f>
        <v>#VALUE!</v>
      </c>
      <c r="ET43" t="e">
        <f>Nodes!G298+"'E4!$HO"</f>
        <v>#VALUE!</v>
      </c>
      <c r="EU43" t="e">
        <f>Nodes!H298+"'E4!$HP"</f>
        <v>#VALUE!</v>
      </c>
      <c r="EV43" t="e">
        <f>Nodes!I298+"'E4!$HQ"</f>
        <v>#VALUE!</v>
      </c>
      <c r="EW43" t="e">
        <f>Nodes!J298+"'E4!$HR"</f>
        <v>#VALUE!</v>
      </c>
      <c r="EX43" t="e">
        <f>Nodes!K298+"'E4!$HS"</f>
        <v>#VALUE!</v>
      </c>
      <c r="EY43" t="e">
        <f>Nodes!L298+"'E4!$HT"</f>
        <v>#VALUE!</v>
      </c>
      <c r="EZ43" t="e">
        <f>Nodes!M298+"'E4!$HU"</f>
        <v>#VALUE!</v>
      </c>
      <c r="FA43" t="e">
        <f>Nodes!N298+"'E4!$HV"</f>
        <v>#VALUE!</v>
      </c>
      <c r="FB43" t="e">
        <f>Nodes!O298+"'E4!$HW"</f>
        <v>#VALUE!</v>
      </c>
      <c r="FC43" t="e">
        <f>Nodes!P298+"'E4!$HX"</f>
        <v>#VALUE!</v>
      </c>
      <c r="FD43" t="e">
        <f>Nodes!Q298+"'E4!$HY"</f>
        <v>#VALUE!</v>
      </c>
      <c r="FE43" t="e">
        <f>Nodes!R298+"'E4!$HZ"</f>
        <v>#VALUE!</v>
      </c>
      <c r="FF43" t="e">
        <f>Nodes!S298+"'E4!$H["</f>
        <v>#VALUE!</v>
      </c>
      <c r="FG43" s="548" t="e">
        <f>Nodes!T298+"'E4!$H\"</f>
        <v>#VALUE!</v>
      </c>
      <c r="FH43" s="548" t="e">
        <f>Nodes!U298+"'E4!$H]"</f>
        <v>#VALUE!</v>
      </c>
      <c r="FI43" t="e">
        <f>Nodes!V298+"'E4!$H^"</f>
        <v>#VALUE!</v>
      </c>
      <c r="FJ43" t="e">
        <f>Nodes!W298+"'E4!$H_"</f>
        <v>#VALUE!</v>
      </c>
      <c r="FK43" s="333" t="e">
        <f>Nodes!X298+"'E4!$H`"</f>
        <v>#VALUE!</v>
      </c>
      <c r="FL43" t="e">
        <f>Nodes!Y298+"'E4!$Ha"</f>
        <v>#VALUE!</v>
      </c>
      <c r="FM43" t="e">
        <f>Nodes!Z298+"'E4!$Hb"</f>
        <v>#VALUE!</v>
      </c>
      <c r="FN43" t="e">
        <f>Nodes!AA298+"'E4!$Hc"</f>
        <v>#VALUE!</v>
      </c>
      <c r="FO43" t="e">
        <f>Nodes!AB298+"'E4!$Hd"</f>
        <v>#VALUE!</v>
      </c>
      <c r="FP43" t="e">
        <f>Nodes!AC298+"'E4!$He"</f>
        <v>#VALUE!</v>
      </c>
      <c r="FQ43" t="e">
        <f>Nodes!A299+"'E4!$Hf"</f>
        <v>#VALUE!</v>
      </c>
      <c r="FR43" t="e">
        <f>Nodes!B299+"'E4!$Hg"</f>
        <v>#VALUE!</v>
      </c>
      <c r="FS43" t="e">
        <f>Nodes!C299+"'E4!$Hh"</f>
        <v>#VALUE!</v>
      </c>
      <c r="FT43" t="e">
        <f>Nodes!D299+"'E4!$Hi"</f>
        <v>#VALUE!</v>
      </c>
      <c r="FU43" t="e">
        <f>Nodes!E299+"'E4!$Hj"</f>
        <v>#VALUE!</v>
      </c>
      <c r="FV43" t="e">
        <f>Nodes!F299+"'E4!$Hk"</f>
        <v>#VALUE!</v>
      </c>
      <c r="FW43" t="e">
        <f>Nodes!G299+"'E4!$Hl"</f>
        <v>#VALUE!</v>
      </c>
      <c r="FX43" t="e">
        <f>Nodes!H299+"'E4!$Hm"</f>
        <v>#VALUE!</v>
      </c>
      <c r="FY43" t="e">
        <f>Nodes!I299+"'E4!$Hn"</f>
        <v>#VALUE!</v>
      </c>
      <c r="FZ43" t="e">
        <f>Nodes!J299+"'E4!$Ho"</f>
        <v>#VALUE!</v>
      </c>
      <c r="GA43" t="e">
        <f>Nodes!K299+"'E4!$Hp"</f>
        <v>#VALUE!</v>
      </c>
      <c r="GB43" t="e">
        <f>Nodes!L299+"'E4!$Hq"</f>
        <v>#VALUE!</v>
      </c>
      <c r="GC43" t="e">
        <f>Nodes!M299+"'E4!$Hr"</f>
        <v>#VALUE!</v>
      </c>
      <c r="GD43" t="e">
        <f>Nodes!N299+"'E4!$Hs"</f>
        <v>#VALUE!</v>
      </c>
      <c r="GE43" t="e">
        <f>Nodes!O299+"'E4!$Ht"</f>
        <v>#VALUE!</v>
      </c>
      <c r="GF43" t="e">
        <f>Nodes!P299+"'E4!$Hu"</f>
        <v>#VALUE!</v>
      </c>
      <c r="GG43" t="e">
        <f>Nodes!Q299+"'E4!$Hv"</f>
        <v>#VALUE!</v>
      </c>
      <c r="GH43" t="e">
        <f>Nodes!R299+"'E4!$Hw"</f>
        <v>#VALUE!</v>
      </c>
      <c r="GI43" t="e">
        <f>Nodes!S299+"'E4!$Hx"</f>
        <v>#VALUE!</v>
      </c>
      <c r="GJ43" s="548" t="e">
        <f>Nodes!T299+"'E4!$Hy"</f>
        <v>#VALUE!</v>
      </c>
      <c r="GK43" s="548" t="e">
        <f>Nodes!U299+"'E4!$Hz"</f>
        <v>#VALUE!</v>
      </c>
      <c r="GL43" t="e">
        <f>Nodes!V299+"'E4!$H{"</f>
        <v>#VALUE!</v>
      </c>
      <c r="GM43" t="e">
        <f>Nodes!W299+"'E4!$H|"</f>
        <v>#VALUE!</v>
      </c>
      <c r="GN43" s="333" t="e">
        <f>Nodes!X299+"'E4!$H}"</f>
        <v>#VALUE!</v>
      </c>
      <c r="GO43" t="e">
        <f>Nodes!Y299+"'E4!$H~"</f>
        <v>#VALUE!</v>
      </c>
      <c r="GP43" t="e">
        <f>Nodes!Z299+"'E4!$I#"</f>
        <v>#VALUE!</v>
      </c>
      <c r="GQ43" t="e">
        <f>Nodes!AA299+"'E4!$I$"</f>
        <v>#VALUE!</v>
      </c>
      <c r="GR43" t="e">
        <f>Nodes!AB299+"'E4!$I%"</f>
        <v>#VALUE!</v>
      </c>
      <c r="GS43" t="e">
        <f>Nodes!AC299+"'E4!$I&amp;"</f>
        <v>#VALUE!</v>
      </c>
      <c r="GT43" t="e">
        <f>Nodes!A300+"'E4!$I'"</f>
        <v>#VALUE!</v>
      </c>
      <c r="GU43" t="e">
        <f>Nodes!B300+"'E4!$I("</f>
        <v>#VALUE!</v>
      </c>
      <c r="GV43" t="e">
        <f>Nodes!C300+"'E4!$I)"</f>
        <v>#VALUE!</v>
      </c>
      <c r="GW43" t="e">
        <f>Nodes!D300+"'E4!$I."</f>
        <v>#VALUE!</v>
      </c>
      <c r="GX43" t="e">
        <f>Nodes!E300+"'E4!$I/"</f>
        <v>#VALUE!</v>
      </c>
      <c r="GY43" t="e">
        <f>Nodes!F300+"'E4!$I0"</f>
        <v>#VALUE!</v>
      </c>
      <c r="GZ43" t="e">
        <f>Nodes!G300+"'E4!$I1"</f>
        <v>#VALUE!</v>
      </c>
      <c r="HA43" t="e">
        <f>Nodes!H300+"'E4!$I2"</f>
        <v>#VALUE!</v>
      </c>
      <c r="HB43" t="e">
        <f>Nodes!I300+"'E4!$I3"</f>
        <v>#VALUE!</v>
      </c>
      <c r="HC43" t="e">
        <f>Nodes!J300+"'E4!$I4"</f>
        <v>#VALUE!</v>
      </c>
      <c r="HD43" t="e">
        <f>Nodes!K300+"'E4!$I5"</f>
        <v>#VALUE!</v>
      </c>
      <c r="HE43" t="e">
        <f>Nodes!L300+"'E4!$I6"</f>
        <v>#VALUE!</v>
      </c>
      <c r="HF43" t="e">
        <f>Nodes!M300+"'E4!$I7"</f>
        <v>#VALUE!</v>
      </c>
      <c r="HG43" t="e">
        <f>Nodes!N300+"'E4!$I8"</f>
        <v>#VALUE!</v>
      </c>
      <c r="HH43" t="e">
        <f>Nodes!O300+"'E4!$I9"</f>
        <v>#VALUE!</v>
      </c>
      <c r="HI43" t="e">
        <f>Nodes!P300+"'E4!$I:"</f>
        <v>#VALUE!</v>
      </c>
      <c r="HJ43" t="e">
        <f>Nodes!Q300+"'E4!$I;"</f>
        <v>#VALUE!</v>
      </c>
      <c r="HK43" t="e">
        <f>Nodes!R300+"'E4!$I&lt;"</f>
        <v>#VALUE!</v>
      </c>
      <c r="HL43" t="e">
        <f>Nodes!S300+"'E4!$I="</f>
        <v>#VALUE!</v>
      </c>
      <c r="HM43" s="548" t="e">
        <f>Nodes!T300+"'E4!$I&gt;"</f>
        <v>#VALUE!</v>
      </c>
      <c r="HN43" s="548" t="e">
        <f>Nodes!U300+"'E4!$I?"</f>
        <v>#VALUE!</v>
      </c>
      <c r="HO43" t="e">
        <f>Nodes!V300+"'E4!$I@"</f>
        <v>#VALUE!</v>
      </c>
      <c r="HP43" t="e">
        <f>Nodes!W300+"'E4!$IA"</f>
        <v>#VALUE!</v>
      </c>
      <c r="HQ43" s="333" t="e">
        <f>Nodes!X300+"'E4!$IB"</f>
        <v>#VALUE!</v>
      </c>
      <c r="HR43" t="e">
        <f>Nodes!Y300+"'E4!$IC"</f>
        <v>#VALUE!</v>
      </c>
      <c r="HS43" t="e">
        <f>Nodes!Z300+"'E4!$ID"</f>
        <v>#VALUE!</v>
      </c>
      <c r="HT43" t="e">
        <f>Nodes!AA300+"'E4!$IE"</f>
        <v>#VALUE!</v>
      </c>
      <c r="HU43" t="e">
        <f>Nodes!AB300+"'E4!$IF"</f>
        <v>#VALUE!</v>
      </c>
      <c r="HV43" t="e">
        <f>Nodes!AC300+"'E4!$IG"</f>
        <v>#VALUE!</v>
      </c>
      <c r="HW43" t="e">
        <f>Nodes!A301+"'E4!$IH"</f>
        <v>#VALUE!</v>
      </c>
      <c r="HX43" t="e">
        <f>Nodes!B301+"'E4!$II"</f>
        <v>#VALUE!</v>
      </c>
      <c r="HY43" t="e">
        <f>Nodes!C301+"'E4!$IJ"</f>
        <v>#VALUE!</v>
      </c>
      <c r="HZ43" t="e">
        <f>Nodes!D301+"'E4!$IK"</f>
        <v>#VALUE!</v>
      </c>
      <c r="IA43" t="e">
        <f>Nodes!E301+"'E4!$IL"</f>
        <v>#VALUE!</v>
      </c>
      <c r="IB43" t="e">
        <f>Nodes!F301+"'E4!$IM"</f>
        <v>#VALUE!</v>
      </c>
      <c r="IC43" t="e">
        <f>Nodes!G301+"'E4!$IN"</f>
        <v>#VALUE!</v>
      </c>
      <c r="ID43" t="e">
        <f>Nodes!H301+"'E4!$IO"</f>
        <v>#VALUE!</v>
      </c>
      <c r="IE43" t="e">
        <f>Nodes!I301+"'E4!$IP"</f>
        <v>#VALUE!</v>
      </c>
      <c r="IF43" t="e">
        <f>Nodes!J301+"'E4!$IQ"</f>
        <v>#VALUE!</v>
      </c>
      <c r="IG43" t="e">
        <f>Nodes!K301+"'E4!$IR"</f>
        <v>#VALUE!</v>
      </c>
      <c r="IH43" t="e">
        <f>Nodes!L301+"'E4!$IS"</f>
        <v>#VALUE!</v>
      </c>
      <c r="II43" t="e">
        <f>Nodes!M301+"'E4!$IT"</f>
        <v>#VALUE!</v>
      </c>
      <c r="IJ43" t="e">
        <f>Nodes!N301+"'E4!$IU"</f>
        <v>#VALUE!</v>
      </c>
      <c r="IK43" t="e">
        <f>Nodes!O301+"'E4!$IV"</f>
        <v>#VALUE!</v>
      </c>
      <c r="IL43" t="e">
        <f>Nodes!P301+"'E4!$IW"</f>
        <v>#VALUE!</v>
      </c>
      <c r="IM43" t="e">
        <f>Nodes!Q301+"'E4!$IX"</f>
        <v>#VALUE!</v>
      </c>
      <c r="IN43" t="e">
        <f>Nodes!R301+"'E4!$IY"</f>
        <v>#VALUE!</v>
      </c>
      <c r="IO43" t="e">
        <f>Nodes!S301+"'E4!$IZ"</f>
        <v>#VALUE!</v>
      </c>
      <c r="IP43" s="548" t="e">
        <f>Nodes!T301+"'E4!$I["</f>
        <v>#VALUE!</v>
      </c>
      <c r="IQ43" s="548" t="e">
        <f>Nodes!U301+"'E4!$I\"</f>
        <v>#VALUE!</v>
      </c>
      <c r="IR43" t="e">
        <f>Nodes!V301+"'E4!$I]"</f>
        <v>#VALUE!</v>
      </c>
      <c r="IS43" t="e">
        <f>Nodes!W301+"'E4!$I^"</f>
        <v>#VALUE!</v>
      </c>
      <c r="IT43" s="333" t="e">
        <f>Nodes!X301+"'E4!$I_"</f>
        <v>#VALUE!</v>
      </c>
      <c r="IU43" t="e">
        <f>Nodes!Y301+"'E4!$I`"</f>
        <v>#VALUE!</v>
      </c>
      <c r="IV43" t="e">
        <f>Nodes!Z301+"'E4!$Ia"</f>
        <v>#VALUE!</v>
      </c>
    </row>
    <row r="44" spans="6:256">
      <c r="F44" t="e">
        <f>Nodes!AA301+"'E4!$Ib"</f>
        <v>#VALUE!</v>
      </c>
      <c r="G44" t="e">
        <f>Nodes!AB301+"'E4!$Ic"</f>
        <v>#VALUE!</v>
      </c>
      <c r="H44" t="e">
        <f>Nodes!AC301+"'E4!$Id"</f>
        <v>#VALUE!</v>
      </c>
      <c r="I44" t="e">
        <f>Nodes!A302+"'E4!$Ie"</f>
        <v>#VALUE!</v>
      </c>
      <c r="J44" t="e">
        <f>Nodes!B302+"'E4!$If"</f>
        <v>#VALUE!</v>
      </c>
      <c r="K44" t="e">
        <f>Nodes!C302+"'E4!$Ig"</f>
        <v>#VALUE!</v>
      </c>
      <c r="L44" t="e">
        <f>Nodes!D302+"'E4!$Ih"</f>
        <v>#VALUE!</v>
      </c>
      <c r="M44" t="e">
        <f>Nodes!E302+"'E4!$Ii"</f>
        <v>#VALUE!</v>
      </c>
      <c r="N44" t="e">
        <f>Nodes!F302+"'E4!$Ij"</f>
        <v>#VALUE!</v>
      </c>
      <c r="O44" t="e">
        <f>Nodes!G302+"'E4!$Ik"</f>
        <v>#VALUE!</v>
      </c>
      <c r="P44" t="e">
        <f>Nodes!H302+"'E4!$Il"</f>
        <v>#VALUE!</v>
      </c>
      <c r="Q44" t="e">
        <f>Nodes!I302+"'E4!$Im"</f>
        <v>#VALUE!</v>
      </c>
      <c r="R44" t="e">
        <f>Nodes!J302+"'E4!$In"</f>
        <v>#VALUE!</v>
      </c>
      <c r="S44" t="e">
        <f>Nodes!K302+"'E4!$Io"</f>
        <v>#VALUE!</v>
      </c>
      <c r="T44" t="e">
        <f>Nodes!L302+"'E4!$Ip"</f>
        <v>#VALUE!</v>
      </c>
      <c r="U44" t="e">
        <f>Nodes!M302+"'E4!$Iq"</f>
        <v>#VALUE!</v>
      </c>
      <c r="V44" t="e">
        <f>Nodes!N302+"'E4!$Ir"</f>
        <v>#VALUE!</v>
      </c>
      <c r="W44" t="e">
        <f>Nodes!O302+"'E4!$Is"</f>
        <v>#VALUE!</v>
      </c>
      <c r="X44" t="e">
        <f>Nodes!P302+"'E4!$It"</f>
        <v>#VALUE!</v>
      </c>
      <c r="Y44" t="e">
        <f>Nodes!Q302+"'E4!$Iu"</f>
        <v>#VALUE!</v>
      </c>
      <c r="Z44" t="e">
        <f>Nodes!R302+"'E4!$Iv"</f>
        <v>#VALUE!</v>
      </c>
      <c r="AA44" t="e">
        <f>Nodes!S302+"'E4!$Iw"</f>
        <v>#VALUE!</v>
      </c>
      <c r="AB44" s="548" t="e">
        <f>Nodes!T302+"'E4!$Ix"</f>
        <v>#VALUE!</v>
      </c>
      <c r="AC44" s="548" t="e">
        <f>Nodes!U302+"'E4!$Iy"</f>
        <v>#VALUE!</v>
      </c>
      <c r="AD44" t="e">
        <f>Nodes!V302+"'E4!$Iz"</f>
        <v>#VALUE!</v>
      </c>
      <c r="AE44" t="e">
        <f>Nodes!W302+"'E4!$I{"</f>
        <v>#VALUE!</v>
      </c>
      <c r="AF44" s="333" t="e">
        <f>Nodes!X302+"'E4!$I|"</f>
        <v>#VALUE!</v>
      </c>
      <c r="AG44" t="e">
        <f>Nodes!Y302+"'E4!$I}"</f>
        <v>#VALUE!</v>
      </c>
      <c r="AH44" t="e">
        <f>Nodes!Z302+"'E4!$I~"</f>
        <v>#VALUE!</v>
      </c>
      <c r="AI44" t="e">
        <f>Nodes!AA302+"'E4!$J#"</f>
        <v>#VALUE!</v>
      </c>
      <c r="AJ44" t="e">
        <f>Nodes!AB302+"'E4!$J$"</f>
        <v>#VALUE!</v>
      </c>
      <c r="AK44" t="e">
        <f>Nodes!AC302+"'E4!$J%"</f>
        <v>#VALUE!</v>
      </c>
      <c r="AL44" t="e">
        <f>Nodes!A303+"'E4!$J&amp;"</f>
        <v>#VALUE!</v>
      </c>
      <c r="AM44" t="e">
        <f>Nodes!B303+"'E4!$J'"</f>
        <v>#VALUE!</v>
      </c>
      <c r="AN44" t="e">
        <f>Nodes!C303+"'E4!$J("</f>
        <v>#VALUE!</v>
      </c>
      <c r="AO44" t="e">
        <f>Nodes!D303+"'E4!$J)"</f>
        <v>#VALUE!</v>
      </c>
      <c r="AP44" t="e">
        <f>Nodes!E303+"'E4!$J."</f>
        <v>#VALUE!</v>
      </c>
      <c r="AQ44" t="e">
        <f>Nodes!F303+"'E4!$J/"</f>
        <v>#VALUE!</v>
      </c>
      <c r="AR44" t="e">
        <f>Nodes!G303+"'E4!$J0"</f>
        <v>#VALUE!</v>
      </c>
      <c r="AS44" t="e">
        <f>Nodes!H303+"'E4!$J1"</f>
        <v>#VALUE!</v>
      </c>
      <c r="AT44" t="e">
        <f>Nodes!I303+"'E4!$J2"</f>
        <v>#VALUE!</v>
      </c>
      <c r="AU44" t="e">
        <f>Nodes!J303+"'E4!$J3"</f>
        <v>#VALUE!</v>
      </c>
      <c r="AV44" t="e">
        <f>Nodes!K303+"'E4!$J4"</f>
        <v>#VALUE!</v>
      </c>
      <c r="AW44" t="e">
        <f>Nodes!L303+"'E4!$J5"</f>
        <v>#VALUE!</v>
      </c>
      <c r="AX44" t="e">
        <f>Nodes!M303+"'E4!$J6"</f>
        <v>#VALUE!</v>
      </c>
      <c r="AY44" t="e">
        <f>Nodes!N303+"'E4!$J7"</f>
        <v>#VALUE!</v>
      </c>
      <c r="AZ44" t="e">
        <f>Nodes!O303+"'E4!$J8"</f>
        <v>#VALUE!</v>
      </c>
      <c r="BA44" t="e">
        <f>Nodes!P303+"'E4!$J9"</f>
        <v>#VALUE!</v>
      </c>
      <c r="BB44" t="e">
        <f>Nodes!Q303+"'E4!$J:"</f>
        <v>#VALUE!</v>
      </c>
      <c r="BC44" t="e">
        <f>Nodes!R303+"'E4!$J;"</f>
        <v>#VALUE!</v>
      </c>
      <c r="BD44" t="e">
        <f>Nodes!S303+"'E4!$J&lt;"</f>
        <v>#VALUE!</v>
      </c>
      <c r="BE44" s="548" t="e">
        <f>Nodes!T303+"'E4!$J="</f>
        <v>#VALUE!</v>
      </c>
      <c r="BF44" s="548" t="e">
        <f>Nodes!U303+"'E4!$J&gt;"</f>
        <v>#VALUE!</v>
      </c>
      <c r="BG44" t="e">
        <f>Nodes!V303+"'E4!$J?"</f>
        <v>#VALUE!</v>
      </c>
      <c r="BH44" t="e">
        <f>Nodes!W303+"'E4!$J@"</f>
        <v>#VALUE!</v>
      </c>
      <c r="BI44" s="333" t="e">
        <f>Nodes!X303+"'E4!$JA"</f>
        <v>#VALUE!</v>
      </c>
      <c r="BJ44" t="e">
        <f>Nodes!Y303+"'E4!$JB"</f>
        <v>#VALUE!</v>
      </c>
      <c r="BK44" t="e">
        <f>Nodes!Z303+"'E4!$JC"</f>
        <v>#VALUE!</v>
      </c>
      <c r="BL44" t="e">
        <f>Nodes!AA303+"'E4!$JD"</f>
        <v>#VALUE!</v>
      </c>
      <c r="BM44" t="e">
        <f>Nodes!AB303+"'E4!$JE"</f>
        <v>#VALUE!</v>
      </c>
      <c r="BN44" t="e">
        <f>Nodes!AC303+"'E4!$JF"</f>
        <v>#VALUE!</v>
      </c>
      <c r="BO44" t="e">
        <f>Nodes!A304+"'E4!$JG"</f>
        <v>#VALUE!</v>
      </c>
      <c r="BP44" t="e">
        <f>Nodes!B304+"'E4!$JH"</f>
        <v>#VALUE!</v>
      </c>
      <c r="BQ44" t="e">
        <f>Nodes!C304+"'E4!$JI"</f>
        <v>#VALUE!</v>
      </c>
      <c r="BR44" t="e">
        <f>Nodes!D304+"'E4!$JJ"</f>
        <v>#VALUE!</v>
      </c>
      <c r="BS44" t="e">
        <f>Nodes!E304+"'E4!$JK"</f>
        <v>#VALUE!</v>
      </c>
      <c r="BT44" t="e">
        <f>Nodes!F304+"'E4!$JL"</f>
        <v>#VALUE!</v>
      </c>
      <c r="BU44" t="e">
        <f>Nodes!G304+"'E4!$JM"</f>
        <v>#VALUE!</v>
      </c>
      <c r="BV44" t="e">
        <f>Nodes!H304+"'E4!$JN"</f>
        <v>#VALUE!</v>
      </c>
      <c r="BW44" t="e">
        <f>Nodes!I304+"'E4!$JO"</f>
        <v>#VALUE!</v>
      </c>
      <c r="BX44" t="e">
        <f>Nodes!J304+"'E4!$JP"</f>
        <v>#VALUE!</v>
      </c>
      <c r="BY44" t="e">
        <f>Nodes!K304+"'E4!$JQ"</f>
        <v>#VALUE!</v>
      </c>
      <c r="BZ44" t="e">
        <f>Nodes!L304+"'E4!$JR"</f>
        <v>#VALUE!</v>
      </c>
      <c r="CA44" t="e">
        <f>Nodes!M304+"'E4!$JS"</f>
        <v>#VALUE!</v>
      </c>
      <c r="CB44" t="e">
        <f>Nodes!N304+"'E4!$JT"</f>
        <v>#VALUE!</v>
      </c>
      <c r="CC44" t="e">
        <f>Nodes!O304+"'E4!$JU"</f>
        <v>#VALUE!</v>
      </c>
      <c r="CD44" t="e">
        <f>Nodes!P304+"'E4!$JV"</f>
        <v>#VALUE!</v>
      </c>
      <c r="CE44" t="e">
        <f>Nodes!Q304+"'E4!$JW"</f>
        <v>#VALUE!</v>
      </c>
      <c r="CF44" t="e">
        <f>Nodes!R304+"'E4!$JX"</f>
        <v>#VALUE!</v>
      </c>
      <c r="CG44" t="e">
        <f>Nodes!S304+"'E4!$JY"</f>
        <v>#VALUE!</v>
      </c>
      <c r="CH44" s="548" t="e">
        <f>Nodes!T304+"'E4!$JZ"</f>
        <v>#VALUE!</v>
      </c>
      <c r="CI44" s="548" t="e">
        <f>Nodes!U304+"'E4!$J["</f>
        <v>#VALUE!</v>
      </c>
      <c r="CJ44" t="e">
        <f>Nodes!V304+"'E4!$J\"</f>
        <v>#VALUE!</v>
      </c>
      <c r="CK44" t="e">
        <f>Nodes!W304+"'E4!$J]"</f>
        <v>#VALUE!</v>
      </c>
      <c r="CL44" s="333" t="e">
        <f>Nodes!X304+"'E4!$J^"</f>
        <v>#VALUE!</v>
      </c>
      <c r="CM44" t="e">
        <f>Nodes!Y304+"'E4!$J_"</f>
        <v>#VALUE!</v>
      </c>
      <c r="CN44" t="e">
        <f>Nodes!Z304+"'E4!$J`"</f>
        <v>#VALUE!</v>
      </c>
      <c r="CO44" t="e">
        <f>Nodes!AA304+"'E4!$Ja"</f>
        <v>#VALUE!</v>
      </c>
      <c r="CP44" t="e">
        <f>Nodes!AB304+"'E4!$Jb"</f>
        <v>#VALUE!</v>
      </c>
      <c r="CQ44" t="e">
        <f>Nodes!AC304+"'E4!$Jc"</f>
        <v>#VALUE!</v>
      </c>
      <c r="CR44" t="e">
        <f>Nodes!A305+"'E4!$Jd"</f>
        <v>#VALUE!</v>
      </c>
      <c r="CS44" t="e">
        <f>Nodes!B305+"'E4!$Je"</f>
        <v>#VALUE!</v>
      </c>
      <c r="CT44" t="e">
        <f>Nodes!C305+"'E4!$Jf"</f>
        <v>#VALUE!</v>
      </c>
      <c r="CU44" t="e">
        <f>Nodes!D305+"'E4!$Jg"</f>
        <v>#VALUE!</v>
      </c>
      <c r="CV44" t="e">
        <f>Nodes!E305+"'E4!$Jh"</f>
        <v>#VALUE!</v>
      </c>
      <c r="CW44" t="e">
        <f>Nodes!F305+"'E4!$Ji"</f>
        <v>#VALUE!</v>
      </c>
      <c r="CX44" t="e">
        <f>Nodes!G305+"'E4!$Jj"</f>
        <v>#VALUE!</v>
      </c>
      <c r="CY44" t="e">
        <f>Nodes!H305+"'E4!$Jk"</f>
        <v>#VALUE!</v>
      </c>
      <c r="CZ44" t="e">
        <f>Nodes!I305+"'E4!$Jl"</f>
        <v>#VALUE!</v>
      </c>
      <c r="DA44" t="e">
        <f>Nodes!J305+"'E4!$Jm"</f>
        <v>#VALUE!</v>
      </c>
      <c r="DB44" t="e">
        <f>Nodes!K305+"'E4!$Jn"</f>
        <v>#VALUE!</v>
      </c>
      <c r="DC44" t="e">
        <f>Nodes!L305+"'E4!$Jo"</f>
        <v>#VALUE!</v>
      </c>
      <c r="DD44" t="e">
        <f>Nodes!M305+"'E4!$Jp"</f>
        <v>#VALUE!</v>
      </c>
      <c r="DE44" t="e">
        <f>Nodes!N305+"'E4!$Jq"</f>
        <v>#VALUE!</v>
      </c>
      <c r="DF44" t="e">
        <f>Nodes!O305+"'E4!$Jr"</f>
        <v>#VALUE!</v>
      </c>
      <c r="DG44" t="e">
        <f>Nodes!P305+"'E4!$Js"</f>
        <v>#VALUE!</v>
      </c>
      <c r="DH44" t="e">
        <f>Nodes!Q305+"'E4!$Jt"</f>
        <v>#VALUE!</v>
      </c>
      <c r="DI44" t="e">
        <f>Nodes!R305+"'E4!$Ju"</f>
        <v>#VALUE!</v>
      </c>
      <c r="DJ44" t="e">
        <f>Nodes!S305+"'E4!$Jv"</f>
        <v>#VALUE!</v>
      </c>
      <c r="DK44" s="548" t="e">
        <f>Nodes!T305+"'E4!$Jw"</f>
        <v>#VALUE!</v>
      </c>
      <c r="DL44" s="548" t="e">
        <f>Nodes!U305+"'E4!$Jx"</f>
        <v>#VALUE!</v>
      </c>
      <c r="DM44" t="e">
        <f>Nodes!V305+"'E4!$Jy"</f>
        <v>#VALUE!</v>
      </c>
      <c r="DN44" t="e">
        <f>Nodes!W305+"'E4!$Jz"</f>
        <v>#VALUE!</v>
      </c>
      <c r="DO44" s="333" t="e">
        <f>Nodes!X305+"'E4!$J{"</f>
        <v>#VALUE!</v>
      </c>
      <c r="DP44" t="e">
        <f>Nodes!Y305+"'E4!$J|"</f>
        <v>#VALUE!</v>
      </c>
      <c r="DQ44" t="e">
        <f>Nodes!Z305+"'E4!$J}"</f>
        <v>#VALUE!</v>
      </c>
      <c r="DR44" t="e">
        <f>Nodes!AA305+"'E4!$J~"</f>
        <v>#VALUE!</v>
      </c>
      <c r="DS44" t="e">
        <f>Nodes!AB305+"'E4!$K#"</f>
        <v>#VALUE!</v>
      </c>
      <c r="DT44" t="e">
        <f>Nodes!AC305+"'E4!$K$"</f>
        <v>#VALUE!</v>
      </c>
      <c r="DU44" t="e">
        <f>Nodes!A306+"'E4!$K%"</f>
        <v>#VALUE!</v>
      </c>
      <c r="DV44" t="e">
        <f>Nodes!B306+"'E4!$K&amp;"</f>
        <v>#VALUE!</v>
      </c>
      <c r="DW44" t="e">
        <f>Nodes!C306+"'E4!$K'"</f>
        <v>#VALUE!</v>
      </c>
      <c r="DX44" t="e">
        <f>Nodes!D306+"'E4!$K("</f>
        <v>#VALUE!</v>
      </c>
      <c r="DY44" t="e">
        <f>Nodes!E306+"'E4!$K)"</f>
        <v>#VALUE!</v>
      </c>
      <c r="DZ44" t="e">
        <f>Nodes!F306+"'E4!$K."</f>
        <v>#VALUE!</v>
      </c>
      <c r="EA44" t="e">
        <f>Nodes!G306+"'E4!$K/"</f>
        <v>#VALUE!</v>
      </c>
      <c r="EB44" t="e">
        <f>Nodes!H306+"'E4!$K0"</f>
        <v>#VALUE!</v>
      </c>
      <c r="EC44" t="e">
        <f>Nodes!I306+"'E4!$K1"</f>
        <v>#VALUE!</v>
      </c>
      <c r="ED44" t="e">
        <f>Nodes!J306+"'E4!$K2"</f>
        <v>#VALUE!</v>
      </c>
      <c r="EE44" t="e">
        <f>Nodes!K306+"'E4!$K3"</f>
        <v>#VALUE!</v>
      </c>
      <c r="EF44" t="e">
        <f>Nodes!L306+"'E4!$K4"</f>
        <v>#VALUE!</v>
      </c>
      <c r="EG44" t="e">
        <f>Nodes!M306+"'E4!$K5"</f>
        <v>#VALUE!</v>
      </c>
      <c r="EH44" t="e">
        <f>Nodes!N306+"'E4!$K6"</f>
        <v>#VALUE!</v>
      </c>
      <c r="EI44" t="e">
        <f>Nodes!O306+"'E4!$K7"</f>
        <v>#VALUE!</v>
      </c>
      <c r="EJ44" t="e">
        <f>Nodes!P306+"'E4!$K8"</f>
        <v>#VALUE!</v>
      </c>
      <c r="EK44" t="e">
        <f>Nodes!Q306+"'E4!$K9"</f>
        <v>#VALUE!</v>
      </c>
      <c r="EL44" t="e">
        <f>Nodes!R306+"'E4!$K:"</f>
        <v>#VALUE!</v>
      </c>
      <c r="EM44" t="e">
        <f>Nodes!S306+"'E4!$K;"</f>
        <v>#VALUE!</v>
      </c>
      <c r="EN44" s="548" t="e">
        <f>Nodes!T306+"'E4!$K&lt;"</f>
        <v>#VALUE!</v>
      </c>
      <c r="EO44" s="548" t="e">
        <f>Nodes!U306+"'E4!$K="</f>
        <v>#VALUE!</v>
      </c>
      <c r="EP44" t="e">
        <f>Nodes!V306+"'E4!$K&gt;"</f>
        <v>#VALUE!</v>
      </c>
      <c r="EQ44" t="e">
        <f>Nodes!W306+"'E4!$K?"</f>
        <v>#VALUE!</v>
      </c>
      <c r="ER44" s="333" t="e">
        <f>Nodes!X306+"'E4!$K@"</f>
        <v>#VALUE!</v>
      </c>
      <c r="ES44" t="e">
        <f>Nodes!Y306+"'E4!$KA"</f>
        <v>#VALUE!</v>
      </c>
      <c r="ET44" t="e">
        <f>Nodes!Z306+"'E4!$KB"</f>
        <v>#VALUE!</v>
      </c>
      <c r="EU44" t="e">
        <f>Nodes!AA306+"'E4!$KC"</f>
        <v>#VALUE!</v>
      </c>
      <c r="EV44" t="e">
        <f>Nodes!AB306+"'E4!$KD"</f>
        <v>#VALUE!</v>
      </c>
      <c r="EW44" t="e">
        <f>Nodes!AC306+"'E4!$KE"</f>
        <v>#VALUE!</v>
      </c>
      <c r="EX44" t="e">
        <f>Nodes!A307+"'E4!$KF"</f>
        <v>#VALUE!</v>
      </c>
      <c r="EY44" t="e">
        <f>Nodes!B307+"'E4!$KG"</f>
        <v>#VALUE!</v>
      </c>
      <c r="EZ44" t="e">
        <f>Nodes!C307+"'E4!$KH"</f>
        <v>#VALUE!</v>
      </c>
      <c r="FA44" t="e">
        <f>Nodes!D307+"'E4!$KI"</f>
        <v>#VALUE!</v>
      </c>
      <c r="FB44" t="e">
        <f>Nodes!E307+"'E4!$KJ"</f>
        <v>#VALUE!</v>
      </c>
      <c r="FC44" t="e">
        <f>Nodes!F307+"'E4!$KK"</f>
        <v>#VALUE!</v>
      </c>
      <c r="FD44" t="e">
        <f>Nodes!G307+"'E4!$KL"</f>
        <v>#VALUE!</v>
      </c>
      <c r="FE44" t="e">
        <f>Nodes!H307+"'E4!$KM"</f>
        <v>#VALUE!</v>
      </c>
      <c r="FF44" t="e">
        <f>Nodes!I307+"'E4!$KN"</f>
        <v>#VALUE!</v>
      </c>
      <c r="FG44" t="e">
        <f>Nodes!J307+"'E4!$KO"</f>
        <v>#VALUE!</v>
      </c>
      <c r="FH44" t="e">
        <f>Nodes!K307+"'E4!$KP"</f>
        <v>#VALUE!</v>
      </c>
      <c r="FI44" t="e">
        <f>Nodes!L307+"'E4!$KQ"</f>
        <v>#VALUE!</v>
      </c>
      <c r="FJ44" t="e">
        <f>Nodes!M307+"'E4!$KR"</f>
        <v>#VALUE!</v>
      </c>
      <c r="FK44" t="e">
        <f>Nodes!N307+"'E4!$KS"</f>
        <v>#VALUE!</v>
      </c>
      <c r="FL44" t="e">
        <f>Nodes!O307+"'E4!$KT"</f>
        <v>#VALUE!</v>
      </c>
      <c r="FM44" t="e">
        <f>Nodes!P307+"'E4!$KU"</f>
        <v>#VALUE!</v>
      </c>
      <c r="FN44" t="e">
        <f>Nodes!Q307+"'E4!$KV"</f>
        <v>#VALUE!</v>
      </c>
      <c r="FO44" t="e">
        <f>Nodes!R307+"'E4!$KW"</f>
        <v>#VALUE!</v>
      </c>
      <c r="FP44" t="e">
        <f>Nodes!S307+"'E4!$KX"</f>
        <v>#VALUE!</v>
      </c>
      <c r="FQ44" s="548" t="e">
        <f>Nodes!T307+"'E4!$KY"</f>
        <v>#VALUE!</v>
      </c>
      <c r="FR44" s="548" t="e">
        <f>Nodes!U307+"'E4!$KZ"</f>
        <v>#VALUE!</v>
      </c>
      <c r="FS44" t="e">
        <f>Nodes!V307+"'E4!$K["</f>
        <v>#VALUE!</v>
      </c>
      <c r="FT44" t="e">
        <f>Nodes!W307+"'E4!$K\"</f>
        <v>#VALUE!</v>
      </c>
      <c r="FU44" s="333" t="e">
        <f>Nodes!X307+"'E4!$K]"</f>
        <v>#VALUE!</v>
      </c>
      <c r="FV44" t="e">
        <f>Nodes!Y307+"'E4!$K^"</f>
        <v>#VALUE!</v>
      </c>
      <c r="FW44" t="e">
        <f>Nodes!Z307+"'E4!$K_"</f>
        <v>#VALUE!</v>
      </c>
      <c r="FX44" t="e">
        <f>Nodes!AA307+"'E4!$K`"</f>
        <v>#VALUE!</v>
      </c>
      <c r="FY44" t="e">
        <f>Nodes!AB307+"'E4!$Ka"</f>
        <v>#VALUE!</v>
      </c>
      <c r="FZ44" t="e">
        <f>Nodes!AC307+"'E4!$Kb"</f>
        <v>#VALUE!</v>
      </c>
      <c r="GA44" t="e">
        <f>Nodes!A308+"'E4!$Kc"</f>
        <v>#VALUE!</v>
      </c>
      <c r="GB44" t="e">
        <f>Nodes!B308+"'E4!$Kd"</f>
        <v>#VALUE!</v>
      </c>
      <c r="GC44" t="e">
        <f>Nodes!C308+"'E4!$Ke"</f>
        <v>#VALUE!</v>
      </c>
      <c r="GD44" t="e">
        <f>Nodes!D308+"'E4!$Kf"</f>
        <v>#VALUE!</v>
      </c>
      <c r="GE44" t="e">
        <f>Nodes!E308+"'E4!$Kg"</f>
        <v>#VALUE!</v>
      </c>
      <c r="GF44" t="e">
        <f>Nodes!F308+"'E4!$Kh"</f>
        <v>#VALUE!</v>
      </c>
      <c r="GG44" t="e">
        <f>Nodes!G308+"'E4!$Ki"</f>
        <v>#VALUE!</v>
      </c>
      <c r="GH44" t="e">
        <f>Nodes!H308+"'E4!$Kj"</f>
        <v>#VALUE!</v>
      </c>
      <c r="GI44" t="e">
        <f>Nodes!I308+"'E4!$Kk"</f>
        <v>#VALUE!</v>
      </c>
      <c r="GJ44" t="e">
        <f>Nodes!J308+"'E4!$Kl"</f>
        <v>#VALUE!</v>
      </c>
      <c r="GK44" t="e">
        <f>Nodes!K308+"'E4!$Km"</f>
        <v>#VALUE!</v>
      </c>
      <c r="GL44" t="e">
        <f>Nodes!L308+"'E4!$Kn"</f>
        <v>#VALUE!</v>
      </c>
      <c r="GM44" t="e">
        <f>Nodes!M308+"'E4!$Ko"</f>
        <v>#VALUE!</v>
      </c>
      <c r="GN44" t="e">
        <f>Nodes!N308+"'E4!$Kp"</f>
        <v>#VALUE!</v>
      </c>
      <c r="GO44" t="e">
        <f>Nodes!O308+"'E4!$Kq"</f>
        <v>#VALUE!</v>
      </c>
      <c r="GP44" t="e">
        <f>Nodes!P308+"'E4!$Kr"</f>
        <v>#VALUE!</v>
      </c>
      <c r="GQ44" t="e">
        <f>Nodes!Q308+"'E4!$Ks"</f>
        <v>#VALUE!</v>
      </c>
      <c r="GR44" t="e">
        <f>Nodes!R308+"'E4!$Kt"</f>
        <v>#VALUE!</v>
      </c>
      <c r="GS44" t="e">
        <f>Nodes!S308+"'E4!$Ku"</f>
        <v>#VALUE!</v>
      </c>
      <c r="GT44" s="548" t="e">
        <f>Nodes!T308+"'E4!$Kv"</f>
        <v>#VALUE!</v>
      </c>
      <c r="GU44" s="548" t="e">
        <f>Nodes!U308+"'E4!$Kw"</f>
        <v>#VALUE!</v>
      </c>
      <c r="GV44" t="e">
        <f>Nodes!V308+"'E4!$Kx"</f>
        <v>#VALUE!</v>
      </c>
      <c r="GW44" t="e">
        <f>Nodes!W308+"'E4!$Ky"</f>
        <v>#VALUE!</v>
      </c>
      <c r="GX44" s="333" t="e">
        <f>Nodes!X308+"'E4!$Kz"</f>
        <v>#VALUE!</v>
      </c>
      <c r="GY44" t="e">
        <f>Nodes!Y308+"'E4!$K{"</f>
        <v>#VALUE!</v>
      </c>
      <c r="GZ44" t="e">
        <f>Nodes!Z308+"'E4!$K|"</f>
        <v>#VALUE!</v>
      </c>
      <c r="HA44" t="e">
        <f>Nodes!AA308+"'E4!$K}"</f>
        <v>#VALUE!</v>
      </c>
      <c r="HB44" t="e">
        <f>Nodes!AB308+"'E4!$K~"</f>
        <v>#VALUE!</v>
      </c>
      <c r="HC44" t="e">
        <f>Nodes!AC308+"'E4!$L#"</f>
        <v>#VALUE!</v>
      </c>
      <c r="HD44" t="e">
        <f>Nodes!A309+"'E4!$L$"</f>
        <v>#VALUE!</v>
      </c>
      <c r="HE44" t="e">
        <f>Nodes!B309+"'E4!$L%"</f>
        <v>#VALUE!</v>
      </c>
      <c r="HF44" t="e">
        <f>Nodes!C309+"'E4!$L&amp;"</f>
        <v>#VALUE!</v>
      </c>
      <c r="HG44" t="e">
        <f>Nodes!D309+"'E4!$L'"</f>
        <v>#VALUE!</v>
      </c>
      <c r="HH44" t="e">
        <f>Nodes!E309+"'E4!$L("</f>
        <v>#VALUE!</v>
      </c>
      <c r="HI44" t="e">
        <f>Nodes!F309+"'E4!$L)"</f>
        <v>#VALUE!</v>
      </c>
      <c r="HJ44" t="e">
        <f>Nodes!G309+"'E4!$L."</f>
        <v>#VALUE!</v>
      </c>
      <c r="HK44" t="e">
        <f>Nodes!H309+"'E4!$L/"</f>
        <v>#VALUE!</v>
      </c>
      <c r="HL44" t="e">
        <f>Nodes!I309+"'E4!$L0"</f>
        <v>#VALUE!</v>
      </c>
      <c r="HM44" t="e">
        <f>Nodes!J309+"'E4!$L1"</f>
        <v>#VALUE!</v>
      </c>
      <c r="HN44" t="e">
        <f>Nodes!K309+"'E4!$L2"</f>
        <v>#VALUE!</v>
      </c>
      <c r="HO44" t="e">
        <f>Nodes!L309+"'E4!$L3"</f>
        <v>#VALUE!</v>
      </c>
      <c r="HP44" t="e">
        <f>Nodes!M309+"'E4!$L4"</f>
        <v>#VALUE!</v>
      </c>
      <c r="HQ44" t="e">
        <f>Nodes!N309+"'E4!$L5"</f>
        <v>#VALUE!</v>
      </c>
      <c r="HR44" t="e">
        <f>Nodes!O309+"'E4!$L6"</f>
        <v>#VALUE!</v>
      </c>
      <c r="HS44" t="e">
        <f>Nodes!P309+"'E4!$L7"</f>
        <v>#VALUE!</v>
      </c>
      <c r="HT44" t="e">
        <f>Nodes!Q309+"'E4!$L8"</f>
        <v>#VALUE!</v>
      </c>
      <c r="HU44" t="e">
        <f>Nodes!R309+"'E4!$L9"</f>
        <v>#VALUE!</v>
      </c>
      <c r="HV44" t="e">
        <f>Nodes!S309+"'E4!$L:"</f>
        <v>#VALUE!</v>
      </c>
      <c r="HW44" s="548" t="e">
        <f>Nodes!T309+"'E4!$L;"</f>
        <v>#VALUE!</v>
      </c>
      <c r="HX44" s="548" t="e">
        <f>Nodes!U309+"'E4!$L&lt;"</f>
        <v>#VALUE!</v>
      </c>
      <c r="HY44" t="e">
        <f>Nodes!V309+"'E4!$L="</f>
        <v>#VALUE!</v>
      </c>
      <c r="HZ44" t="e">
        <f>Nodes!W309+"'E4!$L&gt;"</f>
        <v>#VALUE!</v>
      </c>
      <c r="IA44" s="333" t="e">
        <f>Nodes!X309+"'E4!$L?"</f>
        <v>#VALUE!</v>
      </c>
      <c r="IB44" t="e">
        <f>Nodes!Y309+"'E4!$L@"</f>
        <v>#VALUE!</v>
      </c>
      <c r="IC44" t="e">
        <f>Nodes!Z309+"'E4!$LA"</f>
        <v>#VALUE!</v>
      </c>
      <c r="ID44" t="e">
        <f>Nodes!AA309+"'E4!$LB"</f>
        <v>#VALUE!</v>
      </c>
      <c r="IE44" t="e">
        <f>Nodes!AB309+"'E4!$LC"</f>
        <v>#VALUE!</v>
      </c>
      <c r="IF44" t="e">
        <f>Nodes!AC309+"'E4!$LD"</f>
        <v>#VALUE!</v>
      </c>
      <c r="IG44" t="e">
        <f>Nodes!A310+"'E4!$LE"</f>
        <v>#VALUE!</v>
      </c>
      <c r="IH44" t="e">
        <f>Nodes!B310+"'E4!$LF"</f>
        <v>#VALUE!</v>
      </c>
      <c r="II44" t="e">
        <f>Nodes!C310+"'E4!$LG"</f>
        <v>#VALUE!</v>
      </c>
      <c r="IJ44" t="e">
        <f>Nodes!D310+"'E4!$LH"</f>
        <v>#VALUE!</v>
      </c>
      <c r="IK44" t="e">
        <f>Nodes!E310+"'E4!$LI"</f>
        <v>#VALUE!</v>
      </c>
      <c r="IL44" t="e">
        <f>Nodes!F310+"'E4!$LJ"</f>
        <v>#VALUE!</v>
      </c>
      <c r="IM44" t="e">
        <f>Nodes!G310+"'E4!$LK"</f>
        <v>#VALUE!</v>
      </c>
      <c r="IN44" t="e">
        <f>Nodes!H310+"'E4!$LL"</f>
        <v>#VALUE!</v>
      </c>
      <c r="IO44" t="e">
        <f>Nodes!I310+"'E4!$LM"</f>
        <v>#VALUE!</v>
      </c>
      <c r="IP44" t="e">
        <f>Nodes!J310+"'E4!$LN"</f>
        <v>#VALUE!</v>
      </c>
      <c r="IQ44" t="e">
        <f>Nodes!K310+"'E4!$LO"</f>
        <v>#VALUE!</v>
      </c>
      <c r="IR44" t="e">
        <f>Nodes!L310+"'E4!$LP"</f>
        <v>#VALUE!</v>
      </c>
      <c r="IS44" t="e">
        <f>Nodes!M310+"'E4!$LQ"</f>
        <v>#VALUE!</v>
      </c>
      <c r="IT44" t="e">
        <f>Nodes!N310+"'E4!$LR"</f>
        <v>#VALUE!</v>
      </c>
      <c r="IU44" t="e">
        <f>Nodes!O310+"'E4!$LS"</f>
        <v>#VALUE!</v>
      </c>
      <c r="IV44" t="e">
        <f>Nodes!P310+"'E4!$LT"</f>
        <v>#VALUE!</v>
      </c>
    </row>
    <row r="45" spans="6:256">
      <c r="F45" t="e">
        <f>Nodes!Q310+"'E4!$LU"</f>
        <v>#VALUE!</v>
      </c>
      <c r="G45" t="e">
        <f>Nodes!R310+"'E4!$LV"</f>
        <v>#VALUE!</v>
      </c>
      <c r="H45" t="e">
        <f>Nodes!S310+"'E4!$LW"</f>
        <v>#VALUE!</v>
      </c>
      <c r="I45" s="548" t="e">
        <f>Nodes!T310+"'E4!$LX"</f>
        <v>#VALUE!</v>
      </c>
      <c r="J45" s="548" t="e">
        <f>Nodes!U310+"'E4!$LY"</f>
        <v>#VALUE!</v>
      </c>
      <c r="K45" t="e">
        <f>Nodes!V310+"'E4!$LZ"</f>
        <v>#VALUE!</v>
      </c>
      <c r="L45" t="e">
        <f>Nodes!W310+"'E4!$L["</f>
        <v>#VALUE!</v>
      </c>
      <c r="M45" s="333" t="e">
        <f>Nodes!X310+"'E4!$L\"</f>
        <v>#VALUE!</v>
      </c>
      <c r="N45" t="e">
        <f>Nodes!Y310+"'E4!$L]"</f>
        <v>#VALUE!</v>
      </c>
      <c r="O45" t="e">
        <f>Nodes!Z310+"'E4!$L^"</f>
        <v>#VALUE!</v>
      </c>
      <c r="P45" t="e">
        <f>Nodes!AA310+"'E4!$L_"</f>
        <v>#VALUE!</v>
      </c>
      <c r="Q45" t="e">
        <f>Nodes!AB310+"'E4!$L`"</f>
        <v>#VALUE!</v>
      </c>
      <c r="R45" t="e">
        <f>Nodes!AC310+"'E4!$La"</f>
        <v>#VALUE!</v>
      </c>
      <c r="S45" t="e">
        <f>Nodes!A311+"'E4!$Lb"</f>
        <v>#VALUE!</v>
      </c>
      <c r="T45" t="e">
        <f>Nodes!B311+"'E4!$Lc"</f>
        <v>#VALUE!</v>
      </c>
      <c r="U45" t="e">
        <f>Nodes!C311+"'E4!$Ld"</f>
        <v>#VALUE!</v>
      </c>
      <c r="V45" t="e">
        <f>Nodes!D311+"'E4!$Le"</f>
        <v>#VALUE!</v>
      </c>
      <c r="W45" t="e">
        <f>Nodes!E311+"'E4!$Lf"</f>
        <v>#VALUE!</v>
      </c>
      <c r="X45" t="e">
        <f>Nodes!F311+"'E4!$Lg"</f>
        <v>#VALUE!</v>
      </c>
      <c r="Y45" t="e">
        <f>Nodes!G311+"'E4!$Lh"</f>
        <v>#VALUE!</v>
      </c>
      <c r="Z45" t="e">
        <f>Nodes!H311+"'E4!$Li"</f>
        <v>#VALUE!</v>
      </c>
      <c r="AA45" t="e">
        <f>Nodes!I311+"'E4!$Lj"</f>
        <v>#VALUE!</v>
      </c>
      <c r="AB45" t="e">
        <f>Nodes!J311+"'E4!$Lk"</f>
        <v>#VALUE!</v>
      </c>
      <c r="AC45" t="e">
        <f>Nodes!K311+"'E4!$Ll"</f>
        <v>#VALUE!</v>
      </c>
      <c r="AD45" t="e">
        <f>Nodes!L311+"'E4!$Lm"</f>
        <v>#VALUE!</v>
      </c>
      <c r="AE45" t="e">
        <f>Nodes!M311+"'E4!$Ln"</f>
        <v>#VALUE!</v>
      </c>
      <c r="AF45" t="e">
        <f>Nodes!N311+"'E4!$Lo"</f>
        <v>#VALUE!</v>
      </c>
      <c r="AG45" t="e">
        <f>Nodes!O311+"'E4!$Lp"</f>
        <v>#VALUE!</v>
      </c>
      <c r="AH45" t="e">
        <f>Nodes!P311+"'E4!$Lq"</f>
        <v>#VALUE!</v>
      </c>
      <c r="AI45" t="e">
        <f>Nodes!Q311+"'E4!$Lr"</f>
        <v>#VALUE!</v>
      </c>
      <c r="AJ45" t="e">
        <f>Nodes!R311+"'E4!$Ls"</f>
        <v>#VALUE!</v>
      </c>
      <c r="AK45" t="e">
        <f>Nodes!S311+"'E4!$Lt"</f>
        <v>#VALUE!</v>
      </c>
      <c r="AL45" s="548" t="e">
        <f>Nodes!T311+"'E4!$Lu"</f>
        <v>#VALUE!</v>
      </c>
      <c r="AM45" s="548" t="e">
        <f>Nodes!U311+"'E4!$Lv"</f>
        <v>#VALUE!</v>
      </c>
      <c r="AN45" t="e">
        <f>Nodes!V311+"'E4!$Lw"</f>
        <v>#VALUE!</v>
      </c>
      <c r="AO45" t="e">
        <f>Nodes!W311+"'E4!$Lx"</f>
        <v>#VALUE!</v>
      </c>
      <c r="AP45" s="333" t="e">
        <f>Nodes!X311+"'E4!$Ly"</f>
        <v>#VALUE!</v>
      </c>
      <c r="AQ45" t="e">
        <f>Nodes!Y311+"'E4!$Lz"</f>
        <v>#VALUE!</v>
      </c>
      <c r="AR45" t="e">
        <f>Nodes!Z311+"'E4!$L{"</f>
        <v>#VALUE!</v>
      </c>
      <c r="AS45" t="e">
        <f>Nodes!AA311+"'E4!$L|"</f>
        <v>#VALUE!</v>
      </c>
      <c r="AT45" t="e">
        <f>Nodes!AB311+"'E4!$L}"</f>
        <v>#VALUE!</v>
      </c>
      <c r="AU45" t="e">
        <f>Nodes!AC311+"'E4!$L~"</f>
        <v>#VALUE!</v>
      </c>
      <c r="AV45" t="e">
        <f>Nodes!A312+"'E4!$M#"</f>
        <v>#VALUE!</v>
      </c>
      <c r="AW45" t="e">
        <f>Nodes!B312+"'E4!$M$"</f>
        <v>#VALUE!</v>
      </c>
      <c r="AX45" t="e">
        <f>Nodes!C312+"'E4!$M%"</f>
        <v>#VALUE!</v>
      </c>
      <c r="AY45" t="e">
        <f>Nodes!D312+"'E4!$M&amp;"</f>
        <v>#VALUE!</v>
      </c>
      <c r="AZ45" t="e">
        <f>Nodes!E312+"'E4!$M'"</f>
        <v>#VALUE!</v>
      </c>
      <c r="BA45" t="e">
        <f>Nodes!F312+"'E4!$M("</f>
        <v>#VALUE!</v>
      </c>
      <c r="BB45" t="e">
        <f>Nodes!G312+"'E4!$M)"</f>
        <v>#VALUE!</v>
      </c>
      <c r="BC45" t="e">
        <f>Nodes!H312+"'E4!$M."</f>
        <v>#VALUE!</v>
      </c>
      <c r="BD45" t="e">
        <f>Nodes!I312+"'E4!$M/"</f>
        <v>#VALUE!</v>
      </c>
      <c r="BE45" t="e">
        <f>Nodes!J312+"'E4!$M0"</f>
        <v>#VALUE!</v>
      </c>
      <c r="BF45" t="e">
        <f>Nodes!K312+"'E4!$M1"</f>
        <v>#VALUE!</v>
      </c>
      <c r="BG45" t="e">
        <f>Nodes!L312+"'E4!$M2"</f>
        <v>#VALUE!</v>
      </c>
      <c r="BH45" t="e">
        <f>Nodes!M312+"'E4!$M3"</f>
        <v>#VALUE!</v>
      </c>
      <c r="BI45" t="e">
        <f>Nodes!N312+"'E4!$M4"</f>
        <v>#VALUE!</v>
      </c>
      <c r="BJ45" t="e">
        <f>Nodes!O312+"'E4!$M5"</f>
        <v>#VALUE!</v>
      </c>
      <c r="BK45" t="e">
        <f>Nodes!P312+"'E4!$M6"</f>
        <v>#VALUE!</v>
      </c>
      <c r="BL45" t="e">
        <f>Nodes!Q312+"'E4!$M7"</f>
        <v>#VALUE!</v>
      </c>
      <c r="BM45" t="e">
        <f>Nodes!R312+"'E4!$M8"</f>
        <v>#VALUE!</v>
      </c>
      <c r="BN45" t="e">
        <f>Nodes!S312+"'E4!$M9"</f>
        <v>#VALUE!</v>
      </c>
      <c r="BO45" s="548" t="e">
        <f>Nodes!T312+"'E4!$M:"</f>
        <v>#VALUE!</v>
      </c>
      <c r="BP45" s="548" t="e">
        <f>Nodes!U312+"'E4!$M;"</f>
        <v>#VALUE!</v>
      </c>
      <c r="BQ45" t="e">
        <f>Nodes!V312+"'E4!$M&lt;"</f>
        <v>#VALUE!</v>
      </c>
      <c r="BR45" t="e">
        <f>Nodes!W312+"'E4!$M="</f>
        <v>#VALUE!</v>
      </c>
      <c r="BS45" s="333" t="e">
        <f>Nodes!X312+"'E4!$M&gt;"</f>
        <v>#VALUE!</v>
      </c>
      <c r="BT45" t="e">
        <f>Nodes!Y312+"'E4!$M?"</f>
        <v>#VALUE!</v>
      </c>
      <c r="BU45" t="e">
        <f>Nodes!Z312+"'E4!$M@"</f>
        <v>#VALUE!</v>
      </c>
      <c r="BV45" t="e">
        <f>Nodes!AA312+"'E4!$MA"</f>
        <v>#VALUE!</v>
      </c>
      <c r="BW45" t="e">
        <f>Nodes!AB312+"'E4!$MB"</f>
        <v>#VALUE!</v>
      </c>
      <c r="BX45" t="e">
        <f>Nodes!AC312+"'E4!$MC"</f>
        <v>#VALUE!</v>
      </c>
      <c r="BY45" t="e">
        <f>Nodes!A313+"'E4!$MD"</f>
        <v>#VALUE!</v>
      </c>
      <c r="BZ45" t="e">
        <f>Nodes!B313+"'E4!$ME"</f>
        <v>#VALUE!</v>
      </c>
      <c r="CA45" t="e">
        <f>Nodes!C313+"'E4!$MF"</f>
        <v>#VALUE!</v>
      </c>
      <c r="CB45" t="e">
        <f>Nodes!D313+"'E4!$MG"</f>
        <v>#VALUE!</v>
      </c>
      <c r="CC45" t="e">
        <f>Nodes!E313+"'E4!$MH"</f>
        <v>#VALUE!</v>
      </c>
      <c r="CD45" t="e">
        <f>Nodes!F313+"'E4!$MI"</f>
        <v>#VALUE!</v>
      </c>
      <c r="CE45" t="e">
        <f>Nodes!G313+"'E4!$MJ"</f>
        <v>#VALUE!</v>
      </c>
      <c r="CF45" t="e">
        <f>Nodes!H313+"'E4!$MK"</f>
        <v>#VALUE!</v>
      </c>
      <c r="CG45" t="e">
        <f>Nodes!I313+"'E4!$ML"</f>
        <v>#VALUE!</v>
      </c>
      <c r="CH45" t="e">
        <f>Nodes!J313+"'E4!$MM"</f>
        <v>#VALUE!</v>
      </c>
      <c r="CI45" t="e">
        <f>Nodes!K313+"'E4!$MN"</f>
        <v>#VALUE!</v>
      </c>
      <c r="CJ45" t="e">
        <f>Nodes!L313+"'E4!$MO"</f>
        <v>#VALUE!</v>
      </c>
      <c r="CK45" t="e">
        <f>Nodes!M313+"'E4!$MP"</f>
        <v>#VALUE!</v>
      </c>
      <c r="CL45" t="e">
        <f>Nodes!N313+"'E4!$MQ"</f>
        <v>#VALUE!</v>
      </c>
      <c r="CM45" t="e">
        <f>Nodes!O313+"'E4!$MR"</f>
        <v>#VALUE!</v>
      </c>
      <c r="CN45" t="e">
        <f>Nodes!P313+"'E4!$MS"</f>
        <v>#VALUE!</v>
      </c>
      <c r="CO45" t="e">
        <f>Nodes!Q313+"'E4!$MT"</f>
        <v>#VALUE!</v>
      </c>
      <c r="CP45" t="e">
        <f>Nodes!R313+"'E4!$MU"</f>
        <v>#VALUE!</v>
      </c>
      <c r="CQ45" t="e">
        <f>Nodes!S313+"'E4!$MV"</f>
        <v>#VALUE!</v>
      </c>
      <c r="CR45" s="548" t="e">
        <f>Nodes!T313+"'E4!$MW"</f>
        <v>#VALUE!</v>
      </c>
      <c r="CS45" s="548" t="e">
        <f>Nodes!U313+"'E4!$MX"</f>
        <v>#VALUE!</v>
      </c>
      <c r="CT45" t="e">
        <f>Nodes!V313+"'E4!$MY"</f>
        <v>#VALUE!</v>
      </c>
      <c r="CU45" t="e">
        <f>Nodes!W313+"'E4!$MZ"</f>
        <v>#VALUE!</v>
      </c>
      <c r="CV45" s="333" t="e">
        <f>Nodes!X313+"'E4!$M["</f>
        <v>#VALUE!</v>
      </c>
      <c r="CW45" t="e">
        <f>Nodes!Y313+"'E4!$M\"</f>
        <v>#VALUE!</v>
      </c>
      <c r="CX45" t="e">
        <f>Nodes!Z313+"'E4!$M]"</f>
        <v>#VALUE!</v>
      </c>
      <c r="CY45" t="e">
        <f>Nodes!AA313+"'E4!$M^"</f>
        <v>#VALUE!</v>
      </c>
      <c r="CZ45" t="e">
        <f>Nodes!AB313+"'E4!$M_"</f>
        <v>#VALUE!</v>
      </c>
      <c r="DA45" t="e">
        <f>Nodes!AC313+"'E4!$M`"</f>
        <v>#VALUE!</v>
      </c>
      <c r="DB45" t="e">
        <f>Nodes!A314+"'E4!$Ma"</f>
        <v>#VALUE!</v>
      </c>
      <c r="DC45" t="e">
        <f>Nodes!B314+"'E4!$Mb"</f>
        <v>#VALUE!</v>
      </c>
      <c r="DD45" t="e">
        <f>Nodes!C314+"'E4!$Mc"</f>
        <v>#VALUE!</v>
      </c>
      <c r="DE45" t="e">
        <f>Nodes!D314+"'E4!$Md"</f>
        <v>#VALUE!</v>
      </c>
      <c r="DF45" t="e">
        <f>Nodes!E314+"'E4!$Me"</f>
        <v>#VALUE!</v>
      </c>
      <c r="DG45" t="e">
        <f>Nodes!F314+"'E4!$Mf"</f>
        <v>#VALUE!</v>
      </c>
      <c r="DH45" t="e">
        <f>Nodes!G314+"'E4!$Mg"</f>
        <v>#VALUE!</v>
      </c>
      <c r="DI45" t="e">
        <f>Nodes!H314+"'E4!$Mh"</f>
        <v>#VALUE!</v>
      </c>
      <c r="DJ45" t="e">
        <f>Nodes!I314+"'E4!$Mi"</f>
        <v>#VALUE!</v>
      </c>
      <c r="DK45" t="e">
        <f>Nodes!J314+"'E4!$Mj"</f>
        <v>#VALUE!</v>
      </c>
      <c r="DL45" t="e">
        <f>Nodes!K314+"'E4!$Mk"</f>
        <v>#VALUE!</v>
      </c>
      <c r="DM45" t="e">
        <f>Nodes!L314+"'E4!$Ml"</f>
        <v>#VALUE!</v>
      </c>
      <c r="DN45" t="e">
        <f>Nodes!M314+"'E4!$Mm"</f>
        <v>#VALUE!</v>
      </c>
      <c r="DO45" t="e">
        <f>Nodes!N314+"'E4!$Mn"</f>
        <v>#VALUE!</v>
      </c>
      <c r="DP45" t="e">
        <f>Nodes!O314+"'E4!$Mo"</f>
        <v>#VALUE!</v>
      </c>
      <c r="DQ45" t="e">
        <f>Nodes!P314+"'E4!$Mp"</f>
        <v>#VALUE!</v>
      </c>
      <c r="DR45" t="e">
        <f>Nodes!Q314+"'E4!$Mq"</f>
        <v>#VALUE!</v>
      </c>
      <c r="DS45" t="e">
        <f>Nodes!R314+"'E4!$Mr"</f>
        <v>#VALUE!</v>
      </c>
      <c r="DT45" t="e">
        <f>Nodes!S314+"'E4!$Ms"</f>
        <v>#VALUE!</v>
      </c>
      <c r="DU45" s="548" t="e">
        <f>Nodes!T314+"'E4!$Mt"</f>
        <v>#VALUE!</v>
      </c>
      <c r="DV45" s="548" t="e">
        <f>Nodes!U314+"'E4!$Mu"</f>
        <v>#VALUE!</v>
      </c>
      <c r="DW45" t="e">
        <f>Nodes!V314+"'E4!$Mv"</f>
        <v>#VALUE!</v>
      </c>
      <c r="DX45" t="e">
        <f>Nodes!W314+"'E4!$Mw"</f>
        <v>#VALUE!</v>
      </c>
      <c r="DY45" t="e">
        <f>Nodes!X314+"'E4!$Mx"</f>
        <v>#VALUE!</v>
      </c>
      <c r="DZ45" t="e">
        <f>Nodes!Y314+"'E4!$My"</f>
        <v>#VALUE!</v>
      </c>
      <c r="EA45" t="e">
        <f>Nodes!Z314+"'E4!$Mz"</f>
        <v>#VALUE!</v>
      </c>
      <c r="EB45" t="e">
        <f>Nodes!AA314+"'E4!$M{"</f>
        <v>#VALUE!</v>
      </c>
      <c r="EC45" t="e">
        <f>Nodes!AB314+"'E4!$M|"</f>
        <v>#VALUE!</v>
      </c>
      <c r="ED45" t="e">
        <f>Nodes!AC314+"'E4!$M}"</f>
        <v>#VALUE!</v>
      </c>
      <c r="EE45" t="e">
        <f>Nodes!A315+"'E4!$M~"</f>
        <v>#VALUE!</v>
      </c>
      <c r="EF45" t="e">
        <f>Nodes!B315+"'E4!$N#"</f>
        <v>#VALUE!</v>
      </c>
      <c r="EG45" t="e">
        <f>Nodes!C315+"'E4!$N$"</f>
        <v>#VALUE!</v>
      </c>
      <c r="EH45" t="e">
        <f>Nodes!D315+"'E4!$N%"</f>
        <v>#VALUE!</v>
      </c>
      <c r="EI45" t="e">
        <f>Nodes!E315+"'E4!$N&amp;"</f>
        <v>#VALUE!</v>
      </c>
      <c r="EJ45" t="e">
        <f>Nodes!F315+"'E4!$N'"</f>
        <v>#VALUE!</v>
      </c>
      <c r="EK45" t="e">
        <f>Nodes!G315+"'E4!$N("</f>
        <v>#VALUE!</v>
      </c>
      <c r="EL45" t="e">
        <f>Nodes!H315+"'E4!$N)"</f>
        <v>#VALUE!</v>
      </c>
      <c r="EM45" t="e">
        <f>Nodes!I315+"'E4!$N."</f>
        <v>#VALUE!</v>
      </c>
      <c r="EN45" t="e">
        <f>Nodes!J315+"'E4!$N/"</f>
        <v>#VALUE!</v>
      </c>
      <c r="EO45" t="e">
        <f>Nodes!K315+"'E4!$N0"</f>
        <v>#VALUE!</v>
      </c>
      <c r="EP45" t="e">
        <f>Nodes!L315+"'E4!$N1"</f>
        <v>#VALUE!</v>
      </c>
      <c r="EQ45" t="e">
        <f>Nodes!M315+"'E4!$N2"</f>
        <v>#VALUE!</v>
      </c>
      <c r="ER45" t="e">
        <f>Nodes!N315+"'E4!$N3"</f>
        <v>#VALUE!</v>
      </c>
      <c r="ES45" t="e">
        <f>Nodes!O315+"'E4!$N4"</f>
        <v>#VALUE!</v>
      </c>
      <c r="ET45" t="e">
        <f>Nodes!P315+"'E4!$N5"</f>
        <v>#VALUE!</v>
      </c>
      <c r="EU45" t="e">
        <f>Nodes!Q315+"'E4!$N6"</f>
        <v>#VALUE!</v>
      </c>
      <c r="EV45" t="e">
        <f>Nodes!R315+"'E4!$N7"</f>
        <v>#VALUE!</v>
      </c>
      <c r="EW45" t="e">
        <f>Nodes!S315+"'E4!$N8"</f>
        <v>#VALUE!</v>
      </c>
      <c r="EX45" s="548" t="e">
        <f>Nodes!T315+"'E4!$N9"</f>
        <v>#VALUE!</v>
      </c>
      <c r="EY45" s="548" t="e">
        <f>Nodes!U315+"'E4!$N:"</f>
        <v>#VALUE!</v>
      </c>
      <c r="EZ45" t="e">
        <f>Nodes!V315+"'E4!$N;"</f>
        <v>#VALUE!</v>
      </c>
      <c r="FA45" t="e">
        <f>Nodes!W315+"'E4!$N&lt;"</f>
        <v>#VALUE!</v>
      </c>
      <c r="FB45" s="333" t="e">
        <f>Nodes!X315+"'E4!$N="</f>
        <v>#VALUE!</v>
      </c>
      <c r="FC45" t="e">
        <f>Nodes!Y315+"'E4!$N&gt;"</f>
        <v>#VALUE!</v>
      </c>
      <c r="FD45" t="e">
        <f>Nodes!Z315+"'E4!$N?"</f>
        <v>#VALUE!</v>
      </c>
      <c r="FE45" t="e">
        <f>Nodes!AA315+"'E4!$N@"</f>
        <v>#VALUE!</v>
      </c>
      <c r="FF45" t="e">
        <f>Nodes!AB315+"'E4!$NA"</f>
        <v>#VALUE!</v>
      </c>
      <c r="FG45" t="e">
        <f>Nodes!AC315+"'E4!$NB"</f>
        <v>#VALUE!</v>
      </c>
      <c r="FH45" t="e">
        <f>Nodes!A316+"'E4!$NC"</f>
        <v>#VALUE!</v>
      </c>
      <c r="FI45" t="e">
        <f>Nodes!B316+"'E4!$ND"</f>
        <v>#VALUE!</v>
      </c>
      <c r="FJ45" t="e">
        <f>Nodes!C316+"'E4!$NE"</f>
        <v>#VALUE!</v>
      </c>
      <c r="FK45" t="e">
        <f>Nodes!D316+"'E4!$NF"</f>
        <v>#VALUE!</v>
      </c>
      <c r="FL45" t="e">
        <f>Nodes!E316+"'E4!$NG"</f>
        <v>#VALUE!</v>
      </c>
      <c r="FM45" t="e">
        <f>Nodes!F316+"'E4!$NH"</f>
        <v>#VALUE!</v>
      </c>
      <c r="FN45" t="e">
        <f>Nodes!G316+"'E4!$NI"</f>
        <v>#VALUE!</v>
      </c>
      <c r="FO45" t="e">
        <f>Nodes!H316+"'E4!$NJ"</f>
        <v>#VALUE!</v>
      </c>
      <c r="FP45" t="e">
        <f>Nodes!I316+"'E4!$NK"</f>
        <v>#VALUE!</v>
      </c>
      <c r="FQ45" t="e">
        <f>Nodes!J316+"'E4!$NL"</f>
        <v>#VALUE!</v>
      </c>
      <c r="FR45" t="e">
        <f>Nodes!K316+"'E4!$NM"</f>
        <v>#VALUE!</v>
      </c>
      <c r="FS45" t="e">
        <f>Nodes!L316+"'E4!$NN"</f>
        <v>#VALUE!</v>
      </c>
      <c r="FT45" t="e">
        <f>Nodes!M316+"'E4!$NO"</f>
        <v>#VALUE!</v>
      </c>
      <c r="FU45" t="e">
        <f>Nodes!N316+"'E4!$NP"</f>
        <v>#VALUE!</v>
      </c>
      <c r="FV45" t="e">
        <f>Nodes!O316+"'E4!$NQ"</f>
        <v>#VALUE!</v>
      </c>
      <c r="FW45" t="e">
        <f>Nodes!P316+"'E4!$NR"</f>
        <v>#VALUE!</v>
      </c>
      <c r="FX45" t="e">
        <f>Nodes!Q316+"'E4!$NS"</f>
        <v>#VALUE!</v>
      </c>
      <c r="FY45" t="e">
        <f>Nodes!R316+"'E4!$NT"</f>
        <v>#VALUE!</v>
      </c>
      <c r="FZ45" t="e">
        <f>Nodes!S316+"'E4!$NU"</f>
        <v>#VALUE!</v>
      </c>
      <c r="GA45" s="548" t="e">
        <f>Nodes!T316+"'E4!$NV"</f>
        <v>#VALUE!</v>
      </c>
      <c r="GB45" s="548" t="e">
        <f>Nodes!U316+"'E4!$NW"</f>
        <v>#VALUE!</v>
      </c>
      <c r="GC45" s="548" t="e">
        <f>Nodes!V316+"'E4!$NX"</f>
        <v>#VALUE!</v>
      </c>
      <c r="GD45" s="548" t="e">
        <f>Nodes!W316+"'E4!$NY"</f>
        <v>#VALUE!</v>
      </c>
      <c r="GE45" s="333" t="e">
        <f>Nodes!X316+"'E4!$NZ"</f>
        <v>#VALUE!</v>
      </c>
      <c r="GF45" t="e">
        <f>Nodes!Y316+"'E4!$N["</f>
        <v>#VALUE!</v>
      </c>
      <c r="GG45" t="e">
        <f>Nodes!Z316+"'E4!$N\"</f>
        <v>#VALUE!</v>
      </c>
      <c r="GH45" t="e">
        <f>Nodes!AA316+"'E4!$N]"</f>
        <v>#VALUE!</v>
      </c>
      <c r="GI45" t="e">
        <f>Nodes!AB316+"'E4!$N^"</f>
        <v>#VALUE!</v>
      </c>
      <c r="GJ45" t="e">
        <f>Nodes!AC316+"'E4!$N_"</f>
        <v>#VALUE!</v>
      </c>
      <c r="GK45" t="e">
        <f>Nodes!A317+"'E4!$N`"</f>
        <v>#VALUE!</v>
      </c>
      <c r="GL45" t="e">
        <f>Nodes!B317+"'E4!$Na"</f>
        <v>#VALUE!</v>
      </c>
      <c r="GM45" t="e">
        <f>Nodes!C317+"'E4!$Nb"</f>
        <v>#VALUE!</v>
      </c>
      <c r="GN45" t="e">
        <f>Nodes!D317+"'E4!$Nc"</f>
        <v>#VALUE!</v>
      </c>
      <c r="GO45" t="e">
        <f>Nodes!E317+"'E4!$Nd"</f>
        <v>#VALUE!</v>
      </c>
      <c r="GP45" t="e">
        <f>Nodes!F317+"'E4!$Ne"</f>
        <v>#VALUE!</v>
      </c>
      <c r="GQ45" t="e">
        <f>Nodes!G317+"'E4!$Nf"</f>
        <v>#VALUE!</v>
      </c>
      <c r="GR45" t="e">
        <f>Nodes!H317+"'E4!$Ng"</f>
        <v>#VALUE!</v>
      </c>
      <c r="GS45" t="e">
        <f>Nodes!I317+"'E4!$Nh"</f>
        <v>#VALUE!</v>
      </c>
      <c r="GT45" t="e">
        <f>Nodes!J317+"'E4!$Ni"</f>
        <v>#VALUE!</v>
      </c>
      <c r="GU45" t="e">
        <f>Nodes!K317+"'E4!$Nj"</f>
        <v>#VALUE!</v>
      </c>
      <c r="GV45" t="e">
        <f>Nodes!L317+"'E4!$Nk"</f>
        <v>#VALUE!</v>
      </c>
      <c r="GW45" t="e">
        <f>Nodes!M317+"'E4!$Nl"</f>
        <v>#VALUE!</v>
      </c>
      <c r="GX45" t="e">
        <f>Nodes!N317+"'E4!$Nm"</f>
        <v>#VALUE!</v>
      </c>
      <c r="GY45" t="e">
        <f>Nodes!O317+"'E4!$Nn"</f>
        <v>#VALUE!</v>
      </c>
      <c r="GZ45" t="e">
        <f>Nodes!P317+"'E4!$No"</f>
        <v>#VALUE!</v>
      </c>
      <c r="HA45" t="e">
        <f>Nodes!Q317+"'E4!$Np"</f>
        <v>#VALUE!</v>
      </c>
      <c r="HB45" t="e">
        <f>Nodes!R317+"'E4!$Nq"</f>
        <v>#VALUE!</v>
      </c>
      <c r="HC45" t="e">
        <f>Nodes!S317+"'E4!$Nr"</f>
        <v>#VALUE!</v>
      </c>
      <c r="HD45" s="548" t="e">
        <f>Nodes!T317+"'E4!$Ns"</f>
        <v>#VALUE!</v>
      </c>
      <c r="HE45" s="548" t="e">
        <f>Nodes!U317+"'E4!$Nt"</f>
        <v>#VALUE!</v>
      </c>
      <c r="HF45" s="548" t="e">
        <f>Nodes!V317+"'E4!$Nu"</f>
        <v>#VALUE!</v>
      </c>
      <c r="HG45" s="548" t="e">
        <f>Nodes!W317+"'E4!$Nv"</f>
        <v>#VALUE!</v>
      </c>
      <c r="HH45" s="333" t="e">
        <f>Nodes!X317+"'E4!$Nw"</f>
        <v>#VALUE!</v>
      </c>
      <c r="HI45" t="e">
        <f>Nodes!Y317+"'E4!$Nx"</f>
        <v>#VALUE!</v>
      </c>
      <c r="HJ45" t="e">
        <f>Nodes!Z317+"'E4!$Ny"</f>
        <v>#VALUE!</v>
      </c>
      <c r="HK45" t="e">
        <f>Nodes!AA317+"'E4!$Nz"</f>
        <v>#VALUE!</v>
      </c>
      <c r="HL45" t="e">
        <f>Nodes!AB317+"'E4!$N{"</f>
        <v>#VALUE!</v>
      </c>
      <c r="HM45" t="e">
        <f>Nodes!AC317+"'E4!$N|"</f>
        <v>#VALUE!</v>
      </c>
      <c r="HN45" t="e">
        <f>Nodes!A318+"'E4!$N}"</f>
        <v>#VALUE!</v>
      </c>
      <c r="HO45" t="e">
        <f>Nodes!B318+"'E4!$N~"</f>
        <v>#VALUE!</v>
      </c>
      <c r="HP45" t="e">
        <f>Nodes!C318+"'E4!$O#"</f>
        <v>#VALUE!</v>
      </c>
      <c r="HQ45" t="e">
        <f>Nodes!D318+"'E4!$O$"</f>
        <v>#VALUE!</v>
      </c>
      <c r="HR45" t="e">
        <f>Nodes!E318+"'E4!$O%"</f>
        <v>#VALUE!</v>
      </c>
      <c r="HS45" t="e">
        <f>Nodes!F318+"'E4!$O&amp;"</f>
        <v>#VALUE!</v>
      </c>
      <c r="HT45" t="e">
        <f>Nodes!G318+"'E4!$O'"</f>
        <v>#VALUE!</v>
      </c>
      <c r="HU45" t="e">
        <f>Nodes!H318+"'E4!$O("</f>
        <v>#VALUE!</v>
      </c>
      <c r="HV45" t="e">
        <f>Nodes!I318+"'E4!$O)"</f>
        <v>#VALUE!</v>
      </c>
      <c r="HW45" t="e">
        <f>Nodes!J318+"'E4!$O."</f>
        <v>#VALUE!</v>
      </c>
      <c r="HX45" t="e">
        <f>Nodes!K318+"'E4!$O/"</f>
        <v>#VALUE!</v>
      </c>
      <c r="HY45" t="e">
        <f>Nodes!L318+"'E4!$O0"</f>
        <v>#VALUE!</v>
      </c>
      <c r="HZ45" t="e">
        <f>Nodes!M318+"'E4!$O1"</f>
        <v>#VALUE!</v>
      </c>
      <c r="IA45" t="e">
        <f>Nodes!N318+"'E4!$O2"</f>
        <v>#VALUE!</v>
      </c>
      <c r="IB45" t="e">
        <f>Nodes!O318+"'E4!$O3"</f>
        <v>#VALUE!</v>
      </c>
      <c r="IC45" t="e">
        <f>Nodes!P318+"'E4!$O4"</f>
        <v>#VALUE!</v>
      </c>
      <c r="ID45" t="e">
        <f>Nodes!Q318+"'E4!$O5"</f>
        <v>#VALUE!</v>
      </c>
      <c r="IE45" t="e">
        <f>Nodes!R318+"'E4!$O6"</f>
        <v>#VALUE!</v>
      </c>
      <c r="IF45" t="e">
        <f>Nodes!S318+"'E4!$O7"</f>
        <v>#VALUE!</v>
      </c>
      <c r="IG45" s="548" t="e">
        <f>Nodes!T318+"'E4!$O8"</f>
        <v>#VALUE!</v>
      </c>
      <c r="IH45" s="548" t="e">
        <f>Nodes!U318+"'E4!$O9"</f>
        <v>#VALUE!</v>
      </c>
      <c r="II45" s="548" t="e">
        <f>Nodes!V318+"'E4!$O:"</f>
        <v>#VALUE!</v>
      </c>
      <c r="IJ45" s="548" t="e">
        <f>Nodes!W318+"'E4!$O;"</f>
        <v>#VALUE!</v>
      </c>
      <c r="IK45" s="333" t="e">
        <f>Nodes!X318+"'E4!$O&lt;"</f>
        <v>#VALUE!</v>
      </c>
      <c r="IL45" t="e">
        <f>Nodes!Y318+"'E4!$O="</f>
        <v>#VALUE!</v>
      </c>
      <c r="IM45" t="e">
        <f>Nodes!Z318+"'E4!$O&gt;"</f>
        <v>#VALUE!</v>
      </c>
      <c r="IN45" t="e">
        <f>Nodes!AA318+"'E4!$O?"</f>
        <v>#VALUE!</v>
      </c>
      <c r="IO45" t="e">
        <f>Nodes!AB318+"'E4!$O@"</f>
        <v>#VALUE!</v>
      </c>
      <c r="IP45" t="e">
        <f>Nodes!AC318+"'E4!$OA"</f>
        <v>#VALUE!</v>
      </c>
      <c r="IQ45" t="e">
        <f>Nodes!A319+"'E4!$OB"</f>
        <v>#VALUE!</v>
      </c>
      <c r="IR45" t="e">
        <f>Nodes!B319+"'E4!$OC"</f>
        <v>#VALUE!</v>
      </c>
      <c r="IS45" t="e">
        <f>Nodes!C319+"'E4!$OD"</f>
        <v>#VALUE!</v>
      </c>
      <c r="IT45" t="e">
        <f>Nodes!D319+"'E4!$OE"</f>
        <v>#VALUE!</v>
      </c>
      <c r="IU45" t="e">
        <f>Nodes!E319+"'E4!$OF"</f>
        <v>#VALUE!</v>
      </c>
      <c r="IV45" t="e">
        <f>Nodes!F319+"'E4!$OG"</f>
        <v>#VALUE!</v>
      </c>
    </row>
    <row r="46" spans="6:256">
      <c r="F46" t="e">
        <f>Nodes!G319+"'E4!$OH"</f>
        <v>#VALUE!</v>
      </c>
      <c r="G46" t="e">
        <f>Nodes!H319+"'E4!$OI"</f>
        <v>#VALUE!</v>
      </c>
      <c r="H46" t="e">
        <f>Nodes!I319+"'E4!$OJ"</f>
        <v>#VALUE!</v>
      </c>
      <c r="I46" t="e">
        <f>Nodes!J319+"'E4!$OK"</f>
        <v>#VALUE!</v>
      </c>
      <c r="J46" t="e">
        <f>Nodes!K319+"'E4!$OL"</f>
        <v>#VALUE!</v>
      </c>
      <c r="K46" t="e">
        <f>Nodes!L319+"'E4!$OM"</f>
        <v>#VALUE!</v>
      </c>
      <c r="L46" t="e">
        <f>Nodes!M319+"'E4!$ON"</f>
        <v>#VALUE!</v>
      </c>
      <c r="M46" t="e">
        <f>Nodes!N319+"'E4!$OO"</f>
        <v>#VALUE!</v>
      </c>
      <c r="N46" t="e">
        <f>Nodes!O319+"'E4!$OP"</f>
        <v>#VALUE!</v>
      </c>
      <c r="O46" t="e">
        <f>Nodes!P319+"'E4!$OQ"</f>
        <v>#VALUE!</v>
      </c>
      <c r="P46" t="e">
        <f>Nodes!Q319+"'E4!$OR"</f>
        <v>#VALUE!</v>
      </c>
      <c r="Q46" t="e">
        <f>Nodes!R319+"'E4!$OS"</f>
        <v>#VALUE!</v>
      </c>
      <c r="R46" t="e">
        <f>Nodes!S319+"'E4!$OT"</f>
        <v>#VALUE!</v>
      </c>
      <c r="S46" s="548" t="e">
        <f>Nodes!T319+"'E4!$OU"</f>
        <v>#VALUE!</v>
      </c>
      <c r="T46" s="548" t="e">
        <f>Nodes!U319+"'E4!$OV"</f>
        <v>#VALUE!</v>
      </c>
      <c r="U46" s="548" t="e">
        <f>Nodes!V319+"'E4!$OW"</f>
        <v>#VALUE!</v>
      </c>
      <c r="V46" s="548" t="e">
        <f>Nodes!W319+"'E4!$OX"</f>
        <v>#VALUE!</v>
      </c>
      <c r="W46" s="333" t="e">
        <f>Nodes!X319+"'E4!$OY"</f>
        <v>#VALUE!</v>
      </c>
      <c r="X46" t="e">
        <f>Nodes!Y319+"'E4!$OZ"</f>
        <v>#VALUE!</v>
      </c>
      <c r="Y46" t="e">
        <f>Nodes!Z319+"'E4!$O["</f>
        <v>#VALUE!</v>
      </c>
      <c r="Z46" t="e">
        <f>Nodes!AA319+"'E4!$O\"</f>
        <v>#VALUE!</v>
      </c>
      <c r="AA46" t="e">
        <f>Nodes!AB319+"'E4!$O]"</f>
        <v>#VALUE!</v>
      </c>
      <c r="AB46" t="e">
        <f>Nodes!AC319+"'E4!$O^"</f>
        <v>#VALUE!</v>
      </c>
      <c r="AC46" t="e">
        <f>Nodes!A320+"'E4!$O_"</f>
        <v>#VALUE!</v>
      </c>
      <c r="AD46" t="e">
        <f>Nodes!B320+"'E4!$O`"</f>
        <v>#VALUE!</v>
      </c>
      <c r="AE46" t="e">
        <f>Nodes!C320+"'E4!$Oa"</f>
        <v>#VALUE!</v>
      </c>
      <c r="AF46" t="e">
        <f>Nodes!D320+"'E4!$Ob"</f>
        <v>#VALUE!</v>
      </c>
      <c r="AG46" t="e">
        <f>Nodes!E320+"'E4!$Oc"</f>
        <v>#VALUE!</v>
      </c>
      <c r="AH46" t="e">
        <f>Nodes!F320+"'E4!$Od"</f>
        <v>#VALUE!</v>
      </c>
      <c r="AI46" t="e">
        <f>Nodes!G320+"'E4!$Oe"</f>
        <v>#VALUE!</v>
      </c>
      <c r="AJ46" t="e">
        <f>Nodes!H320+"'E4!$Of"</f>
        <v>#VALUE!</v>
      </c>
      <c r="AK46" t="e">
        <f>Nodes!I320+"'E4!$Og"</f>
        <v>#VALUE!</v>
      </c>
      <c r="AL46" t="e">
        <f>Nodes!J320+"'E4!$Oh"</f>
        <v>#VALUE!</v>
      </c>
      <c r="AM46" t="e">
        <f>Nodes!K320+"'E4!$Oi"</f>
        <v>#VALUE!</v>
      </c>
      <c r="AN46" t="e">
        <f>Nodes!L320+"'E4!$Oj"</f>
        <v>#VALUE!</v>
      </c>
      <c r="AO46" t="e">
        <f>Nodes!M320+"'E4!$Ok"</f>
        <v>#VALUE!</v>
      </c>
      <c r="AP46" t="e">
        <f>Nodes!N320+"'E4!$Ol"</f>
        <v>#VALUE!</v>
      </c>
      <c r="AQ46" t="e">
        <f>Nodes!O320+"'E4!$Om"</f>
        <v>#VALUE!</v>
      </c>
      <c r="AR46" t="e">
        <f>Nodes!P320+"'E4!$On"</f>
        <v>#VALUE!</v>
      </c>
      <c r="AS46" t="e">
        <f>Nodes!Q320+"'E4!$Oo"</f>
        <v>#VALUE!</v>
      </c>
      <c r="AT46" t="e">
        <f>Nodes!R320+"'E4!$Op"</f>
        <v>#VALUE!</v>
      </c>
      <c r="AU46" t="e">
        <f>Nodes!S320+"'E4!$Oq"</f>
        <v>#VALUE!</v>
      </c>
      <c r="AV46" s="548" t="e">
        <f>Nodes!T320+"'E4!$Or"</f>
        <v>#VALUE!</v>
      </c>
      <c r="AW46" s="548" t="e">
        <f>Nodes!U320+"'E4!$Os"</f>
        <v>#VALUE!</v>
      </c>
      <c r="AX46" s="548" t="e">
        <f>Nodes!V320+"'E4!$Ot"</f>
        <v>#VALUE!</v>
      </c>
      <c r="AY46" s="548" t="e">
        <f>Nodes!W320+"'E4!$Ou"</f>
        <v>#VALUE!</v>
      </c>
      <c r="AZ46" s="333" t="e">
        <f>Nodes!X320+"'E4!$Ov"</f>
        <v>#VALUE!</v>
      </c>
      <c r="BA46" t="e">
        <f>Nodes!Y320+"'E4!$Ow"</f>
        <v>#VALUE!</v>
      </c>
      <c r="BB46" t="e">
        <f>Nodes!Z320+"'E4!$Ox"</f>
        <v>#VALUE!</v>
      </c>
      <c r="BC46" t="e">
        <f>Nodes!AA320+"'E4!$Oy"</f>
        <v>#VALUE!</v>
      </c>
      <c r="BD46" t="e">
        <f>Nodes!AB320+"'E4!$Oz"</f>
        <v>#VALUE!</v>
      </c>
      <c r="BE46" t="e">
        <f>Nodes!AC320+"'E4!$O{"</f>
        <v>#VALUE!</v>
      </c>
      <c r="BF46" t="e">
        <f>Nodes!A321+"'E4!$O|"</f>
        <v>#VALUE!</v>
      </c>
      <c r="BG46" t="e">
        <f>Nodes!B321+"'E4!$O}"</f>
        <v>#VALUE!</v>
      </c>
      <c r="BH46" t="e">
        <f>Nodes!C321+"'E4!$O~"</f>
        <v>#VALUE!</v>
      </c>
      <c r="BI46" t="e">
        <f>Nodes!D321+"'E4!$P#"</f>
        <v>#VALUE!</v>
      </c>
      <c r="BJ46" t="e">
        <f>Nodes!E321+"'E4!$P$"</f>
        <v>#VALUE!</v>
      </c>
      <c r="BK46" t="e">
        <f>Nodes!F321+"'E4!$P%"</f>
        <v>#VALUE!</v>
      </c>
      <c r="BL46" t="e">
        <f>Nodes!G321+"'E4!$P&amp;"</f>
        <v>#VALUE!</v>
      </c>
      <c r="BM46" t="e">
        <f>Nodes!H321+"'E4!$P'"</f>
        <v>#VALUE!</v>
      </c>
      <c r="BN46" t="e">
        <f>Nodes!I321+"'E4!$P("</f>
        <v>#VALUE!</v>
      </c>
      <c r="BO46" t="e">
        <f>Nodes!J321+"'E4!$P)"</f>
        <v>#VALUE!</v>
      </c>
      <c r="BP46" t="e">
        <f>Nodes!K321+"'E4!$P."</f>
        <v>#VALUE!</v>
      </c>
      <c r="BQ46" t="e">
        <f>Nodes!L321+"'E4!$P/"</f>
        <v>#VALUE!</v>
      </c>
      <c r="BR46" t="e">
        <f>Nodes!M321+"'E4!$P0"</f>
        <v>#VALUE!</v>
      </c>
      <c r="BS46" t="e">
        <f>Nodes!N321+"'E4!$P1"</f>
        <v>#VALUE!</v>
      </c>
      <c r="BT46" t="e">
        <f>Nodes!O321+"'E4!$P2"</f>
        <v>#VALUE!</v>
      </c>
      <c r="BU46" t="e">
        <f>Nodes!P321+"'E4!$P3"</f>
        <v>#VALUE!</v>
      </c>
      <c r="BV46" t="e">
        <f>Nodes!Q321+"'E4!$P4"</f>
        <v>#VALUE!</v>
      </c>
      <c r="BW46" t="e">
        <f>Nodes!R321+"'E4!$P5"</f>
        <v>#VALUE!</v>
      </c>
      <c r="BX46" t="e">
        <f>Nodes!S321+"'E4!$P6"</f>
        <v>#VALUE!</v>
      </c>
      <c r="BY46" s="548" t="e">
        <f>Nodes!T321+"'E4!$P7"</f>
        <v>#VALUE!</v>
      </c>
      <c r="BZ46" s="548" t="e">
        <f>Nodes!U321+"'E4!$P8"</f>
        <v>#VALUE!</v>
      </c>
      <c r="CA46" s="548" t="e">
        <f>Nodes!V321+"'E4!$P9"</f>
        <v>#VALUE!</v>
      </c>
      <c r="CB46" s="548" t="e">
        <f>Nodes!W321+"'E4!$P:"</f>
        <v>#VALUE!</v>
      </c>
      <c r="CC46" s="333" t="e">
        <f>Nodes!X321+"'E4!$P;"</f>
        <v>#VALUE!</v>
      </c>
      <c r="CD46" t="e">
        <f>Nodes!Y321+"'E4!$P&lt;"</f>
        <v>#VALUE!</v>
      </c>
      <c r="CE46" t="e">
        <f>Nodes!Z321+"'E4!$P="</f>
        <v>#VALUE!</v>
      </c>
      <c r="CF46" t="e">
        <f>Nodes!AA321+"'E4!$P&gt;"</f>
        <v>#VALUE!</v>
      </c>
      <c r="CG46" t="e">
        <f>Nodes!AB321+"'E4!$P?"</f>
        <v>#VALUE!</v>
      </c>
      <c r="CH46" t="e">
        <f>Nodes!AC321+"'E4!$P@"</f>
        <v>#VALUE!</v>
      </c>
      <c r="CI46" t="e">
        <f>Nodes!A322+"'E4!$PA"</f>
        <v>#VALUE!</v>
      </c>
      <c r="CJ46" t="e">
        <f>Nodes!B322+"'E4!$PB"</f>
        <v>#VALUE!</v>
      </c>
      <c r="CK46" t="e">
        <f>Nodes!C322+"'E4!$PC"</f>
        <v>#VALUE!</v>
      </c>
      <c r="CL46" t="e">
        <f>Nodes!D322+"'E4!$PD"</f>
        <v>#VALUE!</v>
      </c>
      <c r="CM46" t="e">
        <f>Nodes!E322+"'E4!$PE"</f>
        <v>#VALUE!</v>
      </c>
      <c r="CN46" t="e">
        <f>Nodes!F322+"'E4!$PF"</f>
        <v>#VALUE!</v>
      </c>
      <c r="CO46" t="e">
        <f>Nodes!G322+"'E4!$PG"</f>
        <v>#VALUE!</v>
      </c>
      <c r="CP46" t="e">
        <f>Nodes!H322+"'E4!$PH"</f>
        <v>#VALUE!</v>
      </c>
      <c r="CQ46" t="e">
        <f>Nodes!I322+"'E4!$PI"</f>
        <v>#VALUE!</v>
      </c>
      <c r="CR46" t="e">
        <f>Nodes!J322+"'E4!$PJ"</f>
        <v>#VALUE!</v>
      </c>
      <c r="CS46" t="e">
        <f>Nodes!K322+"'E4!$PK"</f>
        <v>#VALUE!</v>
      </c>
      <c r="CT46" t="e">
        <f>Nodes!L322+"'E4!$PL"</f>
        <v>#VALUE!</v>
      </c>
      <c r="CU46" t="e">
        <f>Nodes!M322+"'E4!$PM"</f>
        <v>#VALUE!</v>
      </c>
      <c r="CV46" t="e">
        <f>Nodes!N322+"'E4!$PN"</f>
        <v>#VALUE!</v>
      </c>
      <c r="CW46" t="e">
        <f>Nodes!O322+"'E4!$PO"</f>
        <v>#VALUE!</v>
      </c>
      <c r="CX46" t="e">
        <f>Nodes!P322+"'E4!$PP"</f>
        <v>#VALUE!</v>
      </c>
      <c r="CY46" t="e">
        <f>Nodes!Q322+"'E4!$PQ"</f>
        <v>#VALUE!</v>
      </c>
      <c r="CZ46" t="e">
        <f>Nodes!R322+"'E4!$PR"</f>
        <v>#VALUE!</v>
      </c>
      <c r="DA46" t="e">
        <f>Nodes!S322+"'E4!$PS"</f>
        <v>#VALUE!</v>
      </c>
      <c r="DB46" s="548" t="e">
        <f>Nodes!T322+"'E4!$PT"</f>
        <v>#VALUE!</v>
      </c>
      <c r="DC46" s="548" t="e">
        <f>Nodes!U322+"'E4!$PU"</f>
        <v>#VALUE!</v>
      </c>
      <c r="DD46" s="548" t="e">
        <f>Nodes!V322+"'E4!$PV"</f>
        <v>#VALUE!</v>
      </c>
      <c r="DE46" s="548" t="e">
        <f>Nodes!W322+"'E4!$PW"</f>
        <v>#VALUE!</v>
      </c>
      <c r="DF46" s="333" t="e">
        <f>Nodes!X322+"'E4!$PX"</f>
        <v>#VALUE!</v>
      </c>
      <c r="DG46" t="e">
        <f>Nodes!Y322+"'E4!$PY"</f>
        <v>#VALUE!</v>
      </c>
      <c r="DH46" t="e">
        <f>Nodes!Z322+"'E4!$PZ"</f>
        <v>#VALUE!</v>
      </c>
      <c r="DI46" t="e">
        <f>Nodes!AA322+"'E4!$P["</f>
        <v>#VALUE!</v>
      </c>
      <c r="DJ46" t="e">
        <f>Nodes!AB322+"'E4!$P\"</f>
        <v>#VALUE!</v>
      </c>
      <c r="DK46" t="e">
        <f>Nodes!AC322+"'E4!$P]"</f>
        <v>#VALUE!</v>
      </c>
      <c r="DL46" t="e">
        <f>Nodes!A323+"'E4!$P^"</f>
        <v>#VALUE!</v>
      </c>
      <c r="DM46" t="e">
        <f>Nodes!B323+"'E4!$P_"</f>
        <v>#VALUE!</v>
      </c>
      <c r="DN46" t="e">
        <f>Nodes!C323+"'E4!$P`"</f>
        <v>#VALUE!</v>
      </c>
      <c r="DO46" t="e">
        <f>Nodes!D323+"'E4!$Pa"</f>
        <v>#VALUE!</v>
      </c>
      <c r="DP46" t="e">
        <f>Nodes!E323+"'E4!$Pb"</f>
        <v>#VALUE!</v>
      </c>
      <c r="DQ46" t="e">
        <f>Nodes!F323+"'E4!$Pc"</f>
        <v>#VALUE!</v>
      </c>
      <c r="DR46" t="e">
        <f>Nodes!G323+"'E4!$Pd"</f>
        <v>#VALUE!</v>
      </c>
      <c r="DS46" t="e">
        <f>Nodes!H323+"'E4!$Pe"</f>
        <v>#VALUE!</v>
      </c>
      <c r="DT46" t="e">
        <f>Nodes!I323+"'E4!$Pf"</f>
        <v>#VALUE!</v>
      </c>
      <c r="DU46" t="e">
        <f>Nodes!J323+"'E4!$Pg"</f>
        <v>#VALUE!</v>
      </c>
      <c r="DV46" t="e">
        <f>Nodes!K323+"'E4!$Ph"</f>
        <v>#VALUE!</v>
      </c>
      <c r="DW46" t="e">
        <f>Nodes!L323+"'E4!$Pi"</f>
        <v>#VALUE!</v>
      </c>
      <c r="DX46" t="e">
        <f>Nodes!M323+"'E4!$Pj"</f>
        <v>#VALUE!</v>
      </c>
      <c r="DY46" t="e">
        <f>Nodes!N323+"'E4!$Pk"</f>
        <v>#VALUE!</v>
      </c>
      <c r="DZ46" t="e">
        <f>Nodes!O323+"'E4!$Pl"</f>
        <v>#VALUE!</v>
      </c>
      <c r="EA46" t="e">
        <f>Nodes!P323+"'E4!$Pm"</f>
        <v>#VALUE!</v>
      </c>
      <c r="EB46" t="e">
        <f>Nodes!Q323+"'E4!$Pn"</f>
        <v>#VALUE!</v>
      </c>
      <c r="EC46" t="e">
        <f>Nodes!R323+"'E4!$Po"</f>
        <v>#VALUE!</v>
      </c>
      <c r="ED46" t="e">
        <f>Nodes!S323+"'E4!$Pp"</f>
        <v>#VALUE!</v>
      </c>
      <c r="EE46" s="548" t="e">
        <f>Nodes!T323+"'E4!$Pq"</f>
        <v>#VALUE!</v>
      </c>
      <c r="EF46" s="548" t="e">
        <f>Nodes!U323+"'E4!$Pr"</f>
        <v>#VALUE!</v>
      </c>
      <c r="EG46" t="e">
        <f>Nodes!V323+"'E4!$Ps"</f>
        <v>#VALUE!</v>
      </c>
      <c r="EH46" t="e">
        <f>Nodes!W323+"'E4!$Pt"</f>
        <v>#VALUE!</v>
      </c>
      <c r="EI46" t="e">
        <f>Nodes!X323+"'E4!$Pu"</f>
        <v>#VALUE!</v>
      </c>
      <c r="EJ46" t="e">
        <f>Nodes!Y323+"'E4!$Pv"</f>
        <v>#VALUE!</v>
      </c>
      <c r="EK46" t="e">
        <f>Nodes!Z323+"'E4!$Pw"</f>
        <v>#VALUE!</v>
      </c>
      <c r="EL46" t="e">
        <f>Nodes!AA323+"'E4!$Px"</f>
        <v>#VALUE!</v>
      </c>
      <c r="EM46" t="e">
        <f>Nodes!AB323+"'E4!$Py"</f>
        <v>#VALUE!</v>
      </c>
      <c r="EN46" t="e">
        <f>Nodes!AC323+"'E4!$Pz"</f>
        <v>#VALUE!</v>
      </c>
      <c r="EO46" t="e">
        <f>Nodes!A324+"'E4!$P{"</f>
        <v>#VALUE!</v>
      </c>
      <c r="EP46" t="e">
        <f>Nodes!B324+"'E4!$P|"</f>
        <v>#VALUE!</v>
      </c>
      <c r="EQ46" t="e">
        <f>Nodes!C324+"'E4!$P}"</f>
        <v>#VALUE!</v>
      </c>
      <c r="ER46" t="e">
        <f>Nodes!D324+"'E4!$P~"</f>
        <v>#VALUE!</v>
      </c>
      <c r="ES46" t="e">
        <f>Nodes!E324+"'E4!$Q#"</f>
        <v>#VALUE!</v>
      </c>
      <c r="ET46" t="e">
        <f>Nodes!F324+"'E4!$Q$"</f>
        <v>#VALUE!</v>
      </c>
      <c r="EU46" t="e">
        <f>Nodes!G324+"'E4!$Q%"</f>
        <v>#VALUE!</v>
      </c>
      <c r="EV46" t="e">
        <f>Nodes!H324+"'E4!$Q&amp;"</f>
        <v>#VALUE!</v>
      </c>
      <c r="EW46" t="e">
        <f>Nodes!I324+"'E4!$Q'"</f>
        <v>#VALUE!</v>
      </c>
      <c r="EX46" t="e">
        <f>Nodes!J324+"'E4!$Q("</f>
        <v>#VALUE!</v>
      </c>
      <c r="EY46" t="e">
        <f>Nodes!K324+"'E4!$Q)"</f>
        <v>#VALUE!</v>
      </c>
      <c r="EZ46" t="e">
        <f>Nodes!L324+"'E4!$Q."</f>
        <v>#VALUE!</v>
      </c>
      <c r="FA46" t="e">
        <f>Nodes!M324+"'E4!$Q/"</f>
        <v>#VALUE!</v>
      </c>
      <c r="FB46" t="e">
        <f>Nodes!N324+"'E4!$Q0"</f>
        <v>#VALUE!</v>
      </c>
      <c r="FC46" t="e">
        <f>Nodes!O324+"'E4!$Q1"</f>
        <v>#VALUE!</v>
      </c>
      <c r="FD46" t="e">
        <f>Nodes!P324+"'E4!$Q2"</f>
        <v>#VALUE!</v>
      </c>
      <c r="FE46" t="e">
        <f>Nodes!Q324+"'E4!$Q3"</f>
        <v>#VALUE!</v>
      </c>
      <c r="FF46" t="e">
        <f>Nodes!R324+"'E4!$Q4"</f>
        <v>#VALUE!</v>
      </c>
      <c r="FG46" t="e">
        <f>Nodes!S324+"'E4!$Q5"</f>
        <v>#VALUE!</v>
      </c>
      <c r="FH46" s="548" t="e">
        <f>Nodes!T324+"'E4!$Q6"</f>
        <v>#VALUE!</v>
      </c>
      <c r="FI46" s="548" t="e">
        <f>Nodes!U324+"'E4!$Q7"</f>
        <v>#VALUE!</v>
      </c>
      <c r="FJ46" t="e">
        <f>Nodes!V324+"'E4!$Q8"</f>
        <v>#VALUE!</v>
      </c>
      <c r="FK46" t="e">
        <f>Nodes!W324+"'E4!$Q9"</f>
        <v>#VALUE!</v>
      </c>
      <c r="FL46" t="e">
        <f>Nodes!X324+"'E4!$Q:"</f>
        <v>#VALUE!</v>
      </c>
      <c r="FM46" t="e">
        <f>Nodes!Y324+"'E4!$Q;"</f>
        <v>#VALUE!</v>
      </c>
      <c r="FN46" t="e">
        <f>Nodes!Z324+"'E4!$Q&lt;"</f>
        <v>#VALUE!</v>
      </c>
      <c r="FO46" t="e">
        <f>Nodes!AA324+"'E4!$Q="</f>
        <v>#VALUE!</v>
      </c>
      <c r="FP46" t="e">
        <f>Nodes!AB324+"'E4!$Q&gt;"</f>
        <v>#VALUE!</v>
      </c>
      <c r="FQ46" t="e">
        <f>Nodes!AC324+"'E4!$Q?"</f>
        <v>#VALUE!</v>
      </c>
      <c r="FR46" t="e">
        <f>Nodes!A325+"'E4!$Q@"</f>
        <v>#VALUE!</v>
      </c>
      <c r="FS46" t="e">
        <f>Nodes!B325+"'E4!$QA"</f>
        <v>#VALUE!</v>
      </c>
      <c r="FT46" t="e">
        <f>Nodes!C325+"'E4!$QB"</f>
        <v>#VALUE!</v>
      </c>
      <c r="FU46" t="e">
        <f>Nodes!D325+"'E4!$QC"</f>
        <v>#VALUE!</v>
      </c>
      <c r="FV46" t="e">
        <f>Nodes!E325+"'E4!$QD"</f>
        <v>#VALUE!</v>
      </c>
      <c r="FW46" t="e">
        <f>Nodes!F325+"'E4!$QE"</f>
        <v>#VALUE!</v>
      </c>
      <c r="FX46" t="e">
        <f>Nodes!G325+"'E4!$QF"</f>
        <v>#VALUE!</v>
      </c>
      <c r="FY46" t="e">
        <f>Nodes!H325+"'E4!$QG"</f>
        <v>#VALUE!</v>
      </c>
      <c r="FZ46" t="e">
        <f>Nodes!I325+"'E4!$QH"</f>
        <v>#VALUE!</v>
      </c>
      <c r="GA46" t="e">
        <f>Nodes!J325+"'E4!$QI"</f>
        <v>#VALUE!</v>
      </c>
      <c r="GB46" t="e">
        <f>Nodes!K325+"'E4!$QJ"</f>
        <v>#VALUE!</v>
      </c>
      <c r="GC46" t="e">
        <f>Nodes!L325+"'E4!$QK"</f>
        <v>#VALUE!</v>
      </c>
      <c r="GD46" t="e">
        <f>Nodes!M325+"'E4!$QL"</f>
        <v>#VALUE!</v>
      </c>
      <c r="GE46" t="e">
        <f>Nodes!N325+"'E4!$QM"</f>
        <v>#VALUE!</v>
      </c>
      <c r="GF46" t="e">
        <f>Nodes!O325+"'E4!$QN"</f>
        <v>#VALUE!</v>
      </c>
      <c r="GG46" t="e">
        <f>Nodes!P325+"'E4!$QO"</f>
        <v>#VALUE!</v>
      </c>
      <c r="GH46" t="e">
        <f>Nodes!Q325+"'E4!$QP"</f>
        <v>#VALUE!</v>
      </c>
      <c r="GI46" t="e">
        <f>Nodes!R325+"'E4!$QQ"</f>
        <v>#VALUE!</v>
      </c>
      <c r="GJ46" t="e">
        <f>Nodes!S325+"'E4!$QR"</f>
        <v>#VALUE!</v>
      </c>
      <c r="GK46" s="548" t="e">
        <f>Nodes!T325+"'E4!$QS"</f>
        <v>#VALUE!</v>
      </c>
      <c r="GL46" s="548" t="e">
        <f>Nodes!U325+"'E4!$QT"</f>
        <v>#VALUE!</v>
      </c>
      <c r="GM46" t="e">
        <f>Nodes!V325+"'E4!$QU"</f>
        <v>#VALUE!</v>
      </c>
      <c r="GN46" t="e">
        <f>Nodes!W325+"'E4!$QV"</f>
        <v>#VALUE!</v>
      </c>
      <c r="GO46" t="e">
        <f>Nodes!X325+"'E4!$QW"</f>
        <v>#VALUE!</v>
      </c>
      <c r="GP46" t="e">
        <f>Nodes!Y325+"'E4!$QX"</f>
        <v>#VALUE!</v>
      </c>
      <c r="GQ46" t="e">
        <f>Nodes!Z325+"'E4!$QY"</f>
        <v>#VALUE!</v>
      </c>
      <c r="GR46" t="e">
        <f>Nodes!AA325+"'E4!$QZ"</f>
        <v>#VALUE!</v>
      </c>
      <c r="GS46" t="e">
        <f>Nodes!AB325+"'E4!$Q["</f>
        <v>#VALUE!</v>
      </c>
      <c r="GT46" t="e">
        <f>Nodes!AC325+"'E4!$Q\"</f>
        <v>#VALUE!</v>
      </c>
      <c r="GU46" t="e">
        <f>Nodes!A326+"'E4!$Q]"</f>
        <v>#VALUE!</v>
      </c>
      <c r="GV46" t="e">
        <f>Nodes!B326+"'E4!$Q^"</f>
        <v>#VALUE!</v>
      </c>
      <c r="GW46" t="e">
        <f>Nodes!C326+"'E4!$Q_"</f>
        <v>#VALUE!</v>
      </c>
      <c r="GX46" t="e">
        <f>Nodes!D326+"'E4!$Q`"</f>
        <v>#VALUE!</v>
      </c>
      <c r="GY46" t="e">
        <f>Nodes!E326+"'E4!$Qa"</f>
        <v>#VALUE!</v>
      </c>
      <c r="GZ46" t="e">
        <f>Nodes!F326+"'E4!$Qb"</f>
        <v>#VALUE!</v>
      </c>
      <c r="HA46" t="e">
        <f>Nodes!G326+"'E4!$Qc"</f>
        <v>#VALUE!</v>
      </c>
      <c r="HB46" t="e">
        <f>Nodes!H326+"'E4!$Qd"</f>
        <v>#VALUE!</v>
      </c>
      <c r="HC46" t="e">
        <f>Nodes!I326+"'E4!$Qe"</f>
        <v>#VALUE!</v>
      </c>
      <c r="HD46" t="e">
        <f>Nodes!J326+"'E4!$Qf"</f>
        <v>#VALUE!</v>
      </c>
      <c r="HE46" t="e">
        <f>Nodes!K326+"'E4!$Qg"</f>
        <v>#VALUE!</v>
      </c>
      <c r="HF46" t="e">
        <f>Nodes!L326+"'E4!$Qh"</f>
        <v>#VALUE!</v>
      </c>
      <c r="HG46" t="e">
        <f>Nodes!M326+"'E4!$Qi"</f>
        <v>#VALUE!</v>
      </c>
      <c r="HH46" t="e">
        <f>Nodes!N326+"'E4!$Qj"</f>
        <v>#VALUE!</v>
      </c>
      <c r="HI46" t="e">
        <f>Nodes!O326+"'E4!$Qk"</f>
        <v>#VALUE!</v>
      </c>
      <c r="HJ46" t="e">
        <f>Nodes!P326+"'E4!$Ql"</f>
        <v>#VALUE!</v>
      </c>
      <c r="HK46" t="e">
        <f>Nodes!Q326+"'E4!$Qm"</f>
        <v>#VALUE!</v>
      </c>
      <c r="HL46" t="e">
        <f>Nodes!R326+"'E4!$Qn"</f>
        <v>#VALUE!</v>
      </c>
      <c r="HM46" t="e">
        <f>Nodes!S326+"'E4!$Qo"</f>
        <v>#VALUE!</v>
      </c>
      <c r="HN46" s="548" t="e">
        <f>Nodes!T326+"'E4!$Qp"</f>
        <v>#VALUE!</v>
      </c>
      <c r="HO46" s="548" t="e">
        <f>Nodes!U326+"'E4!$Qq"</f>
        <v>#VALUE!</v>
      </c>
      <c r="HP46" t="e">
        <f>Nodes!V326+"'E4!$Qr"</f>
        <v>#VALUE!</v>
      </c>
      <c r="HQ46" t="e">
        <f>Nodes!W326+"'E4!$Qs"</f>
        <v>#VALUE!</v>
      </c>
      <c r="HR46" t="e">
        <f>Nodes!X326+"'E4!$Qt"</f>
        <v>#VALUE!</v>
      </c>
      <c r="HS46" t="e">
        <f>Nodes!Y326+"'E4!$Qu"</f>
        <v>#VALUE!</v>
      </c>
      <c r="HT46" t="e">
        <f>Nodes!Z326+"'E4!$Qv"</f>
        <v>#VALUE!</v>
      </c>
      <c r="HU46" t="e">
        <f>Nodes!AA326+"'E4!$Qw"</f>
        <v>#VALUE!</v>
      </c>
      <c r="HV46" t="e">
        <f>Nodes!AB326+"'E4!$Qx"</f>
        <v>#VALUE!</v>
      </c>
      <c r="HW46" t="e">
        <f>Nodes!AC326+"'E4!$Qy"</f>
        <v>#VALUE!</v>
      </c>
      <c r="HX46" t="e">
        <f>Nodes!A327+"'E4!$Qz"</f>
        <v>#VALUE!</v>
      </c>
      <c r="HY46" t="e">
        <f>Nodes!B327+"'E4!$Q{"</f>
        <v>#VALUE!</v>
      </c>
      <c r="HZ46" t="e">
        <f>Nodes!C327+"'E4!$Q|"</f>
        <v>#VALUE!</v>
      </c>
      <c r="IA46" t="e">
        <f>Nodes!D327+"'E4!$Q}"</f>
        <v>#VALUE!</v>
      </c>
      <c r="IB46" t="e">
        <f>Nodes!E327+"'E4!$Q~"</f>
        <v>#VALUE!</v>
      </c>
      <c r="IC46" t="e">
        <f>Nodes!F327+"'E4!$R#"</f>
        <v>#VALUE!</v>
      </c>
      <c r="ID46" t="e">
        <f>Nodes!G327+"'E4!$R$"</f>
        <v>#VALUE!</v>
      </c>
      <c r="IE46" t="e">
        <f>Nodes!H327+"'E4!$R%"</f>
        <v>#VALUE!</v>
      </c>
      <c r="IF46" t="e">
        <f>Nodes!I327+"'E4!$R&amp;"</f>
        <v>#VALUE!</v>
      </c>
      <c r="IG46" t="e">
        <f>Nodes!J327+"'E4!$R'"</f>
        <v>#VALUE!</v>
      </c>
      <c r="IH46" t="e">
        <f>Nodes!K327+"'E4!$R("</f>
        <v>#VALUE!</v>
      </c>
      <c r="II46" t="e">
        <f>Nodes!L327+"'E4!$R)"</f>
        <v>#VALUE!</v>
      </c>
      <c r="IJ46" t="e">
        <f>Nodes!M327+"'E4!$R."</f>
        <v>#VALUE!</v>
      </c>
      <c r="IK46" t="e">
        <f>Nodes!N327+"'E4!$R/"</f>
        <v>#VALUE!</v>
      </c>
      <c r="IL46" t="e">
        <f>Nodes!O327+"'E4!$R0"</f>
        <v>#VALUE!</v>
      </c>
      <c r="IM46" t="e">
        <f>Nodes!P327+"'E4!$R1"</f>
        <v>#VALUE!</v>
      </c>
      <c r="IN46" t="e">
        <f>Nodes!Q327+"'E4!$R2"</f>
        <v>#VALUE!</v>
      </c>
      <c r="IO46" t="e">
        <f>Nodes!R327+"'E4!$R3"</f>
        <v>#VALUE!</v>
      </c>
      <c r="IP46" t="e">
        <f>Nodes!S327+"'E4!$R4"</f>
        <v>#VALUE!</v>
      </c>
      <c r="IQ46" s="548" t="e">
        <f>Nodes!T327+"'E4!$R5"</f>
        <v>#VALUE!</v>
      </c>
      <c r="IR46" s="548" t="e">
        <f>Nodes!U327+"'E4!$R6"</f>
        <v>#VALUE!</v>
      </c>
      <c r="IS46" t="e">
        <f>Nodes!V327+"'E4!$R7"</f>
        <v>#VALUE!</v>
      </c>
      <c r="IT46" t="e">
        <f>Nodes!W327+"'E4!$R8"</f>
        <v>#VALUE!</v>
      </c>
      <c r="IU46" t="e">
        <f>Nodes!X327+"'E4!$R9"</f>
        <v>#VALUE!</v>
      </c>
      <c r="IV46" t="e">
        <f>Nodes!Y327+"'E4!$R:"</f>
        <v>#VALUE!</v>
      </c>
    </row>
    <row r="47" spans="6:256">
      <c r="F47" t="e">
        <f>Nodes!Z327+"'E4!$R;"</f>
        <v>#VALUE!</v>
      </c>
      <c r="G47" t="e">
        <f>Nodes!AA327+"'E4!$R&lt;"</f>
        <v>#VALUE!</v>
      </c>
      <c r="H47" t="e">
        <f>Nodes!AB327+"'E4!$R="</f>
        <v>#VALUE!</v>
      </c>
      <c r="I47" t="e">
        <f>Nodes!AC327+"'E4!$R&gt;"</f>
        <v>#VALUE!</v>
      </c>
      <c r="J47" t="e">
        <f>Nodes!A328+"'E4!$R?"</f>
        <v>#VALUE!</v>
      </c>
      <c r="K47" t="e">
        <f>Nodes!B328+"'E4!$R@"</f>
        <v>#VALUE!</v>
      </c>
      <c r="L47" t="e">
        <f>Nodes!C328+"'E4!$RA"</f>
        <v>#VALUE!</v>
      </c>
      <c r="M47" t="e">
        <f>Nodes!D328+"'E4!$RB"</f>
        <v>#VALUE!</v>
      </c>
      <c r="N47" t="e">
        <f>Nodes!E328+"'E4!$RC"</f>
        <v>#VALUE!</v>
      </c>
      <c r="O47" t="e">
        <f>Nodes!F328+"'E4!$RD"</f>
        <v>#VALUE!</v>
      </c>
      <c r="P47" t="e">
        <f>Nodes!G328+"'E4!$RE"</f>
        <v>#VALUE!</v>
      </c>
      <c r="Q47" t="e">
        <f>Nodes!H328+"'E4!$RF"</f>
        <v>#VALUE!</v>
      </c>
      <c r="R47" t="e">
        <f>Nodes!I328+"'E4!$RG"</f>
        <v>#VALUE!</v>
      </c>
      <c r="S47" t="e">
        <f>Nodes!J328+"'E4!$RH"</f>
        <v>#VALUE!</v>
      </c>
      <c r="T47" t="e">
        <f>Nodes!K328+"'E4!$RI"</f>
        <v>#VALUE!</v>
      </c>
      <c r="U47" t="e">
        <f>Nodes!L328+"'E4!$RJ"</f>
        <v>#VALUE!</v>
      </c>
      <c r="V47" t="e">
        <f>Nodes!M328+"'E4!$RK"</f>
        <v>#VALUE!</v>
      </c>
      <c r="W47" t="e">
        <f>Nodes!N328+"'E4!$RL"</f>
        <v>#VALUE!</v>
      </c>
      <c r="X47" t="e">
        <f>Nodes!O328+"'E4!$RM"</f>
        <v>#VALUE!</v>
      </c>
      <c r="Y47" t="e">
        <f>Nodes!P328+"'E4!$RN"</f>
        <v>#VALUE!</v>
      </c>
      <c r="Z47" t="e">
        <f>Nodes!Q328+"'E4!$RO"</f>
        <v>#VALUE!</v>
      </c>
      <c r="AA47" t="e">
        <f>Nodes!R328+"'E4!$RP"</f>
        <v>#VALUE!</v>
      </c>
      <c r="AB47" t="e">
        <f>Nodes!S328+"'E4!$RQ"</f>
        <v>#VALUE!</v>
      </c>
      <c r="AC47" s="548" t="e">
        <f>Nodes!T328+"'E4!$RR"</f>
        <v>#VALUE!</v>
      </c>
      <c r="AD47" s="548" t="e">
        <f>Nodes!U328+"'E4!$RS"</f>
        <v>#VALUE!</v>
      </c>
      <c r="AE47" t="e">
        <f>Nodes!V328+"'E4!$RT"</f>
        <v>#VALUE!</v>
      </c>
      <c r="AF47" t="e">
        <f>Nodes!W328+"'E4!$RU"</f>
        <v>#VALUE!</v>
      </c>
      <c r="AG47" t="e">
        <f>Nodes!X328+"'E4!$RV"</f>
        <v>#VALUE!</v>
      </c>
      <c r="AH47" t="e">
        <f>Nodes!Y328+"'E4!$RW"</f>
        <v>#VALUE!</v>
      </c>
      <c r="AI47" t="e">
        <f>Nodes!Z328+"'E4!$RX"</f>
        <v>#VALUE!</v>
      </c>
      <c r="AJ47" t="e">
        <f>Nodes!AA328+"'E4!$RY"</f>
        <v>#VALUE!</v>
      </c>
      <c r="AK47" t="e">
        <f>Nodes!AB328+"'E4!$RZ"</f>
        <v>#VALUE!</v>
      </c>
      <c r="AL47" t="e">
        <f>Nodes!AC328+"'E4!$R["</f>
        <v>#VALUE!</v>
      </c>
      <c r="AM47" t="e">
        <f>Nodes!A329+"'E4!$R\"</f>
        <v>#VALUE!</v>
      </c>
      <c r="AN47" t="e">
        <f>Nodes!B329+"'E4!$R]"</f>
        <v>#VALUE!</v>
      </c>
      <c r="AO47" t="e">
        <f>Nodes!C329+"'E4!$R^"</f>
        <v>#VALUE!</v>
      </c>
      <c r="AP47" t="e">
        <f>Nodes!D329+"'E4!$R_"</f>
        <v>#VALUE!</v>
      </c>
      <c r="AQ47" t="e">
        <f>Nodes!E329+"'E4!$R`"</f>
        <v>#VALUE!</v>
      </c>
      <c r="AR47" t="e">
        <f>Nodes!F329+"'E4!$Ra"</f>
        <v>#VALUE!</v>
      </c>
      <c r="AS47" t="e">
        <f>Nodes!G329+"'E4!$Rb"</f>
        <v>#VALUE!</v>
      </c>
      <c r="AT47" t="e">
        <f>Nodes!H329+"'E4!$Rc"</f>
        <v>#VALUE!</v>
      </c>
      <c r="AU47" t="e">
        <f>Nodes!I329+"'E4!$Rd"</f>
        <v>#VALUE!</v>
      </c>
      <c r="AV47" t="e">
        <f>Nodes!J329+"'E4!$Re"</f>
        <v>#VALUE!</v>
      </c>
      <c r="AW47" t="e">
        <f>Nodes!K329+"'E4!$Rf"</f>
        <v>#VALUE!</v>
      </c>
      <c r="AX47" t="e">
        <f>Nodes!L329+"'E4!$Rg"</f>
        <v>#VALUE!</v>
      </c>
      <c r="AY47" t="e">
        <f>Nodes!M329+"'E4!$Rh"</f>
        <v>#VALUE!</v>
      </c>
      <c r="AZ47" t="e">
        <f>Nodes!N329+"'E4!$Ri"</f>
        <v>#VALUE!</v>
      </c>
      <c r="BA47" t="e">
        <f>Nodes!O329+"'E4!$Rj"</f>
        <v>#VALUE!</v>
      </c>
      <c r="BB47" t="e">
        <f>Nodes!P329+"'E4!$Rk"</f>
        <v>#VALUE!</v>
      </c>
      <c r="BC47" t="e">
        <f>Nodes!Q329+"'E4!$Rl"</f>
        <v>#VALUE!</v>
      </c>
      <c r="BD47" t="e">
        <f>Nodes!R329+"'E4!$Rm"</f>
        <v>#VALUE!</v>
      </c>
      <c r="BE47" t="e">
        <f>Nodes!S329+"'E4!$Rn"</f>
        <v>#VALUE!</v>
      </c>
      <c r="BF47" s="548" t="e">
        <f>Nodes!T329+"'E4!$Ro"</f>
        <v>#VALUE!</v>
      </c>
      <c r="BG47" s="548" t="e">
        <f>Nodes!U329+"'E4!$Rp"</f>
        <v>#VALUE!</v>
      </c>
      <c r="BH47" t="e">
        <f>Nodes!V329+"'E4!$Rq"</f>
        <v>#VALUE!</v>
      </c>
      <c r="BI47" t="e">
        <f>Nodes!W329+"'E4!$Rr"</f>
        <v>#VALUE!</v>
      </c>
      <c r="BJ47" t="e">
        <f>Nodes!X329+"'E4!$Rs"</f>
        <v>#VALUE!</v>
      </c>
      <c r="BK47" t="e">
        <f>Nodes!Y329+"'E4!$Rt"</f>
        <v>#VALUE!</v>
      </c>
      <c r="BL47" t="e">
        <f>Nodes!Z329+"'E4!$Ru"</f>
        <v>#VALUE!</v>
      </c>
      <c r="BM47" t="e">
        <f>Nodes!AA329+"'E4!$Rv"</f>
        <v>#VALUE!</v>
      </c>
      <c r="BN47" t="e">
        <f>Nodes!AB329+"'E4!$Rw"</f>
        <v>#VALUE!</v>
      </c>
      <c r="BO47" t="e">
        <f>Nodes!AC329+"'E4!$Rx"</f>
        <v>#VALUE!</v>
      </c>
      <c r="BP47" t="e">
        <f>Nodes!A330+"'E4!$Ry"</f>
        <v>#VALUE!</v>
      </c>
      <c r="BQ47" t="e">
        <f>Nodes!B330+"'E4!$Rz"</f>
        <v>#VALUE!</v>
      </c>
      <c r="BR47" t="e">
        <f>Nodes!C330+"'E4!$R{"</f>
        <v>#VALUE!</v>
      </c>
      <c r="BS47" t="e">
        <f>Nodes!D330+"'E4!$R|"</f>
        <v>#VALUE!</v>
      </c>
      <c r="BT47" t="e">
        <f>Nodes!E330+"'E4!$R}"</f>
        <v>#VALUE!</v>
      </c>
      <c r="BU47" t="e">
        <f>Nodes!F330+"'E4!$R~"</f>
        <v>#VALUE!</v>
      </c>
      <c r="BV47" t="e">
        <f>Nodes!G330+"'E4!$S#"</f>
        <v>#VALUE!</v>
      </c>
      <c r="BW47" t="e">
        <f>Nodes!H330+"'E4!$S$"</f>
        <v>#VALUE!</v>
      </c>
      <c r="BX47" t="e">
        <f>Nodes!I330+"'E4!$S%"</f>
        <v>#VALUE!</v>
      </c>
      <c r="BY47" t="e">
        <f>Nodes!J330+"'E4!$S&amp;"</f>
        <v>#VALUE!</v>
      </c>
      <c r="BZ47" t="e">
        <f>Nodes!K330+"'E4!$S'"</f>
        <v>#VALUE!</v>
      </c>
      <c r="CA47" t="e">
        <f>Nodes!L330+"'E4!$S("</f>
        <v>#VALUE!</v>
      </c>
      <c r="CB47" t="e">
        <f>Nodes!M330+"'E4!$S)"</f>
        <v>#VALUE!</v>
      </c>
      <c r="CC47" t="e">
        <f>Nodes!N330+"'E4!$S."</f>
        <v>#VALUE!</v>
      </c>
      <c r="CD47" t="e">
        <f>Nodes!O330+"'E4!$S/"</f>
        <v>#VALUE!</v>
      </c>
      <c r="CE47" t="e">
        <f>Nodes!P330+"'E4!$S0"</f>
        <v>#VALUE!</v>
      </c>
      <c r="CF47" t="e">
        <f>Nodes!Q330+"'E4!$S1"</f>
        <v>#VALUE!</v>
      </c>
      <c r="CG47" t="e">
        <f>Nodes!R330+"'E4!$S2"</f>
        <v>#VALUE!</v>
      </c>
      <c r="CH47" t="e">
        <f>Nodes!S330+"'E4!$S3"</f>
        <v>#VALUE!</v>
      </c>
      <c r="CI47" s="548" t="e">
        <f>Nodes!T330+"'E4!$S4"</f>
        <v>#VALUE!</v>
      </c>
      <c r="CJ47" s="548" t="e">
        <f>Nodes!U330+"'E4!$S5"</f>
        <v>#VALUE!</v>
      </c>
      <c r="CK47" t="e">
        <f>Nodes!V330+"'E4!$S6"</f>
        <v>#VALUE!</v>
      </c>
      <c r="CL47" t="e">
        <f>Nodes!W330+"'E4!$S7"</f>
        <v>#VALUE!</v>
      </c>
      <c r="CM47" t="e">
        <f>Nodes!X330+"'E4!$S8"</f>
        <v>#VALUE!</v>
      </c>
      <c r="CN47" t="e">
        <f>Nodes!Y330+"'E4!$S9"</f>
        <v>#VALUE!</v>
      </c>
      <c r="CO47" t="e">
        <f>Nodes!Z330+"'E4!$S:"</f>
        <v>#VALUE!</v>
      </c>
      <c r="CP47" t="e">
        <f>Nodes!AA330+"'E4!$S;"</f>
        <v>#VALUE!</v>
      </c>
      <c r="CQ47" t="e">
        <f>Nodes!AB330+"'E4!$S&lt;"</f>
        <v>#VALUE!</v>
      </c>
      <c r="CR47" t="e">
        <f>Nodes!AC330+"'E4!$S="</f>
        <v>#VALUE!</v>
      </c>
      <c r="CS47" t="e">
        <f>Nodes!A331+"'E4!$S&gt;"</f>
        <v>#VALUE!</v>
      </c>
      <c r="CT47" t="e">
        <f>Nodes!B331+"'E4!$S?"</f>
        <v>#VALUE!</v>
      </c>
      <c r="CU47" t="e">
        <f>Nodes!C331+"'E4!$S@"</f>
        <v>#VALUE!</v>
      </c>
      <c r="CV47" t="e">
        <f>Nodes!D331+"'E4!$SA"</f>
        <v>#VALUE!</v>
      </c>
      <c r="CW47" t="e">
        <f>Nodes!E331+"'E4!$SB"</f>
        <v>#VALUE!</v>
      </c>
      <c r="CX47" t="e">
        <f>Nodes!F331+"'E4!$SC"</f>
        <v>#VALUE!</v>
      </c>
      <c r="CY47" t="e">
        <f>Nodes!G331+"'E4!$SD"</f>
        <v>#VALUE!</v>
      </c>
      <c r="CZ47" t="e">
        <f>Nodes!H331+"'E4!$SE"</f>
        <v>#VALUE!</v>
      </c>
      <c r="DA47" t="e">
        <f>Nodes!I331+"'E4!$SF"</f>
        <v>#VALUE!</v>
      </c>
      <c r="DB47" t="e">
        <f>Nodes!J331+"'E4!$SG"</f>
        <v>#VALUE!</v>
      </c>
      <c r="DC47" t="e">
        <f>Nodes!K331+"'E4!$SH"</f>
        <v>#VALUE!</v>
      </c>
      <c r="DD47" t="e">
        <f>Nodes!L331+"'E4!$SI"</f>
        <v>#VALUE!</v>
      </c>
      <c r="DE47" t="e">
        <f>Nodes!M331+"'E4!$SJ"</f>
        <v>#VALUE!</v>
      </c>
      <c r="DF47" t="e">
        <f>Nodes!N331+"'E4!$SK"</f>
        <v>#VALUE!</v>
      </c>
      <c r="DG47" t="e">
        <f>Nodes!O331+"'E4!$SL"</f>
        <v>#VALUE!</v>
      </c>
      <c r="DH47" t="e">
        <f>Nodes!P331+"'E4!$SM"</f>
        <v>#VALUE!</v>
      </c>
      <c r="DI47" t="e">
        <f>Nodes!Q331+"'E4!$SN"</f>
        <v>#VALUE!</v>
      </c>
      <c r="DJ47" t="e">
        <f>Nodes!R331+"'E4!$SO"</f>
        <v>#VALUE!</v>
      </c>
      <c r="DK47" t="e">
        <f>Nodes!S331+"'E4!$SP"</f>
        <v>#VALUE!</v>
      </c>
      <c r="DL47" s="548" t="e">
        <f>Nodes!T331+"'E4!$SQ"</f>
        <v>#VALUE!</v>
      </c>
      <c r="DM47" s="548" t="e">
        <f>Nodes!U331+"'E4!$SR"</f>
        <v>#VALUE!</v>
      </c>
      <c r="DN47" t="e">
        <f>Nodes!V331+"'E4!$SS"</f>
        <v>#VALUE!</v>
      </c>
      <c r="DO47" t="e">
        <f>Nodes!W331+"'E4!$ST"</f>
        <v>#VALUE!</v>
      </c>
      <c r="DP47" t="e">
        <f>Nodes!X331+"'E4!$SU"</f>
        <v>#VALUE!</v>
      </c>
      <c r="DQ47" t="e">
        <f>Nodes!Y331+"'E4!$SV"</f>
        <v>#VALUE!</v>
      </c>
      <c r="DR47" t="e">
        <f>Nodes!Z331+"'E4!$SW"</f>
        <v>#VALUE!</v>
      </c>
      <c r="DS47" t="e">
        <f>Nodes!AA331+"'E4!$SX"</f>
        <v>#VALUE!</v>
      </c>
      <c r="DT47" t="e">
        <f>Nodes!AB331+"'E4!$SY"</f>
        <v>#VALUE!</v>
      </c>
      <c r="DU47" t="e">
        <f>Nodes!AC331+"'E4!$SZ"</f>
        <v>#VALUE!</v>
      </c>
      <c r="DV47" t="e">
        <f>Nodes!A332+"'E4!$S["</f>
        <v>#VALUE!</v>
      </c>
      <c r="DW47" t="e">
        <f>Nodes!B332+"'E4!$S\"</f>
        <v>#VALUE!</v>
      </c>
      <c r="DX47" t="e">
        <f>Nodes!C332+"'E4!$S]"</f>
        <v>#VALUE!</v>
      </c>
      <c r="DY47" t="e">
        <f>Nodes!D332+"'E4!$S^"</f>
        <v>#VALUE!</v>
      </c>
      <c r="DZ47" t="e">
        <f>Nodes!E332+"'E4!$S_"</f>
        <v>#VALUE!</v>
      </c>
      <c r="EA47" t="e">
        <f>Nodes!F332+"'E4!$S`"</f>
        <v>#VALUE!</v>
      </c>
      <c r="EB47" t="e">
        <f>Nodes!G332+"'E4!$Sa"</f>
        <v>#VALUE!</v>
      </c>
      <c r="EC47" t="e">
        <f>Nodes!H332+"'E4!$Sb"</f>
        <v>#VALUE!</v>
      </c>
      <c r="ED47" t="e">
        <f>Nodes!I332+"'E4!$Sc"</f>
        <v>#VALUE!</v>
      </c>
      <c r="EE47" t="e">
        <f>Nodes!J332+"'E4!$Sd"</f>
        <v>#VALUE!</v>
      </c>
      <c r="EF47" t="e">
        <f>Nodes!K332+"'E4!$Se"</f>
        <v>#VALUE!</v>
      </c>
      <c r="EG47" t="e">
        <f>Nodes!L332+"'E4!$Sf"</f>
        <v>#VALUE!</v>
      </c>
      <c r="EH47" t="e">
        <f>Nodes!M332+"'E4!$Sg"</f>
        <v>#VALUE!</v>
      </c>
      <c r="EI47" t="e">
        <f>Nodes!N332+"'E4!$Sh"</f>
        <v>#VALUE!</v>
      </c>
      <c r="EJ47" t="e">
        <f>Nodes!O332+"'E4!$Si"</f>
        <v>#VALUE!</v>
      </c>
      <c r="EK47" t="e">
        <f>Nodes!P332+"'E4!$Sj"</f>
        <v>#VALUE!</v>
      </c>
      <c r="EL47" t="e">
        <f>Nodes!Q332+"'E4!$Sk"</f>
        <v>#VALUE!</v>
      </c>
      <c r="EM47" t="e">
        <f>Nodes!R332+"'E4!$Sl"</f>
        <v>#VALUE!</v>
      </c>
      <c r="EN47" t="e">
        <f>Nodes!S332+"'E4!$Sm"</f>
        <v>#VALUE!</v>
      </c>
      <c r="EO47" s="548" t="e">
        <f>Nodes!T332+"'E4!$Sn"</f>
        <v>#VALUE!</v>
      </c>
      <c r="EP47" s="548" t="e">
        <f>Nodes!U332+"'E4!$So"</f>
        <v>#VALUE!</v>
      </c>
      <c r="EQ47" t="e">
        <f>Nodes!V332+"'E4!$Sp"</f>
        <v>#VALUE!</v>
      </c>
      <c r="ER47" t="e">
        <f>Nodes!W332+"'E4!$Sq"</f>
        <v>#VALUE!</v>
      </c>
      <c r="ES47" t="e">
        <f>Nodes!X332+"'E4!$Sr"</f>
        <v>#VALUE!</v>
      </c>
      <c r="ET47" t="e">
        <f>Nodes!Y332+"'E4!$Ss"</f>
        <v>#VALUE!</v>
      </c>
      <c r="EU47" t="e">
        <f>Nodes!Z332+"'E4!$St"</f>
        <v>#VALUE!</v>
      </c>
      <c r="EV47" t="e">
        <f>Nodes!AA332+"'E4!$Su"</f>
        <v>#VALUE!</v>
      </c>
      <c r="EW47" t="e">
        <f>Nodes!AB332+"'E4!$Sv"</f>
        <v>#VALUE!</v>
      </c>
      <c r="EX47" t="e">
        <f>Nodes!AC332+"'E4!$Sw"</f>
        <v>#VALUE!</v>
      </c>
      <c r="EY47" t="e">
        <f>Nodes!A333+"'E4!$Sx"</f>
        <v>#VALUE!</v>
      </c>
      <c r="EZ47" t="e">
        <f>Nodes!B333+"'E4!$Sy"</f>
        <v>#VALUE!</v>
      </c>
      <c r="FA47" t="e">
        <f>Nodes!C333+"'E4!$Sz"</f>
        <v>#VALUE!</v>
      </c>
      <c r="FB47" t="e">
        <f>Nodes!D333+"'E4!$S{"</f>
        <v>#VALUE!</v>
      </c>
      <c r="FC47" t="e">
        <f>Nodes!E333+"'E4!$S|"</f>
        <v>#VALUE!</v>
      </c>
      <c r="FD47" t="e">
        <f>Nodes!F333+"'E4!$S}"</f>
        <v>#VALUE!</v>
      </c>
      <c r="FE47" t="e">
        <f>Nodes!G333+"'E4!$S~"</f>
        <v>#VALUE!</v>
      </c>
      <c r="FF47" t="e">
        <f>Nodes!H333+"'E4!$T#"</f>
        <v>#VALUE!</v>
      </c>
      <c r="FG47" t="e">
        <f>Nodes!I333+"'E4!$T$"</f>
        <v>#VALUE!</v>
      </c>
      <c r="FH47" t="e">
        <f>Nodes!J333+"'E4!$T%"</f>
        <v>#VALUE!</v>
      </c>
      <c r="FI47" t="e">
        <f>Nodes!K333+"'E4!$T&amp;"</f>
        <v>#VALUE!</v>
      </c>
      <c r="FJ47" t="e">
        <f>Nodes!L333+"'E4!$T'"</f>
        <v>#VALUE!</v>
      </c>
      <c r="FK47" t="e">
        <f>Nodes!M333+"'E4!$T("</f>
        <v>#VALUE!</v>
      </c>
      <c r="FL47" t="e">
        <f>Nodes!N333+"'E4!$T)"</f>
        <v>#VALUE!</v>
      </c>
      <c r="FM47" t="e">
        <f>Nodes!O333+"'E4!$T."</f>
        <v>#VALUE!</v>
      </c>
      <c r="FN47" t="e">
        <f>Nodes!P333+"'E4!$T/"</f>
        <v>#VALUE!</v>
      </c>
      <c r="FO47" t="e">
        <f>Nodes!Q333+"'E4!$T0"</f>
        <v>#VALUE!</v>
      </c>
      <c r="FP47" t="e">
        <f>Nodes!R333+"'E4!$T1"</f>
        <v>#VALUE!</v>
      </c>
      <c r="FQ47" t="e">
        <f>Nodes!S333+"'E4!$T2"</f>
        <v>#VALUE!</v>
      </c>
      <c r="FR47" s="548" t="e">
        <f>Nodes!T333+"'E4!$T3"</f>
        <v>#VALUE!</v>
      </c>
      <c r="FS47" s="548" t="e">
        <f>Nodes!U333+"'E4!$T4"</f>
        <v>#VALUE!</v>
      </c>
      <c r="FT47" t="e">
        <f>Nodes!V333+"'E4!$T5"</f>
        <v>#VALUE!</v>
      </c>
      <c r="FU47" t="e">
        <f>Nodes!W333+"'E4!$T6"</f>
        <v>#VALUE!</v>
      </c>
      <c r="FV47" t="e">
        <f>Nodes!X333+"'E4!$T7"</f>
        <v>#VALUE!</v>
      </c>
      <c r="FW47" t="e">
        <f>Nodes!Y333+"'E4!$T8"</f>
        <v>#VALUE!</v>
      </c>
      <c r="FX47" t="e">
        <f>Nodes!Z333+"'E4!$T9"</f>
        <v>#VALUE!</v>
      </c>
      <c r="FY47" t="e">
        <f>Nodes!AA333+"'E4!$T:"</f>
        <v>#VALUE!</v>
      </c>
      <c r="FZ47" t="e">
        <f>Nodes!AB333+"'E4!$T;"</f>
        <v>#VALUE!</v>
      </c>
      <c r="GA47" t="e">
        <f>Nodes!AC333+"'E4!$T&lt;"</f>
        <v>#VALUE!</v>
      </c>
      <c r="GB47" t="e">
        <f>Nodes!A334+"'E4!$T="</f>
        <v>#VALUE!</v>
      </c>
      <c r="GC47" t="e">
        <f>Nodes!B334+"'E4!$T&gt;"</f>
        <v>#VALUE!</v>
      </c>
      <c r="GD47" t="e">
        <f>Nodes!C334+"'E4!$T?"</f>
        <v>#VALUE!</v>
      </c>
      <c r="GE47" t="e">
        <f>Nodes!D334+"'E4!$T@"</f>
        <v>#VALUE!</v>
      </c>
      <c r="GF47" t="e">
        <f>Nodes!E334+"'E4!$TA"</f>
        <v>#VALUE!</v>
      </c>
      <c r="GG47" t="e">
        <f>Nodes!F334+"'E4!$TB"</f>
        <v>#VALUE!</v>
      </c>
      <c r="GH47" t="e">
        <f>Nodes!G334+"'E4!$TC"</f>
        <v>#VALUE!</v>
      </c>
      <c r="GI47" t="e">
        <f>Nodes!H334+"'E4!$TD"</f>
        <v>#VALUE!</v>
      </c>
      <c r="GJ47" t="e">
        <f>Nodes!I334+"'E4!$TE"</f>
        <v>#VALUE!</v>
      </c>
      <c r="GK47" t="e">
        <f>Nodes!J334+"'E4!$TF"</f>
        <v>#VALUE!</v>
      </c>
      <c r="GL47" t="e">
        <f>Nodes!K334+"'E4!$TG"</f>
        <v>#VALUE!</v>
      </c>
      <c r="GM47" t="e">
        <f>Nodes!L334+"'E4!$TH"</f>
        <v>#VALUE!</v>
      </c>
      <c r="GN47" t="e">
        <f>Nodes!M334+"'E4!$TI"</f>
        <v>#VALUE!</v>
      </c>
      <c r="GO47" t="e">
        <f>Nodes!N334+"'E4!$TJ"</f>
        <v>#VALUE!</v>
      </c>
      <c r="GP47" t="e">
        <f>Nodes!O334+"'E4!$TK"</f>
        <v>#VALUE!</v>
      </c>
      <c r="GQ47" t="e">
        <f>Nodes!P334+"'E4!$TL"</f>
        <v>#VALUE!</v>
      </c>
      <c r="GR47" t="e">
        <f>Nodes!Q334+"'E4!$TM"</f>
        <v>#VALUE!</v>
      </c>
      <c r="GS47" t="e">
        <f>Nodes!R334+"'E4!$TN"</f>
        <v>#VALUE!</v>
      </c>
      <c r="GT47" t="e">
        <f>Nodes!S334+"'E4!$TO"</f>
        <v>#VALUE!</v>
      </c>
      <c r="GU47" s="548" t="e">
        <f>Nodes!T334+"'E4!$TP"</f>
        <v>#VALUE!</v>
      </c>
      <c r="GV47" s="548" t="e">
        <f>Nodes!U334+"'E4!$TQ"</f>
        <v>#VALUE!</v>
      </c>
      <c r="GW47" t="e">
        <f>Nodes!V334+"'E4!$TR"</f>
        <v>#VALUE!</v>
      </c>
      <c r="GX47" t="e">
        <f>Nodes!W334+"'E4!$TS"</f>
        <v>#VALUE!</v>
      </c>
      <c r="GY47" t="e">
        <f>Nodes!X334+"'E4!$TT"</f>
        <v>#VALUE!</v>
      </c>
      <c r="GZ47" t="e">
        <f>Nodes!Y334+"'E4!$TU"</f>
        <v>#VALUE!</v>
      </c>
      <c r="HA47" t="e">
        <f>Nodes!Z334+"'E4!$TV"</f>
        <v>#VALUE!</v>
      </c>
      <c r="HB47" t="e">
        <f>Nodes!AA334+"'E4!$TW"</f>
        <v>#VALUE!</v>
      </c>
      <c r="HC47" t="e">
        <f>Nodes!AB334+"'E4!$TX"</f>
        <v>#VALUE!</v>
      </c>
      <c r="HD47" t="e">
        <f>Nodes!AC334+"'E4!$TY"</f>
        <v>#VALUE!</v>
      </c>
      <c r="HE47" t="e">
        <f>Nodes!A335+"'E4!$TZ"</f>
        <v>#VALUE!</v>
      </c>
      <c r="HF47" t="e">
        <f>Nodes!B335+"'E4!$T["</f>
        <v>#VALUE!</v>
      </c>
      <c r="HG47" t="e">
        <f>Nodes!C335+"'E4!$T\"</f>
        <v>#VALUE!</v>
      </c>
      <c r="HH47" t="e">
        <f>Nodes!D335+"'E4!$T]"</f>
        <v>#VALUE!</v>
      </c>
      <c r="HI47" t="e">
        <f>Nodes!E335+"'E4!$T^"</f>
        <v>#VALUE!</v>
      </c>
      <c r="HJ47" t="e">
        <f>Nodes!F335+"'E4!$T_"</f>
        <v>#VALUE!</v>
      </c>
      <c r="HK47" t="e">
        <f>Nodes!G335+"'E4!$T`"</f>
        <v>#VALUE!</v>
      </c>
      <c r="HL47" t="e">
        <f>Nodes!H335+"'E4!$Ta"</f>
        <v>#VALUE!</v>
      </c>
      <c r="HM47" t="e">
        <f>Nodes!I335+"'E4!$Tb"</f>
        <v>#VALUE!</v>
      </c>
      <c r="HN47" t="e">
        <f>Nodes!J335+"'E4!$Tc"</f>
        <v>#VALUE!</v>
      </c>
      <c r="HO47" t="e">
        <f>Nodes!K335+"'E4!$Td"</f>
        <v>#VALUE!</v>
      </c>
      <c r="HP47" t="e">
        <f>Nodes!L335+"'E4!$Te"</f>
        <v>#VALUE!</v>
      </c>
      <c r="HQ47" t="e">
        <f>Nodes!M335+"'E4!$Tf"</f>
        <v>#VALUE!</v>
      </c>
      <c r="HR47" t="e">
        <f>Nodes!N335+"'E4!$Tg"</f>
        <v>#VALUE!</v>
      </c>
      <c r="HS47" t="e">
        <f>Nodes!O335+"'E4!$Th"</f>
        <v>#VALUE!</v>
      </c>
      <c r="HT47" t="e">
        <f>Nodes!P335+"'E4!$Ti"</f>
        <v>#VALUE!</v>
      </c>
      <c r="HU47" t="e">
        <f>Nodes!Q335+"'E4!$Tj"</f>
        <v>#VALUE!</v>
      </c>
      <c r="HV47" t="e">
        <f>Nodes!R335+"'E4!$Tk"</f>
        <v>#VALUE!</v>
      </c>
      <c r="HW47" t="e">
        <f>Nodes!S335+"'E4!$Tl"</f>
        <v>#VALUE!</v>
      </c>
      <c r="HX47" s="548" t="e">
        <f>Nodes!T335+"'E4!$Tm"</f>
        <v>#VALUE!</v>
      </c>
      <c r="HY47" s="548" t="e">
        <f>Nodes!U335+"'E4!$Tn"</f>
        <v>#VALUE!</v>
      </c>
      <c r="HZ47" t="e">
        <f>Nodes!V335+"'E4!$To"</f>
        <v>#VALUE!</v>
      </c>
      <c r="IA47" t="e">
        <f>Nodes!W335+"'E4!$Tp"</f>
        <v>#VALUE!</v>
      </c>
      <c r="IB47" t="e">
        <f>Nodes!X335+"'E4!$Tq"</f>
        <v>#VALUE!</v>
      </c>
      <c r="IC47" t="e">
        <f>Nodes!Y335+"'E4!$Tr"</f>
        <v>#VALUE!</v>
      </c>
      <c r="ID47" t="e">
        <f>Nodes!Z335+"'E4!$Ts"</f>
        <v>#VALUE!</v>
      </c>
      <c r="IE47" t="e">
        <f>Nodes!AA335+"'E4!$Tt"</f>
        <v>#VALUE!</v>
      </c>
      <c r="IF47" t="e">
        <f>Nodes!AB335+"'E4!$Tu"</f>
        <v>#VALUE!</v>
      </c>
      <c r="IG47" t="e">
        <f>Nodes!AC335+"'E4!$Tv"</f>
        <v>#VALUE!</v>
      </c>
      <c r="IH47" t="e">
        <f>Nodes!A336+"'E4!$Tw"</f>
        <v>#VALUE!</v>
      </c>
      <c r="II47" t="e">
        <f>Nodes!B336+"'E4!$Tx"</f>
        <v>#VALUE!</v>
      </c>
      <c r="IJ47" t="e">
        <f>Nodes!C336+"'E4!$Ty"</f>
        <v>#VALUE!</v>
      </c>
      <c r="IK47" t="e">
        <f>Nodes!D336+"'E4!$Tz"</f>
        <v>#VALUE!</v>
      </c>
      <c r="IL47" t="e">
        <f>Nodes!E336+"'E4!$T{"</f>
        <v>#VALUE!</v>
      </c>
      <c r="IM47" t="e">
        <f>Nodes!F336+"'E4!$T|"</f>
        <v>#VALUE!</v>
      </c>
      <c r="IN47" t="e">
        <f>Nodes!G336+"'E4!$T}"</f>
        <v>#VALUE!</v>
      </c>
      <c r="IO47" t="e">
        <f>Nodes!H336+"'E4!$T~"</f>
        <v>#VALUE!</v>
      </c>
      <c r="IP47" t="e">
        <f>Nodes!I336+"'E4!$U#"</f>
        <v>#VALUE!</v>
      </c>
      <c r="IQ47" t="e">
        <f>Nodes!J336+"'E4!$U$"</f>
        <v>#VALUE!</v>
      </c>
      <c r="IR47" t="e">
        <f>Nodes!K336+"'E4!$U%"</f>
        <v>#VALUE!</v>
      </c>
      <c r="IS47" t="e">
        <f>Nodes!L336+"'E4!$U&amp;"</f>
        <v>#VALUE!</v>
      </c>
      <c r="IT47" t="e">
        <f>Nodes!M336+"'E4!$U'"</f>
        <v>#VALUE!</v>
      </c>
      <c r="IU47" t="e">
        <f>Nodes!N336+"'E4!$U("</f>
        <v>#VALUE!</v>
      </c>
      <c r="IV47" t="e">
        <f>Nodes!O336+"'E4!$U)"</f>
        <v>#VALUE!</v>
      </c>
    </row>
    <row r="48" spans="6:256">
      <c r="F48" t="e">
        <f>Nodes!P336+"'E4!$U."</f>
        <v>#VALUE!</v>
      </c>
      <c r="G48" t="e">
        <f>Nodes!Q336+"'E4!$U/"</f>
        <v>#VALUE!</v>
      </c>
      <c r="H48" t="e">
        <f>Nodes!R336+"'E4!$U0"</f>
        <v>#VALUE!</v>
      </c>
      <c r="I48" t="e">
        <f>Nodes!S336+"'E4!$U1"</f>
        <v>#VALUE!</v>
      </c>
      <c r="J48" s="548" t="e">
        <f>Nodes!T336+"'E4!$U2"</f>
        <v>#VALUE!</v>
      </c>
      <c r="K48" s="548" t="e">
        <f>Nodes!U336+"'E4!$U3"</f>
        <v>#VALUE!</v>
      </c>
      <c r="L48" t="e">
        <f>Nodes!V336+"'E4!$U4"</f>
        <v>#VALUE!</v>
      </c>
      <c r="M48" t="e">
        <f>Nodes!W336+"'E4!$U5"</f>
        <v>#VALUE!</v>
      </c>
      <c r="N48" t="e">
        <f>Nodes!X336+"'E4!$U6"</f>
        <v>#VALUE!</v>
      </c>
      <c r="O48" t="e">
        <f>Nodes!Y336+"'E4!$U7"</f>
        <v>#VALUE!</v>
      </c>
      <c r="P48" t="e">
        <f>Nodes!Z336+"'E4!$U8"</f>
        <v>#VALUE!</v>
      </c>
      <c r="Q48" t="e">
        <f>Nodes!AA336+"'E4!$U9"</f>
        <v>#VALUE!</v>
      </c>
      <c r="R48" t="e">
        <f>Nodes!AB336+"'E4!$U:"</f>
        <v>#VALUE!</v>
      </c>
      <c r="S48" t="e">
        <f>Nodes!AC336+"'E4!$U;"</f>
        <v>#VALUE!</v>
      </c>
      <c r="T48" t="e">
        <f>Nodes!A337+"'E4!$U&lt;"</f>
        <v>#VALUE!</v>
      </c>
      <c r="U48" t="e">
        <f>Nodes!B337+"'E4!$U="</f>
        <v>#VALUE!</v>
      </c>
      <c r="V48" t="e">
        <f>Nodes!C337+"'E4!$U&gt;"</f>
        <v>#VALUE!</v>
      </c>
      <c r="W48" t="e">
        <f>Nodes!D337+"'E4!$U?"</f>
        <v>#VALUE!</v>
      </c>
      <c r="X48" t="e">
        <f>Nodes!E337+"'E4!$U@"</f>
        <v>#VALUE!</v>
      </c>
      <c r="Y48" t="e">
        <f>Nodes!F337+"'E4!$UA"</f>
        <v>#VALUE!</v>
      </c>
      <c r="Z48" t="e">
        <f>Nodes!G337+"'E4!$UB"</f>
        <v>#VALUE!</v>
      </c>
      <c r="AA48" t="e">
        <f>Nodes!H337+"'E4!$UC"</f>
        <v>#VALUE!</v>
      </c>
      <c r="AB48" t="e">
        <f>Nodes!I337+"'E4!$UD"</f>
        <v>#VALUE!</v>
      </c>
      <c r="AC48" t="e">
        <f>Nodes!J337+"'E4!$UE"</f>
        <v>#VALUE!</v>
      </c>
      <c r="AD48" t="e">
        <f>Nodes!K337+"'E4!$UF"</f>
        <v>#VALUE!</v>
      </c>
      <c r="AE48" t="e">
        <f>Nodes!L337+"'E4!$UG"</f>
        <v>#VALUE!</v>
      </c>
      <c r="AF48" t="e">
        <f>Nodes!M337+"'E4!$UH"</f>
        <v>#VALUE!</v>
      </c>
      <c r="AG48" t="e">
        <f>Nodes!N337+"'E4!$UI"</f>
        <v>#VALUE!</v>
      </c>
      <c r="AH48" t="e">
        <f>Nodes!O337+"'E4!$UJ"</f>
        <v>#VALUE!</v>
      </c>
      <c r="AI48" t="e">
        <f>Nodes!P337+"'E4!$UK"</f>
        <v>#VALUE!</v>
      </c>
      <c r="AJ48" t="e">
        <f>Nodes!Q337+"'E4!$UL"</f>
        <v>#VALUE!</v>
      </c>
      <c r="AK48" t="e">
        <f>Nodes!R337+"'E4!$UM"</f>
        <v>#VALUE!</v>
      </c>
      <c r="AL48" t="e">
        <f>Nodes!S337+"'E4!$UN"</f>
        <v>#VALUE!</v>
      </c>
      <c r="AM48" s="548" t="e">
        <f>Nodes!T337+"'E4!$UO"</f>
        <v>#VALUE!</v>
      </c>
      <c r="AN48" s="548" t="e">
        <f>Nodes!U337+"'E4!$UP"</f>
        <v>#VALUE!</v>
      </c>
      <c r="AO48" t="e">
        <f>Nodes!V337+"'E4!$UQ"</f>
        <v>#VALUE!</v>
      </c>
      <c r="AP48" t="e">
        <f>Nodes!W337+"'E4!$UR"</f>
        <v>#VALUE!</v>
      </c>
      <c r="AQ48" t="e">
        <f>Nodes!X337+"'E4!$US"</f>
        <v>#VALUE!</v>
      </c>
      <c r="AR48" t="e">
        <f>Nodes!Y337+"'E4!$UT"</f>
        <v>#VALUE!</v>
      </c>
      <c r="AS48" t="e">
        <f>Nodes!Z337+"'E4!$UU"</f>
        <v>#VALUE!</v>
      </c>
      <c r="AT48" t="e">
        <f>Nodes!AA337+"'E4!$UV"</f>
        <v>#VALUE!</v>
      </c>
      <c r="AU48" t="e">
        <f>Nodes!AB337+"'E4!$UW"</f>
        <v>#VALUE!</v>
      </c>
      <c r="AV48" t="e">
        <f>Nodes!AC337+"'E4!$UX"</f>
        <v>#VALUE!</v>
      </c>
      <c r="AW48" t="e">
        <f>Nodes!A338+"'E4!$UY"</f>
        <v>#VALUE!</v>
      </c>
      <c r="AX48" t="e">
        <f>Nodes!B338+"'E4!$UZ"</f>
        <v>#VALUE!</v>
      </c>
      <c r="AY48" t="e">
        <f>Nodes!C338+"'E4!$U["</f>
        <v>#VALUE!</v>
      </c>
      <c r="AZ48" t="e">
        <f>Nodes!D338+"'E4!$U\"</f>
        <v>#VALUE!</v>
      </c>
      <c r="BA48" t="e">
        <f>Nodes!E338+"'E4!$U]"</f>
        <v>#VALUE!</v>
      </c>
      <c r="BB48" t="e">
        <f>Nodes!F338+"'E4!$U^"</f>
        <v>#VALUE!</v>
      </c>
      <c r="BC48" t="e">
        <f>Nodes!G338+"'E4!$U_"</f>
        <v>#VALUE!</v>
      </c>
      <c r="BD48" t="e">
        <f>Nodes!H338+"'E4!$U`"</f>
        <v>#VALUE!</v>
      </c>
      <c r="BE48" t="e">
        <f>Nodes!I338+"'E4!$Ua"</f>
        <v>#VALUE!</v>
      </c>
      <c r="BF48" t="e">
        <f>Nodes!J338+"'E4!$Ub"</f>
        <v>#VALUE!</v>
      </c>
      <c r="BG48" t="e">
        <f>Nodes!K338+"'E4!$Uc"</f>
        <v>#VALUE!</v>
      </c>
      <c r="BH48" t="e">
        <f>Nodes!L338+"'E4!$Ud"</f>
        <v>#VALUE!</v>
      </c>
      <c r="BI48" t="e">
        <f>Nodes!M338+"'E4!$Ue"</f>
        <v>#VALUE!</v>
      </c>
      <c r="BJ48" t="e">
        <f>Nodes!N338+"'E4!$Uf"</f>
        <v>#VALUE!</v>
      </c>
      <c r="BK48" t="e">
        <f>Nodes!O338+"'E4!$Ug"</f>
        <v>#VALUE!</v>
      </c>
      <c r="BL48" t="e">
        <f>Nodes!P338+"'E4!$Uh"</f>
        <v>#VALUE!</v>
      </c>
      <c r="BM48" t="e">
        <f>Nodes!Q338+"'E4!$Ui"</f>
        <v>#VALUE!</v>
      </c>
      <c r="BN48" t="e">
        <f>Nodes!R338+"'E4!$Uj"</f>
        <v>#VALUE!</v>
      </c>
      <c r="BO48" t="e">
        <f>Nodes!S338+"'E4!$Uk"</f>
        <v>#VALUE!</v>
      </c>
      <c r="BP48" s="548" t="e">
        <f>Nodes!T338+"'E4!$Ul"</f>
        <v>#VALUE!</v>
      </c>
      <c r="BQ48" s="548" t="e">
        <f>Nodes!U338+"'E4!$Um"</f>
        <v>#VALUE!</v>
      </c>
      <c r="BR48" t="e">
        <f>Nodes!V338+"'E4!$Un"</f>
        <v>#VALUE!</v>
      </c>
      <c r="BS48" t="e">
        <f>Nodes!W338+"'E4!$Uo"</f>
        <v>#VALUE!</v>
      </c>
      <c r="BT48" t="e">
        <f>Nodes!X338+"'E4!$Up"</f>
        <v>#VALUE!</v>
      </c>
      <c r="BU48" t="e">
        <f>Nodes!Y338+"'E4!$Uq"</f>
        <v>#VALUE!</v>
      </c>
      <c r="BV48" t="e">
        <f>Nodes!Z338+"'E4!$Ur"</f>
        <v>#VALUE!</v>
      </c>
      <c r="BW48" t="e">
        <f>Nodes!AA338+"'E4!$Us"</f>
        <v>#VALUE!</v>
      </c>
      <c r="BX48" t="e">
        <f>Nodes!AB338+"'E4!$Ut"</f>
        <v>#VALUE!</v>
      </c>
      <c r="BY48" t="e">
        <f>Nodes!AC338+"'E4!$Uu"</f>
        <v>#VALUE!</v>
      </c>
      <c r="BZ48" t="e">
        <f>Nodes!A339+"'E4!$Uv"</f>
        <v>#VALUE!</v>
      </c>
      <c r="CA48" t="e">
        <f>Nodes!B339+"'E4!$Uw"</f>
        <v>#VALUE!</v>
      </c>
      <c r="CB48" t="e">
        <f>Nodes!C339+"'E4!$Ux"</f>
        <v>#VALUE!</v>
      </c>
      <c r="CC48" t="e">
        <f>Nodes!D339+"'E4!$Uy"</f>
        <v>#VALUE!</v>
      </c>
      <c r="CD48" t="e">
        <f>Nodes!E339+"'E4!$Uz"</f>
        <v>#VALUE!</v>
      </c>
      <c r="CE48" t="e">
        <f>Nodes!F339+"'E4!$U{"</f>
        <v>#VALUE!</v>
      </c>
      <c r="CF48" t="e">
        <f>Nodes!G339+"'E4!$U|"</f>
        <v>#VALUE!</v>
      </c>
      <c r="CG48" t="e">
        <f>Nodes!H339+"'E4!$U}"</f>
        <v>#VALUE!</v>
      </c>
      <c r="CH48" t="e">
        <f>Nodes!I339+"'E4!$U~"</f>
        <v>#VALUE!</v>
      </c>
      <c r="CI48" t="e">
        <f>Nodes!J339+"'E4!$V#"</f>
        <v>#VALUE!</v>
      </c>
      <c r="CJ48" t="e">
        <f>Nodes!K339+"'E4!$V$"</f>
        <v>#VALUE!</v>
      </c>
      <c r="CK48" t="e">
        <f>Nodes!L339+"'E4!$V%"</f>
        <v>#VALUE!</v>
      </c>
      <c r="CL48" t="e">
        <f>Nodes!M339+"'E4!$V&amp;"</f>
        <v>#VALUE!</v>
      </c>
      <c r="CM48" t="e">
        <f>Nodes!N339+"'E4!$V'"</f>
        <v>#VALUE!</v>
      </c>
      <c r="CN48" t="e">
        <f>Nodes!O339+"'E4!$V("</f>
        <v>#VALUE!</v>
      </c>
      <c r="CO48" t="e">
        <f>Nodes!P339+"'E4!$V)"</f>
        <v>#VALUE!</v>
      </c>
      <c r="CP48" t="e">
        <f>Nodes!Q339+"'E4!$V."</f>
        <v>#VALUE!</v>
      </c>
      <c r="CQ48" t="e">
        <f>Nodes!R339+"'E4!$V/"</f>
        <v>#VALUE!</v>
      </c>
      <c r="CR48" t="e">
        <f>Nodes!S339+"'E4!$V0"</f>
        <v>#VALUE!</v>
      </c>
      <c r="CS48" s="548" t="e">
        <f>Nodes!T339+"'E4!$V1"</f>
        <v>#VALUE!</v>
      </c>
      <c r="CT48" s="548" t="e">
        <f>Nodes!U339+"'E4!$V2"</f>
        <v>#VALUE!</v>
      </c>
      <c r="CU48" t="e">
        <f>Nodes!V339+"'E4!$V3"</f>
        <v>#VALUE!</v>
      </c>
      <c r="CV48" t="e">
        <f>Nodes!W339+"'E4!$V4"</f>
        <v>#VALUE!</v>
      </c>
      <c r="CW48" t="e">
        <f>Nodes!X339+"'E4!$V5"</f>
        <v>#VALUE!</v>
      </c>
      <c r="CX48" t="e">
        <f>Nodes!Y339+"'E4!$V6"</f>
        <v>#VALUE!</v>
      </c>
      <c r="CY48" t="e">
        <f>Nodes!Z339+"'E4!$V7"</f>
        <v>#VALUE!</v>
      </c>
      <c r="CZ48" t="e">
        <f>Nodes!AA339+"'E4!$V8"</f>
        <v>#VALUE!</v>
      </c>
      <c r="DA48" t="e">
        <f>Nodes!AB339+"'E4!$V9"</f>
        <v>#VALUE!</v>
      </c>
      <c r="DB48" t="e">
        <f>Nodes!AC339+"'E4!$V:"</f>
        <v>#VALUE!</v>
      </c>
      <c r="DC48" t="e">
        <f>Nodes!A340+"'E4!$V;"</f>
        <v>#VALUE!</v>
      </c>
      <c r="DD48" t="e">
        <f>Nodes!B340+"'E4!$V&lt;"</f>
        <v>#VALUE!</v>
      </c>
      <c r="DE48" t="e">
        <f>Nodes!C340+"'E4!$V="</f>
        <v>#VALUE!</v>
      </c>
      <c r="DF48" t="e">
        <f>Nodes!D340+"'E4!$V&gt;"</f>
        <v>#VALUE!</v>
      </c>
      <c r="DG48" t="e">
        <f>Nodes!E340+"'E4!$V?"</f>
        <v>#VALUE!</v>
      </c>
      <c r="DH48" t="e">
        <f>Nodes!F340+"'E4!$V@"</f>
        <v>#VALUE!</v>
      </c>
      <c r="DI48" t="e">
        <f>Nodes!G340+"'E4!$VA"</f>
        <v>#VALUE!</v>
      </c>
      <c r="DJ48" t="e">
        <f>Nodes!H340+"'E4!$VB"</f>
        <v>#VALUE!</v>
      </c>
      <c r="DK48" t="e">
        <f>Nodes!I340+"'E4!$VC"</f>
        <v>#VALUE!</v>
      </c>
      <c r="DL48" t="e">
        <f>Nodes!J340+"'E4!$VD"</f>
        <v>#VALUE!</v>
      </c>
      <c r="DM48" t="e">
        <f>Nodes!K340+"'E4!$VE"</f>
        <v>#VALUE!</v>
      </c>
      <c r="DN48" t="e">
        <f>Nodes!L340+"'E4!$VF"</f>
        <v>#VALUE!</v>
      </c>
      <c r="DO48" t="e">
        <f>Nodes!M340+"'E4!$VG"</f>
        <v>#VALUE!</v>
      </c>
      <c r="DP48" t="e">
        <f>Nodes!N340+"'E4!$VH"</f>
        <v>#VALUE!</v>
      </c>
      <c r="DQ48" t="e">
        <f>Nodes!O340+"'E4!$VI"</f>
        <v>#VALUE!</v>
      </c>
      <c r="DR48" t="e">
        <f>Nodes!P340+"'E4!$VJ"</f>
        <v>#VALUE!</v>
      </c>
      <c r="DS48" t="e">
        <f>Nodes!Q340+"'E4!$VK"</f>
        <v>#VALUE!</v>
      </c>
      <c r="DT48" t="e">
        <f>Nodes!R340+"'E4!$VL"</f>
        <v>#VALUE!</v>
      </c>
      <c r="DU48" t="e">
        <f>Nodes!S340+"'E4!$VM"</f>
        <v>#VALUE!</v>
      </c>
      <c r="DV48" s="548" t="e">
        <f>Nodes!T340+"'E4!$VN"</f>
        <v>#VALUE!</v>
      </c>
      <c r="DW48" s="548" t="e">
        <f>Nodes!U340+"'E4!$VO"</f>
        <v>#VALUE!</v>
      </c>
      <c r="DX48" t="e">
        <f>Nodes!V340+"'E4!$VP"</f>
        <v>#VALUE!</v>
      </c>
      <c r="DY48" t="e">
        <f>Nodes!W340+"'E4!$VQ"</f>
        <v>#VALUE!</v>
      </c>
      <c r="DZ48" t="e">
        <f>Nodes!X340+"'E4!$VR"</f>
        <v>#VALUE!</v>
      </c>
      <c r="EA48" t="e">
        <f>Nodes!Y340+"'E4!$VS"</f>
        <v>#VALUE!</v>
      </c>
      <c r="EB48" t="e">
        <f>Nodes!Z340+"'E4!$VT"</f>
        <v>#VALUE!</v>
      </c>
      <c r="EC48" t="e">
        <f>Nodes!AA340+"'E4!$VU"</f>
        <v>#VALUE!</v>
      </c>
      <c r="ED48" t="e">
        <f>Nodes!AB340+"'E4!$VV"</f>
        <v>#VALUE!</v>
      </c>
      <c r="EE48" t="e">
        <f>Nodes!AC340+"'E4!$VW"</f>
        <v>#VALUE!</v>
      </c>
      <c r="EF48" t="e">
        <f>Nodes!A341+"'E4!$VX"</f>
        <v>#VALUE!</v>
      </c>
      <c r="EG48" t="e">
        <f>Nodes!B341+"'E4!$VY"</f>
        <v>#VALUE!</v>
      </c>
      <c r="EH48" t="e">
        <f>Nodes!C341+"'E4!$VZ"</f>
        <v>#VALUE!</v>
      </c>
      <c r="EI48" t="e">
        <f>Nodes!D341+"'E4!$V["</f>
        <v>#VALUE!</v>
      </c>
      <c r="EJ48" t="e">
        <f>Nodes!E341+"'E4!$V\"</f>
        <v>#VALUE!</v>
      </c>
      <c r="EK48" t="e">
        <f>Nodes!F341+"'E4!$V]"</f>
        <v>#VALUE!</v>
      </c>
      <c r="EL48" t="e">
        <f>Nodes!G341+"'E4!$V^"</f>
        <v>#VALUE!</v>
      </c>
      <c r="EM48" t="e">
        <f>Nodes!H341+"'E4!$V_"</f>
        <v>#VALUE!</v>
      </c>
      <c r="EN48" t="e">
        <f>Nodes!I341+"'E4!$V`"</f>
        <v>#VALUE!</v>
      </c>
      <c r="EO48" t="e">
        <f>Nodes!J341+"'E4!$Va"</f>
        <v>#VALUE!</v>
      </c>
      <c r="EP48" t="e">
        <f>Nodes!K341+"'E4!$Vb"</f>
        <v>#VALUE!</v>
      </c>
      <c r="EQ48" t="e">
        <f>Nodes!L341+"'E4!$Vc"</f>
        <v>#VALUE!</v>
      </c>
      <c r="ER48" t="e">
        <f>Nodes!M341+"'E4!$Vd"</f>
        <v>#VALUE!</v>
      </c>
      <c r="ES48" t="e">
        <f>Nodes!N341+"'E4!$Ve"</f>
        <v>#VALUE!</v>
      </c>
      <c r="ET48" t="e">
        <f>Nodes!O341+"'E4!$Vf"</f>
        <v>#VALUE!</v>
      </c>
      <c r="EU48" t="e">
        <f>Nodes!P341+"'E4!$Vg"</f>
        <v>#VALUE!</v>
      </c>
      <c r="EV48" t="e">
        <f>Nodes!Q341+"'E4!$Vh"</f>
        <v>#VALUE!</v>
      </c>
      <c r="EW48" t="e">
        <f>Nodes!R341+"'E4!$Vi"</f>
        <v>#VALUE!</v>
      </c>
      <c r="EX48" t="e">
        <f>Nodes!S341+"'E4!$Vj"</f>
        <v>#VALUE!</v>
      </c>
      <c r="EY48" s="548" t="e">
        <f>Nodes!T341+"'E4!$Vk"</f>
        <v>#VALUE!</v>
      </c>
      <c r="EZ48" s="548" t="e">
        <f>Nodes!U341+"'E4!$Vl"</f>
        <v>#VALUE!</v>
      </c>
      <c r="FA48" t="e">
        <f>Nodes!V341+"'E4!$Vm"</f>
        <v>#VALUE!</v>
      </c>
      <c r="FB48" t="e">
        <f>Nodes!W341+"'E4!$Vn"</f>
        <v>#VALUE!</v>
      </c>
      <c r="FC48" t="e">
        <f>Nodes!X341+"'E4!$Vo"</f>
        <v>#VALUE!</v>
      </c>
      <c r="FD48" t="e">
        <f>Nodes!Y341+"'E4!$Vp"</f>
        <v>#VALUE!</v>
      </c>
      <c r="FE48" t="e">
        <f>Nodes!Z341+"'E4!$Vq"</f>
        <v>#VALUE!</v>
      </c>
      <c r="FF48" t="e">
        <f>Nodes!AA341+"'E4!$Vr"</f>
        <v>#VALUE!</v>
      </c>
      <c r="FG48" t="e">
        <f>Nodes!AB341+"'E4!$Vs"</f>
        <v>#VALUE!</v>
      </c>
      <c r="FH48" t="e">
        <f>Nodes!AC341+"'E4!$Vt"</f>
        <v>#VALUE!</v>
      </c>
      <c r="FI48" t="e">
        <f>Nodes!A342+"'E4!$Vu"</f>
        <v>#VALUE!</v>
      </c>
      <c r="FJ48" t="e">
        <f>Nodes!B342+"'E4!$Vv"</f>
        <v>#VALUE!</v>
      </c>
      <c r="FK48" t="e">
        <f>Nodes!C342+"'E4!$Vw"</f>
        <v>#VALUE!</v>
      </c>
      <c r="FL48" t="e">
        <f>Nodes!D342+"'E4!$Vx"</f>
        <v>#VALUE!</v>
      </c>
      <c r="FM48" t="e">
        <f>Nodes!E342+"'E4!$Vy"</f>
        <v>#VALUE!</v>
      </c>
      <c r="FN48" t="e">
        <f>Nodes!F342+"'E4!$Vz"</f>
        <v>#VALUE!</v>
      </c>
      <c r="FO48" t="e">
        <f>Nodes!G342+"'E4!$V{"</f>
        <v>#VALUE!</v>
      </c>
      <c r="FP48" t="e">
        <f>Nodes!H342+"'E4!$V|"</f>
        <v>#VALUE!</v>
      </c>
      <c r="FQ48" t="e">
        <f>Nodes!I342+"'E4!$V}"</f>
        <v>#VALUE!</v>
      </c>
      <c r="FR48" t="e">
        <f>Nodes!J342+"'E4!$V~"</f>
        <v>#VALUE!</v>
      </c>
      <c r="FS48" t="e">
        <f>Nodes!K342+"'E4!$W#"</f>
        <v>#VALUE!</v>
      </c>
      <c r="FT48" t="e">
        <f>Nodes!L342+"'E4!$W$"</f>
        <v>#VALUE!</v>
      </c>
      <c r="FU48" t="e">
        <f>Nodes!M342+"'E4!$W%"</f>
        <v>#VALUE!</v>
      </c>
      <c r="FV48" t="e">
        <f>Nodes!N342+"'E4!$W&amp;"</f>
        <v>#VALUE!</v>
      </c>
      <c r="FW48" t="e">
        <f>Nodes!O342+"'E4!$W'"</f>
        <v>#VALUE!</v>
      </c>
      <c r="FX48" t="e">
        <f>Nodes!P342+"'E4!$W("</f>
        <v>#VALUE!</v>
      </c>
      <c r="FY48" t="e">
        <f>Nodes!Q342+"'E4!$W)"</f>
        <v>#VALUE!</v>
      </c>
      <c r="FZ48" t="e">
        <f>Nodes!R342+"'E4!$W."</f>
        <v>#VALUE!</v>
      </c>
      <c r="GA48" t="e">
        <f>Nodes!S342+"'E4!$W/"</f>
        <v>#VALUE!</v>
      </c>
      <c r="GB48" s="548" t="e">
        <f>Nodes!T342+"'E4!$W0"</f>
        <v>#VALUE!</v>
      </c>
      <c r="GC48" s="548" t="e">
        <f>Nodes!U342+"'E4!$W1"</f>
        <v>#VALUE!</v>
      </c>
      <c r="GD48" t="e">
        <f>Nodes!V342+"'E4!$W2"</f>
        <v>#VALUE!</v>
      </c>
      <c r="GE48" t="e">
        <f>Nodes!W342+"'E4!$W3"</f>
        <v>#VALUE!</v>
      </c>
      <c r="GF48" t="e">
        <f>Nodes!X342+"'E4!$W4"</f>
        <v>#VALUE!</v>
      </c>
      <c r="GG48" t="e">
        <f>Nodes!Y342+"'E4!$W5"</f>
        <v>#VALUE!</v>
      </c>
      <c r="GH48" t="e">
        <f>Nodes!Z342+"'E4!$W6"</f>
        <v>#VALUE!</v>
      </c>
      <c r="GI48" t="e">
        <f>Nodes!AA342+"'E4!$W7"</f>
        <v>#VALUE!</v>
      </c>
      <c r="GJ48" t="e">
        <f>Nodes!AB342+"'E4!$W8"</f>
        <v>#VALUE!</v>
      </c>
      <c r="GK48" t="e">
        <f>Nodes!AC342+"'E4!$W9"</f>
        <v>#VALUE!</v>
      </c>
      <c r="GL48" t="e">
        <f>Nodes!A343+"'E4!$W:"</f>
        <v>#VALUE!</v>
      </c>
      <c r="GM48" t="e">
        <f>Nodes!B343+"'E4!$W;"</f>
        <v>#VALUE!</v>
      </c>
      <c r="GN48" t="e">
        <f>Nodes!C343+"'E4!$W&lt;"</f>
        <v>#VALUE!</v>
      </c>
      <c r="GO48" t="e">
        <f>Nodes!D343+"'E4!$W="</f>
        <v>#VALUE!</v>
      </c>
      <c r="GP48" t="e">
        <f>Nodes!E343+"'E4!$W&gt;"</f>
        <v>#VALUE!</v>
      </c>
      <c r="GQ48" t="e">
        <f>Nodes!F343+"'E4!$W?"</f>
        <v>#VALUE!</v>
      </c>
      <c r="GR48" t="e">
        <f>Nodes!G343+"'E4!$W@"</f>
        <v>#VALUE!</v>
      </c>
      <c r="GS48" t="e">
        <f>Nodes!H343+"'E4!$WA"</f>
        <v>#VALUE!</v>
      </c>
      <c r="GT48" t="e">
        <f>Nodes!I343+"'E4!$WB"</f>
        <v>#VALUE!</v>
      </c>
      <c r="GU48" t="e">
        <f>Nodes!J343+"'E4!$WC"</f>
        <v>#VALUE!</v>
      </c>
      <c r="GV48" t="e">
        <f>Nodes!K343+"'E4!$WD"</f>
        <v>#VALUE!</v>
      </c>
      <c r="GW48" t="e">
        <f>Nodes!L343+"'E4!$WE"</f>
        <v>#VALUE!</v>
      </c>
      <c r="GX48" t="e">
        <f>Nodes!M343+"'E4!$WF"</f>
        <v>#VALUE!</v>
      </c>
      <c r="GY48" t="e">
        <f>Nodes!N343+"'E4!$WG"</f>
        <v>#VALUE!</v>
      </c>
      <c r="GZ48" t="e">
        <f>Nodes!O343+"'E4!$WH"</f>
        <v>#VALUE!</v>
      </c>
      <c r="HA48" t="e">
        <f>Nodes!P343+"'E4!$WI"</f>
        <v>#VALUE!</v>
      </c>
      <c r="HB48" t="e">
        <f>Nodes!Q343+"'E4!$WJ"</f>
        <v>#VALUE!</v>
      </c>
      <c r="HC48" t="e">
        <f>Nodes!R343+"'E4!$WK"</f>
        <v>#VALUE!</v>
      </c>
      <c r="HD48" t="e">
        <f>Nodes!S343+"'E4!$WL"</f>
        <v>#VALUE!</v>
      </c>
      <c r="HE48" s="548" t="e">
        <f>Nodes!T343+"'E4!$WM"</f>
        <v>#VALUE!</v>
      </c>
      <c r="HF48" s="548" t="e">
        <f>Nodes!U343+"'E4!$WN"</f>
        <v>#VALUE!</v>
      </c>
      <c r="HG48" t="e">
        <f>Nodes!V343+"'E4!$WO"</f>
        <v>#VALUE!</v>
      </c>
      <c r="HH48" t="e">
        <f>Nodes!W343+"'E4!$WP"</f>
        <v>#VALUE!</v>
      </c>
      <c r="HI48" t="e">
        <f>Nodes!X343+"'E4!$WQ"</f>
        <v>#VALUE!</v>
      </c>
      <c r="HJ48" t="e">
        <f>Nodes!Y343+"'E4!$WR"</f>
        <v>#VALUE!</v>
      </c>
      <c r="HK48" t="e">
        <f>Nodes!Z343+"'E4!$WS"</f>
        <v>#VALUE!</v>
      </c>
      <c r="HL48" t="e">
        <f>Nodes!AA343+"'E4!$WT"</f>
        <v>#VALUE!</v>
      </c>
      <c r="HM48" t="e">
        <f>Nodes!AB343+"'E4!$WU"</f>
        <v>#VALUE!</v>
      </c>
      <c r="HN48" t="e">
        <f>Nodes!AC343+"'E4!$WV"</f>
        <v>#VALUE!</v>
      </c>
      <c r="HO48" t="e">
        <f>Nodes!A344+"'E4!$WW"</f>
        <v>#VALUE!</v>
      </c>
      <c r="HP48" t="e">
        <f>Nodes!B344+"'E4!$WX"</f>
        <v>#VALUE!</v>
      </c>
      <c r="HQ48" t="e">
        <f>Nodes!C344+"'E4!$WY"</f>
        <v>#VALUE!</v>
      </c>
      <c r="HR48" t="e">
        <f>Nodes!D344+"'E4!$WZ"</f>
        <v>#VALUE!</v>
      </c>
      <c r="HS48" t="e">
        <f>Nodes!E344+"'E4!$W["</f>
        <v>#VALUE!</v>
      </c>
      <c r="HT48" t="e">
        <f>Nodes!F344+"'E4!$W\"</f>
        <v>#VALUE!</v>
      </c>
      <c r="HU48" t="e">
        <f>Nodes!G344+"'E4!$W]"</f>
        <v>#VALUE!</v>
      </c>
      <c r="HV48" t="e">
        <f>Nodes!H344+"'E4!$W^"</f>
        <v>#VALUE!</v>
      </c>
      <c r="HW48" t="e">
        <f>Nodes!I344+"'E4!$W_"</f>
        <v>#VALUE!</v>
      </c>
      <c r="HX48" t="e">
        <f>Nodes!J344+"'E4!$W`"</f>
        <v>#VALUE!</v>
      </c>
      <c r="HY48" t="e">
        <f>Nodes!K344+"'E4!$Wa"</f>
        <v>#VALUE!</v>
      </c>
      <c r="HZ48" t="e">
        <f>Nodes!L344+"'E4!$Wb"</f>
        <v>#VALUE!</v>
      </c>
      <c r="IA48" t="e">
        <f>Nodes!M344+"'E4!$Wc"</f>
        <v>#VALUE!</v>
      </c>
      <c r="IB48" t="e">
        <f>Nodes!N344+"'E4!$Wd"</f>
        <v>#VALUE!</v>
      </c>
      <c r="IC48" t="e">
        <f>Nodes!O344+"'E4!$We"</f>
        <v>#VALUE!</v>
      </c>
      <c r="ID48" t="e">
        <f>Nodes!P344+"'E4!$Wf"</f>
        <v>#VALUE!</v>
      </c>
      <c r="IE48" t="e">
        <f>Nodes!Q344+"'E4!$Wg"</f>
        <v>#VALUE!</v>
      </c>
      <c r="IF48" t="e">
        <f>Nodes!R344+"'E4!$Wh"</f>
        <v>#VALUE!</v>
      </c>
      <c r="IG48" t="e">
        <f>Nodes!S344+"'E4!$Wi"</f>
        <v>#VALUE!</v>
      </c>
      <c r="IH48" s="548" t="e">
        <f>Nodes!T344+"'E4!$Wj"</f>
        <v>#VALUE!</v>
      </c>
      <c r="II48" s="548" t="e">
        <f>Nodes!U344+"'E4!$Wk"</f>
        <v>#VALUE!</v>
      </c>
      <c r="IJ48" t="e">
        <f>Nodes!V344+"'E4!$Wl"</f>
        <v>#VALUE!</v>
      </c>
      <c r="IK48" t="e">
        <f>Nodes!W344+"'E4!$Wm"</f>
        <v>#VALUE!</v>
      </c>
      <c r="IL48" t="e">
        <f>Nodes!X344+"'E4!$Wn"</f>
        <v>#VALUE!</v>
      </c>
      <c r="IM48" t="e">
        <f>Nodes!Y344+"'E4!$Wo"</f>
        <v>#VALUE!</v>
      </c>
      <c r="IN48" t="e">
        <f>Nodes!Z344+"'E4!$Wp"</f>
        <v>#VALUE!</v>
      </c>
      <c r="IO48" t="e">
        <f>Nodes!AA344+"'E4!$Wq"</f>
        <v>#VALUE!</v>
      </c>
      <c r="IP48" t="e">
        <f>Nodes!AB344+"'E4!$Wr"</f>
        <v>#VALUE!</v>
      </c>
      <c r="IQ48" t="e">
        <f>Nodes!AC344+"'E4!$Ws"</f>
        <v>#VALUE!</v>
      </c>
      <c r="IR48" t="e">
        <f>Nodes!A345+"'E4!$Wt"</f>
        <v>#VALUE!</v>
      </c>
      <c r="IS48" t="e">
        <f>Nodes!B345+"'E4!$Wu"</f>
        <v>#VALUE!</v>
      </c>
      <c r="IT48" t="e">
        <f>Nodes!C345+"'E4!$Wv"</f>
        <v>#VALUE!</v>
      </c>
      <c r="IU48" t="e">
        <f>Nodes!D345+"'E4!$Ww"</f>
        <v>#VALUE!</v>
      </c>
      <c r="IV48" t="e">
        <f>Nodes!E345+"'E4!$Wx"</f>
        <v>#VALUE!</v>
      </c>
    </row>
    <row r="49" spans="6:256">
      <c r="F49" t="e">
        <f>Nodes!F345+"'E4!$Wy"</f>
        <v>#VALUE!</v>
      </c>
      <c r="G49" t="e">
        <f>Nodes!G345+"'E4!$Wz"</f>
        <v>#VALUE!</v>
      </c>
      <c r="H49" t="e">
        <f>Nodes!H345+"'E4!$W{"</f>
        <v>#VALUE!</v>
      </c>
      <c r="I49" t="e">
        <f>Nodes!I345+"'E4!$W|"</f>
        <v>#VALUE!</v>
      </c>
      <c r="J49" t="e">
        <f>Nodes!J345+"'E4!$W}"</f>
        <v>#VALUE!</v>
      </c>
      <c r="K49" t="e">
        <f>Nodes!K345+"'E4!$W~"</f>
        <v>#VALUE!</v>
      </c>
      <c r="L49" t="e">
        <f>Nodes!L345+"'E4!$X#"</f>
        <v>#VALUE!</v>
      </c>
      <c r="M49" t="e">
        <f>Nodes!M345+"'E4!$X$"</f>
        <v>#VALUE!</v>
      </c>
      <c r="N49" t="e">
        <f>Nodes!N345+"'E4!$X%"</f>
        <v>#VALUE!</v>
      </c>
      <c r="O49" t="e">
        <f>Nodes!O345+"'E4!$X&amp;"</f>
        <v>#VALUE!</v>
      </c>
      <c r="P49" t="e">
        <f>Nodes!P345+"'E4!$X'"</f>
        <v>#VALUE!</v>
      </c>
      <c r="Q49" t="e">
        <f>Nodes!Q345+"'E4!$X("</f>
        <v>#VALUE!</v>
      </c>
      <c r="R49" t="e">
        <f>Nodes!R345+"'E4!$X)"</f>
        <v>#VALUE!</v>
      </c>
      <c r="S49" t="e">
        <f>Nodes!S345+"'E4!$X."</f>
        <v>#VALUE!</v>
      </c>
      <c r="T49" s="548" t="e">
        <f>Nodes!T345+"'E4!$X/"</f>
        <v>#VALUE!</v>
      </c>
      <c r="U49" s="548" t="e">
        <f>Nodes!U345+"'E4!$X0"</f>
        <v>#VALUE!</v>
      </c>
      <c r="V49" t="e">
        <f>Nodes!V345+"'E4!$X1"</f>
        <v>#VALUE!</v>
      </c>
      <c r="W49" t="e">
        <f>Nodes!W345+"'E4!$X2"</f>
        <v>#VALUE!</v>
      </c>
      <c r="X49" t="e">
        <f>Nodes!X345+"'E4!$X3"</f>
        <v>#VALUE!</v>
      </c>
      <c r="Y49" t="e">
        <f>Nodes!Y345+"'E4!$X4"</f>
        <v>#VALUE!</v>
      </c>
      <c r="Z49" t="e">
        <f>Nodes!Z345+"'E4!$X5"</f>
        <v>#VALUE!</v>
      </c>
      <c r="AA49" t="e">
        <f>Nodes!AA345+"'E4!$X6"</f>
        <v>#VALUE!</v>
      </c>
      <c r="AB49" t="e">
        <f>Nodes!AB345+"'E4!$X7"</f>
        <v>#VALUE!</v>
      </c>
      <c r="AC49" t="e">
        <f>Nodes!AC345+"'E4!$X8"</f>
        <v>#VALUE!</v>
      </c>
      <c r="AD49" t="e">
        <f>Nodes!A346+"'E4!$X9"</f>
        <v>#VALUE!</v>
      </c>
      <c r="AE49" t="e">
        <f>Nodes!B346+"'E4!$X:"</f>
        <v>#VALUE!</v>
      </c>
      <c r="AF49" t="e">
        <f>Nodes!C346+"'E4!$X;"</f>
        <v>#VALUE!</v>
      </c>
      <c r="AG49" t="e">
        <f>Nodes!D346+"'E4!$X&lt;"</f>
        <v>#VALUE!</v>
      </c>
      <c r="AH49" t="e">
        <f>Nodes!E346+"'E4!$X="</f>
        <v>#VALUE!</v>
      </c>
      <c r="AI49" t="e">
        <f>Nodes!F346+"'E4!$X&gt;"</f>
        <v>#VALUE!</v>
      </c>
      <c r="AJ49" t="e">
        <f>Nodes!G346+"'E4!$X?"</f>
        <v>#VALUE!</v>
      </c>
      <c r="AK49" t="e">
        <f>Nodes!H346+"'E4!$X@"</f>
        <v>#VALUE!</v>
      </c>
      <c r="AL49" t="e">
        <f>Nodes!I346+"'E4!$XA"</f>
        <v>#VALUE!</v>
      </c>
      <c r="AM49" t="e">
        <f>Nodes!J346+"'E4!$XB"</f>
        <v>#VALUE!</v>
      </c>
      <c r="AN49" t="e">
        <f>Nodes!K346+"'E4!$XC"</f>
        <v>#VALUE!</v>
      </c>
      <c r="AO49" t="e">
        <f>Nodes!L346+"'E4!$XD"</f>
        <v>#VALUE!</v>
      </c>
      <c r="AP49" t="e">
        <f>Nodes!M346+"'E4!$XE"</f>
        <v>#VALUE!</v>
      </c>
      <c r="AQ49" t="e">
        <f>Nodes!N346+"'E4!$XF"</f>
        <v>#VALUE!</v>
      </c>
      <c r="AR49" t="e">
        <f>Nodes!O346+"'E4!$XG"</f>
        <v>#VALUE!</v>
      </c>
      <c r="AS49" t="e">
        <f>Nodes!P346+"'E4!$XH"</f>
        <v>#VALUE!</v>
      </c>
      <c r="AT49" t="e">
        <f>Nodes!Q346+"'E4!$XI"</f>
        <v>#VALUE!</v>
      </c>
      <c r="AU49" t="e">
        <f>Nodes!R346+"'E4!$XJ"</f>
        <v>#VALUE!</v>
      </c>
      <c r="AV49" t="e">
        <f>Nodes!S346+"'E4!$XK"</f>
        <v>#VALUE!</v>
      </c>
      <c r="AW49" s="548" t="e">
        <f>Nodes!T346+"'E4!$XL"</f>
        <v>#VALUE!</v>
      </c>
      <c r="AX49" s="548" t="e">
        <f>Nodes!U346+"'E4!$XM"</f>
        <v>#VALUE!</v>
      </c>
      <c r="AY49" t="e">
        <f>Nodes!V346+"'E4!$XN"</f>
        <v>#VALUE!</v>
      </c>
      <c r="AZ49" t="e">
        <f>Nodes!W346+"'E4!$XO"</f>
        <v>#VALUE!</v>
      </c>
      <c r="BA49" t="e">
        <f>Nodes!X346+"'E4!$XP"</f>
        <v>#VALUE!</v>
      </c>
      <c r="BB49" t="e">
        <f>Nodes!Y346+"'E4!$XQ"</f>
        <v>#VALUE!</v>
      </c>
      <c r="BC49" t="e">
        <f>Nodes!Z346+"'E4!$XR"</f>
        <v>#VALUE!</v>
      </c>
      <c r="BD49" t="e">
        <f>Nodes!AA346+"'E4!$XS"</f>
        <v>#VALUE!</v>
      </c>
      <c r="BE49" t="e">
        <f>Nodes!AB346+"'E4!$XT"</f>
        <v>#VALUE!</v>
      </c>
      <c r="BF49" t="e">
        <f>Nodes!AC346+"'E4!$XU"</f>
        <v>#VALUE!</v>
      </c>
      <c r="BG49" t="e">
        <f>Nodes!A347+"'E4!$XV"</f>
        <v>#VALUE!</v>
      </c>
      <c r="BH49" t="e">
        <f>Nodes!B347+"'E4!$XW"</f>
        <v>#VALUE!</v>
      </c>
      <c r="BI49" t="e">
        <f>Nodes!C347+"'E4!$XX"</f>
        <v>#VALUE!</v>
      </c>
      <c r="BJ49" t="e">
        <f>Nodes!D347+"'E4!$XY"</f>
        <v>#VALUE!</v>
      </c>
      <c r="BK49" t="e">
        <f>Nodes!E347+"'E4!$XZ"</f>
        <v>#VALUE!</v>
      </c>
      <c r="BL49" t="e">
        <f>Nodes!F347+"'E4!$X["</f>
        <v>#VALUE!</v>
      </c>
      <c r="BM49" t="e">
        <f>Nodes!G347+"'E4!$X\"</f>
        <v>#VALUE!</v>
      </c>
      <c r="BN49" t="e">
        <f>Nodes!H347+"'E4!$X]"</f>
        <v>#VALUE!</v>
      </c>
      <c r="BO49" t="e">
        <f>Nodes!I347+"'E4!$X^"</f>
        <v>#VALUE!</v>
      </c>
      <c r="BP49" t="e">
        <f>Nodes!J347+"'E4!$X_"</f>
        <v>#VALUE!</v>
      </c>
      <c r="BQ49" t="e">
        <f>Nodes!K347+"'E4!$X`"</f>
        <v>#VALUE!</v>
      </c>
      <c r="BR49" t="e">
        <f>Nodes!L347+"'E4!$Xa"</f>
        <v>#VALUE!</v>
      </c>
      <c r="BS49" t="e">
        <f>Nodes!M347+"'E4!$Xb"</f>
        <v>#VALUE!</v>
      </c>
      <c r="BT49" t="e">
        <f>Nodes!N347+"'E4!$Xc"</f>
        <v>#VALUE!</v>
      </c>
      <c r="BU49" t="e">
        <f>Nodes!O347+"'E4!$Xd"</f>
        <v>#VALUE!</v>
      </c>
      <c r="BV49" t="e">
        <f>Nodes!P347+"'E4!$Xe"</f>
        <v>#VALUE!</v>
      </c>
      <c r="BW49" t="e">
        <f>Nodes!Q347+"'E4!$Xf"</f>
        <v>#VALUE!</v>
      </c>
      <c r="BX49" t="e">
        <f>Nodes!R347+"'E4!$Xg"</f>
        <v>#VALUE!</v>
      </c>
      <c r="BY49" t="e">
        <f>Nodes!S347+"'E4!$Xh"</f>
        <v>#VALUE!</v>
      </c>
      <c r="BZ49" s="548" t="e">
        <f>Nodes!T347+"'E4!$Xi"</f>
        <v>#VALUE!</v>
      </c>
      <c r="CA49" s="548" t="e">
        <f>Nodes!U347+"'E4!$Xj"</f>
        <v>#VALUE!</v>
      </c>
      <c r="CB49" t="e">
        <f>Nodes!V347+"'E4!$Xk"</f>
        <v>#VALUE!</v>
      </c>
      <c r="CC49" t="e">
        <f>Nodes!W347+"'E4!$Xl"</f>
        <v>#VALUE!</v>
      </c>
      <c r="CD49" t="e">
        <f>Nodes!X347+"'E4!$Xm"</f>
        <v>#VALUE!</v>
      </c>
      <c r="CE49" t="e">
        <f>Nodes!Y347+"'E4!$Xn"</f>
        <v>#VALUE!</v>
      </c>
      <c r="CF49" t="e">
        <f>Nodes!Z347+"'E4!$Xo"</f>
        <v>#VALUE!</v>
      </c>
      <c r="CG49" t="e">
        <f>Nodes!AA347+"'E4!$Xp"</f>
        <v>#VALUE!</v>
      </c>
      <c r="CH49" t="e">
        <f>Nodes!AB347+"'E4!$Xq"</f>
        <v>#VALUE!</v>
      </c>
      <c r="CI49" t="e">
        <f>Nodes!AC347+"'E4!$Xr"</f>
        <v>#VALUE!</v>
      </c>
      <c r="CJ49" t="e">
        <f>Nodes!A348+"'E4!$Xs"</f>
        <v>#VALUE!</v>
      </c>
      <c r="CK49" t="e">
        <f>Nodes!B348+"'E4!$Xt"</f>
        <v>#VALUE!</v>
      </c>
      <c r="CL49" t="e">
        <f>Nodes!C348+"'E4!$Xu"</f>
        <v>#VALUE!</v>
      </c>
      <c r="CM49" t="e">
        <f>Nodes!D348+"'E4!$Xv"</f>
        <v>#VALUE!</v>
      </c>
      <c r="CN49" t="e">
        <f>Nodes!E348+"'E4!$Xw"</f>
        <v>#VALUE!</v>
      </c>
      <c r="CO49" t="e">
        <f>Nodes!F348+"'E4!$Xx"</f>
        <v>#VALUE!</v>
      </c>
      <c r="CP49" t="e">
        <f>Nodes!G348+"'E4!$Xy"</f>
        <v>#VALUE!</v>
      </c>
      <c r="CQ49" t="e">
        <f>Nodes!H348+"'E4!$Xz"</f>
        <v>#VALUE!</v>
      </c>
      <c r="CR49" t="e">
        <f>Nodes!I348+"'E4!$X{"</f>
        <v>#VALUE!</v>
      </c>
      <c r="CS49" t="e">
        <f>Nodes!J348+"'E4!$X|"</f>
        <v>#VALUE!</v>
      </c>
      <c r="CT49" t="e">
        <f>Nodes!K348+"'E4!$X}"</f>
        <v>#VALUE!</v>
      </c>
      <c r="CU49" t="e">
        <f>Nodes!L348+"'E4!$X~"</f>
        <v>#VALUE!</v>
      </c>
      <c r="CV49" t="e">
        <f>Nodes!M348+"'E4!$Y#"</f>
        <v>#VALUE!</v>
      </c>
      <c r="CW49" t="e">
        <f>Nodes!N348+"'E4!$Y$"</f>
        <v>#VALUE!</v>
      </c>
      <c r="CX49" t="e">
        <f>Nodes!O348+"'E4!$Y%"</f>
        <v>#VALUE!</v>
      </c>
      <c r="CY49" t="e">
        <f>Nodes!P348+"'E4!$Y&amp;"</f>
        <v>#VALUE!</v>
      </c>
      <c r="CZ49" t="e">
        <f>Nodes!Q348+"'E4!$Y'"</f>
        <v>#VALUE!</v>
      </c>
      <c r="DA49" t="e">
        <f>Nodes!R348+"'E4!$Y("</f>
        <v>#VALUE!</v>
      </c>
      <c r="DB49" t="e">
        <f>Nodes!S348+"'E4!$Y)"</f>
        <v>#VALUE!</v>
      </c>
      <c r="DC49" s="548" t="e">
        <f>Nodes!T348+"'E4!$Y."</f>
        <v>#VALUE!</v>
      </c>
      <c r="DD49" s="548" t="e">
        <f>Nodes!U348+"'E4!$Y/"</f>
        <v>#VALUE!</v>
      </c>
      <c r="DE49" t="e">
        <f>Nodes!V348+"'E4!$Y0"</f>
        <v>#VALUE!</v>
      </c>
      <c r="DF49" t="e">
        <f>Nodes!W348+"'E4!$Y1"</f>
        <v>#VALUE!</v>
      </c>
      <c r="DG49" t="e">
        <f>Nodes!X348+"'E4!$Y2"</f>
        <v>#VALUE!</v>
      </c>
      <c r="DH49" t="e">
        <f>Nodes!Y348+"'E4!$Y3"</f>
        <v>#VALUE!</v>
      </c>
      <c r="DI49" t="e">
        <f>Nodes!Z348+"'E4!$Y4"</f>
        <v>#VALUE!</v>
      </c>
      <c r="DJ49" t="e">
        <f>Nodes!AA348+"'E4!$Y5"</f>
        <v>#VALUE!</v>
      </c>
      <c r="DK49" t="e">
        <f>Nodes!AB348+"'E4!$Y6"</f>
        <v>#VALUE!</v>
      </c>
      <c r="DL49" t="e">
        <f>Nodes!AC348+"'E4!$Y7"</f>
        <v>#VALUE!</v>
      </c>
      <c r="DM49" t="e">
        <f>Nodes!A349+"'E4!$Y8"</f>
        <v>#VALUE!</v>
      </c>
      <c r="DN49" t="e">
        <f>Nodes!B349+"'E4!$Y9"</f>
        <v>#VALUE!</v>
      </c>
      <c r="DO49" t="e">
        <f>Nodes!C349+"'E4!$Y:"</f>
        <v>#VALUE!</v>
      </c>
      <c r="DP49" t="e">
        <f>Nodes!D349+"'E4!$Y;"</f>
        <v>#VALUE!</v>
      </c>
      <c r="DQ49" t="e">
        <f>Nodes!E349+"'E4!$Y&lt;"</f>
        <v>#VALUE!</v>
      </c>
      <c r="DR49" t="e">
        <f>Nodes!F349+"'E4!$Y="</f>
        <v>#VALUE!</v>
      </c>
      <c r="DS49" t="e">
        <f>Nodes!G349+"'E4!$Y&gt;"</f>
        <v>#VALUE!</v>
      </c>
      <c r="DT49" t="e">
        <f>Nodes!H349+"'E4!$Y?"</f>
        <v>#VALUE!</v>
      </c>
      <c r="DU49" t="e">
        <f>Nodes!I349+"'E4!$Y@"</f>
        <v>#VALUE!</v>
      </c>
      <c r="DV49" t="e">
        <f>Nodes!J349+"'E4!$YA"</f>
        <v>#VALUE!</v>
      </c>
      <c r="DW49" t="e">
        <f>Nodes!K349+"'E4!$YB"</f>
        <v>#VALUE!</v>
      </c>
      <c r="DX49" t="e">
        <f>Nodes!L349+"'E4!$YC"</f>
        <v>#VALUE!</v>
      </c>
      <c r="DY49" t="e">
        <f>Nodes!M349+"'E4!$YD"</f>
        <v>#VALUE!</v>
      </c>
      <c r="DZ49" t="e">
        <f>Nodes!N349+"'E4!$YE"</f>
        <v>#VALUE!</v>
      </c>
      <c r="EA49" t="e">
        <f>Nodes!O349+"'E4!$YF"</f>
        <v>#VALUE!</v>
      </c>
      <c r="EB49" t="e">
        <f>Nodes!P349+"'E4!$YG"</f>
        <v>#VALUE!</v>
      </c>
      <c r="EC49" t="e">
        <f>Nodes!Q349+"'E4!$YH"</f>
        <v>#VALUE!</v>
      </c>
      <c r="ED49" t="e">
        <f>Nodes!R349+"'E4!$YI"</f>
        <v>#VALUE!</v>
      </c>
      <c r="EE49" t="e">
        <f>Nodes!S349+"'E4!$YJ"</f>
        <v>#VALUE!</v>
      </c>
      <c r="EF49" s="548" t="e">
        <f>Nodes!T349+"'E4!$YK"</f>
        <v>#VALUE!</v>
      </c>
      <c r="EG49" s="548" t="e">
        <f>Nodes!U349+"'E4!$YL"</f>
        <v>#VALUE!</v>
      </c>
      <c r="EH49" t="e">
        <f>Nodes!V349+"'E4!$YM"</f>
        <v>#VALUE!</v>
      </c>
      <c r="EI49" t="e">
        <f>Nodes!W349+"'E4!$YN"</f>
        <v>#VALUE!</v>
      </c>
      <c r="EJ49" t="e">
        <f>Nodes!X349+"'E4!$YO"</f>
        <v>#VALUE!</v>
      </c>
      <c r="EK49" t="e">
        <f>Nodes!Y349+"'E4!$YP"</f>
        <v>#VALUE!</v>
      </c>
      <c r="EL49" t="e">
        <f>Nodes!Z349+"'E4!$YQ"</f>
        <v>#VALUE!</v>
      </c>
      <c r="EM49" t="e">
        <f>Nodes!AA349+"'E4!$YR"</f>
        <v>#VALUE!</v>
      </c>
      <c r="EN49" t="e">
        <f>Nodes!AB349+"'E4!$YS"</f>
        <v>#VALUE!</v>
      </c>
      <c r="EO49" t="e">
        <f>Nodes!AC349+"'E4!$YT"</f>
        <v>#VALUE!</v>
      </c>
      <c r="EP49" t="e">
        <f>Nodes!A350+"'E4!$YU"</f>
        <v>#VALUE!</v>
      </c>
      <c r="EQ49" t="e">
        <f>Nodes!B350+"'E4!$YV"</f>
        <v>#VALUE!</v>
      </c>
      <c r="ER49" t="e">
        <f>Nodes!C350+"'E4!$YW"</f>
        <v>#VALUE!</v>
      </c>
      <c r="ES49" t="e">
        <f>Nodes!D350+"'E4!$YX"</f>
        <v>#VALUE!</v>
      </c>
      <c r="ET49" t="e">
        <f>Nodes!E350+"'E4!$YY"</f>
        <v>#VALUE!</v>
      </c>
      <c r="EU49" t="e">
        <f>Nodes!F350+"'E4!$YZ"</f>
        <v>#VALUE!</v>
      </c>
      <c r="EV49" t="e">
        <f>Nodes!G350+"'E4!$Y["</f>
        <v>#VALUE!</v>
      </c>
      <c r="EW49" t="e">
        <f>Nodes!H350+"'E4!$Y\"</f>
        <v>#VALUE!</v>
      </c>
      <c r="EX49" t="e">
        <f>Nodes!I350+"'E4!$Y]"</f>
        <v>#VALUE!</v>
      </c>
      <c r="EY49" t="e">
        <f>Nodes!J350+"'E4!$Y^"</f>
        <v>#VALUE!</v>
      </c>
      <c r="EZ49" t="e">
        <f>Nodes!K350+"'E4!$Y_"</f>
        <v>#VALUE!</v>
      </c>
      <c r="FA49" t="e">
        <f>Nodes!L350+"'E4!$Y`"</f>
        <v>#VALUE!</v>
      </c>
      <c r="FB49" t="e">
        <f>Nodes!M350+"'E4!$Ya"</f>
        <v>#VALUE!</v>
      </c>
      <c r="FC49" t="e">
        <f>Nodes!N350+"'E4!$Yb"</f>
        <v>#VALUE!</v>
      </c>
      <c r="FD49" t="e">
        <f>Nodes!O350+"'E4!$Yc"</f>
        <v>#VALUE!</v>
      </c>
      <c r="FE49" t="e">
        <f>Nodes!P350+"'E4!$Yd"</f>
        <v>#VALUE!</v>
      </c>
      <c r="FF49" t="e">
        <f>Nodes!Q350+"'E4!$Ye"</f>
        <v>#VALUE!</v>
      </c>
      <c r="FG49" t="e">
        <f>Nodes!R350+"'E4!$Yf"</f>
        <v>#VALUE!</v>
      </c>
      <c r="FH49" t="e">
        <f>Nodes!S350+"'E4!$Yg"</f>
        <v>#VALUE!</v>
      </c>
      <c r="FI49" s="548" t="e">
        <f>Nodes!T350+"'E4!$Yh"</f>
        <v>#VALUE!</v>
      </c>
      <c r="FJ49" s="548" t="e">
        <f>Nodes!U350+"'E4!$Yi"</f>
        <v>#VALUE!</v>
      </c>
      <c r="FK49" t="e">
        <f>Nodes!V350+"'E4!$Yj"</f>
        <v>#VALUE!</v>
      </c>
      <c r="FL49" t="e">
        <f>Nodes!W350+"'E4!$Yk"</f>
        <v>#VALUE!</v>
      </c>
      <c r="FM49" t="e">
        <f>Nodes!X350+"'E4!$Yl"</f>
        <v>#VALUE!</v>
      </c>
      <c r="FN49" t="e">
        <f>Nodes!Y350+"'E4!$Ym"</f>
        <v>#VALUE!</v>
      </c>
      <c r="FO49" t="e">
        <f>Nodes!Z350+"'E4!$Yn"</f>
        <v>#VALUE!</v>
      </c>
      <c r="FP49" t="e">
        <f>Nodes!AA350+"'E4!$Yo"</f>
        <v>#VALUE!</v>
      </c>
      <c r="FQ49" t="e">
        <f>Nodes!AB350+"'E4!$Yp"</f>
        <v>#VALUE!</v>
      </c>
      <c r="FR49" t="e">
        <f>Nodes!AC350+"'E4!$Yq"</f>
        <v>#VALUE!</v>
      </c>
      <c r="FS49" t="e">
        <f>Nodes!A351+"'E4!$Yr"</f>
        <v>#VALUE!</v>
      </c>
      <c r="FT49" t="e">
        <f>Nodes!B351+"'E4!$Ys"</f>
        <v>#VALUE!</v>
      </c>
      <c r="FU49" t="e">
        <f>Nodes!C351+"'E4!$Yt"</f>
        <v>#VALUE!</v>
      </c>
      <c r="FV49" t="e">
        <f>Nodes!D351+"'E4!$Yu"</f>
        <v>#VALUE!</v>
      </c>
      <c r="FW49" t="e">
        <f>Nodes!E351+"'E4!$Yv"</f>
        <v>#VALUE!</v>
      </c>
      <c r="FX49" t="e">
        <f>Nodes!F351+"'E4!$Yw"</f>
        <v>#VALUE!</v>
      </c>
      <c r="FY49" t="e">
        <f>Nodes!G351+"'E4!$Yx"</f>
        <v>#VALUE!</v>
      </c>
      <c r="FZ49" t="e">
        <f>Nodes!H351+"'E4!$Yy"</f>
        <v>#VALUE!</v>
      </c>
      <c r="GA49" t="e">
        <f>Nodes!I351+"'E4!$Yz"</f>
        <v>#VALUE!</v>
      </c>
      <c r="GB49" t="e">
        <f>Nodes!J351+"'E4!$Y{"</f>
        <v>#VALUE!</v>
      </c>
      <c r="GC49" t="e">
        <f>Nodes!K351+"'E4!$Y|"</f>
        <v>#VALUE!</v>
      </c>
      <c r="GD49" t="e">
        <f>Nodes!L351+"'E4!$Y}"</f>
        <v>#VALUE!</v>
      </c>
      <c r="GE49" t="e">
        <f>Nodes!M351+"'E4!$Y~"</f>
        <v>#VALUE!</v>
      </c>
      <c r="GF49" t="e">
        <f>Nodes!N351+"'E4!$Z#"</f>
        <v>#VALUE!</v>
      </c>
      <c r="GG49" t="e">
        <f>Nodes!O351+"'E4!$Z$"</f>
        <v>#VALUE!</v>
      </c>
      <c r="GH49" t="e">
        <f>Nodes!P351+"'E4!$Z%"</f>
        <v>#VALUE!</v>
      </c>
      <c r="GI49" t="e">
        <f>Nodes!Q351+"'E4!$Z&amp;"</f>
        <v>#VALUE!</v>
      </c>
      <c r="GJ49" t="e">
        <f>Nodes!R351+"'E4!$Z'"</f>
        <v>#VALUE!</v>
      </c>
      <c r="GK49" t="e">
        <f>Nodes!S351+"'E4!$Z("</f>
        <v>#VALUE!</v>
      </c>
      <c r="GL49" s="548" t="e">
        <f>Nodes!T351+"'E4!$Z)"</f>
        <v>#VALUE!</v>
      </c>
      <c r="GM49" s="548" t="e">
        <f>Nodes!U351+"'E4!$Z."</f>
        <v>#VALUE!</v>
      </c>
      <c r="GN49" t="e">
        <f>Nodes!V351+"'E4!$Z/"</f>
        <v>#VALUE!</v>
      </c>
      <c r="GO49" t="e">
        <f>Nodes!W351+"'E4!$Z0"</f>
        <v>#VALUE!</v>
      </c>
      <c r="GP49" t="e">
        <f>Nodes!X351+"'E4!$Z1"</f>
        <v>#VALUE!</v>
      </c>
      <c r="GQ49" t="e">
        <f>Nodes!Y351+"'E4!$Z2"</f>
        <v>#VALUE!</v>
      </c>
      <c r="GR49" t="e">
        <f>Nodes!Z351+"'E4!$Z3"</f>
        <v>#VALUE!</v>
      </c>
      <c r="GS49" t="e">
        <f>Nodes!AA351+"'E4!$Z4"</f>
        <v>#VALUE!</v>
      </c>
      <c r="GT49" t="e">
        <f>Nodes!AB351+"'E4!$Z5"</f>
        <v>#VALUE!</v>
      </c>
      <c r="GU49" t="e">
        <f>Nodes!AC351+"'E4!$Z6"</f>
        <v>#VALUE!</v>
      </c>
      <c r="GV49" t="e">
        <f>Nodes!A352+"'E4!$Z7"</f>
        <v>#VALUE!</v>
      </c>
      <c r="GW49" t="e">
        <f>Nodes!B352+"'E4!$Z8"</f>
        <v>#VALUE!</v>
      </c>
      <c r="GX49" t="e">
        <f>Nodes!C352+"'E4!$Z9"</f>
        <v>#VALUE!</v>
      </c>
      <c r="GY49" t="e">
        <f>Nodes!D352+"'E4!$Z:"</f>
        <v>#VALUE!</v>
      </c>
      <c r="GZ49" t="e">
        <f>Nodes!E352+"'E4!$Z;"</f>
        <v>#VALUE!</v>
      </c>
      <c r="HA49" t="e">
        <f>Nodes!F352+"'E4!$Z&lt;"</f>
        <v>#VALUE!</v>
      </c>
      <c r="HB49" t="e">
        <f>Nodes!G352+"'E4!$Z="</f>
        <v>#VALUE!</v>
      </c>
      <c r="HC49" t="e">
        <f>Nodes!H352+"'E4!$Z&gt;"</f>
        <v>#VALUE!</v>
      </c>
      <c r="HD49" t="e">
        <f>Nodes!I352+"'E4!$Z?"</f>
        <v>#VALUE!</v>
      </c>
      <c r="HE49" t="e">
        <f>Nodes!J352+"'E4!$Z@"</f>
        <v>#VALUE!</v>
      </c>
      <c r="HF49" t="e">
        <f>Nodes!K352+"'E4!$ZA"</f>
        <v>#VALUE!</v>
      </c>
      <c r="HG49" t="e">
        <f>Nodes!L352+"'E4!$ZB"</f>
        <v>#VALUE!</v>
      </c>
      <c r="HH49" t="e">
        <f>Nodes!M352+"'E4!$ZC"</f>
        <v>#VALUE!</v>
      </c>
      <c r="HI49" t="e">
        <f>Nodes!N352+"'E4!$ZD"</f>
        <v>#VALUE!</v>
      </c>
      <c r="HJ49" t="e">
        <f>Nodes!O352+"'E4!$ZE"</f>
        <v>#VALUE!</v>
      </c>
      <c r="HK49" t="e">
        <f>Nodes!P352+"'E4!$ZF"</f>
        <v>#VALUE!</v>
      </c>
      <c r="HL49" t="e">
        <f>Nodes!Q352+"'E4!$ZG"</f>
        <v>#VALUE!</v>
      </c>
      <c r="HM49" t="e">
        <f>Nodes!R352+"'E4!$ZH"</f>
        <v>#VALUE!</v>
      </c>
      <c r="HN49" t="e">
        <f>Nodes!S352+"'E4!$ZI"</f>
        <v>#VALUE!</v>
      </c>
      <c r="HO49" s="548" t="e">
        <f>Nodes!T352+"'E4!$ZJ"</f>
        <v>#VALUE!</v>
      </c>
      <c r="HP49" s="548" t="e">
        <f>Nodes!U352+"'E4!$ZK"</f>
        <v>#VALUE!</v>
      </c>
      <c r="HQ49" t="e">
        <f>Nodes!V352+"'E4!$ZL"</f>
        <v>#VALUE!</v>
      </c>
      <c r="HR49" t="e">
        <f>Nodes!W352+"'E4!$ZM"</f>
        <v>#VALUE!</v>
      </c>
      <c r="HS49" t="e">
        <f>Nodes!X352+"'E4!$ZN"</f>
        <v>#VALUE!</v>
      </c>
      <c r="HT49" t="e">
        <f>Nodes!Y352+"'E4!$ZO"</f>
        <v>#VALUE!</v>
      </c>
      <c r="HU49" t="e">
        <f>Nodes!Z352+"'E4!$ZP"</f>
        <v>#VALUE!</v>
      </c>
      <c r="HV49" t="e">
        <f>Nodes!AA352+"'E4!$ZQ"</f>
        <v>#VALUE!</v>
      </c>
      <c r="HW49" t="e">
        <f>Nodes!AB352+"'E4!$ZR"</f>
        <v>#VALUE!</v>
      </c>
      <c r="HX49" t="e">
        <f>Nodes!AC352+"'E4!$ZS"</f>
        <v>#VALUE!</v>
      </c>
      <c r="HY49" t="e">
        <f>Nodes!A353+"'E4!$ZT"</f>
        <v>#VALUE!</v>
      </c>
      <c r="HZ49" t="e">
        <f>Nodes!B353+"'E4!$ZU"</f>
        <v>#VALUE!</v>
      </c>
      <c r="IA49" t="e">
        <f>Nodes!C353+"'E4!$ZV"</f>
        <v>#VALUE!</v>
      </c>
      <c r="IB49" t="e">
        <f>Nodes!D353+"'E4!$ZW"</f>
        <v>#VALUE!</v>
      </c>
      <c r="IC49" t="e">
        <f>Nodes!E353+"'E4!$ZX"</f>
        <v>#VALUE!</v>
      </c>
      <c r="ID49" t="e">
        <f>Nodes!F353+"'E4!$ZY"</f>
        <v>#VALUE!</v>
      </c>
      <c r="IE49" t="e">
        <f>Nodes!G353+"'E4!$ZZ"</f>
        <v>#VALUE!</v>
      </c>
      <c r="IF49" t="e">
        <f>Nodes!H353+"'E4!$Z["</f>
        <v>#VALUE!</v>
      </c>
      <c r="IG49" t="e">
        <f>Nodes!I353+"'E4!$Z\"</f>
        <v>#VALUE!</v>
      </c>
      <c r="IH49" t="e">
        <f>Nodes!J353+"'E4!$Z]"</f>
        <v>#VALUE!</v>
      </c>
      <c r="II49" t="e">
        <f>Nodes!K353+"'E4!$Z^"</f>
        <v>#VALUE!</v>
      </c>
      <c r="IJ49" t="e">
        <f>Nodes!L353+"'E4!$Z_"</f>
        <v>#VALUE!</v>
      </c>
      <c r="IK49" t="e">
        <f>Nodes!M353+"'E4!$Z`"</f>
        <v>#VALUE!</v>
      </c>
      <c r="IL49" t="e">
        <f>Nodes!N353+"'E4!$Za"</f>
        <v>#VALUE!</v>
      </c>
      <c r="IM49" t="e">
        <f>Nodes!O353+"'E4!$Zb"</f>
        <v>#VALUE!</v>
      </c>
      <c r="IN49" t="e">
        <f>Nodes!P353+"'E4!$Zc"</f>
        <v>#VALUE!</v>
      </c>
      <c r="IO49" t="e">
        <f>Nodes!Q353+"'E4!$Zd"</f>
        <v>#VALUE!</v>
      </c>
      <c r="IP49" t="e">
        <f>Nodes!R353+"'E4!$Ze"</f>
        <v>#VALUE!</v>
      </c>
      <c r="IQ49" t="e">
        <f>Nodes!S353+"'E4!$Zf"</f>
        <v>#VALUE!</v>
      </c>
      <c r="IR49" s="548" t="e">
        <f>Nodes!T353+"'E4!$Zg"</f>
        <v>#VALUE!</v>
      </c>
      <c r="IS49" s="548" t="e">
        <f>Nodes!U353+"'E4!$Zh"</f>
        <v>#VALUE!</v>
      </c>
      <c r="IT49" t="e">
        <f>Nodes!V353+"'E4!$Zi"</f>
        <v>#VALUE!</v>
      </c>
      <c r="IU49" t="e">
        <f>Nodes!W353+"'E4!$Zj"</f>
        <v>#VALUE!</v>
      </c>
      <c r="IV49" t="e">
        <f>Nodes!X353+"'E4!$Zk"</f>
        <v>#VALUE!</v>
      </c>
    </row>
    <row r="50" spans="6:256">
      <c r="F50" t="e">
        <f>Nodes!Y353+"'E4!$Zl"</f>
        <v>#VALUE!</v>
      </c>
      <c r="G50" t="e">
        <f>Nodes!Z353+"'E4!$Zm"</f>
        <v>#VALUE!</v>
      </c>
      <c r="H50" t="e">
        <f>Nodes!AA353+"'E4!$Zn"</f>
        <v>#VALUE!</v>
      </c>
      <c r="I50" t="e">
        <f>Nodes!AB353+"'E4!$Zo"</f>
        <v>#VALUE!</v>
      </c>
      <c r="J50" t="e">
        <f>Nodes!AC353+"'E4!$Zp"</f>
        <v>#VALUE!</v>
      </c>
      <c r="K50" t="e">
        <f>Nodes!A354+"'E4!$Zq"</f>
        <v>#VALUE!</v>
      </c>
      <c r="L50" t="e">
        <f>Nodes!B354+"'E4!$Zr"</f>
        <v>#VALUE!</v>
      </c>
      <c r="M50" t="e">
        <f>Nodes!C354+"'E4!$Zs"</f>
        <v>#VALUE!</v>
      </c>
      <c r="N50" t="e">
        <f>Nodes!D354+"'E4!$Zt"</f>
        <v>#VALUE!</v>
      </c>
      <c r="O50" t="e">
        <f>Nodes!E354+"'E4!$Zu"</f>
        <v>#VALUE!</v>
      </c>
      <c r="P50" t="e">
        <f>Nodes!F354+"'E4!$Zv"</f>
        <v>#VALUE!</v>
      </c>
      <c r="Q50" t="e">
        <f>Nodes!G354+"'E4!$Zw"</f>
        <v>#VALUE!</v>
      </c>
      <c r="R50" t="e">
        <f>Nodes!H354+"'E4!$Zx"</f>
        <v>#VALUE!</v>
      </c>
      <c r="S50" t="e">
        <f>Nodes!I354+"'E4!$Zy"</f>
        <v>#VALUE!</v>
      </c>
      <c r="T50" t="e">
        <f>Nodes!J354+"'E4!$Zz"</f>
        <v>#VALUE!</v>
      </c>
      <c r="U50" t="e">
        <f>Nodes!K354+"'E4!$Z{"</f>
        <v>#VALUE!</v>
      </c>
      <c r="V50" t="e">
        <f>Nodes!L354+"'E4!$Z|"</f>
        <v>#VALUE!</v>
      </c>
      <c r="W50" t="e">
        <f>Nodes!M354+"'E4!$Z}"</f>
        <v>#VALUE!</v>
      </c>
      <c r="X50" t="e">
        <f>Nodes!N354+"'E4!$Z~"</f>
        <v>#VALUE!</v>
      </c>
      <c r="Y50" t="e">
        <f>Nodes!O354+"'E4!$[#"</f>
        <v>#VALUE!</v>
      </c>
      <c r="Z50" t="e">
        <f>Nodes!P354+"'E4!$[$"</f>
        <v>#VALUE!</v>
      </c>
      <c r="AA50" t="e">
        <f>Nodes!Q354+"'E4!$[%"</f>
        <v>#VALUE!</v>
      </c>
      <c r="AB50" t="e">
        <f>Nodes!R354+"'E4!$[&amp;"</f>
        <v>#VALUE!</v>
      </c>
      <c r="AC50" t="e">
        <f>Nodes!S354+"'E4!$['"</f>
        <v>#VALUE!</v>
      </c>
      <c r="AD50" s="548" t="e">
        <f>Nodes!T354+"'E4!$[("</f>
        <v>#VALUE!</v>
      </c>
      <c r="AE50" s="548" t="e">
        <f>Nodes!U354+"'E4!$[)"</f>
        <v>#VALUE!</v>
      </c>
      <c r="AF50" t="e">
        <f>Nodes!V354+"'E4!$[."</f>
        <v>#VALUE!</v>
      </c>
      <c r="AG50" t="e">
        <f>Nodes!W354+"'E4!$[/"</f>
        <v>#VALUE!</v>
      </c>
      <c r="AH50" s="333" t="e">
        <f>Nodes!X354+"'E4!$[0"</f>
        <v>#VALUE!</v>
      </c>
      <c r="AI50" t="e">
        <f>Nodes!Y354+"'E4!$[1"</f>
        <v>#VALUE!</v>
      </c>
      <c r="AJ50" t="e">
        <f>Nodes!Z354+"'E4!$[2"</f>
        <v>#VALUE!</v>
      </c>
      <c r="AK50" t="e">
        <f>Nodes!AA354+"'E4!$[3"</f>
        <v>#VALUE!</v>
      </c>
      <c r="AL50" t="e">
        <f>Nodes!AB354+"'E4!$[4"</f>
        <v>#VALUE!</v>
      </c>
      <c r="AM50" t="e">
        <f>Nodes!AC354+"'E4!$[5"</f>
        <v>#VALUE!</v>
      </c>
      <c r="AN50" t="e">
        <f>Nodes!A355+"'E4!$[6"</f>
        <v>#VALUE!</v>
      </c>
      <c r="AO50" t="e">
        <f>Nodes!B355+"'E4!$[7"</f>
        <v>#VALUE!</v>
      </c>
      <c r="AP50" t="e">
        <f>Nodes!C355+"'E4!$[8"</f>
        <v>#VALUE!</v>
      </c>
      <c r="AQ50" t="e">
        <f>Nodes!D355+"'E4!$[9"</f>
        <v>#VALUE!</v>
      </c>
      <c r="AR50" t="e">
        <f>Nodes!E355+"'E4!$[:"</f>
        <v>#VALUE!</v>
      </c>
      <c r="AS50" t="e">
        <f>Nodes!F355+"'E4!$[;"</f>
        <v>#VALUE!</v>
      </c>
      <c r="AT50" t="e">
        <f>Nodes!G355+"'E4!$[&lt;"</f>
        <v>#VALUE!</v>
      </c>
      <c r="AU50" t="e">
        <f>Nodes!H355+"'E4!$[="</f>
        <v>#VALUE!</v>
      </c>
      <c r="AV50" t="e">
        <f>Nodes!I355+"'E4!$[&gt;"</f>
        <v>#VALUE!</v>
      </c>
      <c r="AW50" t="e">
        <f>Nodes!J355+"'E4!$[?"</f>
        <v>#VALUE!</v>
      </c>
      <c r="AX50" t="e">
        <f>Nodes!K355+"'E4!$[@"</f>
        <v>#VALUE!</v>
      </c>
      <c r="AY50" t="e">
        <f>Nodes!L355+"'E4!$[A"</f>
        <v>#VALUE!</v>
      </c>
      <c r="AZ50" t="e">
        <f>Nodes!M355+"'E4!$[B"</f>
        <v>#VALUE!</v>
      </c>
      <c r="BA50" t="e">
        <f>Nodes!N355+"'E4!$[C"</f>
        <v>#VALUE!</v>
      </c>
      <c r="BB50" t="e">
        <f>Nodes!O355+"'E4!$[D"</f>
        <v>#VALUE!</v>
      </c>
      <c r="BC50" t="e">
        <f>Nodes!P355+"'E4!$[E"</f>
        <v>#VALUE!</v>
      </c>
      <c r="BD50" t="e">
        <f>Nodes!Q355+"'E4!$[F"</f>
        <v>#VALUE!</v>
      </c>
      <c r="BE50" t="e">
        <f>Nodes!R355+"'E4!$[G"</f>
        <v>#VALUE!</v>
      </c>
      <c r="BF50" t="e">
        <f>Nodes!S355+"'E4!$[H"</f>
        <v>#VALUE!</v>
      </c>
      <c r="BG50" s="548" t="e">
        <f>Nodes!T355+"'E4!$[I"</f>
        <v>#VALUE!</v>
      </c>
      <c r="BH50" s="548" t="e">
        <f>Nodes!U355+"'E4!$[J"</f>
        <v>#VALUE!</v>
      </c>
      <c r="BI50" t="e">
        <f>Nodes!V355+"'E4!$[K"</f>
        <v>#VALUE!</v>
      </c>
      <c r="BJ50" t="e">
        <f>Nodes!W355+"'E4!$[L"</f>
        <v>#VALUE!</v>
      </c>
      <c r="BK50" s="333" t="e">
        <f>Nodes!X355+"'E4!$[M"</f>
        <v>#VALUE!</v>
      </c>
      <c r="BL50" t="e">
        <f>Nodes!Y355+"'E4!$[N"</f>
        <v>#VALUE!</v>
      </c>
      <c r="BM50" t="e">
        <f>Nodes!Z355+"'E4!$[O"</f>
        <v>#VALUE!</v>
      </c>
      <c r="BN50" t="e">
        <f>Nodes!AA355+"'E4!$[P"</f>
        <v>#VALUE!</v>
      </c>
      <c r="BO50" t="e">
        <f>Nodes!AB355+"'E4!$[Q"</f>
        <v>#VALUE!</v>
      </c>
      <c r="BP50" t="e">
        <f>Nodes!AC355+"'E4!$[R"</f>
        <v>#VALUE!</v>
      </c>
      <c r="BQ50" t="e">
        <f>Nodes!A356+"'E4!$[S"</f>
        <v>#VALUE!</v>
      </c>
      <c r="BR50" t="e">
        <f>Nodes!B356+"'E4!$[T"</f>
        <v>#VALUE!</v>
      </c>
      <c r="BS50" t="e">
        <f>Nodes!C356+"'E4!$[U"</f>
        <v>#VALUE!</v>
      </c>
      <c r="BT50" t="e">
        <f>Nodes!D356+"'E4!$[V"</f>
        <v>#VALUE!</v>
      </c>
      <c r="BU50" t="e">
        <f>Nodes!E356+"'E4!$[W"</f>
        <v>#VALUE!</v>
      </c>
      <c r="BV50" t="e">
        <f>Nodes!F356+"'E4!$[X"</f>
        <v>#VALUE!</v>
      </c>
      <c r="BW50" t="e">
        <f>Nodes!G356+"'E4!$[Y"</f>
        <v>#VALUE!</v>
      </c>
      <c r="BX50" t="e">
        <f>Nodes!H356+"'E4!$[Z"</f>
        <v>#VALUE!</v>
      </c>
      <c r="BY50" t="e">
        <f>Nodes!I356+"'E4!$[["</f>
        <v>#VALUE!</v>
      </c>
      <c r="BZ50" t="e">
        <f>Nodes!J356+"'E4!$[\"</f>
        <v>#VALUE!</v>
      </c>
      <c r="CA50" t="e">
        <f>Nodes!K356+"'E4!$[]"</f>
        <v>#VALUE!</v>
      </c>
      <c r="CB50" t="e">
        <f>Nodes!L356+"'E4!$[^"</f>
        <v>#VALUE!</v>
      </c>
      <c r="CC50" t="e">
        <f>Nodes!M356+"'E4!$[_"</f>
        <v>#VALUE!</v>
      </c>
      <c r="CD50" t="e">
        <f>Nodes!N356+"'E4!$[`"</f>
        <v>#VALUE!</v>
      </c>
      <c r="CE50" t="e">
        <f>Nodes!O356+"'E4!$[a"</f>
        <v>#VALUE!</v>
      </c>
      <c r="CF50" t="e">
        <f>Nodes!P356+"'E4!$[b"</f>
        <v>#VALUE!</v>
      </c>
      <c r="CG50" t="e">
        <f>Nodes!Q356+"'E4!$[c"</f>
        <v>#VALUE!</v>
      </c>
      <c r="CH50" t="e">
        <f>Nodes!R356+"'E4!$[d"</f>
        <v>#VALUE!</v>
      </c>
      <c r="CI50" t="e">
        <f>Nodes!S356+"'E4!$[e"</f>
        <v>#VALUE!</v>
      </c>
      <c r="CJ50" s="548" t="e">
        <f>Nodes!T356+"'E4!$[f"</f>
        <v>#VALUE!</v>
      </c>
      <c r="CK50" s="548" t="e">
        <f>Nodes!U356+"'E4!$[g"</f>
        <v>#VALUE!</v>
      </c>
      <c r="CL50" t="e">
        <f>Nodes!V356+"'E4!$[h"</f>
        <v>#VALUE!</v>
      </c>
      <c r="CM50" t="e">
        <f>Nodes!W356+"'E4!$[i"</f>
        <v>#VALUE!</v>
      </c>
      <c r="CN50" s="333" t="e">
        <f>Nodes!X356+"'E4!$[j"</f>
        <v>#VALUE!</v>
      </c>
      <c r="CO50" t="e">
        <f>Nodes!Y356+"'E4!$[k"</f>
        <v>#VALUE!</v>
      </c>
      <c r="CP50" t="e">
        <f>Nodes!Z356+"'E4!$[l"</f>
        <v>#VALUE!</v>
      </c>
      <c r="CQ50" t="e">
        <f>Nodes!AA356+"'E4!$[m"</f>
        <v>#VALUE!</v>
      </c>
      <c r="CR50" t="e">
        <f>Nodes!AB356+"'E4!$[n"</f>
        <v>#VALUE!</v>
      </c>
      <c r="CS50" t="e">
        <f>Nodes!AC356+"'E4!$[o"</f>
        <v>#VALUE!</v>
      </c>
      <c r="CT50" t="e">
        <f>Nodes!A357+"'E4!$[p"</f>
        <v>#VALUE!</v>
      </c>
      <c r="CU50" t="e">
        <f>Nodes!B357+"'E4!$[q"</f>
        <v>#VALUE!</v>
      </c>
      <c r="CV50" t="e">
        <f>Nodes!C357+"'E4!$[r"</f>
        <v>#VALUE!</v>
      </c>
      <c r="CW50" t="e">
        <f>Nodes!D357+"'E4!$[s"</f>
        <v>#VALUE!</v>
      </c>
      <c r="CX50" t="e">
        <f>Nodes!E357+"'E4!$[t"</f>
        <v>#VALUE!</v>
      </c>
      <c r="CY50" t="e">
        <f>Nodes!F357+"'E4!$[u"</f>
        <v>#VALUE!</v>
      </c>
      <c r="CZ50" t="e">
        <f>Nodes!G357+"'E4!$[v"</f>
        <v>#VALUE!</v>
      </c>
      <c r="DA50" t="e">
        <f>Nodes!H357+"'E4!$[w"</f>
        <v>#VALUE!</v>
      </c>
      <c r="DB50" t="e">
        <f>Nodes!I357+"'E4!$[x"</f>
        <v>#VALUE!</v>
      </c>
      <c r="DC50" t="e">
        <f>Nodes!J357+"'E4!$[y"</f>
        <v>#VALUE!</v>
      </c>
      <c r="DD50" t="e">
        <f>Nodes!K357+"'E4!$[z"</f>
        <v>#VALUE!</v>
      </c>
      <c r="DE50" t="e">
        <f>Nodes!L357+"'E4!$[{"</f>
        <v>#VALUE!</v>
      </c>
      <c r="DF50" t="e">
        <f>Nodes!M357+"'E4!$[|"</f>
        <v>#VALUE!</v>
      </c>
      <c r="DG50" t="e">
        <f>Nodes!N357+"'E4!$[}"</f>
        <v>#VALUE!</v>
      </c>
      <c r="DH50" t="e">
        <f>Nodes!O357+"'E4!$[~"</f>
        <v>#VALUE!</v>
      </c>
      <c r="DI50" t="e">
        <f>Nodes!P357+"'E4!$\#"</f>
        <v>#VALUE!</v>
      </c>
      <c r="DJ50" t="e">
        <f>Nodes!Q357+"'E4!$\$"</f>
        <v>#VALUE!</v>
      </c>
      <c r="DK50" t="e">
        <f>Nodes!R357+"'E4!$\%"</f>
        <v>#VALUE!</v>
      </c>
      <c r="DL50" t="e">
        <f>Nodes!S357+"'E4!$\&amp;"</f>
        <v>#VALUE!</v>
      </c>
      <c r="DM50" s="548" t="e">
        <f>Nodes!T357+"'E4!$\'"</f>
        <v>#VALUE!</v>
      </c>
      <c r="DN50" s="548" t="e">
        <f>Nodes!U357+"'E4!$\("</f>
        <v>#VALUE!</v>
      </c>
      <c r="DO50" t="e">
        <f>Nodes!V357+"'E4!$\)"</f>
        <v>#VALUE!</v>
      </c>
      <c r="DP50" t="e">
        <f>Nodes!W357+"'E4!$\."</f>
        <v>#VALUE!</v>
      </c>
      <c r="DQ50" s="333" t="e">
        <f>Nodes!X357+"'E4!$\/"</f>
        <v>#VALUE!</v>
      </c>
      <c r="DR50" t="e">
        <f>Nodes!Y357+"'E4!$\0"</f>
        <v>#VALUE!</v>
      </c>
      <c r="DS50" t="e">
        <f>Nodes!Z357+"'E4!$\1"</f>
        <v>#VALUE!</v>
      </c>
      <c r="DT50" t="e">
        <f>Nodes!AA357+"'E4!$\2"</f>
        <v>#VALUE!</v>
      </c>
      <c r="DU50" t="e">
        <f>Nodes!AB357+"'E4!$\3"</f>
        <v>#VALUE!</v>
      </c>
      <c r="DV50" t="e">
        <f>Nodes!AC357+"'E4!$\4"</f>
        <v>#VALUE!</v>
      </c>
      <c r="DW50" t="e">
        <f>Nodes!A358+"'E4!$\5"</f>
        <v>#VALUE!</v>
      </c>
      <c r="DX50" t="e">
        <f>Nodes!B358+"'E4!$\6"</f>
        <v>#VALUE!</v>
      </c>
      <c r="DY50" t="e">
        <f>Nodes!C358+"'E4!$\7"</f>
        <v>#VALUE!</v>
      </c>
      <c r="DZ50" t="e">
        <f>Nodes!D358+"'E4!$\8"</f>
        <v>#VALUE!</v>
      </c>
      <c r="EA50" t="e">
        <f>Nodes!E358+"'E4!$\9"</f>
        <v>#VALUE!</v>
      </c>
      <c r="EB50" t="e">
        <f>Nodes!F358+"'E4!$\:"</f>
        <v>#VALUE!</v>
      </c>
      <c r="EC50" t="e">
        <f>Nodes!G358+"'E4!$\;"</f>
        <v>#VALUE!</v>
      </c>
      <c r="ED50" t="e">
        <f>Nodes!H358+"'E4!$\&lt;"</f>
        <v>#VALUE!</v>
      </c>
      <c r="EE50" t="e">
        <f>Nodes!I358+"'E4!$\="</f>
        <v>#VALUE!</v>
      </c>
      <c r="EF50" t="e">
        <f>Nodes!J358+"'E4!$\&gt;"</f>
        <v>#VALUE!</v>
      </c>
      <c r="EG50" t="e">
        <f>Nodes!K358+"'E4!$\?"</f>
        <v>#VALUE!</v>
      </c>
      <c r="EH50" t="e">
        <f>Nodes!L358+"'E4!$\@"</f>
        <v>#VALUE!</v>
      </c>
      <c r="EI50" t="e">
        <f>Nodes!M358+"'E4!$\A"</f>
        <v>#VALUE!</v>
      </c>
      <c r="EJ50" t="e">
        <f>Nodes!N358+"'E4!$\B"</f>
        <v>#VALUE!</v>
      </c>
      <c r="EK50" t="e">
        <f>Nodes!O358+"'E4!$\C"</f>
        <v>#VALUE!</v>
      </c>
      <c r="EL50" t="e">
        <f>Nodes!P358+"'E4!$\D"</f>
        <v>#VALUE!</v>
      </c>
      <c r="EM50" t="e">
        <f>Nodes!Q358+"'E4!$\E"</f>
        <v>#VALUE!</v>
      </c>
      <c r="EN50" t="e">
        <f>Nodes!R358+"'E4!$\F"</f>
        <v>#VALUE!</v>
      </c>
      <c r="EO50" t="e">
        <f>Nodes!S358+"'E4!$\G"</f>
        <v>#VALUE!</v>
      </c>
      <c r="EP50" s="548" t="e">
        <f>Nodes!T358+"'E4!$\H"</f>
        <v>#VALUE!</v>
      </c>
      <c r="EQ50" s="548" t="e">
        <f>Nodes!U358+"'E4!$\I"</f>
        <v>#VALUE!</v>
      </c>
      <c r="ER50" t="e">
        <f>Nodes!V358+"'E4!$\J"</f>
        <v>#VALUE!</v>
      </c>
      <c r="ES50" t="e">
        <f>Nodes!W358+"'E4!$\K"</f>
        <v>#VALUE!</v>
      </c>
      <c r="ET50" s="333" t="e">
        <f>Nodes!X358+"'E4!$\L"</f>
        <v>#VALUE!</v>
      </c>
      <c r="EU50" t="e">
        <f>Nodes!Y358+"'E4!$\M"</f>
        <v>#VALUE!</v>
      </c>
      <c r="EV50" t="e">
        <f>Nodes!Z358+"'E4!$\N"</f>
        <v>#VALUE!</v>
      </c>
      <c r="EW50" t="e">
        <f>Nodes!AA358+"'E4!$\O"</f>
        <v>#VALUE!</v>
      </c>
      <c r="EX50" t="e">
        <f>Nodes!AB358+"'E4!$\P"</f>
        <v>#VALUE!</v>
      </c>
      <c r="EY50" t="e">
        <f>Nodes!AC358+"'E4!$\Q"</f>
        <v>#VALUE!</v>
      </c>
      <c r="EZ50" t="e">
        <f>Nodes!A359+"'E4!$\R"</f>
        <v>#VALUE!</v>
      </c>
      <c r="FA50" t="e">
        <f>Nodes!B359+"'E4!$\S"</f>
        <v>#VALUE!</v>
      </c>
      <c r="FB50" t="e">
        <f>Nodes!C359+"'E4!$\T"</f>
        <v>#VALUE!</v>
      </c>
      <c r="FC50" t="e">
        <f>Nodes!D359+"'E4!$\U"</f>
        <v>#VALUE!</v>
      </c>
      <c r="FD50" t="e">
        <f>Nodes!E359+"'E4!$\V"</f>
        <v>#VALUE!</v>
      </c>
      <c r="FE50" t="e">
        <f>Nodes!F359+"'E4!$\W"</f>
        <v>#VALUE!</v>
      </c>
      <c r="FF50" t="e">
        <f>Nodes!G359+"'E4!$\X"</f>
        <v>#VALUE!</v>
      </c>
      <c r="FG50" t="e">
        <f>Nodes!H359+"'E4!$\Y"</f>
        <v>#VALUE!</v>
      </c>
      <c r="FH50" t="e">
        <f>Nodes!I359+"'E4!$\Z"</f>
        <v>#VALUE!</v>
      </c>
      <c r="FI50" t="e">
        <f>Nodes!J359+"'E4!$\["</f>
        <v>#VALUE!</v>
      </c>
      <c r="FJ50" t="e">
        <f>Nodes!K359+"'E4!$\\"</f>
        <v>#VALUE!</v>
      </c>
      <c r="FK50" t="e">
        <f>Nodes!L359+"'E4!$\]"</f>
        <v>#VALUE!</v>
      </c>
      <c r="FL50" t="e">
        <f>Nodes!M359+"'E4!$\^"</f>
        <v>#VALUE!</v>
      </c>
      <c r="FM50" t="e">
        <f>Nodes!N359+"'E4!$\_"</f>
        <v>#VALUE!</v>
      </c>
      <c r="FN50" t="e">
        <f>Nodes!O359+"'E4!$\`"</f>
        <v>#VALUE!</v>
      </c>
      <c r="FO50" t="e">
        <f>Nodes!P359+"'E4!$\a"</f>
        <v>#VALUE!</v>
      </c>
      <c r="FP50" t="e">
        <f>Nodes!Q359+"'E4!$\b"</f>
        <v>#VALUE!</v>
      </c>
      <c r="FQ50" t="e">
        <f>Nodes!R359+"'E4!$\c"</f>
        <v>#VALUE!</v>
      </c>
      <c r="FR50" t="e">
        <f>Nodes!S359+"'E4!$\d"</f>
        <v>#VALUE!</v>
      </c>
      <c r="FS50" s="548" t="e">
        <f>Nodes!T359+"'E4!$\e"</f>
        <v>#VALUE!</v>
      </c>
      <c r="FT50" s="548" t="e">
        <f>Nodes!U359+"'E4!$\f"</f>
        <v>#VALUE!</v>
      </c>
      <c r="FU50" t="e">
        <f>Nodes!V359+"'E4!$\g"</f>
        <v>#VALUE!</v>
      </c>
      <c r="FV50" t="e">
        <f>Nodes!W359+"'E4!$\h"</f>
        <v>#VALUE!</v>
      </c>
      <c r="FW50" s="333" t="e">
        <f>Nodes!X359+"'E4!$\i"</f>
        <v>#VALUE!</v>
      </c>
      <c r="FX50" t="e">
        <f>Nodes!Y359+"'E4!$\j"</f>
        <v>#VALUE!</v>
      </c>
      <c r="FY50" t="e">
        <f>Nodes!Z359+"'E4!$\k"</f>
        <v>#VALUE!</v>
      </c>
      <c r="FZ50" t="e">
        <f>Nodes!AA359+"'E4!$\l"</f>
        <v>#VALUE!</v>
      </c>
      <c r="GA50" t="e">
        <f>Nodes!AB359+"'E4!$\m"</f>
        <v>#VALUE!</v>
      </c>
      <c r="GB50" t="e">
        <f>Nodes!AC359+"'E4!$\n"</f>
        <v>#VALUE!</v>
      </c>
      <c r="GC50" t="e">
        <f>Nodes!A360+"'E4!$\o"</f>
        <v>#VALUE!</v>
      </c>
      <c r="GD50" t="e">
        <f>Nodes!B360+"'E4!$\p"</f>
        <v>#VALUE!</v>
      </c>
      <c r="GE50" t="e">
        <f>Nodes!C360+"'E4!$\q"</f>
        <v>#VALUE!</v>
      </c>
      <c r="GF50" t="e">
        <f>Nodes!D360+"'E4!$\r"</f>
        <v>#VALUE!</v>
      </c>
      <c r="GG50" t="e">
        <f>Nodes!E360+"'E4!$\s"</f>
        <v>#VALUE!</v>
      </c>
      <c r="GH50" t="e">
        <f>Nodes!F360+"'E4!$\t"</f>
        <v>#VALUE!</v>
      </c>
      <c r="GI50" t="e">
        <f>Nodes!G360+"'E4!$\u"</f>
        <v>#VALUE!</v>
      </c>
      <c r="GJ50" t="e">
        <f>Nodes!H360+"'E4!$\v"</f>
        <v>#VALUE!</v>
      </c>
      <c r="GK50" t="e">
        <f>Nodes!I360+"'E4!$\w"</f>
        <v>#VALUE!</v>
      </c>
      <c r="GL50" t="e">
        <f>Nodes!J360+"'E4!$\x"</f>
        <v>#VALUE!</v>
      </c>
      <c r="GM50" t="e">
        <f>Nodes!K360+"'E4!$\y"</f>
        <v>#VALUE!</v>
      </c>
      <c r="GN50" t="e">
        <f>Nodes!L360+"'E4!$\z"</f>
        <v>#VALUE!</v>
      </c>
      <c r="GO50" t="e">
        <f>Nodes!M360+"'E4!$\{"</f>
        <v>#VALUE!</v>
      </c>
      <c r="GP50" t="e">
        <f>Nodes!N360+"'E4!$\|"</f>
        <v>#VALUE!</v>
      </c>
      <c r="GQ50" t="e">
        <f>Nodes!O360+"'E4!$\}"</f>
        <v>#VALUE!</v>
      </c>
      <c r="GR50" t="e">
        <f>Nodes!P360+"'E4!$\~"</f>
        <v>#VALUE!</v>
      </c>
      <c r="GS50" t="e">
        <f>Nodes!Q360+"'E4!$]#"</f>
        <v>#VALUE!</v>
      </c>
      <c r="GT50" t="e">
        <f>Nodes!R360+"'E4!$]$"</f>
        <v>#VALUE!</v>
      </c>
      <c r="GU50" t="e">
        <f>Nodes!S360+"'E4!$]%"</f>
        <v>#VALUE!</v>
      </c>
      <c r="GV50" s="548" t="e">
        <f>Nodes!T360+"'E4!$]&amp;"</f>
        <v>#VALUE!</v>
      </c>
      <c r="GW50" s="548" t="e">
        <f>Nodes!U360+"'E4!$]'"</f>
        <v>#VALUE!</v>
      </c>
      <c r="GX50" t="e">
        <f>Nodes!V360+"'E4!$]("</f>
        <v>#VALUE!</v>
      </c>
      <c r="GY50" t="e">
        <f>Nodes!W360+"'E4!$])"</f>
        <v>#VALUE!</v>
      </c>
      <c r="GZ50" s="333" t="e">
        <f>Nodes!X360+"'E4!$]."</f>
        <v>#VALUE!</v>
      </c>
      <c r="HA50" t="e">
        <f>Nodes!Y360+"'E4!$]/"</f>
        <v>#VALUE!</v>
      </c>
      <c r="HB50" t="e">
        <f>Nodes!Z360+"'E4!$]0"</f>
        <v>#VALUE!</v>
      </c>
      <c r="HC50" t="e">
        <f>Nodes!AA360+"'E4!$]1"</f>
        <v>#VALUE!</v>
      </c>
      <c r="HD50" t="e">
        <f>Nodes!AB360+"'E4!$]2"</f>
        <v>#VALUE!</v>
      </c>
      <c r="HE50" t="e">
        <f>Nodes!AC360+"'E4!$]3"</f>
        <v>#VALUE!</v>
      </c>
      <c r="HF50" t="e">
        <f>Nodes!A361+"'E4!$]4"</f>
        <v>#VALUE!</v>
      </c>
      <c r="HG50" t="e">
        <f>Nodes!B361+"'E4!$]5"</f>
        <v>#VALUE!</v>
      </c>
      <c r="HH50" t="e">
        <f>Nodes!C361+"'E4!$]6"</f>
        <v>#VALUE!</v>
      </c>
      <c r="HI50" t="e">
        <f>Nodes!D361+"'E4!$]7"</f>
        <v>#VALUE!</v>
      </c>
      <c r="HJ50" t="e">
        <f>Nodes!E361+"'E4!$]8"</f>
        <v>#VALUE!</v>
      </c>
      <c r="HK50" t="e">
        <f>Nodes!F361+"'E4!$]9"</f>
        <v>#VALUE!</v>
      </c>
      <c r="HL50" t="e">
        <f>Nodes!G361+"'E4!$]:"</f>
        <v>#VALUE!</v>
      </c>
      <c r="HM50" t="e">
        <f>Nodes!H361+"'E4!$];"</f>
        <v>#VALUE!</v>
      </c>
      <c r="HN50" t="e">
        <f>Nodes!I361+"'E4!$]&lt;"</f>
        <v>#VALUE!</v>
      </c>
      <c r="HO50" t="e">
        <f>Nodes!J361+"'E4!$]="</f>
        <v>#VALUE!</v>
      </c>
      <c r="HP50" t="e">
        <f>Nodes!K361+"'E4!$]&gt;"</f>
        <v>#VALUE!</v>
      </c>
      <c r="HQ50" t="e">
        <f>Nodes!L361+"'E4!$]?"</f>
        <v>#VALUE!</v>
      </c>
      <c r="HR50" t="e">
        <f>Nodes!M361+"'E4!$]@"</f>
        <v>#VALUE!</v>
      </c>
      <c r="HS50" t="e">
        <f>Nodes!N361+"'E4!$]A"</f>
        <v>#VALUE!</v>
      </c>
      <c r="HT50" t="e">
        <f>Nodes!O361+"'E4!$]B"</f>
        <v>#VALUE!</v>
      </c>
      <c r="HU50" t="e">
        <f>Nodes!P361+"'E4!$]C"</f>
        <v>#VALUE!</v>
      </c>
      <c r="HV50" t="e">
        <f>Nodes!Q361+"'E4!$]D"</f>
        <v>#VALUE!</v>
      </c>
      <c r="HW50" t="e">
        <f>Nodes!R361+"'E4!$]E"</f>
        <v>#VALUE!</v>
      </c>
      <c r="HX50" t="e">
        <f>Nodes!S361+"'E4!$]F"</f>
        <v>#VALUE!</v>
      </c>
      <c r="HY50" s="548" t="e">
        <f>Nodes!T361+"'E4!$]G"</f>
        <v>#VALUE!</v>
      </c>
      <c r="HZ50" s="548" t="e">
        <f>Nodes!U361+"'E4!$]H"</f>
        <v>#VALUE!</v>
      </c>
      <c r="IA50" t="e">
        <f>Nodes!V361+"'E4!$]I"</f>
        <v>#VALUE!</v>
      </c>
      <c r="IB50" t="e">
        <f>Nodes!W361+"'E4!$]J"</f>
        <v>#VALUE!</v>
      </c>
      <c r="IC50" s="333" t="e">
        <f>Nodes!X361+"'E4!$]K"</f>
        <v>#VALUE!</v>
      </c>
      <c r="ID50" t="e">
        <f>Nodes!Y361+"'E4!$]L"</f>
        <v>#VALUE!</v>
      </c>
      <c r="IE50" t="e">
        <f>Nodes!Z361+"'E4!$]M"</f>
        <v>#VALUE!</v>
      </c>
      <c r="IF50" t="e">
        <f>Nodes!AA361+"'E4!$]N"</f>
        <v>#VALUE!</v>
      </c>
      <c r="IG50" t="e">
        <f>Nodes!AB361+"'E4!$]O"</f>
        <v>#VALUE!</v>
      </c>
      <c r="IH50" t="e">
        <f>Nodes!AC361+"'E4!$]P"</f>
        <v>#VALUE!</v>
      </c>
      <c r="II50" t="e">
        <f>Nodes!A362+"'E4!$]Q"</f>
        <v>#VALUE!</v>
      </c>
      <c r="IJ50" t="e">
        <f>Nodes!B362+"'E4!$]R"</f>
        <v>#VALUE!</v>
      </c>
      <c r="IK50" t="e">
        <f>Nodes!C362+"'E4!$]S"</f>
        <v>#VALUE!</v>
      </c>
      <c r="IL50" t="e">
        <f>Nodes!D362+"'E4!$]T"</f>
        <v>#VALUE!</v>
      </c>
      <c r="IM50" t="e">
        <f>Nodes!E362+"'E4!$]U"</f>
        <v>#VALUE!</v>
      </c>
      <c r="IN50" t="e">
        <f>Nodes!F362+"'E4!$]V"</f>
        <v>#VALUE!</v>
      </c>
      <c r="IO50" t="e">
        <f>Nodes!G362+"'E4!$]W"</f>
        <v>#VALUE!</v>
      </c>
      <c r="IP50" t="e">
        <f>Nodes!H362+"'E4!$]X"</f>
        <v>#VALUE!</v>
      </c>
      <c r="IQ50" t="e">
        <f>Nodes!I362+"'E4!$]Y"</f>
        <v>#VALUE!</v>
      </c>
      <c r="IR50" t="e">
        <f>Nodes!J362+"'E4!$]Z"</f>
        <v>#VALUE!</v>
      </c>
      <c r="IS50" t="e">
        <f>Nodes!K362+"'E4!$]["</f>
        <v>#VALUE!</v>
      </c>
      <c r="IT50" t="e">
        <f>Nodes!L362+"'E4!$]\"</f>
        <v>#VALUE!</v>
      </c>
      <c r="IU50" t="e">
        <f>Nodes!M362+"'E4!$]]"</f>
        <v>#VALUE!</v>
      </c>
      <c r="IV50" t="e">
        <f>Nodes!N362+"'E4!$]^"</f>
        <v>#VALUE!</v>
      </c>
    </row>
    <row r="51" spans="6:256">
      <c r="F51" t="e">
        <f>Nodes!O362+"'E4!$]_"</f>
        <v>#VALUE!</v>
      </c>
      <c r="G51" t="e">
        <f>Nodes!P362+"'E4!$]`"</f>
        <v>#VALUE!</v>
      </c>
      <c r="H51" t="e">
        <f>Nodes!Q362+"'E4!$]a"</f>
        <v>#VALUE!</v>
      </c>
      <c r="I51" t="e">
        <f>Nodes!R362+"'E4!$]b"</f>
        <v>#VALUE!</v>
      </c>
      <c r="J51" t="e">
        <f>Nodes!S362+"'E4!$]c"</f>
        <v>#VALUE!</v>
      </c>
      <c r="K51" s="548" t="e">
        <f>Nodes!T362+"'E4!$]d"</f>
        <v>#VALUE!</v>
      </c>
      <c r="L51" s="548" t="e">
        <f>Nodes!U362+"'E4!$]e"</f>
        <v>#VALUE!</v>
      </c>
      <c r="M51" t="e">
        <f>Nodes!V362+"'E4!$]f"</f>
        <v>#VALUE!</v>
      </c>
      <c r="N51" t="e">
        <f>Nodes!W362+"'E4!$]g"</f>
        <v>#VALUE!</v>
      </c>
      <c r="O51" s="333" t="e">
        <f>Nodes!X362+"'E4!$]h"</f>
        <v>#VALUE!</v>
      </c>
      <c r="P51" t="e">
        <f>Nodes!Y362+"'E4!$]i"</f>
        <v>#VALUE!</v>
      </c>
      <c r="Q51" t="e">
        <f>Nodes!Z362+"'E4!$]j"</f>
        <v>#VALUE!</v>
      </c>
      <c r="R51" t="e">
        <f>Nodes!AA362+"'E4!$]k"</f>
        <v>#VALUE!</v>
      </c>
      <c r="S51" t="e">
        <f>Nodes!AB362+"'E4!$]l"</f>
        <v>#VALUE!</v>
      </c>
      <c r="T51" t="e">
        <f>Nodes!AC362+"'E4!$]m"</f>
        <v>#VALUE!</v>
      </c>
      <c r="U51" t="e">
        <f>Nodes!A363+"'E4!$]n"</f>
        <v>#VALUE!</v>
      </c>
      <c r="V51" t="e">
        <f>Nodes!B363+"'E4!$]o"</f>
        <v>#VALUE!</v>
      </c>
      <c r="W51" t="e">
        <f>Nodes!C363+"'E4!$]p"</f>
        <v>#VALUE!</v>
      </c>
      <c r="X51" t="e">
        <f>Nodes!D363+"'E4!$]q"</f>
        <v>#VALUE!</v>
      </c>
      <c r="Y51" t="e">
        <f>Nodes!E363+"'E4!$]r"</f>
        <v>#VALUE!</v>
      </c>
      <c r="Z51" t="e">
        <f>Nodes!F363+"'E4!$]s"</f>
        <v>#VALUE!</v>
      </c>
      <c r="AA51" t="e">
        <f>Nodes!G363+"'E4!$]t"</f>
        <v>#VALUE!</v>
      </c>
      <c r="AB51" t="e">
        <f>Nodes!H363+"'E4!$]u"</f>
        <v>#VALUE!</v>
      </c>
      <c r="AC51" t="e">
        <f>Nodes!I363+"'E4!$]v"</f>
        <v>#VALUE!</v>
      </c>
      <c r="AD51" t="e">
        <f>Nodes!J363+"'E4!$]w"</f>
        <v>#VALUE!</v>
      </c>
      <c r="AE51" t="e">
        <f>Nodes!K363+"'E4!$]x"</f>
        <v>#VALUE!</v>
      </c>
      <c r="AF51" t="e">
        <f>Nodes!L363+"'E4!$]y"</f>
        <v>#VALUE!</v>
      </c>
      <c r="AG51" t="e">
        <f>Nodes!M363+"'E4!$]z"</f>
        <v>#VALUE!</v>
      </c>
      <c r="AH51" t="e">
        <f>Nodes!N363+"'E4!$]{"</f>
        <v>#VALUE!</v>
      </c>
      <c r="AI51" t="e">
        <f>Nodes!O363+"'E4!$]|"</f>
        <v>#VALUE!</v>
      </c>
      <c r="AJ51" t="e">
        <f>Nodes!P363+"'E4!$]}"</f>
        <v>#VALUE!</v>
      </c>
      <c r="AK51" t="e">
        <f>Nodes!Q363+"'E4!$]~"</f>
        <v>#VALUE!</v>
      </c>
      <c r="AL51" t="e">
        <f>Nodes!R363+"'E4!$^#"</f>
        <v>#VALUE!</v>
      </c>
      <c r="AM51" t="e">
        <f>Nodes!S363+"'E4!$^$"</f>
        <v>#VALUE!</v>
      </c>
      <c r="AN51" s="548" t="e">
        <f>Nodes!T363+"'E4!$^%"</f>
        <v>#VALUE!</v>
      </c>
      <c r="AO51" s="548" t="e">
        <f>Nodes!U363+"'E4!$^&amp;"</f>
        <v>#VALUE!</v>
      </c>
      <c r="AP51" t="e">
        <f>Nodes!V363+"'E4!$^'"</f>
        <v>#VALUE!</v>
      </c>
      <c r="AQ51" t="e">
        <f>Nodes!W363+"'E4!$^("</f>
        <v>#VALUE!</v>
      </c>
      <c r="AR51" s="333" t="e">
        <f>Nodes!X363+"'E4!$^)"</f>
        <v>#VALUE!</v>
      </c>
      <c r="AS51" t="e">
        <f>Nodes!Y363+"'E4!$^."</f>
        <v>#VALUE!</v>
      </c>
      <c r="AT51" t="e">
        <f>Nodes!Z363+"'E4!$^/"</f>
        <v>#VALUE!</v>
      </c>
      <c r="AU51" t="e">
        <f>Nodes!AA363+"'E4!$^0"</f>
        <v>#VALUE!</v>
      </c>
      <c r="AV51" t="e">
        <f>Nodes!AB363+"'E4!$^1"</f>
        <v>#VALUE!</v>
      </c>
      <c r="AW51" t="e">
        <f>Nodes!AC363+"'E4!$^2"</f>
        <v>#VALUE!</v>
      </c>
      <c r="AX51" t="e">
        <f>Nodes!A364+"'E4!$^3"</f>
        <v>#VALUE!</v>
      </c>
      <c r="AY51" t="e">
        <f>Nodes!B364+"'E4!$^4"</f>
        <v>#VALUE!</v>
      </c>
      <c r="AZ51" t="e">
        <f>Nodes!C364+"'E4!$^5"</f>
        <v>#VALUE!</v>
      </c>
      <c r="BA51" t="e">
        <f>Nodes!D364+"'E4!$^6"</f>
        <v>#VALUE!</v>
      </c>
      <c r="BB51" t="e">
        <f>Nodes!E364+"'E4!$^7"</f>
        <v>#VALUE!</v>
      </c>
      <c r="BC51" t="e">
        <f>Nodes!F364+"'E4!$^8"</f>
        <v>#VALUE!</v>
      </c>
      <c r="BD51" t="e">
        <f>Nodes!G364+"'E4!$^9"</f>
        <v>#VALUE!</v>
      </c>
      <c r="BE51" t="e">
        <f>Nodes!H364+"'E4!$^:"</f>
        <v>#VALUE!</v>
      </c>
      <c r="BF51" t="e">
        <f>Nodes!I364+"'E4!$^;"</f>
        <v>#VALUE!</v>
      </c>
      <c r="BG51" t="e">
        <f>Nodes!J364+"'E4!$^&lt;"</f>
        <v>#VALUE!</v>
      </c>
      <c r="BH51" t="e">
        <f>Nodes!K364+"'E4!$^="</f>
        <v>#VALUE!</v>
      </c>
      <c r="BI51" t="e">
        <f>Nodes!L364+"'E4!$^&gt;"</f>
        <v>#VALUE!</v>
      </c>
      <c r="BJ51" t="e">
        <f>Nodes!M364+"'E4!$^?"</f>
        <v>#VALUE!</v>
      </c>
      <c r="BK51" t="e">
        <f>Nodes!N364+"'E4!$^@"</f>
        <v>#VALUE!</v>
      </c>
      <c r="BL51" t="e">
        <f>Nodes!O364+"'E4!$^A"</f>
        <v>#VALUE!</v>
      </c>
      <c r="BM51" t="e">
        <f>Nodes!P364+"'E4!$^B"</f>
        <v>#VALUE!</v>
      </c>
      <c r="BN51" t="e">
        <f>Nodes!Q364+"'E4!$^C"</f>
        <v>#VALUE!</v>
      </c>
      <c r="BO51" t="e">
        <f>Nodes!R364+"'E4!$^D"</f>
        <v>#VALUE!</v>
      </c>
      <c r="BP51" t="e">
        <f>Nodes!S364+"'E4!$^E"</f>
        <v>#VALUE!</v>
      </c>
      <c r="BQ51" s="548" t="e">
        <f>Nodes!T364+"'E4!$^F"</f>
        <v>#VALUE!</v>
      </c>
      <c r="BR51" s="548" t="e">
        <f>Nodes!U364+"'E4!$^G"</f>
        <v>#VALUE!</v>
      </c>
      <c r="BS51" t="e">
        <f>Nodes!V364+"'E4!$^H"</f>
        <v>#VALUE!</v>
      </c>
      <c r="BT51" t="e">
        <f>Nodes!W364+"'E4!$^I"</f>
        <v>#VALUE!</v>
      </c>
      <c r="BU51" s="333" t="e">
        <f>Nodes!X364+"'E4!$^J"</f>
        <v>#VALUE!</v>
      </c>
      <c r="BV51" t="e">
        <f>Nodes!Y364+"'E4!$^K"</f>
        <v>#VALUE!</v>
      </c>
      <c r="BW51" t="e">
        <f>Nodes!Z364+"'E4!$^L"</f>
        <v>#VALUE!</v>
      </c>
      <c r="BX51" t="e">
        <f>Nodes!AA364+"'E4!$^M"</f>
        <v>#VALUE!</v>
      </c>
      <c r="BY51" t="e">
        <f>Nodes!AB364+"'E4!$^N"</f>
        <v>#VALUE!</v>
      </c>
      <c r="BZ51" t="e">
        <f>Nodes!AC364+"'E4!$^O"</f>
        <v>#VALUE!</v>
      </c>
      <c r="CA51" t="e">
        <f>Nodes!A365+"'E4!$^P"</f>
        <v>#VALUE!</v>
      </c>
      <c r="CB51" t="e">
        <f>Nodes!B365+"'E4!$^Q"</f>
        <v>#VALUE!</v>
      </c>
      <c r="CC51" t="e">
        <f>Nodes!C365+"'E4!$^R"</f>
        <v>#VALUE!</v>
      </c>
      <c r="CD51" t="e">
        <f>Nodes!D365+"'E4!$^S"</f>
        <v>#VALUE!</v>
      </c>
      <c r="CE51" t="e">
        <f>Nodes!E365+"'E4!$^T"</f>
        <v>#VALUE!</v>
      </c>
      <c r="CF51" t="e">
        <f>Nodes!F365+"'E4!$^U"</f>
        <v>#VALUE!</v>
      </c>
      <c r="CG51" t="e">
        <f>Nodes!G365+"'E4!$^V"</f>
        <v>#VALUE!</v>
      </c>
      <c r="CH51" t="e">
        <f>Nodes!H365+"'E4!$^W"</f>
        <v>#VALUE!</v>
      </c>
      <c r="CI51" t="e">
        <f>Nodes!I365+"'E4!$^X"</f>
        <v>#VALUE!</v>
      </c>
      <c r="CJ51" t="e">
        <f>Nodes!J365+"'E4!$^Y"</f>
        <v>#VALUE!</v>
      </c>
      <c r="CK51" t="e">
        <f>Nodes!K365+"'E4!$^Z"</f>
        <v>#VALUE!</v>
      </c>
      <c r="CL51" t="e">
        <f>Nodes!L365+"'E4!$^["</f>
        <v>#VALUE!</v>
      </c>
      <c r="CM51" t="e">
        <f>Nodes!M365+"'E4!$^\"</f>
        <v>#VALUE!</v>
      </c>
      <c r="CN51" t="e">
        <f>Nodes!N365+"'E4!$^]"</f>
        <v>#VALUE!</v>
      </c>
      <c r="CO51" t="e">
        <f>Nodes!O365+"'E4!$^^"</f>
        <v>#VALUE!</v>
      </c>
      <c r="CP51" t="e">
        <f>Nodes!P365+"'E4!$^_"</f>
        <v>#VALUE!</v>
      </c>
      <c r="CQ51" t="e">
        <f>Nodes!Q365+"'E4!$^`"</f>
        <v>#VALUE!</v>
      </c>
      <c r="CR51" t="e">
        <f>Nodes!R365+"'E4!$^a"</f>
        <v>#VALUE!</v>
      </c>
      <c r="CS51" t="e">
        <f>Nodes!S365+"'E4!$^b"</f>
        <v>#VALUE!</v>
      </c>
      <c r="CT51" s="548" t="e">
        <f>Nodes!T365+"'E4!$^c"</f>
        <v>#VALUE!</v>
      </c>
      <c r="CU51" s="548" t="e">
        <f>Nodes!U365+"'E4!$^d"</f>
        <v>#VALUE!</v>
      </c>
      <c r="CV51" t="e">
        <f>Nodes!V365+"'E4!$^e"</f>
        <v>#VALUE!</v>
      </c>
      <c r="CW51" t="e">
        <f>Nodes!W365+"'E4!$^f"</f>
        <v>#VALUE!</v>
      </c>
      <c r="CX51" s="333" t="e">
        <f>Nodes!X365+"'E4!$^g"</f>
        <v>#VALUE!</v>
      </c>
      <c r="CY51" t="e">
        <f>Nodes!Y365+"'E4!$^h"</f>
        <v>#VALUE!</v>
      </c>
      <c r="CZ51" t="e">
        <f>Nodes!Z365+"'E4!$^i"</f>
        <v>#VALUE!</v>
      </c>
      <c r="DA51" t="e">
        <f>Nodes!AA365+"'E4!$^j"</f>
        <v>#VALUE!</v>
      </c>
      <c r="DB51" t="e">
        <f>Nodes!AB365+"'E4!$^k"</f>
        <v>#VALUE!</v>
      </c>
      <c r="DC51" t="e">
        <f>Nodes!AC365+"'E4!$^l"</f>
        <v>#VALUE!</v>
      </c>
      <c r="DD51" t="e">
        <f>Nodes!A366+"'E4!$^m"</f>
        <v>#VALUE!</v>
      </c>
      <c r="DE51" t="e">
        <f>Nodes!B366+"'E4!$^n"</f>
        <v>#VALUE!</v>
      </c>
      <c r="DF51" t="e">
        <f>Nodes!C366+"'E4!$^o"</f>
        <v>#VALUE!</v>
      </c>
      <c r="DG51" t="e">
        <f>Nodes!D366+"'E4!$^p"</f>
        <v>#VALUE!</v>
      </c>
      <c r="DH51" t="e">
        <f>Nodes!E366+"'E4!$^q"</f>
        <v>#VALUE!</v>
      </c>
      <c r="DI51" t="e">
        <f>Nodes!F366+"'E4!$^r"</f>
        <v>#VALUE!</v>
      </c>
      <c r="DJ51" t="e">
        <f>Nodes!G366+"'E4!$^s"</f>
        <v>#VALUE!</v>
      </c>
      <c r="DK51" t="e">
        <f>Nodes!H366+"'E4!$^t"</f>
        <v>#VALUE!</v>
      </c>
      <c r="DL51" t="e">
        <f>Nodes!I366+"'E4!$^u"</f>
        <v>#VALUE!</v>
      </c>
      <c r="DM51" t="e">
        <f>Nodes!J366+"'E4!$^v"</f>
        <v>#VALUE!</v>
      </c>
      <c r="DN51" t="e">
        <f>Nodes!K366+"'E4!$^w"</f>
        <v>#VALUE!</v>
      </c>
      <c r="DO51" t="e">
        <f>Nodes!L366+"'E4!$^x"</f>
        <v>#VALUE!</v>
      </c>
      <c r="DP51" t="e">
        <f>Nodes!M366+"'E4!$^y"</f>
        <v>#VALUE!</v>
      </c>
      <c r="DQ51" t="e">
        <f>Nodes!N366+"'E4!$^z"</f>
        <v>#VALUE!</v>
      </c>
      <c r="DR51" t="e">
        <f>Nodes!O366+"'E4!$^{"</f>
        <v>#VALUE!</v>
      </c>
      <c r="DS51" t="e">
        <f>Nodes!P366+"'E4!$^|"</f>
        <v>#VALUE!</v>
      </c>
      <c r="DT51" t="e">
        <f>Nodes!Q366+"'E4!$^}"</f>
        <v>#VALUE!</v>
      </c>
      <c r="DU51" t="e">
        <f>Nodes!R366+"'E4!$^~"</f>
        <v>#VALUE!</v>
      </c>
      <c r="DV51" t="e">
        <f>Nodes!S366+"'E4!$_#"</f>
        <v>#VALUE!</v>
      </c>
      <c r="DW51" s="548" t="e">
        <f>Nodes!T366+"'E4!$_$"</f>
        <v>#VALUE!</v>
      </c>
      <c r="DX51" s="548" t="e">
        <f>Nodes!U366+"'E4!$_%"</f>
        <v>#VALUE!</v>
      </c>
      <c r="DY51" t="e">
        <f>Nodes!V366+"'E4!$_&amp;"</f>
        <v>#VALUE!</v>
      </c>
      <c r="DZ51" t="e">
        <f>Nodes!W366+"'E4!$_'"</f>
        <v>#VALUE!</v>
      </c>
      <c r="EA51" s="333" t="e">
        <f>Nodes!X366+"'E4!$_("</f>
        <v>#VALUE!</v>
      </c>
      <c r="EB51" t="e">
        <f>Nodes!Y366+"'E4!$_)"</f>
        <v>#VALUE!</v>
      </c>
      <c r="EC51" t="e">
        <f>Nodes!Z366+"'E4!$_."</f>
        <v>#VALUE!</v>
      </c>
      <c r="ED51" t="e">
        <f>Nodes!AA366+"'E4!$_/"</f>
        <v>#VALUE!</v>
      </c>
      <c r="EE51" t="e">
        <f>Nodes!AB366+"'E4!$_0"</f>
        <v>#VALUE!</v>
      </c>
      <c r="EF51" t="e">
        <f>Nodes!AC366+"'E4!$_1"</f>
        <v>#VALUE!</v>
      </c>
      <c r="EG51" t="e">
        <f>Nodes!A367+"'E4!$_2"</f>
        <v>#VALUE!</v>
      </c>
      <c r="EH51" t="e">
        <f>Nodes!B367+"'E4!$_3"</f>
        <v>#VALUE!</v>
      </c>
      <c r="EI51" t="e">
        <f>Nodes!C367+"'E4!$_4"</f>
        <v>#VALUE!</v>
      </c>
      <c r="EJ51" t="e">
        <f>Nodes!D367+"'E4!$_5"</f>
        <v>#VALUE!</v>
      </c>
      <c r="EK51" t="e">
        <f>Nodes!E367+"'E4!$_6"</f>
        <v>#VALUE!</v>
      </c>
      <c r="EL51" t="e">
        <f>Nodes!F367+"'E4!$_7"</f>
        <v>#VALUE!</v>
      </c>
      <c r="EM51" t="e">
        <f>Nodes!G367+"'E4!$_8"</f>
        <v>#VALUE!</v>
      </c>
      <c r="EN51" t="e">
        <f>Nodes!H367+"'E4!$_9"</f>
        <v>#VALUE!</v>
      </c>
      <c r="EO51" t="e">
        <f>Nodes!I367+"'E4!$_:"</f>
        <v>#VALUE!</v>
      </c>
      <c r="EP51" t="e">
        <f>Nodes!J367+"'E4!$_;"</f>
        <v>#VALUE!</v>
      </c>
      <c r="EQ51" t="e">
        <f>Nodes!K367+"'E4!$_&lt;"</f>
        <v>#VALUE!</v>
      </c>
      <c r="ER51" t="e">
        <f>Nodes!L367+"'E4!$_="</f>
        <v>#VALUE!</v>
      </c>
      <c r="ES51" t="e">
        <f>Nodes!M367+"'E4!$_&gt;"</f>
        <v>#VALUE!</v>
      </c>
      <c r="ET51" t="e">
        <f>Nodes!N367+"'E4!$_?"</f>
        <v>#VALUE!</v>
      </c>
      <c r="EU51" t="e">
        <f>Nodes!O367+"'E4!$_@"</f>
        <v>#VALUE!</v>
      </c>
      <c r="EV51" t="e">
        <f>Nodes!P367+"'E4!$_A"</f>
        <v>#VALUE!</v>
      </c>
      <c r="EW51" t="e">
        <f>Nodes!Q367+"'E4!$_B"</f>
        <v>#VALUE!</v>
      </c>
      <c r="EX51" t="e">
        <f>Nodes!R367+"'E4!$_C"</f>
        <v>#VALUE!</v>
      </c>
      <c r="EY51" t="e">
        <f>Nodes!S367+"'E4!$_D"</f>
        <v>#VALUE!</v>
      </c>
      <c r="EZ51" s="548" t="e">
        <f>Nodes!T367+"'E4!$_E"</f>
        <v>#VALUE!</v>
      </c>
      <c r="FA51" s="548" t="e">
        <f>Nodes!U367+"'E4!$_F"</f>
        <v>#VALUE!</v>
      </c>
      <c r="FB51" t="e">
        <f>Nodes!V367+"'E4!$_G"</f>
        <v>#VALUE!</v>
      </c>
      <c r="FC51" t="e">
        <f>Nodes!W367+"'E4!$_H"</f>
        <v>#VALUE!</v>
      </c>
      <c r="FD51" s="333" t="e">
        <f>Nodes!X367+"'E4!$_I"</f>
        <v>#VALUE!</v>
      </c>
      <c r="FE51" t="e">
        <f>Nodes!Y367+"'E4!$_J"</f>
        <v>#VALUE!</v>
      </c>
      <c r="FF51" t="e">
        <f>Nodes!Z367+"'E4!$_K"</f>
        <v>#VALUE!</v>
      </c>
      <c r="FG51" t="e">
        <f>Nodes!AA367+"'E4!$_L"</f>
        <v>#VALUE!</v>
      </c>
      <c r="FH51" t="e">
        <f>Nodes!AB367+"'E4!$_M"</f>
        <v>#VALUE!</v>
      </c>
      <c r="FI51" t="e">
        <f>Nodes!AC367+"'E4!$_N"</f>
        <v>#VALUE!</v>
      </c>
      <c r="FJ51" t="e">
        <f>Nodes!A368+"'E4!$_O"</f>
        <v>#VALUE!</v>
      </c>
      <c r="FK51" t="e">
        <f>Nodes!B368+"'E4!$_P"</f>
        <v>#VALUE!</v>
      </c>
      <c r="FL51" t="e">
        <f>Nodes!C368+"'E4!$_Q"</f>
        <v>#VALUE!</v>
      </c>
      <c r="FM51" t="e">
        <f>Nodes!D368+"'E4!$_R"</f>
        <v>#VALUE!</v>
      </c>
      <c r="FN51" t="e">
        <f>Nodes!E368+"'E4!$_S"</f>
        <v>#VALUE!</v>
      </c>
      <c r="FO51" t="e">
        <f>Nodes!F368+"'E4!$_T"</f>
        <v>#VALUE!</v>
      </c>
      <c r="FP51" t="e">
        <f>Nodes!G368+"'E4!$_U"</f>
        <v>#VALUE!</v>
      </c>
      <c r="FQ51" t="e">
        <f>Nodes!H368+"'E4!$_V"</f>
        <v>#VALUE!</v>
      </c>
      <c r="FR51" t="e">
        <f>Nodes!I368+"'E4!$_W"</f>
        <v>#VALUE!</v>
      </c>
      <c r="FS51" t="e">
        <f>Nodes!J368+"'E4!$_X"</f>
        <v>#VALUE!</v>
      </c>
      <c r="FT51" t="e">
        <f>Nodes!K368+"'E4!$_Y"</f>
        <v>#VALUE!</v>
      </c>
      <c r="FU51" t="e">
        <f>Nodes!L368+"'E4!$_Z"</f>
        <v>#VALUE!</v>
      </c>
      <c r="FV51" t="e">
        <f>Nodes!M368+"'E4!$_["</f>
        <v>#VALUE!</v>
      </c>
      <c r="FW51" t="e">
        <f>Nodes!N368+"'E4!$_\"</f>
        <v>#VALUE!</v>
      </c>
      <c r="FX51" t="e">
        <f>Nodes!O368+"'E4!$_]"</f>
        <v>#VALUE!</v>
      </c>
      <c r="FY51" t="e">
        <f>Nodes!P368+"'E4!$_^"</f>
        <v>#VALUE!</v>
      </c>
      <c r="FZ51" t="e">
        <f>Nodes!Q368+"'E4!$__"</f>
        <v>#VALUE!</v>
      </c>
      <c r="GA51" t="e">
        <f>Nodes!R368+"'E4!$_`"</f>
        <v>#VALUE!</v>
      </c>
      <c r="GB51" t="e">
        <f>Nodes!S368+"'E4!$_a"</f>
        <v>#VALUE!</v>
      </c>
      <c r="GC51" s="548" t="e">
        <f>Nodes!T368+"'E4!$_b"</f>
        <v>#VALUE!</v>
      </c>
      <c r="GD51" s="548" t="e">
        <f>Nodes!U368+"'E4!$_c"</f>
        <v>#VALUE!</v>
      </c>
      <c r="GE51" t="e">
        <f>Nodes!V368+"'E4!$_d"</f>
        <v>#VALUE!</v>
      </c>
      <c r="GF51" t="e">
        <f>Nodes!W368+"'E4!$_e"</f>
        <v>#VALUE!</v>
      </c>
      <c r="GG51" s="333" t="e">
        <f>Nodes!X368+"'E4!$_f"</f>
        <v>#VALUE!</v>
      </c>
      <c r="GH51" t="e">
        <f>Nodes!Y368+"'E4!$_g"</f>
        <v>#VALUE!</v>
      </c>
      <c r="GI51" t="e">
        <f>Nodes!Z368+"'E4!$_h"</f>
        <v>#VALUE!</v>
      </c>
      <c r="GJ51" t="e">
        <f>Nodes!AA368+"'E4!$_i"</f>
        <v>#VALUE!</v>
      </c>
      <c r="GK51" t="e">
        <f>Nodes!AB368+"'E4!$_j"</f>
        <v>#VALUE!</v>
      </c>
      <c r="GL51" t="e">
        <f>Nodes!AC368+"'E4!$_k"</f>
        <v>#VALUE!</v>
      </c>
      <c r="GM51" t="e">
        <f>Nodes!A369+"'E4!$_l"</f>
        <v>#VALUE!</v>
      </c>
      <c r="GN51" t="e">
        <f>Nodes!B369+"'E4!$_m"</f>
        <v>#VALUE!</v>
      </c>
      <c r="GO51" t="e">
        <f>Nodes!C369+"'E4!$_n"</f>
        <v>#VALUE!</v>
      </c>
      <c r="GP51" t="e">
        <f>Nodes!D369+"'E4!$_o"</f>
        <v>#VALUE!</v>
      </c>
      <c r="GQ51" t="e">
        <f>Nodes!E369+"'E4!$_p"</f>
        <v>#VALUE!</v>
      </c>
      <c r="GR51" t="e">
        <f>Nodes!F369+"'E4!$_q"</f>
        <v>#VALUE!</v>
      </c>
      <c r="GS51" t="e">
        <f>Nodes!G369+"'E4!$_r"</f>
        <v>#VALUE!</v>
      </c>
      <c r="GT51" t="e">
        <f>Nodes!H369+"'E4!$_s"</f>
        <v>#VALUE!</v>
      </c>
      <c r="GU51" t="e">
        <f>Nodes!I369+"'E4!$_t"</f>
        <v>#VALUE!</v>
      </c>
      <c r="GV51" t="e">
        <f>Nodes!J369+"'E4!$_u"</f>
        <v>#VALUE!</v>
      </c>
      <c r="GW51" t="e">
        <f>Nodes!K369+"'E4!$_v"</f>
        <v>#VALUE!</v>
      </c>
      <c r="GX51" t="e">
        <f>Nodes!L369+"'E4!$_w"</f>
        <v>#VALUE!</v>
      </c>
      <c r="GY51" t="e">
        <f>Nodes!M369+"'E4!$_x"</f>
        <v>#VALUE!</v>
      </c>
      <c r="GZ51" t="e">
        <f>Nodes!N369+"'E4!$_y"</f>
        <v>#VALUE!</v>
      </c>
      <c r="HA51" t="e">
        <f>Nodes!O369+"'E4!$_z"</f>
        <v>#VALUE!</v>
      </c>
      <c r="HB51" t="e">
        <f>Nodes!P369+"'E4!$_{"</f>
        <v>#VALUE!</v>
      </c>
      <c r="HC51" t="e">
        <f>Nodes!Q369+"'E4!$_|"</f>
        <v>#VALUE!</v>
      </c>
      <c r="HD51" t="e">
        <f>Nodes!R369+"'E4!$_}"</f>
        <v>#VALUE!</v>
      </c>
      <c r="HE51" t="e">
        <f>Nodes!S369+"'E4!$_~"</f>
        <v>#VALUE!</v>
      </c>
      <c r="HF51" s="548" t="e">
        <f>Nodes!T369+"'E4!$`#"</f>
        <v>#VALUE!</v>
      </c>
      <c r="HG51" s="548" t="e">
        <f>Nodes!U369+"'E4!$`$"</f>
        <v>#VALUE!</v>
      </c>
      <c r="HH51" t="e">
        <f>Nodes!V369+"'E4!$`%"</f>
        <v>#VALUE!</v>
      </c>
      <c r="HI51" t="e">
        <f>Nodes!W369+"'E4!$`&amp;"</f>
        <v>#VALUE!</v>
      </c>
      <c r="HJ51" s="333" t="e">
        <f>Nodes!X369+"'E4!$`'"</f>
        <v>#VALUE!</v>
      </c>
      <c r="HK51" t="e">
        <f>Nodes!Y369+"'E4!$`("</f>
        <v>#VALUE!</v>
      </c>
      <c r="HL51" t="e">
        <f>Nodes!Z369+"'E4!$`)"</f>
        <v>#VALUE!</v>
      </c>
      <c r="HM51" t="e">
        <f>Nodes!AA369+"'E4!$`."</f>
        <v>#VALUE!</v>
      </c>
      <c r="HN51" t="e">
        <f>Nodes!AB369+"'E4!$`/"</f>
        <v>#VALUE!</v>
      </c>
      <c r="HO51" t="e">
        <f>Nodes!AC369+"'E4!$`0"</f>
        <v>#VALUE!</v>
      </c>
      <c r="HP51" t="e">
        <f>Nodes!A370+"'E4!$`1"</f>
        <v>#VALUE!</v>
      </c>
      <c r="HQ51" t="e">
        <f>Nodes!B370+"'E4!$`2"</f>
        <v>#VALUE!</v>
      </c>
      <c r="HR51" t="e">
        <f>Nodes!C370+"'E4!$`3"</f>
        <v>#VALUE!</v>
      </c>
      <c r="HS51" t="e">
        <f>Nodes!D370+"'E4!$`4"</f>
        <v>#VALUE!</v>
      </c>
      <c r="HT51" t="e">
        <f>Nodes!E370+"'E4!$`5"</f>
        <v>#VALUE!</v>
      </c>
      <c r="HU51" t="e">
        <f>Nodes!F370+"'E4!$`6"</f>
        <v>#VALUE!</v>
      </c>
      <c r="HV51" t="e">
        <f>Nodes!G370+"'E4!$`7"</f>
        <v>#VALUE!</v>
      </c>
      <c r="HW51" t="e">
        <f>Nodes!H370+"'E4!$`8"</f>
        <v>#VALUE!</v>
      </c>
      <c r="HX51" t="e">
        <f>Nodes!I370+"'E4!$`9"</f>
        <v>#VALUE!</v>
      </c>
      <c r="HY51" t="e">
        <f>Nodes!J370+"'E4!$`:"</f>
        <v>#VALUE!</v>
      </c>
      <c r="HZ51" t="e">
        <f>Nodes!K370+"'E4!$`;"</f>
        <v>#VALUE!</v>
      </c>
      <c r="IA51" t="e">
        <f>Nodes!L370+"'E4!$`&lt;"</f>
        <v>#VALUE!</v>
      </c>
      <c r="IB51" t="e">
        <f>Nodes!M370+"'E4!$`="</f>
        <v>#VALUE!</v>
      </c>
      <c r="IC51" t="e">
        <f>Nodes!N370+"'E4!$`&gt;"</f>
        <v>#VALUE!</v>
      </c>
      <c r="ID51" t="e">
        <f>Nodes!O370+"'E4!$`?"</f>
        <v>#VALUE!</v>
      </c>
      <c r="IE51" t="e">
        <f>Nodes!P370+"'E4!$`@"</f>
        <v>#VALUE!</v>
      </c>
      <c r="IF51" t="e">
        <f>Nodes!Q370+"'E4!$`A"</f>
        <v>#VALUE!</v>
      </c>
      <c r="IG51" t="e">
        <f>Nodes!R370+"'E4!$`B"</f>
        <v>#VALUE!</v>
      </c>
      <c r="IH51" t="e">
        <f>Nodes!S370+"'E4!$`C"</f>
        <v>#VALUE!</v>
      </c>
      <c r="II51" s="548" t="e">
        <f>Nodes!T370+"'E4!$`D"</f>
        <v>#VALUE!</v>
      </c>
      <c r="IJ51" s="548" t="e">
        <f>Nodes!U370+"'E4!$`E"</f>
        <v>#VALUE!</v>
      </c>
      <c r="IK51" t="e">
        <f>Nodes!V370+"'E4!$`F"</f>
        <v>#VALUE!</v>
      </c>
      <c r="IL51" t="e">
        <f>Nodes!W370+"'E4!$`G"</f>
        <v>#VALUE!</v>
      </c>
      <c r="IM51" s="333" t="e">
        <f>Nodes!X370+"'E4!$`H"</f>
        <v>#VALUE!</v>
      </c>
      <c r="IN51" t="e">
        <f>Nodes!Y370+"'E4!$`I"</f>
        <v>#VALUE!</v>
      </c>
      <c r="IO51" t="e">
        <f>Nodes!Z370+"'E4!$`J"</f>
        <v>#VALUE!</v>
      </c>
      <c r="IP51" t="e">
        <f>Nodes!AA370+"'E4!$`K"</f>
        <v>#VALUE!</v>
      </c>
      <c r="IQ51" t="e">
        <f>Nodes!AB370+"'E4!$`L"</f>
        <v>#VALUE!</v>
      </c>
      <c r="IR51" t="e">
        <f>Nodes!AC370+"'E4!$`M"</f>
        <v>#VALUE!</v>
      </c>
      <c r="IS51" t="e">
        <f>Nodes!A371+"'E4!$`N"</f>
        <v>#VALUE!</v>
      </c>
      <c r="IT51" t="e">
        <f>Nodes!B371+"'E4!$`O"</f>
        <v>#VALUE!</v>
      </c>
      <c r="IU51" t="e">
        <f>Nodes!C371+"'E4!$`P"</f>
        <v>#VALUE!</v>
      </c>
      <c r="IV51" t="e">
        <f>Nodes!D371+"'E4!$`Q"</f>
        <v>#VALUE!</v>
      </c>
    </row>
    <row r="52" spans="6:256">
      <c r="F52" t="e">
        <f>Nodes!E371+"'E4!$`R"</f>
        <v>#VALUE!</v>
      </c>
      <c r="G52" t="e">
        <f>Nodes!F371+"'E4!$`S"</f>
        <v>#VALUE!</v>
      </c>
      <c r="H52" t="e">
        <f>Nodes!G371+"'E4!$`T"</f>
        <v>#VALUE!</v>
      </c>
      <c r="I52" t="e">
        <f>Nodes!H371+"'E4!$`U"</f>
        <v>#VALUE!</v>
      </c>
      <c r="J52" t="e">
        <f>Nodes!I371+"'E4!$`V"</f>
        <v>#VALUE!</v>
      </c>
      <c r="K52" t="e">
        <f>Nodes!J371+"'E4!$`W"</f>
        <v>#VALUE!</v>
      </c>
      <c r="L52" t="e">
        <f>Nodes!K371+"'E4!$`X"</f>
        <v>#VALUE!</v>
      </c>
      <c r="M52" t="e">
        <f>Nodes!L371+"'E4!$`Y"</f>
        <v>#VALUE!</v>
      </c>
      <c r="N52" t="e">
        <f>Nodes!M371+"'E4!$`Z"</f>
        <v>#VALUE!</v>
      </c>
      <c r="O52" t="e">
        <f>Nodes!N371+"'E4!$`["</f>
        <v>#VALUE!</v>
      </c>
      <c r="P52" t="e">
        <f>Nodes!O371+"'E4!$`\"</f>
        <v>#VALUE!</v>
      </c>
      <c r="Q52" t="e">
        <f>Nodes!P371+"'E4!$`]"</f>
        <v>#VALUE!</v>
      </c>
      <c r="R52" t="e">
        <f>Nodes!Q371+"'E4!$`^"</f>
        <v>#VALUE!</v>
      </c>
      <c r="S52" t="e">
        <f>Nodes!R371+"'E4!$`_"</f>
        <v>#VALUE!</v>
      </c>
      <c r="T52" t="e">
        <f>Nodes!S371+"'E4!$``"</f>
        <v>#VALUE!</v>
      </c>
      <c r="U52" s="548" t="e">
        <f>Nodes!T371+"'E4!$`a"</f>
        <v>#VALUE!</v>
      </c>
      <c r="V52" s="548" t="e">
        <f>Nodes!U371+"'E4!$`b"</f>
        <v>#VALUE!</v>
      </c>
      <c r="W52" t="e">
        <f>Nodes!V371+"'E4!$`c"</f>
        <v>#VALUE!</v>
      </c>
      <c r="X52" t="e">
        <f>Nodes!W371+"'E4!$`d"</f>
        <v>#VALUE!</v>
      </c>
      <c r="Y52" s="333" t="e">
        <f>Nodes!X371+"'E4!$`e"</f>
        <v>#VALUE!</v>
      </c>
      <c r="Z52" t="e">
        <f>Nodes!Y371+"'E4!$`f"</f>
        <v>#VALUE!</v>
      </c>
      <c r="AA52" t="e">
        <f>Nodes!Z371+"'E4!$`g"</f>
        <v>#VALUE!</v>
      </c>
      <c r="AB52" t="e">
        <f>Nodes!AA371+"'E4!$`h"</f>
        <v>#VALUE!</v>
      </c>
      <c r="AC52" t="e">
        <f>Nodes!AB371+"'E4!$`i"</f>
        <v>#VALUE!</v>
      </c>
      <c r="AD52" t="e">
        <f>Nodes!AC371+"'E4!$`j"</f>
        <v>#VALUE!</v>
      </c>
      <c r="AE52" t="e">
        <f>Nodes!A372+"'E4!$`k"</f>
        <v>#VALUE!</v>
      </c>
      <c r="AF52" t="e">
        <f>Nodes!B372+"'E4!$`l"</f>
        <v>#VALUE!</v>
      </c>
      <c r="AG52" t="e">
        <f>Nodes!C372+"'E4!$`m"</f>
        <v>#VALUE!</v>
      </c>
      <c r="AH52" t="e">
        <f>Nodes!D372+"'E4!$`n"</f>
        <v>#VALUE!</v>
      </c>
      <c r="AI52" t="e">
        <f>Nodes!E372+"'E4!$`o"</f>
        <v>#VALUE!</v>
      </c>
      <c r="AJ52" t="e">
        <f>Nodes!F372+"'E4!$`p"</f>
        <v>#VALUE!</v>
      </c>
      <c r="AK52" t="e">
        <f>Nodes!G372+"'E4!$`q"</f>
        <v>#VALUE!</v>
      </c>
      <c r="AL52" t="e">
        <f>Nodes!H372+"'E4!$`r"</f>
        <v>#VALUE!</v>
      </c>
      <c r="AM52" t="e">
        <f>Nodes!I372+"'E4!$`s"</f>
        <v>#VALUE!</v>
      </c>
      <c r="AN52" t="e">
        <f>Nodes!J372+"'E4!$`t"</f>
        <v>#VALUE!</v>
      </c>
      <c r="AO52" t="e">
        <f>Nodes!K372+"'E4!$`u"</f>
        <v>#VALUE!</v>
      </c>
      <c r="AP52" t="e">
        <f>Nodes!L372+"'E4!$`v"</f>
        <v>#VALUE!</v>
      </c>
      <c r="AQ52" t="e">
        <f>Nodes!M372+"'E4!$`w"</f>
        <v>#VALUE!</v>
      </c>
      <c r="AR52" t="e">
        <f>Nodes!N372+"'E4!$`x"</f>
        <v>#VALUE!</v>
      </c>
      <c r="AS52" t="e">
        <f>Nodes!O372+"'E4!$`y"</f>
        <v>#VALUE!</v>
      </c>
      <c r="AT52" t="e">
        <f>Nodes!P372+"'E4!$`z"</f>
        <v>#VALUE!</v>
      </c>
      <c r="AU52" t="e">
        <f>Nodes!Q372+"'E4!$`{"</f>
        <v>#VALUE!</v>
      </c>
      <c r="AV52" t="e">
        <f>Nodes!R372+"'E4!$`|"</f>
        <v>#VALUE!</v>
      </c>
      <c r="AW52" t="e">
        <f>Nodes!S372+"'E4!$`}"</f>
        <v>#VALUE!</v>
      </c>
      <c r="AX52" s="548" t="e">
        <f>Nodes!T372+"'E4!$`~"</f>
        <v>#VALUE!</v>
      </c>
      <c r="AY52" s="548" t="e">
        <f>Nodes!U372+"'E4!$a#"</f>
        <v>#VALUE!</v>
      </c>
      <c r="AZ52" t="e">
        <f>Nodes!V372+"'E4!$a$"</f>
        <v>#VALUE!</v>
      </c>
      <c r="BA52" t="e">
        <f>Nodes!W372+"'E4!$a%"</f>
        <v>#VALUE!</v>
      </c>
      <c r="BB52" s="333" t="e">
        <f>Nodes!X372+"'E4!$a&amp;"</f>
        <v>#VALUE!</v>
      </c>
      <c r="BC52" t="e">
        <f>Nodes!Y372+"'E4!$a'"</f>
        <v>#VALUE!</v>
      </c>
      <c r="BD52" t="e">
        <f>Nodes!Z372+"'E4!$a("</f>
        <v>#VALUE!</v>
      </c>
      <c r="BE52" t="e">
        <f>Nodes!AA372+"'E4!$a)"</f>
        <v>#VALUE!</v>
      </c>
      <c r="BF52" t="e">
        <f>Nodes!AB372+"'E4!$a."</f>
        <v>#VALUE!</v>
      </c>
      <c r="BG52" t="e">
        <f>Nodes!AC372+"'E4!$a/"</f>
        <v>#VALUE!</v>
      </c>
      <c r="BH52" t="e">
        <f>Nodes!A373+"'E4!$a0"</f>
        <v>#VALUE!</v>
      </c>
      <c r="BI52" t="e">
        <f>Nodes!B373+"'E4!$a1"</f>
        <v>#VALUE!</v>
      </c>
      <c r="BJ52" t="e">
        <f>Nodes!C373+"'E4!$a2"</f>
        <v>#VALUE!</v>
      </c>
      <c r="BK52" t="e">
        <f>Nodes!D373+"'E4!$a3"</f>
        <v>#VALUE!</v>
      </c>
      <c r="BL52" t="e">
        <f>Nodes!E373+"'E4!$a4"</f>
        <v>#VALUE!</v>
      </c>
      <c r="BM52" t="e">
        <f>Nodes!F373+"'E4!$a5"</f>
        <v>#VALUE!</v>
      </c>
      <c r="BN52" t="e">
        <f>Nodes!G373+"'E4!$a6"</f>
        <v>#VALUE!</v>
      </c>
      <c r="BO52" t="e">
        <f>Nodes!H373+"'E4!$a7"</f>
        <v>#VALUE!</v>
      </c>
      <c r="BP52" t="e">
        <f>Nodes!I373+"'E4!$a8"</f>
        <v>#VALUE!</v>
      </c>
      <c r="BQ52" t="e">
        <f>Nodes!J373+"'E4!$a9"</f>
        <v>#VALUE!</v>
      </c>
      <c r="BR52" t="e">
        <f>Nodes!K373+"'E4!$a:"</f>
        <v>#VALUE!</v>
      </c>
      <c r="BS52" t="e">
        <f>Nodes!L373+"'E4!$a;"</f>
        <v>#VALUE!</v>
      </c>
      <c r="BT52" t="e">
        <f>Nodes!M373+"'E4!$a&lt;"</f>
        <v>#VALUE!</v>
      </c>
      <c r="BU52" t="e">
        <f>Nodes!N373+"'E4!$a="</f>
        <v>#VALUE!</v>
      </c>
      <c r="BV52" t="e">
        <f>Nodes!O373+"'E4!$a&gt;"</f>
        <v>#VALUE!</v>
      </c>
      <c r="BW52" t="e">
        <f>Nodes!P373+"'E4!$a?"</f>
        <v>#VALUE!</v>
      </c>
      <c r="BX52" t="e">
        <f>Nodes!Q373+"'E4!$a@"</f>
        <v>#VALUE!</v>
      </c>
      <c r="BY52" t="e">
        <f>Nodes!R373+"'E4!$aA"</f>
        <v>#VALUE!</v>
      </c>
      <c r="BZ52" t="e">
        <f>Nodes!S373+"'E4!$aB"</f>
        <v>#VALUE!</v>
      </c>
      <c r="CA52" s="548" t="e">
        <f>Nodes!T373+"'E4!$aC"</f>
        <v>#VALUE!</v>
      </c>
      <c r="CB52" s="548" t="e">
        <f>Nodes!U373+"'E4!$aD"</f>
        <v>#VALUE!</v>
      </c>
      <c r="CC52" t="e">
        <f>Nodes!V373+"'E4!$aE"</f>
        <v>#VALUE!</v>
      </c>
      <c r="CD52" t="e">
        <f>Nodes!W373+"'E4!$aF"</f>
        <v>#VALUE!</v>
      </c>
      <c r="CE52" s="333" t="e">
        <f>Nodes!X373+"'E4!$aG"</f>
        <v>#VALUE!</v>
      </c>
      <c r="CF52" t="e">
        <f>Nodes!Y373+"'E4!$aH"</f>
        <v>#VALUE!</v>
      </c>
      <c r="CG52" t="e">
        <f>Nodes!Z373+"'E4!$aI"</f>
        <v>#VALUE!</v>
      </c>
      <c r="CH52" t="e">
        <f>Nodes!AA373+"'E4!$aJ"</f>
        <v>#VALUE!</v>
      </c>
      <c r="CI52" t="e">
        <f>Nodes!AB373+"'E4!$aK"</f>
        <v>#VALUE!</v>
      </c>
      <c r="CJ52" t="e">
        <f>Nodes!AC373+"'E4!$aL"</f>
        <v>#VALUE!</v>
      </c>
      <c r="CK52" t="e">
        <f>Nodes!A374+"'E4!$aM"</f>
        <v>#VALUE!</v>
      </c>
      <c r="CL52" t="e">
        <f>Nodes!B374+"'E4!$aN"</f>
        <v>#VALUE!</v>
      </c>
      <c r="CM52" t="e">
        <f>Nodes!C374+"'E4!$aO"</f>
        <v>#VALUE!</v>
      </c>
      <c r="CN52" t="e">
        <f>Nodes!D374+"'E4!$aP"</f>
        <v>#VALUE!</v>
      </c>
      <c r="CO52" t="e">
        <f>Nodes!E374+"'E4!$aQ"</f>
        <v>#VALUE!</v>
      </c>
      <c r="CP52" t="e">
        <f>Nodes!F374+"'E4!$aR"</f>
        <v>#VALUE!</v>
      </c>
      <c r="CQ52" t="e">
        <f>Nodes!G374+"'E4!$aS"</f>
        <v>#VALUE!</v>
      </c>
      <c r="CR52" t="e">
        <f>Nodes!H374+"'E4!$aT"</f>
        <v>#VALUE!</v>
      </c>
      <c r="CS52" t="e">
        <f>Nodes!I374+"'E4!$aU"</f>
        <v>#VALUE!</v>
      </c>
      <c r="CT52" t="e">
        <f>Nodes!J374+"'E4!$aV"</f>
        <v>#VALUE!</v>
      </c>
      <c r="CU52" t="e">
        <f>Nodes!K374+"'E4!$aW"</f>
        <v>#VALUE!</v>
      </c>
      <c r="CV52" t="e">
        <f>Nodes!L374+"'E4!$aX"</f>
        <v>#VALUE!</v>
      </c>
      <c r="CW52" t="e">
        <f>Nodes!M374+"'E4!$aY"</f>
        <v>#VALUE!</v>
      </c>
      <c r="CX52" t="e">
        <f>Nodes!N374+"'E4!$aZ"</f>
        <v>#VALUE!</v>
      </c>
      <c r="CY52" t="e">
        <f>Nodes!O374+"'E4!$a["</f>
        <v>#VALUE!</v>
      </c>
      <c r="CZ52" t="e">
        <f>Nodes!P374+"'E4!$a\"</f>
        <v>#VALUE!</v>
      </c>
      <c r="DA52" t="e">
        <f>Nodes!Q374+"'E4!$a]"</f>
        <v>#VALUE!</v>
      </c>
      <c r="DB52" t="e">
        <f>Nodes!R374+"'E4!$a^"</f>
        <v>#VALUE!</v>
      </c>
      <c r="DC52" t="e">
        <f>Nodes!S374+"'E4!$a_"</f>
        <v>#VALUE!</v>
      </c>
      <c r="DD52" s="548" t="e">
        <f>Nodes!T374+"'E4!$a`"</f>
        <v>#VALUE!</v>
      </c>
      <c r="DE52" s="548" t="e">
        <f>Nodes!U374+"'E4!$aa"</f>
        <v>#VALUE!</v>
      </c>
      <c r="DF52" t="e">
        <f>Nodes!V374+"'E4!$ab"</f>
        <v>#VALUE!</v>
      </c>
      <c r="DG52" t="e">
        <f>Nodes!W374+"'E4!$ac"</f>
        <v>#VALUE!</v>
      </c>
      <c r="DH52" s="333" t="e">
        <f>Nodes!X374+"'E4!$ad"</f>
        <v>#VALUE!</v>
      </c>
      <c r="DI52" t="e">
        <f>Nodes!Y374+"'E4!$ae"</f>
        <v>#VALUE!</v>
      </c>
      <c r="DJ52" t="e">
        <f>Nodes!Z374+"'E4!$af"</f>
        <v>#VALUE!</v>
      </c>
      <c r="DK52" t="e">
        <f>Nodes!AA374+"'E4!$ag"</f>
        <v>#VALUE!</v>
      </c>
      <c r="DL52" t="e">
        <f>Nodes!AB374+"'E4!$ah"</f>
        <v>#VALUE!</v>
      </c>
      <c r="DM52" t="e">
        <f>Nodes!AC374+"'E4!$ai"</f>
        <v>#VALUE!</v>
      </c>
      <c r="DN52" t="e">
        <f>Nodes!A375+"'E4!$aj"</f>
        <v>#VALUE!</v>
      </c>
      <c r="DO52" t="e">
        <f>Nodes!B375+"'E4!$ak"</f>
        <v>#VALUE!</v>
      </c>
      <c r="DP52" t="e">
        <f>Nodes!C375+"'E4!$al"</f>
        <v>#VALUE!</v>
      </c>
      <c r="DQ52" t="e">
        <f>Nodes!D375+"'E4!$am"</f>
        <v>#VALUE!</v>
      </c>
      <c r="DR52" t="e">
        <f>Nodes!E375+"'E4!$an"</f>
        <v>#VALUE!</v>
      </c>
      <c r="DS52" t="e">
        <f>Nodes!F375+"'E4!$ao"</f>
        <v>#VALUE!</v>
      </c>
      <c r="DT52" t="e">
        <f>Nodes!G375+"'E4!$ap"</f>
        <v>#VALUE!</v>
      </c>
      <c r="DU52" t="e">
        <f>Nodes!H375+"'E4!$aq"</f>
        <v>#VALUE!</v>
      </c>
      <c r="DV52" t="e">
        <f>Nodes!I375+"'E4!$ar"</f>
        <v>#VALUE!</v>
      </c>
      <c r="DW52" t="e">
        <f>Nodes!J375+"'E4!$as"</f>
        <v>#VALUE!</v>
      </c>
      <c r="DX52" t="e">
        <f>Nodes!K375+"'E4!$at"</f>
        <v>#VALUE!</v>
      </c>
      <c r="DY52" t="e">
        <f>Nodes!L375+"'E4!$au"</f>
        <v>#VALUE!</v>
      </c>
      <c r="DZ52" t="e">
        <f>Nodes!M375+"'E4!$av"</f>
        <v>#VALUE!</v>
      </c>
      <c r="EA52" t="e">
        <f>Nodes!N375+"'E4!$aw"</f>
        <v>#VALUE!</v>
      </c>
      <c r="EB52" t="e">
        <f>Nodes!O375+"'E4!$ax"</f>
        <v>#VALUE!</v>
      </c>
      <c r="EC52" t="e">
        <f>Nodes!P375+"'E4!$ay"</f>
        <v>#VALUE!</v>
      </c>
      <c r="ED52" t="e">
        <f>Nodes!Q375+"'E4!$az"</f>
        <v>#VALUE!</v>
      </c>
      <c r="EE52" t="e">
        <f>Nodes!R375+"'E4!$a{"</f>
        <v>#VALUE!</v>
      </c>
      <c r="EF52" t="e">
        <f>Nodes!S375+"'E4!$a|"</f>
        <v>#VALUE!</v>
      </c>
      <c r="EG52" s="548" t="e">
        <f>Nodes!T375+"'E4!$a}"</f>
        <v>#VALUE!</v>
      </c>
      <c r="EH52" s="548" t="e">
        <f>Nodes!U375+"'E4!$a~"</f>
        <v>#VALUE!</v>
      </c>
      <c r="EI52" t="e">
        <f>Nodes!V375+"'E4!$b#"</f>
        <v>#VALUE!</v>
      </c>
      <c r="EJ52" t="e">
        <f>Nodes!W375+"'E4!$b$"</f>
        <v>#VALUE!</v>
      </c>
      <c r="EK52" s="333" t="e">
        <f>Nodes!X375+"'E4!$b%"</f>
        <v>#VALUE!</v>
      </c>
      <c r="EL52" t="e">
        <f>Nodes!Y375+"'E4!$b&amp;"</f>
        <v>#VALUE!</v>
      </c>
      <c r="EM52" t="e">
        <f>Nodes!Z375+"'E4!$b'"</f>
        <v>#VALUE!</v>
      </c>
      <c r="EN52" t="e">
        <f>Nodes!AA375+"'E4!$b("</f>
        <v>#VALUE!</v>
      </c>
      <c r="EO52" t="e">
        <f>Nodes!AB375+"'E4!$b)"</f>
        <v>#VALUE!</v>
      </c>
      <c r="EP52" t="e">
        <f>Nodes!AC375+"'E4!$b."</f>
        <v>#VALUE!</v>
      </c>
      <c r="EQ52" t="e">
        <f>Nodes!A376+"'E4!$b/"</f>
        <v>#VALUE!</v>
      </c>
      <c r="ER52" t="e">
        <f>Nodes!B376+"'E4!$b0"</f>
        <v>#VALUE!</v>
      </c>
      <c r="ES52" t="e">
        <f>Nodes!C376+"'E4!$b1"</f>
        <v>#VALUE!</v>
      </c>
      <c r="ET52" t="e">
        <f>Nodes!D376+"'E4!$b2"</f>
        <v>#VALUE!</v>
      </c>
      <c r="EU52" t="e">
        <f>Nodes!E376+"'E4!$b3"</f>
        <v>#VALUE!</v>
      </c>
      <c r="EV52" t="e">
        <f>Nodes!F376+"'E4!$b4"</f>
        <v>#VALUE!</v>
      </c>
      <c r="EW52" t="e">
        <f>Nodes!G376+"'E4!$b5"</f>
        <v>#VALUE!</v>
      </c>
      <c r="EX52" t="e">
        <f>Nodes!H376+"'E4!$b6"</f>
        <v>#VALUE!</v>
      </c>
      <c r="EY52" t="e">
        <f>Nodes!I376+"'E4!$b7"</f>
        <v>#VALUE!</v>
      </c>
      <c r="EZ52" t="e">
        <f>Nodes!J376+"'E4!$b8"</f>
        <v>#VALUE!</v>
      </c>
      <c r="FA52" t="e">
        <f>Nodes!K376+"'E4!$b9"</f>
        <v>#VALUE!</v>
      </c>
      <c r="FB52" t="e">
        <f>Nodes!L376+"'E4!$b:"</f>
        <v>#VALUE!</v>
      </c>
      <c r="FC52" t="e">
        <f>Nodes!M376+"'E4!$b;"</f>
        <v>#VALUE!</v>
      </c>
      <c r="FD52" t="e">
        <f>Nodes!N376+"'E4!$b&lt;"</f>
        <v>#VALUE!</v>
      </c>
      <c r="FE52" t="e">
        <f>Nodes!O376+"'E4!$b="</f>
        <v>#VALUE!</v>
      </c>
      <c r="FF52" t="e">
        <f>Nodes!P376+"'E4!$b&gt;"</f>
        <v>#VALUE!</v>
      </c>
      <c r="FG52" t="e">
        <f>Nodes!Q376+"'E4!$b?"</f>
        <v>#VALUE!</v>
      </c>
      <c r="FH52" t="e">
        <f>Nodes!R376+"'E4!$b@"</f>
        <v>#VALUE!</v>
      </c>
      <c r="FI52" t="e">
        <f>Nodes!S376+"'E4!$bA"</f>
        <v>#VALUE!</v>
      </c>
      <c r="FJ52" s="548" t="e">
        <f>Nodes!T376+"'E4!$bB"</f>
        <v>#VALUE!</v>
      </c>
      <c r="FK52" s="548" t="e">
        <f>Nodes!U376+"'E4!$bC"</f>
        <v>#VALUE!</v>
      </c>
      <c r="FL52" t="e">
        <f>Nodes!V376+"'E4!$bD"</f>
        <v>#VALUE!</v>
      </c>
      <c r="FM52" t="e">
        <f>Nodes!W376+"'E4!$bE"</f>
        <v>#VALUE!</v>
      </c>
      <c r="FN52" s="333" t="e">
        <f>Nodes!X376+"'E4!$bF"</f>
        <v>#VALUE!</v>
      </c>
      <c r="FO52" t="e">
        <f>Nodes!Y376+"'E4!$bG"</f>
        <v>#VALUE!</v>
      </c>
      <c r="FP52" t="e">
        <f>Nodes!Z376+"'E4!$bH"</f>
        <v>#VALUE!</v>
      </c>
      <c r="FQ52" t="e">
        <f>Nodes!AA376+"'E4!$bI"</f>
        <v>#VALUE!</v>
      </c>
      <c r="FR52" t="e">
        <f>Nodes!AB376+"'E4!$bJ"</f>
        <v>#VALUE!</v>
      </c>
      <c r="FS52" t="e">
        <f>Nodes!AC376+"'E4!$bK"</f>
        <v>#VALUE!</v>
      </c>
      <c r="FT52" t="e">
        <f>Nodes!A377+"'E4!$bL"</f>
        <v>#VALUE!</v>
      </c>
      <c r="FU52" t="e">
        <f>Nodes!B377+"'E4!$bM"</f>
        <v>#VALUE!</v>
      </c>
      <c r="FV52" t="e">
        <f>Nodes!C377+"'E4!$bN"</f>
        <v>#VALUE!</v>
      </c>
      <c r="FW52" t="e">
        <f>Nodes!D377+"'E4!$bO"</f>
        <v>#VALUE!</v>
      </c>
      <c r="FX52" t="e">
        <f>Nodes!E377+"'E4!$bP"</f>
        <v>#VALUE!</v>
      </c>
      <c r="FY52" t="e">
        <f>Nodes!F377+"'E4!$bQ"</f>
        <v>#VALUE!</v>
      </c>
      <c r="FZ52" t="e">
        <f>Nodes!G377+"'E4!$bR"</f>
        <v>#VALUE!</v>
      </c>
      <c r="GA52" t="e">
        <f>Nodes!H377+"'E4!$bS"</f>
        <v>#VALUE!</v>
      </c>
      <c r="GB52" t="e">
        <f>Nodes!I377+"'E4!$bT"</f>
        <v>#VALUE!</v>
      </c>
      <c r="GC52" t="e">
        <f>Nodes!J377+"'E4!$bU"</f>
        <v>#VALUE!</v>
      </c>
      <c r="GD52" t="e">
        <f>Nodes!K377+"'E4!$bV"</f>
        <v>#VALUE!</v>
      </c>
      <c r="GE52" t="e">
        <f>Nodes!L377+"'E4!$bW"</f>
        <v>#VALUE!</v>
      </c>
      <c r="GF52" t="e">
        <f>Nodes!M377+"'E4!$bX"</f>
        <v>#VALUE!</v>
      </c>
      <c r="GG52" t="e">
        <f>Nodes!N377+"'E4!$bY"</f>
        <v>#VALUE!</v>
      </c>
      <c r="GH52" t="e">
        <f>Nodes!O377+"'E4!$bZ"</f>
        <v>#VALUE!</v>
      </c>
      <c r="GI52" t="e">
        <f>Nodes!P377+"'E4!$b["</f>
        <v>#VALUE!</v>
      </c>
      <c r="GJ52" t="e">
        <f>Nodes!Q377+"'E4!$b\"</f>
        <v>#VALUE!</v>
      </c>
      <c r="GK52" t="e">
        <f>Nodes!R377+"'E4!$b]"</f>
        <v>#VALUE!</v>
      </c>
      <c r="GL52" t="e">
        <f>Nodes!S377+"'E4!$b^"</f>
        <v>#VALUE!</v>
      </c>
      <c r="GM52" s="548" t="e">
        <f>Nodes!T377+"'E4!$b_"</f>
        <v>#VALUE!</v>
      </c>
      <c r="GN52" s="548" t="e">
        <f>Nodes!U377+"'E4!$b`"</f>
        <v>#VALUE!</v>
      </c>
      <c r="GO52" t="e">
        <f>Nodes!V377+"'E4!$ba"</f>
        <v>#VALUE!</v>
      </c>
      <c r="GP52" t="e">
        <f>Nodes!W377+"'E4!$bb"</f>
        <v>#VALUE!</v>
      </c>
      <c r="GQ52" s="333" t="e">
        <f>Nodes!X377+"'E4!$bc"</f>
        <v>#VALUE!</v>
      </c>
      <c r="GR52" t="e">
        <f>Nodes!Y377+"'E4!$bd"</f>
        <v>#VALUE!</v>
      </c>
      <c r="GS52" t="e">
        <f>Nodes!Z377+"'E4!$be"</f>
        <v>#VALUE!</v>
      </c>
      <c r="GT52" t="e">
        <f>Nodes!AA377+"'E4!$bf"</f>
        <v>#VALUE!</v>
      </c>
      <c r="GU52" t="e">
        <f>Nodes!AB377+"'E4!$bg"</f>
        <v>#VALUE!</v>
      </c>
      <c r="GV52" t="e">
        <f>Nodes!AC377+"'E4!$bh"</f>
        <v>#VALUE!</v>
      </c>
      <c r="GW52" t="e">
        <f>Nodes!A378+"'E4!$bi"</f>
        <v>#VALUE!</v>
      </c>
      <c r="GX52" t="e">
        <f>Nodes!B378+"'E4!$bj"</f>
        <v>#VALUE!</v>
      </c>
      <c r="GY52" t="e">
        <f>Nodes!C378+"'E4!$bk"</f>
        <v>#VALUE!</v>
      </c>
      <c r="GZ52" t="e">
        <f>Nodes!D378+"'E4!$bl"</f>
        <v>#VALUE!</v>
      </c>
      <c r="HA52" t="e">
        <f>Nodes!E378+"'E4!$bm"</f>
        <v>#VALUE!</v>
      </c>
      <c r="HB52" t="e">
        <f>Nodes!F378+"'E4!$bn"</f>
        <v>#VALUE!</v>
      </c>
      <c r="HC52" t="e">
        <f>Nodes!G378+"'E4!$bo"</f>
        <v>#VALUE!</v>
      </c>
      <c r="HD52" t="e">
        <f>Nodes!H378+"'E4!$bp"</f>
        <v>#VALUE!</v>
      </c>
      <c r="HE52" t="e">
        <f>Nodes!I378+"'E4!$bq"</f>
        <v>#VALUE!</v>
      </c>
      <c r="HF52" t="e">
        <f>Nodes!J378+"'E4!$br"</f>
        <v>#VALUE!</v>
      </c>
      <c r="HG52" t="e">
        <f>Nodes!K378+"'E4!$bs"</f>
        <v>#VALUE!</v>
      </c>
      <c r="HH52" t="e">
        <f>Nodes!L378+"'E4!$bt"</f>
        <v>#VALUE!</v>
      </c>
      <c r="HI52" t="e">
        <f>Nodes!M378+"'E4!$bu"</f>
        <v>#VALUE!</v>
      </c>
      <c r="HJ52" t="e">
        <f>Nodes!N378+"'E4!$bv"</f>
        <v>#VALUE!</v>
      </c>
      <c r="HK52" t="e">
        <f>Nodes!O378+"'E4!$bw"</f>
        <v>#VALUE!</v>
      </c>
      <c r="HL52" t="e">
        <f>Nodes!P378+"'E4!$bx"</f>
        <v>#VALUE!</v>
      </c>
      <c r="HM52" t="e">
        <f>Nodes!Q378+"'E4!$by"</f>
        <v>#VALUE!</v>
      </c>
      <c r="HN52" t="e">
        <f>Nodes!R378+"'E4!$bz"</f>
        <v>#VALUE!</v>
      </c>
      <c r="HO52" t="e">
        <f>Nodes!S378+"'E4!$b{"</f>
        <v>#VALUE!</v>
      </c>
      <c r="HP52" s="548" t="e">
        <f>Nodes!T378+"'E4!$b|"</f>
        <v>#VALUE!</v>
      </c>
      <c r="HQ52" s="548" t="e">
        <f>Nodes!U378+"'E4!$b}"</f>
        <v>#VALUE!</v>
      </c>
      <c r="HR52" t="e">
        <f>Nodes!V378+"'E4!$b~"</f>
        <v>#VALUE!</v>
      </c>
      <c r="HS52" t="e">
        <f>Nodes!W378+"'E4!$c#"</f>
        <v>#VALUE!</v>
      </c>
      <c r="HT52" s="333" t="e">
        <f>Nodes!X378+"'E4!$c$"</f>
        <v>#VALUE!</v>
      </c>
      <c r="HU52" t="e">
        <f>Nodes!Y378+"'E4!$c%"</f>
        <v>#VALUE!</v>
      </c>
      <c r="HV52" t="e">
        <f>Nodes!Z378+"'E4!$c&amp;"</f>
        <v>#VALUE!</v>
      </c>
      <c r="HW52" t="e">
        <f>Nodes!AA378+"'E4!$c'"</f>
        <v>#VALUE!</v>
      </c>
      <c r="HX52" t="e">
        <f>Nodes!AB378+"'E4!$c("</f>
        <v>#VALUE!</v>
      </c>
      <c r="HY52" t="e">
        <f>Nodes!AC378+"'E4!$c)"</f>
        <v>#VALUE!</v>
      </c>
      <c r="HZ52" t="e">
        <f>Nodes!A379+"'E4!$c."</f>
        <v>#VALUE!</v>
      </c>
      <c r="IA52" t="e">
        <f>Nodes!B379+"'E4!$c/"</f>
        <v>#VALUE!</v>
      </c>
      <c r="IB52" t="e">
        <f>Nodes!C379+"'E4!$c0"</f>
        <v>#VALUE!</v>
      </c>
      <c r="IC52" t="e">
        <f>Nodes!D379+"'E4!$c1"</f>
        <v>#VALUE!</v>
      </c>
      <c r="ID52" t="e">
        <f>Nodes!E379+"'E4!$c2"</f>
        <v>#VALUE!</v>
      </c>
      <c r="IE52" t="e">
        <f>Nodes!F379+"'E4!$c3"</f>
        <v>#VALUE!</v>
      </c>
      <c r="IF52" t="e">
        <f>Nodes!G379+"'E4!$c4"</f>
        <v>#VALUE!</v>
      </c>
      <c r="IG52" t="e">
        <f>Nodes!H379+"'E4!$c5"</f>
        <v>#VALUE!</v>
      </c>
      <c r="IH52" t="e">
        <f>Nodes!I379+"'E4!$c6"</f>
        <v>#VALUE!</v>
      </c>
      <c r="II52" t="e">
        <f>Nodes!J379+"'E4!$c7"</f>
        <v>#VALUE!</v>
      </c>
      <c r="IJ52" t="e">
        <f>Nodes!K379+"'E4!$c8"</f>
        <v>#VALUE!</v>
      </c>
      <c r="IK52" t="e">
        <f>Nodes!L379+"'E4!$c9"</f>
        <v>#VALUE!</v>
      </c>
      <c r="IL52" t="e">
        <f>Nodes!M379+"'E4!$c:"</f>
        <v>#VALUE!</v>
      </c>
      <c r="IM52" t="e">
        <f>Nodes!N379+"'E4!$c;"</f>
        <v>#VALUE!</v>
      </c>
      <c r="IN52" t="e">
        <f>Nodes!O379+"'E4!$c&lt;"</f>
        <v>#VALUE!</v>
      </c>
      <c r="IO52" t="e">
        <f>Nodes!P379+"'E4!$c="</f>
        <v>#VALUE!</v>
      </c>
      <c r="IP52" t="e">
        <f>Nodes!Q379+"'E4!$c&gt;"</f>
        <v>#VALUE!</v>
      </c>
      <c r="IQ52" t="e">
        <f>Nodes!R379+"'E4!$c?"</f>
        <v>#VALUE!</v>
      </c>
      <c r="IR52" t="e">
        <f>Nodes!S379+"'E4!$c@"</f>
        <v>#VALUE!</v>
      </c>
      <c r="IS52" s="548" t="e">
        <f>Nodes!T379+"'E4!$cA"</f>
        <v>#VALUE!</v>
      </c>
      <c r="IT52" s="548" t="e">
        <f>Nodes!U379+"'E4!$cB"</f>
        <v>#VALUE!</v>
      </c>
      <c r="IU52" t="e">
        <f>Nodes!V379+"'E4!$cC"</f>
        <v>#VALUE!</v>
      </c>
      <c r="IV52" t="e">
        <f>Nodes!W379+"'E4!$cD"</f>
        <v>#VALUE!</v>
      </c>
    </row>
    <row r="53" spans="6:256">
      <c r="F53" s="333" t="e">
        <f>Nodes!X379+"'E4!$cE"</f>
        <v>#VALUE!</v>
      </c>
      <c r="G53" t="e">
        <f>Nodes!Y379+"'E4!$cF"</f>
        <v>#VALUE!</v>
      </c>
      <c r="H53" t="e">
        <f>Nodes!Z379+"'E4!$cG"</f>
        <v>#VALUE!</v>
      </c>
      <c r="I53" t="e">
        <f>Nodes!AA379+"'E4!$cH"</f>
        <v>#VALUE!</v>
      </c>
      <c r="J53" t="e">
        <f>Nodes!AB379+"'E4!$cI"</f>
        <v>#VALUE!</v>
      </c>
      <c r="K53" t="e">
        <f>Nodes!AC379+"'E4!$cJ"</f>
        <v>#VALUE!</v>
      </c>
      <c r="L53" t="e">
        <f>Nodes!A380+"'E4!$cK"</f>
        <v>#VALUE!</v>
      </c>
      <c r="M53" t="e">
        <f>Nodes!B380+"'E4!$cL"</f>
        <v>#VALUE!</v>
      </c>
      <c r="N53" t="e">
        <f>Nodes!C380+"'E4!$cM"</f>
        <v>#VALUE!</v>
      </c>
      <c r="O53" t="e">
        <f>Nodes!D380+"'E4!$cN"</f>
        <v>#VALUE!</v>
      </c>
      <c r="P53" t="e">
        <f>Nodes!E380+"'E4!$cO"</f>
        <v>#VALUE!</v>
      </c>
      <c r="Q53" t="e">
        <f>Nodes!F380+"'E4!$cP"</f>
        <v>#VALUE!</v>
      </c>
      <c r="R53" t="e">
        <f>Nodes!G380+"'E4!$cQ"</f>
        <v>#VALUE!</v>
      </c>
      <c r="S53" t="e">
        <f>Nodes!H380+"'E4!$cR"</f>
        <v>#VALUE!</v>
      </c>
      <c r="T53" t="e">
        <f>Nodes!I380+"'E4!$cS"</f>
        <v>#VALUE!</v>
      </c>
      <c r="U53" t="e">
        <f>Nodes!J380+"'E4!$cT"</f>
        <v>#VALUE!</v>
      </c>
      <c r="V53" t="e">
        <f>Nodes!K380+"'E4!$cU"</f>
        <v>#VALUE!</v>
      </c>
      <c r="W53" t="e">
        <f>Nodes!L380+"'E4!$cV"</f>
        <v>#VALUE!</v>
      </c>
      <c r="X53" t="e">
        <f>Nodes!M380+"'E4!$cW"</f>
        <v>#VALUE!</v>
      </c>
      <c r="Y53" t="e">
        <f>Nodes!N380+"'E4!$cX"</f>
        <v>#VALUE!</v>
      </c>
      <c r="Z53" t="e">
        <f>Nodes!O380+"'E4!$cY"</f>
        <v>#VALUE!</v>
      </c>
      <c r="AA53" t="e">
        <f>Nodes!P380+"'E4!$cZ"</f>
        <v>#VALUE!</v>
      </c>
      <c r="AB53" t="e">
        <f>Nodes!Q380+"'E4!$c["</f>
        <v>#VALUE!</v>
      </c>
      <c r="AC53" t="e">
        <f>Nodes!R380+"'E4!$c\"</f>
        <v>#VALUE!</v>
      </c>
      <c r="AD53" t="e">
        <f>Nodes!S380+"'E4!$c]"</f>
        <v>#VALUE!</v>
      </c>
      <c r="AE53" s="548" t="e">
        <f>Nodes!T380+"'E4!$c^"</f>
        <v>#VALUE!</v>
      </c>
      <c r="AF53" s="548" t="e">
        <f>Nodes!U380+"'E4!$c_"</f>
        <v>#VALUE!</v>
      </c>
      <c r="AG53" t="e">
        <f>Nodes!V380+"'E4!$c`"</f>
        <v>#VALUE!</v>
      </c>
      <c r="AH53" t="e">
        <f>Nodes!W380+"'E4!$ca"</f>
        <v>#VALUE!</v>
      </c>
      <c r="AI53" s="333" t="e">
        <f>Nodes!X380+"'E4!$cb"</f>
        <v>#VALUE!</v>
      </c>
      <c r="AJ53" t="e">
        <f>Nodes!Y380+"'E4!$cc"</f>
        <v>#VALUE!</v>
      </c>
      <c r="AK53" t="e">
        <f>Nodes!Z380+"'E4!$cd"</f>
        <v>#VALUE!</v>
      </c>
      <c r="AL53" t="e">
        <f>Nodes!AA380+"'E4!$ce"</f>
        <v>#VALUE!</v>
      </c>
      <c r="AM53" t="e">
        <f>Nodes!AB380+"'E4!$cf"</f>
        <v>#VALUE!</v>
      </c>
      <c r="AN53" t="e">
        <f>Nodes!AC380+"'E4!$cg"</f>
        <v>#VALUE!</v>
      </c>
      <c r="AO53" t="e">
        <f>Nodes!A381+"'E4!$ch"</f>
        <v>#VALUE!</v>
      </c>
      <c r="AP53" t="e">
        <f>Nodes!B381+"'E4!$ci"</f>
        <v>#VALUE!</v>
      </c>
      <c r="AQ53" t="e">
        <f>Nodes!C381+"'E4!$cj"</f>
        <v>#VALUE!</v>
      </c>
      <c r="AR53" t="e">
        <f>Nodes!D381+"'E4!$ck"</f>
        <v>#VALUE!</v>
      </c>
      <c r="AS53" t="e">
        <f>Nodes!E381+"'E4!$cl"</f>
        <v>#VALUE!</v>
      </c>
      <c r="AT53" t="e">
        <f>Nodes!F381+"'E4!$cm"</f>
        <v>#VALUE!</v>
      </c>
      <c r="AU53" t="e">
        <f>Nodes!G381+"'E4!$cn"</f>
        <v>#VALUE!</v>
      </c>
      <c r="AV53" t="e">
        <f>Nodes!H381+"'E4!$co"</f>
        <v>#VALUE!</v>
      </c>
      <c r="AW53" t="e">
        <f>Nodes!I381+"'E4!$cp"</f>
        <v>#VALUE!</v>
      </c>
      <c r="AX53" t="e">
        <f>Nodes!J381+"'E4!$cq"</f>
        <v>#VALUE!</v>
      </c>
      <c r="AY53" t="e">
        <f>Nodes!K381+"'E4!$cr"</f>
        <v>#VALUE!</v>
      </c>
      <c r="AZ53" t="e">
        <f>Nodes!L381+"'E4!$cs"</f>
        <v>#VALUE!</v>
      </c>
      <c r="BA53" t="e">
        <f>Nodes!M381+"'E4!$ct"</f>
        <v>#VALUE!</v>
      </c>
      <c r="BB53" t="e">
        <f>Nodes!N381+"'E4!$cu"</f>
        <v>#VALUE!</v>
      </c>
      <c r="BC53" t="e">
        <f>Nodes!O381+"'E4!$cv"</f>
        <v>#VALUE!</v>
      </c>
      <c r="BD53" t="e">
        <f>Nodes!P381+"'E4!$cw"</f>
        <v>#VALUE!</v>
      </c>
      <c r="BE53" t="e">
        <f>Nodes!Q381+"'E4!$cx"</f>
        <v>#VALUE!</v>
      </c>
      <c r="BF53" t="e">
        <f>Nodes!R381+"'E4!$cy"</f>
        <v>#VALUE!</v>
      </c>
      <c r="BG53" t="e">
        <f>Nodes!S381+"'E4!$cz"</f>
        <v>#VALUE!</v>
      </c>
      <c r="BH53" s="548" t="e">
        <f>Nodes!T381+"'E4!$c{"</f>
        <v>#VALUE!</v>
      </c>
      <c r="BI53" s="548" t="e">
        <f>Nodes!U381+"'E4!$c|"</f>
        <v>#VALUE!</v>
      </c>
      <c r="BJ53" t="e">
        <f>Nodes!V381+"'E4!$c}"</f>
        <v>#VALUE!</v>
      </c>
      <c r="BK53" t="e">
        <f>Nodes!W381+"'E4!$c~"</f>
        <v>#VALUE!</v>
      </c>
      <c r="BL53" s="333" t="e">
        <f>Nodes!X381+"'E4!$d#"</f>
        <v>#VALUE!</v>
      </c>
      <c r="BM53" t="e">
        <f>Nodes!Y381+"'E4!$d$"</f>
        <v>#VALUE!</v>
      </c>
      <c r="BN53" t="e">
        <f>Nodes!Z381+"'E4!$d%"</f>
        <v>#VALUE!</v>
      </c>
      <c r="BO53" t="e">
        <f>Nodes!AA381+"'E4!$d&amp;"</f>
        <v>#VALUE!</v>
      </c>
      <c r="BP53" t="e">
        <f>Nodes!AB381+"'E4!$d'"</f>
        <v>#VALUE!</v>
      </c>
      <c r="BQ53" t="e">
        <f>Nodes!AC381+"'E4!$d("</f>
        <v>#VALUE!</v>
      </c>
      <c r="BR53" t="e">
        <f>Nodes!A382+"'E4!$d)"</f>
        <v>#VALUE!</v>
      </c>
      <c r="BS53" t="e">
        <f>Nodes!B382+"'E4!$d."</f>
        <v>#VALUE!</v>
      </c>
      <c r="BT53" t="e">
        <f>Nodes!C382+"'E4!$d/"</f>
        <v>#VALUE!</v>
      </c>
      <c r="BU53" t="e">
        <f>Nodes!D382+"'E4!$d0"</f>
        <v>#VALUE!</v>
      </c>
      <c r="BV53" t="e">
        <f>Nodes!E382+"'E4!$d1"</f>
        <v>#VALUE!</v>
      </c>
      <c r="BW53" t="e">
        <f>Nodes!F382+"'E4!$d2"</f>
        <v>#VALUE!</v>
      </c>
      <c r="BX53" t="e">
        <f>Nodes!G382+"'E4!$d3"</f>
        <v>#VALUE!</v>
      </c>
      <c r="BY53" t="e">
        <f>Nodes!H382+"'E4!$d4"</f>
        <v>#VALUE!</v>
      </c>
      <c r="BZ53" t="e">
        <f>Nodes!I382+"'E4!$d5"</f>
        <v>#VALUE!</v>
      </c>
      <c r="CA53" t="e">
        <f>Nodes!J382+"'E4!$d6"</f>
        <v>#VALUE!</v>
      </c>
      <c r="CB53" t="e">
        <f>Nodes!K382+"'E4!$d7"</f>
        <v>#VALUE!</v>
      </c>
      <c r="CC53" t="e">
        <f>Nodes!L382+"'E4!$d8"</f>
        <v>#VALUE!</v>
      </c>
      <c r="CD53" t="e">
        <f>Nodes!M382+"'E4!$d9"</f>
        <v>#VALUE!</v>
      </c>
      <c r="CE53" t="e">
        <f>Nodes!N382+"'E4!$d:"</f>
        <v>#VALUE!</v>
      </c>
      <c r="CF53" t="e">
        <f>Nodes!O382+"'E4!$d;"</f>
        <v>#VALUE!</v>
      </c>
      <c r="CG53" t="e">
        <f>Nodes!P382+"'E4!$d&lt;"</f>
        <v>#VALUE!</v>
      </c>
      <c r="CH53" t="e">
        <f>Nodes!Q382+"'E4!$d="</f>
        <v>#VALUE!</v>
      </c>
      <c r="CI53" t="e">
        <f>Nodes!R382+"'E4!$d&gt;"</f>
        <v>#VALUE!</v>
      </c>
      <c r="CJ53" t="e">
        <f>Nodes!S382+"'E4!$d?"</f>
        <v>#VALUE!</v>
      </c>
      <c r="CK53" s="548" t="e">
        <f>Nodes!T382+"'E4!$d@"</f>
        <v>#VALUE!</v>
      </c>
      <c r="CL53" s="548" t="e">
        <f>Nodes!U382+"'E4!$dA"</f>
        <v>#VALUE!</v>
      </c>
      <c r="CM53" t="e">
        <f>Nodes!V382+"'E4!$dB"</f>
        <v>#VALUE!</v>
      </c>
      <c r="CN53" t="e">
        <f>Nodes!W382+"'E4!$dC"</f>
        <v>#VALUE!</v>
      </c>
      <c r="CO53" s="333" t="e">
        <f>Nodes!X382+"'E4!$dD"</f>
        <v>#VALUE!</v>
      </c>
      <c r="CP53" t="e">
        <f>Nodes!Y382+"'E4!$dE"</f>
        <v>#VALUE!</v>
      </c>
      <c r="CQ53" t="e">
        <f>Nodes!Z382+"'E4!$dF"</f>
        <v>#VALUE!</v>
      </c>
      <c r="CR53" t="e">
        <f>Nodes!AA382+"'E4!$dG"</f>
        <v>#VALUE!</v>
      </c>
      <c r="CS53" t="e">
        <f>Nodes!AB382+"'E4!$dH"</f>
        <v>#VALUE!</v>
      </c>
      <c r="CT53" t="e">
        <f>Nodes!AC382+"'E4!$dI"</f>
        <v>#VALUE!</v>
      </c>
      <c r="CU53" t="e">
        <f>Nodes!A383+"'E4!$dJ"</f>
        <v>#VALUE!</v>
      </c>
      <c r="CV53" t="e">
        <f>Nodes!B383+"'E4!$dK"</f>
        <v>#VALUE!</v>
      </c>
      <c r="CW53" t="e">
        <f>Nodes!C383+"'E4!$dL"</f>
        <v>#VALUE!</v>
      </c>
      <c r="CX53" t="e">
        <f>Nodes!D383+"'E4!$dM"</f>
        <v>#VALUE!</v>
      </c>
      <c r="CY53" t="e">
        <f>Nodes!E383+"'E4!$dN"</f>
        <v>#VALUE!</v>
      </c>
      <c r="CZ53" t="e">
        <f>Nodes!F383+"'E4!$dO"</f>
        <v>#VALUE!</v>
      </c>
      <c r="DA53" t="e">
        <f>Nodes!G383+"'E4!$dP"</f>
        <v>#VALUE!</v>
      </c>
      <c r="DB53" t="e">
        <f>Nodes!H383+"'E4!$dQ"</f>
        <v>#VALUE!</v>
      </c>
      <c r="DC53" t="e">
        <f>Nodes!I383+"'E4!$dR"</f>
        <v>#VALUE!</v>
      </c>
      <c r="DD53" t="e">
        <f>Nodes!J383+"'E4!$dS"</f>
        <v>#VALUE!</v>
      </c>
      <c r="DE53" t="e">
        <f>Nodes!K383+"'E4!$dT"</f>
        <v>#VALUE!</v>
      </c>
      <c r="DF53" t="e">
        <f>Nodes!L383+"'E4!$dU"</f>
        <v>#VALUE!</v>
      </c>
      <c r="DG53" t="e">
        <f>Nodes!M383+"'E4!$dV"</f>
        <v>#VALUE!</v>
      </c>
      <c r="DH53" t="e">
        <f>Nodes!N383+"'E4!$dW"</f>
        <v>#VALUE!</v>
      </c>
      <c r="DI53" t="e">
        <f>Nodes!O383+"'E4!$dX"</f>
        <v>#VALUE!</v>
      </c>
      <c r="DJ53" t="e">
        <f>Nodes!P383+"'E4!$dY"</f>
        <v>#VALUE!</v>
      </c>
      <c r="DK53" t="e">
        <f>Nodes!Q383+"'E4!$dZ"</f>
        <v>#VALUE!</v>
      </c>
      <c r="DL53" t="e">
        <f>Nodes!R383+"'E4!$d["</f>
        <v>#VALUE!</v>
      </c>
      <c r="DM53" t="e">
        <f>Nodes!S383+"'E4!$d\"</f>
        <v>#VALUE!</v>
      </c>
      <c r="DN53" s="548" t="e">
        <f>Nodes!T383+"'E4!$d]"</f>
        <v>#VALUE!</v>
      </c>
      <c r="DO53" s="548" t="e">
        <f>Nodes!U383+"'E4!$d^"</f>
        <v>#VALUE!</v>
      </c>
      <c r="DP53" t="e">
        <f>Nodes!V383+"'E4!$d_"</f>
        <v>#VALUE!</v>
      </c>
      <c r="DQ53" t="e">
        <f>Nodes!W383+"'E4!$d`"</f>
        <v>#VALUE!</v>
      </c>
      <c r="DR53" s="333" t="e">
        <f>Nodes!X383+"'E4!$da"</f>
        <v>#VALUE!</v>
      </c>
      <c r="DS53" t="e">
        <f>Nodes!Y383+"'E4!$db"</f>
        <v>#VALUE!</v>
      </c>
      <c r="DT53" t="e">
        <f>Nodes!Z383+"'E4!$dc"</f>
        <v>#VALUE!</v>
      </c>
      <c r="DU53" t="e">
        <f>Nodes!AA383+"'E4!$dd"</f>
        <v>#VALUE!</v>
      </c>
      <c r="DV53" t="e">
        <f>Nodes!AB383+"'E4!$de"</f>
        <v>#VALUE!</v>
      </c>
      <c r="DW53" t="e">
        <f>Nodes!AC383+"'E4!$df"</f>
        <v>#VALUE!</v>
      </c>
      <c r="DX53" t="e">
        <f>Nodes!A384+"'E4!$dg"</f>
        <v>#VALUE!</v>
      </c>
      <c r="DY53" t="e">
        <f>Nodes!B384+"'E4!$dh"</f>
        <v>#VALUE!</v>
      </c>
      <c r="DZ53" t="e">
        <f>Nodes!C384+"'E4!$di"</f>
        <v>#VALUE!</v>
      </c>
      <c r="EA53" t="e">
        <f>Nodes!D384+"'E4!$dj"</f>
        <v>#VALUE!</v>
      </c>
      <c r="EB53" t="e">
        <f>Nodes!E384+"'E4!$dk"</f>
        <v>#VALUE!</v>
      </c>
      <c r="EC53" t="e">
        <f>Nodes!F384+"'E4!$dl"</f>
        <v>#VALUE!</v>
      </c>
      <c r="ED53" t="e">
        <f>Nodes!G384+"'E4!$dm"</f>
        <v>#VALUE!</v>
      </c>
      <c r="EE53" t="e">
        <f>Nodes!H384+"'E4!$dn"</f>
        <v>#VALUE!</v>
      </c>
      <c r="EF53" t="e">
        <f>Nodes!I384+"'E4!$do"</f>
        <v>#VALUE!</v>
      </c>
      <c r="EG53" t="e">
        <f>Nodes!J384+"'E4!$dp"</f>
        <v>#VALUE!</v>
      </c>
      <c r="EH53" t="e">
        <f>Nodes!K384+"'E4!$dq"</f>
        <v>#VALUE!</v>
      </c>
      <c r="EI53" t="e">
        <f>Nodes!L384+"'E4!$dr"</f>
        <v>#VALUE!</v>
      </c>
      <c r="EJ53" t="e">
        <f>Nodes!M384+"'E4!$ds"</f>
        <v>#VALUE!</v>
      </c>
      <c r="EK53" t="e">
        <f>Nodes!N384+"'E4!$dt"</f>
        <v>#VALUE!</v>
      </c>
      <c r="EL53" t="e">
        <f>Nodes!O384+"'E4!$du"</f>
        <v>#VALUE!</v>
      </c>
      <c r="EM53" t="e">
        <f>Nodes!P384+"'E4!$dv"</f>
        <v>#VALUE!</v>
      </c>
      <c r="EN53" t="e">
        <f>Nodes!Q384+"'E4!$dw"</f>
        <v>#VALUE!</v>
      </c>
      <c r="EO53" t="e">
        <f>Nodes!R384+"'E4!$dx"</f>
        <v>#VALUE!</v>
      </c>
      <c r="EP53" t="e">
        <f>Nodes!S384+"'E4!$dy"</f>
        <v>#VALUE!</v>
      </c>
      <c r="EQ53" s="548" t="e">
        <f>Nodes!T384+"'E4!$dz"</f>
        <v>#VALUE!</v>
      </c>
      <c r="ER53" s="548" t="e">
        <f>Nodes!U384+"'E4!$d{"</f>
        <v>#VALUE!</v>
      </c>
      <c r="ES53" t="e">
        <f>Nodes!V384+"'E4!$d|"</f>
        <v>#VALUE!</v>
      </c>
      <c r="ET53" t="e">
        <f>Nodes!W384+"'E4!$d}"</f>
        <v>#VALUE!</v>
      </c>
      <c r="EU53" s="333" t="e">
        <f>Nodes!X384+"'E4!$d~"</f>
        <v>#VALUE!</v>
      </c>
      <c r="EV53" t="e">
        <f>Nodes!Y384+"'E4!$e#"</f>
        <v>#VALUE!</v>
      </c>
      <c r="EW53" t="e">
        <f>Nodes!Z384+"'E4!$e$"</f>
        <v>#VALUE!</v>
      </c>
      <c r="EX53" t="e">
        <f>Nodes!AA384+"'E4!$e%"</f>
        <v>#VALUE!</v>
      </c>
      <c r="EY53" t="e">
        <f>Nodes!AB384+"'E4!$e&amp;"</f>
        <v>#VALUE!</v>
      </c>
      <c r="EZ53" t="e">
        <f>Nodes!AC384+"'E4!$e'"</f>
        <v>#VALUE!</v>
      </c>
      <c r="FA53" t="e">
        <f>Nodes!A385+"'E4!$e("</f>
        <v>#VALUE!</v>
      </c>
      <c r="FB53" t="e">
        <f>Nodes!B385+"'E4!$e)"</f>
        <v>#VALUE!</v>
      </c>
      <c r="FC53" t="e">
        <f>Nodes!C385+"'E4!$e."</f>
        <v>#VALUE!</v>
      </c>
      <c r="FD53" t="e">
        <f>Nodes!D385+"'E4!$e/"</f>
        <v>#VALUE!</v>
      </c>
      <c r="FE53" t="e">
        <f>Nodes!E385+"'E4!$e0"</f>
        <v>#VALUE!</v>
      </c>
      <c r="FF53" t="e">
        <f>Nodes!F385+"'E4!$e1"</f>
        <v>#VALUE!</v>
      </c>
      <c r="FG53" t="e">
        <f>Nodes!G385+"'E4!$e2"</f>
        <v>#VALUE!</v>
      </c>
      <c r="FH53" t="e">
        <f>Nodes!H385+"'E4!$e3"</f>
        <v>#VALUE!</v>
      </c>
      <c r="FI53" t="e">
        <f>Nodes!I385+"'E4!$e4"</f>
        <v>#VALUE!</v>
      </c>
      <c r="FJ53" t="e">
        <f>Nodes!J385+"'E4!$e5"</f>
        <v>#VALUE!</v>
      </c>
      <c r="FK53" t="e">
        <f>Nodes!K385+"'E4!$e6"</f>
        <v>#VALUE!</v>
      </c>
      <c r="FL53" t="e">
        <f>Nodes!L385+"'E4!$e7"</f>
        <v>#VALUE!</v>
      </c>
      <c r="FM53" t="e">
        <f>Nodes!M385+"'E4!$e8"</f>
        <v>#VALUE!</v>
      </c>
      <c r="FN53" t="e">
        <f>Nodes!N385+"'E4!$e9"</f>
        <v>#VALUE!</v>
      </c>
      <c r="FO53" t="e">
        <f>Nodes!O385+"'E4!$e:"</f>
        <v>#VALUE!</v>
      </c>
      <c r="FP53" t="e">
        <f>Nodes!P385+"'E4!$e;"</f>
        <v>#VALUE!</v>
      </c>
      <c r="FQ53" t="e">
        <f>Nodes!Q385+"'E4!$e&lt;"</f>
        <v>#VALUE!</v>
      </c>
      <c r="FR53" t="e">
        <f>Nodes!R385+"'E4!$e="</f>
        <v>#VALUE!</v>
      </c>
      <c r="FS53" t="e">
        <f>Nodes!S385+"'E4!$e&gt;"</f>
        <v>#VALUE!</v>
      </c>
      <c r="FT53" s="548" t="e">
        <f>Nodes!T385+"'E4!$e?"</f>
        <v>#VALUE!</v>
      </c>
      <c r="FU53" s="548" t="e">
        <f>Nodes!U385+"'E4!$e@"</f>
        <v>#VALUE!</v>
      </c>
      <c r="FV53" t="e">
        <f>Nodes!V385+"'E4!$eA"</f>
        <v>#VALUE!</v>
      </c>
      <c r="FW53" t="e">
        <f>Nodes!W385+"'E4!$eB"</f>
        <v>#VALUE!</v>
      </c>
      <c r="FX53" s="333" t="e">
        <f>Nodes!X385+"'E4!$eC"</f>
        <v>#VALUE!</v>
      </c>
      <c r="FY53" t="e">
        <f>Nodes!Y385+"'E4!$eD"</f>
        <v>#VALUE!</v>
      </c>
      <c r="FZ53" t="e">
        <f>Nodes!Z385+"'E4!$eE"</f>
        <v>#VALUE!</v>
      </c>
      <c r="GA53" t="e">
        <f>Nodes!AA385+"'E4!$eF"</f>
        <v>#VALUE!</v>
      </c>
      <c r="GB53" t="e">
        <f>Nodes!AB385+"'E4!$eG"</f>
        <v>#VALUE!</v>
      </c>
      <c r="GC53" t="e">
        <f>Nodes!AC385+"'E4!$eH"</f>
        <v>#VALUE!</v>
      </c>
      <c r="GD53" t="e">
        <f>Nodes!A386+"'E4!$eI"</f>
        <v>#VALUE!</v>
      </c>
      <c r="GE53" t="e">
        <f>Nodes!B386+"'E4!$eJ"</f>
        <v>#VALUE!</v>
      </c>
      <c r="GF53" t="e">
        <f>Nodes!C386+"'E4!$eK"</f>
        <v>#VALUE!</v>
      </c>
      <c r="GG53" t="e">
        <f>Nodes!D386+"'E4!$eL"</f>
        <v>#VALUE!</v>
      </c>
      <c r="GH53" t="e">
        <f>Nodes!E386+"'E4!$eM"</f>
        <v>#VALUE!</v>
      </c>
      <c r="GI53" t="e">
        <f>Nodes!F386+"'E4!$eN"</f>
        <v>#VALUE!</v>
      </c>
      <c r="GJ53" t="e">
        <f>Nodes!G386+"'E4!$eO"</f>
        <v>#VALUE!</v>
      </c>
      <c r="GK53" t="e">
        <f>Nodes!H386+"'E4!$eP"</f>
        <v>#VALUE!</v>
      </c>
      <c r="GL53" t="e">
        <f>Nodes!I386+"'E4!$eQ"</f>
        <v>#VALUE!</v>
      </c>
      <c r="GM53" t="e">
        <f>Nodes!J386+"'E4!$eR"</f>
        <v>#VALUE!</v>
      </c>
      <c r="GN53" t="e">
        <f>Nodes!K386+"'E4!$eS"</f>
        <v>#VALUE!</v>
      </c>
      <c r="GO53" t="e">
        <f>Nodes!L386+"'E4!$eT"</f>
        <v>#VALUE!</v>
      </c>
      <c r="GP53" t="e">
        <f>Nodes!M386+"'E4!$eU"</f>
        <v>#VALUE!</v>
      </c>
      <c r="GQ53" t="e">
        <f>Nodes!N386+"'E4!$eV"</f>
        <v>#VALUE!</v>
      </c>
      <c r="GR53" t="e">
        <f>Nodes!O386+"'E4!$eW"</f>
        <v>#VALUE!</v>
      </c>
      <c r="GS53" t="e">
        <f>Nodes!P386+"'E4!$eX"</f>
        <v>#VALUE!</v>
      </c>
      <c r="GT53" t="e">
        <f>Nodes!Q386+"'E4!$eY"</f>
        <v>#VALUE!</v>
      </c>
      <c r="GU53" t="e">
        <f>Nodes!R386+"'E4!$eZ"</f>
        <v>#VALUE!</v>
      </c>
      <c r="GV53" t="e">
        <f>Nodes!S386+"'E4!$e["</f>
        <v>#VALUE!</v>
      </c>
      <c r="GW53" s="548" t="e">
        <f>Nodes!T386+"'E4!$e\"</f>
        <v>#VALUE!</v>
      </c>
      <c r="GX53" s="548" t="e">
        <f>Nodes!U386+"'E4!$e]"</f>
        <v>#VALUE!</v>
      </c>
      <c r="GY53" t="e">
        <f>Nodes!V386+"'E4!$e^"</f>
        <v>#VALUE!</v>
      </c>
      <c r="GZ53" t="e">
        <f>Nodes!W386+"'E4!$e_"</f>
        <v>#VALUE!</v>
      </c>
      <c r="HA53" s="333" t="e">
        <f>Nodes!X386+"'E4!$e`"</f>
        <v>#VALUE!</v>
      </c>
      <c r="HB53" t="e">
        <f>Nodes!Y386+"'E4!$ea"</f>
        <v>#VALUE!</v>
      </c>
      <c r="HC53" t="e">
        <f>Nodes!Z386+"'E4!$eb"</f>
        <v>#VALUE!</v>
      </c>
      <c r="HD53" t="e">
        <f>Nodes!AA386+"'E4!$ec"</f>
        <v>#VALUE!</v>
      </c>
      <c r="HE53" t="e">
        <f>Nodes!AB386+"'E4!$ed"</f>
        <v>#VALUE!</v>
      </c>
      <c r="HF53" t="e">
        <f>Nodes!AC386+"'E4!$ee"</f>
        <v>#VALUE!</v>
      </c>
      <c r="HG53" t="e">
        <f>Nodes!A387+"'E4!$ef"</f>
        <v>#VALUE!</v>
      </c>
      <c r="HH53" t="e">
        <f>Nodes!B387+"'E4!$eg"</f>
        <v>#VALUE!</v>
      </c>
      <c r="HI53" t="e">
        <f>Nodes!C387+"'E4!$eh"</f>
        <v>#VALUE!</v>
      </c>
      <c r="HJ53" t="e">
        <f>Nodes!D387+"'E4!$ei"</f>
        <v>#VALUE!</v>
      </c>
      <c r="HK53" t="e">
        <f>Nodes!E387+"'E4!$ej"</f>
        <v>#VALUE!</v>
      </c>
      <c r="HL53" t="e">
        <f>Nodes!F387+"'E4!$ek"</f>
        <v>#VALUE!</v>
      </c>
      <c r="HM53" t="e">
        <f>Nodes!G387+"'E4!$el"</f>
        <v>#VALUE!</v>
      </c>
      <c r="HN53" t="e">
        <f>Nodes!H387+"'E4!$em"</f>
        <v>#VALUE!</v>
      </c>
      <c r="HO53" t="e">
        <f>Nodes!I387+"'E4!$en"</f>
        <v>#VALUE!</v>
      </c>
      <c r="HP53" t="e">
        <f>Nodes!J387+"'E4!$eo"</f>
        <v>#VALUE!</v>
      </c>
      <c r="HQ53" t="e">
        <f>Nodes!K387+"'E4!$ep"</f>
        <v>#VALUE!</v>
      </c>
      <c r="HR53" t="e">
        <f>Nodes!L387+"'E4!$eq"</f>
        <v>#VALUE!</v>
      </c>
      <c r="HS53" t="e">
        <f>Nodes!M387+"'E4!$er"</f>
        <v>#VALUE!</v>
      </c>
      <c r="HT53" t="e">
        <f>Nodes!N387+"'E4!$es"</f>
        <v>#VALUE!</v>
      </c>
      <c r="HU53" t="e">
        <f>Nodes!O387+"'E4!$et"</f>
        <v>#VALUE!</v>
      </c>
      <c r="HV53" t="e">
        <f>Nodes!P387+"'E4!$eu"</f>
        <v>#VALUE!</v>
      </c>
      <c r="HW53" t="e">
        <f>Nodes!Q387+"'E4!$ev"</f>
        <v>#VALUE!</v>
      </c>
      <c r="HX53" t="e">
        <f>Nodes!R387+"'E4!$ew"</f>
        <v>#VALUE!</v>
      </c>
      <c r="HY53" t="e">
        <f>Nodes!S387+"'E4!$ex"</f>
        <v>#VALUE!</v>
      </c>
      <c r="HZ53" s="548" t="e">
        <f>Nodes!T387+"'E4!$ey"</f>
        <v>#VALUE!</v>
      </c>
      <c r="IA53" s="548" t="e">
        <f>Nodes!U387+"'E4!$ez"</f>
        <v>#VALUE!</v>
      </c>
      <c r="IB53" t="e">
        <f>Nodes!V387+"'E4!$e{"</f>
        <v>#VALUE!</v>
      </c>
      <c r="IC53" t="e">
        <f>Nodes!W387+"'E4!$e|"</f>
        <v>#VALUE!</v>
      </c>
      <c r="ID53" s="333" t="e">
        <f>Nodes!X387+"'E4!$e}"</f>
        <v>#VALUE!</v>
      </c>
      <c r="IE53" t="e">
        <f>Nodes!Y387+"'E4!$e~"</f>
        <v>#VALUE!</v>
      </c>
      <c r="IF53" t="e">
        <f>Nodes!Z387+"'E4!$f#"</f>
        <v>#VALUE!</v>
      </c>
      <c r="IG53" t="e">
        <f>Nodes!AA387+"'E4!$f$"</f>
        <v>#VALUE!</v>
      </c>
      <c r="IH53" t="e">
        <f>Nodes!AB387+"'E4!$f%"</f>
        <v>#VALUE!</v>
      </c>
      <c r="II53" t="e">
        <f>Nodes!AC387+"'E4!$f&amp;"</f>
        <v>#VALUE!</v>
      </c>
      <c r="IJ53" t="e">
        <f>Nodes!A388+"'E4!$f'"</f>
        <v>#VALUE!</v>
      </c>
      <c r="IK53" t="e">
        <f>Nodes!B388+"'E4!$f("</f>
        <v>#VALUE!</v>
      </c>
      <c r="IL53" t="e">
        <f>Nodes!C388+"'E4!$f)"</f>
        <v>#VALUE!</v>
      </c>
      <c r="IM53" t="e">
        <f>Nodes!D388+"'E4!$f."</f>
        <v>#VALUE!</v>
      </c>
      <c r="IN53" t="e">
        <f>Nodes!E388+"'E4!$f/"</f>
        <v>#VALUE!</v>
      </c>
      <c r="IO53" t="e">
        <f>Nodes!F388+"'E4!$f0"</f>
        <v>#VALUE!</v>
      </c>
      <c r="IP53" t="e">
        <f>Nodes!G388+"'E4!$f1"</f>
        <v>#VALUE!</v>
      </c>
      <c r="IQ53" t="e">
        <f>Nodes!H388+"'E4!$f2"</f>
        <v>#VALUE!</v>
      </c>
      <c r="IR53" t="e">
        <f>Nodes!I388+"'E4!$f3"</f>
        <v>#VALUE!</v>
      </c>
      <c r="IS53" t="e">
        <f>Nodes!J388+"'E4!$f4"</f>
        <v>#VALUE!</v>
      </c>
      <c r="IT53" t="e">
        <f>Nodes!K388+"'E4!$f5"</f>
        <v>#VALUE!</v>
      </c>
      <c r="IU53" t="e">
        <f>Nodes!L388+"'E4!$f6"</f>
        <v>#VALUE!</v>
      </c>
      <c r="IV53" t="e">
        <f>Nodes!M388+"'E4!$f7"</f>
        <v>#VALUE!</v>
      </c>
    </row>
    <row r="54" spans="6:256">
      <c r="F54" t="e">
        <f>Nodes!N388+"'E4!$f8"</f>
        <v>#VALUE!</v>
      </c>
      <c r="G54" t="e">
        <f>Nodes!O388+"'E4!$f9"</f>
        <v>#VALUE!</v>
      </c>
      <c r="H54" t="e">
        <f>Nodes!P388+"'E4!$f:"</f>
        <v>#VALUE!</v>
      </c>
      <c r="I54" t="e">
        <f>Nodes!Q388+"'E4!$f;"</f>
        <v>#VALUE!</v>
      </c>
      <c r="J54" t="e">
        <f>Nodes!R388+"'E4!$f&lt;"</f>
        <v>#VALUE!</v>
      </c>
      <c r="K54" t="e">
        <f>Nodes!S388+"'E4!$f="</f>
        <v>#VALUE!</v>
      </c>
      <c r="L54" s="548" t="e">
        <f>Nodes!T388+"'E4!$f&gt;"</f>
        <v>#VALUE!</v>
      </c>
      <c r="M54" s="548" t="e">
        <f>Nodes!U388+"'E4!$f?"</f>
        <v>#VALUE!</v>
      </c>
      <c r="N54" t="e">
        <f>Nodes!V388+"'E4!$f@"</f>
        <v>#VALUE!</v>
      </c>
      <c r="O54" t="e">
        <f>Nodes!W388+"'E4!$fA"</f>
        <v>#VALUE!</v>
      </c>
      <c r="P54" s="333" t="e">
        <f>Nodes!X388+"'E4!$fB"</f>
        <v>#VALUE!</v>
      </c>
      <c r="Q54" t="e">
        <f>Nodes!Y388+"'E4!$fC"</f>
        <v>#VALUE!</v>
      </c>
      <c r="R54" t="e">
        <f>Nodes!Z388+"'E4!$fD"</f>
        <v>#VALUE!</v>
      </c>
      <c r="S54" t="e">
        <f>Nodes!AA388+"'E4!$fE"</f>
        <v>#VALUE!</v>
      </c>
      <c r="T54" t="e">
        <f>Nodes!AB388+"'E4!$fF"</f>
        <v>#VALUE!</v>
      </c>
      <c r="U54" t="e">
        <f>Nodes!AC388+"'E4!$fG"</f>
        <v>#VALUE!</v>
      </c>
      <c r="V54" t="e">
        <f>Nodes!A389+"'E4!$fH"</f>
        <v>#VALUE!</v>
      </c>
      <c r="W54" t="e">
        <f>Nodes!B389+"'E4!$fI"</f>
        <v>#VALUE!</v>
      </c>
      <c r="X54" t="e">
        <f>Nodes!C389+"'E4!$fJ"</f>
        <v>#VALUE!</v>
      </c>
      <c r="Y54" t="e">
        <f>Nodes!D389+"'E4!$fK"</f>
        <v>#VALUE!</v>
      </c>
      <c r="Z54" t="e">
        <f>Nodes!E389+"'E4!$fL"</f>
        <v>#VALUE!</v>
      </c>
      <c r="AA54" t="e">
        <f>Nodes!F389+"'E4!$fM"</f>
        <v>#VALUE!</v>
      </c>
      <c r="AB54" t="e">
        <f>Nodes!G389+"'E4!$fN"</f>
        <v>#VALUE!</v>
      </c>
      <c r="AC54" t="e">
        <f>Nodes!H389+"'E4!$fO"</f>
        <v>#VALUE!</v>
      </c>
      <c r="AD54" t="e">
        <f>Nodes!I389+"'E4!$fP"</f>
        <v>#VALUE!</v>
      </c>
      <c r="AE54" t="e">
        <f>Nodes!J389+"'E4!$fQ"</f>
        <v>#VALUE!</v>
      </c>
      <c r="AF54" t="e">
        <f>Nodes!K389+"'E4!$fR"</f>
        <v>#VALUE!</v>
      </c>
      <c r="AG54" t="e">
        <f>Nodes!L389+"'E4!$fS"</f>
        <v>#VALUE!</v>
      </c>
      <c r="AH54" t="e">
        <f>Nodes!M389+"'E4!$fT"</f>
        <v>#VALUE!</v>
      </c>
      <c r="AI54" t="e">
        <f>Nodes!N389+"'E4!$fU"</f>
        <v>#VALUE!</v>
      </c>
      <c r="AJ54" t="e">
        <f>Nodes!O389+"'E4!$fV"</f>
        <v>#VALUE!</v>
      </c>
      <c r="AK54" t="e">
        <f>Nodes!P389+"'E4!$fW"</f>
        <v>#VALUE!</v>
      </c>
      <c r="AL54" t="e">
        <f>Nodes!Q389+"'E4!$fX"</f>
        <v>#VALUE!</v>
      </c>
      <c r="AM54" t="e">
        <f>Nodes!R389+"'E4!$fY"</f>
        <v>#VALUE!</v>
      </c>
      <c r="AN54" t="e">
        <f>Nodes!S389+"'E4!$fZ"</f>
        <v>#VALUE!</v>
      </c>
      <c r="AO54" t="e">
        <f>Nodes!T389+"'E4!$f["</f>
        <v>#VALUE!</v>
      </c>
      <c r="AP54" s="548" t="e">
        <f>Nodes!U389+"'E4!$f\"</f>
        <v>#VALUE!</v>
      </c>
      <c r="AQ54" s="548" t="e">
        <f>Nodes!V389+"'E4!$f]"</f>
        <v>#VALUE!</v>
      </c>
      <c r="AR54" s="548" t="e">
        <f>Nodes!W389+"'E4!$f^"</f>
        <v>#VALUE!</v>
      </c>
      <c r="AS54" s="333" t="e">
        <f>Nodes!X389+"'E4!$f_"</f>
        <v>#VALUE!</v>
      </c>
      <c r="AT54" t="e">
        <f>Nodes!Y389+"'E4!$f`"</f>
        <v>#VALUE!</v>
      </c>
      <c r="AU54" t="e">
        <f>Nodes!Z389+"'E4!$fa"</f>
        <v>#VALUE!</v>
      </c>
      <c r="AV54" t="e">
        <f>Nodes!AA389+"'E4!$fb"</f>
        <v>#VALUE!</v>
      </c>
      <c r="AW54" t="e">
        <f>Nodes!AB389+"'E4!$fc"</f>
        <v>#VALUE!</v>
      </c>
      <c r="AX54" t="e">
        <f>Nodes!AC389+"'E4!$fd"</f>
        <v>#VALUE!</v>
      </c>
      <c r="AY54" t="e">
        <f>Nodes!A390+"'E4!$fe"</f>
        <v>#VALUE!</v>
      </c>
      <c r="AZ54" t="e">
        <f>Nodes!B390+"'E4!$ff"</f>
        <v>#VALUE!</v>
      </c>
      <c r="BA54" t="e">
        <f>Nodes!C390+"'E4!$fg"</f>
        <v>#VALUE!</v>
      </c>
      <c r="BB54" t="e">
        <f>Nodes!D390+"'E4!$fh"</f>
        <v>#VALUE!</v>
      </c>
      <c r="BC54" t="e">
        <f>Nodes!E390+"'E4!$fi"</f>
        <v>#VALUE!</v>
      </c>
      <c r="BD54" t="e">
        <f>Nodes!F390+"'E4!$fj"</f>
        <v>#VALUE!</v>
      </c>
      <c r="BE54" t="e">
        <f>Nodes!G390+"'E4!$fk"</f>
        <v>#VALUE!</v>
      </c>
      <c r="BF54" t="e">
        <f>Nodes!H390+"'E4!$fl"</f>
        <v>#VALUE!</v>
      </c>
      <c r="BG54" t="e">
        <f>Nodes!I390+"'E4!$fm"</f>
        <v>#VALUE!</v>
      </c>
      <c r="BH54" t="e">
        <f>Nodes!J390+"'E4!$fn"</f>
        <v>#VALUE!</v>
      </c>
      <c r="BI54" t="e">
        <f>Nodes!K390+"'E4!$fo"</f>
        <v>#VALUE!</v>
      </c>
      <c r="BJ54" t="e">
        <f>Nodes!L390+"'E4!$fp"</f>
        <v>#VALUE!</v>
      </c>
      <c r="BK54" t="e">
        <f>Nodes!M390+"'E4!$fq"</f>
        <v>#VALUE!</v>
      </c>
      <c r="BL54" t="e">
        <f>Nodes!N390+"'E4!$fr"</f>
        <v>#VALUE!</v>
      </c>
      <c r="BM54" t="e">
        <f>Nodes!O390+"'E4!$fs"</f>
        <v>#VALUE!</v>
      </c>
      <c r="BN54" t="e">
        <f>Nodes!P390+"'E4!$ft"</f>
        <v>#VALUE!</v>
      </c>
      <c r="BO54" t="e">
        <f>Nodes!Q390+"'E4!$fu"</f>
        <v>#VALUE!</v>
      </c>
      <c r="BP54" t="e">
        <f>Nodes!R390+"'E4!$fv"</f>
        <v>#VALUE!</v>
      </c>
      <c r="BQ54" t="e">
        <f>Nodes!S390+"'E4!$fw"</f>
        <v>#VALUE!</v>
      </c>
      <c r="BR54" t="e">
        <f>Nodes!T390+"'E4!$fx"</f>
        <v>#VALUE!</v>
      </c>
      <c r="BS54" s="548" t="e">
        <f>Nodes!U390+"'E4!$fy"</f>
        <v>#VALUE!</v>
      </c>
      <c r="BT54" s="548" t="e">
        <f>Nodes!V390+"'E4!$fz"</f>
        <v>#VALUE!</v>
      </c>
      <c r="BU54" s="548" t="e">
        <f>Nodes!W390+"'E4!$f{"</f>
        <v>#VALUE!</v>
      </c>
      <c r="BV54" s="333" t="e">
        <f>Nodes!X390+"'E4!$f|"</f>
        <v>#VALUE!</v>
      </c>
      <c r="BW54" t="e">
        <f>Nodes!Y390+"'E4!$f}"</f>
        <v>#VALUE!</v>
      </c>
      <c r="BX54" t="e">
        <f>Nodes!Z390+"'E4!$f~"</f>
        <v>#VALUE!</v>
      </c>
      <c r="BY54" t="e">
        <f>Nodes!AA390+"'E4!$g#"</f>
        <v>#VALUE!</v>
      </c>
      <c r="BZ54" t="e">
        <f>Nodes!AB390+"'E4!$g$"</f>
        <v>#VALUE!</v>
      </c>
      <c r="CA54" t="e">
        <f>Nodes!AC390+"'E4!$g%"</f>
        <v>#VALUE!</v>
      </c>
      <c r="CB54" t="e">
        <f>Nodes!A391+"'E4!$g&amp;"</f>
        <v>#VALUE!</v>
      </c>
      <c r="CC54" t="e">
        <f>Nodes!B391+"'E4!$g'"</f>
        <v>#VALUE!</v>
      </c>
      <c r="CD54" t="e">
        <f>Nodes!C391+"'E4!$g("</f>
        <v>#VALUE!</v>
      </c>
      <c r="CE54" t="e">
        <f>Nodes!D391+"'E4!$g)"</f>
        <v>#VALUE!</v>
      </c>
      <c r="CF54" t="e">
        <f>Nodes!E391+"'E4!$g."</f>
        <v>#VALUE!</v>
      </c>
      <c r="CG54" t="e">
        <f>Nodes!F391+"'E4!$g/"</f>
        <v>#VALUE!</v>
      </c>
      <c r="CH54" t="e">
        <f>Nodes!G391+"'E4!$g0"</f>
        <v>#VALUE!</v>
      </c>
      <c r="CI54" t="e">
        <f>Nodes!H391+"'E4!$g1"</f>
        <v>#VALUE!</v>
      </c>
      <c r="CJ54" t="e">
        <f>Nodes!I391+"'E4!$g2"</f>
        <v>#VALUE!</v>
      </c>
      <c r="CK54" t="e">
        <f>Nodes!J391+"'E4!$g3"</f>
        <v>#VALUE!</v>
      </c>
      <c r="CL54" t="e">
        <f>Nodes!K391+"'E4!$g4"</f>
        <v>#VALUE!</v>
      </c>
      <c r="CM54" t="e">
        <f>Nodes!L391+"'E4!$g5"</f>
        <v>#VALUE!</v>
      </c>
      <c r="CN54" t="e">
        <f>Nodes!M391+"'E4!$g6"</f>
        <v>#VALUE!</v>
      </c>
      <c r="CO54" t="e">
        <f>Nodes!N391+"'E4!$g7"</f>
        <v>#VALUE!</v>
      </c>
      <c r="CP54" t="e">
        <f>Nodes!O391+"'E4!$g8"</f>
        <v>#VALUE!</v>
      </c>
      <c r="CQ54" t="e">
        <f>Nodes!P391+"'E4!$g9"</f>
        <v>#VALUE!</v>
      </c>
      <c r="CR54" t="e">
        <f>Nodes!Q391+"'E4!$g:"</f>
        <v>#VALUE!</v>
      </c>
      <c r="CS54" t="e">
        <f>Nodes!R391+"'E4!$g;"</f>
        <v>#VALUE!</v>
      </c>
      <c r="CT54" t="e">
        <f>Nodes!S391+"'E4!$g&lt;"</f>
        <v>#VALUE!</v>
      </c>
      <c r="CU54" t="e">
        <f>Nodes!T391+"'E4!$g="</f>
        <v>#VALUE!</v>
      </c>
      <c r="CV54" s="548" t="e">
        <f>Nodes!U391+"'E4!$g&gt;"</f>
        <v>#VALUE!</v>
      </c>
      <c r="CW54" s="548" t="e">
        <f>Nodes!V391+"'E4!$g?"</f>
        <v>#VALUE!</v>
      </c>
      <c r="CX54" s="548" t="e">
        <f>Nodes!W391+"'E4!$g@"</f>
        <v>#VALUE!</v>
      </c>
      <c r="CY54" s="333" t="e">
        <f>Nodes!X391+"'E4!$gA"</f>
        <v>#VALUE!</v>
      </c>
      <c r="CZ54" t="e">
        <f>Nodes!Y391+"'E4!$gB"</f>
        <v>#VALUE!</v>
      </c>
      <c r="DA54" t="e">
        <f>Nodes!Z391+"'E4!$gC"</f>
        <v>#VALUE!</v>
      </c>
      <c r="DB54" t="e">
        <f>Nodes!AA391+"'E4!$gD"</f>
        <v>#VALUE!</v>
      </c>
      <c r="DC54" t="e">
        <f>Nodes!AB391+"'E4!$gE"</f>
        <v>#VALUE!</v>
      </c>
      <c r="DD54" t="e">
        <f>Nodes!AC391+"'E4!$gF"</f>
        <v>#VALUE!</v>
      </c>
      <c r="DE54" t="e">
        <f>Nodes!A392+"'E4!$gG"</f>
        <v>#VALUE!</v>
      </c>
      <c r="DF54" t="e">
        <f>Nodes!B392+"'E4!$gH"</f>
        <v>#VALUE!</v>
      </c>
      <c r="DG54" t="e">
        <f>Nodes!C392+"'E4!$gI"</f>
        <v>#VALUE!</v>
      </c>
      <c r="DH54" t="e">
        <f>Nodes!D392+"'E4!$gJ"</f>
        <v>#VALUE!</v>
      </c>
      <c r="DI54" t="e">
        <f>Nodes!E392+"'E4!$gK"</f>
        <v>#VALUE!</v>
      </c>
      <c r="DJ54" t="e">
        <f>Nodes!F392+"'E4!$gL"</f>
        <v>#VALUE!</v>
      </c>
      <c r="DK54" t="e">
        <f>Nodes!G392+"'E4!$gM"</f>
        <v>#VALUE!</v>
      </c>
      <c r="DL54" t="e">
        <f>Nodes!H392+"'E4!$gN"</f>
        <v>#VALUE!</v>
      </c>
      <c r="DM54" t="e">
        <f>Nodes!I392+"'E4!$gO"</f>
        <v>#VALUE!</v>
      </c>
      <c r="DN54" t="e">
        <f>Nodes!J392+"'E4!$gP"</f>
        <v>#VALUE!</v>
      </c>
      <c r="DO54" t="e">
        <f>Nodes!K392+"'E4!$gQ"</f>
        <v>#VALUE!</v>
      </c>
      <c r="DP54" t="e">
        <f>Nodes!L392+"'E4!$gR"</f>
        <v>#VALUE!</v>
      </c>
      <c r="DQ54" t="e">
        <f>Nodes!M392+"'E4!$gS"</f>
        <v>#VALUE!</v>
      </c>
      <c r="DR54" t="e">
        <f>Nodes!N392+"'E4!$gT"</f>
        <v>#VALUE!</v>
      </c>
      <c r="DS54" t="e">
        <f>Nodes!O392+"'E4!$gU"</f>
        <v>#VALUE!</v>
      </c>
      <c r="DT54" t="e">
        <f>Nodes!P392+"'E4!$gV"</f>
        <v>#VALUE!</v>
      </c>
      <c r="DU54" t="e">
        <f>Nodes!Q392+"'E4!$gW"</f>
        <v>#VALUE!</v>
      </c>
      <c r="DV54" t="e">
        <f>Nodes!R392+"'E4!$gX"</f>
        <v>#VALUE!</v>
      </c>
      <c r="DW54" t="e">
        <f>Nodes!S392+"'E4!$gY"</f>
        <v>#VALUE!</v>
      </c>
      <c r="DX54" t="e">
        <f>Nodes!T392+"'E4!$gZ"</f>
        <v>#VALUE!</v>
      </c>
      <c r="DY54" s="548" t="e">
        <f>Nodes!U392+"'E4!$g["</f>
        <v>#VALUE!</v>
      </c>
      <c r="DZ54" s="548" t="e">
        <f>Nodes!V392+"'E4!$g\"</f>
        <v>#VALUE!</v>
      </c>
      <c r="EA54" s="548" t="e">
        <f>Nodes!W392+"'E4!$g]"</f>
        <v>#VALUE!</v>
      </c>
      <c r="EB54" s="333" t="e">
        <f>Nodes!X392+"'E4!$g^"</f>
        <v>#VALUE!</v>
      </c>
      <c r="EC54" t="e">
        <f>Nodes!Y392+"'E4!$g_"</f>
        <v>#VALUE!</v>
      </c>
      <c r="ED54" t="e">
        <f>Nodes!Z392+"'E4!$g`"</f>
        <v>#VALUE!</v>
      </c>
      <c r="EE54" t="e">
        <f>Nodes!AA392+"'E4!$ga"</f>
        <v>#VALUE!</v>
      </c>
      <c r="EF54" t="e">
        <f>Nodes!AB392+"'E4!$gb"</f>
        <v>#VALUE!</v>
      </c>
      <c r="EG54" t="e">
        <f>Nodes!AC392+"'E4!$gc"</f>
        <v>#VALUE!</v>
      </c>
      <c r="EH54" t="e">
        <f>Nodes!A393+"'E4!$gd"</f>
        <v>#VALUE!</v>
      </c>
      <c r="EI54" t="e">
        <f>Nodes!B393+"'E4!$ge"</f>
        <v>#VALUE!</v>
      </c>
      <c r="EJ54" t="e">
        <f>Nodes!C393+"'E4!$gf"</f>
        <v>#VALUE!</v>
      </c>
      <c r="EK54" t="e">
        <f>Nodes!D393+"'E4!$gg"</f>
        <v>#VALUE!</v>
      </c>
      <c r="EL54" t="e">
        <f>Nodes!E393+"'E4!$gh"</f>
        <v>#VALUE!</v>
      </c>
      <c r="EM54" t="e">
        <f>Nodes!F393+"'E4!$gi"</f>
        <v>#VALUE!</v>
      </c>
      <c r="EN54" t="e">
        <f>Nodes!G393+"'E4!$gj"</f>
        <v>#VALUE!</v>
      </c>
      <c r="EO54" t="e">
        <f>Nodes!H393+"'E4!$gk"</f>
        <v>#VALUE!</v>
      </c>
      <c r="EP54" t="e">
        <f>Nodes!I393+"'E4!$gl"</f>
        <v>#VALUE!</v>
      </c>
      <c r="EQ54" t="e">
        <f>Nodes!J393+"'E4!$gm"</f>
        <v>#VALUE!</v>
      </c>
      <c r="ER54" t="e">
        <f>Nodes!K393+"'E4!$gn"</f>
        <v>#VALUE!</v>
      </c>
      <c r="ES54" t="e">
        <f>Nodes!L393+"'E4!$go"</f>
        <v>#VALUE!</v>
      </c>
      <c r="ET54" t="e">
        <f>Nodes!M393+"'E4!$gp"</f>
        <v>#VALUE!</v>
      </c>
      <c r="EU54" t="e">
        <f>Nodes!N393+"'E4!$gq"</f>
        <v>#VALUE!</v>
      </c>
      <c r="EV54" t="e">
        <f>Nodes!O393+"'E4!$gr"</f>
        <v>#VALUE!</v>
      </c>
      <c r="EW54" t="e">
        <f>Nodes!P393+"'E4!$gs"</f>
        <v>#VALUE!</v>
      </c>
      <c r="EX54" t="e">
        <f>Nodes!Q393+"'E4!$gt"</f>
        <v>#VALUE!</v>
      </c>
      <c r="EY54" t="e">
        <f>Nodes!R393+"'E4!$gu"</f>
        <v>#VALUE!</v>
      </c>
      <c r="EZ54" t="e">
        <f>Nodes!S393+"'E4!$gv"</f>
        <v>#VALUE!</v>
      </c>
      <c r="FA54" t="e">
        <f>Nodes!T393+"'E4!$gw"</f>
        <v>#VALUE!</v>
      </c>
      <c r="FB54" s="548" t="e">
        <f>Nodes!U393+"'E4!$gx"</f>
        <v>#VALUE!</v>
      </c>
      <c r="FC54" s="548" t="e">
        <f>Nodes!V393+"'E4!$gy"</f>
        <v>#VALUE!</v>
      </c>
      <c r="FD54" s="548" t="e">
        <f>Nodes!W393+"'E4!$gz"</f>
        <v>#VALUE!</v>
      </c>
      <c r="FE54" s="333" t="e">
        <f>Nodes!X393+"'E4!$g{"</f>
        <v>#VALUE!</v>
      </c>
      <c r="FF54" t="e">
        <f>Nodes!Y393+"'E4!$g|"</f>
        <v>#VALUE!</v>
      </c>
      <c r="FG54" t="e">
        <f>Nodes!Z393+"'E4!$g}"</f>
        <v>#VALUE!</v>
      </c>
      <c r="FH54" t="e">
        <f>Nodes!AA393+"'E4!$g~"</f>
        <v>#VALUE!</v>
      </c>
      <c r="FI54" t="e">
        <f>Nodes!AB393+"'E4!$h#"</f>
        <v>#VALUE!</v>
      </c>
      <c r="FJ54" t="e">
        <f>Nodes!AC393+"'E4!$h$"</f>
        <v>#VALUE!</v>
      </c>
      <c r="FK54" t="e">
        <f>Nodes!A394+"'E4!$h%"</f>
        <v>#VALUE!</v>
      </c>
      <c r="FL54" t="e">
        <f>Nodes!B394+"'E4!$h&amp;"</f>
        <v>#VALUE!</v>
      </c>
      <c r="FM54" t="e">
        <f>Nodes!C394+"'E4!$h'"</f>
        <v>#VALUE!</v>
      </c>
      <c r="FN54" t="e">
        <f>Nodes!D394+"'E4!$h("</f>
        <v>#VALUE!</v>
      </c>
      <c r="FO54" t="e">
        <f>Nodes!E394+"'E4!$h)"</f>
        <v>#VALUE!</v>
      </c>
      <c r="FP54" t="e">
        <f>Nodes!F394+"'E4!$h."</f>
        <v>#VALUE!</v>
      </c>
      <c r="FQ54" t="e">
        <f>Nodes!G394+"'E4!$h/"</f>
        <v>#VALUE!</v>
      </c>
      <c r="FR54" t="e">
        <f>Nodes!H394+"'E4!$h0"</f>
        <v>#VALUE!</v>
      </c>
      <c r="FS54" t="e">
        <f>Nodes!I394+"'E4!$h1"</f>
        <v>#VALUE!</v>
      </c>
      <c r="FT54" t="e">
        <f>Nodes!J394+"'E4!$h2"</f>
        <v>#VALUE!</v>
      </c>
      <c r="FU54" t="e">
        <f>Nodes!K394+"'E4!$h3"</f>
        <v>#VALUE!</v>
      </c>
      <c r="FV54" t="e">
        <f>Nodes!L394+"'E4!$h4"</f>
        <v>#VALUE!</v>
      </c>
      <c r="FW54" t="e">
        <f>Nodes!M394+"'E4!$h5"</f>
        <v>#VALUE!</v>
      </c>
      <c r="FX54" t="e">
        <f>Nodes!N394+"'E4!$h6"</f>
        <v>#VALUE!</v>
      </c>
      <c r="FY54" t="e">
        <f>Nodes!O394+"'E4!$h7"</f>
        <v>#VALUE!</v>
      </c>
      <c r="FZ54" t="e">
        <f>Nodes!P394+"'E4!$h8"</f>
        <v>#VALUE!</v>
      </c>
      <c r="GA54" t="e">
        <f>Nodes!Q394+"'E4!$h9"</f>
        <v>#VALUE!</v>
      </c>
      <c r="GB54" t="e">
        <f>Nodes!R394+"'E4!$h:"</f>
        <v>#VALUE!</v>
      </c>
      <c r="GC54" t="e">
        <f>Nodes!S394+"'E4!$h;"</f>
        <v>#VALUE!</v>
      </c>
      <c r="GD54" t="e">
        <f>Nodes!T394+"'E4!$h&lt;"</f>
        <v>#VALUE!</v>
      </c>
      <c r="GE54" s="548" t="e">
        <f>Nodes!U394+"'E4!$h="</f>
        <v>#VALUE!</v>
      </c>
      <c r="GF54" s="548" t="e">
        <f>Nodes!V394+"'E4!$h&gt;"</f>
        <v>#VALUE!</v>
      </c>
      <c r="GG54" s="548" t="e">
        <f>Nodes!W394+"'E4!$h?"</f>
        <v>#VALUE!</v>
      </c>
      <c r="GH54" s="333" t="e">
        <f>Nodes!X394+"'E4!$h@"</f>
        <v>#VALUE!</v>
      </c>
      <c r="GI54" t="e">
        <f>Nodes!Y394+"'E4!$hA"</f>
        <v>#VALUE!</v>
      </c>
      <c r="GJ54" t="e">
        <f>Nodes!Z394+"'E4!$hB"</f>
        <v>#VALUE!</v>
      </c>
      <c r="GK54" t="e">
        <f>Nodes!AA394+"'E4!$hC"</f>
        <v>#VALUE!</v>
      </c>
      <c r="GL54" t="e">
        <f>Nodes!AB394+"'E4!$hD"</f>
        <v>#VALUE!</v>
      </c>
      <c r="GM54" t="e">
        <f>Nodes!AC394+"'E4!$hE"</f>
        <v>#VALUE!</v>
      </c>
      <c r="GN54" t="e">
        <f>Nodes!A395+"'E4!$hF"</f>
        <v>#VALUE!</v>
      </c>
      <c r="GO54" t="e">
        <f>Nodes!B395+"'E4!$hG"</f>
        <v>#VALUE!</v>
      </c>
      <c r="GP54" t="e">
        <f>Nodes!C395+"'E4!$hH"</f>
        <v>#VALUE!</v>
      </c>
      <c r="GQ54" t="e">
        <f>Nodes!D395+"'E4!$hI"</f>
        <v>#VALUE!</v>
      </c>
      <c r="GR54" t="e">
        <f>Nodes!E395+"'E4!$hJ"</f>
        <v>#VALUE!</v>
      </c>
      <c r="GS54" t="e">
        <f>Nodes!F395+"'E4!$hK"</f>
        <v>#VALUE!</v>
      </c>
      <c r="GT54" t="e">
        <f>Nodes!G395+"'E4!$hL"</f>
        <v>#VALUE!</v>
      </c>
      <c r="GU54" t="e">
        <f>Nodes!H395+"'E4!$hM"</f>
        <v>#VALUE!</v>
      </c>
      <c r="GV54" t="e">
        <f>Nodes!I395+"'E4!$hN"</f>
        <v>#VALUE!</v>
      </c>
      <c r="GW54" t="e">
        <f>Nodes!J395+"'E4!$hO"</f>
        <v>#VALUE!</v>
      </c>
      <c r="GX54" t="e">
        <f>Nodes!K395+"'E4!$hP"</f>
        <v>#VALUE!</v>
      </c>
      <c r="GY54" t="e">
        <f>Nodes!L395+"'E4!$hQ"</f>
        <v>#VALUE!</v>
      </c>
      <c r="GZ54" t="e">
        <f>Nodes!M395+"'E4!$hR"</f>
        <v>#VALUE!</v>
      </c>
      <c r="HA54" t="e">
        <f>Nodes!N395+"'E4!$hS"</f>
        <v>#VALUE!</v>
      </c>
      <c r="HB54" t="e">
        <f>Nodes!O395+"'E4!$hT"</f>
        <v>#VALUE!</v>
      </c>
      <c r="HC54" t="e">
        <f>Nodes!P395+"'E4!$hU"</f>
        <v>#VALUE!</v>
      </c>
      <c r="HD54" t="e">
        <f>Nodes!Q395+"'E4!$hV"</f>
        <v>#VALUE!</v>
      </c>
      <c r="HE54" t="e">
        <f>Nodes!R395+"'E4!$hW"</f>
        <v>#VALUE!</v>
      </c>
      <c r="HF54" t="e">
        <f>Nodes!S395+"'E4!$hX"</f>
        <v>#VALUE!</v>
      </c>
      <c r="HG54" t="e">
        <f>Nodes!T395+"'E4!$hY"</f>
        <v>#VALUE!</v>
      </c>
      <c r="HH54" s="548" t="e">
        <f>Nodes!U395+"'E4!$hZ"</f>
        <v>#VALUE!</v>
      </c>
      <c r="HI54" s="548" t="e">
        <f>Nodes!V395+"'E4!$h["</f>
        <v>#VALUE!</v>
      </c>
      <c r="HJ54" s="548" t="e">
        <f>Nodes!W395+"'E4!$h\"</f>
        <v>#VALUE!</v>
      </c>
      <c r="HK54" s="333" t="e">
        <f>Nodes!X395+"'E4!$h]"</f>
        <v>#VALUE!</v>
      </c>
      <c r="HL54" t="e">
        <f>Nodes!Y395+"'E4!$h^"</f>
        <v>#VALUE!</v>
      </c>
      <c r="HM54" t="e">
        <f>Nodes!Z395+"'E4!$h_"</f>
        <v>#VALUE!</v>
      </c>
      <c r="HN54" t="e">
        <f>Nodes!AA395+"'E4!$h`"</f>
        <v>#VALUE!</v>
      </c>
      <c r="HO54" t="e">
        <f>Nodes!AB395+"'E4!$ha"</f>
        <v>#VALUE!</v>
      </c>
      <c r="HP54" t="e">
        <f>Nodes!AC395+"'E4!$hb"</f>
        <v>#VALUE!</v>
      </c>
      <c r="HQ54" t="e">
        <f>Nodes!A396+"'E4!$hc"</f>
        <v>#VALUE!</v>
      </c>
      <c r="HR54" t="e">
        <f>Nodes!B396+"'E4!$hd"</f>
        <v>#VALUE!</v>
      </c>
      <c r="HS54" t="e">
        <f>Nodes!C396+"'E4!$he"</f>
        <v>#VALUE!</v>
      </c>
      <c r="HT54" t="e">
        <f>Nodes!D396+"'E4!$hf"</f>
        <v>#VALUE!</v>
      </c>
      <c r="HU54" t="e">
        <f>Nodes!E396+"'E4!$hg"</f>
        <v>#VALUE!</v>
      </c>
      <c r="HV54" t="e">
        <f>Nodes!F396+"'E4!$hh"</f>
        <v>#VALUE!</v>
      </c>
      <c r="HW54" t="e">
        <f>Nodes!G396+"'E4!$hi"</f>
        <v>#VALUE!</v>
      </c>
      <c r="HX54" t="e">
        <f>Nodes!H396+"'E4!$hj"</f>
        <v>#VALUE!</v>
      </c>
      <c r="HY54" t="e">
        <f>Nodes!I396+"'E4!$hk"</f>
        <v>#VALUE!</v>
      </c>
      <c r="HZ54" t="e">
        <f>Nodes!J396+"'E4!$hl"</f>
        <v>#VALUE!</v>
      </c>
      <c r="IA54" t="e">
        <f>Nodes!K396+"'E4!$hm"</f>
        <v>#VALUE!</v>
      </c>
      <c r="IB54" t="e">
        <f>Nodes!L396+"'E4!$hn"</f>
        <v>#VALUE!</v>
      </c>
      <c r="IC54" t="e">
        <f>Nodes!M396+"'E4!$ho"</f>
        <v>#VALUE!</v>
      </c>
      <c r="ID54" t="e">
        <f>Nodes!N396+"'E4!$hp"</f>
        <v>#VALUE!</v>
      </c>
      <c r="IE54" t="e">
        <f>Nodes!O396+"'E4!$hq"</f>
        <v>#VALUE!</v>
      </c>
      <c r="IF54" t="e">
        <f>Nodes!P396+"'E4!$hr"</f>
        <v>#VALUE!</v>
      </c>
      <c r="IG54" t="e">
        <f>Nodes!Q396+"'E4!$hs"</f>
        <v>#VALUE!</v>
      </c>
      <c r="IH54" t="e">
        <f>Nodes!R396+"'E4!$ht"</f>
        <v>#VALUE!</v>
      </c>
      <c r="II54" t="e">
        <f>Nodes!S396+"'E4!$hu"</f>
        <v>#VALUE!</v>
      </c>
      <c r="IJ54" t="e">
        <f>Nodes!T396+"'E4!$hv"</f>
        <v>#VALUE!</v>
      </c>
      <c r="IK54" s="548" t="e">
        <f>Nodes!U396+"'E4!$hw"</f>
        <v>#VALUE!</v>
      </c>
      <c r="IL54" s="548" t="e">
        <f>Nodes!V396+"'E4!$hx"</f>
        <v>#VALUE!</v>
      </c>
      <c r="IM54" s="548" t="e">
        <f>Nodes!W396+"'E4!$hy"</f>
        <v>#VALUE!</v>
      </c>
      <c r="IN54" s="333" t="e">
        <f>Nodes!X396+"'E4!$hz"</f>
        <v>#VALUE!</v>
      </c>
      <c r="IO54" t="e">
        <f>Nodes!Y396+"'E4!$h{"</f>
        <v>#VALUE!</v>
      </c>
      <c r="IP54" t="e">
        <f>Nodes!Z396+"'E4!$h|"</f>
        <v>#VALUE!</v>
      </c>
      <c r="IQ54" t="e">
        <f>Nodes!AA396+"'E4!$h}"</f>
        <v>#VALUE!</v>
      </c>
      <c r="IR54" t="e">
        <f>Nodes!AB396+"'E4!$h~"</f>
        <v>#VALUE!</v>
      </c>
      <c r="IS54" t="e">
        <f>Nodes!AC396+"'E4!$i#"</f>
        <v>#VALUE!</v>
      </c>
      <c r="IT54" t="e">
        <f>Nodes!A397+"'E4!$i$"</f>
        <v>#VALUE!</v>
      </c>
      <c r="IU54" t="e">
        <f>Nodes!B397+"'E4!$i%"</f>
        <v>#VALUE!</v>
      </c>
      <c r="IV54" t="e">
        <f>Nodes!C397+"'E4!$i&amp;"</f>
        <v>#VALUE!</v>
      </c>
    </row>
    <row r="55" spans="6:256">
      <c r="F55" t="e">
        <f>Nodes!D397+"'E4!$i'"</f>
        <v>#VALUE!</v>
      </c>
      <c r="G55" t="e">
        <f>Nodes!E397+"'E4!$i("</f>
        <v>#VALUE!</v>
      </c>
      <c r="H55" t="e">
        <f>Nodes!F397+"'E4!$i)"</f>
        <v>#VALUE!</v>
      </c>
      <c r="I55" t="e">
        <f>Nodes!G397+"'E4!$i."</f>
        <v>#VALUE!</v>
      </c>
      <c r="J55" t="e">
        <f>Nodes!H397+"'E4!$i/"</f>
        <v>#VALUE!</v>
      </c>
      <c r="K55" t="e">
        <f>Nodes!I397+"'E4!$i0"</f>
        <v>#VALUE!</v>
      </c>
      <c r="L55" t="e">
        <f>Nodes!J397+"'E4!$i1"</f>
        <v>#VALUE!</v>
      </c>
      <c r="M55" t="e">
        <f>Nodes!K397+"'E4!$i2"</f>
        <v>#VALUE!</v>
      </c>
      <c r="N55" t="e">
        <f>Nodes!L397+"'E4!$i3"</f>
        <v>#VALUE!</v>
      </c>
      <c r="O55" t="e">
        <f>Nodes!M397+"'E4!$i4"</f>
        <v>#VALUE!</v>
      </c>
      <c r="P55" t="e">
        <f>Nodes!N397+"'E4!$i5"</f>
        <v>#VALUE!</v>
      </c>
      <c r="Q55" t="e">
        <f>Nodes!O397+"'E4!$i6"</f>
        <v>#VALUE!</v>
      </c>
      <c r="R55" t="e">
        <f>Nodes!P397+"'E4!$i7"</f>
        <v>#VALUE!</v>
      </c>
      <c r="S55" t="e">
        <f>Nodes!Q397+"'E4!$i8"</f>
        <v>#VALUE!</v>
      </c>
      <c r="T55" t="e">
        <f>Nodes!R397+"'E4!$i9"</f>
        <v>#VALUE!</v>
      </c>
      <c r="U55" t="e">
        <f>Nodes!S397+"'E4!$i:"</f>
        <v>#VALUE!</v>
      </c>
      <c r="V55" t="e">
        <f>Nodes!T397+"'E4!$i;"</f>
        <v>#VALUE!</v>
      </c>
      <c r="W55" s="548" t="e">
        <f>Nodes!U397+"'E4!$i&lt;"</f>
        <v>#VALUE!</v>
      </c>
      <c r="X55" s="548" t="e">
        <f>Nodes!V397+"'E4!$i="</f>
        <v>#VALUE!</v>
      </c>
      <c r="Y55" s="548" t="e">
        <f>Nodes!W397+"'E4!$i&gt;"</f>
        <v>#VALUE!</v>
      </c>
      <c r="Z55" s="333" t="e">
        <f>Nodes!X397+"'E4!$i?"</f>
        <v>#VALUE!</v>
      </c>
      <c r="AA55" t="e">
        <f>Nodes!Y397+"'E4!$i@"</f>
        <v>#VALUE!</v>
      </c>
      <c r="AB55" t="e">
        <f>Nodes!Z397+"'E4!$iA"</f>
        <v>#VALUE!</v>
      </c>
      <c r="AC55" t="e">
        <f>Nodes!AA397+"'E4!$iB"</f>
        <v>#VALUE!</v>
      </c>
      <c r="AD55" t="e">
        <f>Nodes!AB397+"'E4!$iC"</f>
        <v>#VALUE!</v>
      </c>
      <c r="AE55" t="e">
        <f>Nodes!AC397+"'E4!$iD"</f>
        <v>#VALUE!</v>
      </c>
      <c r="AF55" t="e">
        <f>Nodes!A398+"'E4!$iE"</f>
        <v>#VALUE!</v>
      </c>
      <c r="AG55" t="e">
        <f>Nodes!B398+"'E4!$iF"</f>
        <v>#VALUE!</v>
      </c>
      <c r="AH55" t="e">
        <f>Nodes!C398+"'E4!$iG"</f>
        <v>#VALUE!</v>
      </c>
      <c r="AI55" t="e">
        <f>Nodes!D398+"'E4!$iH"</f>
        <v>#VALUE!</v>
      </c>
      <c r="AJ55" t="e">
        <f>Nodes!E398+"'E4!$iI"</f>
        <v>#VALUE!</v>
      </c>
      <c r="AK55" t="e">
        <f>Nodes!F398+"'E4!$iJ"</f>
        <v>#VALUE!</v>
      </c>
      <c r="AL55" t="e">
        <f>Nodes!G398+"'E4!$iK"</f>
        <v>#VALUE!</v>
      </c>
      <c r="AM55" t="e">
        <f>Nodes!H398+"'E4!$iL"</f>
        <v>#VALUE!</v>
      </c>
      <c r="AN55" t="e">
        <f>Nodes!I398+"'E4!$iM"</f>
        <v>#VALUE!</v>
      </c>
      <c r="AO55" t="e">
        <f>Nodes!J398+"'E4!$iN"</f>
        <v>#VALUE!</v>
      </c>
      <c r="AP55" t="e">
        <f>Nodes!K398+"'E4!$iO"</f>
        <v>#VALUE!</v>
      </c>
      <c r="AQ55" t="e">
        <f>Nodes!L398+"'E4!$iP"</f>
        <v>#VALUE!</v>
      </c>
      <c r="AR55" t="e">
        <f>Nodes!M398+"'E4!$iQ"</f>
        <v>#VALUE!</v>
      </c>
      <c r="AS55" t="e">
        <f>Nodes!N398+"'E4!$iR"</f>
        <v>#VALUE!</v>
      </c>
      <c r="AT55" t="e">
        <f>Nodes!O398+"'E4!$iS"</f>
        <v>#VALUE!</v>
      </c>
      <c r="AU55" t="e">
        <f>Nodes!P398+"'E4!$iT"</f>
        <v>#VALUE!</v>
      </c>
      <c r="AV55" t="e">
        <f>Nodes!Q398+"'E4!$iU"</f>
        <v>#VALUE!</v>
      </c>
      <c r="AW55" t="e">
        <f>Nodes!R398+"'E4!$iV"</f>
        <v>#VALUE!</v>
      </c>
      <c r="AX55" t="e">
        <f>Nodes!S398+"'E4!$iW"</f>
        <v>#VALUE!</v>
      </c>
      <c r="AY55" t="e">
        <f>Nodes!T398+"'E4!$iX"</f>
        <v>#VALUE!</v>
      </c>
      <c r="AZ55" t="e">
        <f>Nodes!U398+"'E4!$iY"</f>
        <v>#VALUE!</v>
      </c>
      <c r="BA55" t="e">
        <f>Nodes!V398+"'E4!$iZ"</f>
        <v>#VALUE!</v>
      </c>
      <c r="BB55" t="e">
        <f>Nodes!W398+"'E4!$i["</f>
        <v>#VALUE!</v>
      </c>
      <c r="BC55" t="e">
        <f>Nodes!X398+"'E4!$i\"</f>
        <v>#VALUE!</v>
      </c>
      <c r="BD55" t="e">
        <f>Nodes!Y398+"'E4!$i]"</f>
        <v>#VALUE!</v>
      </c>
      <c r="BE55" t="e">
        <f>Nodes!Z398+"'E4!$i^"</f>
        <v>#VALUE!</v>
      </c>
      <c r="BF55" t="e">
        <f>Nodes!AA398+"'E4!$i_"</f>
        <v>#VALUE!</v>
      </c>
      <c r="BG55" t="e">
        <f>Nodes!AB398+"'E4!$i`"</f>
        <v>#VALUE!</v>
      </c>
      <c r="BH55" t="e">
        <f>Nodes!AC398+"'E4!$ia"</f>
        <v>#VALUE!</v>
      </c>
      <c r="BI55" t="e">
        <f>Nodes!A399+"'E4!$ib"</f>
        <v>#VALUE!</v>
      </c>
      <c r="BJ55" t="e">
        <f>Nodes!B399+"'E4!$ic"</f>
        <v>#VALUE!</v>
      </c>
      <c r="BK55" t="e">
        <f>Nodes!C399+"'E4!$id"</f>
        <v>#VALUE!</v>
      </c>
      <c r="BL55" t="e">
        <f>Nodes!D399+"'E4!$ie"</f>
        <v>#VALUE!</v>
      </c>
      <c r="BM55" t="e">
        <f>Nodes!E399+"'E4!$if"</f>
        <v>#VALUE!</v>
      </c>
      <c r="BN55" t="e">
        <f>Nodes!F399+"'E4!$ig"</f>
        <v>#VALUE!</v>
      </c>
      <c r="BO55" t="e">
        <f>Nodes!G399+"'E4!$ih"</f>
        <v>#VALUE!</v>
      </c>
      <c r="BP55" t="e">
        <f>Nodes!H399+"'E4!$ii"</f>
        <v>#VALUE!</v>
      </c>
      <c r="BQ55" t="e">
        <f>Nodes!I399+"'E4!$ij"</f>
        <v>#VALUE!</v>
      </c>
      <c r="BR55" t="e">
        <f>Nodes!J399+"'E4!$ik"</f>
        <v>#VALUE!</v>
      </c>
      <c r="BS55" t="e">
        <f>Nodes!K399+"'E4!$il"</f>
        <v>#VALUE!</v>
      </c>
      <c r="BT55" t="e">
        <f>Nodes!L399+"'E4!$im"</f>
        <v>#VALUE!</v>
      </c>
      <c r="BU55" t="e">
        <f>Nodes!M399+"'E4!$in"</f>
        <v>#VALUE!</v>
      </c>
      <c r="BV55" t="e">
        <f>Nodes!N399+"'E4!$io"</f>
        <v>#VALUE!</v>
      </c>
      <c r="BW55" t="e">
        <f>Nodes!O399+"'E4!$ip"</f>
        <v>#VALUE!</v>
      </c>
      <c r="BX55" t="e">
        <f>Nodes!P399+"'E4!$iq"</f>
        <v>#VALUE!</v>
      </c>
      <c r="BY55" t="e">
        <f>Nodes!Q399+"'E4!$ir"</f>
        <v>#VALUE!</v>
      </c>
      <c r="BZ55" t="e">
        <f>Nodes!R399+"'E4!$is"</f>
        <v>#VALUE!</v>
      </c>
      <c r="CA55" t="e">
        <f>Nodes!S399+"'E4!$it"</f>
        <v>#VALUE!</v>
      </c>
      <c r="CB55" t="e">
        <f>Nodes!T399+"'E4!$iu"</f>
        <v>#VALUE!</v>
      </c>
      <c r="CC55" t="e">
        <f>Nodes!U399+"'E4!$iv"</f>
        <v>#VALUE!</v>
      </c>
      <c r="CD55" t="e">
        <f>Nodes!V399+"'E4!$iw"</f>
        <v>#VALUE!</v>
      </c>
      <c r="CE55" t="e">
        <f>Nodes!W399+"'E4!$ix"</f>
        <v>#VALUE!</v>
      </c>
      <c r="CF55" t="e">
        <f>Nodes!X399+"'E4!$iy"</f>
        <v>#VALUE!</v>
      </c>
      <c r="CG55" t="e">
        <f>Nodes!Y399+"'E4!$iz"</f>
        <v>#VALUE!</v>
      </c>
      <c r="CH55" t="e">
        <f>Nodes!Z399+"'E4!$i{"</f>
        <v>#VALUE!</v>
      </c>
      <c r="CI55" t="e">
        <f>Nodes!AA399+"'E4!$i|"</f>
        <v>#VALUE!</v>
      </c>
      <c r="CJ55" t="e">
        <f>Nodes!AB399+"'E4!$i}"</f>
        <v>#VALUE!</v>
      </c>
      <c r="CK55" t="e">
        <f>Nodes!AC399+"'E4!$i~"</f>
        <v>#VALUE!</v>
      </c>
      <c r="CL55" t="e">
        <f>Nodes!A400+"'E4!$j#"</f>
        <v>#VALUE!</v>
      </c>
      <c r="CM55" t="e">
        <f>Nodes!B400+"'E4!$j$"</f>
        <v>#VALUE!</v>
      </c>
      <c r="CN55" t="e">
        <f>Nodes!C400+"'E4!$j%"</f>
        <v>#VALUE!</v>
      </c>
      <c r="CO55" t="e">
        <f>Nodes!D400+"'E4!$j&amp;"</f>
        <v>#VALUE!</v>
      </c>
      <c r="CP55" t="e">
        <f>Nodes!E400+"'E4!$j'"</f>
        <v>#VALUE!</v>
      </c>
      <c r="CQ55" t="e">
        <f>Nodes!F400+"'E4!$j("</f>
        <v>#VALUE!</v>
      </c>
      <c r="CR55" t="e">
        <f>Nodes!G400+"'E4!$j)"</f>
        <v>#VALUE!</v>
      </c>
      <c r="CS55" t="e">
        <f>Nodes!H400+"'E4!$j."</f>
        <v>#VALUE!</v>
      </c>
      <c r="CT55" t="e">
        <f>Nodes!I400+"'E4!$j/"</f>
        <v>#VALUE!</v>
      </c>
      <c r="CU55" t="e">
        <f>Nodes!J400+"'E4!$j0"</f>
        <v>#VALUE!</v>
      </c>
      <c r="CV55" t="e">
        <f>Nodes!K400+"'E4!$j1"</f>
        <v>#VALUE!</v>
      </c>
      <c r="CW55" t="e">
        <f>Nodes!L400+"'E4!$j2"</f>
        <v>#VALUE!</v>
      </c>
      <c r="CX55" t="e">
        <f>Nodes!M400+"'E4!$j3"</f>
        <v>#VALUE!</v>
      </c>
      <c r="CY55" t="e">
        <f>Nodes!N400+"'E4!$j4"</f>
        <v>#VALUE!</v>
      </c>
      <c r="CZ55" t="e">
        <f>Nodes!O400+"'E4!$j5"</f>
        <v>#VALUE!</v>
      </c>
      <c r="DA55" t="e">
        <f>Nodes!P400+"'E4!$j6"</f>
        <v>#VALUE!</v>
      </c>
      <c r="DB55" t="e">
        <f>Nodes!Q400+"'E4!$j7"</f>
        <v>#VALUE!</v>
      </c>
      <c r="DC55" t="e">
        <f>Nodes!R400+"'E4!$j8"</f>
        <v>#VALUE!</v>
      </c>
      <c r="DD55" t="e">
        <f>Nodes!S400+"'E4!$j9"</f>
        <v>#VALUE!</v>
      </c>
      <c r="DE55" t="e">
        <f>Nodes!T400+"'E4!$j:"</f>
        <v>#VALUE!</v>
      </c>
      <c r="DF55" t="e">
        <f>Nodes!U400+"'E4!$j;"</f>
        <v>#VALUE!</v>
      </c>
      <c r="DG55" t="e">
        <f>Nodes!V400+"'E4!$j&lt;"</f>
        <v>#VALUE!</v>
      </c>
      <c r="DH55" t="e">
        <f>Nodes!W400+"'E4!$j="</f>
        <v>#VALUE!</v>
      </c>
      <c r="DI55" t="e">
        <f>Nodes!X400+"'E4!$j&gt;"</f>
        <v>#VALUE!</v>
      </c>
      <c r="DJ55" t="e">
        <f>Nodes!Y400+"'E4!$j?"</f>
        <v>#VALUE!</v>
      </c>
      <c r="DK55" t="e">
        <f>Nodes!Z400+"'E4!$j@"</f>
        <v>#VALUE!</v>
      </c>
      <c r="DL55" t="e">
        <f>Nodes!AA400+"'E4!$jA"</f>
        <v>#VALUE!</v>
      </c>
      <c r="DM55" t="e">
        <f>Nodes!AB400+"'E4!$jB"</f>
        <v>#VALUE!</v>
      </c>
      <c r="DN55" t="e">
        <f>Nodes!AC400+"'E4!$jC"</f>
        <v>#VALUE!</v>
      </c>
      <c r="DO55" t="e">
        <f>Nodes!A401+"'E4!$jD"</f>
        <v>#VALUE!</v>
      </c>
      <c r="DP55" t="e">
        <f>Nodes!B401+"'E4!$jE"</f>
        <v>#VALUE!</v>
      </c>
      <c r="DQ55" t="e">
        <f>Nodes!C401+"'E4!$jF"</f>
        <v>#VALUE!</v>
      </c>
      <c r="DR55" t="e">
        <f>Nodes!D401+"'E4!$jG"</f>
        <v>#VALUE!</v>
      </c>
      <c r="DS55" t="e">
        <f>Nodes!E401+"'E4!$jH"</f>
        <v>#VALUE!</v>
      </c>
      <c r="DT55" t="e">
        <f>Nodes!F401+"'E4!$jI"</f>
        <v>#VALUE!</v>
      </c>
      <c r="DU55" t="e">
        <f>Nodes!G401+"'E4!$jJ"</f>
        <v>#VALUE!</v>
      </c>
      <c r="DV55" t="e">
        <f>Nodes!H401+"'E4!$jK"</f>
        <v>#VALUE!</v>
      </c>
      <c r="DW55" t="e">
        <f>Nodes!I401+"'E4!$jL"</f>
        <v>#VALUE!</v>
      </c>
      <c r="DX55" t="e">
        <f>Nodes!J401+"'E4!$jM"</f>
        <v>#VALUE!</v>
      </c>
      <c r="DY55" t="e">
        <f>Nodes!K401+"'E4!$jN"</f>
        <v>#VALUE!</v>
      </c>
      <c r="DZ55" t="e">
        <f>Nodes!L401+"'E4!$jO"</f>
        <v>#VALUE!</v>
      </c>
      <c r="EA55" t="e">
        <f>Nodes!M401+"'E4!$jP"</f>
        <v>#VALUE!</v>
      </c>
      <c r="EB55" t="e">
        <f>Nodes!N401+"'E4!$jQ"</f>
        <v>#VALUE!</v>
      </c>
      <c r="EC55" t="e">
        <f>Nodes!O401+"'E4!$jR"</f>
        <v>#VALUE!</v>
      </c>
      <c r="ED55" t="e">
        <f>Nodes!P401+"'E4!$jS"</f>
        <v>#VALUE!</v>
      </c>
      <c r="EE55" t="e">
        <f>Nodes!Q401+"'E4!$jT"</f>
        <v>#VALUE!</v>
      </c>
      <c r="EF55" t="e">
        <f>Nodes!R401+"'E4!$jU"</f>
        <v>#VALUE!</v>
      </c>
      <c r="EG55" t="e">
        <f>Nodes!S401+"'E4!$jV"</f>
        <v>#VALUE!</v>
      </c>
      <c r="EH55" t="e">
        <f>Nodes!T401+"'E4!$jW"</f>
        <v>#VALUE!</v>
      </c>
      <c r="EI55" t="e">
        <f>Nodes!U401+"'E4!$jX"</f>
        <v>#VALUE!</v>
      </c>
      <c r="EJ55" t="e">
        <f>Nodes!V401+"'E4!$jY"</f>
        <v>#VALUE!</v>
      </c>
      <c r="EK55" t="e">
        <f>Nodes!W401+"'E4!$jZ"</f>
        <v>#VALUE!</v>
      </c>
      <c r="EL55" t="e">
        <f>Nodes!X401+"'E4!$j["</f>
        <v>#VALUE!</v>
      </c>
      <c r="EM55" t="e">
        <f>Nodes!Y401+"'E4!$j\"</f>
        <v>#VALUE!</v>
      </c>
      <c r="EN55" t="e">
        <f>Nodes!Z401+"'E4!$j]"</f>
        <v>#VALUE!</v>
      </c>
      <c r="EO55" t="e">
        <f>Nodes!AA401+"'E4!$j^"</f>
        <v>#VALUE!</v>
      </c>
      <c r="EP55" t="e">
        <f>Nodes!AB401+"'E4!$j_"</f>
        <v>#VALUE!</v>
      </c>
      <c r="EQ55" t="e">
        <f>Nodes!AC401+"'E4!$j`"</f>
        <v>#VALUE!</v>
      </c>
      <c r="ER55" t="e">
        <f>Nodes!A402+"'E4!$ja"</f>
        <v>#VALUE!</v>
      </c>
      <c r="ES55" t="e">
        <f>Nodes!B402+"'E4!$jb"</f>
        <v>#VALUE!</v>
      </c>
      <c r="ET55" t="e">
        <f>Nodes!C402+"'E4!$jc"</f>
        <v>#VALUE!</v>
      </c>
      <c r="EU55" t="e">
        <f>Nodes!D402+"'E4!$jd"</f>
        <v>#VALUE!</v>
      </c>
      <c r="EV55" t="e">
        <f>Nodes!E402+"'E4!$je"</f>
        <v>#VALUE!</v>
      </c>
      <c r="EW55" t="e">
        <f>Nodes!F402+"'E4!$jf"</f>
        <v>#VALUE!</v>
      </c>
      <c r="EX55" t="e">
        <f>Nodes!G402+"'E4!$jg"</f>
        <v>#VALUE!</v>
      </c>
      <c r="EY55" t="e">
        <f>Nodes!H402+"'E4!$jh"</f>
        <v>#VALUE!</v>
      </c>
      <c r="EZ55" t="e">
        <f>Nodes!I402+"'E4!$ji"</f>
        <v>#VALUE!</v>
      </c>
      <c r="FA55" t="e">
        <f>Nodes!J402+"'E4!$jj"</f>
        <v>#VALUE!</v>
      </c>
      <c r="FB55" t="e">
        <f>Nodes!K402+"'E4!$jk"</f>
        <v>#VALUE!</v>
      </c>
      <c r="FC55" t="e">
        <f>Nodes!L402+"'E4!$jl"</f>
        <v>#VALUE!</v>
      </c>
      <c r="FD55" t="e">
        <f>Nodes!M402+"'E4!$jm"</f>
        <v>#VALUE!</v>
      </c>
      <c r="FE55" t="e">
        <f>Nodes!N402+"'E4!$jn"</f>
        <v>#VALUE!</v>
      </c>
      <c r="FF55" t="e">
        <f>Nodes!O402+"'E4!$jo"</f>
        <v>#VALUE!</v>
      </c>
      <c r="FG55" t="e">
        <f>Nodes!P402+"'E4!$jp"</f>
        <v>#VALUE!</v>
      </c>
      <c r="FH55" t="e">
        <f>Nodes!Q402+"'E4!$jq"</f>
        <v>#VALUE!</v>
      </c>
      <c r="FI55" t="e">
        <f>Nodes!R402+"'E4!$jr"</f>
        <v>#VALUE!</v>
      </c>
      <c r="FJ55" t="e">
        <f>Nodes!S402+"'E4!$js"</f>
        <v>#VALUE!</v>
      </c>
      <c r="FK55" t="e">
        <f>Nodes!T402+"'E4!$jt"</f>
        <v>#VALUE!</v>
      </c>
      <c r="FL55" t="e">
        <f>Nodes!U402+"'E4!$ju"</f>
        <v>#VALUE!</v>
      </c>
      <c r="FM55" t="e">
        <f>Nodes!V402+"'E4!$jv"</f>
        <v>#VALUE!</v>
      </c>
      <c r="FN55" t="e">
        <f>Nodes!W402+"'E4!$jw"</f>
        <v>#VALUE!</v>
      </c>
      <c r="FO55" t="e">
        <f>Nodes!X402+"'E4!$jx"</f>
        <v>#VALUE!</v>
      </c>
      <c r="FP55" t="e">
        <f>Nodes!Y402+"'E4!$jy"</f>
        <v>#VALUE!</v>
      </c>
      <c r="FQ55" t="e">
        <f>Nodes!Z402+"'E4!$jz"</f>
        <v>#VALUE!</v>
      </c>
      <c r="FR55" t="e">
        <f>Nodes!AA402+"'E4!$j{"</f>
        <v>#VALUE!</v>
      </c>
      <c r="FS55" t="e">
        <f>Nodes!AB402+"'E4!$j|"</f>
        <v>#VALUE!</v>
      </c>
      <c r="FT55" t="e">
        <f>Nodes!AC402+"'E4!$j}"</f>
        <v>#VALUE!</v>
      </c>
      <c r="FU55" t="e">
        <f>Nodes!A403+"'E4!$j~"</f>
        <v>#VALUE!</v>
      </c>
      <c r="FV55" t="e">
        <f>Nodes!B403+"'E4!$k#"</f>
        <v>#VALUE!</v>
      </c>
      <c r="FW55" t="e">
        <f>Nodes!C403+"'E4!$k$"</f>
        <v>#VALUE!</v>
      </c>
      <c r="FX55" t="e">
        <f>Nodes!D403+"'E4!$k%"</f>
        <v>#VALUE!</v>
      </c>
      <c r="FY55" t="e">
        <f>Nodes!E403+"'E4!$k&amp;"</f>
        <v>#VALUE!</v>
      </c>
      <c r="FZ55" t="e">
        <f>Nodes!F403+"'E4!$k'"</f>
        <v>#VALUE!</v>
      </c>
      <c r="GA55" t="e">
        <f>Nodes!G403+"'E4!$k("</f>
        <v>#VALUE!</v>
      </c>
      <c r="GB55" t="e">
        <f>Nodes!H403+"'E4!$k)"</f>
        <v>#VALUE!</v>
      </c>
      <c r="GC55" t="e">
        <f>Nodes!I403+"'E4!$k."</f>
        <v>#VALUE!</v>
      </c>
      <c r="GD55" t="e">
        <f>Nodes!J403+"'E4!$k/"</f>
        <v>#VALUE!</v>
      </c>
      <c r="GE55" t="e">
        <f>Nodes!K403+"'E4!$k0"</f>
        <v>#VALUE!</v>
      </c>
      <c r="GF55" t="e">
        <f>Nodes!L403+"'E4!$k1"</f>
        <v>#VALUE!</v>
      </c>
      <c r="GG55" t="e">
        <f>Nodes!M403+"'E4!$k2"</f>
        <v>#VALUE!</v>
      </c>
      <c r="GH55" t="e">
        <f>Nodes!N403+"'E4!$k3"</f>
        <v>#VALUE!</v>
      </c>
      <c r="GI55" t="e">
        <f>Nodes!O403+"'E4!$k4"</f>
        <v>#VALUE!</v>
      </c>
      <c r="GJ55" t="e">
        <f>Nodes!P403+"'E4!$k5"</f>
        <v>#VALUE!</v>
      </c>
      <c r="GK55" t="e">
        <f>Nodes!Q403+"'E4!$k6"</f>
        <v>#VALUE!</v>
      </c>
      <c r="GL55" t="e">
        <f>Nodes!R403+"'E4!$k7"</f>
        <v>#VALUE!</v>
      </c>
      <c r="GM55" t="e">
        <f>Nodes!S403+"'E4!$k8"</f>
        <v>#VALUE!</v>
      </c>
      <c r="GN55" t="e">
        <f>Nodes!T403+"'E4!$k9"</f>
        <v>#VALUE!</v>
      </c>
      <c r="GO55" t="e">
        <f>Nodes!U403+"'E4!$k:"</f>
        <v>#VALUE!</v>
      </c>
      <c r="GP55" t="e">
        <f>Nodes!V403+"'E4!$k;"</f>
        <v>#VALUE!</v>
      </c>
      <c r="GQ55" t="e">
        <f>Nodes!W403+"'E4!$k&lt;"</f>
        <v>#VALUE!</v>
      </c>
      <c r="GR55" t="e">
        <f>Nodes!X403+"'E4!$k="</f>
        <v>#VALUE!</v>
      </c>
      <c r="GS55" t="e">
        <f>Nodes!Y403+"'E4!$k&gt;"</f>
        <v>#VALUE!</v>
      </c>
      <c r="GT55" t="e">
        <f>Nodes!Z403+"'E4!$k?"</f>
        <v>#VALUE!</v>
      </c>
      <c r="GU55" t="e">
        <f>Nodes!AA403+"'E4!$k@"</f>
        <v>#VALUE!</v>
      </c>
      <c r="GV55" t="e">
        <f>Nodes!AB403+"'E4!$kA"</f>
        <v>#VALUE!</v>
      </c>
      <c r="GW55" t="e">
        <f>Nodes!AC403+"'E4!$kB"</f>
        <v>#VALUE!</v>
      </c>
      <c r="GX55" t="e">
        <f>Nodes!A404+"'E4!$kC"</f>
        <v>#VALUE!</v>
      </c>
      <c r="GY55" t="e">
        <f>Nodes!B404+"'E4!$kD"</f>
        <v>#VALUE!</v>
      </c>
      <c r="GZ55" t="e">
        <f>Nodes!C404+"'E4!$kE"</f>
        <v>#VALUE!</v>
      </c>
      <c r="HA55" t="e">
        <f>Nodes!D404+"'E4!$kF"</f>
        <v>#VALUE!</v>
      </c>
      <c r="HB55" t="e">
        <f>Nodes!E404+"'E4!$kG"</f>
        <v>#VALUE!</v>
      </c>
      <c r="HC55" t="e">
        <f>Nodes!F404+"'E4!$kH"</f>
        <v>#VALUE!</v>
      </c>
      <c r="HD55" t="e">
        <f>Nodes!G404+"'E4!$kI"</f>
        <v>#VALUE!</v>
      </c>
      <c r="HE55" t="e">
        <f>Nodes!H404+"'E4!$kJ"</f>
        <v>#VALUE!</v>
      </c>
      <c r="HF55" t="e">
        <f>Nodes!I404+"'E4!$kK"</f>
        <v>#VALUE!</v>
      </c>
      <c r="HG55" t="e">
        <f>Nodes!J404+"'E4!$kL"</f>
        <v>#VALUE!</v>
      </c>
      <c r="HH55" t="e">
        <f>Nodes!K404+"'E4!$kM"</f>
        <v>#VALUE!</v>
      </c>
      <c r="HI55" t="e">
        <f>Nodes!L404+"'E4!$kN"</f>
        <v>#VALUE!</v>
      </c>
      <c r="HJ55" t="e">
        <f>Nodes!M404+"'E4!$kO"</f>
        <v>#VALUE!</v>
      </c>
      <c r="HK55" t="e">
        <f>Nodes!N404+"'E4!$kP"</f>
        <v>#VALUE!</v>
      </c>
      <c r="HL55" t="e">
        <f>Nodes!O404+"'E4!$kQ"</f>
        <v>#VALUE!</v>
      </c>
      <c r="HM55" t="e">
        <f>Nodes!P404+"'E4!$kR"</f>
        <v>#VALUE!</v>
      </c>
      <c r="HN55" t="e">
        <f>Nodes!Q404+"'E4!$kS"</f>
        <v>#VALUE!</v>
      </c>
      <c r="HO55" t="e">
        <f>Nodes!R404+"'E4!$kT"</f>
        <v>#VALUE!</v>
      </c>
      <c r="HP55" t="e">
        <f>Nodes!S404+"'E4!$kU"</f>
        <v>#VALUE!</v>
      </c>
      <c r="HQ55" t="e">
        <f>Nodes!T404+"'E4!$kV"</f>
        <v>#VALUE!</v>
      </c>
      <c r="HR55" t="e">
        <f>Nodes!U404+"'E4!$kW"</f>
        <v>#VALUE!</v>
      </c>
      <c r="HS55" t="e">
        <f>Nodes!V404+"'E4!$kX"</f>
        <v>#VALUE!</v>
      </c>
      <c r="HT55" t="e">
        <f>Nodes!W404+"'E4!$kY"</f>
        <v>#VALUE!</v>
      </c>
      <c r="HU55" t="e">
        <f>Nodes!X404+"'E4!$kZ"</f>
        <v>#VALUE!</v>
      </c>
      <c r="HV55" t="e">
        <f>Nodes!Y404+"'E4!$k["</f>
        <v>#VALUE!</v>
      </c>
      <c r="HW55" t="e">
        <f>Nodes!Z404+"'E4!$k\"</f>
        <v>#VALUE!</v>
      </c>
      <c r="HX55" t="e">
        <f>Nodes!AA404+"'E4!$k]"</f>
        <v>#VALUE!</v>
      </c>
      <c r="HY55" t="e">
        <f>Nodes!AB404+"'E4!$k^"</f>
        <v>#VALUE!</v>
      </c>
      <c r="HZ55" t="e">
        <f>Nodes!AC404+"'E4!$k_"</f>
        <v>#VALUE!</v>
      </c>
      <c r="IA55" t="e">
        <f>Nodes!A405+"'E4!$k`"</f>
        <v>#VALUE!</v>
      </c>
      <c r="IB55" t="e">
        <f>Nodes!B405+"'E4!$ka"</f>
        <v>#VALUE!</v>
      </c>
      <c r="IC55" t="e">
        <f>Nodes!C405+"'E4!$kb"</f>
        <v>#VALUE!</v>
      </c>
      <c r="ID55" t="e">
        <f>Nodes!D405+"'E4!$kc"</f>
        <v>#VALUE!</v>
      </c>
      <c r="IE55" t="e">
        <f>Nodes!E405+"'E4!$kd"</f>
        <v>#VALUE!</v>
      </c>
      <c r="IF55" t="e">
        <f>Nodes!F405+"'E4!$ke"</f>
        <v>#VALUE!</v>
      </c>
      <c r="IG55" t="e">
        <f>Nodes!G405+"'E4!$kf"</f>
        <v>#VALUE!</v>
      </c>
      <c r="IH55" t="e">
        <f>Nodes!H405+"'E4!$kg"</f>
        <v>#VALUE!</v>
      </c>
      <c r="II55" t="e">
        <f>Nodes!I405+"'E4!$kh"</f>
        <v>#VALUE!</v>
      </c>
      <c r="IJ55" t="e">
        <f>Nodes!J405+"'E4!$ki"</f>
        <v>#VALUE!</v>
      </c>
      <c r="IK55" t="e">
        <f>Nodes!K405+"'E4!$kj"</f>
        <v>#VALUE!</v>
      </c>
      <c r="IL55" t="e">
        <f>Nodes!L405+"'E4!$kk"</f>
        <v>#VALUE!</v>
      </c>
      <c r="IM55" t="e">
        <f>Nodes!M405+"'E4!$kl"</f>
        <v>#VALUE!</v>
      </c>
      <c r="IN55" t="e">
        <f>Nodes!N405+"'E4!$km"</f>
        <v>#VALUE!</v>
      </c>
      <c r="IO55" t="e">
        <f>Nodes!O405+"'E4!$kn"</f>
        <v>#VALUE!</v>
      </c>
      <c r="IP55" t="e">
        <f>Nodes!P405+"'E4!$ko"</f>
        <v>#VALUE!</v>
      </c>
      <c r="IQ55" t="e">
        <f>Nodes!Q405+"'E4!$kp"</f>
        <v>#VALUE!</v>
      </c>
      <c r="IR55" t="e">
        <f>Nodes!R405+"'E4!$kq"</f>
        <v>#VALUE!</v>
      </c>
      <c r="IS55" t="e">
        <f>Nodes!S405+"'E4!$kr"</f>
        <v>#VALUE!</v>
      </c>
      <c r="IT55" t="e">
        <f>Nodes!T405+"'E4!$ks"</f>
        <v>#VALUE!</v>
      </c>
      <c r="IU55" t="e">
        <f>Nodes!U405+"'E4!$kt"</f>
        <v>#VALUE!</v>
      </c>
      <c r="IV55" t="e">
        <f>Nodes!V405+"'E4!$ku"</f>
        <v>#VALUE!</v>
      </c>
    </row>
    <row r="56" spans="6:256">
      <c r="F56" t="e">
        <f>Nodes!W405+"'E4!$kv"</f>
        <v>#VALUE!</v>
      </c>
      <c r="G56" t="e">
        <f>Nodes!X405+"'E4!$kw"</f>
        <v>#VALUE!</v>
      </c>
      <c r="H56" t="e">
        <f>Nodes!Y405+"'E4!$kx"</f>
        <v>#VALUE!</v>
      </c>
      <c r="I56" t="e">
        <f>Nodes!Z405+"'E4!$ky"</f>
        <v>#VALUE!</v>
      </c>
      <c r="J56" t="e">
        <f>Nodes!AA405+"'E4!$kz"</f>
        <v>#VALUE!</v>
      </c>
      <c r="K56" t="e">
        <f>Nodes!AB405+"'E4!$k{"</f>
        <v>#VALUE!</v>
      </c>
      <c r="L56" t="e">
        <f>Nodes!AC405+"'E4!$k|"</f>
        <v>#VALUE!</v>
      </c>
      <c r="M56" t="e">
        <f>Nodes!A406+"'E4!$k}"</f>
        <v>#VALUE!</v>
      </c>
      <c r="N56" t="e">
        <f>Nodes!B406+"'E4!$k~"</f>
        <v>#VALUE!</v>
      </c>
      <c r="O56" t="e">
        <f>Nodes!C406+"'E4!$l#"</f>
        <v>#VALUE!</v>
      </c>
      <c r="P56" t="e">
        <f>Nodes!D406+"'E4!$l$"</f>
        <v>#VALUE!</v>
      </c>
      <c r="Q56" t="e">
        <f>Nodes!E406+"'E4!$l%"</f>
        <v>#VALUE!</v>
      </c>
      <c r="R56" t="e">
        <f>Nodes!F406+"'E4!$l&amp;"</f>
        <v>#VALUE!</v>
      </c>
      <c r="S56" t="e">
        <f>Nodes!G406+"'E4!$l'"</f>
        <v>#VALUE!</v>
      </c>
      <c r="T56" t="e">
        <f>Nodes!H406+"'E4!$l("</f>
        <v>#VALUE!</v>
      </c>
      <c r="U56" t="e">
        <f>Nodes!I406+"'E4!$l)"</f>
        <v>#VALUE!</v>
      </c>
      <c r="V56" t="e">
        <f>Nodes!J406+"'E4!$l."</f>
        <v>#VALUE!</v>
      </c>
      <c r="W56" t="e">
        <f>Nodes!K406+"'E4!$l/"</f>
        <v>#VALUE!</v>
      </c>
      <c r="X56" t="e">
        <f>Nodes!L406+"'E4!$l0"</f>
        <v>#VALUE!</v>
      </c>
      <c r="Y56" t="e">
        <f>Nodes!M406+"'E4!$l1"</f>
        <v>#VALUE!</v>
      </c>
      <c r="Z56" t="e">
        <f>Nodes!N406+"'E4!$l2"</f>
        <v>#VALUE!</v>
      </c>
      <c r="AA56" t="e">
        <f>Nodes!O406+"'E4!$l3"</f>
        <v>#VALUE!</v>
      </c>
      <c r="AB56" t="e">
        <f>Nodes!P406+"'E4!$l4"</f>
        <v>#VALUE!</v>
      </c>
      <c r="AC56" t="e">
        <f>Nodes!Q406+"'E4!$l5"</f>
        <v>#VALUE!</v>
      </c>
      <c r="AD56" t="e">
        <f>Nodes!R406+"'E4!$l6"</f>
        <v>#VALUE!</v>
      </c>
      <c r="AE56" t="e">
        <f>Nodes!S406+"'E4!$l7"</f>
        <v>#VALUE!</v>
      </c>
      <c r="AF56" t="e">
        <f>Nodes!T406+"'E4!$l8"</f>
        <v>#VALUE!</v>
      </c>
      <c r="AG56" t="e">
        <f>Nodes!U406+"'E4!$l9"</f>
        <v>#VALUE!</v>
      </c>
      <c r="AH56" t="e">
        <f>Nodes!V406+"'E4!$l:"</f>
        <v>#VALUE!</v>
      </c>
      <c r="AI56" t="e">
        <f>Nodes!W406+"'E4!$l;"</f>
        <v>#VALUE!</v>
      </c>
      <c r="AJ56" t="e">
        <f>Nodes!X406+"'E4!$l&lt;"</f>
        <v>#VALUE!</v>
      </c>
      <c r="AK56" t="e">
        <f>Nodes!Y406+"'E4!$l="</f>
        <v>#VALUE!</v>
      </c>
      <c r="AL56" t="e">
        <f>Nodes!Z406+"'E4!$l&gt;"</f>
        <v>#VALUE!</v>
      </c>
      <c r="AM56" t="e">
        <f>Nodes!AA406+"'E4!$l?"</f>
        <v>#VALUE!</v>
      </c>
      <c r="AN56" t="e">
        <f>Nodes!AB406+"'E4!$l@"</f>
        <v>#VALUE!</v>
      </c>
      <c r="AO56" t="e">
        <f>Nodes!AC406+"'E4!$lA"</f>
        <v>#VALUE!</v>
      </c>
      <c r="AP56" t="e">
        <f>Nodes!A407+"'E4!$lB"</f>
        <v>#VALUE!</v>
      </c>
      <c r="AQ56" t="e">
        <f>Nodes!B407+"'E4!$lC"</f>
        <v>#VALUE!</v>
      </c>
      <c r="AR56" t="e">
        <f>Nodes!C407+"'E4!$lD"</f>
        <v>#VALUE!</v>
      </c>
      <c r="AS56" t="e">
        <f>Nodes!D407+"'E4!$lE"</f>
        <v>#VALUE!</v>
      </c>
      <c r="AT56" t="e">
        <f>Nodes!E407+"'E4!$lF"</f>
        <v>#VALUE!</v>
      </c>
      <c r="AU56" t="e">
        <f>Nodes!F407+"'E4!$lG"</f>
        <v>#VALUE!</v>
      </c>
      <c r="AV56" t="e">
        <f>Nodes!G407+"'E4!$lH"</f>
        <v>#VALUE!</v>
      </c>
      <c r="AW56" t="e">
        <f>Nodes!H407+"'E4!$lI"</f>
        <v>#VALUE!</v>
      </c>
      <c r="AX56" t="e">
        <f>Nodes!I407+"'E4!$lJ"</f>
        <v>#VALUE!</v>
      </c>
      <c r="AY56" t="e">
        <f>Nodes!J407+"'E4!$lK"</f>
        <v>#VALUE!</v>
      </c>
      <c r="AZ56" t="e">
        <f>Nodes!K407+"'E4!$lL"</f>
        <v>#VALUE!</v>
      </c>
      <c r="BA56" t="e">
        <f>Nodes!L407+"'E4!$lM"</f>
        <v>#VALUE!</v>
      </c>
      <c r="BB56" t="e">
        <f>Nodes!M407+"'E4!$lN"</f>
        <v>#VALUE!</v>
      </c>
      <c r="BC56" t="e">
        <f>Nodes!N407+"'E4!$lO"</f>
        <v>#VALUE!</v>
      </c>
      <c r="BD56" t="e">
        <f>Nodes!O407+"'E4!$lP"</f>
        <v>#VALUE!</v>
      </c>
      <c r="BE56" t="e">
        <f>Nodes!P407+"'E4!$lQ"</f>
        <v>#VALUE!</v>
      </c>
      <c r="BF56" t="e">
        <f>Nodes!Q407+"'E4!$lR"</f>
        <v>#VALUE!</v>
      </c>
      <c r="BG56" t="e">
        <f>Nodes!R407+"'E4!$lS"</f>
        <v>#VALUE!</v>
      </c>
      <c r="BH56" t="e">
        <f>Nodes!S407+"'E4!$lT"</f>
        <v>#VALUE!</v>
      </c>
      <c r="BI56" t="e">
        <f>Nodes!T407+"'E4!$lU"</f>
        <v>#VALUE!</v>
      </c>
      <c r="BJ56" t="e">
        <f>Nodes!U407+"'E4!$lV"</f>
        <v>#VALUE!</v>
      </c>
      <c r="BK56" t="e">
        <f>Nodes!V407+"'E4!$lW"</f>
        <v>#VALUE!</v>
      </c>
      <c r="BL56" t="e">
        <f>Nodes!W407+"'E4!$lX"</f>
        <v>#VALUE!</v>
      </c>
      <c r="BM56" t="e">
        <f>Nodes!X407+"'E4!$lY"</f>
        <v>#VALUE!</v>
      </c>
      <c r="BN56" t="e">
        <f>Nodes!Y407+"'E4!$lZ"</f>
        <v>#VALUE!</v>
      </c>
      <c r="BO56" t="e">
        <f>Nodes!Z407+"'E4!$l["</f>
        <v>#VALUE!</v>
      </c>
      <c r="BP56" t="e">
        <f>Nodes!AA407+"'E4!$l\"</f>
        <v>#VALUE!</v>
      </c>
      <c r="BQ56" t="e">
        <f>Nodes!AB407+"'E4!$l]"</f>
        <v>#VALUE!</v>
      </c>
      <c r="BR56" t="e">
        <f>Nodes!AC407+"'E4!$l^"</f>
        <v>#VALUE!</v>
      </c>
      <c r="BS56" t="e">
        <f>Nodes!A408+"'E4!$l_"</f>
        <v>#VALUE!</v>
      </c>
      <c r="BT56" t="e">
        <f>Nodes!B408+"'E4!$l`"</f>
        <v>#VALUE!</v>
      </c>
      <c r="BU56" t="e">
        <f>Nodes!C408+"'E4!$la"</f>
        <v>#VALUE!</v>
      </c>
      <c r="BV56" t="e">
        <f>Nodes!D408+"'E4!$lb"</f>
        <v>#VALUE!</v>
      </c>
      <c r="BW56" t="e">
        <f>Nodes!E408+"'E4!$lc"</f>
        <v>#VALUE!</v>
      </c>
      <c r="BX56" t="e">
        <f>Nodes!F408+"'E4!$ld"</f>
        <v>#VALUE!</v>
      </c>
      <c r="BY56" t="e">
        <f>Nodes!G408+"'E4!$le"</f>
        <v>#VALUE!</v>
      </c>
      <c r="BZ56" t="e">
        <f>Nodes!H408+"'E4!$lf"</f>
        <v>#VALUE!</v>
      </c>
      <c r="CA56" t="e">
        <f>Nodes!I408+"'E4!$lg"</f>
        <v>#VALUE!</v>
      </c>
      <c r="CB56" t="e">
        <f>Nodes!J408+"'E4!$lh"</f>
        <v>#VALUE!</v>
      </c>
      <c r="CC56" t="e">
        <f>Nodes!K408+"'E4!$li"</f>
        <v>#VALUE!</v>
      </c>
      <c r="CD56" t="e">
        <f>Nodes!L408+"'E4!$lj"</f>
        <v>#VALUE!</v>
      </c>
      <c r="CE56" t="e">
        <f>Nodes!M408+"'E4!$lk"</f>
        <v>#VALUE!</v>
      </c>
      <c r="CF56" t="e">
        <f>Nodes!N408+"'E4!$ll"</f>
        <v>#VALUE!</v>
      </c>
      <c r="CG56" t="e">
        <f>Nodes!O408+"'E4!$lm"</f>
        <v>#VALUE!</v>
      </c>
      <c r="CH56" t="e">
        <f>Nodes!P408+"'E4!$ln"</f>
        <v>#VALUE!</v>
      </c>
      <c r="CI56" t="e">
        <f>Nodes!Q408+"'E4!$lo"</f>
        <v>#VALUE!</v>
      </c>
      <c r="CJ56" t="e">
        <f>Nodes!R408+"'E4!$lp"</f>
        <v>#VALUE!</v>
      </c>
      <c r="CK56" t="e">
        <f>Nodes!S408+"'E4!$lq"</f>
        <v>#VALUE!</v>
      </c>
      <c r="CL56" t="e">
        <f>Nodes!T408+"'E4!$lr"</f>
        <v>#VALUE!</v>
      </c>
      <c r="CM56" t="e">
        <f>Nodes!U408+"'E4!$ls"</f>
        <v>#VALUE!</v>
      </c>
      <c r="CN56" t="e">
        <f>Nodes!V408+"'E4!$lt"</f>
        <v>#VALUE!</v>
      </c>
      <c r="CO56" t="e">
        <f>Nodes!W408+"'E4!$lu"</f>
        <v>#VALUE!</v>
      </c>
      <c r="CP56" t="e">
        <f>Nodes!X408+"'E4!$lv"</f>
        <v>#VALUE!</v>
      </c>
      <c r="CQ56" t="e">
        <f>Nodes!Y408+"'E4!$lw"</f>
        <v>#VALUE!</v>
      </c>
      <c r="CR56" t="e">
        <f>Nodes!Z408+"'E4!$lx"</f>
        <v>#VALUE!</v>
      </c>
      <c r="CS56" t="e">
        <f>Nodes!AA408+"'E4!$ly"</f>
        <v>#VALUE!</v>
      </c>
      <c r="CT56" t="e">
        <f>Nodes!AB408+"'E4!$lz"</f>
        <v>#VALUE!</v>
      </c>
      <c r="CU56" t="e">
        <f>Nodes!AC408+"'E4!$l{"</f>
        <v>#VALUE!</v>
      </c>
      <c r="CV56" t="e">
        <f>Nodes!A409+"'E4!$l|"</f>
        <v>#VALUE!</v>
      </c>
      <c r="CW56" t="e">
        <f>Nodes!B409+"'E4!$l}"</f>
        <v>#VALUE!</v>
      </c>
      <c r="CX56" t="e">
        <f>Nodes!C409+"'E4!$l~"</f>
        <v>#VALUE!</v>
      </c>
      <c r="CY56" t="e">
        <f>Nodes!D409+"'E4!$m#"</f>
        <v>#VALUE!</v>
      </c>
      <c r="CZ56" t="e">
        <f>Nodes!E409+"'E4!$m$"</f>
        <v>#VALUE!</v>
      </c>
      <c r="DA56" t="e">
        <f>Nodes!F409+"'E4!$m%"</f>
        <v>#VALUE!</v>
      </c>
      <c r="DB56" t="e">
        <f>Nodes!G409+"'E4!$m&amp;"</f>
        <v>#VALUE!</v>
      </c>
      <c r="DC56" t="e">
        <f>Nodes!H409+"'E4!$m'"</f>
        <v>#VALUE!</v>
      </c>
      <c r="DD56" t="e">
        <f>Nodes!I409+"'E4!$m("</f>
        <v>#VALUE!</v>
      </c>
      <c r="DE56" t="e">
        <f>Nodes!J409+"'E4!$m)"</f>
        <v>#VALUE!</v>
      </c>
      <c r="DF56" t="e">
        <f>Nodes!K409+"'E4!$m."</f>
        <v>#VALUE!</v>
      </c>
      <c r="DG56" t="e">
        <f>Nodes!L409+"'E4!$m/"</f>
        <v>#VALUE!</v>
      </c>
      <c r="DH56" t="e">
        <f>Nodes!M409+"'E4!$m0"</f>
        <v>#VALUE!</v>
      </c>
      <c r="DI56" t="e">
        <f>Nodes!N409+"'E4!$m1"</f>
        <v>#VALUE!</v>
      </c>
      <c r="DJ56" t="e">
        <f>Nodes!O409+"'E4!$m2"</f>
        <v>#VALUE!</v>
      </c>
      <c r="DK56" t="e">
        <f>Nodes!P409+"'E4!$m3"</f>
        <v>#VALUE!</v>
      </c>
      <c r="DL56" t="e">
        <f>Nodes!Q409+"'E4!$m4"</f>
        <v>#VALUE!</v>
      </c>
      <c r="DM56" t="e">
        <f>Nodes!R409+"'E4!$m5"</f>
        <v>#VALUE!</v>
      </c>
      <c r="DN56" t="e">
        <f>Nodes!S409+"'E4!$m6"</f>
        <v>#VALUE!</v>
      </c>
      <c r="DO56" t="e">
        <f>Nodes!T409+"'E4!$m7"</f>
        <v>#VALUE!</v>
      </c>
      <c r="DP56" t="e">
        <f>Nodes!U409+"'E4!$m8"</f>
        <v>#VALUE!</v>
      </c>
      <c r="DQ56" t="e">
        <f>Nodes!V409+"'E4!$m9"</f>
        <v>#VALUE!</v>
      </c>
      <c r="DR56" t="e">
        <f>Nodes!W409+"'E4!$m:"</f>
        <v>#VALUE!</v>
      </c>
      <c r="DS56" t="e">
        <f>Nodes!X409+"'E4!$m;"</f>
        <v>#VALUE!</v>
      </c>
      <c r="DT56" t="e">
        <f>Nodes!Y409+"'E4!$m&lt;"</f>
        <v>#VALUE!</v>
      </c>
      <c r="DU56" t="e">
        <f>Nodes!Z409+"'E4!$m="</f>
        <v>#VALUE!</v>
      </c>
      <c r="DV56" t="e">
        <f>Nodes!AA409+"'E4!$m&gt;"</f>
        <v>#VALUE!</v>
      </c>
      <c r="DW56" t="e">
        <f>Nodes!AB409+"'E4!$m?"</f>
        <v>#VALUE!</v>
      </c>
      <c r="DX56" t="e">
        <f>Nodes!AC409+"'E4!$m@"</f>
        <v>#VALUE!</v>
      </c>
      <c r="DY56" t="e">
        <f>Nodes!A410+"'E4!$mA"</f>
        <v>#VALUE!</v>
      </c>
      <c r="DZ56" t="e">
        <f>Nodes!B410+"'E4!$mB"</f>
        <v>#VALUE!</v>
      </c>
      <c r="EA56" t="e">
        <f>Nodes!C410+"'E4!$mC"</f>
        <v>#VALUE!</v>
      </c>
      <c r="EB56" t="e">
        <f>Nodes!D410+"'E4!$mD"</f>
        <v>#VALUE!</v>
      </c>
      <c r="EC56" t="e">
        <f>Nodes!E410+"'E4!$mE"</f>
        <v>#VALUE!</v>
      </c>
      <c r="ED56" t="e">
        <f>Nodes!F410+"'E4!$mF"</f>
        <v>#VALUE!</v>
      </c>
      <c r="EE56" t="e">
        <f>Nodes!G410+"'E4!$mG"</f>
        <v>#VALUE!</v>
      </c>
      <c r="EF56" t="e">
        <f>Nodes!H410+"'E4!$mH"</f>
        <v>#VALUE!</v>
      </c>
      <c r="EG56" t="e">
        <f>Nodes!I410+"'E4!$mI"</f>
        <v>#VALUE!</v>
      </c>
      <c r="EH56" t="e">
        <f>Nodes!J410+"'E4!$mJ"</f>
        <v>#VALUE!</v>
      </c>
      <c r="EI56" t="e">
        <f>Nodes!K410+"'E4!$mK"</f>
        <v>#VALUE!</v>
      </c>
      <c r="EJ56" t="e">
        <f>Nodes!L410+"'E4!$mL"</f>
        <v>#VALUE!</v>
      </c>
      <c r="EK56" t="e">
        <f>Nodes!M410+"'E4!$mM"</f>
        <v>#VALUE!</v>
      </c>
      <c r="EL56" t="e">
        <f>Nodes!N410+"'E4!$mN"</f>
        <v>#VALUE!</v>
      </c>
      <c r="EM56" t="e">
        <f>Nodes!O410+"'E4!$mO"</f>
        <v>#VALUE!</v>
      </c>
      <c r="EN56" t="e">
        <f>Nodes!P410+"'E4!$mP"</f>
        <v>#VALUE!</v>
      </c>
      <c r="EO56" t="e">
        <f>Nodes!Q410+"'E4!$mQ"</f>
        <v>#VALUE!</v>
      </c>
      <c r="EP56" t="e">
        <f>Nodes!R410+"'E4!$mR"</f>
        <v>#VALUE!</v>
      </c>
      <c r="EQ56" t="e">
        <f>Nodes!S410+"'E4!$mS"</f>
        <v>#VALUE!</v>
      </c>
      <c r="ER56" t="e">
        <f>Nodes!T410+"'E4!$mT"</f>
        <v>#VALUE!</v>
      </c>
      <c r="ES56" t="e">
        <f>Nodes!U410+"'E4!$mU"</f>
        <v>#VALUE!</v>
      </c>
      <c r="ET56" t="e">
        <f>Nodes!V410+"'E4!$mV"</f>
        <v>#VALUE!</v>
      </c>
      <c r="EU56" t="e">
        <f>Nodes!W410+"'E4!$mW"</f>
        <v>#VALUE!</v>
      </c>
      <c r="EV56" t="e">
        <f>Nodes!X410+"'E4!$mX"</f>
        <v>#VALUE!</v>
      </c>
      <c r="EW56" t="e">
        <f>Nodes!Y410+"'E4!$mY"</f>
        <v>#VALUE!</v>
      </c>
      <c r="EX56" t="e">
        <f>Nodes!Z410+"'E4!$mZ"</f>
        <v>#VALUE!</v>
      </c>
      <c r="EY56" t="e">
        <f>Nodes!AA410+"'E4!$m["</f>
        <v>#VALUE!</v>
      </c>
      <c r="EZ56" t="e">
        <f>Nodes!AB410+"'E4!$m\"</f>
        <v>#VALUE!</v>
      </c>
      <c r="FA56" t="e">
        <f>Nodes!AC410+"'E4!$m]"</f>
        <v>#VALUE!</v>
      </c>
      <c r="FB56" t="e">
        <f>Nodes!A411+"'E4!$m^"</f>
        <v>#VALUE!</v>
      </c>
      <c r="FC56" t="e">
        <f>Nodes!B411+"'E4!$m_"</f>
        <v>#VALUE!</v>
      </c>
      <c r="FD56" t="e">
        <f>Nodes!C411+"'E4!$m`"</f>
        <v>#VALUE!</v>
      </c>
      <c r="FE56" t="e">
        <f>Nodes!D411+"'E4!$ma"</f>
        <v>#VALUE!</v>
      </c>
      <c r="FF56" t="e">
        <f>Nodes!E411+"'E4!$mb"</f>
        <v>#VALUE!</v>
      </c>
      <c r="FG56" t="e">
        <f>Nodes!F411+"'E4!$mc"</f>
        <v>#VALUE!</v>
      </c>
      <c r="FH56" t="e">
        <f>Nodes!G411+"'E4!$md"</f>
        <v>#VALUE!</v>
      </c>
      <c r="FI56" t="e">
        <f>Nodes!H411+"'E4!$me"</f>
        <v>#VALUE!</v>
      </c>
      <c r="FJ56" t="e">
        <f>Nodes!I411+"'E4!$mf"</f>
        <v>#VALUE!</v>
      </c>
      <c r="FK56" t="e">
        <f>Nodes!J411+"'E4!$mg"</f>
        <v>#VALUE!</v>
      </c>
      <c r="FL56" t="e">
        <f>Nodes!K411+"'E4!$mh"</f>
        <v>#VALUE!</v>
      </c>
      <c r="FM56" t="e">
        <f>Nodes!L411+"'E4!$mi"</f>
        <v>#VALUE!</v>
      </c>
      <c r="FN56" t="e">
        <f>Nodes!M411+"'E4!$mj"</f>
        <v>#VALUE!</v>
      </c>
      <c r="FO56" t="e">
        <f>Nodes!N411+"'E4!$mk"</f>
        <v>#VALUE!</v>
      </c>
      <c r="FP56" t="e">
        <f>Nodes!O411+"'E4!$ml"</f>
        <v>#VALUE!</v>
      </c>
      <c r="FQ56" t="e">
        <f>Nodes!P411+"'E4!$mm"</f>
        <v>#VALUE!</v>
      </c>
      <c r="FR56" t="e">
        <f>Nodes!Q411+"'E4!$mn"</f>
        <v>#VALUE!</v>
      </c>
      <c r="FS56" t="e">
        <f>Nodes!R411+"'E4!$mo"</f>
        <v>#VALUE!</v>
      </c>
      <c r="FT56" t="e">
        <f>Nodes!S411+"'E4!$mp"</f>
        <v>#VALUE!</v>
      </c>
      <c r="FU56" t="e">
        <f>Nodes!T411+"'E4!$mq"</f>
        <v>#VALUE!</v>
      </c>
      <c r="FV56" t="e">
        <f>Nodes!U411+"'E4!$mr"</f>
        <v>#VALUE!</v>
      </c>
      <c r="FW56" t="e">
        <f>Nodes!V411+"'E4!$ms"</f>
        <v>#VALUE!</v>
      </c>
      <c r="FX56" t="e">
        <f>Nodes!W411+"'E4!$mt"</f>
        <v>#VALUE!</v>
      </c>
      <c r="FY56" t="e">
        <f>Nodes!X411+"'E4!$mu"</f>
        <v>#VALUE!</v>
      </c>
      <c r="FZ56" t="e">
        <f>Nodes!Y411+"'E4!$mv"</f>
        <v>#VALUE!</v>
      </c>
      <c r="GA56" t="e">
        <f>Nodes!Z411+"'E4!$mw"</f>
        <v>#VALUE!</v>
      </c>
      <c r="GB56" t="e">
        <f>Nodes!AA411+"'E4!$mx"</f>
        <v>#VALUE!</v>
      </c>
      <c r="GC56" t="e">
        <f>Nodes!AB411+"'E4!$my"</f>
        <v>#VALUE!</v>
      </c>
      <c r="GD56" t="e">
        <f>Nodes!AC411+"'E4!$mz"</f>
        <v>#VALUE!</v>
      </c>
      <c r="GE56" t="e">
        <f>Nodes!A412+"'E4!$m{"</f>
        <v>#VALUE!</v>
      </c>
      <c r="GF56" t="e">
        <f>Nodes!B412+"'E4!$m|"</f>
        <v>#VALUE!</v>
      </c>
      <c r="GG56" t="e">
        <f>Nodes!C412+"'E4!$m}"</f>
        <v>#VALUE!</v>
      </c>
      <c r="GH56" t="e">
        <f>Nodes!D412+"'E4!$m~"</f>
        <v>#VALUE!</v>
      </c>
      <c r="GI56" t="e">
        <f>Nodes!E412+"'E4!$n#"</f>
        <v>#VALUE!</v>
      </c>
      <c r="GJ56" t="e">
        <f>Nodes!F412+"'E4!$n$"</f>
        <v>#VALUE!</v>
      </c>
      <c r="GK56" t="e">
        <f>Nodes!G412+"'E4!$n%"</f>
        <v>#VALUE!</v>
      </c>
      <c r="GL56" t="e">
        <f>Nodes!H412+"'E4!$n&amp;"</f>
        <v>#VALUE!</v>
      </c>
      <c r="GM56" t="e">
        <f>Nodes!I412+"'E4!$n'"</f>
        <v>#VALUE!</v>
      </c>
      <c r="GN56" t="e">
        <f>Nodes!J412+"'E4!$n("</f>
        <v>#VALUE!</v>
      </c>
      <c r="GO56" t="e">
        <f>Nodes!K412+"'E4!$n)"</f>
        <v>#VALUE!</v>
      </c>
      <c r="GP56" t="e">
        <f>Nodes!L412+"'E4!$n."</f>
        <v>#VALUE!</v>
      </c>
      <c r="GQ56" t="e">
        <f>Nodes!M412+"'E4!$n/"</f>
        <v>#VALUE!</v>
      </c>
      <c r="GR56" t="e">
        <f>Nodes!N412+"'E4!$n0"</f>
        <v>#VALUE!</v>
      </c>
      <c r="GS56" t="e">
        <f>Nodes!O412+"'E4!$n1"</f>
        <v>#VALUE!</v>
      </c>
      <c r="GT56" t="e">
        <f>Nodes!P412+"'E4!$n2"</f>
        <v>#VALUE!</v>
      </c>
      <c r="GU56" t="e">
        <f>Nodes!Q412+"'E4!$n3"</f>
        <v>#VALUE!</v>
      </c>
      <c r="GV56" t="e">
        <f>Nodes!R412+"'E4!$n4"</f>
        <v>#VALUE!</v>
      </c>
      <c r="GW56" t="e">
        <f>Nodes!S412+"'E4!$n5"</f>
        <v>#VALUE!</v>
      </c>
      <c r="GX56" t="e">
        <f>Nodes!T412+"'E4!$n6"</f>
        <v>#VALUE!</v>
      </c>
      <c r="GY56" t="e">
        <f>Nodes!U412+"'E4!$n7"</f>
        <v>#VALUE!</v>
      </c>
      <c r="GZ56" t="e">
        <f>Nodes!V412+"'E4!$n8"</f>
        <v>#VALUE!</v>
      </c>
      <c r="HA56" t="e">
        <f>Nodes!W412+"'E4!$n9"</f>
        <v>#VALUE!</v>
      </c>
      <c r="HB56" t="e">
        <f>Nodes!X412+"'E4!$n:"</f>
        <v>#VALUE!</v>
      </c>
      <c r="HC56" t="e">
        <f>Nodes!Y412+"'E4!$n;"</f>
        <v>#VALUE!</v>
      </c>
      <c r="HD56" t="e">
        <f>Nodes!Z412+"'E4!$n&lt;"</f>
        <v>#VALUE!</v>
      </c>
      <c r="HE56" t="e">
        <f>Nodes!AA412+"'E4!$n="</f>
        <v>#VALUE!</v>
      </c>
      <c r="HF56" t="e">
        <f>Nodes!AB412+"'E4!$n&gt;"</f>
        <v>#VALUE!</v>
      </c>
      <c r="HG56" t="e">
        <f>Nodes!AC412+"'E4!$n?"</f>
        <v>#VALUE!</v>
      </c>
      <c r="HH56" t="e">
        <f>Nodes!A413+"'E4!$n@"</f>
        <v>#VALUE!</v>
      </c>
      <c r="HI56" t="e">
        <f>Nodes!B413+"'E4!$nA"</f>
        <v>#VALUE!</v>
      </c>
      <c r="HJ56" t="e">
        <f>Nodes!C413+"'E4!$nB"</f>
        <v>#VALUE!</v>
      </c>
      <c r="HK56" t="e">
        <f>Nodes!D413+"'E4!$nC"</f>
        <v>#VALUE!</v>
      </c>
      <c r="HL56" t="e">
        <f>Nodes!E413+"'E4!$nD"</f>
        <v>#VALUE!</v>
      </c>
      <c r="HM56" t="e">
        <f>Nodes!F413+"'E4!$nE"</f>
        <v>#VALUE!</v>
      </c>
      <c r="HN56" t="e">
        <f>Nodes!G413+"'E4!$nF"</f>
        <v>#VALUE!</v>
      </c>
      <c r="HO56" t="e">
        <f>Nodes!H413+"'E4!$nG"</f>
        <v>#VALUE!</v>
      </c>
      <c r="HP56" t="e">
        <f>Nodes!I413+"'E4!$nH"</f>
        <v>#VALUE!</v>
      </c>
      <c r="HQ56" t="e">
        <f>Nodes!J413+"'E4!$nI"</f>
        <v>#VALUE!</v>
      </c>
      <c r="HR56" t="e">
        <f>Nodes!K413+"'E4!$nJ"</f>
        <v>#VALUE!</v>
      </c>
      <c r="HS56" t="e">
        <f>Nodes!L413+"'E4!$nK"</f>
        <v>#VALUE!</v>
      </c>
      <c r="HT56" t="e">
        <f>Nodes!M413+"'E4!$nL"</f>
        <v>#VALUE!</v>
      </c>
      <c r="HU56" t="e">
        <f>Nodes!N413+"'E4!$nM"</f>
        <v>#VALUE!</v>
      </c>
      <c r="HV56" t="e">
        <f>Nodes!O413+"'E4!$nN"</f>
        <v>#VALUE!</v>
      </c>
      <c r="HW56" t="e">
        <f>Nodes!P413+"'E4!$nO"</f>
        <v>#VALUE!</v>
      </c>
      <c r="HX56" t="e">
        <f>Nodes!Q413+"'E4!$nP"</f>
        <v>#VALUE!</v>
      </c>
      <c r="HY56" t="e">
        <f>Nodes!R413+"'E4!$nQ"</f>
        <v>#VALUE!</v>
      </c>
      <c r="HZ56" t="e">
        <f>Nodes!S413+"'E4!$nR"</f>
        <v>#VALUE!</v>
      </c>
      <c r="IA56" t="e">
        <f>Nodes!T413+"'E4!$nS"</f>
        <v>#VALUE!</v>
      </c>
      <c r="IB56" t="e">
        <f>Nodes!U413+"'E4!$nT"</f>
        <v>#VALUE!</v>
      </c>
      <c r="IC56" t="e">
        <f>Nodes!V413+"'E4!$nU"</f>
        <v>#VALUE!</v>
      </c>
      <c r="ID56" t="e">
        <f>Nodes!W413+"'E4!$nV"</f>
        <v>#VALUE!</v>
      </c>
      <c r="IE56" t="e">
        <f>Nodes!X413+"'E4!$nW"</f>
        <v>#VALUE!</v>
      </c>
      <c r="IF56" t="e">
        <f>Nodes!Y413+"'E4!$nX"</f>
        <v>#VALUE!</v>
      </c>
      <c r="IG56" t="e">
        <f>Nodes!Z413+"'E4!$nY"</f>
        <v>#VALUE!</v>
      </c>
      <c r="IH56" t="e">
        <f>Nodes!AA413+"'E4!$nZ"</f>
        <v>#VALUE!</v>
      </c>
      <c r="II56" t="e">
        <f>Nodes!AB413+"'E4!$n["</f>
        <v>#VALUE!</v>
      </c>
      <c r="IJ56" t="e">
        <f>Nodes!AC413+"'E4!$n\"</f>
        <v>#VALUE!</v>
      </c>
      <c r="IK56" t="e">
        <f>Nodes!A414+"'E4!$n]"</f>
        <v>#VALUE!</v>
      </c>
      <c r="IL56" t="e">
        <f>Nodes!B414+"'E4!$n^"</f>
        <v>#VALUE!</v>
      </c>
      <c r="IM56" t="e">
        <f>Nodes!C414+"'E4!$n_"</f>
        <v>#VALUE!</v>
      </c>
      <c r="IN56" t="e">
        <f>Nodes!D414+"'E4!$n`"</f>
        <v>#VALUE!</v>
      </c>
      <c r="IO56" t="e">
        <f>Nodes!E414+"'E4!$na"</f>
        <v>#VALUE!</v>
      </c>
      <c r="IP56" t="e">
        <f>Nodes!F414+"'E4!$nb"</f>
        <v>#VALUE!</v>
      </c>
      <c r="IQ56" t="e">
        <f>Nodes!G414+"'E4!$nc"</f>
        <v>#VALUE!</v>
      </c>
      <c r="IR56" t="e">
        <f>Nodes!H414+"'E4!$nd"</f>
        <v>#VALUE!</v>
      </c>
      <c r="IS56" t="e">
        <f>Nodes!I414+"'E4!$ne"</f>
        <v>#VALUE!</v>
      </c>
      <c r="IT56" t="e">
        <f>Nodes!J414+"'E4!$nf"</f>
        <v>#VALUE!</v>
      </c>
      <c r="IU56" t="e">
        <f>Nodes!K414+"'E4!$ng"</f>
        <v>#VALUE!</v>
      </c>
      <c r="IV56" t="e">
        <f>Nodes!L414+"'E4!$nh"</f>
        <v>#VALUE!</v>
      </c>
    </row>
    <row r="57" spans="6:256">
      <c r="F57" t="e">
        <f>Nodes!M414+"'E4!$ni"</f>
        <v>#VALUE!</v>
      </c>
      <c r="G57" t="e">
        <f>Nodes!N414+"'E4!$nj"</f>
        <v>#VALUE!</v>
      </c>
      <c r="H57" t="e">
        <f>Nodes!O414+"'E4!$nk"</f>
        <v>#VALUE!</v>
      </c>
      <c r="I57" t="e">
        <f>Nodes!P414+"'E4!$nl"</f>
        <v>#VALUE!</v>
      </c>
      <c r="J57" t="e">
        <f>Nodes!Q414+"'E4!$nm"</f>
        <v>#VALUE!</v>
      </c>
      <c r="K57" t="e">
        <f>Nodes!R414+"'E4!$nn"</f>
        <v>#VALUE!</v>
      </c>
      <c r="L57" t="e">
        <f>Nodes!S414+"'E4!$no"</f>
        <v>#VALUE!</v>
      </c>
      <c r="M57" t="e">
        <f>Nodes!T414+"'E4!$np"</f>
        <v>#VALUE!</v>
      </c>
      <c r="N57" t="e">
        <f>Nodes!U414+"'E4!$nq"</f>
        <v>#VALUE!</v>
      </c>
      <c r="O57" t="e">
        <f>Nodes!V414+"'E4!$nr"</f>
        <v>#VALUE!</v>
      </c>
      <c r="P57" t="e">
        <f>Nodes!W414+"'E4!$ns"</f>
        <v>#VALUE!</v>
      </c>
      <c r="Q57" t="e">
        <f>Nodes!X414+"'E4!$nt"</f>
        <v>#VALUE!</v>
      </c>
      <c r="R57" t="e">
        <f>Nodes!Y414+"'E4!$nu"</f>
        <v>#VALUE!</v>
      </c>
      <c r="S57" t="e">
        <f>Nodes!Z414+"'E4!$nv"</f>
        <v>#VALUE!</v>
      </c>
      <c r="T57" t="e">
        <f>Nodes!AA414+"'E4!$nw"</f>
        <v>#VALUE!</v>
      </c>
      <c r="U57" t="e">
        <f>Nodes!AB414+"'E4!$nx"</f>
        <v>#VALUE!</v>
      </c>
      <c r="V57" t="e">
        <f>Nodes!AC414+"'E4!$ny"</f>
        <v>#VALUE!</v>
      </c>
      <c r="W57" t="e">
        <f>Nodes!A415+"'E4!$nz"</f>
        <v>#VALUE!</v>
      </c>
      <c r="X57" t="e">
        <f>Nodes!B415+"'E4!$n{"</f>
        <v>#VALUE!</v>
      </c>
      <c r="Y57" t="e">
        <f>Nodes!C415+"'E4!$n|"</f>
        <v>#VALUE!</v>
      </c>
      <c r="Z57" t="e">
        <f>Nodes!D415+"'E4!$n}"</f>
        <v>#VALUE!</v>
      </c>
      <c r="AA57" t="e">
        <f>Nodes!E415+"'E4!$n~"</f>
        <v>#VALUE!</v>
      </c>
      <c r="AB57" t="e">
        <f>Nodes!F415+"'E4!$o#"</f>
        <v>#VALUE!</v>
      </c>
      <c r="AC57" t="e">
        <f>Nodes!G415+"'E4!$o$"</f>
        <v>#VALUE!</v>
      </c>
      <c r="AD57" t="e">
        <f>Nodes!H415+"'E4!$o%"</f>
        <v>#VALUE!</v>
      </c>
      <c r="AE57" t="e">
        <f>Nodes!I415+"'E4!$o&amp;"</f>
        <v>#VALUE!</v>
      </c>
      <c r="AF57" t="e">
        <f>Nodes!J415+"'E4!$o'"</f>
        <v>#VALUE!</v>
      </c>
      <c r="AG57" t="e">
        <f>Nodes!K415+"'E4!$o("</f>
        <v>#VALUE!</v>
      </c>
      <c r="AH57" t="e">
        <f>Nodes!L415+"'E4!$o)"</f>
        <v>#VALUE!</v>
      </c>
      <c r="AI57" t="e">
        <f>Nodes!M415+"'E4!$o."</f>
        <v>#VALUE!</v>
      </c>
      <c r="AJ57" t="e">
        <f>Nodes!N415+"'E4!$o/"</f>
        <v>#VALUE!</v>
      </c>
      <c r="AK57" t="e">
        <f>Nodes!O415+"'E4!$o0"</f>
        <v>#VALUE!</v>
      </c>
      <c r="AL57" t="e">
        <f>Nodes!P415+"'E4!$o1"</f>
        <v>#VALUE!</v>
      </c>
      <c r="AM57" t="e">
        <f>Nodes!Q415+"'E4!$o2"</f>
        <v>#VALUE!</v>
      </c>
      <c r="AN57" t="e">
        <f>Nodes!R415+"'E4!$o3"</f>
        <v>#VALUE!</v>
      </c>
      <c r="AO57" t="e">
        <f>Nodes!S415+"'E4!$o4"</f>
        <v>#VALUE!</v>
      </c>
      <c r="AP57" t="e">
        <f>Nodes!T415+"'E4!$o5"</f>
        <v>#VALUE!</v>
      </c>
      <c r="AQ57" t="e">
        <f>Nodes!U415+"'E4!$o6"</f>
        <v>#VALUE!</v>
      </c>
      <c r="AR57" t="e">
        <f>Nodes!V415+"'E4!$o7"</f>
        <v>#VALUE!</v>
      </c>
      <c r="AS57" t="e">
        <f>Nodes!W415+"'E4!$o8"</f>
        <v>#VALUE!</v>
      </c>
      <c r="AT57" t="e">
        <f>Nodes!X415+"'E4!$o9"</f>
        <v>#VALUE!</v>
      </c>
      <c r="AU57" t="e">
        <f>Nodes!Y415+"'E4!$o:"</f>
        <v>#VALUE!</v>
      </c>
      <c r="AV57" t="e">
        <f>Nodes!Z415+"'E4!$o;"</f>
        <v>#VALUE!</v>
      </c>
      <c r="AW57" t="e">
        <f>Nodes!AA415+"'E4!$o&lt;"</f>
        <v>#VALUE!</v>
      </c>
      <c r="AX57" t="e">
        <f>Nodes!AB415+"'E4!$o="</f>
        <v>#VALUE!</v>
      </c>
      <c r="AY57" t="e">
        <f>Nodes!AC415+"'E4!$o&gt;"</f>
        <v>#VALUE!</v>
      </c>
      <c r="AZ57" t="e">
        <f>Nodes!A416+"'E4!$o?"</f>
        <v>#VALUE!</v>
      </c>
      <c r="BA57" t="e">
        <f>Nodes!B416+"'E4!$o@"</f>
        <v>#VALUE!</v>
      </c>
      <c r="BB57" t="e">
        <f>Nodes!C416+"'E4!$oA"</f>
        <v>#VALUE!</v>
      </c>
      <c r="BC57" t="e">
        <f>Nodes!D416+"'E4!$oB"</f>
        <v>#VALUE!</v>
      </c>
      <c r="BD57" t="e">
        <f>Nodes!E416+"'E4!$oC"</f>
        <v>#VALUE!</v>
      </c>
      <c r="BE57" t="e">
        <f>Nodes!F416+"'E4!$oD"</f>
        <v>#VALUE!</v>
      </c>
      <c r="BF57" t="e">
        <f>Nodes!G416+"'E4!$oE"</f>
        <v>#VALUE!</v>
      </c>
      <c r="BG57" t="e">
        <f>Nodes!H416+"'E4!$oF"</f>
        <v>#VALUE!</v>
      </c>
      <c r="BH57" t="e">
        <f>Nodes!I416+"'E4!$oG"</f>
        <v>#VALUE!</v>
      </c>
      <c r="BI57" t="e">
        <f>Nodes!J416+"'E4!$oH"</f>
        <v>#VALUE!</v>
      </c>
      <c r="BJ57" t="e">
        <f>Nodes!K416+"'E4!$oI"</f>
        <v>#VALUE!</v>
      </c>
      <c r="BK57" t="e">
        <f>Nodes!L416+"'E4!$oJ"</f>
        <v>#VALUE!</v>
      </c>
      <c r="BL57" t="e">
        <f>Nodes!M416+"'E4!$oK"</f>
        <v>#VALUE!</v>
      </c>
      <c r="BM57" t="e">
        <f>Nodes!N416+"'E4!$oL"</f>
        <v>#VALUE!</v>
      </c>
      <c r="BN57" t="e">
        <f>Nodes!O416+"'E4!$oM"</f>
        <v>#VALUE!</v>
      </c>
      <c r="BO57" t="e">
        <f>Nodes!P416+"'E4!$oN"</f>
        <v>#VALUE!</v>
      </c>
      <c r="BP57" t="e">
        <f>Nodes!Q416+"'E4!$oO"</f>
        <v>#VALUE!</v>
      </c>
      <c r="BQ57" t="e">
        <f>Nodes!R416+"'E4!$oP"</f>
        <v>#VALUE!</v>
      </c>
      <c r="BR57" t="e">
        <f>Nodes!S416+"'E4!$oQ"</f>
        <v>#VALUE!</v>
      </c>
      <c r="BS57" t="e">
        <f>Nodes!T416+"'E4!$oR"</f>
        <v>#VALUE!</v>
      </c>
      <c r="BT57" t="e">
        <f>Nodes!U416+"'E4!$oS"</f>
        <v>#VALUE!</v>
      </c>
      <c r="BU57" t="e">
        <f>Nodes!V416+"'E4!$oT"</f>
        <v>#VALUE!</v>
      </c>
      <c r="BV57" t="e">
        <f>Nodes!W416+"'E4!$oU"</f>
        <v>#VALUE!</v>
      </c>
      <c r="BW57" t="e">
        <f>Nodes!X416+"'E4!$oV"</f>
        <v>#VALUE!</v>
      </c>
      <c r="BX57" t="e">
        <f>Nodes!Y416+"'E4!$oW"</f>
        <v>#VALUE!</v>
      </c>
      <c r="BY57" t="e">
        <f>Nodes!Z416+"'E4!$oX"</f>
        <v>#VALUE!</v>
      </c>
      <c r="BZ57" t="e">
        <f>Nodes!AA416+"'E4!$oY"</f>
        <v>#VALUE!</v>
      </c>
      <c r="CA57" t="e">
        <f>Nodes!AB416+"'E4!$oZ"</f>
        <v>#VALUE!</v>
      </c>
      <c r="CB57" t="e">
        <f>Nodes!AC416+"'E4!$o["</f>
        <v>#VALUE!</v>
      </c>
      <c r="CC57" t="e">
        <f>Nodes!A417+"'E4!$o\"</f>
        <v>#VALUE!</v>
      </c>
      <c r="CD57" t="e">
        <f>Nodes!B417+"'E4!$o]"</f>
        <v>#VALUE!</v>
      </c>
      <c r="CE57" t="e">
        <f>Nodes!C417+"'E4!$o^"</f>
        <v>#VALUE!</v>
      </c>
      <c r="CF57" t="e">
        <f>Nodes!D417+"'E4!$o_"</f>
        <v>#VALUE!</v>
      </c>
      <c r="CG57" t="e">
        <f>Nodes!E417+"'E4!$o`"</f>
        <v>#VALUE!</v>
      </c>
      <c r="CH57" t="e">
        <f>Nodes!F417+"'E4!$oa"</f>
        <v>#VALUE!</v>
      </c>
      <c r="CI57" t="e">
        <f>Nodes!G417+"'E4!$ob"</f>
        <v>#VALUE!</v>
      </c>
      <c r="CJ57" t="e">
        <f>Nodes!H417+"'E4!$oc"</f>
        <v>#VALUE!</v>
      </c>
      <c r="CK57" t="e">
        <f>Nodes!I417+"'E4!$od"</f>
        <v>#VALUE!</v>
      </c>
      <c r="CL57" t="e">
        <f>Nodes!J417+"'E4!$oe"</f>
        <v>#VALUE!</v>
      </c>
      <c r="CM57" t="e">
        <f>Nodes!K417+"'E4!$of"</f>
        <v>#VALUE!</v>
      </c>
      <c r="CN57" t="e">
        <f>Nodes!L417+"'E4!$og"</f>
        <v>#VALUE!</v>
      </c>
      <c r="CO57" t="e">
        <f>Nodes!M417+"'E4!$oh"</f>
        <v>#VALUE!</v>
      </c>
      <c r="CP57" t="e">
        <f>Nodes!N417+"'E4!$oi"</f>
        <v>#VALUE!</v>
      </c>
      <c r="CQ57" t="e">
        <f>Nodes!O417+"'E4!$oj"</f>
        <v>#VALUE!</v>
      </c>
      <c r="CR57" t="e">
        <f>Nodes!P417+"'E4!$ok"</f>
        <v>#VALUE!</v>
      </c>
      <c r="CS57" t="e">
        <f>Nodes!Q417+"'E4!$ol"</f>
        <v>#VALUE!</v>
      </c>
      <c r="CT57" t="e">
        <f>Nodes!R417+"'E4!$om"</f>
        <v>#VALUE!</v>
      </c>
      <c r="CU57" t="e">
        <f>Nodes!S417+"'E4!$on"</f>
        <v>#VALUE!</v>
      </c>
      <c r="CV57" t="e">
        <f>Nodes!T417+"'E4!$oo"</f>
        <v>#VALUE!</v>
      </c>
      <c r="CW57" t="e">
        <f>Nodes!U417+"'E4!$op"</f>
        <v>#VALUE!</v>
      </c>
      <c r="CX57" t="e">
        <f>Nodes!V417+"'E4!$oq"</f>
        <v>#VALUE!</v>
      </c>
      <c r="CY57" t="e">
        <f>Nodes!W417+"'E4!$or"</f>
        <v>#VALUE!</v>
      </c>
      <c r="CZ57" t="e">
        <f>Nodes!X417+"'E4!$os"</f>
        <v>#VALUE!</v>
      </c>
      <c r="DA57" t="e">
        <f>Nodes!Y417+"'E4!$ot"</f>
        <v>#VALUE!</v>
      </c>
      <c r="DB57" t="e">
        <f>Nodes!Z417+"'E4!$ou"</f>
        <v>#VALUE!</v>
      </c>
      <c r="DC57" t="e">
        <f>Nodes!AA417+"'E4!$ov"</f>
        <v>#VALUE!</v>
      </c>
      <c r="DD57" t="e">
        <f>Nodes!AB417+"'E4!$ow"</f>
        <v>#VALUE!</v>
      </c>
      <c r="DE57" t="e">
        <f>Nodes!AC417+"'E4!$ox"</f>
        <v>#VALUE!</v>
      </c>
      <c r="DF57" t="e">
        <f>Nodes!A418+"'E4!$oy"</f>
        <v>#VALUE!</v>
      </c>
      <c r="DG57" t="e">
        <f>Nodes!B418+"'E4!$oz"</f>
        <v>#VALUE!</v>
      </c>
      <c r="DH57" t="e">
        <f>Nodes!C418+"'E4!$o{"</f>
        <v>#VALUE!</v>
      </c>
      <c r="DI57" t="e">
        <f>Nodes!D418+"'E4!$o|"</f>
        <v>#VALUE!</v>
      </c>
      <c r="DJ57" t="e">
        <f>Nodes!E418+"'E4!$o}"</f>
        <v>#VALUE!</v>
      </c>
      <c r="DK57" t="e">
        <f>Nodes!F418+"'E4!$o~"</f>
        <v>#VALUE!</v>
      </c>
      <c r="DL57" t="e">
        <f>Nodes!G418+"'E4!$p#"</f>
        <v>#VALUE!</v>
      </c>
      <c r="DM57" t="e">
        <f>Nodes!H418+"'E4!$p$"</f>
        <v>#VALUE!</v>
      </c>
      <c r="DN57" t="e">
        <f>Nodes!I418+"'E4!$p%"</f>
        <v>#VALUE!</v>
      </c>
      <c r="DO57" t="e">
        <f>Nodes!J418+"'E4!$p&amp;"</f>
        <v>#VALUE!</v>
      </c>
      <c r="DP57" t="e">
        <f>Nodes!K418+"'E4!$p'"</f>
        <v>#VALUE!</v>
      </c>
      <c r="DQ57" t="e">
        <f>Nodes!L418+"'E4!$p("</f>
        <v>#VALUE!</v>
      </c>
      <c r="DR57" t="e">
        <f>Nodes!M418+"'E4!$p)"</f>
        <v>#VALUE!</v>
      </c>
      <c r="DS57" t="e">
        <f>Nodes!N418+"'E4!$p."</f>
        <v>#VALUE!</v>
      </c>
      <c r="DT57" t="e">
        <f>Nodes!O418+"'E4!$p/"</f>
        <v>#VALUE!</v>
      </c>
      <c r="DU57" t="e">
        <f>Nodes!P418+"'E4!$p0"</f>
        <v>#VALUE!</v>
      </c>
      <c r="DV57" t="e">
        <f>Nodes!Q418+"'E4!$p1"</f>
        <v>#VALUE!</v>
      </c>
      <c r="DW57" t="e">
        <f>Nodes!R418+"'E4!$p2"</f>
        <v>#VALUE!</v>
      </c>
      <c r="DX57" t="e">
        <f>Nodes!S418+"'E4!$p3"</f>
        <v>#VALUE!</v>
      </c>
      <c r="DY57" t="e">
        <f>Nodes!T418+"'E4!$p4"</f>
        <v>#VALUE!</v>
      </c>
      <c r="DZ57" t="e">
        <f>Nodes!U418+"'E4!$p5"</f>
        <v>#VALUE!</v>
      </c>
      <c r="EA57" t="e">
        <f>Nodes!V418+"'E4!$p6"</f>
        <v>#VALUE!</v>
      </c>
      <c r="EB57" t="e">
        <f>Nodes!W418+"'E4!$p7"</f>
        <v>#VALUE!</v>
      </c>
      <c r="EC57" t="e">
        <f>Nodes!X418+"'E4!$p8"</f>
        <v>#VALUE!</v>
      </c>
      <c r="ED57" t="e">
        <f>Nodes!Y418+"'E4!$p9"</f>
        <v>#VALUE!</v>
      </c>
      <c r="EE57" t="e">
        <f>Nodes!Z418+"'E4!$p:"</f>
        <v>#VALUE!</v>
      </c>
      <c r="EF57" t="e">
        <f>Nodes!AA418+"'E4!$p;"</f>
        <v>#VALUE!</v>
      </c>
      <c r="EG57" t="e">
        <f>Nodes!AB418+"'E4!$p&lt;"</f>
        <v>#VALUE!</v>
      </c>
      <c r="EH57" t="e">
        <f>Nodes!AC418+"'E4!$p="</f>
        <v>#VALUE!</v>
      </c>
      <c r="EI57" t="e">
        <f>Nodes!A419+"'E4!$p&gt;"</f>
        <v>#VALUE!</v>
      </c>
      <c r="EJ57" t="e">
        <f>Nodes!B419+"'E4!$p?"</f>
        <v>#VALUE!</v>
      </c>
      <c r="EK57" t="e">
        <f>Nodes!C419+"'E4!$p@"</f>
        <v>#VALUE!</v>
      </c>
      <c r="EL57" t="e">
        <f>Nodes!D419+"'E4!$pA"</f>
        <v>#VALUE!</v>
      </c>
      <c r="EM57" t="e">
        <f>Nodes!E419+"'E4!$pB"</f>
        <v>#VALUE!</v>
      </c>
      <c r="EN57" t="e">
        <f>Nodes!F419+"'E4!$pC"</f>
        <v>#VALUE!</v>
      </c>
      <c r="EO57" t="e">
        <f>Nodes!G419+"'E4!$pD"</f>
        <v>#VALUE!</v>
      </c>
      <c r="EP57" t="e">
        <f>Nodes!H419+"'E4!$pE"</f>
        <v>#VALUE!</v>
      </c>
      <c r="EQ57" t="e">
        <f>Nodes!I419+"'E4!$pF"</f>
        <v>#VALUE!</v>
      </c>
      <c r="ER57" t="e">
        <f>Nodes!J419+"'E4!$pG"</f>
        <v>#VALUE!</v>
      </c>
      <c r="ES57" t="e">
        <f>Nodes!K419+"'E4!$pH"</f>
        <v>#VALUE!</v>
      </c>
      <c r="ET57" t="e">
        <f>Nodes!L419+"'E4!$pI"</f>
        <v>#VALUE!</v>
      </c>
      <c r="EU57" t="e">
        <f>Nodes!M419+"'E4!$pJ"</f>
        <v>#VALUE!</v>
      </c>
      <c r="EV57" t="e">
        <f>Nodes!N419+"'E4!$pK"</f>
        <v>#VALUE!</v>
      </c>
      <c r="EW57" t="e">
        <f>Nodes!O419+"'E4!$pL"</f>
        <v>#VALUE!</v>
      </c>
      <c r="EX57" t="e">
        <f>Nodes!P419+"'E4!$pM"</f>
        <v>#VALUE!</v>
      </c>
      <c r="EY57" t="e">
        <f>Nodes!Q419+"'E4!$pN"</f>
        <v>#VALUE!</v>
      </c>
      <c r="EZ57" t="e">
        <f>Nodes!R419+"'E4!$pO"</f>
        <v>#VALUE!</v>
      </c>
      <c r="FA57" t="e">
        <f>Nodes!S419+"'E4!$pP"</f>
        <v>#VALUE!</v>
      </c>
      <c r="FB57" t="e">
        <f>Nodes!T419+"'E4!$pQ"</f>
        <v>#VALUE!</v>
      </c>
      <c r="FC57" t="e">
        <f>Nodes!U419+"'E4!$pR"</f>
        <v>#VALUE!</v>
      </c>
      <c r="FD57" t="e">
        <f>Nodes!V419+"'E4!$pS"</f>
        <v>#VALUE!</v>
      </c>
      <c r="FE57" t="e">
        <f>Nodes!W419+"'E4!$pT"</f>
        <v>#VALUE!</v>
      </c>
      <c r="FF57" t="e">
        <f>Nodes!X419+"'E4!$pU"</f>
        <v>#VALUE!</v>
      </c>
      <c r="FG57" t="e">
        <f>Nodes!Y419+"'E4!$pV"</f>
        <v>#VALUE!</v>
      </c>
      <c r="FH57" t="e">
        <f>Nodes!Z419+"'E4!$pW"</f>
        <v>#VALUE!</v>
      </c>
      <c r="FI57" t="e">
        <f>Nodes!AA419+"'E4!$pX"</f>
        <v>#VALUE!</v>
      </c>
      <c r="FJ57" t="e">
        <f>Nodes!AB419+"'E4!$pY"</f>
        <v>#VALUE!</v>
      </c>
      <c r="FK57" t="e">
        <f>Nodes!AC419+"'E4!$pZ"</f>
        <v>#VALUE!</v>
      </c>
      <c r="FL57" t="e">
        <f>Nodes!A420+"'E4!$p["</f>
        <v>#VALUE!</v>
      </c>
      <c r="FM57" t="e">
        <f>Nodes!B420+"'E4!$p\"</f>
        <v>#VALUE!</v>
      </c>
      <c r="FN57" t="e">
        <f>Nodes!C420+"'E4!$p]"</f>
        <v>#VALUE!</v>
      </c>
      <c r="FO57" t="e">
        <f>Nodes!D420+"'E4!$p^"</f>
        <v>#VALUE!</v>
      </c>
      <c r="FP57" t="e">
        <f>Nodes!E420+"'E4!$p_"</f>
        <v>#VALUE!</v>
      </c>
      <c r="FQ57" t="e">
        <f>Nodes!F420+"'E4!$p`"</f>
        <v>#VALUE!</v>
      </c>
      <c r="FR57" t="e">
        <f>Nodes!G420+"'E4!$pa"</f>
        <v>#VALUE!</v>
      </c>
      <c r="FS57" t="e">
        <f>Nodes!H420+"'E4!$pb"</f>
        <v>#VALUE!</v>
      </c>
      <c r="FT57" t="e">
        <f>Nodes!I420+"'E4!$pc"</f>
        <v>#VALUE!</v>
      </c>
      <c r="FU57" t="e">
        <f>Nodes!J420+"'E4!$pd"</f>
        <v>#VALUE!</v>
      </c>
      <c r="FV57" t="e">
        <f>Nodes!K420+"'E4!$pe"</f>
        <v>#VALUE!</v>
      </c>
      <c r="FW57" t="e">
        <f>Nodes!L420+"'E4!$pf"</f>
        <v>#VALUE!</v>
      </c>
      <c r="FX57" t="e">
        <f>Nodes!M420+"'E4!$pg"</f>
        <v>#VALUE!</v>
      </c>
      <c r="FY57" t="e">
        <f>Nodes!N420+"'E4!$ph"</f>
        <v>#VALUE!</v>
      </c>
      <c r="FZ57" t="e">
        <f>Nodes!O420+"'E4!$pi"</f>
        <v>#VALUE!</v>
      </c>
      <c r="GA57" t="e">
        <f>Nodes!P420+"'E4!$pj"</f>
        <v>#VALUE!</v>
      </c>
      <c r="GB57" t="e">
        <f>Nodes!Q420+"'E4!$pk"</f>
        <v>#VALUE!</v>
      </c>
      <c r="GC57" t="e">
        <f>Nodes!R420+"'E4!$pl"</f>
        <v>#VALUE!</v>
      </c>
      <c r="GD57" t="e">
        <f>Nodes!S420+"'E4!$pm"</f>
        <v>#VALUE!</v>
      </c>
      <c r="GE57" t="e">
        <f>Nodes!T420+"'E4!$pn"</f>
        <v>#VALUE!</v>
      </c>
      <c r="GF57" t="e">
        <f>Nodes!U420+"'E4!$po"</f>
        <v>#VALUE!</v>
      </c>
      <c r="GG57" t="e">
        <f>Nodes!V420+"'E4!$pp"</f>
        <v>#VALUE!</v>
      </c>
      <c r="GH57" t="e">
        <f>Nodes!W420+"'E4!$pq"</f>
        <v>#VALUE!</v>
      </c>
      <c r="GI57" t="e">
        <f>Nodes!X420+"'E4!$pr"</f>
        <v>#VALUE!</v>
      </c>
      <c r="GJ57" t="e">
        <f>Nodes!Y420+"'E4!$ps"</f>
        <v>#VALUE!</v>
      </c>
      <c r="GK57" t="e">
        <f>Nodes!Z420+"'E4!$pt"</f>
        <v>#VALUE!</v>
      </c>
      <c r="GL57" t="e">
        <f>Nodes!AA420+"'E4!$pu"</f>
        <v>#VALUE!</v>
      </c>
      <c r="GM57" t="e">
        <f>Nodes!AB420+"'E4!$pv"</f>
        <v>#VALUE!</v>
      </c>
      <c r="GN57" t="e">
        <f>Nodes!AC420+"'E4!$pw"</f>
        <v>#VALUE!</v>
      </c>
      <c r="GO57" t="e">
        <f>Nodes!A421+"'E4!$px"</f>
        <v>#VALUE!</v>
      </c>
      <c r="GP57" t="e">
        <f>Nodes!B421+"'E4!$py"</f>
        <v>#VALUE!</v>
      </c>
      <c r="GQ57" t="e">
        <f>Nodes!C421+"'E4!$pz"</f>
        <v>#VALUE!</v>
      </c>
      <c r="GR57" t="e">
        <f>Nodes!D421+"'E4!$p{"</f>
        <v>#VALUE!</v>
      </c>
      <c r="GS57" t="e">
        <f>Nodes!E421+"'E4!$p|"</f>
        <v>#VALUE!</v>
      </c>
      <c r="GT57" t="e">
        <f>Nodes!F421+"'E4!$p}"</f>
        <v>#VALUE!</v>
      </c>
      <c r="GU57" t="e">
        <f>Nodes!G421+"'E4!$p~"</f>
        <v>#VALUE!</v>
      </c>
      <c r="GV57" t="e">
        <f>Nodes!H421+"'E4!$q#"</f>
        <v>#VALUE!</v>
      </c>
      <c r="GW57" t="e">
        <f>Nodes!I421+"'E4!$q$"</f>
        <v>#VALUE!</v>
      </c>
      <c r="GX57" t="e">
        <f>Nodes!J421+"'E4!$q%"</f>
        <v>#VALUE!</v>
      </c>
      <c r="GY57" t="e">
        <f>Nodes!K421+"'E4!$q&amp;"</f>
        <v>#VALUE!</v>
      </c>
      <c r="GZ57" t="e">
        <f>Nodes!L421+"'E4!$q'"</f>
        <v>#VALUE!</v>
      </c>
      <c r="HA57" t="e">
        <f>Nodes!M421+"'E4!$q("</f>
        <v>#VALUE!</v>
      </c>
      <c r="HB57" t="e">
        <f>Nodes!N421+"'E4!$q)"</f>
        <v>#VALUE!</v>
      </c>
      <c r="HC57" t="e">
        <f>Nodes!O421+"'E4!$q."</f>
        <v>#VALUE!</v>
      </c>
      <c r="HD57" t="e">
        <f>Nodes!P421+"'E4!$q/"</f>
        <v>#VALUE!</v>
      </c>
      <c r="HE57" t="e">
        <f>Nodes!Q421+"'E4!$q0"</f>
        <v>#VALUE!</v>
      </c>
      <c r="HF57" t="e">
        <f>Nodes!R421+"'E4!$q1"</f>
        <v>#VALUE!</v>
      </c>
      <c r="HG57" t="e">
        <f>Nodes!S421+"'E4!$q2"</f>
        <v>#VALUE!</v>
      </c>
      <c r="HH57" t="e">
        <f>Nodes!T421+"'E4!$q3"</f>
        <v>#VALUE!</v>
      </c>
      <c r="HI57" t="e">
        <f>Nodes!U421+"'E4!$q4"</f>
        <v>#VALUE!</v>
      </c>
      <c r="HJ57" t="e">
        <f>Nodes!V421+"'E4!$q5"</f>
        <v>#VALUE!</v>
      </c>
      <c r="HK57" t="e">
        <f>Nodes!W421+"'E4!$q6"</f>
        <v>#VALUE!</v>
      </c>
      <c r="HL57" t="e">
        <f>Nodes!X421+"'E4!$q7"</f>
        <v>#VALUE!</v>
      </c>
      <c r="HM57" t="e">
        <f>Nodes!Y421+"'E4!$q8"</f>
        <v>#VALUE!</v>
      </c>
      <c r="HN57" t="e">
        <f>Nodes!Z421+"'E4!$q9"</f>
        <v>#VALUE!</v>
      </c>
      <c r="HO57" t="e">
        <f>Nodes!AA421+"'E4!$q:"</f>
        <v>#VALUE!</v>
      </c>
      <c r="HP57" t="e">
        <f>Nodes!AB421+"'E4!$q;"</f>
        <v>#VALUE!</v>
      </c>
      <c r="HQ57" t="e">
        <f>Nodes!AC421+"'E4!$q&lt;"</f>
        <v>#VALUE!</v>
      </c>
      <c r="HR57" t="e">
        <f>Nodes!A422+"'E4!$q="</f>
        <v>#VALUE!</v>
      </c>
      <c r="HS57" t="e">
        <f>Nodes!B422+"'E4!$q&gt;"</f>
        <v>#VALUE!</v>
      </c>
      <c r="HT57" t="e">
        <f>Nodes!C422+"'E4!$q?"</f>
        <v>#VALUE!</v>
      </c>
      <c r="HU57" t="e">
        <f>Nodes!D422+"'E4!$q@"</f>
        <v>#VALUE!</v>
      </c>
      <c r="HV57" t="e">
        <f>Nodes!E422+"'E4!$qA"</f>
        <v>#VALUE!</v>
      </c>
      <c r="HW57" t="e">
        <f>Nodes!F422+"'E4!$qB"</f>
        <v>#VALUE!</v>
      </c>
      <c r="HX57" t="e">
        <f>Nodes!G422+"'E4!$qC"</f>
        <v>#VALUE!</v>
      </c>
      <c r="HY57" t="e">
        <f>Nodes!H422+"'E4!$qD"</f>
        <v>#VALUE!</v>
      </c>
      <c r="HZ57" t="e">
        <f>Nodes!I422+"'E4!$qE"</f>
        <v>#VALUE!</v>
      </c>
      <c r="IA57" t="e">
        <f>Nodes!J422+"'E4!$qF"</f>
        <v>#VALUE!</v>
      </c>
      <c r="IB57" t="e">
        <f>Nodes!K422+"'E4!$qG"</f>
        <v>#VALUE!</v>
      </c>
      <c r="IC57" t="e">
        <f>Nodes!L422+"'E4!$qH"</f>
        <v>#VALUE!</v>
      </c>
      <c r="ID57" t="e">
        <f>Nodes!M422+"'E4!$qI"</f>
        <v>#VALUE!</v>
      </c>
      <c r="IE57" t="e">
        <f>Nodes!N422+"'E4!$qJ"</f>
        <v>#VALUE!</v>
      </c>
      <c r="IF57" t="e">
        <f>Nodes!O422+"'E4!$qK"</f>
        <v>#VALUE!</v>
      </c>
      <c r="IG57" t="e">
        <f>Nodes!P422+"'E4!$qL"</f>
        <v>#VALUE!</v>
      </c>
      <c r="IH57" t="e">
        <f>Nodes!Q422+"'E4!$qM"</f>
        <v>#VALUE!</v>
      </c>
      <c r="II57" t="e">
        <f>Nodes!R422+"'E4!$qN"</f>
        <v>#VALUE!</v>
      </c>
      <c r="IJ57" t="e">
        <f>Nodes!S422+"'E4!$qO"</f>
        <v>#VALUE!</v>
      </c>
      <c r="IK57" t="e">
        <f>Nodes!T422+"'E4!$qP"</f>
        <v>#VALUE!</v>
      </c>
      <c r="IL57" t="e">
        <f>Nodes!U422+"'E4!$qQ"</f>
        <v>#VALUE!</v>
      </c>
      <c r="IM57" t="e">
        <f>Nodes!V422+"'E4!$qR"</f>
        <v>#VALUE!</v>
      </c>
      <c r="IN57" t="e">
        <f>Nodes!W422+"'E4!$qS"</f>
        <v>#VALUE!</v>
      </c>
      <c r="IO57" t="e">
        <f>Nodes!X422+"'E4!$qT"</f>
        <v>#VALUE!</v>
      </c>
      <c r="IP57" t="e">
        <f>Nodes!Y422+"'E4!$qU"</f>
        <v>#VALUE!</v>
      </c>
      <c r="IQ57" t="e">
        <f>Nodes!Z422+"'E4!$qV"</f>
        <v>#VALUE!</v>
      </c>
      <c r="IR57" t="e">
        <f>Nodes!AA422+"'E4!$qW"</f>
        <v>#VALUE!</v>
      </c>
      <c r="IS57" t="e">
        <f>Nodes!AB422+"'E4!$qX"</f>
        <v>#VALUE!</v>
      </c>
      <c r="IT57" t="e">
        <f>Nodes!AC422+"'E4!$qY"</f>
        <v>#VALUE!</v>
      </c>
      <c r="IU57" t="e">
        <f>Nodes!A423+"'E4!$qZ"</f>
        <v>#VALUE!</v>
      </c>
      <c r="IV57" t="e">
        <f>Nodes!B423+"'E4!$q["</f>
        <v>#VALUE!</v>
      </c>
    </row>
    <row r="58" spans="6:256">
      <c r="F58" t="e">
        <f>Nodes!C423+"'E4!$q\"</f>
        <v>#VALUE!</v>
      </c>
      <c r="G58" t="e">
        <f>Nodes!D423+"'E4!$q]"</f>
        <v>#VALUE!</v>
      </c>
      <c r="H58" t="e">
        <f>Nodes!E423+"'E4!$q^"</f>
        <v>#VALUE!</v>
      </c>
      <c r="I58" t="e">
        <f>Nodes!F423+"'E4!$q_"</f>
        <v>#VALUE!</v>
      </c>
      <c r="J58" t="e">
        <f>Nodes!G423+"'E4!$q`"</f>
        <v>#VALUE!</v>
      </c>
      <c r="K58" t="e">
        <f>Nodes!H423+"'E4!$qa"</f>
        <v>#VALUE!</v>
      </c>
      <c r="L58" t="e">
        <f>Nodes!I423+"'E4!$qb"</f>
        <v>#VALUE!</v>
      </c>
      <c r="M58" t="e">
        <f>Nodes!J423+"'E4!$qc"</f>
        <v>#VALUE!</v>
      </c>
      <c r="N58" t="e">
        <f>Nodes!K423+"'E4!$qd"</f>
        <v>#VALUE!</v>
      </c>
      <c r="O58" t="e">
        <f>Nodes!L423+"'E4!$qe"</f>
        <v>#VALUE!</v>
      </c>
      <c r="P58" t="e">
        <f>Nodes!M423+"'E4!$qf"</f>
        <v>#VALUE!</v>
      </c>
      <c r="Q58" t="e">
        <f>Nodes!N423+"'E4!$qg"</f>
        <v>#VALUE!</v>
      </c>
      <c r="R58" t="e">
        <f>Nodes!O423+"'E4!$qh"</f>
        <v>#VALUE!</v>
      </c>
      <c r="S58" t="e">
        <f>Nodes!P423+"'E4!$qi"</f>
        <v>#VALUE!</v>
      </c>
      <c r="T58" t="e">
        <f>Nodes!Q423+"'E4!$qj"</f>
        <v>#VALUE!</v>
      </c>
      <c r="U58" t="e">
        <f>Nodes!R423+"'E4!$qk"</f>
        <v>#VALUE!</v>
      </c>
      <c r="V58" t="e">
        <f>Nodes!S423+"'E4!$ql"</f>
        <v>#VALUE!</v>
      </c>
      <c r="W58" t="e">
        <f>Nodes!T423+"'E4!$qm"</f>
        <v>#VALUE!</v>
      </c>
      <c r="X58" t="e">
        <f>Nodes!U423+"'E4!$qn"</f>
        <v>#VALUE!</v>
      </c>
      <c r="Y58" t="e">
        <f>Nodes!V423+"'E4!$qo"</f>
        <v>#VALUE!</v>
      </c>
      <c r="Z58" t="e">
        <f>Nodes!W423+"'E4!$qp"</f>
        <v>#VALUE!</v>
      </c>
      <c r="AA58" t="e">
        <f>Nodes!X423+"'E4!$qq"</f>
        <v>#VALUE!</v>
      </c>
      <c r="AB58" t="e">
        <f>Nodes!Y423+"'E4!$qr"</f>
        <v>#VALUE!</v>
      </c>
      <c r="AC58" t="e">
        <f>Nodes!Z423+"'E4!$qs"</f>
        <v>#VALUE!</v>
      </c>
      <c r="AD58" t="e">
        <f>Nodes!AA423+"'E4!$qt"</f>
        <v>#VALUE!</v>
      </c>
      <c r="AE58" t="e">
        <f>Nodes!AB423+"'E4!$qu"</f>
        <v>#VALUE!</v>
      </c>
      <c r="AF58" t="e">
        <f>Nodes!AC423+"'E4!$qv"</f>
        <v>#VALUE!</v>
      </c>
      <c r="AG58" t="e">
        <f>Nodes!A424+"'E4!$qw"</f>
        <v>#VALUE!</v>
      </c>
      <c r="AH58" t="e">
        <f>Nodes!B424+"'E4!$qx"</f>
        <v>#VALUE!</v>
      </c>
      <c r="AI58" t="e">
        <f>Nodes!C424+"'E4!$qy"</f>
        <v>#VALUE!</v>
      </c>
      <c r="AJ58" t="e">
        <f>Nodes!D424+"'E4!$qz"</f>
        <v>#VALUE!</v>
      </c>
      <c r="AK58" t="e">
        <f>Nodes!E424+"'E4!$q{"</f>
        <v>#VALUE!</v>
      </c>
      <c r="AL58" t="e">
        <f>Nodes!F424+"'E4!$q|"</f>
        <v>#VALUE!</v>
      </c>
      <c r="AM58" t="e">
        <f>Nodes!G424+"'E4!$q}"</f>
        <v>#VALUE!</v>
      </c>
      <c r="AN58" t="e">
        <f>Nodes!H424+"'E4!$q~"</f>
        <v>#VALUE!</v>
      </c>
      <c r="AO58" t="e">
        <f>Nodes!I424+"'E4!$r#"</f>
        <v>#VALUE!</v>
      </c>
      <c r="AP58" t="e">
        <f>Nodes!J424+"'E4!$r$"</f>
        <v>#VALUE!</v>
      </c>
      <c r="AQ58" t="e">
        <f>Nodes!K424+"'E4!$r%"</f>
        <v>#VALUE!</v>
      </c>
      <c r="AR58" t="e">
        <f>Nodes!L424+"'E4!$r&amp;"</f>
        <v>#VALUE!</v>
      </c>
      <c r="AS58" t="e">
        <f>Nodes!M424+"'E4!$r'"</f>
        <v>#VALUE!</v>
      </c>
      <c r="AT58" t="e">
        <f>Nodes!N424+"'E4!$r("</f>
        <v>#VALUE!</v>
      </c>
      <c r="AU58" t="e">
        <f>Nodes!O424+"'E4!$r)"</f>
        <v>#VALUE!</v>
      </c>
      <c r="AV58" t="e">
        <f>Nodes!P424+"'E4!$r."</f>
        <v>#VALUE!</v>
      </c>
      <c r="AW58" t="e">
        <f>Nodes!Q424+"'E4!$r/"</f>
        <v>#VALUE!</v>
      </c>
      <c r="AX58" t="e">
        <f>Nodes!R424+"'E4!$r0"</f>
        <v>#VALUE!</v>
      </c>
      <c r="AY58" t="e">
        <f>Nodes!S424+"'E4!$r1"</f>
        <v>#VALUE!</v>
      </c>
      <c r="AZ58" t="e">
        <f>Nodes!T424+"'E4!$r2"</f>
        <v>#VALUE!</v>
      </c>
      <c r="BA58" t="e">
        <f>Nodes!U424+"'E4!$r3"</f>
        <v>#VALUE!</v>
      </c>
      <c r="BB58" t="e">
        <f>Nodes!V424+"'E4!$r4"</f>
        <v>#VALUE!</v>
      </c>
      <c r="BC58" t="e">
        <f>Nodes!W424+"'E4!$r5"</f>
        <v>#VALUE!</v>
      </c>
      <c r="BD58" t="e">
        <f>Nodes!X424+"'E4!$r6"</f>
        <v>#VALUE!</v>
      </c>
      <c r="BE58" t="e">
        <f>Nodes!Y424+"'E4!$r7"</f>
        <v>#VALUE!</v>
      </c>
      <c r="BF58" t="e">
        <f>Nodes!Z424+"'E4!$r8"</f>
        <v>#VALUE!</v>
      </c>
      <c r="BG58" t="e">
        <f>Nodes!AA424+"'E4!$r9"</f>
        <v>#VALUE!</v>
      </c>
      <c r="BH58" t="e">
        <f>Nodes!AB424+"'E4!$r:"</f>
        <v>#VALUE!</v>
      </c>
      <c r="BI58" t="e">
        <f>Nodes!AC424+"'E4!$r;"</f>
        <v>#VALUE!</v>
      </c>
      <c r="BJ58" t="e">
        <f>Nodes!A425+"'E4!$r&lt;"</f>
        <v>#VALUE!</v>
      </c>
      <c r="BK58" t="e">
        <f>Nodes!B425+"'E4!$r="</f>
        <v>#VALUE!</v>
      </c>
      <c r="BL58" t="e">
        <f>Nodes!C425+"'E4!$r&gt;"</f>
        <v>#VALUE!</v>
      </c>
      <c r="BM58" t="e">
        <f>Nodes!D425+"'E4!$r?"</f>
        <v>#VALUE!</v>
      </c>
      <c r="BN58" t="e">
        <f>Nodes!E425+"'E4!$r@"</f>
        <v>#VALUE!</v>
      </c>
      <c r="BO58" t="e">
        <f>Nodes!F425+"'E4!$rA"</f>
        <v>#VALUE!</v>
      </c>
      <c r="BP58" t="e">
        <f>Nodes!G425+"'E4!$rB"</f>
        <v>#VALUE!</v>
      </c>
      <c r="BQ58" t="e">
        <f>Nodes!H425+"'E4!$rC"</f>
        <v>#VALUE!</v>
      </c>
      <c r="BR58" t="e">
        <f>Nodes!I425+"'E4!$rD"</f>
        <v>#VALUE!</v>
      </c>
      <c r="BS58" t="e">
        <f>Nodes!J425+"'E4!$rE"</f>
        <v>#VALUE!</v>
      </c>
      <c r="BT58" t="e">
        <f>Nodes!K425+"'E4!$rF"</f>
        <v>#VALUE!</v>
      </c>
      <c r="BU58" t="e">
        <f>Nodes!L425+"'E4!$rG"</f>
        <v>#VALUE!</v>
      </c>
      <c r="BV58" t="e">
        <f>Nodes!M425+"'E4!$rH"</f>
        <v>#VALUE!</v>
      </c>
      <c r="BW58" t="e">
        <f>Nodes!N425+"'E4!$rI"</f>
        <v>#VALUE!</v>
      </c>
      <c r="BX58" t="e">
        <f>Nodes!O425+"'E4!$rJ"</f>
        <v>#VALUE!</v>
      </c>
      <c r="BY58" t="e">
        <f>Nodes!P425+"'E4!$rK"</f>
        <v>#VALUE!</v>
      </c>
      <c r="BZ58" t="e">
        <f>Nodes!Q425+"'E4!$rL"</f>
        <v>#VALUE!</v>
      </c>
      <c r="CA58" t="e">
        <f>Nodes!R425+"'E4!$rM"</f>
        <v>#VALUE!</v>
      </c>
      <c r="CB58" t="e">
        <f>Nodes!S425+"'E4!$rN"</f>
        <v>#VALUE!</v>
      </c>
      <c r="CC58" t="e">
        <f>Nodes!T425+"'E4!$rO"</f>
        <v>#VALUE!</v>
      </c>
      <c r="CD58" t="e">
        <f>Nodes!U425+"'E4!$rP"</f>
        <v>#VALUE!</v>
      </c>
      <c r="CE58" t="e">
        <f>Nodes!V425+"'E4!$rQ"</f>
        <v>#VALUE!</v>
      </c>
      <c r="CF58" t="e">
        <f>Nodes!W425+"'E4!$rR"</f>
        <v>#VALUE!</v>
      </c>
      <c r="CG58" t="e">
        <f>Nodes!X425+"'E4!$rS"</f>
        <v>#VALUE!</v>
      </c>
      <c r="CH58" t="e">
        <f>Nodes!Y425+"'E4!$rT"</f>
        <v>#VALUE!</v>
      </c>
      <c r="CI58" t="e">
        <f>Nodes!Z425+"'E4!$rU"</f>
        <v>#VALUE!</v>
      </c>
      <c r="CJ58" t="e">
        <f>Nodes!AA425+"'E4!$rV"</f>
        <v>#VALUE!</v>
      </c>
      <c r="CK58" t="e">
        <f>Nodes!AB425+"'E4!$rW"</f>
        <v>#VALUE!</v>
      </c>
      <c r="CL58" t="e">
        <f>Nodes!AC425+"'E4!$rX"</f>
        <v>#VALUE!</v>
      </c>
      <c r="CM58" t="e">
        <f>Nodes!A426+"'E4!$rY"</f>
        <v>#VALUE!</v>
      </c>
      <c r="CN58" t="e">
        <f>Nodes!B426+"'E4!$rZ"</f>
        <v>#VALUE!</v>
      </c>
      <c r="CO58" t="e">
        <f>Nodes!C426+"'E4!$r["</f>
        <v>#VALUE!</v>
      </c>
      <c r="CP58" t="e">
        <f>Nodes!D426+"'E4!$r\"</f>
        <v>#VALUE!</v>
      </c>
      <c r="CQ58" t="e">
        <f>Nodes!E426+"'E4!$r]"</f>
        <v>#VALUE!</v>
      </c>
      <c r="CR58" t="e">
        <f>Nodes!F426+"'E4!$r^"</f>
        <v>#VALUE!</v>
      </c>
      <c r="CS58" t="e">
        <f>Nodes!G426+"'E4!$r_"</f>
        <v>#VALUE!</v>
      </c>
      <c r="CT58" t="e">
        <f>Nodes!H426+"'E4!$r`"</f>
        <v>#VALUE!</v>
      </c>
      <c r="CU58" t="e">
        <f>Nodes!I426+"'E4!$ra"</f>
        <v>#VALUE!</v>
      </c>
      <c r="CV58" t="e">
        <f>Nodes!J426+"'E4!$rb"</f>
        <v>#VALUE!</v>
      </c>
      <c r="CW58" t="e">
        <f>Nodes!K426+"'E4!$rc"</f>
        <v>#VALUE!</v>
      </c>
      <c r="CX58" t="e">
        <f>Nodes!L426+"'E4!$rd"</f>
        <v>#VALUE!</v>
      </c>
      <c r="CY58" t="e">
        <f>Nodes!M426+"'E4!$re"</f>
        <v>#VALUE!</v>
      </c>
      <c r="CZ58" t="e">
        <f>Nodes!N426+"'E4!$rf"</f>
        <v>#VALUE!</v>
      </c>
      <c r="DA58" t="e">
        <f>Nodes!O426+"'E4!$rg"</f>
        <v>#VALUE!</v>
      </c>
      <c r="DB58" t="e">
        <f>Nodes!P426+"'E4!$rh"</f>
        <v>#VALUE!</v>
      </c>
      <c r="DC58" t="e">
        <f>Nodes!Q426+"'E4!$ri"</f>
        <v>#VALUE!</v>
      </c>
      <c r="DD58" t="e">
        <f>Nodes!R426+"'E4!$rj"</f>
        <v>#VALUE!</v>
      </c>
      <c r="DE58" t="e">
        <f>Nodes!S426+"'E4!$rk"</f>
        <v>#VALUE!</v>
      </c>
      <c r="DF58" t="e">
        <f>Nodes!T426+"'E4!$rl"</f>
        <v>#VALUE!</v>
      </c>
      <c r="DG58" t="e">
        <f>Nodes!U426+"'E4!$rm"</f>
        <v>#VALUE!</v>
      </c>
      <c r="DH58" t="e">
        <f>Nodes!V426+"'E4!$rn"</f>
        <v>#VALUE!</v>
      </c>
      <c r="DI58" t="e">
        <f>Nodes!W426+"'E4!$ro"</f>
        <v>#VALUE!</v>
      </c>
      <c r="DJ58" t="e">
        <f>Nodes!X426+"'E4!$rp"</f>
        <v>#VALUE!</v>
      </c>
      <c r="DK58" t="e">
        <f>Nodes!Y426+"'E4!$rq"</f>
        <v>#VALUE!</v>
      </c>
      <c r="DL58" t="e">
        <f>Nodes!Z426+"'E4!$rr"</f>
        <v>#VALUE!</v>
      </c>
      <c r="DM58" t="e">
        <f>Nodes!AA426+"'E4!$rs"</f>
        <v>#VALUE!</v>
      </c>
      <c r="DN58" t="e">
        <f>Nodes!AB426+"'E4!$rt"</f>
        <v>#VALUE!</v>
      </c>
      <c r="DO58" t="e">
        <f>Nodes!AC426+"'E4!$ru"</f>
        <v>#VALUE!</v>
      </c>
      <c r="DP58" t="e">
        <f>Nodes!A427+"'E4!$rv"</f>
        <v>#VALUE!</v>
      </c>
      <c r="DQ58" t="e">
        <f>Nodes!B427+"'E4!$rw"</f>
        <v>#VALUE!</v>
      </c>
      <c r="DR58" t="e">
        <f>Nodes!C427+"'E4!$rx"</f>
        <v>#VALUE!</v>
      </c>
      <c r="DS58" t="e">
        <f>Nodes!D427+"'E4!$ry"</f>
        <v>#VALUE!</v>
      </c>
      <c r="DT58" t="e">
        <f>Nodes!E427+"'E4!$rz"</f>
        <v>#VALUE!</v>
      </c>
      <c r="DU58" t="e">
        <f>Nodes!F427+"'E4!$r{"</f>
        <v>#VALUE!</v>
      </c>
      <c r="DV58" t="e">
        <f>Nodes!G427+"'E4!$r|"</f>
        <v>#VALUE!</v>
      </c>
      <c r="DW58" t="e">
        <f>Nodes!H427+"'E4!$r}"</f>
        <v>#VALUE!</v>
      </c>
      <c r="DX58" t="e">
        <f>Nodes!I427+"'E4!$r~"</f>
        <v>#VALUE!</v>
      </c>
      <c r="DY58" t="e">
        <f>Nodes!J427+"'E4!$s#"</f>
        <v>#VALUE!</v>
      </c>
      <c r="DZ58" t="e">
        <f>Nodes!K427+"'E4!$s$"</f>
        <v>#VALUE!</v>
      </c>
      <c r="EA58" t="e">
        <f>Nodes!L427+"'E4!$s%"</f>
        <v>#VALUE!</v>
      </c>
      <c r="EB58" t="e">
        <f>Nodes!M427+"'E4!$s&amp;"</f>
        <v>#VALUE!</v>
      </c>
      <c r="EC58" t="e">
        <f>Nodes!N427+"'E4!$s'"</f>
        <v>#VALUE!</v>
      </c>
      <c r="ED58" t="e">
        <f>Nodes!O427+"'E4!$s("</f>
        <v>#VALUE!</v>
      </c>
      <c r="EE58" t="e">
        <f>Nodes!P427+"'E4!$s)"</f>
        <v>#VALUE!</v>
      </c>
      <c r="EF58" t="e">
        <f>Nodes!Q427+"'E4!$s."</f>
        <v>#VALUE!</v>
      </c>
      <c r="EG58" t="e">
        <f>Nodes!R427+"'E4!$s/"</f>
        <v>#VALUE!</v>
      </c>
      <c r="EH58" t="e">
        <f>Nodes!S427+"'E4!$s0"</f>
        <v>#VALUE!</v>
      </c>
      <c r="EI58" t="e">
        <f>Nodes!T427+"'E4!$s1"</f>
        <v>#VALUE!</v>
      </c>
      <c r="EJ58" t="e">
        <f>Nodes!U427+"'E4!$s2"</f>
        <v>#VALUE!</v>
      </c>
      <c r="EK58" t="e">
        <f>Nodes!V427+"'E4!$s3"</f>
        <v>#VALUE!</v>
      </c>
      <c r="EL58" t="e">
        <f>Nodes!W427+"'E4!$s4"</f>
        <v>#VALUE!</v>
      </c>
      <c r="EM58" t="e">
        <f>Nodes!X427+"'E4!$s5"</f>
        <v>#VALUE!</v>
      </c>
      <c r="EN58" t="e">
        <f>Nodes!Y427+"'E4!$s6"</f>
        <v>#VALUE!</v>
      </c>
      <c r="EO58" t="e">
        <f>Nodes!Z427+"'E4!$s7"</f>
        <v>#VALUE!</v>
      </c>
      <c r="EP58" t="e">
        <f>Nodes!AA427+"'E4!$s8"</f>
        <v>#VALUE!</v>
      </c>
      <c r="EQ58" t="e">
        <f>Nodes!AB427+"'E4!$s9"</f>
        <v>#VALUE!</v>
      </c>
      <c r="ER58" t="e">
        <f>Nodes!AC427+"'E4!$s:"</f>
        <v>#VALUE!</v>
      </c>
      <c r="ES58" t="e">
        <f>Nodes!A428+"'E4!$s;"</f>
        <v>#VALUE!</v>
      </c>
      <c r="ET58" t="e">
        <f>Nodes!B428+"'E4!$s&lt;"</f>
        <v>#VALUE!</v>
      </c>
      <c r="EU58" t="e">
        <f>Nodes!C428+"'E4!$s="</f>
        <v>#VALUE!</v>
      </c>
      <c r="EV58" t="e">
        <f>Nodes!D428+"'E4!$s&gt;"</f>
        <v>#VALUE!</v>
      </c>
      <c r="EW58" t="e">
        <f>Nodes!E428+"'E4!$s?"</f>
        <v>#VALUE!</v>
      </c>
      <c r="EX58" t="e">
        <f>Nodes!F428+"'E4!$s@"</f>
        <v>#VALUE!</v>
      </c>
      <c r="EY58" t="e">
        <f>Nodes!G428+"'E4!$sA"</f>
        <v>#VALUE!</v>
      </c>
      <c r="EZ58" t="e">
        <f>Nodes!H428+"'E4!$sB"</f>
        <v>#VALUE!</v>
      </c>
      <c r="FA58" t="e">
        <f>Nodes!I428+"'E4!$sC"</f>
        <v>#VALUE!</v>
      </c>
      <c r="FB58" t="e">
        <f>Nodes!J428+"'E4!$sD"</f>
        <v>#VALUE!</v>
      </c>
      <c r="FC58" t="e">
        <f>Nodes!K428+"'E4!$sE"</f>
        <v>#VALUE!</v>
      </c>
      <c r="FD58" t="e">
        <f>Nodes!L428+"'E4!$sF"</f>
        <v>#VALUE!</v>
      </c>
      <c r="FE58" t="e">
        <f>Nodes!M428+"'E4!$sG"</f>
        <v>#VALUE!</v>
      </c>
      <c r="FF58" t="e">
        <f>Nodes!N428+"'E4!$sH"</f>
        <v>#VALUE!</v>
      </c>
      <c r="FG58" t="e">
        <f>Nodes!O428+"'E4!$sI"</f>
        <v>#VALUE!</v>
      </c>
      <c r="FH58" t="e">
        <f>Nodes!P428+"'E4!$sJ"</f>
        <v>#VALUE!</v>
      </c>
      <c r="FI58" t="e">
        <f>Nodes!Q428+"'E4!$sK"</f>
        <v>#VALUE!</v>
      </c>
      <c r="FJ58" t="e">
        <f>Nodes!R428+"'E4!$sL"</f>
        <v>#VALUE!</v>
      </c>
      <c r="FK58" t="e">
        <f>Nodes!S428+"'E4!$sM"</f>
        <v>#VALUE!</v>
      </c>
      <c r="FL58" t="e">
        <f>Nodes!T428+"'E4!$sN"</f>
        <v>#VALUE!</v>
      </c>
      <c r="FM58" t="e">
        <f>Nodes!U428+"'E4!$sO"</f>
        <v>#VALUE!</v>
      </c>
      <c r="FN58" t="e">
        <f>Nodes!V428+"'E4!$sP"</f>
        <v>#VALUE!</v>
      </c>
      <c r="FO58" t="e">
        <f>Nodes!W428+"'E4!$sQ"</f>
        <v>#VALUE!</v>
      </c>
      <c r="FP58" t="e">
        <f>Nodes!X428+"'E4!$sR"</f>
        <v>#VALUE!</v>
      </c>
      <c r="FQ58" t="e">
        <f>Nodes!Y428+"'E4!$sS"</f>
        <v>#VALUE!</v>
      </c>
      <c r="FR58" t="e">
        <f>Nodes!Z428+"'E4!$sT"</f>
        <v>#VALUE!</v>
      </c>
      <c r="FS58" t="e">
        <f>Nodes!AA428+"'E4!$sU"</f>
        <v>#VALUE!</v>
      </c>
      <c r="FT58" t="e">
        <f>Nodes!AB428+"'E4!$sV"</f>
        <v>#VALUE!</v>
      </c>
      <c r="FU58" t="e">
        <f>Nodes!AC428+"'E4!$sW"</f>
        <v>#VALUE!</v>
      </c>
      <c r="FV58" t="e">
        <f>Nodes!A429+"'E4!$sX"</f>
        <v>#VALUE!</v>
      </c>
      <c r="FW58" t="e">
        <f>Nodes!B429+"'E4!$sY"</f>
        <v>#VALUE!</v>
      </c>
      <c r="FX58" t="e">
        <f>Nodes!C429+"'E4!$sZ"</f>
        <v>#VALUE!</v>
      </c>
      <c r="FY58" t="e">
        <f>Nodes!D429+"'E4!$s["</f>
        <v>#VALUE!</v>
      </c>
      <c r="FZ58" t="e">
        <f>Nodes!E429+"'E4!$s\"</f>
        <v>#VALUE!</v>
      </c>
      <c r="GA58" t="e">
        <f>Nodes!F429+"'E4!$s]"</f>
        <v>#VALUE!</v>
      </c>
      <c r="GB58" t="e">
        <f>Nodes!G429+"'E4!$s^"</f>
        <v>#VALUE!</v>
      </c>
      <c r="GC58" t="e">
        <f>Nodes!H429+"'E4!$s_"</f>
        <v>#VALUE!</v>
      </c>
      <c r="GD58" t="e">
        <f>Nodes!I429+"'E4!$s`"</f>
        <v>#VALUE!</v>
      </c>
      <c r="GE58" t="e">
        <f>Nodes!J429+"'E4!$sa"</f>
        <v>#VALUE!</v>
      </c>
      <c r="GF58" t="e">
        <f>Nodes!K429+"'E4!$sb"</f>
        <v>#VALUE!</v>
      </c>
      <c r="GG58" t="e">
        <f>Nodes!L429+"'E4!$sc"</f>
        <v>#VALUE!</v>
      </c>
      <c r="GH58" t="e">
        <f>Nodes!M429+"'E4!$sd"</f>
        <v>#VALUE!</v>
      </c>
      <c r="GI58" t="e">
        <f>Nodes!N429+"'E4!$se"</f>
        <v>#VALUE!</v>
      </c>
      <c r="GJ58" t="e">
        <f>Nodes!O429+"'E4!$sf"</f>
        <v>#VALUE!</v>
      </c>
      <c r="GK58" t="e">
        <f>Nodes!P429+"'E4!$sg"</f>
        <v>#VALUE!</v>
      </c>
      <c r="GL58" t="e">
        <f>Nodes!Q429+"'E4!$sh"</f>
        <v>#VALUE!</v>
      </c>
      <c r="GM58" t="e">
        <f>Nodes!R429+"'E4!$si"</f>
        <v>#VALUE!</v>
      </c>
      <c r="GN58" t="e">
        <f>Nodes!S429+"'E4!$sj"</f>
        <v>#VALUE!</v>
      </c>
      <c r="GO58" t="e">
        <f>Nodes!T429+"'E4!$sk"</f>
        <v>#VALUE!</v>
      </c>
      <c r="GP58" t="e">
        <f>Nodes!U429+"'E4!$sl"</f>
        <v>#VALUE!</v>
      </c>
      <c r="GQ58" t="e">
        <f>Nodes!V429+"'E4!$sm"</f>
        <v>#VALUE!</v>
      </c>
      <c r="GR58" t="e">
        <f>Nodes!W429+"'E4!$sn"</f>
        <v>#VALUE!</v>
      </c>
      <c r="GS58" t="e">
        <f>Nodes!X429+"'E4!$so"</f>
        <v>#VALUE!</v>
      </c>
      <c r="GT58" t="e">
        <f>Nodes!Y429+"'E4!$sp"</f>
        <v>#VALUE!</v>
      </c>
      <c r="GU58" t="e">
        <f>Nodes!Z429+"'E4!$sq"</f>
        <v>#VALUE!</v>
      </c>
      <c r="GV58" t="e">
        <f>Nodes!AA429+"'E4!$sr"</f>
        <v>#VALUE!</v>
      </c>
      <c r="GW58" t="e">
        <f>Nodes!AB429+"'E4!$ss"</f>
        <v>#VALUE!</v>
      </c>
      <c r="GX58" t="e">
        <f>Nodes!AC429+"'E4!$st"</f>
        <v>#VALUE!</v>
      </c>
      <c r="GY58" t="e">
        <f>Nodes!A430+"'E4!$su"</f>
        <v>#VALUE!</v>
      </c>
      <c r="GZ58" t="e">
        <f>Nodes!B430+"'E4!$sv"</f>
        <v>#VALUE!</v>
      </c>
      <c r="HA58" t="e">
        <f>Nodes!C430+"'E4!$sw"</f>
        <v>#VALUE!</v>
      </c>
      <c r="HB58" t="e">
        <f>Nodes!D430+"'E4!$sx"</f>
        <v>#VALUE!</v>
      </c>
      <c r="HC58" t="e">
        <f>Nodes!E430+"'E4!$sy"</f>
        <v>#VALUE!</v>
      </c>
      <c r="HD58" t="e">
        <f>Nodes!F430+"'E4!$sz"</f>
        <v>#VALUE!</v>
      </c>
      <c r="HE58" t="e">
        <f>Nodes!G430+"'E4!$s{"</f>
        <v>#VALUE!</v>
      </c>
      <c r="HF58" t="e">
        <f>Nodes!H430+"'E4!$s|"</f>
        <v>#VALUE!</v>
      </c>
      <c r="HG58" t="e">
        <f>Nodes!I430+"'E4!$s}"</f>
        <v>#VALUE!</v>
      </c>
      <c r="HH58" t="e">
        <f>Nodes!J430+"'E4!$s~"</f>
        <v>#VALUE!</v>
      </c>
      <c r="HI58" t="e">
        <f>Nodes!K430+"'E4!$t#"</f>
        <v>#VALUE!</v>
      </c>
      <c r="HJ58" t="e">
        <f>Nodes!L430+"'E4!$t$"</f>
        <v>#VALUE!</v>
      </c>
      <c r="HK58" t="e">
        <f>Nodes!M430+"'E4!$t%"</f>
        <v>#VALUE!</v>
      </c>
      <c r="HL58" t="e">
        <f>Nodes!N430+"'E4!$t&amp;"</f>
        <v>#VALUE!</v>
      </c>
      <c r="HM58" t="e">
        <f>Nodes!O430+"'E4!$t'"</f>
        <v>#VALUE!</v>
      </c>
      <c r="HN58" t="e">
        <f>Nodes!P430+"'E4!$t("</f>
        <v>#VALUE!</v>
      </c>
      <c r="HO58" t="e">
        <f>Nodes!Q430+"'E4!$t)"</f>
        <v>#VALUE!</v>
      </c>
      <c r="HP58" t="e">
        <f>Nodes!R430+"'E4!$t."</f>
        <v>#VALUE!</v>
      </c>
      <c r="HQ58" t="e">
        <f>Nodes!S430+"'E4!$t/"</f>
        <v>#VALUE!</v>
      </c>
      <c r="HR58" t="e">
        <f>Nodes!T430+"'E4!$t0"</f>
        <v>#VALUE!</v>
      </c>
      <c r="HS58" s="548" t="e">
        <f>Nodes!U430+"'E4!$t1"</f>
        <v>#VALUE!</v>
      </c>
      <c r="HT58" s="548" t="e">
        <f>Nodes!V430+"'E4!$t2"</f>
        <v>#VALUE!</v>
      </c>
      <c r="HU58" s="548" t="e">
        <f>Nodes!W430+"'E4!$t3"</f>
        <v>#VALUE!</v>
      </c>
      <c r="HV58" s="333" t="e">
        <f>Nodes!X430+"'E4!$t4"</f>
        <v>#VALUE!</v>
      </c>
      <c r="HW58" t="e">
        <f>Nodes!Y430+"'E4!$t5"</f>
        <v>#VALUE!</v>
      </c>
      <c r="HX58" t="e">
        <f>Nodes!Z430+"'E4!$t6"</f>
        <v>#VALUE!</v>
      </c>
      <c r="HY58" t="e">
        <f>Nodes!AA430+"'E4!$t7"</f>
        <v>#VALUE!</v>
      </c>
      <c r="HZ58" t="e">
        <f>Nodes!AB430+"'E4!$t8"</f>
        <v>#VALUE!</v>
      </c>
      <c r="IA58" t="e">
        <f>Nodes!AC430+"'E4!$t9"</f>
        <v>#VALUE!</v>
      </c>
      <c r="IB58" t="e">
        <f>Nodes!A431+"'E4!$t:"</f>
        <v>#VALUE!</v>
      </c>
      <c r="IC58" t="e">
        <f>Nodes!B431+"'E4!$t;"</f>
        <v>#VALUE!</v>
      </c>
      <c r="ID58" t="e">
        <f>Nodes!C431+"'E4!$t&lt;"</f>
        <v>#VALUE!</v>
      </c>
      <c r="IE58" t="e">
        <f>Nodes!D431+"'E4!$t="</f>
        <v>#VALUE!</v>
      </c>
      <c r="IF58" t="e">
        <f>Nodes!E431+"'E4!$t&gt;"</f>
        <v>#VALUE!</v>
      </c>
      <c r="IG58" t="e">
        <f>Nodes!F431+"'E4!$t?"</f>
        <v>#VALUE!</v>
      </c>
      <c r="IH58" t="e">
        <f>Nodes!G431+"'E4!$t@"</f>
        <v>#VALUE!</v>
      </c>
      <c r="II58" t="e">
        <f>Nodes!H431+"'E4!$tA"</f>
        <v>#VALUE!</v>
      </c>
      <c r="IJ58" t="e">
        <f>Nodes!I431+"'E4!$tB"</f>
        <v>#VALUE!</v>
      </c>
      <c r="IK58" t="e">
        <f>Nodes!J431+"'E4!$tC"</f>
        <v>#VALUE!</v>
      </c>
      <c r="IL58" t="e">
        <f>Nodes!K431+"'E4!$tD"</f>
        <v>#VALUE!</v>
      </c>
      <c r="IM58" t="e">
        <f>Nodes!L431+"'E4!$tE"</f>
        <v>#VALUE!</v>
      </c>
      <c r="IN58" t="e">
        <f>Nodes!M431+"'E4!$tF"</f>
        <v>#VALUE!</v>
      </c>
      <c r="IO58" t="e">
        <f>Nodes!N431+"'E4!$tG"</f>
        <v>#VALUE!</v>
      </c>
      <c r="IP58" t="e">
        <f>Nodes!O431+"'E4!$tH"</f>
        <v>#VALUE!</v>
      </c>
      <c r="IQ58" t="e">
        <f>Nodes!P431+"'E4!$tI"</f>
        <v>#VALUE!</v>
      </c>
      <c r="IR58" t="e">
        <f>Nodes!Q431+"'E4!$tJ"</f>
        <v>#VALUE!</v>
      </c>
      <c r="IS58" t="e">
        <f>Nodes!R431+"'E4!$tK"</f>
        <v>#VALUE!</v>
      </c>
      <c r="IT58" t="e">
        <f>Nodes!S431+"'E4!$tL"</f>
        <v>#VALUE!</v>
      </c>
      <c r="IU58" t="e">
        <f>Nodes!T431+"'E4!$tM"</f>
        <v>#VALUE!</v>
      </c>
      <c r="IV58" s="548" t="e">
        <f>Nodes!U431+"'E4!$tN"</f>
        <v>#VALUE!</v>
      </c>
    </row>
    <row r="59" spans="6:256">
      <c r="F59" s="548" t="e">
        <f>Nodes!V431+"'E4!$tO"</f>
        <v>#VALUE!</v>
      </c>
      <c r="G59" s="548" t="e">
        <f>Nodes!W431+"'E4!$tP"</f>
        <v>#VALUE!</v>
      </c>
      <c r="H59" s="333" t="e">
        <f>Nodes!X431+"'E4!$tQ"</f>
        <v>#VALUE!</v>
      </c>
      <c r="I59" t="e">
        <f>Nodes!Y431+"'E4!$tR"</f>
        <v>#VALUE!</v>
      </c>
      <c r="J59" t="e">
        <f>Nodes!Z431+"'E4!$tS"</f>
        <v>#VALUE!</v>
      </c>
      <c r="K59" t="e">
        <f>Nodes!AA431+"'E4!$tT"</f>
        <v>#VALUE!</v>
      </c>
      <c r="L59" t="e">
        <f>Nodes!AB431+"'E4!$tU"</f>
        <v>#VALUE!</v>
      </c>
      <c r="M59" t="e">
        <f>Nodes!AC431+"'E4!$tV"</f>
        <v>#VALUE!</v>
      </c>
      <c r="N59" t="e">
        <f>Nodes!A432+"'E4!$tW"</f>
        <v>#VALUE!</v>
      </c>
      <c r="O59" t="e">
        <f>Nodes!B432+"'E4!$tX"</f>
        <v>#VALUE!</v>
      </c>
      <c r="P59" t="e">
        <f>Nodes!C432+"'E4!$tY"</f>
        <v>#VALUE!</v>
      </c>
      <c r="Q59" t="e">
        <f>Nodes!D432+"'E4!$tZ"</f>
        <v>#VALUE!</v>
      </c>
      <c r="R59" t="e">
        <f>Nodes!E432+"'E4!$t["</f>
        <v>#VALUE!</v>
      </c>
      <c r="S59" t="e">
        <f>Nodes!F432+"'E4!$t\"</f>
        <v>#VALUE!</v>
      </c>
      <c r="T59" t="e">
        <f>Nodes!G432+"'E4!$t]"</f>
        <v>#VALUE!</v>
      </c>
      <c r="U59" t="e">
        <f>Nodes!H432+"'E4!$t^"</f>
        <v>#VALUE!</v>
      </c>
      <c r="V59" t="e">
        <f>Nodes!I432+"'E4!$t_"</f>
        <v>#VALUE!</v>
      </c>
      <c r="W59" t="e">
        <f>Nodes!J432+"'E4!$t`"</f>
        <v>#VALUE!</v>
      </c>
      <c r="X59" t="e">
        <f>Nodes!K432+"'E4!$ta"</f>
        <v>#VALUE!</v>
      </c>
      <c r="Y59" t="e">
        <f>Nodes!L432+"'E4!$tb"</f>
        <v>#VALUE!</v>
      </c>
      <c r="Z59" t="e">
        <f>Nodes!M432+"'E4!$tc"</f>
        <v>#VALUE!</v>
      </c>
      <c r="AA59" t="e">
        <f>Nodes!N432+"'E4!$td"</f>
        <v>#VALUE!</v>
      </c>
      <c r="AB59" t="e">
        <f>Nodes!O432+"'E4!$te"</f>
        <v>#VALUE!</v>
      </c>
      <c r="AC59" t="e">
        <f>Nodes!P432+"'E4!$tf"</f>
        <v>#VALUE!</v>
      </c>
      <c r="AD59" t="e">
        <f>Nodes!Q432+"'E4!$tg"</f>
        <v>#VALUE!</v>
      </c>
      <c r="AE59" t="e">
        <f>Nodes!R432+"'E4!$th"</f>
        <v>#VALUE!</v>
      </c>
      <c r="AF59" t="e">
        <f>Nodes!S432+"'E4!$ti"</f>
        <v>#VALUE!</v>
      </c>
      <c r="AG59" t="e">
        <f>Nodes!T432+"'E4!$tj"</f>
        <v>#VALUE!</v>
      </c>
      <c r="AH59" s="548" t="e">
        <f>Nodes!U432+"'E4!$tk"</f>
        <v>#VALUE!</v>
      </c>
      <c r="AI59" s="548" t="e">
        <f>Nodes!V432+"'E4!$tl"</f>
        <v>#VALUE!</v>
      </c>
      <c r="AJ59" s="548" t="e">
        <f>Nodes!W432+"'E4!$tm"</f>
        <v>#VALUE!</v>
      </c>
      <c r="AK59" s="333" t="e">
        <f>Nodes!X432+"'E4!$tn"</f>
        <v>#VALUE!</v>
      </c>
      <c r="AL59" t="e">
        <f>Nodes!Y432+"'E4!$to"</f>
        <v>#VALUE!</v>
      </c>
      <c r="AM59" t="e">
        <f>Nodes!Z432+"'E4!$tp"</f>
        <v>#VALUE!</v>
      </c>
      <c r="AN59" t="e">
        <f>Nodes!AA432+"'E4!$tq"</f>
        <v>#VALUE!</v>
      </c>
      <c r="AO59" t="e">
        <f>Nodes!AB432+"'E4!$tr"</f>
        <v>#VALUE!</v>
      </c>
      <c r="AP59" t="e">
        <f>Nodes!AC432+"'E4!$ts"</f>
        <v>#VALUE!</v>
      </c>
      <c r="AQ59" t="e">
        <f>Nodes!A433+"'E4!$tt"</f>
        <v>#VALUE!</v>
      </c>
      <c r="AR59" t="e">
        <f>Nodes!B433+"'E4!$tu"</f>
        <v>#VALUE!</v>
      </c>
      <c r="AS59" t="e">
        <f>Nodes!C433+"'E4!$tv"</f>
        <v>#VALUE!</v>
      </c>
      <c r="AT59" t="e">
        <f>Nodes!D433+"'E4!$tw"</f>
        <v>#VALUE!</v>
      </c>
      <c r="AU59" t="e">
        <f>Nodes!E433+"'E4!$tx"</f>
        <v>#VALUE!</v>
      </c>
      <c r="AV59" t="e">
        <f>Nodes!F433+"'E4!$ty"</f>
        <v>#VALUE!</v>
      </c>
      <c r="AW59" t="e">
        <f>Nodes!G433+"'E4!$tz"</f>
        <v>#VALUE!</v>
      </c>
      <c r="AX59" t="e">
        <f>Nodes!H433+"'E4!$t{"</f>
        <v>#VALUE!</v>
      </c>
      <c r="AY59" t="e">
        <f>Nodes!I433+"'E4!$t|"</f>
        <v>#VALUE!</v>
      </c>
      <c r="AZ59" t="e">
        <f>Nodes!J433+"'E4!$t}"</f>
        <v>#VALUE!</v>
      </c>
      <c r="BA59" t="e">
        <f>Nodes!K433+"'E4!$t~"</f>
        <v>#VALUE!</v>
      </c>
      <c r="BB59" t="e">
        <f>Nodes!L433+"'E4!$u#"</f>
        <v>#VALUE!</v>
      </c>
      <c r="BC59" t="e">
        <f>Nodes!M433+"'E4!$u$"</f>
        <v>#VALUE!</v>
      </c>
      <c r="BD59" t="e">
        <f>Nodes!N433+"'E4!$u%"</f>
        <v>#VALUE!</v>
      </c>
      <c r="BE59" t="e">
        <f>Nodes!O433+"'E4!$u&amp;"</f>
        <v>#VALUE!</v>
      </c>
      <c r="BF59" t="e">
        <f>Nodes!P433+"'E4!$u'"</f>
        <v>#VALUE!</v>
      </c>
      <c r="BG59" t="e">
        <f>Nodes!Q433+"'E4!$u("</f>
        <v>#VALUE!</v>
      </c>
      <c r="BH59" t="e">
        <f>Nodes!R433+"'E4!$u)"</f>
        <v>#VALUE!</v>
      </c>
      <c r="BI59" t="e">
        <f>Nodes!S433+"'E4!$u."</f>
        <v>#VALUE!</v>
      </c>
      <c r="BJ59" t="e">
        <f>Nodes!T433+"'E4!$u/"</f>
        <v>#VALUE!</v>
      </c>
      <c r="BK59" s="548" t="e">
        <f>Nodes!U433+"'E4!$u0"</f>
        <v>#VALUE!</v>
      </c>
      <c r="BL59" s="548" t="e">
        <f>Nodes!V433+"'E4!$u1"</f>
        <v>#VALUE!</v>
      </c>
      <c r="BM59" s="548" t="e">
        <f>Nodes!W433+"'E4!$u2"</f>
        <v>#VALUE!</v>
      </c>
      <c r="BN59" s="333" t="e">
        <f>Nodes!X433+"'E4!$u3"</f>
        <v>#VALUE!</v>
      </c>
      <c r="BO59" t="e">
        <f>Nodes!Y433+"'E4!$u4"</f>
        <v>#VALUE!</v>
      </c>
      <c r="BP59" t="e">
        <f>Nodes!Z433+"'E4!$u5"</f>
        <v>#VALUE!</v>
      </c>
      <c r="BQ59" t="e">
        <f>Nodes!AA433+"'E4!$u6"</f>
        <v>#VALUE!</v>
      </c>
      <c r="BR59" t="e">
        <f>Nodes!AB433+"'E4!$u7"</f>
        <v>#VALUE!</v>
      </c>
      <c r="BS59" t="e">
        <f>Nodes!AC433+"'E4!$u8"</f>
        <v>#VALUE!</v>
      </c>
      <c r="BT59" t="e">
        <f>Nodes!A434+"'E4!$u9"</f>
        <v>#VALUE!</v>
      </c>
      <c r="BU59" t="e">
        <f>Nodes!B434+"'E4!$u:"</f>
        <v>#VALUE!</v>
      </c>
      <c r="BV59" t="e">
        <f>Nodes!C434+"'E4!$u;"</f>
        <v>#VALUE!</v>
      </c>
      <c r="BW59" t="e">
        <f>Nodes!D434+"'E4!$u&lt;"</f>
        <v>#VALUE!</v>
      </c>
      <c r="BX59" t="e">
        <f>Nodes!E434+"'E4!$u="</f>
        <v>#VALUE!</v>
      </c>
      <c r="BY59" t="e">
        <f>Nodes!F434+"'E4!$u&gt;"</f>
        <v>#VALUE!</v>
      </c>
      <c r="BZ59" t="e">
        <f>Nodes!G434+"'E4!$u?"</f>
        <v>#VALUE!</v>
      </c>
      <c r="CA59" t="e">
        <f>Nodes!H434+"'E4!$u@"</f>
        <v>#VALUE!</v>
      </c>
      <c r="CB59" t="e">
        <f>Nodes!I434+"'E4!$uA"</f>
        <v>#VALUE!</v>
      </c>
      <c r="CC59" t="e">
        <f>Nodes!J434+"'E4!$uB"</f>
        <v>#VALUE!</v>
      </c>
      <c r="CD59" t="e">
        <f>Nodes!K434+"'E4!$uC"</f>
        <v>#VALUE!</v>
      </c>
      <c r="CE59" t="e">
        <f>Nodes!L434+"'E4!$uD"</f>
        <v>#VALUE!</v>
      </c>
      <c r="CF59" t="e">
        <f>Nodes!M434+"'E4!$uE"</f>
        <v>#VALUE!</v>
      </c>
      <c r="CG59" t="e">
        <f>Nodes!N434+"'E4!$uF"</f>
        <v>#VALUE!</v>
      </c>
      <c r="CH59" t="e">
        <f>Nodes!O434+"'E4!$uG"</f>
        <v>#VALUE!</v>
      </c>
      <c r="CI59" t="e">
        <f>Nodes!P434+"'E4!$uH"</f>
        <v>#VALUE!</v>
      </c>
      <c r="CJ59" t="e">
        <f>Nodes!Q434+"'E4!$uI"</f>
        <v>#VALUE!</v>
      </c>
      <c r="CK59" t="e">
        <f>Nodes!R434+"'E4!$uJ"</f>
        <v>#VALUE!</v>
      </c>
      <c r="CL59" t="e">
        <f>Nodes!S434+"'E4!$uK"</f>
        <v>#VALUE!</v>
      </c>
      <c r="CM59" t="e">
        <f>Nodes!T434+"'E4!$uL"</f>
        <v>#VALUE!</v>
      </c>
      <c r="CN59" s="548" t="e">
        <f>Nodes!U434+"'E4!$uM"</f>
        <v>#VALUE!</v>
      </c>
      <c r="CO59" s="548" t="e">
        <f>Nodes!V434+"'E4!$uN"</f>
        <v>#VALUE!</v>
      </c>
      <c r="CP59" s="548" t="e">
        <f>Nodes!W434+"'E4!$uO"</f>
        <v>#VALUE!</v>
      </c>
      <c r="CQ59" s="333" t="e">
        <f>Nodes!X434+"'E4!$uP"</f>
        <v>#VALUE!</v>
      </c>
      <c r="CR59" t="e">
        <f>Nodes!Y434+"'E4!$uQ"</f>
        <v>#VALUE!</v>
      </c>
      <c r="CS59" t="e">
        <f>Nodes!Z434+"'E4!$uR"</f>
        <v>#VALUE!</v>
      </c>
      <c r="CT59" t="e">
        <f>Nodes!AA434+"'E4!$uS"</f>
        <v>#VALUE!</v>
      </c>
      <c r="CU59" t="e">
        <f>Nodes!AB434+"'E4!$uT"</f>
        <v>#VALUE!</v>
      </c>
      <c r="CV59" t="e">
        <f>Nodes!AC434+"'E4!$uU"</f>
        <v>#VALUE!</v>
      </c>
      <c r="CW59" t="e">
        <f>Nodes!A435+"'E4!$uV"</f>
        <v>#VALUE!</v>
      </c>
      <c r="CX59" t="e">
        <f>Nodes!B435+"'E4!$uW"</f>
        <v>#VALUE!</v>
      </c>
      <c r="CY59" t="e">
        <f>Nodes!C435+"'E4!$uX"</f>
        <v>#VALUE!</v>
      </c>
      <c r="CZ59" t="e">
        <f>Nodes!D435+"'E4!$uY"</f>
        <v>#VALUE!</v>
      </c>
      <c r="DA59" t="e">
        <f>Nodes!E435+"'E4!$uZ"</f>
        <v>#VALUE!</v>
      </c>
      <c r="DB59" t="e">
        <f>Nodes!F435+"'E4!$u["</f>
        <v>#VALUE!</v>
      </c>
      <c r="DC59" t="e">
        <f>Nodes!G435+"'E4!$u\"</f>
        <v>#VALUE!</v>
      </c>
      <c r="DD59" t="e">
        <f>Nodes!H435+"'E4!$u]"</f>
        <v>#VALUE!</v>
      </c>
      <c r="DE59" t="e">
        <f>Nodes!I435+"'E4!$u^"</f>
        <v>#VALUE!</v>
      </c>
      <c r="DF59" t="e">
        <f>Nodes!J435+"'E4!$u_"</f>
        <v>#VALUE!</v>
      </c>
      <c r="DG59" t="e">
        <f>Nodes!K435+"'E4!$u`"</f>
        <v>#VALUE!</v>
      </c>
      <c r="DH59" t="e">
        <f>Nodes!L435+"'E4!$ua"</f>
        <v>#VALUE!</v>
      </c>
      <c r="DI59" t="e">
        <f>Nodes!M435+"'E4!$ub"</f>
        <v>#VALUE!</v>
      </c>
      <c r="DJ59" t="e">
        <f>Nodes!N435+"'E4!$uc"</f>
        <v>#VALUE!</v>
      </c>
      <c r="DK59" t="e">
        <f>Nodes!O435+"'E4!$ud"</f>
        <v>#VALUE!</v>
      </c>
      <c r="DL59" t="e">
        <f>Nodes!P435+"'E4!$ue"</f>
        <v>#VALUE!</v>
      </c>
      <c r="DM59" t="e">
        <f>Nodes!Q435+"'E4!$uf"</f>
        <v>#VALUE!</v>
      </c>
      <c r="DN59" t="e">
        <f>Nodes!R435+"'E4!$ug"</f>
        <v>#VALUE!</v>
      </c>
      <c r="DO59" t="e">
        <f>Nodes!S435+"'E4!$uh"</f>
        <v>#VALUE!</v>
      </c>
      <c r="DP59" t="e">
        <f>Nodes!T435+"'E4!$ui"</f>
        <v>#VALUE!</v>
      </c>
      <c r="DQ59" s="548" t="e">
        <f>Nodes!U435+"'E4!$uj"</f>
        <v>#VALUE!</v>
      </c>
      <c r="DR59" s="548" t="e">
        <f>Nodes!V435+"'E4!$uk"</f>
        <v>#VALUE!</v>
      </c>
      <c r="DS59" s="548" t="e">
        <f>Nodes!W435+"'E4!$ul"</f>
        <v>#VALUE!</v>
      </c>
      <c r="DT59" s="333" t="e">
        <f>Nodes!X435+"'E4!$um"</f>
        <v>#VALUE!</v>
      </c>
      <c r="DU59" t="e">
        <f>Nodes!Y435+"'E4!$un"</f>
        <v>#VALUE!</v>
      </c>
      <c r="DV59" t="e">
        <f>Nodes!Z435+"'E4!$uo"</f>
        <v>#VALUE!</v>
      </c>
      <c r="DW59" t="e">
        <f>Nodes!AA435+"'E4!$up"</f>
        <v>#VALUE!</v>
      </c>
      <c r="DX59" t="e">
        <f>Nodes!AB435+"'E4!$uq"</f>
        <v>#VALUE!</v>
      </c>
      <c r="DY59" t="e">
        <f>Nodes!AC435+"'E4!$ur"</f>
        <v>#VALUE!</v>
      </c>
      <c r="DZ59" t="e">
        <f>Nodes!A436+"'E4!$us"</f>
        <v>#VALUE!</v>
      </c>
      <c r="EA59" t="e">
        <f>Nodes!B436+"'E4!$ut"</f>
        <v>#VALUE!</v>
      </c>
      <c r="EB59" t="e">
        <f>Nodes!C436+"'E4!$uu"</f>
        <v>#VALUE!</v>
      </c>
      <c r="EC59" t="e">
        <f>Nodes!D436+"'E4!$uv"</f>
        <v>#VALUE!</v>
      </c>
      <c r="ED59" t="e">
        <f>Nodes!E436+"'E4!$uw"</f>
        <v>#VALUE!</v>
      </c>
      <c r="EE59" t="e">
        <f>Nodes!F436+"'E4!$ux"</f>
        <v>#VALUE!</v>
      </c>
      <c r="EF59" t="e">
        <f>Nodes!G436+"'E4!$uy"</f>
        <v>#VALUE!</v>
      </c>
      <c r="EG59" t="e">
        <f>Nodes!H436+"'E4!$uz"</f>
        <v>#VALUE!</v>
      </c>
      <c r="EH59" t="e">
        <f>Nodes!I436+"'E4!$u{"</f>
        <v>#VALUE!</v>
      </c>
      <c r="EI59" t="e">
        <f>Nodes!J436+"'E4!$u|"</f>
        <v>#VALUE!</v>
      </c>
      <c r="EJ59" t="e">
        <f>Nodes!K436+"'E4!$u}"</f>
        <v>#VALUE!</v>
      </c>
      <c r="EK59" t="e">
        <f>Nodes!L436+"'E4!$u~"</f>
        <v>#VALUE!</v>
      </c>
      <c r="EL59" t="e">
        <f>Nodes!M436+"'E4!$v#"</f>
        <v>#VALUE!</v>
      </c>
      <c r="EM59" t="e">
        <f>Nodes!N436+"'E4!$v$"</f>
        <v>#VALUE!</v>
      </c>
      <c r="EN59" t="e">
        <f>Nodes!O436+"'E4!$v%"</f>
        <v>#VALUE!</v>
      </c>
      <c r="EO59" t="e">
        <f>Nodes!P436+"'E4!$v&amp;"</f>
        <v>#VALUE!</v>
      </c>
      <c r="EP59" t="e">
        <f>Nodes!Q436+"'E4!$v'"</f>
        <v>#VALUE!</v>
      </c>
      <c r="EQ59" t="e">
        <f>Nodes!R436+"'E4!$v("</f>
        <v>#VALUE!</v>
      </c>
      <c r="ER59" t="e">
        <f>Nodes!S436+"'E4!$v)"</f>
        <v>#VALUE!</v>
      </c>
      <c r="ES59" t="e">
        <f>Nodes!T436+"'E4!$v."</f>
        <v>#VALUE!</v>
      </c>
      <c r="ET59" s="548" t="e">
        <f>Nodes!U436+"'E4!$v/"</f>
        <v>#VALUE!</v>
      </c>
      <c r="EU59" s="548" t="e">
        <f>Nodes!V436+"'E4!$v0"</f>
        <v>#VALUE!</v>
      </c>
      <c r="EV59" s="548" t="e">
        <f>Nodes!W436+"'E4!$v1"</f>
        <v>#VALUE!</v>
      </c>
      <c r="EW59" s="333" t="e">
        <f>Nodes!X436+"'E4!$v2"</f>
        <v>#VALUE!</v>
      </c>
      <c r="EX59" t="e">
        <f>Nodes!Y436+"'E4!$v3"</f>
        <v>#VALUE!</v>
      </c>
      <c r="EY59" t="e">
        <f>Nodes!Z436+"'E4!$v4"</f>
        <v>#VALUE!</v>
      </c>
      <c r="EZ59" t="e">
        <f>Nodes!AA436+"'E4!$v5"</f>
        <v>#VALUE!</v>
      </c>
      <c r="FA59" t="e">
        <f>Nodes!AB436+"'E4!$v6"</f>
        <v>#VALUE!</v>
      </c>
      <c r="FB59" t="e">
        <f>Nodes!AC436+"'E4!$v7"</f>
        <v>#VALUE!</v>
      </c>
      <c r="FC59" t="e">
        <f>Nodes!A437+"'E4!$v8"</f>
        <v>#VALUE!</v>
      </c>
      <c r="FD59" t="e">
        <f>Nodes!B437+"'E4!$v9"</f>
        <v>#VALUE!</v>
      </c>
      <c r="FE59" t="e">
        <f>Nodes!C437+"'E4!$v:"</f>
        <v>#VALUE!</v>
      </c>
      <c r="FF59" t="e">
        <f>Nodes!D437+"'E4!$v;"</f>
        <v>#VALUE!</v>
      </c>
      <c r="FG59" t="e">
        <f>Nodes!E437+"'E4!$v&lt;"</f>
        <v>#VALUE!</v>
      </c>
      <c r="FH59" t="e">
        <f>Nodes!F437+"'E4!$v="</f>
        <v>#VALUE!</v>
      </c>
      <c r="FI59" t="e">
        <f>Nodes!G437+"'E4!$v&gt;"</f>
        <v>#VALUE!</v>
      </c>
      <c r="FJ59" t="e">
        <f>Nodes!H437+"'E4!$v?"</f>
        <v>#VALUE!</v>
      </c>
      <c r="FK59" t="e">
        <f>Nodes!I437+"'E4!$v@"</f>
        <v>#VALUE!</v>
      </c>
      <c r="FL59" t="e">
        <f>Nodes!J437+"'E4!$vA"</f>
        <v>#VALUE!</v>
      </c>
      <c r="FM59" t="e">
        <f>Nodes!K437+"'E4!$vB"</f>
        <v>#VALUE!</v>
      </c>
      <c r="FN59" t="e">
        <f>Nodes!L437+"'E4!$vC"</f>
        <v>#VALUE!</v>
      </c>
      <c r="FO59" t="e">
        <f>Nodes!M437+"'E4!$vD"</f>
        <v>#VALUE!</v>
      </c>
      <c r="FP59" t="e">
        <f>Nodes!N437+"'E4!$vE"</f>
        <v>#VALUE!</v>
      </c>
      <c r="FQ59" t="e">
        <f>Nodes!O437+"'E4!$vF"</f>
        <v>#VALUE!</v>
      </c>
      <c r="FR59" t="e">
        <f>Nodes!P437+"'E4!$vG"</f>
        <v>#VALUE!</v>
      </c>
      <c r="FS59" t="e">
        <f>Nodes!Q437+"'E4!$vH"</f>
        <v>#VALUE!</v>
      </c>
      <c r="FT59" t="e">
        <f>Nodes!R437+"'E4!$vI"</f>
        <v>#VALUE!</v>
      </c>
      <c r="FU59" t="e">
        <f>Nodes!S437+"'E4!$vJ"</f>
        <v>#VALUE!</v>
      </c>
      <c r="FV59" t="e">
        <f>Nodes!T437+"'E4!$vK"</f>
        <v>#VALUE!</v>
      </c>
      <c r="FW59" s="548" t="e">
        <f>Nodes!U437+"'E4!$vL"</f>
        <v>#VALUE!</v>
      </c>
      <c r="FX59" s="548" t="e">
        <f>Nodes!V437+"'E4!$vM"</f>
        <v>#VALUE!</v>
      </c>
      <c r="FY59" s="548" t="e">
        <f>Nodes!W437+"'E4!$vN"</f>
        <v>#VALUE!</v>
      </c>
      <c r="FZ59" s="333" t="e">
        <f>Nodes!X437+"'E4!$vO"</f>
        <v>#VALUE!</v>
      </c>
      <c r="GA59" t="e">
        <f>Nodes!Y437+"'E4!$vP"</f>
        <v>#VALUE!</v>
      </c>
      <c r="GB59" t="e">
        <f>Nodes!Z437+"'E4!$vQ"</f>
        <v>#VALUE!</v>
      </c>
      <c r="GC59" t="e">
        <f>Nodes!AA437+"'E4!$vR"</f>
        <v>#VALUE!</v>
      </c>
      <c r="GD59" t="e">
        <f>Nodes!AB437+"'E4!$vS"</f>
        <v>#VALUE!</v>
      </c>
      <c r="GE59" t="e">
        <f>Nodes!AC437+"'E4!$vT"</f>
        <v>#VALUE!</v>
      </c>
      <c r="GF59" t="e">
        <f>Nodes!A438+"'E4!$vU"</f>
        <v>#VALUE!</v>
      </c>
      <c r="GG59" t="e">
        <f>Nodes!B438+"'E4!$vV"</f>
        <v>#VALUE!</v>
      </c>
      <c r="GH59" t="e">
        <f>Nodes!C438+"'E4!$vW"</f>
        <v>#VALUE!</v>
      </c>
      <c r="GI59" t="e">
        <f>Nodes!D438+"'E4!$vX"</f>
        <v>#VALUE!</v>
      </c>
      <c r="GJ59" t="e">
        <f>Nodes!E438+"'E4!$vY"</f>
        <v>#VALUE!</v>
      </c>
      <c r="GK59" t="e">
        <f>Nodes!F438+"'E4!$vZ"</f>
        <v>#VALUE!</v>
      </c>
      <c r="GL59" t="e">
        <f>Nodes!G438+"'E4!$v["</f>
        <v>#VALUE!</v>
      </c>
      <c r="GM59" t="e">
        <f>Nodes!H438+"'E4!$v\"</f>
        <v>#VALUE!</v>
      </c>
      <c r="GN59" t="e">
        <f>Nodes!I438+"'E4!$v]"</f>
        <v>#VALUE!</v>
      </c>
      <c r="GO59" t="e">
        <f>Nodes!J438+"'E4!$v^"</f>
        <v>#VALUE!</v>
      </c>
      <c r="GP59" t="e">
        <f>Nodes!K438+"'E4!$v_"</f>
        <v>#VALUE!</v>
      </c>
      <c r="GQ59" t="e">
        <f>Nodes!L438+"'E4!$v`"</f>
        <v>#VALUE!</v>
      </c>
      <c r="GR59" t="e">
        <f>Nodes!M438+"'E4!$va"</f>
        <v>#VALUE!</v>
      </c>
      <c r="GS59" t="e">
        <f>Nodes!N438+"'E4!$vb"</f>
        <v>#VALUE!</v>
      </c>
      <c r="GT59" t="e">
        <f>Nodes!O438+"'E4!$vc"</f>
        <v>#VALUE!</v>
      </c>
      <c r="GU59" t="e">
        <f>Nodes!P438+"'E4!$vd"</f>
        <v>#VALUE!</v>
      </c>
      <c r="GV59" t="e">
        <f>Nodes!Q438+"'E4!$ve"</f>
        <v>#VALUE!</v>
      </c>
      <c r="GW59" t="e">
        <f>Nodes!R438+"'E4!$vf"</f>
        <v>#VALUE!</v>
      </c>
      <c r="GX59" t="e">
        <f>Nodes!S438+"'E4!$vg"</f>
        <v>#VALUE!</v>
      </c>
      <c r="GY59" t="e">
        <f>Nodes!T438+"'E4!$vh"</f>
        <v>#VALUE!</v>
      </c>
      <c r="GZ59" s="548" t="e">
        <f>Nodes!U438+"'E4!$vi"</f>
        <v>#VALUE!</v>
      </c>
      <c r="HA59" s="548" t="e">
        <f>Nodes!V438+"'E4!$vj"</f>
        <v>#VALUE!</v>
      </c>
      <c r="HB59" s="548" t="e">
        <f>Nodes!W438+"'E4!$vk"</f>
        <v>#VALUE!</v>
      </c>
      <c r="HC59" s="333" t="e">
        <f>Nodes!X438+"'E4!$vl"</f>
        <v>#VALUE!</v>
      </c>
      <c r="HD59" t="e">
        <f>Nodes!Y438+"'E4!$vm"</f>
        <v>#VALUE!</v>
      </c>
      <c r="HE59" t="e">
        <f>Nodes!Z438+"'E4!$vn"</f>
        <v>#VALUE!</v>
      </c>
      <c r="HF59" t="e">
        <f>Nodes!AA438+"'E4!$vo"</f>
        <v>#VALUE!</v>
      </c>
      <c r="HG59" t="e">
        <f>Nodes!AB438+"'E4!$vp"</f>
        <v>#VALUE!</v>
      </c>
      <c r="HH59" t="e">
        <f>Nodes!AC438+"'E4!$vq"</f>
        <v>#VALUE!</v>
      </c>
      <c r="HI59" t="e">
        <f>Nodes!A439+"'E4!$vr"</f>
        <v>#VALUE!</v>
      </c>
      <c r="HJ59" t="e">
        <f>Nodes!B439+"'E4!$vs"</f>
        <v>#VALUE!</v>
      </c>
      <c r="HK59" t="e">
        <f>Nodes!C439+"'E4!$vt"</f>
        <v>#VALUE!</v>
      </c>
      <c r="HL59" t="e">
        <f>Nodes!D439+"'E4!$vu"</f>
        <v>#VALUE!</v>
      </c>
      <c r="HM59" t="e">
        <f>Nodes!E439+"'E4!$vv"</f>
        <v>#VALUE!</v>
      </c>
      <c r="HN59" t="e">
        <f>Nodes!F439+"'E4!$vw"</f>
        <v>#VALUE!</v>
      </c>
      <c r="HO59" t="e">
        <f>Nodes!G439+"'E4!$vx"</f>
        <v>#VALUE!</v>
      </c>
      <c r="HP59" t="e">
        <f>Nodes!H439+"'E4!$vy"</f>
        <v>#VALUE!</v>
      </c>
      <c r="HQ59" t="e">
        <f>Nodes!I439+"'E4!$vz"</f>
        <v>#VALUE!</v>
      </c>
      <c r="HR59" t="e">
        <f>Nodes!J439+"'E4!$v{"</f>
        <v>#VALUE!</v>
      </c>
      <c r="HS59" t="e">
        <f>Nodes!K439+"'E4!$v|"</f>
        <v>#VALUE!</v>
      </c>
      <c r="HT59" t="e">
        <f>Nodes!L439+"'E4!$v}"</f>
        <v>#VALUE!</v>
      </c>
      <c r="HU59" t="e">
        <f>Nodes!M439+"'E4!$v~"</f>
        <v>#VALUE!</v>
      </c>
      <c r="HV59" t="e">
        <f>Nodes!N439+"'E4!$w#"</f>
        <v>#VALUE!</v>
      </c>
      <c r="HW59" t="e">
        <f>Nodes!O439+"'E4!$w$"</f>
        <v>#VALUE!</v>
      </c>
      <c r="HX59" t="e">
        <f>Nodes!P439+"'E4!$w%"</f>
        <v>#VALUE!</v>
      </c>
      <c r="HY59" t="e">
        <f>Nodes!Q439+"'E4!$w&amp;"</f>
        <v>#VALUE!</v>
      </c>
      <c r="HZ59" t="e">
        <f>Nodes!R439+"'E4!$w'"</f>
        <v>#VALUE!</v>
      </c>
      <c r="IA59" t="e">
        <f>Nodes!S439+"'E4!$w("</f>
        <v>#VALUE!</v>
      </c>
      <c r="IB59" t="e">
        <f>Nodes!T439+"'E4!$w)"</f>
        <v>#VALUE!</v>
      </c>
      <c r="IC59" s="548" t="e">
        <f>Nodes!U439+"'E4!$w."</f>
        <v>#VALUE!</v>
      </c>
      <c r="ID59" s="548" t="e">
        <f>Nodes!V439+"'E4!$w/"</f>
        <v>#VALUE!</v>
      </c>
      <c r="IE59" s="548" t="e">
        <f>Nodes!W439+"'E4!$w0"</f>
        <v>#VALUE!</v>
      </c>
      <c r="IF59" s="333" t="e">
        <f>Nodes!X439+"'E4!$w1"</f>
        <v>#VALUE!</v>
      </c>
      <c r="IG59" t="e">
        <f>Nodes!Y439+"'E4!$w2"</f>
        <v>#VALUE!</v>
      </c>
      <c r="IH59" t="e">
        <f>Nodes!Z439+"'E4!$w3"</f>
        <v>#VALUE!</v>
      </c>
      <c r="II59" t="e">
        <f>Nodes!AA439+"'E4!$w4"</f>
        <v>#VALUE!</v>
      </c>
      <c r="IJ59" t="e">
        <f>Nodes!AB439+"'E4!$w5"</f>
        <v>#VALUE!</v>
      </c>
      <c r="IK59" t="e">
        <f>Nodes!AC439+"'E4!$w6"</f>
        <v>#VALUE!</v>
      </c>
      <c r="IL59" t="e">
        <f>Nodes!A440+"'E4!$w7"</f>
        <v>#VALUE!</v>
      </c>
      <c r="IM59" t="e">
        <f>Nodes!B440+"'E4!$w8"</f>
        <v>#VALUE!</v>
      </c>
      <c r="IN59" t="e">
        <f>Nodes!C440+"'E4!$w9"</f>
        <v>#VALUE!</v>
      </c>
      <c r="IO59" t="e">
        <f>Nodes!D440+"'E4!$w:"</f>
        <v>#VALUE!</v>
      </c>
      <c r="IP59" t="e">
        <f>Nodes!E440+"'E4!$w;"</f>
        <v>#VALUE!</v>
      </c>
      <c r="IQ59" t="e">
        <f>Nodes!F440+"'E4!$w&lt;"</f>
        <v>#VALUE!</v>
      </c>
      <c r="IR59" t="e">
        <f>Nodes!G440+"'E4!$w="</f>
        <v>#VALUE!</v>
      </c>
      <c r="IS59" t="e">
        <f>Nodes!H440+"'E4!$w&gt;"</f>
        <v>#VALUE!</v>
      </c>
      <c r="IT59" t="e">
        <f>Nodes!I440+"'E4!$w?"</f>
        <v>#VALUE!</v>
      </c>
      <c r="IU59" t="e">
        <f>Nodes!J440+"'E4!$w@"</f>
        <v>#VALUE!</v>
      </c>
      <c r="IV59" t="e">
        <f>Nodes!K440+"'E4!$wA"</f>
        <v>#VALUE!</v>
      </c>
    </row>
    <row r="60" spans="6:256">
      <c r="F60" t="e">
        <f>Nodes!L440+"'E4!$wB"</f>
        <v>#VALUE!</v>
      </c>
      <c r="G60" t="e">
        <f>Nodes!M440+"'E4!$wC"</f>
        <v>#VALUE!</v>
      </c>
      <c r="H60" t="e">
        <f>Nodes!N440+"'E4!$wD"</f>
        <v>#VALUE!</v>
      </c>
      <c r="I60" t="e">
        <f>Nodes!O440+"'E4!$wE"</f>
        <v>#VALUE!</v>
      </c>
      <c r="J60" t="e">
        <f>Nodes!P440+"'E4!$wF"</f>
        <v>#VALUE!</v>
      </c>
      <c r="K60" t="e">
        <f>Nodes!Q440+"'E4!$wG"</f>
        <v>#VALUE!</v>
      </c>
      <c r="L60" t="e">
        <f>Nodes!R440+"'E4!$wH"</f>
        <v>#VALUE!</v>
      </c>
      <c r="M60" t="e">
        <f>Nodes!S440+"'E4!$wI"</f>
        <v>#VALUE!</v>
      </c>
      <c r="N60" t="e">
        <f>Nodes!T440+"'E4!$wJ"</f>
        <v>#VALUE!</v>
      </c>
      <c r="O60" s="548" t="e">
        <f>Nodes!U440+"'E4!$wK"</f>
        <v>#VALUE!</v>
      </c>
      <c r="P60" s="548" t="e">
        <f>Nodes!V440+"'E4!$wL"</f>
        <v>#VALUE!</v>
      </c>
      <c r="Q60" s="548" t="e">
        <f>Nodes!W440+"'E4!$wM"</f>
        <v>#VALUE!</v>
      </c>
      <c r="R60" s="333" t="e">
        <f>Nodes!X440+"'E4!$wN"</f>
        <v>#VALUE!</v>
      </c>
      <c r="S60" t="e">
        <f>Nodes!Y440+"'E4!$wO"</f>
        <v>#VALUE!</v>
      </c>
      <c r="T60" t="e">
        <f>Nodes!Z440+"'E4!$wP"</f>
        <v>#VALUE!</v>
      </c>
      <c r="U60" t="e">
        <f>Nodes!AA440+"'E4!$wQ"</f>
        <v>#VALUE!</v>
      </c>
      <c r="V60" t="e">
        <f>Nodes!AB440+"'E4!$wR"</f>
        <v>#VALUE!</v>
      </c>
      <c r="W60" t="e">
        <f>Nodes!AC440+"'E4!$wS"</f>
        <v>#VALUE!</v>
      </c>
      <c r="X60" t="e">
        <f>Nodes!A441+"'E4!$wT"</f>
        <v>#VALUE!</v>
      </c>
      <c r="Y60" t="e">
        <f>Nodes!B441+"'E4!$wU"</f>
        <v>#VALUE!</v>
      </c>
      <c r="Z60" t="e">
        <f>Nodes!C441+"'E4!$wV"</f>
        <v>#VALUE!</v>
      </c>
      <c r="AA60" t="e">
        <f>Nodes!D441+"'E4!$wW"</f>
        <v>#VALUE!</v>
      </c>
      <c r="AB60" t="e">
        <f>Nodes!E441+"'E4!$wX"</f>
        <v>#VALUE!</v>
      </c>
      <c r="AC60" t="e">
        <f>Nodes!F441+"'E4!$wY"</f>
        <v>#VALUE!</v>
      </c>
      <c r="AD60" t="e">
        <f>Nodes!G441+"'E4!$wZ"</f>
        <v>#VALUE!</v>
      </c>
      <c r="AE60" t="e">
        <f>Nodes!H441+"'E4!$w["</f>
        <v>#VALUE!</v>
      </c>
      <c r="AF60" t="e">
        <f>Nodes!I441+"'E4!$w\"</f>
        <v>#VALUE!</v>
      </c>
      <c r="AG60" t="e">
        <f>Nodes!J441+"'E4!$w]"</f>
        <v>#VALUE!</v>
      </c>
      <c r="AH60" t="e">
        <f>Nodes!K441+"'E4!$w^"</f>
        <v>#VALUE!</v>
      </c>
      <c r="AI60" t="e">
        <f>Nodes!L441+"'E4!$w_"</f>
        <v>#VALUE!</v>
      </c>
      <c r="AJ60" t="e">
        <f>Nodes!M441+"'E4!$w`"</f>
        <v>#VALUE!</v>
      </c>
      <c r="AK60" t="e">
        <f>Nodes!N441+"'E4!$wa"</f>
        <v>#VALUE!</v>
      </c>
      <c r="AL60" t="e">
        <f>Nodes!O441+"'E4!$wb"</f>
        <v>#VALUE!</v>
      </c>
      <c r="AM60" t="e">
        <f>Nodes!P441+"'E4!$wc"</f>
        <v>#VALUE!</v>
      </c>
      <c r="AN60" t="e">
        <f>Nodes!Q441+"'E4!$wd"</f>
        <v>#VALUE!</v>
      </c>
      <c r="AO60" t="e">
        <f>Nodes!R441+"'E4!$we"</f>
        <v>#VALUE!</v>
      </c>
      <c r="AP60" t="e">
        <f>Nodes!S441+"'E4!$wf"</f>
        <v>#VALUE!</v>
      </c>
      <c r="AQ60" t="e">
        <f>Nodes!T441+"'E4!$wg"</f>
        <v>#VALUE!</v>
      </c>
      <c r="AR60" s="548" t="e">
        <f>Nodes!U441+"'E4!$wh"</f>
        <v>#VALUE!</v>
      </c>
      <c r="AS60" s="548" t="e">
        <f>Nodes!V441+"'E4!$wi"</f>
        <v>#VALUE!</v>
      </c>
      <c r="AT60" s="548" t="e">
        <f>Nodes!W441+"'E4!$wj"</f>
        <v>#VALUE!</v>
      </c>
      <c r="AU60" s="333" t="e">
        <f>Nodes!X441+"'E4!$wk"</f>
        <v>#VALUE!</v>
      </c>
      <c r="AV60" t="e">
        <f>Nodes!Y441+"'E4!$wl"</f>
        <v>#VALUE!</v>
      </c>
      <c r="AW60" t="e">
        <f>Nodes!Z441+"'E4!$wm"</f>
        <v>#VALUE!</v>
      </c>
      <c r="AX60" t="e">
        <f>Nodes!AA441+"'E4!$wn"</f>
        <v>#VALUE!</v>
      </c>
      <c r="AY60" t="e">
        <f>Nodes!AB441+"'E4!$wo"</f>
        <v>#VALUE!</v>
      </c>
      <c r="AZ60" t="e">
        <f>Nodes!AC441+"'E4!$wp"</f>
        <v>#VALUE!</v>
      </c>
      <c r="BA60" t="e">
        <f>Nodes!A442+"'E4!$wq"</f>
        <v>#VALUE!</v>
      </c>
      <c r="BB60" t="e">
        <f>Nodes!B442+"'E4!$wr"</f>
        <v>#VALUE!</v>
      </c>
      <c r="BC60" t="e">
        <f>Nodes!C442+"'E4!$ws"</f>
        <v>#VALUE!</v>
      </c>
      <c r="BD60" t="e">
        <f>Nodes!D442+"'E4!$wt"</f>
        <v>#VALUE!</v>
      </c>
      <c r="BE60" t="e">
        <f>Nodes!E442+"'E4!$wu"</f>
        <v>#VALUE!</v>
      </c>
      <c r="BF60" t="e">
        <f>Nodes!F442+"'E4!$wv"</f>
        <v>#VALUE!</v>
      </c>
      <c r="BG60" t="e">
        <f>Nodes!G442+"'E4!$ww"</f>
        <v>#VALUE!</v>
      </c>
      <c r="BH60" t="e">
        <f>Nodes!H442+"'E4!$wx"</f>
        <v>#VALUE!</v>
      </c>
      <c r="BI60" t="e">
        <f>Nodes!I442+"'E4!$wy"</f>
        <v>#VALUE!</v>
      </c>
      <c r="BJ60" t="e">
        <f>Nodes!J442+"'E4!$wz"</f>
        <v>#VALUE!</v>
      </c>
      <c r="BK60" t="e">
        <f>Nodes!K442+"'E4!$w{"</f>
        <v>#VALUE!</v>
      </c>
      <c r="BL60" t="e">
        <f>Nodes!L442+"'E4!$w|"</f>
        <v>#VALUE!</v>
      </c>
      <c r="BM60" t="e">
        <f>Nodes!M442+"'E4!$w}"</f>
        <v>#VALUE!</v>
      </c>
      <c r="BN60" t="e">
        <f>Nodes!N442+"'E4!$w~"</f>
        <v>#VALUE!</v>
      </c>
      <c r="BO60" t="e">
        <f>Nodes!O442+"'E4!$x#"</f>
        <v>#VALUE!</v>
      </c>
      <c r="BP60" t="e">
        <f>Nodes!P442+"'E4!$x$"</f>
        <v>#VALUE!</v>
      </c>
      <c r="BQ60" t="e">
        <f>Nodes!Q442+"'E4!$x%"</f>
        <v>#VALUE!</v>
      </c>
      <c r="BR60" t="e">
        <f>Nodes!R442+"'E4!$x&amp;"</f>
        <v>#VALUE!</v>
      </c>
      <c r="BS60" t="e">
        <f>Nodes!S442+"'E4!$x'"</f>
        <v>#VALUE!</v>
      </c>
      <c r="BT60" t="e">
        <f>Nodes!T442+"'E4!$x("</f>
        <v>#VALUE!</v>
      </c>
      <c r="BU60" s="548" t="e">
        <f>Nodes!U442+"'E4!$x)"</f>
        <v>#VALUE!</v>
      </c>
      <c r="BV60" s="548" t="e">
        <f>Nodes!V442+"'E4!$x."</f>
        <v>#VALUE!</v>
      </c>
      <c r="BW60" s="548" t="e">
        <f>Nodes!W442+"'E4!$x/"</f>
        <v>#VALUE!</v>
      </c>
      <c r="BX60" s="333" t="e">
        <f>Nodes!X442+"'E4!$x0"</f>
        <v>#VALUE!</v>
      </c>
      <c r="BY60" t="e">
        <f>Nodes!Y442+"'E4!$x1"</f>
        <v>#VALUE!</v>
      </c>
      <c r="BZ60" t="e">
        <f>Nodes!Z442+"'E4!$x2"</f>
        <v>#VALUE!</v>
      </c>
      <c r="CA60" t="e">
        <f>Nodes!AA442+"'E4!$x3"</f>
        <v>#VALUE!</v>
      </c>
      <c r="CB60" t="e">
        <f>Nodes!AB442+"'E4!$x4"</f>
        <v>#VALUE!</v>
      </c>
      <c r="CC60" t="e">
        <f>Nodes!AC442+"'E4!$x5"</f>
        <v>#VALUE!</v>
      </c>
      <c r="CD60" t="e">
        <f>Nodes!A443+"'E4!$x6"</f>
        <v>#VALUE!</v>
      </c>
      <c r="CE60" t="e">
        <f>Nodes!B443+"'E4!$x7"</f>
        <v>#VALUE!</v>
      </c>
      <c r="CF60" t="e">
        <f>Nodes!C443+"'E4!$x8"</f>
        <v>#VALUE!</v>
      </c>
      <c r="CG60" t="e">
        <f>Nodes!D443+"'E4!$x9"</f>
        <v>#VALUE!</v>
      </c>
      <c r="CH60" t="e">
        <f>Nodes!E443+"'E4!$x:"</f>
        <v>#VALUE!</v>
      </c>
      <c r="CI60" t="e">
        <f>Nodes!F443+"'E4!$x;"</f>
        <v>#VALUE!</v>
      </c>
      <c r="CJ60" t="e">
        <f>Nodes!G443+"'E4!$x&lt;"</f>
        <v>#VALUE!</v>
      </c>
      <c r="CK60" t="e">
        <f>Nodes!H443+"'E4!$x="</f>
        <v>#VALUE!</v>
      </c>
      <c r="CL60" t="e">
        <f>Nodes!I443+"'E4!$x&gt;"</f>
        <v>#VALUE!</v>
      </c>
      <c r="CM60" t="e">
        <f>Nodes!J443+"'E4!$x?"</f>
        <v>#VALUE!</v>
      </c>
      <c r="CN60" t="e">
        <f>Nodes!K443+"'E4!$x@"</f>
        <v>#VALUE!</v>
      </c>
      <c r="CO60" t="e">
        <f>Nodes!L443+"'E4!$xA"</f>
        <v>#VALUE!</v>
      </c>
      <c r="CP60" t="e">
        <f>Nodes!M443+"'E4!$xB"</f>
        <v>#VALUE!</v>
      </c>
      <c r="CQ60" t="e">
        <f>Nodes!N443+"'E4!$xC"</f>
        <v>#VALUE!</v>
      </c>
      <c r="CR60" t="e">
        <f>Nodes!O443+"'E4!$xD"</f>
        <v>#VALUE!</v>
      </c>
      <c r="CS60" t="e">
        <f>Nodes!P443+"'E4!$xE"</f>
        <v>#VALUE!</v>
      </c>
      <c r="CT60" t="e">
        <f>Nodes!Q443+"'E4!$xF"</f>
        <v>#VALUE!</v>
      </c>
      <c r="CU60" t="e">
        <f>Nodes!R443+"'E4!$xG"</f>
        <v>#VALUE!</v>
      </c>
      <c r="CV60" t="e">
        <f>Nodes!S443+"'E4!$xH"</f>
        <v>#VALUE!</v>
      </c>
      <c r="CW60" t="e">
        <f>Nodes!T443+"'E4!$xI"</f>
        <v>#VALUE!</v>
      </c>
      <c r="CX60" s="548" t="e">
        <f>Nodes!U443+"'E4!$xJ"</f>
        <v>#VALUE!</v>
      </c>
      <c r="CY60" s="548" t="e">
        <f>Nodes!V443+"'E4!$xK"</f>
        <v>#VALUE!</v>
      </c>
      <c r="CZ60" s="548" t="e">
        <f>Nodes!W443+"'E4!$xL"</f>
        <v>#VALUE!</v>
      </c>
      <c r="DA60" s="333" t="e">
        <f>Nodes!X443+"'E4!$xM"</f>
        <v>#VALUE!</v>
      </c>
      <c r="DB60" t="e">
        <f>Nodes!Y443+"'E4!$xN"</f>
        <v>#VALUE!</v>
      </c>
      <c r="DC60" t="e">
        <f>Nodes!Z443+"'E4!$xO"</f>
        <v>#VALUE!</v>
      </c>
      <c r="DD60" t="e">
        <f>Nodes!AA443+"'E4!$xP"</f>
        <v>#VALUE!</v>
      </c>
      <c r="DE60" t="e">
        <f>Nodes!AB443+"'E4!$xQ"</f>
        <v>#VALUE!</v>
      </c>
      <c r="DF60" t="e">
        <f>Nodes!AC443+"'E4!$xR"</f>
        <v>#VALUE!</v>
      </c>
      <c r="DG60" t="e">
        <f>Nodes!A444+"'E4!$xS"</f>
        <v>#VALUE!</v>
      </c>
      <c r="DH60" t="e">
        <f>Nodes!B444+"'E4!$xT"</f>
        <v>#VALUE!</v>
      </c>
      <c r="DI60" t="e">
        <f>Nodes!C444+"'E4!$xU"</f>
        <v>#VALUE!</v>
      </c>
      <c r="DJ60" t="e">
        <f>Nodes!D444+"'E4!$xV"</f>
        <v>#VALUE!</v>
      </c>
      <c r="DK60" t="e">
        <f>Nodes!E444+"'E4!$xW"</f>
        <v>#VALUE!</v>
      </c>
      <c r="DL60" t="e">
        <f>Nodes!F444+"'E4!$xX"</f>
        <v>#VALUE!</v>
      </c>
      <c r="DM60" t="e">
        <f>Nodes!G444+"'E4!$xY"</f>
        <v>#VALUE!</v>
      </c>
      <c r="DN60" t="e">
        <f>Nodes!H444+"'E4!$xZ"</f>
        <v>#VALUE!</v>
      </c>
      <c r="DO60" t="e">
        <f>Nodes!I444+"'E4!$x["</f>
        <v>#VALUE!</v>
      </c>
      <c r="DP60" t="e">
        <f>Nodes!J444+"'E4!$x\"</f>
        <v>#VALUE!</v>
      </c>
      <c r="DQ60" t="e">
        <f>Nodes!K444+"'E4!$x]"</f>
        <v>#VALUE!</v>
      </c>
      <c r="DR60" t="e">
        <f>Nodes!L444+"'E4!$x^"</f>
        <v>#VALUE!</v>
      </c>
      <c r="DS60" t="e">
        <f>Nodes!M444+"'E4!$x_"</f>
        <v>#VALUE!</v>
      </c>
      <c r="DT60" t="e">
        <f>Nodes!N444+"'E4!$x`"</f>
        <v>#VALUE!</v>
      </c>
      <c r="DU60" t="e">
        <f>Nodes!O444+"'E4!$xa"</f>
        <v>#VALUE!</v>
      </c>
      <c r="DV60" t="e">
        <f>Nodes!P444+"'E4!$xb"</f>
        <v>#VALUE!</v>
      </c>
      <c r="DW60" t="e">
        <f>Nodes!Q444+"'E4!$xc"</f>
        <v>#VALUE!</v>
      </c>
      <c r="DX60" t="e">
        <f>Nodes!R444+"'E4!$xd"</f>
        <v>#VALUE!</v>
      </c>
      <c r="DY60" t="e">
        <f>Nodes!S444+"'E4!$xe"</f>
        <v>#VALUE!</v>
      </c>
      <c r="DZ60" t="e">
        <f>Nodes!T444+"'E4!$xf"</f>
        <v>#VALUE!</v>
      </c>
      <c r="EA60" s="548" t="e">
        <f>Nodes!U444+"'E4!$xg"</f>
        <v>#VALUE!</v>
      </c>
      <c r="EB60" s="548" t="e">
        <f>Nodes!V444+"'E4!$xh"</f>
        <v>#VALUE!</v>
      </c>
      <c r="EC60" s="548" t="e">
        <f>Nodes!W444+"'E4!$xi"</f>
        <v>#VALUE!</v>
      </c>
      <c r="ED60" s="333" t="e">
        <f>Nodes!X444+"'E4!$xj"</f>
        <v>#VALUE!</v>
      </c>
      <c r="EE60" t="e">
        <f>Nodes!Y444+"'E4!$xk"</f>
        <v>#VALUE!</v>
      </c>
      <c r="EF60" t="e">
        <f>Nodes!Z444+"'E4!$xl"</f>
        <v>#VALUE!</v>
      </c>
      <c r="EG60" t="e">
        <f>Nodes!AA444+"'E4!$xm"</f>
        <v>#VALUE!</v>
      </c>
      <c r="EH60" t="e">
        <f>Nodes!AB444+"'E4!$xn"</f>
        <v>#VALUE!</v>
      </c>
      <c r="EI60" t="e">
        <f>Nodes!AC444+"'E4!$xo"</f>
        <v>#VALUE!</v>
      </c>
      <c r="EJ60" t="e">
        <f>Nodes!A445+"'E4!$xp"</f>
        <v>#VALUE!</v>
      </c>
      <c r="EK60" t="e">
        <f>Nodes!B445+"'E4!$xq"</f>
        <v>#VALUE!</v>
      </c>
      <c r="EL60" t="e">
        <f>Nodes!C445+"'E4!$xr"</f>
        <v>#VALUE!</v>
      </c>
      <c r="EM60" t="e">
        <f>Nodes!D445+"'E4!$xs"</f>
        <v>#VALUE!</v>
      </c>
      <c r="EN60" t="e">
        <f>Nodes!E445+"'E4!$xt"</f>
        <v>#VALUE!</v>
      </c>
      <c r="EO60" t="e">
        <f>Nodes!F445+"'E4!$xu"</f>
        <v>#VALUE!</v>
      </c>
      <c r="EP60" t="e">
        <f>Nodes!G445+"'E4!$xv"</f>
        <v>#VALUE!</v>
      </c>
      <c r="EQ60" t="e">
        <f>Nodes!H445+"'E4!$xw"</f>
        <v>#VALUE!</v>
      </c>
      <c r="ER60" t="e">
        <f>Nodes!I445+"'E4!$xx"</f>
        <v>#VALUE!</v>
      </c>
      <c r="ES60" t="e">
        <f>Nodes!J445+"'E4!$xy"</f>
        <v>#VALUE!</v>
      </c>
      <c r="ET60" t="e">
        <f>Nodes!K445+"'E4!$xz"</f>
        <v>#VALUE!</v>
      </c>
      <c r="EU60" t="e">
        <f>Nodes!L445+"'E4!$x{"</f>
        <v>#VALUE!</v>
      </c>
      <c r="EV60" t="e">
        <f>Nodes!M445+"'E4!$x|"</f>
        <v>#VALUE!</v>
      </c>
      <c r="EW60" t="e">
        <f>Nodes!N445+"'E4!$x}"</f>
        <v>#VALUE!</v>
      </c>
      <c r="EX60" t="e">
        <f>Nodes!O445+"'E4!$x~"</f>
        <v>#VALUE!</v>
      </c>
      <c r="EY60" t="e">
        <f>Nodes!P445+"'E4!$y#"</f>
        <v>#VALUE!</v>
      </c>
      <c r="EZ60" t="e">
        <f>Nodes!Q445+"'E4!$y$"</f>
        <v>#VALUE!</v>
      </c>
      <c r="FA60" t="e">
        <f>Nodes!R445+"'E4!$y%"</f>
        <v>#VALUE!</v>
      </c>
      <c r="FB60" t="e">
        <f>Nodes!S445+"'E4!$y&amp;"</f>
        <v>#VALUE!</v>
      </c>
      <c r="FC60" t="e">
        <f>Nodes!T445+"'E4!$y'"</f>
        <v>#VALUE!</v>
      </c>
      <c r="FD60" s="548" t="e">
        <f>Nodes!U445+"'E4!$y("</f>
        <v>#VALUE!</v>
      </c>
      <c r="FE60" s="548" t="e">
        <f>Nodes!V445+"'E4!$y)"</f>
        <v>#VALUE!</v>
      </c>
      <c r="FF60" s="548" t="e">
        <f>Nodes!W445+"'E4!$y."</f>
        <v>#VALUE!</v>
      </c>
      <c r="FG60" s="333" t="e">
        <f>Nodes!X445+"'E4!$y/"</f>
        <v>#VALUE!</v>
      </c>
      <c r="FH60" t="e">
        <f>Nodes!Y445+"'E4!$y0"</f>
        <v>#VALUE!</v>
      </c>
      <c r="FI60" t="e">
        <f>Nodes!Z445+"'E4!$y1"</f>
        <v>#VALUE!</v>
      </c>
      <c r="FJ60" t="e">
        <f>Nodes!AA445+"'E4!$y2"</f>
        <v>#VALUE!</v>
      </c>
      <c r="FK60" t="e">
        <f>Nodes!AB445+"'E4!$y3"</f>
        <v>#VALUE!</v>
      </c>
      <c r="FL60" t="e">
        <f>Nodes!AC445+"'E4!$y4"</f>
        <v>#VALUE!</v>
      </c>
      <c r="FM60" t="e">
        <f>Nodes!A446+"'E4!$y5"</f>
        <v>#VALUE!</v>
      </c>
      <c r="FN60" t="e">
        <f>Nodes!B446+"'E4!$y6"</f>
        <v>#VALUE!</v>
      </c>
      <c r="FO60" t="e">
        <f>Nodes!C446+"'E4!$y7"</f>
        <v>#VALUE!</v>
      </c>
      <c r="FP60" t="e">
        <f>Nodes!D446+"'E4!$y8"</f>
        <v>#VALUE!</v>
      </c>
      <c r="FQ60" t="e">
        <f>Nodes!E446+"'E4!$y9"</f>
        <v>#VALUE!</v>
      </c>
      <c r="FR60" t="e">
        <f>Nodes!F446+"'E4!$y:"</f>
        <v>#VALUE!</v>
      </c>
      <c r="FS60" t="e">
        <f>Nodes!G446+"'E4!$y;"</f>
        <v>#VALUE!</v>
      </c>
      <c r="FT60" t="e">
        <f>Nodes!H446+"'E4!$y&lt;"</f>
        <v>#VALUE!</v>
      </c>
      <c r="FU60" t="e">
        <f>Nodes!I446+"'E4!$y="</f>
        <v>#VALUE!</v>
      </c>
      <c r="FV60" t="e">
        <f>Nodes!J446+"'E4!$y&gt;"</f>
        <v>#VALUE!</v>
      </c>
      <c r="FW60" t="e">
        <f>Nodes!K446+"'E4!$y?"</f>
        <v>#VALUE!</v>
      </c>
      <c r="FX60" t="e">
        <f>Nodes!L446+"'E4!$y@"</f>
        <v>#VALUE!</v>
      </c>
      <c r="FY60" t="e">
        <f>Nodes!M446+"'E4!$yA"</f>
        <v>#VALUE!</v>
      </c>
      <c r="FZ60" t="e">
        <f>Nodes!N446+"'E4!$yB"</f>
        <v>#VALUE!</v>
      </c>
      <c r="GA60" t="e">
        <f>Nodes!O446+"'E4!$yC"</f>
        <v>#VALUE!</v>
      </c>
      <c r="GB60" t="e">
        <f>Nodes!P446+"'E4!$yD"</f>
        <v>#VALUE!</v>
      </c>
      <c r="GC60" t="e">
        <f>Nodes!Q446+"'E4!$yE"</f>
        <v>#VALUE!</v>
      </c>
      <c r="GD60" t="e">
        <f>Nodes!R446+"'E4!$yF"</f>
        <v>#VALUE!</v>
      </c>
      <c r="GE60" t="e">
        <f>Nodes!S446+"'E4!$yG"</f>
        <v>#VALUE!</v>
      </c>
      <c r="GF60" t="e">
        <f>Nodes!T446+"'E4!$yH"</f>
        <v>#VALUE!</v>
      </c>
      <c r="GG60" s="548" t="e">
        <f>Nodes!U446+"'E4!$yI"</f>
        <v>#VALUE!</v>
      </c>
      <c r="GH60" s="548" t="e">
        <f>Nodes!V446+"'E4!$yJ"</f>
        <v>#VALUE!</v>
      </c>
      <c r="GI60" s="548" t="e">
        <f>Nodes!W446+"'E4!$yK"</f>
        <v>#VALUE!</v>
      </c>
      <c r="GJ60" s="333" t="e">
        <f>Nodes!X446+"'E4!$yL"</f>
        <v>#VALUE!</v>
      </c>
      <c r="GK60" t="e">
        <f>Nodes!Y446+"'E4!$yM"</f>
        <v>#VALUE!</v>
      </c>
      <c r="GL60" t="e">
        <f>Nodes!Z446+"'E4!$yN"</f>
        <v>#VALUE!</v>
      </c>
      <c r="GM60" t="e">
        <f>Nodes!AA446+"'E4!$yO"</f>
        <v>#VALUE!</v>
      </c>
      <c r="GN60" t="e">
        <f>Nodes!AB446+"'E4!$yP"</f>
        <v>#VALUE!</v>
      </c>
      <c r="GO60" t="e">
        <f>Nodes!AC446+"'E4!$yQ"</f>
        <v>#VALUE!</v>
      </c>
      <c r="GP60" t="e">
        <f>Nodes!A447+"'E4!$yR"</f>
        <v>#VALUE!</v>
      </c>
      <c r="GQ60" t="e">
        <f>Nodes!B447+"'E4!$yS"</f>
        <v>#VALUE!</v>
      </c>
      <c r="GR60" t="e">
        <f>Nodes!C447+"'E4!$yT"</f>
        <v>#VALUE!</v>
      </c>
      <c r="GS60" t="e">
        <f>Nodes!D447+"'E4!$yU"</f>
        <v>#VALUE!</v>
      </c>
      <c r="GT60" t="e">
        <f>Nodes!E447+"'E4!$yV"</f>
        <v>#VALUE!</v>
      </c>
      <c r="GU60" t="e">
        <f>Nodes!F447+"'E4!$yW"</f>
        <v>#VALUE!</v>
      </c>
      <c r="GV60" t="e">
        <f>Nodes!G447+"'E4!$yX"</f>
        <v>#VALUE!</v>
      </c>
      <c r="GW60" t="e">
        <f>Nodes!H447+"'E4!$yY"</f>
        <v>#VALUE!</v>
      </c>
      <c r="GX60" t="e">
        <f>Nodes!I447+"'E4!$yZ"</f>
        <v>#VALUE!</v>
      </c>
      <c r="GY60" t="e">
        <f>Nodes!J447+"'E4!$y["</f>
        <v>#VALUE!</v>
      </c>
      <c r="GZ60" t="e">
        <f>Nodes!K447+"'E4!$y\"</f>
        <v>#VALUE!</v>
      </c>
      <c r="HA60" t="e">
        <f>Nodes!L447+"'E4!$y]"</f>
        <v>#VALUE!</v>
      </c>
      <c r="HB60" t="e">
        <f>Nodes!M447+"'E4!$y^"</f>
        <v>#VALUE!</v>
      </c>
      <c r="HC60" t="e">
        <f>Nodes!N447+"'E4!$y_"</f>
        <v>#VALUE!</v>
      </c>
      <c r="HD60" t="e">
        <f>Nodes!O447+"'E4!$y`"</f>
        <v>#VALUE!</v>
      </c>
      <c r="HE60" t="e">
        <f>Nodes!P447+"'E4!$ya"</f>
        <v>#VALUE!</v>
      </c>
      <c r="HF60" t="e">
        <f>Nodes!Q447+"'E4!$yb"</f>
        <v>#VALUE!</v>
      </c>
      <c r="HG60" t="e">
        <f>Nodes!R447+"'E4!$yc"</f>
        <v>#VALUE!</v>
      </c>
      <c r="HH60" t="e">
        <f>Nodes!S447+"'E4!$yd"</f>
        <v>#VALUE!</v>
      </c>
      <c r="HI60" t="e">
        <f>Nodes!T447+"'E4!$ye"</f>
        <v>#VALUE!</v>
      </c>
      <c r="HJ60" s="548" t="e">
        <f>Nodes!U447+"'E4!$yf"</f>
        <v>#VALUE!</v>
      </c>
      <c r="HK60" s="548" t="e">
        <f>Nodes!V447+"'E4!$yg"</f>
        <v>#VALUE!</v>
      </c>
      <c r="HL60" s="548" t="e">
        <f>Nodes!W447+"'E4!$yh"</f>
        <v>#VALUE!</v>
      </c>
      <c r="HM60" s="333" t="e">
        <f>Nodes!X447+"'E4!$yi"</f>
        <v>#VALUE!</v>
      </c>
      <c r="HN60" t="e">
        <f>Nodes!Y447+"'E4!$yj"</f>
        <v>#VALUE!</v>
      </c>
      <c r="HO60" t="e">
        <f>Nodes!Z447+"'E4!$yk"</f>
        <v>#VALUE!</v>
      </c>
      <c r="HP60" t="e">
        <f>Nodes!AA447+"'E4!$yl"</f>
        <v>#VALUE!</v>
      </c>
      <c r="HQ60" t="e">
        <f>Nodes!AB447+"'E4!$ym"</f>
        <v>#VALUE!</v>
      </c>
      <c r="HR60" t="e">
        <f>Nodes!AC447+"'E4!$yn"</f>
        <v>#VALUE!</v>
      </c>
      <c r="HS60" t="e">
        <f>Nodes!A448+"'E4!$yo"</f>
        <v>#VALUE!</v>
      </c>
      <c r="HT60" t="e">
        <f>Nodes!B448+"'E4!$yp"</f>
        <v>#VALUE!</v>
      </c>
      <c r="HU60" t="e">
        <f>Nodes!C448+"'E4!$yq"</f>
        <v>#VALUE!</v>
      </c>
      <c r="HV60" t="e">
        <f>Nodes!D448+"'E4!$yr"</f>
        <v>#VALUE!</v>
      </c>
      <c r="HW60" t="e">
        <f>Nodes!E448+"'E4!$ys"</f>
        <v>#VALUE!</v>
      </c>
      <c r="HX60" t="e">
        <f>Nodes!F448+"'E4!$yt"</f>
        <v>#VALUE!</v>
      </c>
      <c r="HY60" t="e">
        <f>Nodes!G448+"'E4!$yu"</f>
        <v>#VALUE!</v>
      </c>
      <c r="HZ60" t="e">
        <f>Nodes!H448+"'E4!$yv"</f>
        <v>#VALUE!</v>
      </c>
      <c r="IA60" t="e">
        <f>Nodes!I448+"'E4!$yw"</f>
        <v>#VALUE!</v>
      </c>
      <c r="IB60" t="e">
        <f>Nodes!J448+"'E4!$yx"</f>
        <v>#VALUE!</v>
      </c>
      <c r="IC60" t="e">
        <f>Nodes!K448+"'E4!$yy"</f>
        <v>#VALUE!</v>
      </c>
      <c r="ID60" t="e">
        <f>Nodes!L448+"'E4!$yz"</f>
        <v>#VALUE!</v>
      </c>
      <c r="IE60" t="e">
        <f>Nodes!M448+"'E4!$y{"</f>
        <v>#VALUE!</v>
      </c>
      <c r="IF60" t="e">
        <f>Nodes!N448+"'E4!$y|"</f>
        <v>#VALUE!</v>
      </c>
      <c r="IG60" t="e">
        <f>Nodes!O448+"'E4!$y}"</f>
        <v>#VALUE!</v>
      </c>
      <c r="IH60" t="e">
        <f>Nodes!P448+"'E4!$y~"</f>
        <v>#VALUE!</v>
      </c>
      <c r="II60" t="e">
        <f>Nodes!Q448+"'E4!$z#"</f>
        <v>#VALUE!</v>
      </c>
      <c r="IJ60" t="e">
        <f>Nodes!R448+"'E4!$z$"</f>
        <v>#VALUE!</v>
      </c>
      <c r="IK60" t="e">
        <f>Nodes!S448+"'E4!$z%"</f>
        <v>#VALUE!</v>
      </c>
      <c r="IL60" t="e">
        <f>Nodes!T448+"'E4!$z&amp;"</f>
        <v>#VALUE!</v>
      </c>
      <c r="IM60" s="548" t="e">
        <f>Nodes!U448+"'E4!$z'"</f>
        <v>#VALUE!</v>
      </c>
      <c r="IN60" s="548" t="e">
        <f>Nodes!V448+"'E4!$z("</f>
        <v>#VALUE!</v>
      </c>
      <c r="IO60" s="548" t="e">
        <f>Nodes!W448+"'E4!$z)"</f>
        <v>#VALUE!</v>
      </c>
      <c r="IP60" s="333" t="e">
        <f>Nodes!X448+"'E4!$z."</f>
        <v>#VALUE!</v>
      </c>
      <c r="IQ60" t="e">
        <f>Nodes!Y448+"'E4!$z/"</f>
        <v>#VALUE!</v>
      </c>
      <c r="IR60" t="e">
        <f>Nodes!Z448+"'E4!$z0"</f>
        <v>#VALUE!</v>
      </c>
      <c r="IS60" t="e">
        <f>Nodes!AA448+"'E4!$z1"</f>
        <v>#VALUE!</v>
      </c>
      <c r="IT60" t="e">
        <f>Nodes!AB448+"'E4!$z2"</f>
        <v>#VALUE!</v>
      </c>
      <c r="IU60" t="e">
        <f>Nodes!AC448+"'E4!$z3"</f>
        <v>#VALUE!</v>
      </c>
      <c r="IV60" t="e">
        <f>Nodes!A449+"'E4!$z4"</f>
        <v>#VALUE!</v>
      </c>
    </row>
    <row r="61" spans="6:256">
      <c r="F61" t="e">
        <f>Nodes!B449+"'E4!$z5"</f>
        <v>#VALUE!</v>
      </c>
      <c r="G61" t="e">
        <f>Nodes!C449+"'E4!$z6"</f>
        <v>#VALUE!</v>
      </c>
      <c r="H61" t="e">
        <f>Nodes!D449+"'E4!$z7"</f>
        <v>#VALUE!</v>
      </c>
      <c r="I61" t="e">
        <f>Nodes!E449+"'E4!$z8"</f>
        <v>#VALUE!</v>
      </c>
      <c r="J61" t="e">
        <f>Nodes!F449+"'E4!$z9"</f>
        <v>#VALUE!</v>
      </c>
      <c r="K61" t="e">
        <f>Nodes!G449+"'E4!$z:"</f>
        <v>#VALUE!</v>
      </c>
      <c r="L61" t="e">
        <f>Nodes!H449+"'E4!$z;"</f>
        <v>#VALUE!</v>
      </c>
      <c r="M61" t="e">
        <f>Nodes!I449+"'E4!$z&lt;"</f>
        <v>#VALUE!</v>
      </c>
      <c r="N61" t="e">
        <f>Nodes!J449+"'E4!$z="</f>
        <v>#VALUE!</v>
      </c>
      <c r="O61" t="e">
        <f>Nodes!K449+"'E4!$z&gt;"</f>
        <v>#VALUE!</v>
      </c>
      <c r="P61" t="e">
        <f>Nodes!L449+"'E4!$z?"</f>
        <v>#VALUE!</v>
      </c>
      <c r="Q61" t="e">
        <f>Nodes!M449+"'E4!$z@"</f>
        <v>#VALUE!</v>
      </c>
      <c r="R61" t="e">
        <f>Nodes!N449+"'E4!$zA"</f>
        <v>#VALUE!</v>
      </c>
      <c r="S61" t="e">
        <f>Nodes!O449+"'E4!$zB"</f>
        <v>#VALUE!</v>
      </c>
      <c r="T61" t="e">
        <f>Nodes!P449+"'E4!$zC"</f>
        <v>#VALUE!</v>
      </c>
      <c r="U61" t="e">
        <f>Nodes!Q449+"'E4!$zD"</f>
        <v>#VALUE!</v>
      </c>
      <c r="V61" t="e">
        <f>Nodes!R449+"'E4!$zE"</f>
        <v>#VALUE!</v>
      </c>
      <c r="W61" t="e">
        <f>Nodes!S449+"'E4!$zF"</f>
        <v>#VALUE!</v>
      </c>
      <c r="X61" t="e">
        <f>Nodes!T449+"'E4!$zG"</f>
        <v>#VALUE!</v>
      </c>
      <c r="Y61" s="548" t="e">
        <f>Nodes!U449+"'E4!$zH"</f>
        <v>#VALUE!</v>
      </c>
      <c r="Z61" s="548" t="e">
        <f>Nodes!V449+"'E4!$zI"</f>
        <v>#VALUE!</v>
      </c>
      <c r="AA61" s="548" t="e">
        <f>Nodes!W449+"'E4!$zJ"</f>
        <v>#VALUE!</v>
      </c>
      <c r="AB61" s="333" t="e">
        <f>Nodes!X449+"'E4!$zK"</f>
        <v>#VALUE!</v>
      </c>
      <c r="AC61" t="e">
        <f>Nodes!Y449+"'E4!$zL"</f>
        <v>#VALUE!</v>
      </c>
      <c r="AD61" t="e">
        <f>Nodes!Z449+"'E4!$zM"</f>
        <v>#VALUE!</v>
      </c>
      <c r="AE61" t="e">
        <f>Nodes!AA449+"'E4!$zN"</f>
        <v>#VALUE!</v>
      </c>
      <c r="AF61" t="e">
        <f>Nodes!AB449+"'E4!$zO"</f>
        <v>#VALUE!</v>
      </c>
      <c r="AG61" t="e">
        <f>Nodes!AC449+"'E4!$zP"</f>
        <v>#VALUE!</v>
      </c>
      <c r="AH61" t="e">
        <f>Nodes!A450+"'E4!$zQ"</f>
        <v>#VALUE!</v>
      </c>
      <c r="AI61" t="e">
        <f>Nodes!B450+"'E4!$zR"</f>
        <v>#VALUE!</v>
      </c>
      <c r="AJ61" t="e">
        <f>Nodes!C450+"'E4!$zS"</f>
        <v>#VALUE!</v>
      </c>
      <c r="AK61" t="e">
        <f>Nodes!D450+"'E4!$zT"</f>
        <v>#VALUE!</v>
      </c>
      <c r="AL61" t="e">
        <f>Nodes!E450+"'E4!$zU"</f>
        <v>#VALUE!</v>
      </c>
      <c r="AM61" t="e">
        <f>Nodes!F450+"'E4!$zV"</f>
        <v>#VALUE!</v>
      </c>
      <c r="AN61" t="e">
        <f>Nodes!G450+"'E4!$zW"</f>
        <v>#VALUE!</v>
      </c>
      <c r="AO61" t="e">
        <f>Nodes!H450+"'E4!$zX"</f>
        <v>#VALUE!</v>
      </c>
      <c r="AP61" t="e">
        <f>Nodes!I450+"'E4!$zY"</f>
        <v>#VALUE!</v>
      </c>
      <c r="AQ61" t="e">
        <f>Nodes!J450+"'E4!$zZ"</f>
        <v>#VALUE!</v>
      </c>
      <c r="AR61" t="e">
        <f>Nodes!K450+"'E4!$z["</f>
        <v>#VALUE!</v>
      </c>
      <c r="AS61" t="e">
        <f>Nodes!L450+"'E4!$z\"</f>
        <v>#VALUE!</v>
      </c>
      <c r="AT61" t="e">
        <f>Nodes!M450+"'E4!$z]"</f>
        <v>#VALUE!</v>
      </c>
      <c r="AU61" t="e">
        <f>Nodes!N450+"'E4!$z^"</f>
        <v>#VALUE!</v>
      </c>
      <c r="AV61" t="e">
        <f>Nodes!O450+"'E4!$z_"</f>
        <v>#VALUE!</v>
      </c>
      <c r="AW61" t="e">
        <f>Nodes!P450+"'E4!$z`"</f>
        <v>#VALUE!</v>
      </c>
      <c r="AX61" t="e">
        <f>Nodes!Q450+"'E4!$za"</f>
        <v>#VALUE!</v>
      </c>
      <c r="AY61" t="e">
        <f>Nodes!R450+"'E4!$zb"</f>
        <v>#VALUE!</v>
      </c>
      <c r="AZ61" t="e">
        <f>Nodes!S450+"'E4!$zc"</f>
        <v>#VALUE!</v>
      </c>
      <c r="BA61" t="e">
        <f>Nodes!T450+"'E4!$zd"</f>
        <v>#VALUE!</v>
      </c>
      <c r="BB61" s="548" t="e">
        <f>Nodes!U450+"'E4!$ze"</f>
        <v>#VALUE!</v>
      </c>
      <c r="BC61" s="548" t="e">
        <f>Nodes!V450+"'E4!$zf"</f>
        <v>#VALUE!</v>
      </c>
      <c r="BD61" s="548" t="e">
        <f>Nodes!W450+"'E4!$zg"</f>
        <v>#VALUE!</v>
      </c>
      <c r="BE61" s="333" t="e">
        <f>Nodes!X450+"'E4!$zh"</f>
        <v>#VALUE!</v>
      </c>
      <c r="BF61" t="e">
        <f>Nodes!Y450+"'E4!$zi"</f>
        <v>#VALUE!</v>
      </c>
      <c r="BG61" t="e">
        <f>Nodes!Z450+"'E4!$zj"</f>
        <v>#VALUE!</v>
      </c>
      <c r="BH61" t="e">
        <f>Nodes!AA450+"'E4!$zk"</f>
        <v>#VALUE!</v>
      </c>
      <c r="BI61" t="e">
        <f>Nodes!AB450+"'E4!$zl"</f>
        <v>#VALUE!</v>
      </c>
      <c r="BJ61" t="e">
        <f>Nodes!AC450+"'E4!$zm"</f>
        <v>#VALUE!</v>
      </c>
      <c r="BK61" t="e">
        <f>Nodes!A451+"'E4!$zn"</f>
        <v>#VALUE!</v>
      </c>
      <c r="BL61" t="e">
        <f>Nodes!B451+"'E4!$zo"</f>
        <v>#VALUE!</v>
      </c>
      <c r="BM61" t="e">
        <f>Nodes!C451+"'E4!$zp"</f>
        <v>#VALUE!</v>
      </c>
      <c r="BN61" t="e">
        <f>Nodes!D451+"'E4!$zq"</f>
        <v>#VALUE!</v>
      </c>
      <c r="BO61" t="e">
        <f>Nodes!E451+"'E4!$zr"</f>
        <v>#VALUE!</v>
      </c>
      <c r="BP61" t="e">
        <f>Nodes!F451+"'E4!$zs"</f>
        <v>#VALUE!</v>
      </c>
      <c r="BQ61" t="e">
        <f>Nodes!G451+"'E4!$zt"</f>
        <v>#VALUE!</v>
      </c>
      <c r="BR61" t="e">
        <f>Nodes!H451+"'E4!$zu"</f>
        <v>#VALUE!</v>
      </c>
      <c r="BS61" t="e">
        <f>Nodes!I451+"'E4!$zv"</f>
        <v>#VALUE!</v>
      </c>
      <c r="BT61" t="e">
        <f>Nodes!J451+"'E4!$zw"</f>
        <v>#VALUE!</v>
      </c>
      <c r="BU61" t="e">
        <f>Nodes!K451+"'E4!$zx"</f>
        <v>#VALUE!</v>
      </c>
      <c r="BV61" t="e">
        <f>Nodes!L451+"'E4!$zy"</f>
        <v>#VALUE!</v>
      </c>
      <c r="BW61" t="e">
        <f>Nodes!M451+"'E4!$zz"</f>
        <v>#VALUE!</v>
      </c>
      <c r="BX61" t="e">
        <f>Nodes!N451+"'E4!$z{"</f>
        <v>#VALUE!</v>
      </c>
      <c r="BY61" t="e">
        <f>Nodes!O451+"'E4!$z|"</f>
        <v>#VALUE!</v>
      </c>
      <c r="BZ61" t="e">
        <f>Nodes!P451+"'E4!$z}"</f>
        <v>#VALUE!</v>
      </c>
      <c r="CA61" t="e">
        <f>Nodes!Q451+"'E4!$z~"</f>
        <v>#VALUE!</v>
      </c>
      <c r="CB61" t="e">
        <f>Nodes!R451+"'E4!${#"</f>
        <v>#VALUE!</v>
      </c>
      <c r="CC61" t="e">
        <f>Nodes!S451+"'E4!${$"</f>
        <v>#VALUE!</v>
      </c>
      <c r="CD61" t="e">
        <f>Nodes!T451+"'E4!${%"</f>
        <v>#VALUE!</v>
      </c>
      <c r="CE61" s="548" t="e">
        <f>Nodes!U451+"'E4!${&amp;"</f>
        <v>#VALUE!</v>
      </c>
      <c r="CF61" s="548" t="e">
        <f>Nodes!V451+"'E4!${'"</f>
        <v>#VALUE!</v>
      </c>
      <c r="CG61" s="548" t="e">
        <f>Nodes!W451+"'E4!${("</f>
        <v>#VALUE!</v>
      </c>
      <c r="CH61" s="333" t="e">
        <f>Nodes!X451+"'E4!${)"</f>
        <v>#VALUE!</v>
      </c>
      <c r="CI61" t="e">
        <f>Nodes!Y451+"'E4!${."</f>
        <v>#VALUE!</v>
      </c>
      <c r="CJ61" t="e">
        <f>Nodes!Z451+"'E4!${/"</f>
        <v>#VALUE!</v>
      </c>
      <c r="CK61" t="e">
        <f>Nodes!AA451+"'E4!${0"</f>
        <v>#VALUE!</v>
      </c>
      <c r="CL61" t="e">
        <f>Nodes!AB451+"'E4!${1"</f>
        <v>#VALUE!</v>
      </c>
      <c r="CM61" t="e">
        <f>Nodes!AC451+"'E4!${2"</f>
        <v>#VALUE!</v>
      </c>
      <c r="CN61" t="e">
        <f>Nodes!A452+"'E4!${3"</f>
        <v>#VALUE!</v>
      </c>
      <c r="CO61" t="e">
        <f>Nodes!B452+"'E4!${4"</f>
        <v>#VALUE!</v>
      </c>
      <c r="CP61" t="e">
        <f>Nodes!C452+"'E4!${5"</f>
        <v>#VALUE!</v>
      </c>
      <c r="CQ61" t="e">
        <f>Nodes!D452+"'E4!${6"</f>
        <v>#VALUE!</v>
      </c>
      <c r="CR61" t="e">
        <f>Nodes!E452+"'E4!${7"</f>
        <v>#VALUE!</v>
      </c>
      <c r="CS61" t="e">
        <f>Nodes!F452+"'E4!${8"</f>
        <v>#VALUE!</v>
      </c>
      <c r="CT61" t="e">
        <f>Nodes!G452+"'E4!${9"</f>
        <v>#VALUE!</v>
      </c>
      <c r="CU61" t="e">
        <f>Nodes!H452+"'E4!${:"</f>
        <v>#VALUE!</v>
      </c>
      <c r="CV61" t="e">
        <f>Nodes!I452+"'E4!${;"</f>
        <v>#VALUE!</v>
      </c>
      <c r="CW61" t="e">
        <f>Nodes!J452+"'E4!${&lt;"</f>
        <v>#VALUE!</v>
      </c>
      <c r="CX61" t="e">
        <f>Nodes!K452+"'E4!${="</f>
        <v>#VALUE!</v>
      </c>
      <c r="CY61" t="e">
        <f>Nodes!L452+"'E4!${&gt;"</f>
        <v>#VALUE!</v>
      </c>
      <c r="CZ61" t="e">
        <f>Nodes!M452+"'E4!${?"</f>
        <v>#VALUE!</v>
      </c>
      <c r="DA61" t="e">
        <f>Nodes!N452+"'E4!${@"</f>
        <v>#VALUE!</v>
      </c>
      <c r="DB61" t="e">
        <f>Nodes!O452+"'E4!${A"</f>
        <v>#VALUE!</v>
      </c>
      <c r="DC61" t="e">
        <f>Nodes!P452+"'E4!${B"</f>
        <v>#VALUE!</v>
      </c>
      <c r="DD61" t="e">
        <f>Nodes!Q452+"'E4!${C"</f>
        <v>#VALUE!</v>
      </c>
      <c r="DE61" t="e">
        <f>Nodes!R452+"'E4!${D"</f>
        <v>#VALUE!</v>
      </c>
      <c r="DF61" t="e">
        <f>Nodes!S452+"'E4!${E"</f>
        <v>#VALUE!</v>
      </c>
      <c r="DG61" t="e">
        <f>Nodes!T452+"'E4!${F"</f>
        <v>#VALUE!</v>
      </c>
      <c r="DH61" s="548" t="e">
        <f>Nodes!U452+"'E4!${G"</f>
        <v>#VALUE!</v>
      </c>
      <c r="DI61" s="548" t="e">
        <f>Nodes!V452+"'E4!${H"</f>
        <v>#VALUE!</v>
      </c>
      <c r="DJ61" s="548" t="e">
        <f>Nodes!W452+"'E4!${I"</f>
        <v>#VALUE!</v>
      </c>
      <c r="DK61" s="333" t="e">
        <f>Nodes!X452+"'E4!${J"</f>
        <v>#VALUE!</v>
      </c>
      <c r="DL61" t="e">
        <f>Nodes!Y452+"'E4!${K"</f>
        <v>#VALUE!</v>
      </c>
      <c r="DM61" t="e">
        <f>Nodes!Z452+"'E4!${L"</f>
        <v>#VALUE!</v>
      </c>
      <c r="DN61" t="e">
        <f>Nodes!AA452+"'E4!${M"</f>
        <v>#VALUE!</v>
      </c>
      <c r="DO61" t="e">
        <f>Nodes!AB452+"'E4!${N"</f>
        <v>#VALUE!</v>
      </c>
      <c r="DP61" t="e">
        <f>Nodes!AC452+"'E4!${O"</f>
        <v>#VALUE!</v>
      </c>
      <c r="DQ61" t="e">
        <f>Nodes!A453+"'E4!${P"</f>
        <v>#VALUE!</v>
      </c>
      <c r="DR61" t="e">
        <f>Nodes!B453+"'E4!${Q"</f>
        <v>#VALUE!</v>
      </c>
      <c r="DS61" t="e">
        <f>Nodes!C453+"'E4!${R"</f>
        <v>#VALUE!</v>
      </c>
      <c r="DT61" t="e">
        <f>Nodes!D453+"'E4!${S"</f>
        <v>#VALUE!</v>
      </c>
      <c r="DU61" t="e">
        <f>Nodes!E453+"'E4!${T"</f>
        <v>#VALUE!</v>
      </c>
      <c r="DV61" t="e">
        <f>Nodes!F453+"'E4!${U"</f>
        <v>#VALUE!</v>
      </c>
      <c r="DW61" t="e">
        <f>Nodes!G453+"'E4!${V"</f>
        <v>#VALUE!</v>
      </c>
      <c r="DX61" t="e">
        <f>Nodes!H453+"'E4!${W"</f>
        <v>#VALUE!</v>
      </c>
      <c r="DY61" t="e">
        <f>Nodes!I453+"'E4!${X"</f>
        <v>#VALUE!</v>
      </c>
      <c r="DZ61" t="e">
        <f>Nodes!J453+"'E4!${Y"</f>
        <v>#VALUE!</v>
      </c>
      <c r="EA61" t="e">
        <f>Nodes!K453+"'E4!${Z"</f>
        <v>#VALUE!</v>
      </c>
      <c r="EB61" t="e">
        <f>Nodes!L453+"'E4!${["</f>
        <v>#VALUE!</v>
      </c>
      <c r="EC61" t="e">
        <f>Nodes!M453+"'E4!${\"</f>
        <v>#VALUE!</v>
      </c>
      <c r="ED61" t="e">
        <f>Nodes!N453+"'E4!${]"</f>
        <v>#VALUE!</v>
      </c>
      <c r="EE61" t="e">
        <f>Nodes!O453+"'E4!${^"</f>
        <v>#VALUE!</v>
      </c>
      <c r="EF61" t="e">
        <f>Nodes!P453+"'E4!${_"</f>
        <v>#VALUE!</v>
      </c>
      <c r="EG61" t="e">
        <f>Nodes!Q453+"'E4!${`"</f>
        <v>#VALUE!</v>
      </c>
      <c r="EH61" t="e">
        <f>Nodes!R453+"'E4!${a"</f>
        <v>#VALUE!</v>
      </c>
      <c r="EI61" t="e">
        <f>Nodes!S453+"'E4!${b"</f>
        <v>#VALUE!</v>
      </c>
      <c r="EJ61" t="e">
        <f>Nodes!T453+"'E4!${c"</f>
        <v>#VALUE!</v>
      </c>
      <c r="EK61" s="548" t="e">
        <f>Nodes!U453+"'E4!${d"</f>
        <v>#VALUE!</v>
      </c>
      <c r="EL61" s="548" t="e">
        <f>Nodes!V453+"'E4!${e"</f>
        <v>#VALUE!</v>
      </c>
      <c r="EM61" s="548" t="e">
        <f>Nodes!W453+"'E4!${f"</f>
        <v>#VALUE!</v>
      </c>
      <c r="EN61" s="333" t="e">
        <f>Nodes!X453+"'E4!${g"</f>
        <v>#VALUE!</v>
      </c>
      <c r="EO61" t="e">
        <f>Nodes!Y453+"'E4!${h"</f>
        <v>#VALUE!</v>
      </c>
      <c r="EP61" t="e">
        <f>Nodes!Z453+"'E4!${i"</f>
        <v>#VALUE!</v>
      </c>
      <c r="EQ61" t="e">
        <f>Nodes!AA453+"'E4!${j"</f>
        <v>#VALUE!</v>
      </c>
      <c r="ER61" t="e">
        <f>Nodes!AB453+"'E4!${k"</f>
        <v>#VALUE!</v>
      </c>
      <c r="ES61" t="e">
        <f>Nodes!AC453+"'E4!${l"</f>
        <v>#VALUE!</v>
      </c>
      <c r="ET61" t="e">
        <f>Nodes!A454+"'E4!${m"</f>
        <v>#VALUE!</v>
      </c>
      <c r="EU61" t="e">
        <f>Nodes!B454+"'E4!${n"</f>
        <v>#VALUE!</v>
      </c>
      <c r="EV61" t="e">
        <f>Nodes!C454+"'E4!${o"</f>
        <v>#VALUE!</v>
      </c>
      <c r="EW61" t="e">
        <f>Nodes!D454+"'E4!${p"</f>
        <v>#VALUE!</v>
      </c>
      <c r="EX61" t="e">
        <f>Nodes!E454+"'E4!${q"</f>
        <v>#VALUE!</v>
      </c>
      <c r="EY61" t="e">
        <f>Nodes!F454+"'E4!${r"</f>
        <v>#VALUE!</v>
      </c>
      <c r="EZ61" t="e">
        <f>Nodes!G454+"'E4!${s"</f>
        <v>#VALUE!</v>
      </c>
      <c r="FA61" t="e">
        <f>Nodes!H454+"'E4!${t"</f>
        <v>#VALUE!</v>
      </c>
      <c r="FB61" t="e">
        <f>Nodes!I454+"'E4!${u"</f>
        <v>#VALUE!</v>
      </c>
      <c r="FC61" t="e">
        <f>Nodes!J454+"'E4!${v"</f>
        <v>#VALUE!</v>
      </c>
      <c r="FD61" t="e">
        <f>Nodes!K454+"'E4!${w"</f>
        <v>#VALUE!</v>
      </c>
      <c r="FE61" t="e">
        <f>Nodes!L454+"'E4!${x"</f>
        <v>#VALUE!</v>
      </c>
      <c r="FF61" t="e">
        <f>Nodes!M454+"'E4!${y"</f>
        <v>#VALUE!</v>
      </c>
      <c r="FG61" t="e">
        <f>Nodes!N454+"'E4!${z"</f>
        <v>#VALUE!</v>
      </c>
      <c r="FH61" t="e">
        <f>Nodes!O454+"'E4!${{"</f>
        <v>#VALUE!</v>
      </c>
      <c r="FI61" t="e">
        <f>Nodes!P454+"'E4!${|"</f>
        <v>#VALUE!</v>
      </c>
      <c r="FJ61" t="e">
        <f>Nodes!Q454+"'E4!${}"</f>
        <v>#VALUE!</v>
      </c>
      <c r="FK61" t="e">
        <f>Nodes!R454+"'E4!${~"</f>
        <v>#VALUE!</v>
      </c>
      <c r="FL61" t="e">
        <f>Nodes!S454+"'E4!$|#"</f>
        <v>#VALUE!</v>
      </c>
      <c r="FM61" t="e">
        <f>Nodes!T454+"'E4!$|$"</f>
        <v>#VALUE!</v>
      </c>
      <c r="FN61" s="548" t="e">
        <f>Nodes!U454+"'E4!$|%"</f>
        <v>#VALUE!</v>
      </c>
      <c r="FO61" s="548" t="e">
        <f>Nodes!V454+"'E4!$|&amp;"</f>
        <v>#VALUE!</v>
      </c>
      <c r="FP61" s="548" t="e">
        <f>Nodes!W454+"'E4!$|'"</f>
        <v>#VALUE!</v>
      </c>
      <c r="FQ61" s="333" t="e">
        <f>Nodes!X454+"'E4!$|("</f>
        <v>#VALUE!</v>
      </c>
      <c r="FR61" t="e">
        <f>Nodes!Y454+"'E4!$|)"</f>
        <v>#VALUE!</v>
      </c>
      <c r="FS61" t="e">
        <f>Nodes!Z454+"'E4!$|."</f>
        <v>#VALUE!</v>
      </c>
      <c r="FT61" t="e">
        <f>Nodes!AA454+"'E4!$|/"</f>
        <v>#VALUE!</v>
      </c>
      <c r="FU61" t="e">
        <f>Nodes!AB454+"'E4!$|0"</f>
        <v>#VALUE!</v>
      </c>
      <c r="FV61" t="e">
        <f>Nodes!AC454+"'E4!$|1"</f>
        <v>#VALUE!</v>
      </c>
      <c r="FW61" t="e">
        <f>Nodes!A455+"'E4!$|2"</f>
        <v>#VALUE!</v>
      </c>
      <c r="FX61" t="e">
        <f>Nodes!B455+"'E4!$|3"</f>
        <v>#VALUE!</v>
      </c>
      <c r="FY61" t="e">
        <f>Nodes!C455+"'E4!$|4"</f>
        <v>#VALUE!</v>
      </c>
      <c r="FZ61" t="e">
        <f>Nodes!D455+"'E4!$|5"</f>
        <v>#VALUE!</v>
      </c>
      <c r="GA61" t="e">
        <f>Nodes!E455+"'E4!$|6"</f>
        <v>#VALUE!</v>
      </c>
      <c r="GB61" t="e">
        <f>Nodes!F455+"'E4!$|7"</f>
        <v>#VALUE!</v>
      </c>
      <c r="GC61" t="e">
        <f>Nodes!G455+"'E4!$|8"</f>
        <v>#VALUE!</v>
      </c>
      <c r="GD61" t="e">
        <f>Nodes!H455+"'E4!$|9"</f>
        <v>#VALUE!</v>
      </c>
      <c r="GE61" t="e">
        <f>Nodes!I455+"'E4!$|:"</f>
        <v>#VALUE!</v>
      </c>
      <c r="GF61" t="e">
        <f>Nodes!J455+"'E4!$|;"</f>
        <v>#VALUE!</v>
      </c>
      <c r="GG61" t="e">
        <f>Nodes!K455+"'E4!$|&lt;"</f>
        <v>#VALUE!</v>
      </c>
      <c r="GH61" t="e">
        <f>Nodes!L455+"'E4!$|="</f>
        <v>#VALUE!</v>
      </c>
      <c r="GI61" t="e">
        <f>Nodes!M455+"'E4!$|&gt;"</f>
        <v>#VALUE!</v>
      </c>
      <c r="GJ61" t="e">
        <f>Nodes!N455+"'E4!$|?"</f>
        <v>#VALUE!</v>
      </c>
      <c r="GK61" t="e">
        <f>Nodes!O455+"'E4!$|@"</f>
        <v>#VALUE!</v>
      </c>
      <c r="GL61" t="e">
        <f>Nodes!P455+"'E4!$|A"</f>
        <v>#VALUE!</v>
      </c>
      <c r="GM61" t="e">
        <f>Nodes!Q455+"'E4!$|B"</f>
        <v>#VALUE!</v>
      </c>
      <c r="GN61" t="e">
        <f>Nodes!R455+"'E4!$|C"</f>
        <v>#VALUE!</v>
      </c>
      <c r="GO61" t="e">
        <f>Nodes!S455+"'E4!$|D"</f>
        <v>#VALUE!</v>
      </c>
      <c r="GP61" t="e">
        <f>Nodes!T455+"'E4!$|E"</f>
        <v>#VALUE!</v>
      </c>
      <c r="GQ61" s="548" t="e">
        <f>Nodes!U455+"'E4!$|F"</f>
        <v>#VALUE!</v>
      </c>
      <c r="GR61" s="548" t="e">
        <f>Nodes!V455+"'E4!$|G"</f>
        <v>#VALUE!</v>
      </c>
      <c r="GS61" s="548" t="e">
        <f>Nodes!W455+"'E4!$|H"</f>
        <v>#VALUE!</v>
      </c>
      <c r="GT61" s="333" t="e">
        <f>Nodes!X455+"'E4!$|I"</f>
        <v>#VALUE!</v>
      </c>
      <c r="GU61" t="e">
        <f>Nodes!Y455+"'E4!$|J"</f>
        <v>#VALUE!</v>
      </c>
      <c r="GV61" t="e">
        <f>Nodes!Z455+"'E4!$|K"</f>
        <v>#VALUE!</v>
      </c>
      <c r="GW61" t="e">
        <f>Nodes!AA455+"'E4!$|L"</f>
        <v>#VALUE!</v>
      </c>
      <c r="GX61" t="e">
        <f>Nodes!AB455+"'E4!$|M"</f>
        <v>#VALUE!</v>
      </c>
      <c r="GY61" t="e">
        <f>Nodes!AC455+"'E4!$|N"</f>
        <v>#VALUE!</v>
      </c>
      <c r="GZ61" t="e">
        <f>Nodes!A456+"'E4!$|O"</f>
        <v>#VALUE!</v>
      </c>
      <c r="HA61" t="e">
        <f>Nodes!B456+"'E4!$|P"</f>
        <v>#VALUE!</v>
      </c>
      <c r="HB61" t="e">
        <f>Nodes!C456+"'E4!$|Q"</f>
        <v>#VALUE!</v>
      </c>
      <c r="HC61" t="e">
        <f>Nodes!D456+"'E4!$|R"</f>
        <v>#VALUE!</v>
      </c>
      <c r="HD61" t="e">
        <f>Nodes!E456+"'E4!$|S"</f>
        <v>#VALUE!</v>
      </c>
      <c r="HE61" t="e">
        <f>Nodes!F456+"'E4!$|T"</f>
        <v>#VALUE!</v>
      </c>
      <c r="HF61" t="e">
        <f>Nodes!G456+"'E4!$|U"</f>
        <v>#VALUE!</v>
      </c>
      <c r="HG61" t="e">
        <f>Nodes!H456+"'E4!$|V"</f>
        <v>#VALUE!</v>
      </c>
      <c r="HH61" t="e">
        <f>Nodes!I456+"'E4!$|W"</f>
        <v>#VALUE!</v>
      </c>
      <c r="HI61" t="e">
        <f>Nodes!J456+"'E4!$|X"</f>
        <v>#VALUE!</v>
      </c>
      <c r="HJ61" t="e">
        <f>Nodes!K456+"'E4!$|Y"</f>
        <v>#VALUE!</v>
      </c>
      <c r="HK61" t="e">
        <f>Nodes!L456+"'E4!$|Z"</f>
        <v>#VALUE!</v>
      </c>
      <c r="HL61" t="e">
        <f>Nodes!M456+"'E4!$|["</f>
        <v>#VALUE!</v>
      </c>
      <c r="HM61" t="e">
        <f>Nodes!N456+"'E4!$|\"</f>
        <v>#VALUE!</v>
      </c>
      <c r="HN61" t="e">
        <f>Nodes!O456+"'E4!$|]"</f>
        <v>#VALUE!</v>
      </c>
      <c r="HO61" t="e">
        <f>Nodes!P456+"'E4!$|^"</f>
        <v>#VALUE!</v>
      </c>
      <c r="HP61" t="e">
        <f>Nodes!Q456+"'E4!$|_"</f>
        <v>#VALUE!</v>
      </c>
      <c r="HQ61" t="e">
        <f>Nodes!R456+"'E4!$|`"</f>
        <v>#VALUE!</v>
      </c>
      <c r="HR61" t="e">
        <f>Nodes!S456+"'E4!$|a"</f>
        <v>#VALUE!</v>
      </c>
      <c r="HS61" t="e">
        <f>Nodes!T456+"'E4!$|b"</f>
        <v>#VALUE!</v>
      </c>
      <c r="HT61" s="548" t="e">
        <f>Nodes!U456+"'E4!$|c"</f>
        <v>#VALUE!</v>
      </c>
      <c r="HU61" s="548" t="e">
        <f>Nodes!V456+"'E4!$|d"</f>
        <v>#VALUE!</v>
      </c>
      <c r="HV61" s="548" t="e">
        <f>Nodes!W456+"'E4!$|e"</f>
        <v>#VALUE!</v>
      </c>
      <c r="HW61" s="333" t="e">
        <f>Nodes!X456+"'E4!$|f"</f>
        <v>#VALUE!</v>
      </c>
      <c r="HX61" t="e">
        <f>Nodes!Y456+"'E4!$|g"</f>
        <v>#VALUE!</v>
      </c>
      <c r="HY61" t="e">
        <f>Nodes!Z456+"'E4!$|h"</f>
        <v>#VALUE!</v>
      </c>
      <c r="HZ61" t="e">
        <f>Nodes!AA456+"'E4!$|i"</f>
        <v>#VALUE!</v>
      </c>
      <c r="IA61" t="e">
        <f>Nodes!AB456+"'E4!$|j"</f>
        <v>#VALUE!</v>
      </c>
      <c r="IB61" t="e">
        <f>Nodes!AC456+"'E4!$|k"</f>
        <v>#VALUE!</v>
      </c>
      <c r="IC61" t="e">
        <f>Nodes!A457+"'E4!$|l"</f>
        <v>#VALUE!</v>
      </c>
      <c r="ID61" t="e">
        <f>Nodes!B457+"'E4!$|m"</f>
        <v>#VALUE!</v>
      </c>
      <c r="IE61" t="e">
        <f>Nodes!C457+"'E4!$|n"</f>
        <v>#VALUE!</v>
      </c>
      <c r="IF61" t="e">
        <f>Nodes!D457+"'E4!$|o"</f>
        <v>#VALUE!</v>
      </c>
      <c r="IG61" t="e">
        <f>Nodes!E457+"'E4!$|p"</f>
        <v>#VALUE!</v>
      </c>
      <c r="IH61" t="e">
        <f>Nodes!F457+"'E4!$|q"</f>
        <v>#VALUE!</v>
      </c>
      <c r="II61" t="e">
        <f>Nodes!G457+"'E4!$|r"</f>
        <v>#VALUE!</v>
      </c>
      <c r="IJ61" t="e">
        <f>Nodes!H457+"'E4!$|s"</f>
        <v>#VALUE!</v>
      </c>
      <c r="IK61" t="e">
        <f>Nodes!I457+"'E4!$|t"</f>
        <v>#VALUE!</v>
      </c>
      <c r="IL61" t="e">
        <f>Nodes!J457+"'E4!$|u"</f>
        <v>#VALUE!</v>
      </c>
      <c r="IM61" t="e">
        <f>Nodes!K457+"'E4!$|v"</f>
        <v>#VALUE!</v>
      </c>
      <c r="IN61" t="e">
        <f>Nodes!L457+"'E4!$|w"</f>
        <v>#VALUE!</v>
      </c>
      <c r="IO61" t="e">
        <f>Nodes!M457+"'E4!$|x"</f>
        <v>#VALUE!</v>
      </c>
      <c r="IP61" t="e">
        <f>Nodes!N457+"'E4!$|y"</f>
        <v>#VALUE!</v>
      </c>
      <c r="IQ61" t="e">
        <f>Nodes!O457+"'E4!$|z"</f>
        <v>#VALUE!</v>
      </c>
      <c r="IR61" t="e">
        <f>Nodes!P457+"'E4!$|{"</f>
        <v>#VALUE!</v>
      </c>
      <c r="IS61" t="e">
        <f>Nodes!Q457+"'E4!$||"</f>
        <v>#VALUE!</v>
      </c>
      <c r="IT61" t="e">
        <f>Nodes!R457+"'E4!$|}"</f>
        <v>#VALUE!</v>
      </c>
      <c r="IU61" t="e">
        <f>Nodes!S457+"'E4!$|~"</f>
        <v>#VALUE!</v>
      </c>
      <c r="IV61" t="e">
        <f>Nodes!T457+"'E4!$}#"</f>
        <v>#VALUE!</v>
      </c>
    </row>
    <row r="62" spans="6:256">
      <c r="F62" s="548" t="e">
        <f>Nodes!U457+"'E4!$}$"</f>
        <v>#VALUE!</v>
      </c>
      <c r="G62" s="548" t="e">
        <f>Nodes!V457+"'E4!$}%"</f>
        <v>#VALUE!</v>
      </c>
      <c r="H62" s="548" t="e">
        <f>Nodes!W457+"'E4!$}&amp;"</f>
        <v>#VALUE!</v>
      </c>
      <c r="I62" s="333" t="e">
        <f>Nodes!X457+"'E4!$}'"</f>
        <v>#VALUE!</v>
      </c>
      <c r="J62" t="e">
        <f>Nodes!Y457+"'E4!$}("</f>
        <v>#VALUE!</v>
      </c>
      <c r="K62" t="e">
        <f>Nodes!Z457+"'E4!$})"</f>
        <v>#VALUE!</v>
      </c>
      <c r="L62" t="e">
        <f>Nodes!AA457+"'E4!$}."</f>
        <v>#VALUE!</v>
      </c>
      <c r="M62" t="e">
        <f>Nodes!AB457+"'E4!$}/"</f>
        <v>#VALUE!</v>
      </c>
      <c r="N62" t="e">
        <f>Nodes!AC457+"'E4!$}0"</f>
        <v>#VALUE!</v>
      </c>
      <c r="O62" t="e">
        <f>Nodes!A458+"'E4!$}1"</f>
        <v>#VALUE!</v>
      </c>
      <c r="P62" t="e">
        <f>Nodes!B458+"'E4!$}2"</f>
        <v>#VALUE!</v>
      </c>
      <c r="Q62" t="e">
        <f>Nodes!C458+"'E4!$}3"</f>
        <v>#VALUE!</v>
      </c>
      <c r="R62" t="e">
        <f>Nodes!D458+"'E4!$}4"</f>
        <v>#VALUE!</v>
      </c>
      <c r="S62" t="e">
        <f>Nodes!E458+"'E4!$}5"</f>
        <v>#VALUE!</v>
      </c>
      <c r="T62" t="e">
        <f>Nodes!F458+"'E4!$}6"</f>
        <v>#VALUE!</v>
      </c>
      <c r="U62" t="e">
        <f>Nodes!G458+"'E4!$}7"</f>
        <v>#VALUE!</v>
      </c>
      <c r="V62" t="e">
        <f>Nodes!H458+"'E4!$}8"</f>
        <v>#VALUE!</v>
      </c>
      <c r="W62" t="e">
        <f>Nodes!I458+"'E4!$}9"</f>
        <v>#VALUE!</v>
      </c>
      <c r="X62" t="e">
        <f>Nodes!J458+"'E4!$}:"</f>
        <v>#VALUE!</v>
      </c>
      <c r="Y62" t="e">
        <f>Nodes!K458+"'E4!$};"</f>
        <v>#VALUE!</v>
      </c>
      <c r="Z62" t="e">
        <f>Nodes!L458+"'E4!$}&lt;"</f>
        <v>#VALUE!</v>
      </c>
      <c r="AA62" t="e">
        <f>Nodes!M458+"'E4!$}="</f>
        <v>#VALUE!</v>
      </c>
      <c r="AB62" t="e">
        <f>Nodes!N458+"'E4!$}&gt;"</f>
        <v>#VALUE!</v>
      </c>
      <c r="AC62" t="e">
        <f>Nodes!O458+"'E4!$}?"</f>
        <v>#VALUE!</v>
      </c>
      <c r="AD62" t="e">
        <f>Nodes!P458+"'E4!$}@"</f>
        <v>#VALUE!</v>
      </c>
      <c r="AE62" t="e">
        <f>Nodes!Q458+"'E4!$}A"</f>
        <v>#VALUE!</v>
      </c>
      <c r="AF62" t="e">
        <f>Nodes!R458+"'E4!$}B"</f>
        <v>#VALUE!</v>
      </c>
      <c r="AG62" t="e">
        <f>Nodes!S458+"'E4!$}C"</f>
        <v>#VALUE!</v>
      </c>
      <c r="AH62" t="e">
        <f>Nodes!T458+"'E4!$}D"</f>
        <v>#VALUE!</v>
      </c>
      <c r="AI62" s="548" t="e">
        <f>Nodes!U458+"'E4!$}E"</f>
        <v>#VALUE!</v>
      </c>
      <c r="AJ62" s="548" t="e">
        <f>Nodes!V458+"'E4!$}F"</f>
        <v>#VALUE!</v>
      </c>
      <c r="AK62" s="548" t="e">
        <f>Nodes!W458+"'E4!$}G"</f>
        <v>#VALUE!</v>
      </c>
      <c r="AL62" s="333" t="e">
        <f>Nodes!X458+"'E4!$}H"</f>
        <v>#VALUE!</v>
      </c>
      <c r="AM62" t="e">
        <f>Nodes!Y458+"'E4!$}I"</f>
        <v>#VALUE!</v>
      </c>
      <c r="AN62" t="e">
        <f>Nodes!Z458+"'E4!$}J"</f>
        <v>#VALUE!</v>
      </c>
      <c r="AO62" t="e">
        <f>Nodes!AA458+"'E4!$}K"</f>
        <v>#VALUE!</v>
      </c>
      <c r="AP62" t="e">
        <f>Nodes!AB458+"'E4!$}L"</f>
        <v>#VALUE!</v>
      </c>
      <c r="AQ62" t="e">
        <f>Nodes!AC458+"'E4!$}M"</f>
        <v>#VALUE!</v>
      </c>
      <c r="AR62" t="e">
        <f>Nodes!A459+"'E4!$}N"</f>
        <v>#VALUE!</v>
      </c>
      <c r="AS62" t="e">
        <f>Nodes!B459+"'E4!$}O"</f>
        <v>#VALUE!</v>
      </c>
      <c r="AT62" t="e">
        <f>Nodes!C459+"'E4!$}P"</f>
        <v>#VALUE!</v>
      </c>
      <c r="AU62" t="e">
        <f>Nodes!D459+"'E4!$}Q"</f>
        <v>#VALUE!</v>
      </c>
      <c r="AV62" t="e">
        <f>Nodes!E459+"'E4!$}R"</f>
        <v>#VALUE!</v>
      </c>
      <c r="AW62" t="e">
        <f>Nodes!F459+"'E4!$}S"</f>
        <v>#VALUE!</v>
      </c>
      <c r="AX62" t="e">
        <f>Nodes!G459+"'E4!$}T"</f>
        <v>#VALUE!</v>
      </c>
      <c r="AY62" t="e">
        <f>Nodes!H459+"'E4!$}U"</f>
        <v>#VALUE!</v>
      </c>
      <c r="AZ62" t="e">
        <f>Nodes!I459+"'E4!$}V"</f>
        <v>#VALUE!</v>
      </c>
      <c r="BA62" t="e">
        <f>Nodes!J459+"'E4!$}W"</f>
        <v>#VALUE!</v>
      </c>
      <c r="BB62" t="e">
        <f>Nodes!K459+"'E4!$}X"</f>
        <v>#VALUE!</v>
      </c>
      <c r="BC62" t="e">
        <f>Nodes!L459+"'E4!$}Y"</f>
        <v>#VALUE!</v>
      </c>
      <c r="BD62" t="e">
        <f>Nodes!M459+"'E4!$}Z"</f>
        <v>#VALUE!</v>
      </c>
      <c r="BE62" t="e">
        <f>Nodes!N459+"'E4!$}["</f>
        <v>#VALUE!</v>
      </c>
      <c r="BF62" t="e">
        <f>Nodes!O459+"'E4!$}\"</f>
        <v>#VALUE!</v>
      </c>
      <c r="BG62" t="e">
        <f>Nodes!P459+"'E4!$}]"</f>
        <v>#VALUE!</v>
      </c>
      <c r="BH62" t="e">
        <f>Nodes!Q459+"'E4!$}^"</f>
        <v>#VALUE!</v>
      </c>
      <c r="BI62" t="e">
        <f>Nodes!R459+"'E4!$}_"</f>
        <v>#VALUE!</v>
      </c>
      <c r="BJ62" t="e">
        <f>Nodes!S459+"'E4!$}`"</f>
        <v>#VALUE!</v>
      </c>
      <c r="BK62" t="e">
        <f>Nodes!T459+"'E4!$}a"</f>
        <v>#VALUE!</v>
      </c>
      <c r="BL62" s="548" t="e">
        <f>Nodes!U459+"'E4!$}b"</f>
        <v>#VALUE!</v>
      </c>
      <c r="BM62" s="548" t="e">
        <f>Nodes!V459+"'E4!$}c"</f>
        <v>#VALUE!</v>
      </c>
      <c r="BN62" s="548" t="e">
        <f>Nodes!W459+"'E4!$}d"</f>
        <v>#VALUE!</v>
      </c>
      <c r="BO62" s="333" t="e">
        <f>Nodes!X459+"'E4!$}e"</f>
        <v>#VALUE!</v>
      </c>
      <c r="BP62" t="e">
        <f>Nodes!Y459+"'E4!$}f"</f>
        <v>#VALUE!</v>
      </c>
      <c r="BQ62" t="e">
        <f>Nodes!Z459+"'E4!$}g"</f>
        <v>#VALUE!</v>
      </c>
      <c r="BR62" t="e">
        <f>Nodes!AA459+"'E4!$}h"</f>
        <v>#VALUE!</v>
      </c>
      <c r="BS62" t="e">
        <f>Nodes!AB459+"'E4!$}i"</f>
        <v>#VALUE!</v>
      </c>
      <c r="BT62" t="e">
        <f>Nodes!AC459+"'E4!$}j"</f>
        <v>#VALUE!</v>
      </c>
      <c r="BU62" t="e">
        <f>Nodes!A460+"'E4!$}k"</f>
        <v>#VALUE!</v>
      </c>
      <c r="BV62" t="e">
        <f>Nodes!B460+"'E4!$}l"</f>
        <v>#VALUE!</v>
      </c>
      <c r="BW62" t="e">
        <f>Nodes!C460+"'E4!$}m"</f>
        <v>#VALUE!</v>
      </c>
      <c r="BX62" t="e">
        <f>Nodes!D460+"'E4!$}n"</f>
        <v>#VALUE!</v>
      </c>
      <c r="BY62" t="e">
        <f>Nodes!E460+"'E4!$}o"</f>
        <v>#VALUE!</v>
      </c>
      <c r="BZ62" t="e">
        <f>Nodes!F460+"'E4!$}p"</f>
        <v>#VALUE!</v>
      </c>
      <c r="CA62" t="e">
        <f>Nodes!G460+"'E4!$}q"</f>
        <v>#VALUE!</v>
      </c>
      <c r="CB62" t="e">
        <f>Nodes!H460+"'E4!$}r"</f>
        <v>#VALUE!</v>
      </c>
      <c r="CC62" t="e">
        <f>Nodes!I460+"'E4!$}s"</f>
        <v>#VALUE!</v>
      </c>
      <c r="CD62" t="e">
        <f>Nodes!J460+"'E4!$}t"</f>
        <v>#VALUE!</v>
      </c>
      <c r="CE62" t="e">
        <f>Nodes!K460+"'E4!$}u"</f>
        <v>#VALUE!</v>
      </c>
      <c r="CF62" t="e">
        <f>Nodes!L460+"'E4!$}v"</f>
        <v>#VALUE!</v>
      </c>
      <c r="CG62" t="e">
        <f>Nodes!M460+"'E4!$}w"</f>
        <v>#VALUE!</v>
      </c>
      <c r="CH62" t="e">
        <f>Nodes!N460+"'E4!$}x"</f>
        <v>#VALUE!</v>
      </c>
      <c r="CI62" t="e">
        <f>Nodes!O460+"'E4!$}y"</f>
        <v>#VALUE!</v>
      </c>
      <c r="CJ62" t="e">
        <f>Nodes!P460+"'E4!$}z"</f>
        <v>#VALUE!</v>
      </c>
      <c r="CK62" t="e">
        <f>Nodes!Q460+"'E4!$}{"</f>
        <v>#VALUE!</v>
      </c>
      <c r="CL62" t="e">
        <f>Nodes!R460+"'E4!$}|"</f>
        <v>#VALUE!</v>
      </c>
      <c r="CM62" t="e">
        <f>Nodes!S460+"'E4!$}}"</f>
        <v>#VALUE!</v>
      </c>
      <c r="CN62" t="e">
        <f>Nodes!T460+"'E4!$}~"</f>
        <v>#VALUE!</v>
      </c>
      <c r="CO62" s="548" t="e">
        <f>Nodes!U460+"'E4!$~#"</f>
        <v>#VALUE!</v>
      </c>
      <c r="CP62" s="548" t="e">
        <f>Nodes!V460+"'E4!$~$"</f>
        <v>#VALUE!</v>
      </c>
      <c r="CQ62" s="548" t="e">
        <f>Nodes!W460+"'E4!$~%"</f>
        <v>#VALUE!</v>
      </c>
      <c r="CR62" s="333" t="e">
        <f>Nodes!X460+"'E4!$~&amp;"</f>
        <v>#VALUE!</v>
      </c>
      <c r="CS62" t="e">
        <f>Nodes!Y460+"'E4!$~'"</f>
        <v>#VALUE!</v>
      </c>
      <c r="CT62" t="e">
        <f>Nodes!Z460+"'E4!$~("</f>
        <v>#VALUE!</v>
      </c>
      <c r="CU62" t="e">
        <f>Nodes!AA460+"'E4!$~)"</f>
        <v>#VALUE!</v>
      </c>
      <c r="CV62" t="e">
        <f>Nodes!AB460+"'E4!$~."</f>
        <v>#VALUE!</v>
      </c>
      <c r="CW62" t="e">
        <f>Nodes!AC460+"'E4!$~/"</f>
        <v>#VALUE!</v>
      </c>
      <c r="CX62" t="e">
        <f>Nodes!A461+"'E4!$~0"</f>
        <v>#VALUE!</v>
      </c>
      <c r="CY62" t="e">
        <f>Nodes!B461+"'E4!$~1"</f>
        <v>#VALUE!</v>
      </c>
      <c r="CZ62" t="e">
        <f>Nodes!C461+"'E4!$~2"</f>
        <v>#VALUE!</v>
      </c>
      <c r="DA62" t="e">
        <f>Nodes!D461+"'E4!$~3"</f>
        <v>#VALUE!</v>
      </c>
      <c r="DB62" t="e">
        <f>Nodes!E461+"'E4!$~4"</f>
        <v>#VALUE!</v>
      </c>
      <c r="DC62" t="e">
        <f>Nodes!F461+"'E4!$~5"</f>
        <v>#VALUE!</v>
      </c>
      <c r="DD62" t="e">
        <f>Nodes!G461+"'E4!$~6"</f>
        <v>#VALUE!</v>
      </c>
      <c r="DE62" t="e">
        <f>Nodes!H461+"'E4!$~7"</f>
        <v>#VALUE!</v>
      </c>
      <c r="DF62" t="e">
        <f>Nodes!I461+"'E4!$~8"</f>
        <v>#VALUE!</v>
      </c>
      <c r="DG62" t="e">
        <f>Nodes!J461+"'E4!$~9"</f>
        <v>#VALUE!</v>
      </c>
      <c r="DH62" t="e">
        <f>Nodes!K461+"'E4!$~:"</f>
        <v>#VALUE!</v>
      </c>
      <c r="DI62" t="e">
        <f>Nodes!L461+"'E4!$~;"</f>
        <v>#VALUE!</v>
      </c>
      <c r="DJ62" t="e">
        <f>Nodes!M461+"'E4!$~&lt;"</f>
        <v>#VALUE!</v>
      </c>
      <c r="DK62" t="e">
        <f>Nodes!N461+"'E4!$~="</f>
        <v>#VALUE!</v>
      </c>
      <c r="DL62" t="e">
        <f>Nodes!O461+"'E4!$~&gt;"</f>
        <v>#VALUE!</v>
      </c>
      <c r="DM62" t="e">
        <f>Nodes!P461+"'E4!$~?"</f>
        <v>#VALUE!</v>
      </c>
      <c r="DN62" t="e">
        <f>Nodes!Q461+"'E4!$~@"</f>
        <v>#VALUE!</v>
      </c>
      <c r="DO62" t="e">
        <f>Nodes!R461+"'E4!$~A"</f>
        <v>#VALUE!</v>
      </c>
      <c r="DP62" t="e">
        <f>Nodes!S461+"'E4!$~B"</f>
        <v>#VALUE!</v>
      </c>
      <c r="DQ62" t="e">
        <f>Nodes!T461+"'E4!$~C"</f>
        <v>#VALUE!</v>
      </c>
      <c r="DR62" s="548" t="e">
        <f>Nodes!U461+"'E4!$~D"</f>
        <v>#VALUE!</v>
      </c>
      <c r="DS62" s="548" t="e">
        <f>Nodes!V461+"'E4!$~E"</f>
        <v>#VALUE!</v>
      </c>
      <c r="DT62" s="548" t="e">
        <f>Nodes!W461+"'E4!$~F"</f>
        <v>#VALUE!</v>
      </c>
      <c r="DU62" s="333" t="e">
        <f>Nodes!X461+"'E4!$~G"</f>
        <v>#VALUE!</v>
      </c>
      <c r="DV62" t="e">
        <f>Nodes!Y461+"'E4!$~H"</f>
        <v>#VALUE!</v>
      </c>
      <c r="DW62" t="e">
        <f>Nodes!Z461+"'E4!$~I"</f>
        <v>#VALUE!</v>
      </c>
      <c r="DX62" t="e">
        <f>Nodes!AA461+"'E4!$~J"</f>
        <v>#VALUE!</v>
      </c>
      <c r="DY62" t="e">
        <f>Nodes!AB461+"'E4!$~K"</f>
        <v>#VALUE!</v>
      </c>
      <c r="DZ62" t="e">
        <f>Nodes!AC461+"'E4!$~L"</f>
        <v>#VALUE!</v>
      </c>
      <c r="EA62" t="e">
        <f>Nodes!A462+"'E4!$~M"</f>
        <v>#VALUE!</v>
      </c>
      <c r="EB62" t="e">
        <f>Nodes!B462+"'E4!$~N"</f>
        <v>#VALUE!</v>
      </c>
      <c r="EC62" t="e">
        <f>Nodes!C462+"'E4!$~O"</f>
        <v>#VALUE!</v>
      </c>
      <c r="ED62" t="e">
        <f>Nodes!D462+"'E4!$~P"</f>
        <v>#VALUE!</v>
      </c>
      <c r="EE62" t="e">
        <f>Nodes!E462+"'E4!$~Q"</f>
        <v>#VALUE!</v>
      </c>
      <c r="EF62" t="e">
        <f>Nodes!F462+"'E4!$~R"</f>
        <v>#VALUE!</v>
      </c>
      <c r="EG62" t="e">
        <f>Nodes!G462+"'E4!$~S"</f>
        <v>#VALUE!</v>
      </c>
      <c r="EH62" t="e">
        <f>Nodes!H462+"'E4!$~T"</f>
        <v>#VALUE!</v>
      </c>
      <c r="EI62" t="e">
        <f>Nodes!I462+"'E4!$~U"</f>
        <v>#VALUE!</v>
      </c>
      <c r="EJ62" t="e">
        <f>Nodes!J462+"'E4!$~V"</f>
        <v>#VALUE!</v>
      </c>
      <c r="EK62" t="e">
        <f>Nodes!K462+"'E4!$~W"</f>
        <v>#VALUE!</v>
      </c>
      <c r="EL62" t="e">
        <f>Nodes!L462+"'E4!$~X"</f>
        <v>#VALUE!</v>
      </c>
      <c r="EM62" t="e">
        <f>Nodes!M462+"'E4!$~Y"</f>
        <v>#VALUE!</v>
      </c>
      <c r="EN62" t="e">
        <f>Nodes!N462+"'E4!$~Z"</f>
        <v>#VALUE!</v>
      </c>
      <c r="EO62" t="e">
        <f>Nodes!O462+"'E4!$~["</f>
        <v>#VALUE!</v>
      </c>
      <c r="EP62" t="e">
        <f>Nodes!P462+"'E4!$~\"</f>
        <v>#VALUE!</v>
      </c>
      <c r="EQ62" t="e">
        <f>Nodes!Q462+"'E4!$~]"</f>
        <v>#VALUE!</v>
      </c>
      <c r="ER62" t="e">
        <f>Nodes!R462+"'E4!$~^"</f>
        <v>#VALUE!</v>
      </c>
      <c r="ES62" t="e">
        <f>Nodes!S462+"'E4!$~_"</f>
        <v>#VALUE!</v>
      </c>
      <c r="ET62" t="e">
        <f>Nodes!T462+"'E4!$~`"</f>
        <v>#VALUE!</v>
      </c>
      <c r="EU62" s="548" t="e">
        <f>Nodes!U462+"'E4!$~a"</f>
        <v>#VALUE!</v>
      </c>
      <c r="EV62" s="548" t="e">
        <f>Nodes!V462+"'E4!$~b"</f>
        <v>#VALUE!</v>
      </c>
      <c r="EW62" s="548" t="e">
        <f>Nodes!W462+"'E4!$~c"</f>
        <v>#VALUE!</v>
      </c>
      <c r="EX62" s="333" t="e">
        <f>Nodes!X462+"'E4!$~d"</f>
        <v>#VALUE!</v>
      </c>
      <c r="EY62" t="e">
        <f>Nodes!Y462+"'E4!$~e"</f>
        <v>#VALUE!</v>
      </c>
      <c r="EZ62" t="e">
        <f>Nodes!Z462+"'E4!$~f"</f>
        <v>#VALUE!</v>
      </c>
      <c r="FA62" t="e">
        <f>Nodes!AA462+"'E4!$~g"</f>
        <v>#VALUE!</v>
      </c>
      <c r="FB62" t="e">
        <f>Nodes!AB462+"'E4!$~h"</f>
        <v>#VALUE!</v>
      </c>
      <c r="FC62" t="e">
        <f>Nodes!AC462+"'E4!$~i"</f>
        <v>#VALUE!</v>
      </c>
      <c r="FD62" t="e">
        <f>Nodes!A463+"'E4!$~j"</f>
        <v>#VALUE!</v>
      </c>
      <c r="FE62" t="e">
        <f>Nodes!B463+"'E4!$~k"</f>
        <v>#VALUE!</v>
      </c>
      <c r="FF62" t="e">
        <f>Nodes!C463+"'E4!$~l"</f>
        <v>#VALUE!</v>
      </c>
      <c r="FG62" t="e">
        <f>Nodes!D463+"'E4!$~m"</f>
        <v>#VALUE!</v>
      </c>
      <c r="FH62" t="e">
        <f>Nodes!E463+"'E4!$~n"</f>
        <v>#VALUE!</v>
      </c>
      <c r="FI62" t="e">
        <f>Nodes!F463+"'E4!$~o"</f>
        <v>#VALUE!</v>
      </c>
      <c r="FJ62" t="e">
        <f>Nodes!G463+"'E4!$~p"</f>
        <v>#VALUE!</v>
      </c>
      <c r="FK62" t="e">
        <f>Nodes!H463+"'E4!$~q"</f>
        <v>#VALUE!</v>
      </c>
      <c r="FL62" t="e">
        <f>Nodes!I463+"'E4!$~r"</f>
        <v>#VALUE!</v>
      </c>
      <c r="FM62" t="e">
        <f>Nodes!J463+"'E4!$~s"</f>
        <v>#VALUE!</v>
      </c>
      <c r="FN62" t="e">
        <f>Nodes!K463+"'E4!$~t"</f>
        <v>#VALUE!</v>
      </c>
      <c r="FO62" t="e">
        <f>Nodes!L463+"'E4!$~u"</f>
        <v>#VALUE!</v>
      </c>
      <c r="FP62" t="e">
        <f>Nodes!M463+"'E4!$~v"</f>
        <v>#VALUE!</v>
      </c>
      <c r="FQ62" t="e">
        <f>Nodes!N463+"'E4!$~w"</f>
        <v>#VALUE!</v>
      </c>
      <c r="FR62" t="e">
        <f>Nodes!O463+"'E4!$~x"</f>
        <v>#VALUE!</v>
      </c>
      <c r="FS62" t="e">
        <f>Nodes!P463+"'E4!$~y"</f>
        <v>#VALUE!</v>
      </c>
      <c r="FT62" t="e">
        <f>Nodes!Q463+"'E4!$~z"</f>
        <v>#VALUE!</v>
      </c>
      <c r="FU62" t="e">
        <f>Nodes!R463+"'E4!$~{"</f>
        <v>#VALUE!</v>
      </c>
      <c r="FV62" t="e">
        <f>Nodes!S463+"'E4!$~|"</f>
        <v>#VALUE!</v>
      </c>
      <c r="FW62" t="e">
        <f>Nodes!T463+"'E4!$~}"</f>
        <v>#VALUE!</v>
      </c>
      <c r="FX62" s="548" t="e">
        <f>Nodes!U463+"'E4!$~~"</f>
        <v>#VALUE!</v>
      </c>
      <c r="FY62" s="548" t="e">
        <f>Nodes!V463+"'E4!%##"</f>
        <v>#VALUE!</v>
      </c>
      <c r="FZ62" s="548" t="e">
        <f>Nodes!W463+"'E4!%#$"</f>
        <v>#VALUE!</v>
      </c>
      <c r="GA62" s="333" t="e">
        <f>Nodes!X463+"'E4!%#%"</f>
        <v>#VALUE!</v>
      </c>
      <c r="GB62" t="e">
        <f>Nodes!Y463+"'E4!%#&amp;"</f>
        <v>#VALUE!</v>
      </c>
      <c r="GC62" t="e">
        <f>Nodes!Z463+"'E4!%#'"</f>
        <v>#VALUE!</v>
      </c>
      <c r="GD62" t="e">
        <f>Nodes!AA463+"'E4!%#("</f>
        <v>#VALUE!</v>
      </c>
      <c r="GE62" t="e">
        <f>Nodes!AB463+"'E4!%#)"</f>
        <v>#VALUE!</v>
      </c>
      <c r="GF62" t="e">
        <f>Nodes!AC463+"'E4!%#."</f>
        <v>#VALUE!</v>
      </c>
      <c r="GG62" t="e">
        <f>Nodes!A464+"'E4!%#/"</f>
        <v>#VALUE!</v>
      </c>
      <c r="GH62" t="e">
        <f>Nodes!B464+"'E4!%#0"</f>
        <v>#VALUE!</v>
      </c>
      <c r="GI62" t="e">
        <f>Nodes!C464+"'E4!%#1"</f>
        <v>#VALUE!</v>
      </c>
      <c r="GJ62" t="e">
        <f>Nodes!D464+"'E4!%#2"</f>
        <v>#VALUE!</v>
      </c>
      <c r="GK62" t="e">
        <f>Nodes!E464+"'E4!%#3"</f>
        <v>#VALUE!</v>
      </c>
      <c r="GL62" t="e">
        <f>Nodes!F464+"'E4!%#4"</f>
        <v>#VALUE!</v>
      </c>
      <c r="GM62" t="e">
        <f>Nodes!G464+"'E4!%#5"</f>
        <v>#VALUE!</v>
      </c>
      <c r="GN62" t="e">
        <f>Nodes!H464+"'E4!%#6"</f>
        <v>#VALUE!</v>
      </c>
      <c r="GO62" t="e">
        <f>Nodes!I464+"'E4!%#7"</f>
        <v>#VALUE!</v>
      </c>
      <c r="GP62" t="e">
        <f>Nodes!J464+"'E4!%#8"</f>
        <v>#VALUE!</v>
      </c>
      <c r="GQ62" t="e">
        <f>Nodes!K464+"'E4!%#9"</f>
        <v>#VALUE!</v>
      </c>
      <c r="GR62" t="e">
        <f>Nodes!L464+"'E4!%#:"</f>
        <v>#VALUE!</v>
      </c>
      <c r="GS62" t="e">
        <f>Nodes!M464+"'E4!%#;"</f>
        <v>#VALUE!</v>
      </c>
      <c r="GT62" t="e">
        <f>Nodes!N464+"'E4!%#&lt;"</f>
        <v>#VALUE!</v>
      </c>
      <c r="GU62" t="e">
        <f>Nodes!O464+"'E4!%#="</f>
        <v>#VALUE!</v>
      </c>
      <c r="GV62" t="e">
        <f>Nodes!P464+"'E4!%#&gt;"</f>
        <v>#VALUE!</v>
      </c>
      <c r="GW62" t="e">
        <f>Nodes!Q464+"'E4!%#?"</f>
        <v>#VALUE!</v>
      </c>
      <c r="GX62" t="e">
        <f>Nodes!R464+"'E4!%#@"</f>
        <v>#VALUE!</v>
      </c>
      <c r="GY62" t="e">
        <f>Nodes!S464+"'E4!%#A"</f>
        <v>#VALUE!</v>
      </c>
      <c r="GZ62" t="e">
        <f>Nodes!T464+"'E4!%#B"</f>
        <v>#VALUE!</v>
      </c>
      <c r="HA62" s="548" t="e">
        <f>Nodes!U464+"'E4!%#C"</f>
        <v>#VALUE!</v>
      </c>
      <c r="HB62" s="548" t="e">
        <f>Nodes!V464+"'E4!%#D"</f>
        <v>#VALUE!</v>
      </c>
      <c r="HC62" s="548" t="e">
        <f>Nodes!W464+"'E4!%#E"</f>
        <v>#VALUE!</v>
      </c>
      <c r="HD62" s="333" t="e">
        <f>Nodes!X464+"'E4!%#F"</f>
        <v>#VALUE!</v>
      </c>
      <c r="HE62" t="e">
        <f>Nodes!Y464+"'E4!%#G"</f>
        <v>#VALUE!</v>
      </c>
      <c r="HF62" t="e">
        <f>Nodes!Z464+"'E4!%#H"</f>
        <v>#VALUE!</v>
      </c>
      <c r="HG62" t="e">
        <f>Nodes!AA464+"'E4!%#I"</f>
        <v>#VALUE!</v>
      </c>
      <c r="HH62" t="e">
        <f>Nodes!AB464+"'E4!%#J"</f>
        <v>#VALUE!</v>
      </c>
      <c r="HI62" t="e">
        <f>Nodes!AC464+"'E4!%#K"</f>
        <v>#VALUE!</v>
      </c>
      <c r="HJ62" t="e">
        <f>Nodes!A465+"'E4!%#L"</f>
        <v>#VALUE!</v>
      </c>
      <c r="HK62" t="e">
        <f>Nodes!B465+"'E4!%#M"</f>
        <v>#VALUE!</v>
      </c>
      <c r="HL62" t="e">
        <f>Nodes!C465+"'E4!%#N"</f>
        <v>#VALUE!</v>
      </c>
      <c r="HM62" t="e">
        <f>Nodes!D465+"'E4!%#O"</f>
        <v>#VALUE!</v>
      </c>
      <c r="HN62" t="e">
        <f>Nodes!E465+"'E4!%#P"</f>
        <v>#VALUE!</v>
      </c>
      <c r="HO62" t="e">
        <f>Nodes!F465+"'E4!%#Q"</f>
        <v>#VALUE!</v>
      </c>
      <c r="HP62" t="e">
        <f>Nodes!G465+"'E4!%#R"</f>
        <v>#VALUE!</v>
      </c>
      <c r="HQ62" t="e">
        <f>Nodes!H465+"'E4!%#S"</f>
        <v>#VALUE!</v>
      </c>
      <c r="HR62" t="e">
        <f>Nodes!I465+"'E4!%#T"</f>
        <v>#VALUE!</v>
      </c>
      <c r="HS62" t="e">
        <f>Nodes!J465+"'E4!%#U"</f>
        <v>#VALUE!</v>
      </c>
      <c r="HT62" t="e">
        <f>Nodes!K465+"'E4!%#V"</f>
        <v>#VALUE!</v>
      </c>
      <c r="HU62" t="e">
        <f>Nodes!L465+"'E4!%#W"</f>
        <v>#VALUE!</v>
      </c>
      <c r="HV62" t="e">
        <f>Nodes!M465+"'E4!%#X"</f>
        <v>#VALUE!</v>
      </c>
      <c r="HW62" t="e">
        <f>Nodes!N465+"'E4!%#Y"</f>
        <v>#VALUE!</v>
      </c>
      <c r="HX62" t="e">
        <f>Nodes!O465+"'E4!%#Z"</f>
        <v>#VALUE!</v>
      </c>
      <c r="HY62" t="e">
        <f>Nodes!P465+"'E4!%#["</f>
        <v>#VALUE!</v>
      </c>
      <c r="HZ62" t="e">
        <f>Nodes!Q465+"'E4!%#\"</f>
        <v>#VALUE!</v>
      </c>
      <c r="IA62" t="e">
        <f>Nodes!R465+"'E4!%#]"</f>
        <v>#VALUE!</v>
      </c>
      <c r="IB62" t="e">
        <f>Nodes!S465+"'E4!%#^"</f>
        <v>#VALUE!</v>
      </c>
      <c r="IC62" t="e">
        <f>Nodes!T465+"'E4!%#_"</f>
        <v>#VALUE!</v>
      </c>
      <c r="ID62" s="548" t="e">
        <f>Nodes!U465+"'E4!%#`"</f>
        <v>#VALUE!</v>
      </c>
      <c r="IE62" s="548" t="e">
        <f>Nodes!V465+"'E4!%#a"</f>
        <v>#VALUE!</v>
      </c>
      <c r="IF62" s="548" t="e">
        <f>Nodes!W465+"'E4!%#b"</f>
        <v>#VALUE!</v>
      </c>
      <c r="IG62" s="333" t="e">
        <f>Nodes!X465+"'E4!%#c"</f>
        <v>#VALUE!</v>
      </c>
      <c r="IH62" t="e">
        <f>Nodes!Y465+"'E4!%#d"</f>
        <v>#VALUE!</v>
      </c>
      <c r="II62" t="e">
        <f>Nodes!Z465+"'E4!%#e"</f>
        <v>#VALUE!</v>
      </c>
      <c r="IJ62" t="e">
        <f>Nodes!AA465+"'E4!%#f"</f>
        <v>#VALUE!</v>
      </c>
      <c r="IK62" t="e">
        <f>Nodes!AB465+"'E4!%#g"</f>
        <v>#VALUE!</v>
      </c>
      <c r="IL62" t="e">
        <f>Nodes!AC465+"'E4!%#h"</f>
        <v>#VALUE!</v>
      </c>
      <c r="IM62" t="e">
        <f>Nodes!A466+"'E4!%#i"</f>
        <v>#VALUE!</v>
      </c>
      <c r="IN62" t="e">
        <f>Nodes!B466+"'E4!%#j"</f>
        <v>#VALUE!</v>
      </c>
      <c r="IO62" t="e">
        <f>Nodes!C466+"'E4!%#k"</f>
        <v>#VALUE!</v>
      </c>
      <c r="IP62" t="e">
        <f>Nodes!D466+"'E4!%#l"</f>
        <v>#VALUE!</v>
      </c>
      <c r="IQ62" t="e">
        <f>Nodes!E466+"'E4!%#m"</f>
        <v>#VALUE!</v>
      </c>
      <c r="IR62" t="e">
        <f>Nodes!F466+"'E4!%#n"</f>
        <v>#VALUE!</v>
      </c>
      <c r="IS62" t="e">
        <f>Nodes!G466+"'E4!%#o"</f>
        <v>#VALUE!</v>
      </c>
      <c r="IT62" t="e">
        <f>Nodes!H466+"'E4!%#p"</f>
        <v>#VALUE!</v>
      </c>
      <c r="IU62" t="e">
        <f>Nodes!I466+"'E4!%#q"</f>
        <v>#VALUE!</v>
      </c>
      <c r="IV62" t="e">
        <f>Nodes!J466+"'E4!%#r"</f>
        <v>#VALUE!</v>
      </c>
    </row>
    <row r="63" spans="6:256">
      <c r="F63" t="e">
        <f>Nodes!K466+"'E4!%#s"</f>
        <v>#VALUE!</v>
      </c>
      <c r="G63" t="e">
        <f>Nodes!L466+"'E4!%#t"</f>
        <v>#VALUE!</v>
      </c>
      <c r="H63" t="e">
        <f>Nodes!M466+"'E4!%#u"</f>
        <v>#VALUE!</v>
      </c>
      <c r="I63" t="e">
        <f>Nodes!N466+"'E4!%#v"</f>
        <v>#VALUE!</v>
      </c>
      <c r="J63" t="e">
        <f>Nodes!O466+"'E4!%#w"</f>
        <v>#VALUE!</v>
      </c>
      <c r="K63" t="e">
        <f>Nodes!P466+"'E4!%#x"</f>
        <v>#VALUE!</v>
      </c>
      <c r="L63" t="e">
        <f>Nodes!Q466+"'E4!%#y"</f>
        <v>#VALUE!</v>
      </c>
      <c r="M63" t="e">
        <f>Nodes!R466+"'E4!%#z"</f>
        <v>#VALUE!</v>
      </c>
      <c r="N63" t="e">
        <f>Nodes!S466+"'E4!%#{"</f>
        <v>#VALUE!</v>
      </c>
      <c r="O63" t="e">
        <f>Nodes!T466+"'E4!%#|"</f>
        <v>#VALUE!</v>
      </c>
      <c r="P63" s="548" t="e">
        <f>Nodes!U466+"'E4!%#}"</f>
        <v>#VALUE!</v>
      </c>
      <c r="Q63" s="548" t="e">
        <f>Nodes!V466+"'E4!%#~"</f>
        <v>#VALUE!</v>
      </c>
      <c r="R63" s="548" t="e">
        <f>Nodes!W466+"'E4!%$#"</f>
        <v>#VALUE!</v>
      </c>
      <c r="S63" s="333" t="e">
        <f>Nodes!X466+"'E4!%$$"</f>
        <v>#VALUE!</v>
      </c>
      <c r="T63" t="e">
        <f>Nodes!Y466+"'E4!%$%"</f>
        <v>#VALUE!</v>
      </c>
      <c r="U63" t="e">
        <f>Nodes!Z466+"'E4!%$&amp;"</f>
        <v>#VALUE!</v>
      </c>
      <c r="V63" t="e">
        <f>Nodes!AA466+"'E4!%$'"</f>
        <v>#VALUE!</v>
      </c>
      <c r="W63" t="e">
        <f>Nodes!AB466+"'E4!%$("</f>
        <v>#VALUE!</v>
      </c>
      <c r="X63" t="e">
        <f>Nodes!AC466+"'E4!%$)"</f>
        <v>#VALUE!</v>
      </c>
      <c r="Y63" t="e">
        <f>Nodes!A467+"'E4!%$."</f>
        <v>#VALUE!</v>
      </c>
      <c r="Z63" t="e">
        <f>Nodes!B467+"'E4!%$/"</f>
        <v>#VALUE!</v>
      </c>
      <c r="AA63" t="e">
        <f>Nodes!C467+"'E4!%$0"</f>
        <v>#VALUE!</v>
      </c>
      <c r="AB63" t="e">
        <f>Nodes!D467+"'E4!%$1"</f>
        <v>#VALUE!</v>
      </c>
      <c r="AC63" t="e">
        <f>Nodes!E467+"'E4!%$2"</f>
        <v>#VALUE!</v>
      </c>
      <c r="AD63" t="e">
        <f>Nodes!F467+"'E4!%$3"</f>
        <v>#VALUE!</v>
      </c>
      <c r="AE63" t="e">
        <f>Nodes!G467+"'E4!%$4"</f>
        <v>#VALUE!</v>
      </c>
      <c r="AF63" t="e">
        <f>Nodes!H467+"'E4!%$5"</f>
        <v>#VALUE!</v>
      </c>
      <c r="AG63" t="e">
        <f>Nodes!I467+"'E4!%$6"</f>
        <v>#VALUE!</v>
      </c>
      <c r="AH63" t="e">
        <f>Nodes!J467+"'E4!%$7"</f>
        <v>#VALUE!</v>
      </c>
      <c r="AI63" t="e">
        <f>Nodes!K467+"'E4!%$8"</f>
        <v>#VALUE!</v>
      </c>
      <c r="AJ63" t="e">
        <f>Nodes!L467+"'E4!%$9"</f>
        <v>#VALUE!</v>
      </c>
      <c r="AK63" t="e">
        <f>Nodes!M467+"'E4!%$:"</f>
        <v>#VALUE!</v>
      </c>
      <c r="AL63" t="e">
        <f>Nodes!N467+"'E4!%$;"</f>
        <v>#VALUE!</v>
      </c>
      <c r="AM63" t="e">
        <f>Nodes!O467+"'E4!%$&lt;"</f>
        <v>#VALUE!</v>
      </c>
      <c r="AN63" t="e">
        <f>Nodes!P467+"'E4!%$="</f>
        <v>#VALUE!</v>
      </c>
      <c r="AO63" t="e">
        <f>Nodes!Q467+"'E4!%$&gt;"</f>
        <v>#VALUE!</v>
      </c>
      <c r="AP63" t="e">
        <f>Nodes!R467+"'E4!%$?"</f>
        <v>#VALUE!</v>
      </c>
      <c r="AQ63" t="e">
        <f>Nodes!S467+"'E4!%$@"</f>
        <v>#VALUE!</v>
      </c>
      <c r="AR63" t="e">
        <f>Nodes!T467+"'E4!%$A"</f>
        <v>#VALUE!</v>
      </c>
      <c r="AS63" s="548" t="e">
        <f>Nodes!U467+"'E4!%$B"</f>
        <v>#VALUE!</v>
      </c>
      <c r="AT63" s="548" t="e">
        <f>Nodes!V467+"'E4!%$C"</f>
        <v>#VALUE!</v>
      </c>
      <c r="AU63" s="548" t="e">
        <f>Nodes!W467+"'E4!%$D"</f>
        <v>#VALUE!</v>
      </c>
      <c r="AV63" s="333" t="e">
        <f>Nodes!X467+"'E4!%$E"</f>
        <v>#VALUE!</v>
      </c>
      <c r="AW63" t="e">
        <f>Nodes!Y467+"'E4!%$F"</f>
        <v>#VALUE!</v>
      </c>
      <c r="AX63" t="e">
        <f>Nodes!Z467+"'E4!%$G"</f>
        <v>#VALUE!</v>
      </c>
      <c r="AY63" t="e">
        <f>Nodes!AA467+"'E4!%$H"</f>
        <v>#VALUE!</v>
      </c>
      <c r="AZ63" t="e">
        <f>Nodes!AB467+"'E4!%$I"</f>
        <v>#VALUE!</v>
      </c>
      <c r="BA63" t="e">
        <f>Nodes!AC467+"'E4!%$J"</f>
        <v>#VALUE!</v>
      </c>
      <c r="BB63" t="e">
        <f>Nodes!A468+"'E4!%$K"</f>
        <v>#VALUE!</v>
      </c>
      <c r="BC63" t="e">
        <f>Nodes!B468+"'E4!%$L"</f>
        <v>#VALUE!</v>
      </c>
      <c r="BD63" t="e">
        <f>Nodes!C468+"'E4!%$M"</f>
        <v>#VALUE!</v>
      </c>
      <c r="BE63" t="e">
        <f>Nodes!D468+"'E4!%$N"</f>
        <v>#VALUE!</v>
      </c>
      <c r="BF63" t="e">
        <f>Nodes!E468+"'E4!%$O"</f>
        <v>#VALUE!</v>
      </c>
      <c r="BG63" t="e">
        <f>Nodes!F468+"'E4!%$P"</f>
        <v>#VALUE!</v>
      </c>
      <c r="BH63" t="e">
        <f>Nodes!G468+"'E4!%$Q"</f>
        <v>#VALUE!</v>
      </c>
      <c r="BI63" t="e">
        <f>Nodes!H468+"'E4!%$R"</f>
        <v>#VALUE!</v>
      </c>
      <c r="BJ63" t="e">
        <f>Nodes!I468+"'E4!%$S"</f>
        <v>#VALUE!</v>
      </c>
      <c r="BK63" t="e">
        <f>Nodes!J468+"'E4!%$T"</f>
        <v>#VALUE!</v>
      </c>
      <c r="BL63" t="e">
        <f>Nodes!K468+"'E4!%$U"</f>
        <v>#VALUE!</v>
      </c>
      <c r="BM63" t="e">
        <f>Nodes!L468+"'E4!%$V"</f>
        <v>#VALUE!</v>
      </c>
      <c r="BN63" t="e">
        <f>Nodes!M468+"'E4!%$W"</f>
        <v>#VALUE!</v>
      </c>
      <c r="BO63" t="e">
        <f>Nodes!N468+"'E4!%$X"</f>
        <v>#VALUE!</v>
      </c>
      <c r="BP63" t="e">
        <f>Nodes!O468+"'E4!%$Y"</f>
        <v>#VALUE!</v>
      </c>
      <c r="BQ63" t="e">
        <f>Nodes!P468+"'E4!%$Z"</f>
        <v>#VALUE!</v>
      </c>
      <c r="BR63" t="e">
        <f>Nodes!Q468+"'E4!%$["</f>
        <v>#VALUE!</v>
      </c>
      <c r="BS63" t="e">
        <f>Nodes!R468+"'E4!%$\"</f>
        <v>#VALUE!</v>
      </c>
      <c r="BT63" t="e">
        <f>Nodes!S468+"'E4!%$]"</f>
        <v>#VALUE!</v>
      </c>
      <c r="BU63" t="e">
        <f>Nodes!T468+"'E4!%$^"</f>
        <v>#VALUE!</v>
      </c>
      <c r="BV63" s="548" t="e">
        <f>Nodes!U468+"'E4!%$_"</f>
        <v>#VALUE!</v>
      </c>
      <c r="BW63" s="548" t="e">
        <f>Nodes!V468+"'E4!%$`"</f>
        <v>#VALUE!</v>
      </c>
      <c r="BX63" s="548" t="e">
        <f>Nodes!W468+"'E4!%$a"</f>
        <v>#VALUE!</v>
      </c>
      <c r="BY63" s="333" t="e">
        <f>Nodes!X468+"'E4!%$b"</f>
        <v>#VALUE!</v>
      </c>
      <c r="BZ63" t="e">
        <f>Nodes!Y468+"'E4!%$c"</f>
        <v>#VALUE!</v>
      </c>
      <c r="CA63" t="e">
        <f>Nodes!Z468+"'E4!%$d"</f>
        <v>#VALUE!</v>
      </c>
      <c r="CB63" t="e">
        <f>Nodes!AA468+"'E4!%$e"</f>
        <v>#VALUE!</v>
      </c>
      <c r="CC63" t="e">
        <f>Nodes!AB468+"'E4!%$f"</f>
        <v>#VALUE!</v>
      </c>
      <c r="CD63" t="e">
        <f>Nodes!AC468+"'E4!%$g"</f>
        <v>#VALUE!</v>
      </c>
      <c r="CE63" t="e">
        <f>Nodes!A469+"'E4!%$h"</f>
        <v>#VALUE!</v>
      </c>
      <c r="CF63" t="e">
        <f>Nodes!B469+"'E4!%$i"</f>
        <v>#VALUE!</v>
      </c>
      <c r="CG63" t="e">
        <f>Nodes!C469+"'E4!%$j"</f>
        <v>#VALUE!</v>
      </c>
      <c r="CH63" t="e">
        <f>Nodes!D469+"'E4!%$k"</f>
        <v>#VALUE!</v>
      </c>
      <c r="CI63" t="e">
        <f>Nodes!E469+"'E4!%$l"</f>
        <v>#VALUE!</v>
      </c>
      <c r="CJ63" t="e">
        <f>Nodes!F469+"'E4!%$m"</f>
        <v>#VALUE!</v>
      </c>
      <c r="CK63" t="e">
        <f>Nodes!G469+"'E4!%$n"</f>
        <v>#VALUE!</v>
      </c>
      <c r="CL63" t="e">
        <f>Nodes!H469+"'E4!%$o"</f>
        <v>#VALUE!</v>
      </c>
      <c r="CM63" t="e">
        <f>Nodes!I469+"'E4!%$p"</f>
        <v>#VALUE!</v>
      </c>
      <c r="CN63" t="e">
        <f>Nodes!J469+"'E4!%$q"</f>
        <v>#VALUE!</v>
      </c>
      <c r="CO63" t="e">
        <f>Nodes!K469+"'E4!%$r"</f>
        <v>#VALUE!</v>
      </c>
      <c r="CP63" t="e">
        <f>Nodes!L469+"'E4!%$s"</f>
        <v>#VALUE!</v>
      </c>
      <c r="CQ63" t="e">
        <f>Nodes!M469+"'E4!%$t"</f>
        <v>#VALUE!</v>
      </c>
      <c r="CR63" t="e">
        <f>Nodes!N469+"'E4!%$u"</f>
        <v>#VALUE!</v>
      </c>
      <c r="CS63" t="e">
        <f>Nodes!O469+"'E4!%$v"</f>
        <v>#VALUE!</v>
      </c>
      <c r="CT63" t="e">
        <f>Nodes!P469+"'E4!%$w"</f>
        <v>#VALUE!</v>
      </c>
      <c r="CU63" t="e">
        <f>Nodes!Q469+"'E4!%$x"</f>
        <v>#VALUE!</v>
      </c>
      <c r="CV63" t="e">
        <f>Nodes!R469+"'E4!%$y"</f>
        <v>#VALUE!</v>
      </c>
      <c r="CW63" t="e">
        <f>Nodes!S469+"'E4!%$z"</f>
        <v>#VALUE!</v>
      </c>
      <c r="CX63" t="e">
        <f>Nodes!T469+"'E4!%${"</f>
        <v>#VALUE!</v>
      </c>
      <c r="CY63" s="548" t="e">
        <f>Nodes!U469+"'E4!%$|"</f>
        <v>#VALUE!</v>
      </c>
      <c r="CZ63" s="548" t="e">
        <f>Nodes!V469+"'E4!%$}"</f>
        <v>#VALUE!</v>
      </c>
      <c r="DA63" s="548" t="e">
        <f>Nodes!W469+"'E4!%$~"</f>
        <v>#VALUE!</v>
      </c>
      <c r="DB63" s="333" t="e">
        <f>Nodes!X469+"'E4!%%#"</f>
        <v>#VALUE!</v>
      </c>
      <c r="DC63" t="e">
        <f>Nodes!Y469+"'E4!%%$"</f>
        <v>#VALUE!</v>
      </c>
      <c r="DD63" t="e">
        <f>Nodes!Z469+"'E4!%%%"</f>
        <v>#VALUE!</v>
      </c>
      <c r="DE63" t="e">
        <f>Nodes!AA469+"'E4!%%&amp;"</f>
        <v>#VALUE!</v>
      </c>
      <c r="DF63" t="e">
        <f>Nodes!AB469+"'E4!%%'"</f>
        <v>#VALUE!</v>
      </c>
      <c r="DG63" t="e">
        <f>Nodes!AC469+"'E4!%%("</f>
        <v>#VALUE!</v>
      </c>
      <c r="DH63" t="e">
        <f>Nodes!A470+"'E4!%%)"</f>
        <v>#VALUE!</v>
      </c>
      <c r="DI63" t="e">
        <f>Nodes!B470+"'E4!%%."</f>
        <v>#VALUE!</v>
      </c>
      <c r="DJ63" t="e">
        <f>Nodes!C470+"'E4!%%/"</f>
        <v>#VALUE!</v>
      </c>
      <c r="DK63" t="e">
        <f>Nodes!D470+"'E4!%%0"</f>
        <v>#VALUE!</v>
      </c>
      <c r="DL63" t="e">
        <f>Nodes!E470+"'E4!%%1"</f>
        <v>#VALUE!</v>
      </c>
      <c r="DM63" t="e">
        <f>Nodes!F470+"'E4!%%2"</f>
        <v>#VALUE!</v>
      </c>
      <c r="DN63" t="e">
        <f>Nodes!G470+"'E4!%%3"</f>
        <v>#VALUE!</v>
      </c>
      <c r="DO63" t="e">
        <f>Nodes!H470+"'E4!%%4"</f>
        <v>#VALUE!</v>
      </c>
      <c r="DP63" t="e">
        <f>Nodes!I470+"'E4!%%5"</f>
        <v>#VALUE!</v>
      </c>
      <c r="DQ63" t="e">
        <f>Nodes!J470+"'E4!%%6"</f>
        <v>#VALUE!</v>
      </c>
      <c r="DR63" t="e">
        <f>Nodes!K470+"'E4!%%7"</f>
        <v>#VALUE!</v>
      </c>
      <c r="DS63" t="e">
        <f>Nodes!L470+"'E4!%%8"</f>
        <v>#VALUE!</v>
      </c>
      <c r="DT63" t="e">
        <f>Nodes!M470+"'E4!%%9"</f>
        <v>#VALUE!</v>
      </c>
      <c r="DU63" t="e">
        <f>Nodes!N470+"'E4!%%:"</f>
        <v>#VALUE!</v>
      </c>
      <c r="DV63" t="e">
        <f>Nodes!O470+"'E4!%%;"</f>
        <v>#VALUE!</v>
      </c>
      <c r="DW63" t="e">
        <f>Nodes!P470+"'E4!%%&lt;"</f>
        <v>#VALUE!</v>
      </c>
      <c r="DX63" t="e">
        <f>Nodes!Q470+"'E4!%%="</f>
        <v>#VALUE!</v>
      </c>
      <c r="DY63" t="e">
        <f>Nodes!R470+"'E4!%%&gt;"</f>
        <v>#VALUE!</v>
      </c>
      <c r="DZ63" t="e">
        <f>Nodes!S470+"'E4!%%?"</f>
        <v>#VALUE!</v>
      </c>
      <c r="EA63" t="e">
        <f>Nodes!T470+"'E4!%%@"</f>
        <v>#VALUE!</v>
      </c>
      <c r="EB63" s="548" t="e">
        <f>Nodes!U470+"'E4!%%A"</f>
        <v>#VALUE!</v>
      </c>
      <c r="EC63" s="548" t="e">
        <f>Nodes!V470+"'E4!%%B"</f>
        <v>#VALUE!</v>
      </c>
      <c r="ED63" s="548" t="e">
        <f>Nodes!W470+"'E4!%%C"</f>
        <v>#VALUE!</v>
      </c>
      <c r="EE63" s="333" t="e">
        <f>Nodes!X470+"'E4!%%D"</f>
        <v>#VALUE!</v>
      </c>
      <c r="EF63" t="e">
        <f>Nodes!Y470+"'E4!%%E"</f>
        <v>#VALUE!</v>
      </c>
      <c r="EG63" t="e">
        <f>Nodes!Z470+"'E4!%%F"</f>
        <v>#VALUE!</v>
      </c>
      <c r="EH63" t="e">
        <f>Nodes!AA470+"'E4!%%G"</f>
        <v>#VALUE!</v>
      </c>
      <c r="EI63" t="e">
        <f>Nodes!AB470+"'E4!%%H"</f>
        <v>#VALUE!</v>
      </c>
      <c r="EJ63" t="e">
        <f>Nodes!AC470+"'E4!%%I"</f>
        <v>#VALUE!</v>
      </c>
      <c r="EK63" t="e">
        <f>Nodes!A471+"'E4!%%J"</f>
        <v>#VALUE!</v>
      </c>
      <c r="EL63" t="e">
        <f>Nodes!B471+"'E4!%%K"</f>
        <v>#VALUE!</v>
      </c>
      <c r="EM63" t="e">
        <f>Nodes!C471+"'E4!%%L"</f>
        <v>#VALUE!</v>
      </c>
      <c r="EN63" t="e">
        <f>Nodes!D471+"'E4!%%M"</f>
        <v>#VALUE!</v>
      </c>
      <c r="EO63" t="e">
        <f>Nodes!E471+"'E4!%%N"</f>
        <v>#VALUE!</v>
      </c>
      <c r="EP63" t="e">
        <f>Nodes!F471+"'E4!%%O"</f>
        <v>#VALUE!</v>
      </c>
      <c r="EQ63" t="e">
        <f>Nodes!G471+"'E4!%%P"</f>
        <v>#VALUE!</v>
      </c>
      <c r="ER63" t="e">
        <f>Nodes!H471+"'E4!%%Q"</f>
        <v>#VALUE!</v>
      </c>
      <c r="ES63" t="e">
        <f>Nodes!I471+"'E4!%%R"</f>
        <v>#VALUE!</v>
      </c>
      <c r="ET63" t="e">
        <f>Nodes!J471+"'E4!%%S"</f>
        <v>#VALUE!</v>
      </c>
      <c r="EU63" t="e">
        <f>Nodes!K471+"'E4!%%T"</f>
        <v>#VALUE!</v>
      </c>
      <c r="EV63" t="e">
        <f>Nodes!L471+"'E4!%%U"</f>
        <v>#VALUE!</v>
      </c>
      <c r="EW63" t="e">
        <f>Nodes!M471+"'E4!%%V"</f>
        <v>#VALUE!</v>
      </c>
      <c r="EX63" t="e">
        <f>Nodes!N471+"'E4!%%W"</f>
        <v>#VALUE!</v>
      </c>
      <c r="EY63" t="e">
        <f>Nodes!O471+"'E4!%%X"</f>
        <v>#VALUE!</v>
      </c>
      <c r="EZ63" t="e">
        <f>Nodes!P471+"'E4!%%Y"</f>
        <v>#VALUE!</v>
      </c>
      <c r="FA63" t="e">
        <f>Nodes!Q471+"'E4!%%Z"</f>
        <v>#VALUE!</v>
      </c>
      <c r="FB63" t="e">
        <f>Nodes!R471+"'E4!%%["</f>
        <v>#VALUE!</v>
      </c>
      <c r="FC63" t="e">
        <f>Nodes!S471+"'E4!%%\"</f>
        <v>#VALUE!</v>
      </c>
      <c r="FD63" t="e">
        <f>Nodes!T471+"'E4!%%]"</f>
        <v>#VALUE!</v>
      </c>
      <c r="FE63" s="548" t="e">
        <f>Nodes!U471+"'E4!%%^"</f>
        <v>#VALUE!</v>
      </c>
      <c r="FF63" s="548" t="e">
        <f>Nodes!V471+"'E4!%%_"</f>
        <v>#VALUE!</v>
      </c>
      <c r="FG63" s="548" t="e">
        <f>Nodes!W471+"'E4!%%`"</f>
        <v>#VALUE!</v>
      </c>
      <c r="FH63" s="333" t="e">
        <f>Nodes!X471+"'E4!%%a"</f>
        <v>#VALUE!</v>
      </c>
      <c r="FI63" t="e">
        <f>Nodes!Y471+"'E4!%%b"</f>
        <v>#VALUE!</v>
      </c>
      <c r="FJ63" t="e">
        <f>Nodes!Z471+"'E4!%%c"</f>
        <v>#VALUE!</v>
      </c>
      <c r="FK63" t="e">
        <f>Nodes!AA471+"'E4!%%d"</f>
        <v>#VALUE!</v>
      </c>
      <c r="FL63" t="e">
        <f>Nodes!AB471+"'E4!%%e"</f>
        <v>#VALUE!</v>
      </c>
      <c r="FM63" t="e">
        <f>Nodes!AC471+"'E4!%%f"</f>
        <v>#VALUE!</v>
      </c>
      <c r="FN63" t="e">
        <f>Nodes!A472+"'E4!%%g"</f>
        <v>#VALUE!</v>
      </c>
      <c r="FO63" t="e">
        <f>Nodes!B472+"'E4!%%h"</f>
        <v>#VALUE!</v>
      </c>
      <c r="FP63" t="e">
        <f>Nodes!C472+"'E4!%%i"</f>
        <v>#VALUE!</v>
      </c>
      <c r="FQ63" t="e">
        <f>Nodes!D472+"'E4!%%j"</f>
        <v>#VALUE!</v>
      </c>
      <c r="FR63" t="e">
        <f>Nodes!E472+"'E4!%%k"</f>
        <v>#VALUE!</v>
      </c>
      <c r="FS63" t="e">
        <f>Nodes!F472+"'E4!%%l"</f>
        <v>#VALUE!</v>
      </c>
      <c r="FT63" t="e">
        <f>Nodes!G472+"'E4!%%m"</f>
        <v>#VALUE!</v>
      </c>
      <c r="FU63" t="e">
        <f>Nodes!H472+"'E4!%%n"</f>
        <v>#VALUE!</v>
      </c>
      <c r="FV63" t="e">
        <f>Nodes!I472+"'E4!%%o"</f>
        <v>#VALUE!</v>
      </c>
      <c r="FW63" t="e">
        <f>Nodes!J472+"'E4!%%p"</f>
        <v>#VALUE!</v>
      </c>
      <c r="FX63" t="e">
        <f>Nodes!K472+"'E4!%%q"</f>
        <v>#VALUE!</v>
      </c>
      <c r="FY63" t="e">
        <f>Nodes!L472+"'E4!%%r"</f>
        <v>#VALUE!</v>
      </c>
      <c r="FZ63" t="e">
        <f>Nodes!M472+"'E4!%%s"</f>
        <v>#VALUE!</v>
      </c>
      <c r="GA63" t="e">
        <f>Nodes!N472+"'E4!%%t"</f>
        <v>#VALUE!</v>
      </c>
      <c r="GB63" t="e">
        <f>Nodes!O472+"'E4!%%u"</f>
        <v>#VALUE!</v>
      </c>
      <c r="GC63" t="e">
        <f>Nodes!P472+"'E4!%%v"</f>
        <v>#VALUE!</v>
      </c>
      <c r="GD63" t="e">
        <f>Nodes!Q472+"'E4!%%w"</f>
        <v>#VALUE!</v>
      </c>
      <c r="GE63" t="e">
        <f>Nodes!R472+"'E4!%%x"</f>
        <v>#VALUE!</v>
      </c>
      <c r="GF63" t="e">
        <f>Nodes!S472+"'E4!%%y"</f>
        <v>#VALUE!</v>
      </c>
      <c r="GG63" t="e">
        <f>Nodes!T472+"'E4!%%z"</f>
        <v>#VALUE!</v>
      </c>
      <c r="GH63" s="548" t="e">
        <f>Nodes!U472+"'E4!%%{"</f>
        <v>#VALUE!</v>
      </c>
      <c r="GI63" s="548" t="e">
        <f>Nodes!V472+"'E4!%%|"</f>
        <v>#VALUE!</v>
      </c>
      <c r="GJ63" s="548" t="e">
        <f>Nodes!W472+"'E4!%%}"</f>
        <v>#VALUE!</v>
      </c>
      <c r="GK63" s="333" t="e">
        <f>Nodes!X472+"'E4!%%~"</f>
        <v>#VALUE!</v>
      </c>
      <c r="GL63" t="e">
        <f>Nodes!Y472+"'E4!%&amp;#"</f>
        <v>#VALUE!</v>
      </c>
      <c r="GM63" t="e">
        <f>Nodes!Z472+"'E4!%&amp;$"</f>
        <v>#VALUE!</v>
      </c>
      <c r="GN63" t="e">
        <f>Nodes!AA472+"'E4!%&amp;%"</f>
        <v>#VALUE!</v>
      </c>
      <c r="GO63" t="e">
        <f>Nodes!AB472+"'E4!%&amp;&amp;"</f>
        <v>#VALUE!</v>
      </c>
      <c r="GP63" t="e">
        <f>Nodes!AC472+"'E4!%&amp;'"</f>
        <v>#VALUE!</v>
      </c>
      <c r="GQ63" t="e">
        <f>Nodes!A473+"'E4!%&amp;("</f>
        <v>#VALUE!</v>
      </c>
      <c r="GR63" t="e">
        <f>Nodes!B473+"'E4!%&amp;)"</f>
        <v>#VALUE!</v>
      </c>
      <c r="GS63" t="e">
        <f>Nodes!C473+"'E4!%&amp;."</f>
        <v>#VALUE!</v>
      </c>
      <c r="GT63" t="e">
        <f>Nodes!D473+"'E4!%&amp;/"</f>
        <v>#VALUE!</v>
      </c>
      <c r="GU63" t="e">
        <f>Nodes!E473+"'E4!%&amp;0"</f>
        <v>#VALUE!</v>
      </c>
      <c r="GV63" t="e">
        <f>Nodes!F473+"'E4!%&amp;1"</f>
        <v>#VALUE!</v>
      </c>
      <c r="GW63" t="e">
        <f>Nodes!G473+"'E4!%&amp;2"</f>
        <v>#VALUE!</v>
      </c>
      <c r="GX63" t="e">
        <f>Nodes!H473+"'E4!%&amp;3"</f>
        <v>#VALUE!</v>
      </c>
      <c r="GY63" t="e">
        <f>Nodes!I473+"'E4!%&amp;4"</f>
        <v>#VALUE!</v>
      </c>
      <c r="GZ63" t="e">
        <f>Nodes!J473+"'E4!%&amp;5"</f>
        <v>#VALUE!</v>
      </c>
      <c r="HA63" t="e">
        <f>Nodes!K473+"'E4!%&amp;6"</f>
        <v>#VALUE!</v>
      </c>
      <c r="HB63" t="e">
        <f>Nodes!L473+"'E4!%&amp;7"</f>
        <v>#VALUE!</v>
      </c>
      <c r="HC63" t="e">
        <f>Nodes!M473+"'E4!%&amp;8"</f>
        <v>#VALUE!</v>
      </c>
      <c r="HD63" t="e">
        <f>Nodes!N473+"'E4!%&amp;9"</f>
        <v>#VALUE!</v>
      </c>
      <c r="HE63" t="e">
        <f>Nodes!O473+"'E4!%&amp;:"</f>
        <v>#VALUE!</v>
      </c>
      <c r="HF63" t="e">
        <f>Nodes!P473+"'E4!%&amp;;"</f>
        <v>#VALUE!</v>
      </c>
      <c r="HG63" t="e">
        <f>Nodes!Q473+"'E4!%&amp;&lt;"</f>
        <v>#VALUE!</v>
      </c>
      <c r="HH63" t="e">
        <f>Nodes!R473+"'E4!%&amp;="</f>
        <v>#VALUE!</v>
      </c>
      <c r="HI63" t="e">
        <f>Nodes!S473+"'E4!%&amp;&gt;"</f>
        <v>#VALUE!</v>
      </c>
      <c r="HJ63" t="e">
        <f>Nodes!T473+"'E4!%&amp;?"</f>
        <v>#VALUE!</v>
      </c>
      <c r="HK63" s="548" t="e">
        <f>Nodes!U473+"'E4!%&amp;@"</f>
        <v>#VALUE!</v>
      </c>
      <c r="HL63" s="548" t="e">
        <f>Nodes!V473+"'E4!%&amp;A"</f>
        <v>#VALUE!</v>
      </c>
      <c r="HM63" s="548" t="e">
        <f>Nodes!W473+"'E4!%&amp;B"</f>
        <v>#VALUE!</v>
      </c>
      <c r="HN63" s="333" t="e">
        <f>Nodes!X473+"'E4!%&amp;C"</f>
        <v>#VALUE!</v>
      </c>
      <c r="HO63" t="e">
        <f>Nodes!Y473+"'E4!%&amp;D"</f>
        <v>#VALUE!</v>
      </c>
      <c r="HP63" t="e">
        <f>Nodes!Z473+"'E4!%&amp;E"</f>
        <v>#VALUE!</v>
      </c>
      <c r="HQ63" t="e">
        <f>Nodes!AA473+"'E4!%&amp;F"</f>
        <v>#VALUE!</v>
      </c>
      <c r="HR63" t="e">
        <f>Nodes!AB473+"'E4!%&amp;G"</f>
        <v>#VALUE!</v>
      </c>
      <c r="HS63" t="e">
        <f>Nodes!AC473+"'E4!%&amp;H"</f>
        <v>#VALUE!</v>
      </c>
      <c r="HT63" t="e">
        <f>Nodes!A474+"'E4!%&amp;I"</f>
        <v>#VALUE!</v>
      </c>
      <c r="HU63" t="e">
        <f>Nodes!B474+"'E4!%&amp;J"</f>
        <v>#VALUE!</v>
      </c>
      <c r="HV63" t="e">
        <f>Nodes!C474+"'E4!%&amp;K"</f>
        <v>#VALUE!</v>
      </c>
      <c r="HW63" t="e">
        <f>Nodes!D474+"'E4!%&amp;L"</f>
        <v>#VALUE!</v>
      </c>
      <c r="HX63" t="e">
        <f>Nodes!E474+"'E4!%&amp;M"</f>
        <v>#VALUE!</v>
      </c>
      <c r="HY63" t="e">
        <f>Nodes!F474+"'E4!%&amp;N"</f>
        <v>#VALUE!</v>
      </c>
      <c r="HZ63" t="e">
        <f>Nodes!G474+"'E4!%&amp;O"</f>
        <v>#VALUE!</v>
      </c>
      <c r="IA63" t="e">
        <f>Nodes!H474+"'E4!%&amp;P"</f>
        <v>#VALUE!</v>
      </c>
      <c r="IB63" t="e">
        <f>Nodes!I474+"'E4!%&amp;Q"</f>
        <v>#VALUE!</v>
      </c>
      <c r="IC63" t="e">
        <f>Nodes!J474+"'E4!%&amp;R"</f>
        <v>#VALUE!</v>
      </c>
      <c r="ID63" t="e">
        <f>Nodes!K474+"'E4!%&amp;S"</f>
        <v>#VALUE!</v>
      </c>
      <c r="IE63" t="e">
        <f>Nodes!L474+"'E4!%&amp;T"</f>
        <v>#VALUE!</v>
      </c>
      <c r="IF63" t="e">
        <f>Nodes!M474+"'E4!%&amp;U"</f>
        <v>#VALUE!</v>
      </c>
      <c r="IG63" t="e">
        <f>Nodes!N474+"'E4!%&amp;V"</f>
        <v>#VALUE!</v>
      </c>
      <c r="IH63" t="e">
        <f>Nodes!O474+"'E4!%&amp;W"</f>
        <v>#VALUE!</v>
      </c>
      <c r="II63" t="e">
        <f>Nodes!P474+"'E4!%&amp;X"</f>
        <v>#VALUE!</v>
      </c>
      <c r="IJ63" t="e">
        <f>Nodes!Q474+"'E4!%&amp;Y"</f>
        <v>#VALUE!</v>
      </c>
      <c r="IK63" t="e">
        <f>Nodes!R474+"'E4!%&amp;Z"</f>
        <v>#VALUE!</v>
      </c>
      <c r="IL63" t="e">
        <f>Nodes!S474+"'E4!%&amp;["</f>
        <v>#VALUE!</v>
      </c>
      <c r="IM63" t="e">
        <f>Nodes!T474+"'E4!%&amp;\"</f>
        <v>#VALUE!</v>
      </c>
      <c r="IN63" s="548" t="e">
        <f>Nodes!U474+"'E4!%&amp;]"</f>
        <v>#VALUE!</v>
      </c>
      <c r="IO63" s="548" t="e">
        <f>Nodes!V474+"'E4!%&amp;^"</f>
        <v>#VALUE!</v>
      </c>
      <c r="IP63" s="548" t="e">
        <f>Nodes!W474+"'E4!%&amp;_"</f>
        <v>#VALUE!</v>
      </c>
      <c r="IQ63" s="333" t="e">
        <f>Nodes!X474+"'E4!%&amp;`"</f>
        <v>#VALUE!</v>
      </c>
      <c r="IR63" t="e">
        <f>Nodes!Y474+"'E4!%&amp;a"</f>
        <v>#VALUE!</v>
      </c>
      <c r="IS63" t="e">
        <f>Nodes!Z474+"'E4!%&amp;b"</f>
        <v>#VALUE!</v>
      </c>
      <c r="IT63" t="e">
        <f>Nodes!AA474+"'E4!%&amp;c"</f>
        <v>#VALUE!</v>
      </c>
      <c r="IU63" t="e">
        <f>Nodes!AB474+"'E4!%&amp;d"</f>
        <v>#VALUE!</v>
      </c>
      <c r="IV63" t="e">
        <f>Nodes!AC474+"'E4!%&amp;e"</f>
        <v>#VALUE!</v>
      </c>
    </row>
    <row r="64" spans="6:256">
      <c r="F64" t="e">
        <f>Nodes!A475+"'E4!%&amp;f"</f>
        <v>#VALUE!</v>
      </c>
      <c r="G64" t="e">
        <f>Nodes!B475+"'E4!%&amp;g"</f>
        <v>#VALUE!</v>
      </c>
      <c r="H64" t="e">
        <f>Nodes!C475+"'E4!%&amp;h"</f>
        <v>#VALUE!</v>
      </c>
      <c r="I64" t="e">
        <f>Nodes!D475+"'E4!%&amp;i"</f>
        <v>#VALUE!</v>
      </c>
      <c r="J64" t="e">
        <f>Nodes!E475+"'E4!%&amp;j"</f>
        <v>#VALUE!</v>
      </c>
      <c r="K64" t="e">
        <f>Nodes!F475+"'E4!%&amp;k"</f>
        <v>#VALUE!</v>
      </c>
      <c r="L64" t="e">
        <f>Nodes!G475+"'E4!%&amp;l"</f>
        <v>#VALUE!</v>
      </c>
      <c r="M64" t="e">
        <f>Nodes!H475+"'E4!%&amp;m"</f>
        <v>#VALUE!</v>
      </c>
      <c r="N64" t="e">
        <f>Nodes!I475+"'E4!%&amp;n"</f>
        <v>#VALUE!</v>
      </c>
      <c r="O64" t="e">
        <f>Nodes!J475+"'E4!%&amp;o"</f>
        <v>#VALUE!</v>
      </c>
      <c r="P64" t="e">
        <f>Nodes!K475+"'E4!%&amp;p"</f>
        <v>#VALUE!</v>
      </c>
      <c r="Q64" t="e">
        <f>Nodes!L475+"'E4!%&amp;q"</f>
        <v>#VALUE!</v>
      </c>
      <c r="R64" t="e">
        <f>Nodes!M475+"'E4!%&amp;r"</f>
        <v>#VALUE!</v>
      </c>
      <c r="S64" t="e">
        <f>Nodes!N475+"'E4!%&amp;s"</f>
        <v>#VALUE!</v>
      </c>
      <c r="T64" t="e">
        <f>Nodes!O475+"'E4!%&amp;t"</f>
        <v>#VALUE!</v>
      </c>
      <c r="U64" t="e">
        <f>Nodes!P475+"'E4!%&amp;u"</f>
        <v>#VALUE!</v>
      </c>
      <c r="V64" t="e">
        <f>Nodes!Q475+"'E4!%&amp;v"</f>
        <v>#VALUE!</v>
      </c>
      <c r="W64" t="e">
        <f>Nodes!R475+"'E4!%&amp;w"</f>
        <v>#VALUE!</v>
      </c>
      <c r="X64" t="e">
        <f>Nodes!S475+"'E4!%&amp;x"</f>
        <v>#VALUE!</v>
      </c>
      <c r="Y64" t="e">
        <f>Nodes!T475+"'E4!%&amp;y"</f>
        <v>#VALUE!</v>
      </c>
      <c r="Z64" s="548" t="e">
        <f>Nodes!U475+"'E4!%&amp;z"</f>
        <v>#VALUE!</v>
      </c>
      <c r="AA64" s="548" t="e">
        <f>Nodes!V475+"'E4!%&amp;{"</f>
        <v>#VALUE!</v>
      </c>
      <c r="AB64" s="548" t="e">
        <f>Nodes!W475+"'E4!%&amp;|"</f>
        <v>#VALUE!</v>
      </c>
      <c r="AC64" s="333" t="e">
        <f>Nodes!X475+"'E4!%&amp;}"</f>
        <v>#VALUE!</v>
      </c>
      <c r="AD64" t="e">
        <f>Nodes!Y475+"'E4!%&amp;~"</f>
        <v>#VALUE!</v>
      </c>
      <c r="AE64" t="e">
        <f>Nodes!Z475+"'E4!%'#"</f>
        <v>#VALUE!</v>
      </c>
      <c r="AF64" t="e">
        <f>Nodes!AA475+"'E4!%'$"</f>
        <v>#VALUE!</v>
      </c>
      <c r="AG64" t="e">
        <f>Nodes!AB475+"'E4!%'%"</f>
        <v>#VALUE!</v>
      </c>
      <c r="AH64" t="e">
        <f>Nodes!AC475+"'E4!%'&amp;"</f>
        <v>#VALUE!</v>
      </c>
      <c r="AI64" t="e">
        <f>Nodes!A476+"'E4!%''"</f>
        <v>#VALUE!</v>
      </c>
      <c r="AJ64" t="e">
        <f>Nodes!B476+"'E4!%'("</f>
        <v>#VALUE!</v>
      </c>
      <c r="AK64" t="e">
        <f>Nodes!C476+"'E4!%')"</f>
        <v>#VALUE!</v>
      </c>
      <c r="AL64" t="e">
        <f>Nodes!D476+"'E4!%'."</f>
        <v>#VALUE!</v>
      </c>
      <c r="AM64" t="e">
        <f>Nodes!E476+"'E4!%'/"</f>
        <v>#VALUE!</v>
      </c>
      <c r="AN64" t="e">
        <f>Nodes!F476+"'E4!%'0"</f>
        <v>#VALUE!</v>
      </c>
      <c r="AO64" t="e">
        <f>Nodes!G476+"'E4!%'1"</f>
        <v>#VALUE!</v>
      </c>
      <c r="AP64" t="e">
        <f>Nodes!H476+"'E4!%'2"</f>
        <v>#VALUE!</v>
      </c>
      <c r="AQ64" t="e">
        <f>Nodes!I476+"'E4!%'3"</f>
        <v>#VALUE!</v>
      </c>
      <c r="AR64" t="e">
        <f>Nodes!J476+"'E4!%'4"</f>
        <v>#VALUE!</v>
      </c>
      <c r="AS64" t="e">
        <f>Nodes!K476+"'E4!%'5"</f>
        <v>#VALUE!</v>
      </c>
      <c r="AT64" t="e">
        <f>Nodes!L476+"'E4!%'6"</f>
        <v>#VALUE!</v>
      </c>
      <c r="AU64" t="e">
        <f>Nodes!M476+"'E4!%'7"</f>
        <v>#VALUE!</v>
      </c>
      <c r="AV64" t="e">
        <f>Nodes!N476+"'E4!%'8"</f>
        <v>#VALUE!</v>
      </c>
      <c r="AW64" t="e">
        <f>Nodes!O476+"'E4!%'9"</f>
        <v>#VALUE!</v>
      </c>
      <c r="AX64" t="e">
        <f>Nodes!P476+"'E4!%':"</f>
        <v>#VALUE!</v>
      </c>
      <c r="AY64" t="e">
        <f>Nodes!Q476+"'E4!%';"</f>
        <v>#VALUE!</v>
      </c>
      <c r="AZ64" t="e">
        <f>Nodes!R476+"'E4!%'&lt;"</f>
        <v>#VALUE!</v>
      </c>
      <c r="BA64" t="e">
        <f>Nodes!S476+"'E4!%'="</f>
        <v>#VALUE!</v>
      </c>
      <c r="BB64" t="e">
        <f>Nodes!T476+"'E4!%'&gt;"</f>
        <v>#VALUE!</v>
      </c>
      <c r="BC64" s="548" t="e">
        <f>Nodes!U476+"'E4!%'?"</f>
        <v>#VALUE!</v>
      </c>
      <c r="BD64" s="548" t="e">
        <f>Nodes!V476+"'E4!%'@"</f>
        <v>#VALUE!</v>
      </c>
      <c r="BE64" s="548" t="e">
        <f>Nodes!W476+"'E4!%'A"</f>
        <v>#VALUE!</v>
      </c>
      <c r="BF64" s="333" t="e">
        <f>Nodes!X476+"'E4!%'B"</f>
        <v>#VALUE!</v>
      </c>
      <c r="BG64" t="e">
        <f>Nodes!Y476+"'E4!%'C"</f>
        <v>#VALUE!</v>
      </c>
      <c r="BH64" t="e">
        <f>Nodes!Z476+"'E4!%'D"</f>
        <v>#VALUE!</v>
      </c>
      <c r="BI64" t="e">
        <f>Nodes!AA476+"'E4!%'E"</f>
        <v>#VALUE!</v>
      </c>
      <c r="BJ64" t="e">
        <f>Nodes!AB476+"'E4!%'F"</f>
        <v>#VALUE!</v>
      </c>
      <c r="BK64" t="e">
        <f>Nodes!AC476+"'E4!%'G"</f>
        <v>#VALUE!</v>
      </c>
      <c r="BL64" t="e">
        <f>Nodes!A477+"'E4!%'H"</f>
        <v>#VALUE!</v>
      </c>
      <c r="BM64" t="e">
        <f>Nodes!B477+"'E4!%'I"</f>
        <v>#VALUE!</v>
      </c>
      <c r="BN64" t="e">
        <f>Nodes!C477+"'E4!%'J"</f>
        <v>#VALUE!</v>
      </c>
      <c r="BO64" t="e">
        <f>Nodes!D477+"'E4!%'K"</f>
        <v>#VALUE!</v>
      </c>
      <c r="BP64" t="e">
        <f>Nodes!E477+"'E4!%'L"</f>
        <v>#VALUE!</v>
      </c>
      <c r="BQ64" t="e">
        <f>Nodes!F477+"'E4!%'M"</f>
        <v>#VALUE!</v>
      </c>
      <c r="BR64" t="e">
        <f>Nodes!G477+"'E4!%'N"</f>
        <v>#VALUE!</v>
      </c>
      <c r="BS64" t="e">
        <f>Nodes!H477+"'E4!%'O"</f>
        <v>#VALUE!</v>
      </c>
      <c r="BT64" t="e">
        <f>Nodes!I477+"'E4!%'P"</f>
        <v>#VALUE!</v>
      </c>
      <c r="BU64" t="e">
        <f>Nodes!J477+"'E4!%'Q"</f>
        <v>#VALUE!</v>
      </c>
      <c r="BV64" t="e">
        <f>Nodes!K477+"'E4!%'R"</f>
        <v>#VALUE!</v>
      </c>
      <c r="BW64" t="e">
        <f>Nodes!L477+"'E4!%'S"</f>
        <v>#VALUE!</v>
      </c>
      <c r="BX64" t="e">
        <f>Nodes!M477+"'E4!%'T"</f>
        <v>#VALUE!</v>
      </c>
      <c r="BY64" t="e">
        <f>Nodes!N477+"'E4!%'U"</f>
        <v>#VALUE!</v>
      </c>
      <c r="BZ64" t="e">
        <f>Nodes!O477+"'E4!%'V"</f>
        <v>#VALUE!</v>
      </c>
      <c r="CA64" t="e">
        <f>Nodes!P477+"'E4!%'W"</f>
        <v>#VALUE!</v>
      </c>
      <c r="CB64" t="e">
        <f>Nodes!Q477+"'E4!%'X"</f>
        <v>#VALUE!</v>
      </c>
      <c r="CC64" t="e">
        <f>Nodes!R477+"'E4!%'Y"</f>
        <v>#VALUE!</v>
      </c>
      <c r="CD64" t="e">
        <f>Nodes!S477+"'E4!%'Z"</f>
        <v>#VALUE!</v>
      </c>
      <c r="CE64" t="e">
        <f>Nodes!T477+"'E4!%'["</f>
        <v>#VALUE!</v>
      </c>
      <c r="CF64" s="548" t="e">
        <f>Nodes!U477+"'E4!%'\"</f>
        <v>#VALUE!</v>
      </c>
      <c r="CG64" s="548" t="e">
        <f>Nodes!V477+"'E4!%']"</f>
        <v>#VALUE!</v>
      </c>
      <c r="CH64" s="548" t="e">
        <f>Nodes!W477+"'E4!%'^"</f>
        <v>#VALUE!</v>
      </c>
      <c r="CI64" s="333" t="e">
        <f>Nodes!X477+"'E4!%'_"</f>
        <v>#VALUE!</v>
      </c>
      <c r="CJ64" t="e">
        <f>Nodes!Y477+"'E4!%'`"</f>
        <v>#VALUE!</v>
      </c>
      <c r="CK64" t="e">
        <f>Nodes!Z477+"'E4!%'a"</f>
        <v>#VALUE!</v>
      </c>
      <c r="CL64" t="e">
        <f>Nodes!AA477+"'E4!%'b"</f>
        <v>#VALUE!</v>
      </c>
      <c r="CM64" t="e">
        <f>Nodes!AB477+"'E4!%'c"</f>
        <v>#VALUE!</v>
      </c>
      <c r="CN64" t="e">
        <f>Nodes!AC477+"'E4!%'d"</f>
        <v>#VALUE!</v>
      </c>
      <c r="CO64" t="e">
        <f>Nodes!A478+"'E4!%'e"</f>
        <v>#VALUE!</v>
      </c>
      <c r="CP64" t="e">
        <f>Nodes!B478+"'E4!%'f"</f>
        <v>#VALUE!</v>
      </c>
      <c r="CQ64" t="e">
        <f>Nodes!C478+"'E4!%'g"</f>
        <v>#VALUE!</v>
      </c>
      <c r="CR64" t="e">
        <f>Nodes!D478+"'E4!%'h"</f>
        <v>#VALUE!</v>
      </c>
      <c r="CS64" t="e">
        <f>Nodes!E478+"'E4!%'i"</f>
        <v>#VALUE!</v>
      </c>
      <c r="CT64" t="e">
        <f>Nodes!F478+"'E4!%'j"</f>
        <v>#VALUE!</v>
      </c>
      <c r="CU64" t="e">
        <f>Nodes!G478+"'E4!%'k"</f>
        <v>#VALUE!</v>
      </c>
      <c r="CV64" t="e">
        <f>Nodes!H478+"'E4!%'l"</f>
        <v>#VALUE!</v>
      </c>
      <c r="CW64" t="e">
        <f>Nodes!I478+"'E4!%'m"</f>
        <v>#VALUE!</v>
      </c>
      <c r="CX64" t="e">
        <f>Nodes!J478+"'E4!%'n"</f>
        <v>#VALUE!</v>
      </c>
      <c r="CY64" t="e">
        <f>Nodes!K478+"'E4!%'o"</f>
        <v>#VALUE!</v>
      </c>
      <c r="CZ64" t="e">
        <f>Nodes!L478+"'E4!%'p"</f>
        <v>#VALUE!</v>
      </c>
      <c r="DA64" t="e">
        <f>Nodes!M478+"'E4!%'q"</f>
        <v>#VALUE!</v>
      </c>
      <c r="DB64" t="e">
        <f>Nodes!N478+"'E4!%'r"</f>
        <v>#VALUE!</v>
      </c>
      <c r="DC64" t="e">
        <f>Nodes!O478+"'E4!%'s"</f>
        <v>#VALUE!</v>
      </c>
      <c r="DD64" t="e">
        <f>Nodes!P478+"'E4!%'t"</f>
        <v>#VALUE!</v>
      </c>
      <c r="DE64" t="e">
        <f>Nodes!Q478+"'E4!%'u"</f>
        <v>#VALUE!</v>
      </c>
      <c r="DF64" t="e">
        <f>Nodes!R478+"'E4!%'v"</f>
        <v>#VALUE!</v>
      </c>
      <c r="DG64" t="e">
        <f>Nodes!S478+"'E4!%'w"</f>
        <v>#VALUE!</v>
      </c>
      <c r="DH64" t="e">
        <f>Nodes!T478+"'E4!%'x"</f>
        <v>#VALUE!</v>
      </c>
      <c r="DI64" s="548" t="e">
        <f>Nodes!U478+"'E4!%'y"</f>
        <v>#VALUE!</v>
      </c>
      <c r="DJ64" s="548" t="e">
        <f>Nodes!V478+"'E4!%'z"</f>
        <v>#VALUE!</v>
      </c>
      <c r="DK64" s="548" t="e">
        <f>Nodes!W478+"'E4!%'{"</f>
        <v>#VALUE!</v>
      </c>
      <c r="DL64" s="333" t="e">
        <f>Nodes!X478+"'E4!%'|"</f>
        <v>#VALUE!</v>
      </c>
      <c r="DM64" t="e">
        <f>Nodes!Y478+"'E4!%'}"</f>
        <v>#VALUE!</v>
      </c>
      <c r="DN64" t="e">
        <f>Nodes!Z478+"'E4!%'~"</f>
        <v>#VALUE!</v>
      </c>
      <c r="DO64" t="e">
        <f>Nodes!AA478+"'E4!%(#"</f>
        <v>#VALUE!</v>
      </c>
      <c r="DP64" t="e">
        <f>Nodes!AB478+"'E4!%($"</f>
        <v>#VALUE!</v>
      </c>
      <c r="DQ64" t="e">
        <f>Nodes!AC478+"'E4!%(%"</f>
        <v>#VALUE!</v>
      </c>
      <c r="DR64" t="e">
        <f>Nodes!A479+"'E4!%(&amp;"</f>
        <v>#VALUE!</v>
      </c>
      <c r="DS64" t="e">
        <f>Nodes!B479+"'E4!%('"</f>
        <v>#VALUE!</v>
      </c>
      <c r="DT64" t="e">
        <f>Nodes!C479+"'E4!%(("</f>
        <v>#VALUE!</v>
      </c>
      <c r="DU64" t="e">
        <f>Nodes!D479+"'E4!%()"</f>
        <v>#VALUE!</v>
      </c>
      <c r="DV64" t="e">
        <f>Nodes!E479+"'E4!%(."</f>
        <v>#VALUE!</v>
      </c>
      <c r="DW64" t="e">
        <f>Nodes!F479+"'E4!%(/"</f>
        <v>#VALUE!</v>
      </c>
      <c r="DX64" t="e">
        <f>Nodes!G479+"'E4!%(0"</f>
        <v>#VALUE!</v>
      </c>
      <c r="DY64" t="e">
        <f>Nodes!H479+"'E4!%(1"</f>
        <v>#VALUE!</v>
      </c>
      <c r="DZ64" t="e">
        <f>Nodes!I479+"'E4!%(2"</f>
        <v>#VALUE!</v>
      </c>
      <c r="EA64" t="e">
        <f>Nodes!J479+"'E4!%(3"</f>
        <v>#VALUE!</v>
      </c>
      <c r="EB64" t="e">
        <f>Nodes!K479+"'E4!%(4"</f>
        <v>#VALUE!</v>
      </c>
      <c r="EC64" t="e">
        <f>Nodes!L479+"'E4!%(5"</f>
        <v>#VALUE!</v>
      </c>
      <c r="ED64" t="e">
        <f>Nodes!M479+"'E4!%(6"</f>
        <v>#VALUE!</v>
      </c>
      <c r="EE64" t="e">
        <f>Nodes!N479+"'E4!%(7"</f>
        <v>#VALUE!</v>
      </c>
      <c r="EF64" t="e">
        <f>Nodes!O479+"'E4!%(8"</f>
        <v>#VALUE!</v>
      </c>
      <c r="EG64" t="e">
        <f>Nodes!P479+"'E4!%(9"</f>
        <v>#VALUE!</v>
      </c>
      <c r="EH64" t="e">
        <f>Nodes!Q479+"'E4!%(:"</f>
        <v>#VALUE!</v>
      </c>
      <c r="EI64" t="e">
        <f>Nodes!R479+"'E4!%(;"</f>
        <v>#VALUE!</v>
      </c>
      <c r="EJ64" t="e">
        <f>Nodes!S479+"'E4!%(&lt;"</f>
        <v>#VALUE!</v>
      </c>
      <c r="EK64" t="e">
        <f>Nodes!T479+"'E4!%(="</f>
        <v>#VALUE!</v>
      </c>
      <c r="EL64" s="548" t="e">
        <f>Nodes!U479+"'E4!%(&gt;"</f>
        <v>#VALUE!</v>
      </c>
      <c r="EM64" s="548" t="e">
        <f>Nodes!V479+"'E4!%(?"</f>
        <v>#VALUE!</v>
      </c>
      <c r="EN64" s="548" t="e">
        <f>Nodes!W479+"'E4!%(@"</f>
        <v>#VALUE!</v>
      </c>
      <c r="EO64" s="333" t="e">
        <f>Nodes!X479+"'E4!%(A"</f>
        <v>#VALUE!</v>
      </c>
      <c r="EP64" t="e">
        <f>Nodes!Y479+"'E4!%(B"</f>
        <v>#VALUE!</v>
      </c>
      <c r="EQ64" t="e">
        <f>Nodes!Z479+"'E4!%(C"</f>
        <v>#VALUE!</v>
      </c>
      <c r="ER64" t="e">
        <f>Nodes!AA479+"'E4!%(D"</f>
        <v>#VALUE!</v>
      </c>
      <c r="ES64" t="e">
        <f>Nodes!AB479+"'E4!%(E"</f>
        <v>#VALUE!</v>
      </c>
      <c r="ET64" t="e">
        <f>Nodes!AC479+"'E4!%(F"</f>
        <v>#VALUE!</v>
      </c>
      <c r="EU64" t="e">
        <f>Nodes!A480+"'E4!%(G"</f>
        <v>#VALUE!</v>
      </c>
      <c r="EV64" t="e">
        <f>Nodes!B480+"'E4!%(H"</f>
        <v>#VALUE!</v>
      </c>
      <c r="EW64" t="e">
        <f>Nodes!C480+"'E4!%(I"</f>
        <v>#VALUE!</v>
      </c>
      <c r="EX64" t="e">
        <f>Nodes!D480+"'E4!%(J"</f>
        <v>#VALUE!</v>
      </c>
      <c r="EY64" t="e">
        <f>Nodes!E480+"'E4!%(K"</f>
        <v>#VALUE!</v>
      </c>
      <c r="EZ64" t="e">
        <f>Nodes!F480+"'E4!%(L"</f>
        <v>#VALUE!</v>
      </c>
      <c r="FA64" t="e">
        <f>Nodes!G480+"'E4!%(M"</f>
        <v>#VALUE!</v>
      </c>
      <c r="FB64" t="e">
        <f>Nodes!H480+"'E4!%(N"</f>
        <v>#VALUE!</v>
      </c>
      <c r="FC64" t="e">
        <f>Nodes!I480+"'E4!%(O"</f>
        <v>#VALUE!</v>
      </c>
      <c r="FD64" t="e">
        <f>Nodes!J480+"'E4!%(P"</f>
        <v>#VALUE!</v>
      </c>
      <c r="FE64" t="e">
        <f>Nodes!K480+"'E4!%(Q"</f>
        <v>#VALUE!</v>
      </c>
      <c r="FF64" t="e">
        <f>Nodes!L480+"'E4!%(R"</f>
        <v>#VALUE!</v>
      </c>
      <c r="FG64" t="e">
        <f>Nodes!M480+"'E4!%(S"</f>
        <v>#VALUE!</v>
      </c>
      <c r="FH64" t="e">
        <f>Nodes!N480+"'E4!%(T"</f>
        <v>#VALUE!</v>
      </c>
      <c r="FI64" t="e">
        <f>Nodes!O480+"'E4!%(U"</f>
        <v>#VALUE!</v>
      </c>
      <c r="FJ64" t="e">
        <f>Nodes!P480+"'E4!%(V"</f>
        <v>#VALUE!</v>
      </c>
      <c r="FK64" t="e">
        <f>Nodes!Q480+"'E4!%(W"</f>
        <v>#VALUE!</v>
      </c>
      <c r="FL64" t="e">
        <f>Nodes!R480+"'E4!%(X"</f>
        <v>#VALUE!</v>
      </c>
      <c r="FM64" t="e">
        <f>Nodes!S480+"'E4!%(Y"</f>
        <v>#VALUE!</v>
      </c>
      <c r="FN64" t="e">
        <f>Nodes!T480+"'E4!%(Z"</f>
        <v>#VALUE!</v>
      </c>
      <c r="FO64" s="548" t="e">
        <f>Nodes!U480+"'E4!%(["</f>
        <v>#VALUE!</v>
      </c>
      <c r="FP64" s="548" t="e">
        <f>Nodes!V480+"'E4!%(\"</f>
        <v>#VALUE!</v>
      </c>
      <c r="FQ64" s="548" t="e">
        <f>Nodes!W480+"'E4!%(]"</f>
        <v>#VALUE!</v>
      </c>
      <c r="FR64" s="333" t="e">
        <f>Nodes!X480+"'E4!%(^"</f>
        <v>#VALUE!</v>
      </c>
      <c r="FS64" t="e">
        <f>Nodes!Y480+"'E4!%(_"</f>
        <v>#VALUE!</v>
      </c>
      <c r="FT64" t="e">
        <f>Nodes!Z480+"'E4!%(`"</f>
        <v>#VALUE!</v>
      </c>
      <c r="FU64" t="e">
        <f>Nodes!AA480+"'E4!%(a"</f>
        <v>#VALUE!</v>
      </c>
      <c r="FV64" t="e">
        <f>Nodes!AB480+"'E4!%(b"</f>
        <v>#VALUE!</v>
      </c>
      <c r="FW64" t="e">
        <f>Nodes!AC480+"'E4!%(c"</f>
        <v>#VALUE!</v>
      </c>
      <c r="FX64" t="e">
        <f>Nodes!A481+"'E4!%(d"</f>
        <v>#VALUE!</v>
      </c>
      <c r="FY64" t="e">
        <f>Nodes!B481+"'E4!%(e"</f>
        <v>#VALUE!</v>
      </c>
      <c r="FZ64" t="e">
        <f>Nodes!C481+"'E4!%(f"</f>
        <v>#VALUE!</v>
      </c>
      <c r="GA64" t="e">
        <f>Nodes!D481+"'E4!%(g"</f>
        <v>#VALUE!</v>
      </c>
      <c r="GB64" t="e">
        <f>Nodes!E481+"'E4!%(h"</f>
        <v>#VALUE!</v>
      </c>
      <c r="GC64" t="e">
        <f>Nodes!F481+"'E4!%(i"</f>
        <v>#VALUE!</v>
      </c>
      <c r="GD64" t="e">
        <f>Nodes!G481+"'E4!%(j"</f>
        <v>#VALUE!</v>
      </c>
      <c r="GE64" t="e">
        <f>Nodes!H481+"'E4!%(k"</f>
        <v>#VALUE!</v>
      </c>
      <c r="GF64" t="e">
        <f>Nodes!I481+"'E4!%(l"</f>
        <v>#VALUE!</v>
      </c>
      <c r="GG64" t="e">
        <f>Nodes!J481+"'E4!%(m"</f>
        <v>#VALUE!</v>
      </c>
      <c r="GH64" t="e">
        <f>Nodes!K481+"'E4!%(n"</f>
        <v>#VALUE!</v>
      </c>
      <c r="GI64" t="e">
        <f>Nodes!L481+"'E4!%(o"</f>
        <v>#VALUE!</v>
      </c>
      <c r="GJ64" t="e">
        <f>Nodes!M481+"'E4!%(p"</f>
        <v>#VALUE!</v>
      </c>
      <c r="GK64" t="e">
        <f>Nodes!N481+"'E4!%(q"</f>
        <v>#VALUE!</v>
      </c>
      <c r="GL64" t="e">
        <f>Nodes!O481+"'E4!%(r"</f>
        <v>#VALUE!</v>
      </c>
      <c r="GM64" t="e">
        <f>Nodes!P481+"'E4!%(s"</f>
        <v>#VALUE!</v>
      </c>
      <c r="GN64" t="e">
        <f>Nodes!Q481+"'E4!%(t"</f>
        <v>#VALUE!</v>
      </c>
      <c r="GO64" t="e">
        <f>Nodes!R481+"'E4!%(u"</f>
        <v>#VALUE!</v>
      </c>
      <c r="GP64" t="e">
        <f>Nodes!S481+"'E4!%(v"</f>
        <v>#VALUE!</v>
      </c>
      <c r="GQ64" t="e">
        <f>Nodes!T481+"'E4!%(w"</f>
        <v>#VALUE!</v>
      </c>
      <c r="GR64" s="548" t="e">
        <f>Nodes!U481+"'E4!%(x"</f>
        <v>#VALUE!</v>
      </c>
      <c r="GS64" s="548" t="e">
        <f>Nodes!V481+"'E4!%(y"</f>
        <v>#VALUE!</v>
      </c>
      <c r="GT64" s="548" t="e">
        <f>Nodes!W481+"'E4!%(z"</f>
        <v>#VALUE!</v>
      </c>
      <c r="GU64" s="333" t="e">
        <f>Nodes!X481+"'E4!%({"</f>
        <v>#VALUE!</v>
      </c>
      <c r="GV64" t="e">
        <f>Nodes!Y481+"'E4!%(|"</f>
        <v>#VALUE!</v>
      </c>
      <c r="GW64" t="e">
        <f>Nodes!Z481+"'E4!%(}"</f>
        <v>#VALUE!</v>
      </c>
      <c r="GX64" t="e">
        <f>Nodes!AA481+"'E4!%(~"</f>
        <v>#VALUE!</v>
      </c>
      <c r="GY64" t="e">
        <f>Nodes!AB481+"'E4!%)#"</f>
        <v>#VALUE!</v>
      </c>
      <c r="GZ64" t="e">
        <f>Nodes!AC481+"'E4!%)$"</f>
        <v>#VALUE!</v>
      </c>
      <c r="HA64" t="e">
        <f>Nodes!A482+"'E4!%)%"</f>
        <v>#VALUE!</v>
      </c>
      <c r="HB64" t="e">
        <f>Nodes!B482+"'E4!%)&amp;"</f>
        <v>#VALUE!</v>
      </c>
      <c r="HC64" t="e">
        <f>Nodes!C482+"'E4!%)'"</f>
        <v>#VALUE!</v>
      </c>
      <c r="HD64" t="e">
        <f>Nodes!D482+"'E4!%)("</f>
        <v>#VALUE!</v>
      </c>
      <c r="HE64" t="e">
        <f>Nodes!E482+"'E4!%))"</f>
        <v>#VALUE!</v>
      </c>
      <c r="HF64" t="e">
        <f>Nodes!F482+"'E4!%)."</f>
        <v>#VALUE!</v>
      </c>
      <c r="HG64" t="e">
        <f>Nodes!G482+"'E4!%)/"</f>
        <v>#VALUE!</v>
      </c>
      <c r="HH64" t="e">
        <f>Nodes!H482+"'E4!%)0"</f>
        <v>#VALUE!</v>
      </c>
      <c r="HI64" t="e">
        <f>Nodes!I482+"'E4!%)1"</f>
        <v>#VALUE!</v>
      </c>
      <c r="HJ64" t="e">
        <f>Nodes!J482+"'E4!%)2"</f>
        <v>#VALUE!</v>
      </c>
      <c r="HK64" t="e">
        <f>Nodes!K482+"'E4!%)3"</f>
        <v>#VALUE!</v>
      </c>
      <c r="HL64" t="e">
        <f>Nodes!L482+"'E4!%)4"</f>
        <v>#VALUE!</v>
      </c>
      <c r="HM64" t="e">
        <f>Nodes!M482+"'E4!%)5"</f>
        <v>#VALUE!</v>
      </c>
      <c r="HN64" t="e">
        <f>Nodes!N482+"'E4!%)6"</f>
        <v>#VALUE!</v>
      </c>
      <c r="HO64" t="e">
        <f>Nodes!O482+"'E4!%)7"</f>
        <v>#VALUE!</v>
      </c>
      <c r="HP64" t="e">
        <f>Nodes!P482+"'E4!%)8"</f>
        <v>#VALUE!</v>
      </c>
      <c r="HQ64" t="e">
        <f>Nodes!Q482+"'E4!%)9"</f>
        <v>#VALUE!</v>
      </c>
      <c r="HR64" t="e">
        <f>Nodes!R482+"'E4!%):"</f>
        <v>#VALUE!</v>
      </c>
      <c r="HS64" t="e">
        <f>Nodes!S482+"'E4!%);"</f>
        <v>#VALUE!</v>
      </c>
      <c r="HT64" t="e">
        <f>Nodes!T482+"'E4!%)&lt;"</f>
        <v>#VALUE!</v>
      </c>
      <c r="HU64" s="548" t="e">
        <f>Nodes!U482+"'E4!%)="</f>
        <v>#VALUE!</v>
      </c>
      <c r="HV64" s="548" t="e">
        <f>Nodes!V482+"'E4!%)&gt;"</f>
        <v>#VALUE!</v>
      </c>
      <c r="HW64" s="548" t="e">
        <f>Nodes!W482+"'E4!%)?"</f>
        <v>#VALUE!</v>
      </c>
      <c r="HX64" s="333" t="e">
        <f>Nodes!X482+"'E4!%)@"</f>
        <v>#VALUE!</v>
      </c>
      <c r="HY64" t="e">
        <f>Nodes!Y482+"'E4!%)A"</f>
        <v>#VALUE!</v>
      </c>
      <c r="HZ64" t="e">
        <f>Nodes!Z482+"'E4!%)B"</f>
        <v>#VALUE!</v>
      </c>
      <c r="IA64" t="e">
        <f>Nodes!AA482+"'E4!%)C"</f>
        <v>#VALUE!</v>
      </c>
      <c r="IB64" t="e">
        <f>Nodes!AB482+"'E4!%)D"</f>
        <v>#VALUE!</v>
      </c>
      <c r="IC64" t="e">
        <f>Nodes!AC482+"'E4!%)E"</f>
        <v>#VALUE!</v>
      </c>
      <c r="ID64" t="e">
        <f>Nodes!A483+"'E4!%)F"</f>
        <v>#VALUE!</v>
      </c>
      <c r="IE64" t="e">
        <f>Nodes!B483+"'E4!%)G"</f>
        <v>#VALUE!</v>
      </c>
      <c r="IF64" t="e">
        <f>Nodes!C483+"'E4!%)H"</f>
        <v>#VALUE!</v>
      </c>
      <c r="IG64" t="e">
        <f>Nodes!D483+"'E4!%)I"</f>
        <v>#VALUE!</v>
      </c>
      <c r="IH64" t="e">
        <f>Nodes!E483+"'E4!%)J"</f>
        <v>#VALUE!</v>
      </c>
      <c r="II64" t="e">
        <f>Nodes!F483+"'E4!%)K"</f>
        <v>#VALUE!</v>
      </c>
      <c r="IJ64" t="e">
        <f>Nodes!G483+"'E4!%)L"</f>
        <v>#VALUE!</v>
      </c>
      <c r="IK64" t="e">
        <f>Nodes!H483+"'E4!%)M"</f>
        <v>#VALUE!</v>
      </c>
      <c r="IL64" t="e">
        <f>Nodes!I483+"'E4!%)N"</f>
        <v>#VALUE!</v>
      </c>
      <c r="IM64" t="e">
        <f>Nodes!J483+"'E4!%)O"</f>
        <v>#VALUE!</v>
      </c>
      <c r="IN64" t="e">
        <f>Nodes!K483+"'E4!%)P"</f>
        <v>#VALUE!</v>
      </c>
      <c r="IO64" t="e">
        <f>Nodes!L483+"'E4!%)Q"</f>
        <v>#VALUE!</v>
      </c>
      <c r="IP64" t="e">
        <f>Nodes!M483+"'E4!%)R"</f>
        <v>#VALUE!</v>
      </c>
      <c r="IQ64" t="e">
        <f>Nodes!N483+"'E4!%)S"</f>
        <v>#VALUE!</v>
      </c>
      <c r="IR64" t="e">
        <f>Nodes!O483+"'E4!%)T"</f>
        <v>#VALUE!</v>
      </c>
      <c r="IS64" t="e">
        <f>Nodes!P483+"'E4!%)U"</f>
        <v>#VALUE!</v>
      </c>
      <c r="IT64" t="e">
        <f>Nodes!Q483+"'E4!%)V"</f>
        <v>#VALUE!</v>
      </c>
      <c r="IU64" t="e">
        <f>Nodes!R483+"'E4!%)W"</f>
        <v>#VALUE!</v>
      </c>
      <c r="IV64" t="e">
        <f>Nodes!S483+"'E4!%)X"</f>
        <v>#VALUE!</v>
      </c>
    </row>
    <row r="65" spans="6:256">
      <c r="F65" t="e">
        <f>Nodes!T483+"'E4!%)Y"</f>
        <v>#VALUE!</v>
      </c>
      <c r="G65" s="548" t="e">
        <f>Nodes!U483+"'E4!%)Z"</f>
        <v>#VALUE!</v>
      </c>
      <c r="H65" s="548" t="e">
        <f>Nodes!V483+"'E4!%)["</f>
        <v>#VALUE!</v>
      </c>
      <c r="I65" s="548" t="e">
        <f>Nodes!W483+"'E4!%)\"</f>
        <v>#VALUE!</v>
      </c>
      <c r="J65" s="333" t="e">
        <f>Nodes!X483+"'E4!%)]"</f>
        <v>#VALUE!</v>
      </c>
      <c r="K65" t="e">
        <f>Nodes!Y483+"'E4!%)^"</f>
        <v>#VALUE!</v>
      </c>
      <c r="L65" t="e">
        <f>Nodes!Z483+"'E4!%)_"</f>
        <v>#VALUE!</v>
      </c>
      <c r="M65" t="e">
        <f>Nodes!AA483+"'E4!%)`"</f>
        <v>#VALUE!</v>
      </c>
      <c r="N65" t="e">
        <f>Nodes!AB483+"'E4!%)a"</f>
        <v>#VALUE!</v>
      </c>
      <c r="O65" t="e">
        <f>Nodes!AC483+"'E4!%)b"</f>
        <v>#VALUE!</v>
      </c>
      <c r="P65" t="e">
        <f>Nodes!A484+"'E4!%)c"</f>
        <v>#VALUE!</v>
      </c>
      <c r="Q65" t="e">
        <f>Nodes!B484+"'E4!%)d"</f>
        <v>#VALUE!</v>
      </c>
      <c r="R65" t="e">
        <f>Nodes!C484+"'E4!%)e"</f>
        <v>#VALUE!</v>
      </c>
      <c r="S65" t="e">
        <f>Nodes!D484+"'E4!%)f"</f>
        <v>#VALUE!</v>
      </c>
      <c r="T65" t="e">
        <f>Nodes!E484+"'E4!%)g"</f>
        <v>#VALUE!</v>
      </c>
      <c r="U65" t="e">
        <f>Nodes!F484+"'E4!%)h"</f>
        <v>#VALUE!</v>
      </c>
      <c r="V65" t="e">
        <f>Nodes!G484+"'E4!%)i"</f>
        <v>#VALUE!</v>
      </c>
      <c r="W65" t="e">
        <f>Nodes!H484+"'E4!%)j"</f>
        <v>#VALUE!</v>
      </c>
      <c r="X65" t="e">
        <f>Nodes!I484+"'E4!%)k"</f>
        <v>#VALUE!</v>
      </c>
      <c r="Y65" t="e">
        <f>Nodes!J484+"'E4!%)l"</f>
        <v>#VALUE!</v>
      </c>
      <c r="Z65" t="e">
        <f>Nodes!K484+"'E4!%)m"</f>
        <v>#VALUE!</v>
      </c>
      <c r="AA65" t="e">
        <f>Nodes!L484+"'E4!%)n"</f>
        <v>#VALUE!</v>
      </c>
      <c r="AB65" t="e">
        <f>Nodes!M484+"'E4!%)o"</f>
        <v>#VALUE!</v>
      </c>
      <c r="AC65" t="e">
        <f>Nodes!N484+"'E4!%)p"</f>
        <v>#VALUE!</v>
      </c>
      <c r="AD65" t="e">
        <f>Nodes!O484+"'E4!%)q"</f>
        <v>#VALUE!</v>
      </c>
      <c r="AE65" t="e">
        <f>Nodes!P484+"'E4!%)r"</f>
        <v>#VALUE!</v>
      </c>
      <c r="AF65" t="e">
        <f>Nodes!Q484+"'E4!%)s"</f>
        <v>#VALUE!</v>
      </c>
      <c r="AG65" t="e">
        <f>Nodes!R484+"'E4!%)t"</f>
        <v>#VALUE!</v>
      </c>
      <c r="AH65" t="e">
        <f>Nodes!S484+"'E4!%)u"</f>
        <v>#VALUE!</v>
      </c>
      <c r="AI65" t="e">
        <f>Nodes!T484+"'E4!%)v"</f>
        <v>#VALUE!</v>
      </c>
      <c r="AJ65" s="548" t="e">
        <f>Nodes!U484+"'E4!%)w"</f>
        <v>#VALUE!</v>
      </c>
      <c r="AK65" s="548" t="e">
        <f>Nodes!V484+"'E4!%)x"</f>
        <v>#VALUE!</v>
      </c>
      <c r="AL65" s="548" t="e">
        <f>Nodes!W484+"'E4!%)y"</f>
        <v>#VALUE!</v>
      </c>
      <c r="AM65" s="333" t="e">
        <f>Nodes!X484+"'E4!%)z"</f>
        <v>#VALUE!</v>
      </c>
      <c r="AN65" t="e">
        <f>Nodes!Y484+"'E4!%){"</f>
        <v>#VALUE!</v>
      </c>
      <c r="AO65" t="e">
        <f>Nodes!Z484+"'E4!%)|"</f>
        <v>#VALUE!</v>
      </c>
      <c r="AP65" t="e">
        <f>Nodes!AA484+"'E4!%)}"</f>
        <v>#VALUE!</v>
      </c>
      <c r="AQ65" t="e">
        <f>Nodes!AB484+"'E4!%)~"</f>
        <v>#VALUE!</v>
      </c>
      <c r="AR65" t="e">
        <f>Nodes!AC484+"'E4!%.#"</f>
        <v>#VALUE!</v>
      </c>
      <c r="AS65" t="e">
        <f>Nodes!A485+"'E4!%.$"</f>
        <v>#VALUE!</v>
      </c>
      <c r="AT65" t="e">
        <f>Nodes!B485+"'E4!%.%"</f>
        <v>#VALUE!</v>
      </c>
      <c r="AU65" t="e">
        <f>Nodes!C485+"'E4!%.&amp;"</f>
        <v>#VALUE!</v>
      </c>
      <c r="AV65" t="e">
        <f>Nodes!D485+"'E4!%.'"</f>
        <v>#VALUE!</v>
      </c>
      <c r="AW65" t="e">
        <f>Nodes!E485+"'E4!%.("</f>
        <v>#VALUE!</v>
      </c>
      <c r="AX65" t="e">
        <f>Nodes!F485+"'E4!%.)"</f>
        <v>#VALUE!</v>
      </c>
      <c r="AY65" t="e">
        <f>Nodes!G485+"'E4!%.."</f>
        <v>#VALUE!</v>
      </c>
      <c r="AZ65" t="e">
        <f>Nodes!H485+"'E4!%./"</f>
        <v>#VALUE!</v>
      </c>
      <c r="BA65" t="e">
        <f>Nodes!I485+"'E4!%.0"</f>
        <v>#VALUE!</v>
      </c>
      <c r="BB65" t="e">
        <f>Nodes!J485+"'E4!%.1"</f>
        <v>#VALUE!</v>
      </c>
      <c r="BC65" t="e">
        <f>Nodes!K485+"'E4!%.2"</f>
        <v>#VALUE!</v>
      </c>
      <c r="BD65" t="e">
        <f>Nodes!L485+"'E4!%.3"</f>
        <v>#VALUE!</v>
      </c>
      <c r="BE65" t="e">
        <f>Nodes!M485+"'E4!%.4"</f>
        <v>#VALUE!</v>
      </c>
      <c r="BF65" t="e">
        <f>Nodes!N485+"'E4!%.5"</f>
        <v>#VALUE!</v>
      </c>
      <c r="BG65" t="e">
        <f>Nodes!O485+"'E4!%.6"</f>
        <v>#VALUE!</v>
      </c>
      <c r="BH65" t="e">
        <f>Nodes!P485+"'E4!%.7"</f>
        <v>#VALUE!</v>
      </c>
      <c r="BI65" t="e">
        <f>Nodes!Q485+"'E4!%.8"</f>
        <v>#VALUE!</v>
      </c>
      <c r="BJ65" t="e">
        <f>Nodes!R485+"'E4!%.9"</f>
        <v>#VALUE!</v>
      </c>
      <c r="BK65" t="e">
        <f>Nodes!S485+"'E4!%.:"</f>
        <v>#VALUE!</v>
      </c>
      <c r="BL65" t="e">
        <f>Nodes!T485+"'E4!%.;"</f>
        <v>#VALUE!</v>
      </c>
      <c r="BM65" s="548" t="e">
        <f>Nodes!U485+"'E4!%.&lt;"</f>
        <v>#VALUE!</v>
      </c>
      <c r="BN65" s="548" t="e">
        <f>Nodes!V485+"'E4!%.="</f>
        <v>#VALUE!</v>
      </c>
      <c r="BO65" s="548" t="e">
        <f>Nodes!W485+"'E4!%.&gt;"</f>
        <v>#VALUE!</v>
      </c>
      <c r="BP65" s="333" t="e">
        <f>Nodes!X485+"'E4!%.?"</f>
        <v>#VALUE!</v>
      </c>
      <c r="BQ65" t="e">
        <f>Nodes!Y485+"'E4!%.@"</f>
        <v>#VALUE!</v>
      </c>
      <c r="BR65" t="e">
        <f>Nodes!Z485+"'E4!%.A"</f>
        <v>#VALUE!</v>
      </c>
      <c r="BS65" t="e">
        <f>Nodes!AA485+"'E4!%.B"</f>
        <v>#VALUE!</v>
      </c>
      <c r="BT65" t="e">
        <f>Nodes!AB485+"'E4!%.C"</f>
        <v>#VALUE!</v>
      </c>
      <c r="BU65" t="e">
        <f>Nodes!AC485+"'E4!%.D"</f>
        <v>#VALUE!</v>
      </c>
      <c r="BV65" t="e">
        <f>Nodes!A486+"'E4!%.E"</f>
        <v>#VALUE!</v>
      </c>
      <c r="BW65" t="e">
        <f>Nodes!B486+"'E4!%.F"</f>
        <v>#VALUE!</v>
      </c>
      <c r="BX65" t="e">
        <f>Nodes!C486+"'E4!%.G"</f>
        <v>#VALUE!</v>
      </c>
      <c r="BY65" t="e">
        <f>Nodes!D486+"'E4!%.H"</f>
        <v>#VALUE!</v>
      </c>
      <c r="BZ65" t="e">
        <f>Nodes!E486+"'E4!%.I"</f>
        <v>#VALUE!</v>
      </c>
      <c r="CA65" t="e">
        <f>Nodes!F486+"'E4!%.J"</f>
        <v>#VALUE!</v>
      </c>
      <c r="CB65" t="e">
        <f>Nodes!G486+"'E4!%.K"</f>
        <v>#VALUE!</v>
      </c>
      <c r="CC65" t="e">
        <f>Nodes!H486+"'E4!%.L"</f>
        <v>#VALUE!</v>
      </c>
      <c r="CD65" t="e">
        <f>Nodes!I486+"'E4!%.M"</f>
        <v>#VALUE!</v>
      </c>
      <c r="CE65" t="e">
        <f>Nodes!J486+"'E4!%.N"</f>
        <v>#VALUE!</v>
      </c>
      <c r="CF65" t="e">
        <f>Nodes!K486+"'E4!%.O"</f>
        <v>#VALUE!</v>
      </c>
      <c r="CG65" t="e">
        <f>Nodes!L486+"'E4!%.P"</f>
        <v>#VALUE!</v>
      </c>
      <c r="CH65" t="e">
        <f>Nodes!M486+"'E4!%.Q"</f>
        <v>#VALUE!</v>
      </c>
      <c r="CI65" t="e">
        <f>Nodes!N486+"'E4!%.R"</f>
        <v>#VALUE!</v>
      </c>
      <c r="CJ65" t="e">
        <f>Nodes!O486+"'E4!%.S"</f>
        <v>#VALUE!</v>
      </c>
      <c r="CK65" t="e">
        <f>Nodes!P486+"'E4!%.T"</f>
        <v>#VALUE!</v>
      </c>
      <c r="CL65" t="e">
        <f>Nodes!Q486+"'E4!%.U"</f>
        <v>#VALUE!</v>
      </c>
      <c r="CM65" t="e">
        <f>Nodes!R486+"'E4!%.V"</f>
        <v>#VALUE!</v>
      </c>
      <c r="CN65" t="e">
        <f>Nodes!S486+"'E4!%.W"</f>
        <v>#VALUE!</v>
      </c>
      <c r="CO65" t="e">
        <f>Nodes!T486+"'E4!%.X"</f>
        <v>#VALUE!</v>
      </c>
      <c r="CP65" s="548" t="e">
        <f>Nodes!U486+"'E4!%.Y"</f>
        <v>#VALUE!</v>
      </c>
      <c r="CQ65" s="548" t="e">
        <f>Nodes!V486+"'E4!%.Z"</f>
        <v>#VALUE!</v>
      </c>
      <c r="CR65" s="548" t="e">
        <f>Nodes!W486+"'E4!%.["</f>
        <v>#VALUE!</v>
      </c>
      <c r="CS65" s="333" t="e">
        <f>Nodes!X486+"'E4!%.\"</f>
        <v>#VALUE!</v>
      </c>
      <c r="CT65" t="e">
        <f>Nodes!Y486+"'E4!%.]"</f>
        <v>#VALUE!</v>
      </c>
      <c r="CU65" t="e">
        <f>Nodes!Z486+"'E4!%.^"</f>
        <v>#VALUE!</v>
      </c>
      <c r="CV65" t="e">
        <f>Nodes!AA486+"'E4!%._"</f>
        <v>#VALUE!</v>
      </c>
      <c r="CW65" t="e">
        <f>Nodes!AB486+"'E4!%.`"</f>
        <v>#VALUE!</v>
      </c>
      <c r="CX65" t="e">
        <f>Nodes!AC486+"'E4!%.a"</f>
        <v>#VALUE!</v>
      </c>
      <c r="CY65" t="e">
        <f>Nodes!A487+"'E4!%.b"</f>
        <v>#VALUE!</v>
      </c>
      <c r="CZ65" t="e">
        <f>Nodes!B487+"'E4!%.c"</f>
        <v>#VALUE!</v>
      </c>
      <c r="DA65" t="e">
        <f>Nodes!C487+"'E4!%.d"</f>
        <v>#VALUE!</v>
      </c>
      <c r="DB65" t="e">
        <f>Nodes!D487+"'E4!%.e"</f>
        <v>#VALUE!</v>
      </c>
      <c r="DC65" t="e">
        <f>Nodes!E487+"'E4!%.f"</f>
        <v>#VALUE!</v>
      </c>
      <c r="DD65" t="e">
        <f>Nodes!F487+"'E4!%.g"</f>
        <v>#VALUE!</v>
      </c>
      <c r="DE65" t="e">
        <f>Nodes!G487+"'E4!%.h"</f>
        <v>#VALUE!</v>
      </c>
      <c r="DF65" t="e">
        <f>Nodes!H487+"'E4!%.i"</f>
        <v>#VALUE!</v>
      </c>
      <c r="DG65" t="e">
        <f>Nodes!I487+"'E4!%.j"</f>
        <v>#VALUE!</v>
      </c>
      <c r="DH65" t="e">
        <f>Nodes!J487+"'E4!%.k"</f>
        <v>#VALUE!</v>
      </c>
      <c r="DI65" t="e">
        <f>Nodes!K487+"'E4!%.l"</f>
        <v>#VALUE!</v>
      </c>
      <c r="DJ65" t="e">
        <f>Nodes!L487+"'E4!%.m"</f>
        <v>#VALUE!</v>
      </c>
      <c r="DK65" t="e">
        <f>Nodes!M487+"'E4!%.n"</f>
        <v>#VALUE!</v>
      </c>
      <c r="DL65" t="e">
        <f>Nodes!N487+"'E4!%.o"</f>
        <v>#VALUE!</v>
      </c>
      <c r="DM65" t="e">
        <f>Nodes!O487+"'E4!%.p"</f>
        <v>#VALUE!</v>
      </c>
      <c r="DN65" t="e">
        <f>Nodes!P487+"'E4!%.q"</f>
        <v>#VALUE!</v>
      </c>
      <c r="DO65" t="e">
        <f>Nodes!Q487+"'E4!%.r"</f>
        <v>#VALUE!</v>
      </c>
      <c r="DP65" t="e">
        <f>Nodes!R487+"'E4!%.s"</f>
        <v>#VALUE!</v>
      </c>
      <c r="DQ65" t="e">
        <f>Nodes!S487+"'E4!%.t"</f>
        <v>#VALUE!</v>
      </c>
      <c r="DR65" t="e">
        <f>Nodes!T487+"'E4!%.u"</f>
        <v>#VALUE!</v>
      </c>
      <c r="DS65" s="548" t="e">
        <f>Nodes!U487+"'E4!%.v"</f>
        <v>#VALUE!</v>
      </c>
      <c r="DT65" s="548" t="e">
        <f>Nodes!V487+"'E4!%.w"</f>
        <v>#VALUE!</v>
      </c>
      <c r="DU65" s="548" t="e">
        <f>Nodes!W487+"'E4!%.x"</f>
        <v>#VALUE!</v>
      </c>
      <c r="DV65" s="333" t="e">
        <f>Nodes!X487+"'E4!%.y"</f>
        <v>#VALUE!</v>
      </c>
      <c r="DW65" t="e">
        <f>Nodes!Y487+"'E4!%.z"</f>
        <v>#VALUE!</v>
      </c>
      <c r="DX65" t="e">
        <f>Nodes!Z487+"'E4!%.{"</f>
        <v>#VALUE!</v>
      </c>
      <c r="DY65" t="e">
        <f>Nodes!AA487+"'E4!%.|"</f>
        <v>#VALUE!</v>
      </c>
      <c r="DZ65" t="e">
        <f>Nodes!AB487+"'E4!%.}"</f>
        <v>#VALUE!</v>
      </c>
      <c r="EA65" t="e">
        <f>Nodes!AC487+"'E4!%.~"</f>
        <v>#VALUE!</v>
      </c>
      <c r="EB65" t="e">
        <f>Nodes!A488+"'E4!%/#"</f>
        <v>#VALUE!</v>
      </c>
      <c r="EC65" t="e">
        <f>Nodes!B488+"'E4!%/$"</f>
        <v>#VALUE!</v>
      </c>
      <c r="ED65" t="e">
        <f>Nodes!C488+"'E4!%/%"</f>
        <v>#VALUE!</v>
      </c>
      <c r="EE65" t="e">
        <f>Nodes!D488+"'E4!%/&amp;"</f>
        <v>#VALUE!</v>
      </c>
      <c r="EF65" t="e">
        <f>Nodes!E488+"'E4!%/'"</f>
        <v>#VALUE!</v>
      </c>
      <c r="EG65" t="e">
        <f>Nodes!F488+"'E4!%/("</f>
        <v>#VALUE!</v>
      </c>
      <c r="EH65" t="e">
        <f>Nodes!G488+"'E4!%/)"</f>
        <v>#VALUE!</v>
      </c>
      <c r="EI65" t="e">
        <f>Nodes!H488+"'E4!%/."</f>
        <v>#VALUE!</v>
      </c>
      <c r="EJ65" t="e">
        <f>Nodes!I488+"'E4!%//"</f>
        <v>#VALUE!</v>
      </c>
      <c r="EK65" t="e">
        <f>Nodes!J488+"'E4!%/0"</f>
        <v>#VALUE!</v>
      </c>
      <c r="EL65" t="e">
        <f>Nodes!K488+"'E4!%/1"</f>
        <v>#VALUE!</v>
      </c>
      <c r="EM65" t="e">
        <f>Nodes!L488+"'E4!%/2"</f>
        <v>#VALUE!</v>
      </c>
      <c r="EN65" t="e">
        <f>Nodes!M488+"'E4!%/3"</f>
        <v>#VALUE!</v>
      </c>
      <c r="EO65" t="e">
        <f>Nodes!N488+"'E4!%/4"</f>
        <v>#VALUE!</v>
      </c>
      <c r="EP65" t="e">
        <f>Nodes!O488+"'E4!%/5"</f>
        <v>#VALUE!</v>
      </c>
      <c r="EQ65" t="e">
        <f>Nodes!P488+"'E4!%/6"</f>
        <v>#VALUE!</v>
      </c>
      <c r="ER65" t="e">
        <f>Nodes!Q488+"'E4!%/7"</f>
        <v>#VALUE!</v>
      </c>
      <c r="ES65" t="e">
        <f>Nodes!R488+"'E4!%/8"</f>
        <v>#VALUE!</v>
      </c>
      <c r="ET65" t="e">
        <f>Nodes!S488+"'E4!%/9"</f>
        <v>#VALUE!</v>
      </c>
      <c r="EU65" t="e">
        <f>Nodes!T488+"'E4!%/:"</f>
        <v>#VALUE!</v>
      </c>
      <c r="EV65" s="548" t="e">
        <f>Nodes!U488+"'E4!%/;"</f>
        <v>#VALUE!</v>
      </c>
      <c r="EW65" s="548" t="e">
        <f>Nodes!V488+"'E4!%/&lt;"</f>
        <v>#VALUE!</v>
      </c>
      <c r="EX65" s="548" t="e">
        <f>Nodes!W488+"'E4!%/="</f>
        <v>#VALUE!</v>
      </c>
      <c r="EY65" s="333" t="e">
        <f>Nodes!X488+"'E4!%/&gt;"</f>
        <v>#VALUE!</v>
      </c>
      <c r="EZ65" t="e">
        <f>Nodes!Y488+"'E4!%/?"</f>
        <v>#VALUE!</v>
      </c>
      <c r="FA65" t="e">
        <f>Nodes!Z488+"'E4!%/@"</f>
        <v>#VALUE!</v>
      </c>
      <c r="FB65" t="e">
        <f>Nodes!AA488+"'E4!%/A"</f>
        <v>#VALUE!</v>
      </c>
      <c r="FC65" t="e">
        <f>Nodes!AB488+"'E4!%/B"</f>
        <v>#VALUE!</v>
      </c>
      <c r="FD65" t="e">
        <f>Nodes!AC488+"'E4!%/C"</f>
        <v>#VALUE!</v>
      </c>
      <c r="FE65" t="e">
        <f>Nodes!A489+"'E4!%/D"</f>
        <v>#VALUE!</v>
      </c>
      <c r="FF65" t="e">
        <f>Nodes!B489+"'E4!%/E"</f>
        <v>#VALUE!</v>
      </c>
      <c r="FG65" t="e">
        <f>Nodes!C489+"'E4!%/F"</f>
        <v>#VALUE!</v>
      </c>
      <c r="FH65" t="e">
        <f>Nodes!D489+"'E4!%/G"</f>
        <v>#VALUE!</v>
      </c>
      <c r="FI65" t="e">
        <f>Nodes!E489+"'E4!%/H"</f>
        <v>#VALUE!</v>
      </c>
      <c r="FJ65" t="e">
        <f>Nodes!F489+"'E4!%/I"</f>
        <v>#VALUE!</v>
      </c>
      <c r="FK65" t="e">
        <f>Nodes!G489+"'E4!%/J"</f>
        <v>#VALUE!</v>
      </c>
      <c r="FL65" t="e">
        <f>Nodes!H489+"'E4!%/K"</f>
        <v>#VALUE!</v>
      </c>
      <c r="FM65" t="e">
        <f>Nodes!I489+"'E4!%/L"</f>
        <v>#VALUE!</v>
      </c>
      <c r="FN65" t="e">
        <f>Nodes!J489+"'E4!%/M"</f>
        <v>#VALUE!</v>
      </c>
      <c r="FO65" t="e">
        <f>Nodes!K489+"'E4!%/N"</f>
        <v>#VALUE!</v>
      </c>
      <c r="FP65" t="e">
        <f>Nodes!L489+"'E4!%/O"</f>
        <v>#VALUE!</v>
      </c>
      <c r="FQ65" t="e">
        <f>Nodes!M489+"'E4!%/P"</f>
        <v>#VALUE!</v>
      </c>
      <c r="FR65" t="e">
        <f>Nodes!N489+"'E4!%/Q"</f>
        <v>#VALUE!</v>
      </c>
      <c r="FS65" t="e">
        <f>Nodes!O489+"'E4!%/R"</f>
        <v>#VALUE!</v>
      </c>
      <c r="FT65" t="e">
        <f>Nodes!P489+"'E4!%/S"</f>
        <v>#VALUE!</v>
      </c>
      <c r="FU65" t="e">
        <f>Nodes!Q489+"'E4!%/T"</f>
        <v>#VALUE!</v>
      </c>
      <c r="FV65" t="e">
        <f>Nodes!R489+"'E4!%/U"</f>
        <v>#VALUE!</v>
      </c>
      <c r="FW65" t="e">
        <f>Nodes!S489+"'E4!%/V"</f>
        <v>#VALUE!</v>
      </c>
      <c r="FX65" t="e">
        <f>Nodes!T489+"'E4!%/W"</f>
        <v>#VALUE!</v>
      </c>
      <c r="FY65" s="548" t="e">
        <f>Nodes!U489+"'E4!%/X"</f>
        <v>#VALUE!</v>
      </c>
      <c r="FZ65" s="548" t="e">
        <f>Nodes!V489+"'E4!%/Y"</f>
        <v>#VALUE!</v>
      </c>
      <c r="GA65" s="548" t="e">
        <f>Nodes!W489+"'E4!%/Z"</f>
        <v>#VALUE!</v>
      </c>
      <c r="GB65" s="333" t="e">
        <f>Nodes!X489+"'E4!%/["</f>
        <v>#VALUE!</v>
      </c>
      <c r="GC65" t="e">
        <f>Nodes!Y489+"'E4!%/\"</f>
        <v>#VALUE!</v>
      </c>
      <c r="GD65" t="e">
        <f>Nodes!Z489+"'E4!%/]"</f>
        <v>#VALUE!</v>
      </c>
      <c r="GE65" t="e">
        <f>Nodes!AA489+"'E4!%/^"</f>
        <v>#VALUE!</v>
      </c>
      <c r="GF65" t="e">
        <f>Nodes!AB489+"'E4!%/_"</f>
        <v>#VALUE!</v>
      </c>
      <c r="GG65" t="e">
        <f>Nodes!AC489+"'E4!%/`"</f>
        <v>#VALUE!</v>
      </c>
      <c r="GH65" t="e">
        <f>Nodes!A490+"'E4!%/a"</f>
        <v>#VALUE!</v>
      </c>
      <c r="GI65" t="e">
        <f>Nodes!B490+"'E4!%/b"</f>
        <v>#VALUE!</v>
      </c>
      <c r="GJ65" t="e">
        <f>Nodes!C490+"'E4!%/c"</f>
        <v>#VALUE!</v>
      </c>
      <c r="GK65" t="e">
        <f>Nodes!D490+"'E4!%/d"</f>
        <v>#VALUE!</v>
      </c>
      <c r="GL65" t="e">
        <f>Nodes!E490+"'E4!%/e"</f>
        <v>#VALUE!</v>
      </c>
      <c r="GM65" t="e">
        <f>Nodes!F490+"'E4!%/f"</f>
        <v>#VALUE!</v>
      </c>
      <c r="GN65" t="e">
        <f>Nodes!G490+"'E4!%/g"</f>
        <v>#VALUE!</v>
      </c>
      <c r="GO65" t="e">
        <f>Nodes!H490+"'E4!%/h"</f>
        <v>#VALUE!</v>
      </c>
      <c r="GP65" t="e">
        <f>Nodes!I490+"'E4!%/i"</f>
        <v>#VALUE!</v>
      </c>
      <c r="GQ65" t="e">
        <f>Nodes!J490+"'E4!%/j"</f>
        <v>#VALUE!</v>
      </c>
      <c r="GR65" t="e">
        <f>Nodes!K490+"'E4!%/k"</f>
        <v>#VALUE!</v>
      </c>
      <c r="GS65" t="e">
        <f>Nodes!L490+"'E4!%/l"</f>
        <v>#VALUE!</v>
      </c>
      <c r="GT65" t="e">
        <f>Nodes!M490+"'E4!%/m"</f>
        <v>#VALUE!</v>
      </c>
      <c r="GU65" t="e">
        <f>Nodes!N490+"'E4!%/n"</f>
        <v>#VALUE!</v>
      </c>
      <c r="GV65" t="e">
        <f>Nodes!O490+"'E4!%/o"</f>
        <v>#VALUE!</v>
      </c>
      <c r="GW65" t="e">
        <f>Nodes!P490+"'E4!%/p"</f>
        <v>#VALUE!</v>
      </c>
      <c r="GX65" t="e">
        <f>Nodes!Q490+"'E4!%/q"</f>
        <v>#VALUE!</v>
      </c>
      <c r="GY65" t="e">
        <f>Nodes!R490+"'E4!%/r"</f>
        <v>#VALUE!</v>
      </c>
      <c r="GZ65" t="e">
        <f>Nodes!S490+"'E4!%/s"</f>
        <v>#VALUE!</v>
      </c>
      <c r="HA65" t="e">
        <f>Nodes!T490+"'E4!%/t"</f>
        <v>#VALUE!</v>
      </c>
      <c r="HB65" s="548" t="e">
        <f>Nodes!U490+"'E4!%/u"</f>
        <v>#VALUE!</v>
      </c>
      <c r="HC65" s="548" t="e">
        <f>Nodes!V490+"'E4!%/v"</f>
        <v>#VALUE!</v>
      </c>
      <c r="HD65" s="548" t="e">
        <f>Nodes!W490+"'E4!%/w"</f>
        <v>#VALUE!</v>
      </c>
      <c r="HE65" s="333" t="e">
        <f>Nodes!X490+"'E4!%/x"</f>
        <v>#VALUE!</v>
      </c>
      <c r="HF65" t="e">
        <f>Nodes!Y490+"'E4!%/y"</f>
        <v>#VALUE!</v>
      </c>
      <c r="HG65" t="e">
        <f>Nodes!Z490+"'E4!%/z"</f>
        <v>#VALUE!</v>
      </c>
      <c r="HH65" t="e">
        <f>Nodes!AA490+"'E4!%/{"</f>
        <v>#VALUE!</v>
      </c>
      <c r="HI65" t="e">
        <f>Nodes!AB490+"'E4!%/|"</f>
        <v>#VALUE!</v>
      </c>
      <c r="HJ65" t="e">
        <f>Nodes!AC490+"'E4!%/}"</f>
        <v>#VALUE!</v>
      </c>
      <c r="HK65" t="e">
        <f>Nodes!A491+"'E4!%/~"</f>
        <v>#VALUE!</v>
      </c>
      <c r="HL65" t="e">
        <f>Nodes!B491+"'E4!%0#"</f>
        <v>#VALUE!</v>
      </c>
      <c r="HM65" t="e">
        <f>Nodes!C491+"'E4!%0$"</f>
        <v>#VALUE!</v>
      </c>
      <c r="HN65" t="e">
        <f>Nodes!D491+"'E4!%0%"</f>
        <v>#VALUE!</v>
      </c>
      <c r="HO65" t="e">
        <f>Nodes!E491+"'E4!%0&amp;"</f>
        <v>#VALUE!</v>
      </c>
      <c r="HP65" t="e">
        <f>Nodes!F491+"'E4!%0'"</f>
        <v>#VALUE!</v>
      </c>
      <c r="HQ65" t="e">
        <f>Nodes!G491+"'E4!%0("</f>
        <v>#VALUE!</v>
      </c>
      <c r="HR65" t="e">
        <f>Nodes!H491+"'E4!%0)"</f>
        <v>#VALUE!</v>
      </c>
      <c r="HS65" t="e">
        <f>Nodes!I491+"'E4!%0."</f>
        <v>#VALUE!</v>
      </c>
      <c r="HT65" t="e">
        <f>Nodes!J491+"'E4!%0/"</f>
        <v>#VALUE!</v>
      </c>
      <c r="HU65" t="e">
        <f>Nodes!K491+"'E4!%00"</f>
        <v>#VALUE!</v>
      </c>
      <c r="HV65" t="e">
        <f>Nodes!L491+"'E4!%01"</f>
        <v>#VALUE!</v>
      </c>
      <c r="HW65" t="e">
        <f>Nodes!M491+"'E4!%02"</f>
        <v>#VALUE!</v>
      </c>
      <c r="HX65" t="e">
        <f>Nodes!N491+"'E4!%03"</f>
        <v>#VALUE!</v>
      </c>
      <c r="HY65" t="e">
        <f>Nodes!O491+"'E4!%04"</f>
        <v>#VALUE!</v>
      </c>
      <c r="HZ65" t="e">
        <f>Nodes!P491+"'E4!%05"</f>
        <v>#VALUE!</v>
      </c>
      <c r="IA65" t="e">
        <f>Nodes!Q491+"'E4!%06"</f>
        <v>#VALUE!</v>
      </c>
      <c r="IB65" t="e">
        <f>Nodes!R491+"'E4!%07"</f>
        <v>#VALUE!</v>
      </c>
      <c r="IC65" t="e">
        <f>Nodes!S491+"'E4!%08"</f>
        <v>#VALUE!</v>
      </c>
      <c r="ID65" t="e">
        <f>Nodes!T491+"'E4!%09"</f>
        <v>#VALUE!</v>
      </c>
      <c r="IE65" s="548" t="e">
        <f>Nodes!U491+"'E4!%0:"</f>
        <v>#VALUE!</v>
      </c>
      <c r="IF65" s="548" t="e">
        <f>Nodes!V491+"'E4!%0;"</f>
        <v>#VALUE!</v>
      </c>
      <c r="IG65" s="548" t="e">
        <f>Nodes!W491+"'E4!%0&lt;"</f>
        <v>#VALUE!</v>
      </c>
      <c r="IH65" s="333" t="e">
        <f>Nodes!X491+"'E4!%0="</f>
        <v>#VALUE!</v>
      </c>
      <c r="II65" t="e">
        <f>Nodes!Y491+"'E4!%0&gt;"</f>
        <v>#VALUE!</v>
      </c>
      <c r="IJ65" t="e">
        <f>Nodes!Z491+"'E4!%0?"</f>
        <v>#VALUE!</v>
      </c>
      <c r="IK65" t="e">
        <f>Nodes!AA491+"'E4!%0@"</f>
        <v>#VALUE!</v>
      </c>
      <c r="IL65" t="e">
        <f>Nodes!AB491+"'E4!%0A"</f>
        <v>#VALUE!</v>
      </c>
      <c r="IM65" t="e">
        <f>Nodes!AC491+"'E4!%0B"</f>
        <v>#VALUE!</v>
      </c>
      <c r="IN65" t="e">
        <f>Nodes!A492+"'E4!%0C"</f>
        <v>#VALUE!</v>
      </c>
      <c r="IO65" t="e">
        <f>Nodes!B492+"'E4!%0D"</f>
        <v>#VALUE!</v>
      </c>
      <c r="IP65" t="e">
        <f>Nodes!C492+"'E4!%0E"</f>
        <v>#VALUE!</v>
      </c>
      <c r="IQ65" t="e">
        <f>Nodes!D492+"'E4!%0F"</f>
        <v>#VALUE!</v>
      </c>
      <c r="IR65" t="e">
        <f>Nodes!E492+"'E4!%0G"</f>
        <v>#VALUE!</v>
      </c>
      <c r="IS65" t="e">
        <f>Nodes!F492+"'E4!%0H"</f>
        <v>#VALUE!</v>
      </c>
      <c r="IT65" t="e">
        <f>Nodes!G492+"'E4!%0I"</f>
        <v>#VALUE!</v>
      </c>
      <c r="IU65" t="e">
        <f>Nodes!H492+"'E4!%0J"</f>
        <v>#VALUE!</v>
      </c>
      <c r="IV65" t="e">
        <f>Nodes!I492+"'E4!%0K"</f>
        <v>#VALUE!</v>
      </c>
    </row>
    <row r="66" spans="6:256">
      <c r="F66" t="e">
        <f>Nodes!J492+"'E4!%0L"</f>
        <v>#VALUE!</v>
      </c>
      <c r="G66" t="e">
        <f>Nodes!K492+"'E4!%0M"</f>
        <v>#VALUE!</v>
      </c>
      <c r="H66" t="e">
        <f>Nodes!L492+"'E4!%0N"</f>
        <v>#VALUE!</v>
      </c>
      <c r="I66" t="e">
        <f>Nodes!M492+"'E4!%0O"</f>
        <v>#VALUE!</v>
      </c>
      <c r="J66" t="e">
        <f>Nodes!N492+"'E4!%0P"</f>
        <v>#VALUE!</v>
      </c>
      <c r="K66" t="e">
        <f>Nodes!O492+"'E4!%0Q"</f>
        <v>#VALUE!</v>
      </c>
      <c r="L66" t="e">
        <f>Nodes!P492+"'E4!%0R"</f>
        <v>#VALUE!</v>
      </c>
      <c r="M66" t="e">
        <f>Nodes!Q492+"'E4!%0S"</f>
        <v>#VALUE!</v>
      </c>
      <c r="N66" t="e">
        <f>Nodes!R492+"'E4!%0T"</f>
        <v>#VALUE!</v>
      </c>
      <c r="O66" t="e">
        <f>Nodes!S492+"'E4!%0U"</f>
        <v>#VALUE!</v>
      </c>
      <c r="P66" t="e">
        <f>Nodes!T492+"'E4!%0V"</f>
        <v>#VALUE!</v>
      </c>
      <c r="Q66" s="548" t="e">
        <f>Nodes!U492+"'E4!%0W"</f>
        <v>#VALUE!</v>
      </c>
      <c r="R66" s="548" t="e">
        <f>Nodes!V492+"'E4!%0X"</f>
        <v>#VALUE!</v>
      </c>
      <c r="S66" s="548" t="e">
        <f>Nodes!W492+"'E4!%0Y"</f>
        <v>#VALUE!</v>
      </c>
      <c r="T66" s="333" t="e">
        <f>Nodes!X492+"'E4!%0Z"</f>
        <v>#VALUE!</v>
      </c>
      <c r="U66" t="e">
        <f>Nodes!Y492+"'E4!%0["</f>
        <v>#VALUE!</v>
      </c>
      <c r="V66" t="e">
        <f>Nodes!Z492+"'E4!%0\"</f>
        <v>#VALUE!</v>
      </c>
      <c r="W66" t="e">
        <f>Nodes!AA492+"'E4!%0]"</f>
        <v>#VALUE!</v>
      </c>
      <c r="X66" t="e">
        <f>Nodes!AB492+"'E4!%0^"</f>
        <v>#VALUE!</v>
      </c>
      <c r="Y66" t="e">
        <f>Nodes!AC492+"'E4!%0_"</f>
        <v>#VALUE!</v>
      </c>
      <c r="Z66" t="e">
        <f>Nodes!A493+"'E4!%0`"</f>
        <v>#VALUE!</v>
      </c>
      <c r="AA66" t="e">
        <f>Nodes!B493+"'E4!%0a"</f>
        <v>#VALUE!</v>
      </c>
      <c r="AB66" t="e">
        <f>Nodes!C493+"'E4!%0b"</f>
        <v>#VALUE!</v>
      </c>
      <c r="AC66" t="e">
        <f>Nodes!D493+"'E4!%0c"</f>
        <v>#VALUE!</v>
      </c>
      <c r="AD66" t="e">
        <f>Nodes!E493+"'E4!%0d"</f>
        <v>#VALUE!</v>
      </c>
      <c r="AE66" t="e">
        <f>Nodes!F493+"'E4!%0e"</f>
        <v>#VALUE!</v>
      </c>
      <c r="AF66" t="e">
        <f>Nodes!G493+"'E4!%0f"</f>
        <v>#VALUE!</v>
      </c>
      <c r="AG66" t="e">
        <f>Nodes!H493+"'E4!%0g"</f>
        <v>#VALUE!</v>
      </c>
      <c r="AH66" t="e">
        <f>Nodes!I493+"'E4!%0h"</f>
        <v>#VALUE!</v>
      </c>
      <c r="AI66" t="e">
        <f>Nodes!J493+"'E4!%0i"</f>
        <v>#VALUE!</v>
      </c>
      <c r="AJ66" t="e">
        <f>Nodes!K493+"'E4!%0j"</f>
        <v>#VALUE!</v>
      </c>
      <c r="AK66" t="e">
        <f>Nodes!L493+"'E4!%0k"</f>
        <v>#VALUE!</v>
      </c>
      <c r="AL66" t="e">
        <f>Nodes!M493+"'E4!%0l"</f>
        <v>#VALUE!</v>
      </c>
      <c r="AM66" t="e">
        <f>Nodes!N493+"'E4!%0m"</f>
        <v>#VALUE!</v>
      </c>
      <c r="AN66" t="e">
        <f>Nodes!O493+"'E4!%0n"</f>
        <v>#VALUE!</v>
      </c>
      <c r="AO66" t="e">
        <f>Nodes!P493+"'E4!%0o"</f>
        <v>#VALUE!</v>
      </c>
      <c r="AP66" t="e">
        <f>Nodes!Q493+"'E4!%0p"</f>
        <v>#VALUE!</v>
      </c>
      <c r="AQ66" t="e">
        <f>Nodes!R493+"'E4!%0q"</f>
        <v>#VALUE!</v>
      </c>
      <c r="AR66" t="e">
        <f>Nodes!S493+"'E4!%0r"</f>
        <v>#VALUE!</v>
      </c>
      <c r="AS66" t="e">
        <f>Nodes!T493+"'E4!%0s"</f>
        <v>#VALUE!</v>
      </c>
      <c r="AT66" s="548" t="e">
        <f>Nodes!U493+"'E4!%0t"</f>
        <v>#VALUE!</v>
      </c>
      <c r="AU66" s="548" t="e">
        <f>Nodes!V493+"'E4!%0u"</f>
        <v>#VALUE!</v>
      </c>
      <c r="AV66" s="548" t="e">
        <f>Nodes!W493+"'E4!%0v"</f>
        <v>#VALUE!</v>
      </c>
      <c r="AW66" s="333" t="e">
        <f>Nodes!X493+"'E4!%0w"</f>
        <v>#VALUE!</v>
      </c>
      <c r="AX66" t="e">
        <f>Nodes!Y493+"'E4!%0x"</f>
        <v>#VALUE!</v>
      </c>
      <c r="AY66" t="e">
        <f>Nodes!Z493+"'E4!%0y"</f>
        <v>#VALUE!</v>
      </c>
      <c r="AZ66" t="e">
        <f>Nodes!AA493+"'E4!%0z"</f>
        <v>#VALUE!</v>
      </c>
      <c r="BA66" t="e">
        <f>Nodes!AB493+"'E4!%0{"</f>
        <v>#VALUE!</v>
      </c>
      <c r="BB66" t="e">
        <f>Nodes!AC493+"'E4!%0|"</f>
        <v>#VALUE!</v>
      </c>
      <c r="BC66" t="e">
        <f>Nodes!A494+"'E4!%0}"</f>
        <v>#VALUE!</v>
      </c>
      <c r="BD66" t="e">
        <f>Nodes!B494+"'E4!%0~"</f>
        <v>#VALUE!</v>
      </c>
      <c r="BE66" t="e">
        <f>Nodes!C494+"'E4!%1#"</f>
        <v>#VALUE!</v>
      </c>
      <c r="BF66" t="e">
        <f>Nodes!D494+"'E4!%1$"</f>
        <v>#VALUE!</v>
      </c>
      <c r="BG66" t="e">
        <f>Nodes!E494+"'E4!%1%"</f>
        <v>#VALUE!</v>
      </c>
      <c r="BH66" t="e">
        <f>Nodes!F494+"'E4!%1&amp;"</f>
        <v>#VALUE!</v>
      </c>
      <c r="BI66" t="e">
        <f>Nodes!G494+"'E4!%1'"</f>
        <v>#VALUE!</v>
      </c>
      <c r="BJ66" t="e">
        <f>Nodes!H494+"'E4!%1("</f>
        <v>#VALUE!</v>
      </c>
      <c r="BK66" t="e">
        <f>Nodes!I494+"'E4!%1)"</f>
        <v>#VALUE!</v>
      </c>
      <c r="BL66" t="e">
        <f>Nodes!J494+"'E4!%1."</f>
        <v>#VALUE!</v>
      </c>
      <c r="BM66" t="e">
        <f>Nodes!K494+"'E4!%1/"</f>
        <v>#VALUE!</v>
      </c>
      <c r="BN66" t="e">
        <f>Nodes!L494+"'E4!%10"</f>
        <v>#VALUE!</v>
      </c>
      <c r="BO66" t="e">
        <f>Nodes!M494+"'E4!%11"</f>
        <v>#VALUE!</v>
      </c>
      <c r="BP66" t="e">
        <f>Nodes!N494+"'E4!%12"</f>
        <v>#VALUE!</v>
      </c>
      <c r="BQ66" t="e">
        <f>Nodes!O494+"'E4!%13"</f>
        <v>#VALUE!</v>
      </c>
      <c r="BR66" t="e">
        <f>Nodes!P494+"'E4!%14"</f>
        <v>#VALUE!</v>
      </c>
      <c r="BS66" t="e">
        <f>Nodes!Q494+"'E4!%15"</f>
        <v>#VALUE!</v>
      </c>
      <c r="BT66" t="e">
        <f>Nodes!R494+"'E4!%16"</f>
        <v>#VALUE!</v>
      </c>
      <c r="BU66" t="e">
        <f>Nodes!S494+"'E4!%17"</f>
        <v>#VALUE!</v>
      </c>
      <c r="BV66" t="e">
        <f>Nodes!T494+"'E4!%18"</f>
        <v>#VALUE!</v>
      </c>
      <c r="BW66" s="548" t="e">
        <f>Nodes!U494+"'E4!%19"</f>
        <v>#VALUE!</v>
      </c>
      <c r="BX66" s="548" t="e">
        <f>Nodes!V494+"'E4!%1:"</f>
        <v>#VALUE!</v>
      </c>
      <c r="BY66" s="548" t="e">
        <f>Nodes!W494+"'E4!%1;"</f>
        <v>#VALUE!</v>
      </c>
      <c r="BZ66" s="333" t="e">
        <f>Nodes!X494+"'E4!%1&lt;"</f>
        <v>#VALUE!</v>
      </c>
      <c r="CA66" t="e">
        <f>Nodes!Y494+"'E4!%1="</f>
        <v>#VALUE!</v>
      </c>
      <c r="CB66" t="e">
        <f>Nodes!Z494+"'E4!%1&gt;"</f>
        <v>#VALUE!</v>
      </c>
      <c r="CC66" t="e">
        <f>Nodes!AA494+"'E4!%1?"</f>
        <v>#VALUE!</v>
      </c>
      <c r="CD66" t="e">
        <f>Nodes!AB494+"'E4!%1@"</f>
        <v>#VALUE!</v>
      </c>
      <c r="CE66" t="e">
        <f>Nodes!AC494+"'E4!%1A"</f>
        <v>#VALUE!</v>
      </c>
      <c r="CF66" t="e">
        <f>Nodes!A495+"'E4!%1B"</f>
        <v>#VALUE!</v>
      </c>
      <c r="CG66" t="e">
        <f>Nodes!B495+"'E4!%1C"</f>
        <v>#VALUE!</v>
      </c>
      <c r="CH66" t="e">
        <f>Nodes!C495+"'E4!%1D"</f>
        <v>#VALUE!</v>
      </c>
      <c r="CI66" t="e">
        <f>Nodes!D495+"'E4!%1E"</f>
        <v>#VALUE!</v>
      </c>
      <c r="CJ66" t="e">
        <f>Nodes!E495+"'E4!%1F"</f>
        <v>#VALUE!</v>
      </c>
      <c r="CK66" t="e">
        <f>Nodes!F495+"'E4!%1G"</f>
        <v>#VALUE!</v>
      </c>
      <c r="CL66" t="e">
        <f>Nodes!G495+"'E4!%1H"</f>
        <v>#VALUE!</v>
      </c>
      <c r="CM66" t="e">
        <f>Nodes!H495+"'E4!%1I"</f>
        <v>#VALUE!</v>
      </c>
      <c r="CN66" t="e">
        <f>Nodes!I495+"'E4!%1J"</f>
        <v>#VALUE!</v>
      </c>
      <c r="CO66" t="e">
        <f>Nodes!J495+"'E4!%1K"</f>
        <v>#VALUE!</v>
      </c>
      <c r="CP66" t="e">
        <f>Nodes!K495+"'E4!%1L"</f>
        <v>#VALUE!</v>
      </c>
      <c r="CQ66" t="e">
        <f>Nodes!L495+"'E4!%1M"</f>
        <v>#VALUE!</v>
      </c>
      <c r="CR66" t="e">
        <f>Nodes!M495+"'E4!%1N"</f>
        <v>#VALUE!</v>
      </c>
      <c r="CS66" t="e">
        <f>Nodes!N495+"'E4!%1O"</f>
        <v>#VALUE!</v>
      </c>
      <c r="CT66" t="e">
        <f>Nodes!O495+"'E4!%1P"</f>
        <v>#VALUE!</v>
      </c>
      <c r="CU66" t="e">
        <f>Nodes!P495+"'E4!%1Q"</f>
        <v>#VALUE!</v>
      </c>
      <c r="CV66" t="e">
        <f>Nodes!Q495+"'E4!%1R"</f>
        <v>#VALUE!</v>
      </c>
      <c r="CW66" t="e">
        <f>Nodes!R495+"'E4!%1S"</f>
        <v>#VALUE!</v>
      </c>
      <c r="CX66" t="e">
        <f>Nodes!S495+"'E4!%1T"</f>
        <v>#VALUE!</v>
      </c>
      <c r="CY66" t="e">
        <f>Nodes!T495+"'E4!%1U"</f>
        <v>#VALUE!</v>
      </c>
      <c r="CZ66" s="548" t="e">
        <f>Nodes!U495+"'E4!%1V"</f>
        <v>#VALUE!</v>
      </c>
      <c r="DA66" s="548" t="e">
        <f>Nodes!V495+"'E4!%1W"</f>
        <v>#VALUE!</v>
      </c>
      <c r="DB66" s="548" t="e">
        <f>Nodes!W495+"'E4!%1X"</f>
        <v>#VALUE!</v>
      </c>
      <c r="DC66" s="333" t="e">
        <f>Nodes!X495+"'E4!%1Y"</f>
        <v>#VALUE!</v>
      </c>
      <c r="DD66" t="e">
        <f>Nodes!Y495+"'E4!%1Z"</f>
        <v>#VALUE!</v>
      </c>
      <c r="DE66" t="e">
        <f>Nodes!Z495+"'E4!%1["</f>
        <v>#VALUE!</v>
      </c>
      <c r="DF66" t="e">
        <f>Nodes!AA495+"'E4!%1\"</f>
        <v>#VALUE!</v>
      </c>
      <c r="DG66" t="e">
        <f>Nodes!AB495+"'E4!%1]"</f>
        <v>#VALUE!</v>
      </c>
      <c r="DH66" t="e">
        <f>Nodes!AC495+"'E4!%1^"</f>
        <v>#VALUE!</v>
      </c>
      <c r="DI66" t="e">
        <f>Nodes!A496+"'E4!%1_"</f>
        <v>#VALUE!</v>
      </c>
      <c r="DJ66" t="e">
        <f>Nodes!B496+"'E4!%1`"</f>
        <v>#VALUE!</v>
      </c>
      <c r="DK66" t="e">
        <f>Nodes!C496+"'E4!%1a"</f>
        <v>#VALUE!</v>
      </c>
      <c r="DL66" t="e">
        <f>Nodes!D496+"'E4!%1b"</f>
        <v>#VALUE!</v>
      </c>
      <c r="DM66" t="e">
        <f>Nodes!E496+"'E4!%1c"</f>
        <v>#VALUE!</v>
      </c>
      <c r="DN66" t="e">
        <f>Nodes!F496+"'E4!%1d"</f>
        <v>#VALUE!</v>
      </c>
      <c r="DO66" t="e">
        <f>Nodes!G496+"'E4!%1e"</f>
        <v>#VALUE!</v>
      </c>
      <c r="DP66" t="e">
        <f>Nodes!H496+"'E4!%1f"</f>
        <v>#VALUE!</v>
      </c>
      <c r="DQ66" t="e">
        <f>Nodes!I496+"'E4!%1g"</f>
        <v>#VALUE!</v>
      </c>
      <c r="DR66" t="e">
        <f>Nodes!J496+"'E4!%1h"</f>
        <v>#VALUE!</v>
      </c>
      <c r="DS66" t="e">
        <f>Nodes!K496+"'E4!%1i"</f>
        <v>#VALUE!</v>
      </c>
      <c r="DT66" t="e">
        <f>Nodes!L496+"'E4!%1j"</f>
        <v>#VALUE!</v>
      </c>
      <c r="DU66" t="e">
        <f>Nodes!M496+"'E4!%1k"</f>
        <v>#VALUE!</v>
      </c>
      <c r="DV66" t="e">
        <f>Nodes!N496+"'E4!%1l"</f>
        <v>#VALUE!</v>
      </c>
      <c r="DW66" t="e">
        <f>Nodes!O496+"'E4!%1m"</f>
        <v>#VALUE!</v>
      </c>
      <c r="DX66" t="e">
        <f>Nodes!P496+"'E4!%1n"</f>
        <v>#VALUE!</v>
      </c>
      <c r="DY66" t="e">
        <f>Nodes!Q496+"'E4!%1o"</f>
        <v>#VALUE!</v>
      </c>
      <c r="DZ66" t="e">
        <f>Nodes!R496+"'E4!%1p"</f>
        <v>#VALUE!</v>
      </c>
      <c r="EA66" t="e">
        <f>Nodes!S496+"'E4!%1q"</f>
        <v>#VALUE!</v>
      </c>
      <c r="EB66" t="e">
        <f>Nodes!T496+"'E4!%1r"</f>
        <v>#VALUE!</v>
      </c>
      <c r="EC66" s="548" t="e">
        <f>Nodes!U496+"'E4!%1s"</f>
        <v>#VALUE!</v>
      </c>
      <c r="ED66" s="548" t="e">
        <f>Nodes!V496+"'E4!%1t"</f>
        <v>#VALUE!</v>
      </c>
      <c r="EE66" s="548" t="e">
        <f>Nodes!W496+"'E4!%1u"</f>
        <v>#VALUE!</v>
      </c>
      <c r="EF66" s="333" t="e">
        <f>Nodes!X496+"'E4!%1v"</f>
        <v>#VALUE!</v>
      </c>
      <c r="EG66" t="e">
        <f>Nodes!Y496+"'E4!%1w"</f>
        <v>#VALUE!</v>
      </c>
      <c r="EH66" t="e">
        <f>Nodes!Z496+"'E4!%1x"</f>
        <v>#VALUE!</v>
      </c>
      <c r="EI66" t="e">
        <f>Nodes!AA496+"'E4!%1y"</f>
        <v>#VALUE!</v>
      </c>
      <c r="EJ66" t="e">
        <f>Nodes!AB496+"'E4!%1z"</f>
        <v>#VALUE!</v>
      </c>
      <c r="EK66" t="e">
        <f>Nodes!AC496+"'E4!%1{"</f>
        <v>#VALUE!</v>
      </c>
      <c r="EL66" t="e">
        <f>Nodes!A497+"'E4!%1|"</f>
        <v>#VALUE!</v>
      </c>
      <c r="EM66" t="e">
        <f>Nodes!B497+"'E4!%1}"</f>
        <v>#VALUE!</v>
      </c>
      <c r="EN66" t="e">
        <f>Nodes!C497+"'E4!%1~"</f>
        <v>#VALUE!</v>
      </c>
      <c r="EO66" t="e">
        <f>Nodes!D497+"'E4!%2#"</f>
        <v>#VALUE!</v>
      </c>
      <c r="EP66" t="e">
        <f>Nodes!E497+"'E4!%2$"</f>
        <v>#VALUE!</v>
      </c>
      <c r="EQ66" t="e">
        <f>Nodes!F497+"'E4!%2%"</f>
        <v>#VALUE!</v>
      </c>
      <c r="ER66" t="e">
        <f>Nodes!G497+"'E4!%2&amp;"</f>
        <v>#VALUE!</v>
      </c>
      <c r="ES66" t="e">
        <f>Nodes!H497+"'E4!%2'"</f>
        <v>#VALUE!</v>
      </c>
      <c r="ET66" t="e">
        <f>Nodes!I497+"'E4!%2("</f>
        <v>#VALUE!</v>
      </c>
      <c r="EU66" t="e">
        <f>Nodes!J497+"'E4!%2)"</f>
        <v>#VALUE!</v>
      </c>
      <c r="EV66" t="e">
        <f>Nodes!K497+"'E4!%2."</f>
        <v>#VALUE!</v>
      </c>
      <c r="EW66" t="e">
        <f>Nodes!L497+"'E4!%2/"</f>
        <v>#VALUE!</v>
      </c>
      <c r="EX66" t="e">
        <f>Nodes!M497+"'E4!%20"</f>
        <v>#VALUE!</v>
      </c>
      <c r="EY66" t="e">
        <f>Nodes!N497+"'E4!%21"</f>
        <v>#VALUE!</v>
      </c>
      <c r="EZ66" t="e">
        <f>Nodes!O497+"'E4!%22"</f>
        <v>#VALUE!</v>
      </c>
      <c r="FA66" t="e">
        <f>Nodes!P497+"'E4!%23"</f>
        <v>#VALUE!</v>
      </c>
      <c r="FB66" t="e">
        <f>Nodes!Q497+"'E4!%24"</f>
        <v>#VALUE!</v>
      </c>
      <c r="FC66" t="e">
        <f>Nodes!R497+"'E4!%25"</f>
        <v>#VALUE!</v>
      </c>
      <c r="FD66" t="e">
        <f>Nodes!S497+"'E4!%26"</f>
        <v>#VALUE!</v>
      </c>
      <c r="FE66" t="e">
        <f>Nodes!T497+"'E4!%27"</f>
        <v>#VALUE!</v>
      </c>
      <c r="FF66" s="548" t="e">
        <f>Nodes!U497+"'E4!%28"</f>
        <v>#VALUE!</v>
      </c>
      <c r="FG66" s="548" t="e">
        <f>Nodes!V497+"'E4!%29"</f>
        <v>#VALUE!</v>
      </c>
      <c r="FH66" s="548" t="e">
        <f>Nodes!W497+"'E4!%2:"</f>
        <v>#VALUE!</v>
      </c>
      <c r="FI66" s="333" t="e">
        <f>Nodes!X497+"'E4!%2;"</f>
        <v>#VALUE!</v>
      </c>
      <c r="FJ66" t="e">
        <f>Nodes!Y497+"'E4!%2&lt;"</f>
        <v>#VALUE!</v>
      </c>
      <c r="FK66" t="e">
        <f>Nodes!Z497+"'E4!%2="</f>
        <v>#VALUE!</v>
      </c>
      <c r="FL66" t="e">
        <f>Nodes!AA497+"'E4!%2&gt;"</f>
        <v>#VALUE!</v>
      </c>
      <c r="FM66" t="e">
        <f>Nodes!AB497+"'E4!%2?"</f>
        <v>#VALUE!</v>
      </c>
      <c r="FN66" t="e">
        <f>Nodes!AC497+"'E4!%2@"</f>
        <v>#VALUE!</v>
      </c>
      <c r="FO66" t="e">
        <f>Nodes!A498+"'E4!%2A"</f>
        <v>#VALUE!</v>
      </c>
      <c r="FP66" t="e">
        <f>Nodes!B498+"'E4!%2B"</f>
        <v>#VALUE!</v>
      </c>
      <c r="FQ66" t="e">
        <f>Nodes!C498+"'E4!%2C"</f>
        <v>#VALUE!</v>
      </c>
      <c r="FR66" t="e">
        <f>Nodes!D498+"'E4!%2D"</f>
        <v>#VALUE!</v>
      </c>
      <c r="FS66" t="e">
        <f>Nodes!E498+"'E4!%2E"</f>
        <v>#VALUE!</v>
      </c>
      <c r="FT66" t="e">
        <f>Nodes!F498+"'E4!%2F"</f>
        <v>#VALUE!</v>
      </c>
      <c r="FU66" t="e">
        <f>Nodes!G498+"'E4!%2G"</f>
        <v>#VALUE!</v>
      </c>
      <c r="FV66" t="e">
        <f>Nodes!H498+"'E4!%2H"</f>
        <v>#VALUE!</v>
      </c>
      <c r="FW66" t="e">
        <f>Nodes!I498+"'E4!%2I"</f>
        <v>#VALUE!</v>
      </c>
      <c r="FX66" t="e">
        <f>Nodes!J498+"'E4!%2J"</f>
        <v>#VALUE!</v>
      </c>
      <c r="FY66" t="e">
        <f>Nodes!K498+"'E4!%2K"</f>
        <v>#VALUE!</v>
      </c>
      <c r="FZ66" t="e">
        <f>Nodes!L498+"'E4!%2L"</f>
        <v>#VALUE!</v>
      </c>
      <c r="GA66" t="e">
        <f>Nodes!M498+"'E4!%2M"</f>
        <v>#VALUE!</v>
      </c>
      <c r="GB66" t="e">
        <f>Nodes!N498+"'E4!%2N"</f>
        <v>#VALUE!</v>
      </c>
      <c r="GC66" t="e">
        <f>Nodes!O498+"'E4!%2O"</f>
        <v>#VALUE!</v>
      </c>
      <c r="GD66" t="e">
        <f>Nodes!P498+"'E4!%2P"</f>
        <v>#VALUE!</v>
      </c>
      <c r="GE66" t="e">
        <f>Nodes!Q498+"'E4!%2Q"</f>
        <v>#VALUE!</v>
      </c>
      <c r="GF66" t="e">
        <f>Nodes!R498+"'E4!%2R"</f>
        <v>#VALUE!</v>
      </c>
      <c r="GG66" t="e">
        <f>Nodes!S498+"'E4!%2S"</f>
        <v>#VALUE!</v>
      </c>
      <c r="GH66" t="e">
        <f>Nodes!T498+"'E4!%2T"</f>
        <v>#VALUE!</v>
      </c>
      <c r="GI66" s="548" t="e">
        <f>Nodes!U498+"'E4!%2U"</f>
        <v>#VALUE!</v>
      </c>
      <c r="GJ66" s="548" t="e">
        <f>Nodes!V498+"'E4!%2V"</f>
        <v>#VALUE!</v>
      </c>
      <c r="GK66" s="548" t="e">
        <f>Nodes!W498+"'E4!%2W"</f>
        <v>#VALUE!</v>
      </c>
      <c r="GL66" s="333" t="e">
        <f>Nodes!X498+"'E4!%2X"</f>
        <v>#VALUE!</v>
      </c>
      <c r="GM66" t="e">
        <f>Nodes!Y498+"'E4!%2Y"</f>
        <v>#VALUE!</v>
      </c>
      <c r="GN66" t="e">
        <f>Nodes!Z498+"'E4!%2Z"</f>
        <v>#VALUE!</v>
      </c>
      <c r="GO66" t="e">
        <f>Nodes!AA498+"'E4!%2["</f>
        <v>#VALUE!</v>
      </c>
      <c r="GP66" t="e">
        <f>Nodes!AB498+"'E4!%2\"</f>
        <v>#VALUE!</v>
      </c>
      <c r="GQ66" t="e">
        <f>Nodes!AC498+"'E4!%2]"</f>
        <v>#VALUE!</v>
      </c>
      <c r="GR66" t="e">
        <f>Nodes!A499+"'E4!%2^"</f>
        <v>#VALUE!</v>
      </c>
      <c r="GS66" t="e">
        <f>Nodes!B499+"'E4!%2_"</f>
        <v>#VALUE!</v>
      </c>
      <c r="GT66" t="e">
        <f>Nodes!C499+"'E4!%2`"</f>
        <v>#VALUE!</v>
      </c>
      <c r="GU66" t="e">
        <f>Nodes!D499+"'E4!%2a"</f>
        <v>#VALUE!</v>
      </c>
      <c r="GV66" t="e">
        <f>Nodes!E499+"'E4!%2b"</f>
        <v>#VALUE!</v>
      </c>
      <c r="GW66" t="e">
        <f>Nodes!F499+"'E4!%2c"</f>
        <v>#VALUE!</v>
      </c>
      <c r="GX66" t="e">
        <f>Nodes!G499+"'E4!%2d"</f>
        <v>#VALUE!</v>
      </c>
      <c r="GY66" t="e">
        <f>Nodes!H499+"'E4!%2e"</f>
        <v>#VALUE!</v>
      </c>
      <c r="GZ66" t="e">
        <f>Nodes!I499+"'E4!%2f"</f>
        <v>#VALUE!</v>
      </c>
      <c r="HA66" t="e">
        <f>Nodes!J499+"'E4!%2g"</f>
        <v>#VALUE!</v>
      </c>
      <c r="HB66" t="e">
        <f>Nodes!K499+"'E4!%2h"</f>
        <v>#VALUE!</v>
      </c>
      <c r="HC66" t="e">
        <f>Nodes!L499+"'E4!%2i"</f>
        <v>#VALUE!</v>
      </c>
      <c r="HD66" t="e">
        <f>Nodes!M499+"'E4!%2j"</f>
        <v>#VALUE!</v>
      </c>
      <c r="HE66" t="e">
        <f>Nodes!N499+"'E4!%2k"</f>
        <v>#VALUE!</v>
      </c>
      <c r="HF66" t="e">
        <f>Nodes!O499+"'E4!%2l"</f>
        <v>#VALUE!</v>
      </c>
      <c r="HG66" t="e">
        <f>Nodes!P499+"'E4!%2m"</f>
        <v>#VALUE!</v>
      </c>
      <c r="HH66" t="e">
        <f>Nodes!Q499+"'E4!%2n"</f>
        <v>#VALUE!</v>
      </c>
      <c r="HI66" t="e">
        <f>Nodes!R499+"'E4!%2o"</f>
        <v>#VALUE!</v>
      </c>
      <c r="HJ66" t="e">
        <f>Nodes!S499+"'E4!%2p"</f>
        <v>#VALUE!</v>
      </c>
      <c r="HK66" t="e">
        <f>Nodes!T499+"'E4!%2q"</f>
        <v>#VALUE!</v>
      </c>
      <c r="HL66" s="548" t="e">
        <f>Nodes!U499+"'E4!%2r"</f>
        <v>#VALUE!</v>
      </c>
      <c r="HM66" s="548" t="e">
        <f>Nodes!V499+"'E4!%2s"</f>
        <v>#VALUE!</v>
      </c>
      <c r="HN66" s="548" t="e">
        <f>Nodes!W499+"'E4!%2t"</f>
        <v>#VALUE!</v>
      </c>
      <c r="HO66" s="333" t="e">
        <f>Nodes!X499+"'E4!%2u"</f>
        <v>#VALUE!</v>
      </c>
      <c r="HP66" t="e">
        <f>Nodes!Y499+"'E4!%2v"</f>
        <v>#VALUE!</v>
      </c>
      <c r="HQ66" t="e">
        <f>Nodes!Z499+"'E4!%2w"</f>
        <v>#VALUE!</v>
      </c>
      <c r="HR66" t="e">
        <f>Nodes!AA499+"'E4!%2x"</f>
        <v>#VALUE!</v>
      </c>
      <c r="HS66" t="e">
        <f>Nodes!AB499+"'E4!%2y"</f>
        <v>#VALUE!</v>
      </c>
      <c r="HT66" t="e">
        <f>Nodes!AC499+"'E4!%2z"</f>
        <v>#VALUE!</v>
      </c>
      <c r="HU66" t="e">
        <f>Nodes!A500+"'E4!%2{"</f>
        <v>#VALUE!</v>
      </c>
      <c r="HV66" t="e">
        <f>Nodes!B500+"'E4!%2|"</f>
        <v>#VALUE!</v>
      </c>
      <c r="HW66" t="e">
        <f>Nodes!C500+"'E4!%2}"</f>
        <v>#VALUE!</v>
      </c>
      <c r="HX66" t="e">
        <f>Nodes!D500+"'E4!%2~"</f>
        <v>#VALUE!</v>
      </c>
      <c r="HY66" t="e">
        <f>Nodes!E500+"'E4!%3#"</f>
        <v>#VALUE!</v>
      </c>
      <c r="HZ66" t="e">
        <f>Nodes!F500+"'E4!%3$"</f>
        <v>#VALUE!</v>
      </c>
      <c r="IA66" t="e">
        <f>Nodes!G500+"'E4!%3%"</f>
        <v>#VALUE!</v>
      </c>
      <c r="IB66" t="e">
        <f>Nodes!H500+"'E4!%3&amp;"</f>
        <v>#VALUE!</v>
      </c>
      <c r="IC66" t="e">
        <f>Nodes!I500+"'E4!%3'"</f>
        <v>#VALUE!</v>
      </c>
      <c r="ID66" t="e">
        <f>Nodes!J500+"'E4!%3("</f>
        <v>#VALUE!</v>
      </c>
      <c r="IE66" t="e">
        <f>Nodes!K500+"'E4!%3)"</f>
        <v>#VALUE!</v>
      </c>
      <c r="IF66" t="e">
        <f>Nodes!L500+"'E4!%3."</f>
        <v>#VALUE!</v>
      </c>
      <c r="IG66" t="e">
        <f>Nodes!M500+"'E4!%3/"</f>
        <v>#VALUE!</v>
      </c>
      <c r="IH66" t="e">
        <f>Nodes!N500+"'E4!%30"</f>
        <v>#VALUE!</v>
      </c>
      <c r="II66" t="e">
        <f>Nodes!O500+"'E4!%31"</f>
        <v>#VALUE!</v>
      </c>
      <c r="IJ66" t="e">
        <f>Nodes!P500+"'E4!%32"</f>
        <v>#VALUE!</v>
      </c>
      <c r="IK66" t="e">
        <f>Nodes!Q500+"'E4!%33"</f>
        <v>#VALUE!</v>
      </c>
      <c r="IL66" t="e">
        <f>Nodes!R500+"'E4!%34"</f>
        <v>#VALUE!</v>
      </c>
      <c r="IM66" t="e">
        <f>Nodes!S500+"'E4!%35"</f>
        <v>#VALUE!</v>
      </c>
      <c r="IN66" t="e">
        <f>Nodes!T500+"'E4!%36"</f>
        <v>#VALUE!</v>
      </c>
      <c r="IO66" s="548" t="e">
        <f>Nodes!U500+"'E4!%37"</f>
        <v>#VALUE!</v>
      </c>
      <c r="IP66" s="548" t="e">
        <f>Nodes!V500+"'E4!%38"</f>
        <v>#VALUE!</v>
      </c>
      <c r="IQ66" s="548" t="e">
        <f>Nodes!W500+"'E4!%39"</f>
        <v>#VALUE!</v>
      </c>
      <c r="IR66" s="333" t="e">
        <f>Nodes!X500+"'E4!%3:"</f>
        <v>#VALUE!</v>
      </c>
      <c r="IS66" t="e">
        <f>Nodes!Y500+"'E4!%3;"</f>
        <v>#VALUE!</v>
      </c>
      <c r="IT66" t="e">
        <f>Nodes!Z500+"'E4!%3&lt;"</f>
        <v>#VALUE!</v>
      </c>
      <c r="IU66" t="e">
        <f>Nodes!AA500+"'E4!%3="</f>
        <v>#VALUE!</v>
      </c>
      <c r="IV66" t="e">
        <f>Nodes!AB500+"'E4!%3&gt;"</f>
        <v>#VALUE!</v>
      </c>
    </row>
    <row r="67" spans="6:256">
      <c r="F67" t="e">
        <f>Nodes!AC500+"'E4!%3?"</f>
        <v>#VALUE!</v>
      </c>
      <c r="G67" t="e">
        <f>Nodes!A501+"'E4!%3@"</f>
        <v>#VALUE!</v>
      </c>
      <c r="H67" t="e">
        <f>Nodes!B501+"'E4!%3A"</f>
        <v>#VALUE!</v>
      </c>
      <c r="I67" t="e">
        <f>Nodes!C501+"'E4!%3B"</f>
        <v>#VALUE!</v>
      </c>
      <c r="J67" t="e">
        <f>Nodes!D501+"'E4!%3C"</f>
        <v>#VALUE!</v>
      </c>
      <c r="K67" t="e">
        <f>Nodes!E501+"'E4!%3D"</f>
        <v>#VALUE!</v>
      </c>
      <c r="L67" t="e">
        <f>Nodes!F501+"'E4!%3E"</f>
        <v>#VALUE!</v>
      </c>
      <c r="M67" t="e">
        <f>Nodes!G501+"'E4!%3F"</f>
        <v>#VALUE!</v>
      </c>
      <c r="N67" t="e">
        <f>Nodes!H501+"'E4!%3G"</f>
        <v>#VALUE!</v>
      </c>
      <c r="O67" t="e">
        <f>Nodes!I501+"'E4!%3H"</f>
        <v>#VALUE!</v>
      </c>
      <c r="P67" t="e">
        <f>Nodes!J501+"'E4!%3I"</f>
        <v>#VALUE!</v>
      </c>
      <c r="Q67" t="e">
        <f>Nodes!K501+"'E4!%3J"</f>
        <v>#VALUE!</v>
      </c>
      <c r="R67" t="e">
        <f>Nodes!L501+"'E4!%3K"</f>
        <v>#VALUE!</v>
      </c>
      <c r="S67" t="e">
        <f>Nodes!M501+"'E4!%3L"</f>
        <v>#VALUE!</v>
      </c>
      <c r="T67" t="e">
        <f>Nodes!N501+"'E4!%3M"</f>
        <v>#VALUE!</v>
      </c>
      <c r="U67" t="e">
        <f>Nodes!O501+"'E4!%3N"</f>
        <v>#VALUE!</v>
      </c>
      <c r="V67" t="e">
        <f>Nodes!P501+"'E4!%3O"</f>
        <v>#VALUE!</v>
      </c>
      <c r="W67" t="e">
        <f>Nodes!Q501+"'E4!%3P"</f>
        <v>#VALUE!</v>
      </c>
      <c r="X67" t="e">
        <f>Nodes!R501+"'E4!%3Q"</f>
        <v>#VALUE!</v>
      </c>
      <c r="Y67" t="e">
        <f>Nodes!S501+"'E4!%3R"</f>
        <v>#VALUE!</v>
      </c>
      <c r="Z67" t="e">
        <f>Nodes!T501+"'E4!%3S"</f>
        <v>#VALUE!</v>
      </c>
      <c r="AA67" s="548" t="e">
        <f>Nodes!U501+"'E4!%3T"</f>
        <v>#VALUE!</v>
      </c>
      <c r="AB67" s="548" t="e">
        <f>Nodes!V501+"'E4!%3U"</f>
        <v>#VALUE!</v>
      </c>
      <c r="AC67" s="548" t="e">
        <f>Nodes!W501+"'E4!%3V"</f>
        <v>#VALUE!</v>
      </c>
      <c r="AD67" s="333" t="e">
        <f>Nodes!X501+"'E4!%3W"</f>
        <v>#VALUE!</v>
      </c>
      <c r="AE67" t="e">
        <f>Nodes!Y501+"'E4!%3X"</f>
        <v>#VALUE!</v>
      </c>
      <c r="AF67" t="e">
        <f>Nodes!Z501+"'E4!%3Y"</f>
        <v>#VALUE!</v>
      </c>
      <c r="AG67" t="e">
        <f>Nodes!AA501+"'E4!%3Z"</f>
        <v>#VALUE!</v>
      </c>
      <c r="AH67" t="e">
        <f>Nodes!AB501+"'E4!%3["</f>
        <v>#VALUE!</v>
      </c>
      <c r="AI67" t="e">
        <f>Nodes!AC501+"'E4!%3\"</f>
        <v>#VALUE!</v>
      </c>
      <c r="AJ67" t="e">
        <f>Nodes!A502+"'E4!%3]"</f>
        <v>#VALUE!</v>
      </c>
      <c r="AK67" t="e">
        <f>Nodes!B502+"'E4!%3^"</f>
        <v>#VALUE!</v>
      </c>
      <c r="AL67" t="e">
        <f>Nodes!C502+"'E4!%3_"</f>
        <v>#VALUE!</v>
      </c>
      <c r="AM67" t="e">
        <f>Nodes!D502+"'E4!%3`"</f>
        <v>#VALUE!</v>
      </c>
      <c r="AN67" t="e">
        <f>Nodes!E502+"'E4!%3a"</f>
        <v>#VALUE!</v>
      </c>
      <c r="AO67" t="e">
        <f>Nodes!F502+"'E4!%3b"</f>
        <v>#VALUE!</v>
      </c>
      <c r="AP67" t="e">
        <f>Nodes!G502+"'E4!%3c"</f>
        <v>#VALUE!</v>
      </c>
      <c r="AQ67" t="e">
        <f>Nodes!H502+"'E4!%3d"</f>
        <v>#VALUE!</v>
      </c>
      <c r="AR67" t="e">
        <f>Nodes!I502+"'E4!%3e"</f>
        <v>#VALUE!</v>
      </c>
      <c r="AS67" t="e">
        <f>Nodes!J502+"'E4!%3f"</f>
        <v>#VALUE!</v>
      </c>
      <c r="AT67" t="e">
        <f>Nodes!K502+"'E4!%3g"</f>
        <v>#VALUE!</v>
      </c>
      <c r="AU67" t="e">
        <f>Nodes!L502+"'E4!%3h"</f>
        <v>#VALUE!</v>
      </c>
      <c r="AV67" t="e">
        <f>Nodes!M502+"'E4!%3i"</f>
        <v>#VALUE!</v>
      </c>
      <c r="AW67" t="e">
        <f>Nodes!N502+"'E4!%3j"</f>
        <v>#VALUE!</v>
      </c>
      <c r="AX67" t="e">
        <f>Nodes!O502+"'E4!%3k"</f>
        <v>#VALUE!</v>
      </c>
      <c r="AY67" t="e">
        <f>Nodes!P502+"'E4!%3l"</f>
        <v>#VALUE!</v>
      </c>
      <c r="AZ67" t="e">
        <f>Nodes!Q502+"'E4!%3m"</f>
        <v>#VALUE!</v>
      </c>
      <c r="BA67" t="e">
        <f>Nodes!R502+"'E4!%3n"</f>
        <v>#VALUE!</v>
      </c>
      <c r="BB67" t="e">
        <f>Nodes!S502+"'E4!%3o"</f>
        <v>#VALUE!</v>
      </c>
      <c r="BC67" t="e">
        <f>Nodes!T502+"'E4!%3p"</f>
        <v>#VALUE!</v>
      </c>
      <c r="BD67" s="548" t="e">
        <f>Nodes!U502+"'E4!%3q"</f>
        <v>#VALUE!</v>
      </c>
      <c r="BE67" s="548" t="e">
        <f>Nodes!V502+"'E4!%3r"</f>
        <v>#VALUE!</v>
      </c>
      <c r="BF67" s="548" t="e">
        <f>Nodes!W502+"'E4!%3s"</f>
        <v>#VALUE!</v>
      </c>
      <c r="BG67" s="333" t="e">
        <f>Nodes!X502+"'E4!%3t"</f>
        <v>#VALUE!</v>
      </c>
      <c r="BH67" t="e">
        <f>Nodes!Y502+"'E4!%3u"</f>
        <v>#VALUE!</v>
      </c>
      <c r="BI67" t="e">
        <f>Nodes!Z502+"'E4!%3v"</f>
        <v>#VALUE!</v>
      </c>
      <c r="BJ67" t="e">
        <f>Nodes!AA502+"'E4!%3w"</f>
        <v>#VALUE!</v>
      </c>
      <c r="BK67" t="e">
        <f>Nodes!AB502+"'E4!%3x"</f>
        <v>#VALUE!</v>
      </c>
      <c r="BL67" t="e">
        <f>Nodes!AC502+"'E4!%3y"</f>
        <v>#VALUE!</v>
      </c>
      <c r="BM67" t="e">
        <f>Nodes!A503+"'E4!%3z"</f>
        <v>#VALUE!</v>
      </c>
      <c r="BN67" t="e">
        <f>Nodes!B503+"'E4!%3{"</f>
        <v>#VALUE!</v>
      </c>
      <c r="BO67" t="e">
        <f>Nodes!C503+"'E4!%3|"</f>
        <v>#VALUE!</v>
      </c>
      <c r="BP67" t="e">
        <f>Nodes!D503+"'E4!%3}"</f>
        <v>#VALUE!</v>
      </c>
      <c r="BQ67" t="e">
        <f>Nodes!E503+"'E4!%3~"</f>
        <v>#VALUE!</v>
      </c>
      <c r="BR67" t="e">
        <f>Nodes!F503+"'E4!%4#"</f>
        <v>#VALUE!</v>
      </c>
      <c r="BS67" t="e">
        <f>Nodes!G503+"'E4!%4$"</f>
        <v>#VALUE!</v>
      </c>
      <c r="BT67" t="e">
        <f>Nodes!H503+"'E4!%4%"</f>
        <v>#VALUE!</v>
      </c>
      <c r="BU67" t="e">
        <f>Nodes!I503+"'E4!%4&amp;"</f>
        <v>#VALUE!</v>
      </c>
      <c r="BV67" t="e">
        <f>Nodes!J503+"'E4!%4'"</f>
        <v>#VALUE!</v>
      </c>
      <c r="BW67" t="e">
        <f>Nodes!K503+"'E4!%4("</f>
        <v>#VALUE!</v>
      </c>
      <c r="BX67" t="e">
        <f>Nodes!L503+"'E4!%4)"</f>
        <v>#VALUE!</v>
      </c>
      <c r="BY67" t="e">
        <f>Nodes!M503+"'E4!%4."</f>
        <v>#VALUE!</v>
      </c>
      <c r="BZ67" t="e">
        <f>Nodes!N503+"'E4!%4/"</f>
        <v>#VALUE!</v>
      </c>
      <c r="CA67" t="e">
        <f>Nodes!O503+"'E4!%40"</f>
        <v>#VALUE!</v>
      </c>
      <c r="CB67" t="e">
        <f>Nodes!P503+"'E4!%41"</f>
        <v>#VALUE!</v>
      </c>
      <c r="CC67" t="e">
        <f>Nodes!Q503+"'E4!%42"</f>
        <v>#VALUE!</v>
      </c>
      <c r="CD67" t="e">
        <f>Nodes!R503+"'E4!%43"</f>
        <v>#VALUE!</v>
      </c>
      <c r="CE67" t="e">
        <f>Nodes!S503+"'E4!%44"</f>
        <v>#VALUE!</v>
      </c>
      <c r="CF67" t="e">
        <f>Nodes!T503+"'E4!%45"</f>
        <v>#VALUE!</v>
      </c>
      <c r="CG67" s="548" t="e">
        <f>Nodes!U503+"'E4!%46"</f>
        <v>#VALUE!</v>
      </c>
      <c r="CH67" s="548" t="e">
        <f>Nodes!V503+"'E4!%47"</f>
        <v>#VALUE!</v>
      </c>
      <c r="CI67" s="548" t="e">
        <f>Nodes!W503+"'E4!%48"</f>
        <v>#VALUE!</v>
      </c>
      <c r="CJ67" s="333" t="e">
        <f>Nodes!X503+"'E4!%49"</f>
        <v>#VALUE!</v>
      </c>
      <c r="CK67" t="e">
        <f>Nodes!Y503+"'E4!%4:"</f>
        <v>#VALUE!</v>
      </c>
      <c r="CL67" t="e">
        <f>Nodes!Z503+"'E4!%4;"</f>
        <v>#VALUE!</v>
      </c>
      <c r="CM67" t="e">
        <f>Nodes!AA503+"'E4!%4&lt;"</f>
        <v>#VALUE!</v>
      </c>
      <c r="CN67" t="e">
        <f>Nodes!AB503+"'E4!%4="</f>
        <v>#VALUE!</v>
      </c>
      <c r="CO67" t="e">
        <f>Nodes!AC503+"'E4!%4&gt;"</f>
        <v>#VALUE!</v>
      </c>
      <c r="CP67" t="e">
        <f>Nodes!A504+"'E4!%4?"</f>
        <v>#VALUE!</v>
      </c>
      <c r="CQ67" t="e">
        <f>Nodes!B504+"'E4!%4@"</f>
        <v>#VALUE!</v>
      </c>
      <c r="CR67" t="e">
        <f>Nodes!C504+"'E4!%4A"</f>
        <v>#VALUE!</v>
      </c>
      <c r="CS67" t="e">
        <f>Nodes!D504+"'E4!%4B"</f>
        <v>#VALUE!</v>
      </c>
      <c r="CT67" t="e">
        <f>Nodes!E504+"'E4!%4C"</f>
        <v>#VALUE!</v>
      </c>
      <c r="CU67" t="e">
        <f>Nodes!F504+"'E4!%4D"</f>
        <v>#VALUE!</v>
      </c>
      <c r="CV67" t="e">
        <f>Nodes!G504+"'E4!%4E"</f>
        <v>#VALUE!</v>
      </c>
      <c r="CW67" t="e">
        <f>Nodes!H504+"'E4!%4F"</f>
        <v>#VALUE!</v>
      </c>
      <c r="CX67" t="e">
        <f>Nodes!I504+"'E4!%4G"</f>
        <v>#VALUE!</v>
      </c>
      <c r="CY67" t="e">
        <f>Nodes!J504+"'E4!%4H"</f>
        <v>#VALUE!</v>
      </c>
      <c r="CZ67" t="e">
        <f>Nodes!K504+"'E4!%4I"</f>
        <v>#VALUE!</v>
      </c>
      <c r="DA67" t="e">
        <f>Nodes!L504+"'E4!%4J"</f>
        <v>#VALUE!</v>
      </c>
      <c r="DB67" t="e">
        <f>Nodes!M504+"'E4!%4K"</f>
        <v>#VALUE!</v>
      </c>
      <c r="DC67" t="e">
        <f>Nodes!N504+"'E4!%4L"</f>
        <v>#VALUE!</v>
      </c>
      <c r="DD67" t="e">
        <f>Nodes!O504+"'E4!%4M"</f>
        <v>#VALUE!</v>
      </c>
      <c r="DE67" t="e">
        <f>Nodes!P504+"'E4!%4N"</f>
        <v>#VALUE!</v>
      </c>
      <c r="DF67" t="e">
        <f>Nodes!Q504+"'E4!%4O"</f>
        <v>#VALUE!</v>
      </c>
      <c r="DG67" t="e">
        <f>Nodes!R504+"'E4!%4P"</f>
        <v>#VALUE!</v>
      </c>
      <c r="DH67" t="e">
        <f>Nodes!S504+"'E4!%4Q"</f>
        <v>#VALUE!</v>
      </c>
      <c r="DI67" t="e">
        <f>Nodes!T504+"'E4!%4R"</f>
        <v>#VALUE!</v>
      </c>
      <c r="DJ67" s="548" t="e">
        <f>Nodes!U504+"'E4!%4S"</f>
        <v>#VALUE!</v>
      </c>
      <c r="DK67" s="548" t="e">
        <f>Nodes!V504+"'E4!%4T"</f>
        <v>#VALUE!</v>
      </c>
      <c r="DL67" s="548" t="e">
        <f>Nodes!W504+"'E4!%4U"</f>
        <v>#VALUE!</v>
      </c>
      <c r="DM67" s="333" t="e">
        <f>Nodes!X504+"'E4!%4V"</f>
        <v>#VALUE!</v>
      </c>
      <c r="DN67" t="e">
        <f>Nodes!Y504+"'E4!%4W"</f>
        <v>#VALUE!</v>
      </c>
      <c r="DO67" t="e">
        <f>Nodes!Z504+"'E4!%4X"</f>
        <v>#VALUE!</v>
      </c>
      <c r="DP67" t="e">
        <f>Nodes!AA504+"'E4!%4Y"</f>
        <v>#VALUE!</v>
      </c>
      <c r="DQ67" t="e">
        <f>Nodes!AB504+"'E4!%4Z"</f>
        <v>#VALUE!</v>
      </c>
      <c r="DR67" t="e">
        <f>Nodes!AC504+"'E4!%4["</f>
        <v>#VALUE!</v>
      </c>
      <c r="DS67" t="e">
        <f>Nodes!A505+"'E4!%4\"</f>
        <v>#VALUE!</v>
      </c>
      <c r="DT67" t="e">
        <f>Nodes!B505+"'E4!%4]"</f>
        <v>#VALUE!</v>
      </c>
      <c r="DU67" t="e">
        <f>Nodes!C505+"'E4!%4^"</f>
        <v>#VALUE!</v>
      </c>
      <c r="DV67" t="e">
        <f>Nodes!D505+"'E4!%4_"</f>
        <v>#VALUE!</v>
      </c>
      <c r="DW67" t="e">
        <f>Nodes!E505+"'E4!%4`"</f>
        <v>#VALUE!</v>
      </c>
      <c r="DX67" t="e">
        <f>Nodes!F505+"'E4!%4a"</f>
        <v>#VALUE!</v>
      </c>
      <c r="DY67" t="e">
        <f>Nodes!G505+"'E4!%4b"</f>
        <v>#VALUE!</v>
      </c>
      <c r="DZ67" t="e">
        <f>Nodes!H505+"'E4!%4c"</f>
        <v>#VALUE!</v>
      </c>
      <c r="EA67" t="e">
        <f>Nodes!I505+"'E4!%4d"</f>
        <v>#VALUE!</v>
      </c>
      <c r="EB67" t="e">
        <f>Nodes!J505+"'E4!%4e"</f>
        <v>#VALUE!</v>
      </c>
      <c r="EC67" t="e">
        <f>Nodes!K505+"'E4!%4f"</f>
        <v>#VALUE!</v>
      </c>
      <c r="ED67" t="e">
        <f>Nodes!L505+"'E4!%4g"</f>
        <v>#VALUE!</v>
      </c>
      <c r="EE67" t="e">
        <f>Nodes!M505+"'E4!%4h"</f>
        <v>#VALUE!</v>
      </c>
      <c r="EF67" t="e">
        <f>Nodes!N505+"'E4!%4i"</f>
        <v>#VALUE!</v>
      </c>
      <c r="EG67" t="e">
        <f>Nodes!O505+"'E4!%4j"</f>
        <v>#VALUE!</v>
      </c>
      <c r="EH67" t="e">
        <f>Nodes!P505+"'E4!%4k"</f>
        <v>#VALUE!</v>
      </c>
      <c r="EI67" t="e">
        <f>Nodes!Q505+"'E4!%4l"</f>
        <v>#VALUE!</v>
      </c>
      <c r="EJ67" t="e">
        <f>Nodes!R505+"'E4!%4m"</f>
        <v>#VALUE!</v>
      </c>
      <c r="EK67" t="e">
        <f>Nodes!S505+"'E4!%4n"</f>
        <v>#VALUE!</v>
      </c>
      <c r="EL67" t="e">
        <f>Nodes!T505+"'E4!%4o"</f>
        <v>#VALUE!</v>
      </c>
      <c r="EM67" s="548" t="e">
        <f>Nodes!U505+"'E4!%4p"</f>
        <v>#VALUE!</v>
      </c>
      <c r="EN67" t="e">
        <f>Nodes!V505+"'E4!%4q"</f>
        <v>#VALUE!</v>
      </c>
      <c r="EO67" t="e">
        <f>Nodes!W505+"'E4!%4r"</f>
        <v>#VALUE!</v>
      </c>
      <c r="EP67" t="e">
        <f>Nodes!X505+"'E4!%4s"</f>
        <v>#VALUE!</v>
      </c>
      <c r="EQ67" t="e">
        <f>Nodes!Y505+"'E4!%4t"</f>
        <v>#VALUE!</v>
      </c>
      <c r="ER67" t="e">
        <f>Nodes!Z505+"'E4!%4u"</f>
        <v>#VALUE!</v>
      </c>
      <c r="ES67" t="e">
        <f>Nodes!AA505+"'E4!%4v"</f>
        <v>#VALUE!</v>
      </c>
      <c r="ET67" t="e">
        <f>Nodes!AB505+"'E4!%4w"</f>
        <v>#VALUE!</v>
      </c>
      <c r="EU67" t="e">
        <f>Nodes!AC505+"'E4!%4x"</f>
        <v>#VALUE!</v>
      </c>
      <c r="EV67" t="e">
        <f>Nodes!A506+"'E4!%4y"</f>
        <v>#VALUE!</v>
      </c>
      <c r="EW67" t="e">
        <f>Nodes!B506+"'E4!%4z"</f>
        <v>#VALUE!</v>
      </c>
      <c r="EX67" t="e">
        <f>Nodes!C506+"'E4!%4{"</f>
        <v>#VALUE!</v>
      </c>
      <c r="EY67" t="e">
        <f>Nodes!D506+"'E4!%4|"</f>
        <v>#VALUE!</v>
      </c>
      <c r="EZ67" t="e">
        <f>Nodes!E506+"'E4!%4}"</f>
        <v>#VALUE!</v>
      </c>
      <c r="FA67" t="e">
        <f>Nodes!F506+"'E4!%4~"</f>
        <v>#VALUE!</v>
      </c>
      <c r="FB67" t="e">
        <f>Nodes!G506+"'E4!%5#"</f>
        <v>#VALUE!</v>
      </c>
      <c r="FC67" t="e">
        <f>Nodes!H506+"'E4!%5$"</f>
        <v>#VALUE!</v>
      </c>
      <c r="FD67" t="e">
        <f>Nodes!I506+"'E4!%5%"</f>
        <v>#VALUE!</v>
      </c>
      <c r="FE67" t="e">
        <f>Nodes!J506+"'E4!%5&amp;"</f>
        <v>#VALUE!</v>
      </c>
      <c r="FF67" t="e">
        <f>Nodes!K506+"'E4!%5'"</f>
        <v>#VALUE!</v>
      </c>
      <c r="FG67" t="e">
        <f>Nodes!L506+"'E4!%5("</f>
        <v>#VALUE!</v>
      </c>
      <c r="FH67" t="e">
        <f>Nodes!M506+"'E4!%5)"</f>
        <v>#VALUE!</v>
      </c>
      <c r="FI67" t="e">
        <f>Nodes!N506+"'E4!%5."</f>
        <v>#VALUE!</v>
      </c>
      <c r="FJ67" t="e">
        <f>Nodes!O506+"'E4!%5/"</f>
        <v>#VALUE!</v>
      </c>
      <c r="FK67" t="e">
        <f>Nodes!P506+"'E4!%50"</f>
        <v>#VALUE!</v>
      </c>
      <c r="FL67" t="e">
        <f>Nodes!Q506+"'E4!%51"</f>
        <v>#VALUE!</v>
      </c>
      <c r="FM67" t="e">
        <f>Nodes!R506+"'E4!%52"</f>
        <v>#VALUE!</v>
      </c>
      <c r="FN67" t="e">
        <f>Nodes!S506+"'E4!%53"</f>
        <v>#VALUE!</v>
      </c>
      <c r="FO67" t="e">
        <f>Nodes!T506+"'E4!%54"</f>
        <v>#VALUE!</v>
      </c>
      <c r="FP67" s="548" t="e">
        <f>Nodes!U506+"'E4!%55"</f>
        <v>#VALUE!</v>
      </c>
      <c r="FQ67" t="e">
        <f>Nodes!X506+"'E4!%56"</f>
        <v>#VALUE!</v>
      </c>
      <c r="FR67" t="e">
        <f>Nodes!Y506+"'E4!%57"</f>
        <v>#VALUE!</v>
      </c>
      <c r="FS67" t="e">
        <f>Nodes!Z506+"'E4!%58"</f>
        <v>#VALUE!</v>
      </c>
      <c r="FT67" t="e">
        <f>Nodes!AA506+"'E4!%59"</f>
        <v>#VALUE!</v>
      </c>
      <c r="FU67" t="e">
        <f>Nodes!AB506+"'E4!%5:"</f>
        <v>#VALUE!</v>
      </c>
      <c r="FV67" t="e">
        <f>Nodes!AC506+"'E4!%5;"</f>
        <v>#VALUE!</v>
      </c>
      <c r="FW67" t="e">
        <f>Nodes!A507+"'E4!%5&lt;"</f>
        <v>#VALUE!</v>
      </c>
      <c r="FX67" t="e">
        <f>Nodes!B507+"'E4!%5="</f>
        <v>#VALUE!</v>
      </c>
      <c r="FY67" t="e">
        <f>Nodes!C507+"'E4!%5&gt;"</f>
        <v>#VALUE!</v>
      </c>
      <c r="FZ67" t="e">
        <f>Nodes!D507+"'E4!%5?"</f>
        <v>#VALUE!</v>
      </c>
      <c r="GA67" t="e">
        <f>Nodes!E507+"'E4!%5@"</f>
        <v>#VALUE!</v>
      </c>
      <c r="GB67" t="e">
        <f>Nodes!F507+"'E4!%5A"</f>
        <v>#VALUE!</v>
      </c>
      <c r="GC67" t="e">
        <f>Nodes!G507+"'E4!%5B"</f>
        <v>#VALUE!</v>
      </c>
      <c r="GD67" t="e">
        <f>Nodes!H507+"'E4!%5C"</f>
        <v>#VALUE!</v>
      </c>
      <c r="GE67" t="e">
        <f>Nodes!I507+"'E4!%5D"</f>
        <v>#VALUE!</v>
      </c>
      <c r="GF67" t="e">
        <f>Nodes!J507+"'E4!%5E"</f>
        <v>#VALUE!</v>
      </c>
      <c r="GG67" t="e">
        <f>Nodes!K507+"'E4!%5F"</f>
        <v>#VALUE!</v>
      </c>
      <c r="GH67" t="e">
        <f>Nodes!L507+"'E4!%5G"</f>
        <v>#VALUE!</v>
      </c>
      <c r="GI67" t="e">
        <f>Nodes!M507+"'E4!%5H"</f>
        <v>#VALUE!</v>
      </c>
      <c r="GJ67" t="e">
        <f>Nodes!N507+"'E4!%5I"</f>
        <v>#VALUE!</v>
      </c>
      <c r="GK67" t="e">
        <f>Nodes!O507+"'E4!%5J"</f>
        <v>#VALUE!</v>
      </c>
      <c r="GL67" t="e">
        <f>Nodes!P507+"'E4!%5K"</f>
        <v>#VALUE!</v>
      </c>
      <c r="GM67" t="e">
        <f>Nodes!Q507+"'E4!%5L"</f>
        <v>#VALUE!</v>
      </c>
      <c r="GN67" t="e">
        <f>Nodes!R507+"'E4!%5M"</f>
        <v>#VALUE!</v>
      </c>
      <c r="GO67" t="e">
        <f>Nodes!S507+"'E4!%5N"</f>
        <v>#VALUE!</v>
      </c>
      <c r="GP67" t="e">
        <f>Nodes!T507+"'E4!%5O"</f>
        <v>#VALUE!</v>
      </c>
      <c r="GQ67" s="548" t="e">
        <f>Nodes!U507+"'E4!%5P"</f>
        <v>#VALUE!</v>
      </c>
      <c r="GR67" t="e">
        <f>Nodes!V507+"'E4!%5Q"</f>
        <v>#VALUE!</v>
      </c>
      <c r="GS67" t="e">
        <f>Nodes!W507+"'E4!%5R"</f>
        <v>#VALUE!</v>
      </c>
      <c r="GT67" t="e">
        <f>Nodes!X507+"'E4!%5S"</f>
        <v>#VALUE!</v>
      </c>
      <c r="GU67" t="e">
        <f>Nodes!Y507+"'E4!%5T"</f>
        <v>#VALUE!</v>
      </c>
      <c r="GV67" t="e">
        <f>Nodes!Z507+"'E4!%5U"</f>
        <v>#VALUE!</v>
      </c>
      <c r="GW67" t="e">
        <f>Nodes!AA507+"'E4!%5V"</f>
        <v>#VALUE!</v>
      </c>
      <c r="GX67" t="e">
        <f>Nodes!AB507+"'E4!%5W"</f>
        <v>#VALUE!</v>
      </c>
      <c r="GY67" t="e">
        <f>Nodes!AC507+"'E4!%5X"</f>
        <v>#VALUE!</v>
      </c>
      <c r="GZ67" t="e">
        <f>Nodes!A508+"'E4!%5Y"</f>
        <v>#VALUE!</v>
      </c>
      <c r="HA67" t="e">
        <f>Nodes!B508+"'E4!%5Z"</f>
        <v>#VALUE!</v>
      </c>
      <c r="HB67" t="e">
        <f>Nodes!C508+"'E4!%5["</f>
        <v>#VALUE!</v>
      </c>
      <c r="HC67" t="e">
        <f>Nodes!D508+"'E4!%5\"</f>
        <v>#VALUE!</v>
      </c>
      <c r="HD67" t="e">
        <f>Nodes!E508+"'E4!%5]"</f>
        <v>#VALUE!</v>
      </c>
      <c r="HE67" t="e">
        <f>Nodes!F508+"'E4!%5^"</f>
        <v>#VALUE!</v>
      </c>
      <c r="HF67" t="e">
        <f>Nodes!G508+"'E4!%5_"</f>
        <v>#VALUE!</v>
      </c>
      <c r="HG67" t="e">
        <f>Nodes!H508+"'E4!%5`"</f>
        <v>#VALUE!</v>
      </c>
      <c r="HH67" t="e">
        <f>Nodes!I508+"'E4!%5a"</f>
        <v>#VALUE!</v>
      </c>
      <c r="HI67" t="e">
        <f>Nodes!J508+"'E4!%5b"</f>
        <v>#VALUE!</v>
      </c>
      <c r="HJ67" t="e">
        <f>Nodes!K508+"'E4!%5c"</f>
        <v>#VALUE!</v>
      </c>
      <c r="HK67" t="e">
        <f>Nodes!L508+"'E4!%5d"</f>
        <v>#VALUE!</v>
      </c>
      <c r="HL67" t="e">
        <f>Nodes!M508+"'E4!%5e"</f>
        <v>#VALUE!</v>
      </c>
      <c r="HM67" t="e">
        <f>Nodes!N508+"'E4!%5f"</f>
        <v>#VALUE!</v>
      </c>
      <c r="HN67" t="e">
        <f>Nodes!O508+"'E4!%5g"</f>
        <v>#VALUE!</v>
      </c>
      <c r="HO67" t="e">
        <f>Nodes!P508+"'E4!%5h"</f>
        <v>#VALUE!</v>
      </c>
      <c r="HP67" t="e">
        <f>Nodes!Q508+"'E4!%5i"</f>
        <v>#VALUE!</v>
      </c>
      <c r="HQ67" t="e">
        <f>Nodes!R508+"'E4!%5j"</f>
        <v>#VALUE!</v>
      </c>
      <c r="HR67" t="e">
        <f>Nodes!S508+"'E4!%5k"</f>
        <v>#VALUE!</v>
      </c>
      <c r="HS67" t="e">
        <f>Nodes!T508+"'E4!%5l"</f>
        <v>#VALUE!</v>
      </c>
      <c r="HT67" s="548" t="e">
        <f>Nodes!U508+"'E4!%5m"</f>
        <v>#VALUE!</v>
      </c>
      <c r="HU67" t="e">
        <f>Nodes!V508+"'E4!%5n"</f>
        <v>#VALUE!</v>
      </c>
      <c r="HV67" t="e">
        <f>Nodes!W508+"'E4!%5o"</f>
        <v>#VALUE!</v>
      </c>
      <c r="HW67" t="e">
        <f>Nodes!X508+"'E4!%5p"</f>
        <v>#VALUE!</v>
      </c>
      <c r="HX67" t="e">
        <f>Nodes!Y508+"'E4!%5q"</f>
        <v>#VALUE!</v>
      </c>
      <c r="HY67" t="e">
        <f>Nodes!Z508+"'E4!%5r"</f>
        <v>#VALUE!</v>
      </c>
      <c r="HZ67" t="e">
        <f>Nodes!AA508+"'E4!%5s"</f>
        <v>#VALUE!</v>
      </c>
      <c r="IA67" t="e">
        <f>Nodes!AB508+"'E4!%5t"</f>
        <v>#VALUE!</v>
      </c>
      <c r="IB67" t="e">
        <f>Nodes!AC508+"'E4!%5u"</f>
        <v>#VALUE!</v>
      </c>
      <c r="IC67" t="e">
        <f>Nodes!A509+"'E4!%5v"</f>
        <v>#VALUE!</v>
      </c>
      <c r="ID67" t="e">
        <f>Nodes!B509+"'E4!%5w"</f>
        <v>#VALUE!</v>
      </c>
      <c r="IE67" t="e">
        <f>Nodes!C509+"'E4!%5x"</f>
        <v>#VALUE!</v>
      </c>
      <c r="IF67" t="e">
        <f>Nodes!D509+"'E4!%5y"</f>
        <v>#VALUE!</v>
      </c>
      <c r="IG67" t="e">
        <f>Nodes!E509+"'E4!%5z"</f>
        <v>#VALUE!</v>
      </c>
      <c r="IH67" t="e">
        <f>Nodes!F509+"'E4!%5{"</f>
        <v>#VALUE!</v>
      </c>
      <c r="II67" t="e">
        <f>Nodes!G509+"'E4!%5|"</f>
        <v>#VALUE!</v>
      </c>
      <c r="IJ67" t="e">
        <f>Nodes!H509+"'E4!%5}"</f>
        <v>#VALUE!</v>
      </c>
      <c r="IK67" t="e">
        <f>Nodes!I509+"'E4!%5~"</f>
        <v>#VALUE!</v>
      </c>
      <c r="IL67" t="e">
        <f>Nodes!J509+"'E4!%6#"</f>
        <v>#VALUE!</v>
      </c>
      <c r="IM67" t="e">
        <f>Nodes!K509+"'E4!%6$"</f>
        <v>#VALUE!</v>
      </c>
      <c r="IN67" t="e">
        <f>Nodes!L509+"'E4!%6%"</f>
        <v>#VALUE!</v>
      </c>
      <c r="IO67" t="e">
        <f>Nodes!M509+"'E4!%6&amp;"</f>
        <v>#VALUE!</v>
      </c>
      <c r="IP67" t="e">
        <f>Nodes!N509+"'E4!%6'"</f>
        <v>#VALUE!</v>
      </c>
      <c r="IQ67" t="e">
        <f>Nodes!O509+"'E4!%6("</f>
        <v>#VALUE!</v>
      </c>
      <c r="IR67" t="e">
        <f>Nodes!P509+"'E4!%6)"</f>
        <v>#VALUE!</v>
      </c>
      <c r="IS67" t="e">
        <f>Nodes!Q509+"'E4!%6."</f>
        <v>#VALUE!</v>
      </c>
      <c r="IT67" t="e">
        <f>Nodes!R509+"'E4!%6/"</f>
        <v>#VALUE!</v>
      </c>
      <c r="IU67" t="e">
        <f>Nodes!S509+"'E4!%60"</f>
        <v>#VALUE!</v>
      </c>
      <c r="IV67" t="e">
        <f>Nodes!T509+"'E4!%61"</f>
        <v>#VALUE!</v>
      </c>
    </row>
    <row r="68" spans="6:256">
      <c r="F68" s="548" t="e">
        <f>Nodes!U509+"'E4!%62"</f>
        <v>#VALUE!</v>
      </c>
      <c r="G68" t="e">
        <f>Nodes!V509+"'E4!%63"</f>
        <v>#VALUE!</v>
      </c>
      <c r="H68" t="e">
        <f>Nodes!W509+"'E4!%64"</f>
        <v>#VALUE!</v>
      </c>
      <c r="I68" t="e">
        <f>Nodes!X509+"'E4!%65"</f>
        <v>#VALUE!</v>
      </c>
      <c r="J68" t="e">
        <f>Nodes!Y509+"'E4!%66"</f>
        <v>#VALUE!</v>
      </c>
      <c r="K68" t="e">
        <f>Nodes!Z509+"'E4!%67"</f>
        <v>#VALUE!</v>
      </c>
      <c r="L68" t="e">
        <f>Nodes!AA509+"'E4!%68"</f>
        <v>#VALUE!</v>
      </c>
      <c r="M68" t="e">
        <f>Nodes!AB509+"'E4!%69"</f>
        <v>#VALUE!</v>
      </c>
      <c r="N68" t="e">
        <f>Nodes!AC509+"'E4!%6:"</f>
        <v>#VALUE!</v>
      </c>
      <c r="O68" t="e">
        <f>Nodes!A510+"'E4!%6;"</f>
        <v>#VALUE!</v>
      </c>
      <c r="P68" t="e">
        <f>Nodes!B510+"'E4!%6&lt;"</f>
        <v>#VALUE!</v>
      </c>
      <c r="Q68" t="e">
        <f>Nodes!C510+"'E4!%6="</f>
        <v>#VALUE!</v>
      </c>
      <c r="R68" t="e">
        <f>Nodes!D510+"'E4!%6&gt;"</f>
        <v>#VALUE!</v>
      </c>
      <c r="S68" t="e">
        <f>Nodes!E510+"'E4!%6?"</f>
        <v>#VALUE!</v>
      </c>
      <c r="T68" t="e">
        <f>Nodes!F510+"'E4!%6@"</f>
        <v>#VALUE!</v>
      </c>
      <c r="U68" t="e">
        <f>Nodes!G510+"'E4!%6A"</f>
        <v>#VALUE!</v>
      </c>
      <c r="V68" t="e">
        <f>Nodes!H510+"'E4!%6B"</f>
        <v>#VALUE!</v>
      </c>
      <c r="W68" t="e">
        <f>Nodes!I510+"'E4!%6C"</f>
        <v>#VALUE!</v>
      </c>
      <c r="X68" t="e">
        <f>Nodes!J510+"'E4!%6D"</f>
        <v>#VALUE!</v>
      </c>
      <c r="Y68" t="e">
        <f>Nodes!K510+"'E4!%6E"</f>
        <v>#VALUE!</v>
      </c>
      <c r="Z68" t="e">
        <f>Nodes!L510+"'E4!%6F"</f>
        <v>#VALUE!</v>
      </c>
      <c r="AA68" t="e">
        <f>Nodes!M510+"'E4!%6G"</f>
        <v>#VALUE!</v>
      </c>
      <c r="AB68" t="e">
        <f>Nodes!N510+"'E4!%6H"</f>
        <v>#VALUE!</v>
      </c>
      <c r="AC68" t="e">
        <f>Nodes!O510+"'E4!%6I"</f>
        <v>#VALUE!</v>
      </c>
      <c r="AD68" t="e">
        <f>Nodes!P510+"'E4!%6J"</f>
        <v>#VALUE!</v>
      </c>
      <c r="AE68" t="e">
        <f>Nodes!Q510+"'E4!%6K"</f>
        <v>#VALUE!</v>
      </c>
      <c r="AF68" t="e">
        <f>Nodes!R510+"'E4!%6L"</f>
        <v>#VALUE!</v>
      </c>
      <c r="AG68" t="e">
        <f>Nodes!S510+"'E4!%6M"</f>
        <v>#VALUE!</v>
      </c>
      <c r="AH68" t="e">
        <f>Nodes!T510+"'E4!%6N"</f>
        <v>#VALUE!</v>
      </c>
      <c r="AI68" s="548" t="e">
        <f>Nodes!U510+"'E4!%6O"</f>
        <v>#VALUE!</v>
      </c>
      <c r="AJ68" t="e">
        <f>Nodes!V510+"'E4!%6P"</f>
        <v>#VALUE!</v>
      </c>
      <c r="AK68" t="e">
        <f>Nodes!W510+"'E4!%6Q"</f>
        <v>#VALUE!</v>
      </c>
      <c r="AL68" t="e">
        <f>Nodes!X510+"'E4!%6R"</f>
        <v>#VALUE!</v>
      </c>
      <c r="AM68" t="e">
        <f>Nodes!Y510+"'E4!%6S"</f>
        <v>#VALUE!</v>
      </c>
      <c r="AN68" t="e">
        <f>Nodes!Z510+"'E4!%6T"</f>
        <v>#VALUE!</v>
      </c>
      <c r="AO68" t="e">
        <f>Nodes!AA510+"'E4!%6U"</f>
        <v>#VALUE!</v>
      </c>
      <c r="AP68" t="e">
        <f>Nodes!AB510+"'E4!%6V"</f>
        <v>#VALUE!</v>
      </c>
      <c r="AQ68" t="e">
        <f>Nodes!AC510+"'E4!%6W"</f>
        <v>#VALUE!</v>
      </c>
      <c r="AR68" t="e">
        <f>Nodes!A511+"'E4!%6X"</f>
        <v>#VALUE!</v>
      </c>
      <c r="AS68" t="e">
        <f>Nodes!B511+"'E4!%6Y"</f>
        <v>#VALUE!</v>
      </c>
      <c r="AT68" t="e">
        <f>Nodes!C511+"'E4!%6Z"</f>
        <v>#VALUE!</v>
      </c>
      <c r="AU68" t="e">
        <f>Nodes!D511+"'E4!%6["</f>
        <v>#VALUE!</v>
      </c>
      <c r="AV68" t="e">
        <f>Nodes!E511+"'E4!%6\"</f>
        <v>#VALUE!</v>
      </c>
      <c r="AW68" t="e">
        <f>Nodes!F511+"'E4!%6]"</f>
        <v>#VALUE!</v>
      </c>
      <c r="AX68" t="e">
        <f>Nodes!G511+"'E4!%6^"</f>
        <v>#VALUE!</v>
      </c>
      <c r="AY68" t="e">
        <f>Nodes!H511+"'E4!%6_"</f>
        <v>#VALUE!</v>
      </c>
      <c r="AZ68" t="e">
        <f>Nodes!I511+"'E4!%6`"</f>
        <v>#VALUE!</v>
      </c>
      <c r="BA68" t="e">
        <f>Nodes!J511+"'E4!%6a"</f>
        <v>#VALUE!</v>
      </c>
      <c r="BB68" t="e">
        <f>Nodes!K511+"'E4!%6b"</f>
        <v>#VALUE!</v>
      </c>
      <c r="BC68" t="e">
        <f>Nodes!L511+"'E4!%6c"</f>
        <v>#VALUE!</v>
      </c>
      <c r="BD68" t="e">
        <f>Nodes!M511+"'E4!%6d"</f>
        <v>#VALUE!</v>
      </c>
      <c r="BE68" t="e">
        <f>Nodes!N511+"'E4!%6e"</f>
        <v>#VALUE!</v>
      </c>
      <c r="BF68" t="e">
        <f>Nodes!O511+"'E4!%6f"</f>
        <v>#VALUE!</v>
      </c>
      <c r="BG68" t="e">
        <f>Nodes!P511+"'E4!%6g"</f>
        <v>#VALUE!</v>
      </c>
      <c r="BH68" t="e">
        <f>Nodes!Q511+"'E4!%6h"</f>
        <v>#VALUE!</v>
      </c>
      <c r="BI68" t="e">
        <f>Nodes!R511+"'E4!%6i"</f>
        <v>#VALUE!</v>
      </c>
      <c r="BJ68" t="e">
        <f>Nodes!S511+"'E4!%6j"</f>
        <v>#VALUE!</v>
      </c>
      <c r="BK68" t="e">
        <f>Nodes!T511+"'E4!%6k"</f>
        <v>#VALUE!</v>
      </c>
      <c r="BL68" s="548" t="e">
        <f>Nodes!U511+"'E4!%6l"</f>
        <v>#VALUE!</v>
      </c>
      <c r="BM68" t="e">
        <f>Nodes!V511+"'E4!%6m"</f>
        <v>#VALUE!</v>
      </c>
      <c r="BN68" t="e">
        <f>Nodes!W511+"'E4!%6n"</f>
        <v>#VALUE!</v>
      </c>
      <c r="BO68" t="e">
        <f>Nodes!X511+"'E4!%6o"</f>
        <v>#VALUE!</v>
      </c>
      <c r="BP68" t="e">
        <f>Nodes!Y511+"'E4!%6p"</f>
        <v>#VALUE!</v>
      </c>
      <c r="BQ68" t="e">
        <f>Nodes!Z511+"'E4!%6q"</f>
        <v>#VALUE!</v>
      </c>
      <c r="BR68" t="e">
        <f>Nodes!AA511+"'E4!%6r"</f>
        <v>#VALUE!</v>
      </c>
      <c r="BS68" t="e">
        <f>Nodes!AB511+"'E4!%6s"</f>
        <v>#VALUE!</v>
      </c>
      <c r="BT68" t="e">
        <f>Nodes!AC511+"'E4!%6t"</f>
        <v>#VALUE!</v>
      </c>
      <c r="BU68" t="e">
        <f>Nodes!A512+"'E4!%6u"</f>
        <v>#VALUE!</v>
      </c>
      <c r="BV68" t="e">
        <f>Nodes!B512+"'E4!%6v"</f>
        <v>#VALUE!</v>
      </c>
      <c r="BW68" t="e">
        <f>Nodes!C512+"'E4!%6w"</f>
        <v>#VALUE!</v>
      </c>
      <c r="BX68" t="e">
        <f>Nodes!D512+"'E4!%6x"</f>
        <v>#VALUE!</v>
      </c>
      <c r="BY68" t="e">
        <f>Nodes!E512+"'E4!%6y"</f>
        <v>#VALUE!</v>
      </c>
      <c r="BZ68" t="e">
        <f>Nodes!F512+"'E4!%6z"</f>
        <v>#VALUE!</v>
      </c>
      <c r="CA68" t="e">
        <f>Nodes!G512+"'E4!%6{"</f>
        <v>#VALUE!</v>
      </c>
      <c r="CB68" t="e">
        <f>Nodes!H512+"'E4!%6|"</f>
        <v>#VALUE!</v>
      </c>
      <c r="CC68" t="e">
        <f>Nodes!I512+"'E4!%6}"</f>
        <v>#VALUE!</v>
      </c>
      <c r="CD68" t="e">
        <f>Nodes!J512+"'E4!%6~"</f>
        <v>#VALUE!</v>
      </c>
      <c r="CE68" t="e">
        <f>Nodes!K512+"'E4!%7#"</f>
        <v>#VALUE!</v>
      </c>
      <c r="CF68" t="e">
        <f>Nodes!L512+"'E4!%7$"</f>
        <v>#VALUE!</v>
      </c>
      <c r="CG68" t="e">
        <f>Nodes!M512+"'E4!%7%"</f>
        <v>#VALUE!</v>
      </c>
      <c r="CH68" t="e">
        <f>Nodes!N512+"'E4!%7&amp;"</f>
        <v>#VALUE!</v>
      </c>
      <c r="CI68" t="e">
        <f>Nodes!O512+"'E4!%7'"</f>
        <v>#VALUE!</v>
      </c>
      <c r="CJ68" t="e">
        <f>Nodes!P512+"'E4!%7("</f>
        <v>#VALUE!</v>
      </c>
      <c r="CK68" t="e">
        <f>Nodes!Q512+"'E4!%7)"</f>
        <v>#VALUE!</v>
      </c>
      <c r="CL68" t="e">
        <f>Nodes!R512+"'E4!%7."</f>
        <v>#VALUE!</v>
      </c>
      <c r="CM68" t="e">
        <f>Nodes!S512+"'E4!%7/"</f>
        <v>#VALUE!</v>
      </c>
      <c r="CN68" t="e">
        <f>Nodes!T512+"'E4!%70"</f>
        <v>#VALUE!</v>
      </c>
      <c r="CO68" s="548" t="e">
        <f>Nodes!U512+"'E4!%71"</f>
        <v>#VALUE!</v>
      </c>
      <c r="CP68" t="e">
        <f>Nodes!V512+"'E4!%72"</f>
        <v>#VALUE!</v>
      </c>
      <c r="CQ68" t="e">
        <f>Nodes!W512+"'E4!%73"</f>
        <v>#VALUE!</v>
      </c>
      <c r="CR68" t="e">
        <f>Nodes!X512+"'E4!%74"</f>
        <v>#VALUE!</v>
      </c>
      <c r="CS68" t="e">
        <f>Nodes!Y512+"'E4!%75"</f>
        <v>#VALUE!</v>
      </c>
      <c r="CT68" t="e">
        <f>Nodes!Z512+"'E4!%76"</f>
        <v>#VALUE!</v>
      </c>
      <c r="CU68" t="e">
        <f>Nodes!AA512+"'E4!%77"</f>
        <v>#VALUE!</v>
      </c>
      <c r="CV68" t="e">
        <f>Nodes!AB512+"'E4!%78"</f>
        <v>#VALUE!</v>
      </c>
      <c r="CW68" t="e">
        <f>Nodes!AC512+"'E4!%79"</f>
        <v>#VALUE!</v>
      </c>
      <c r="CX68" t="e">
        <f>Nodes!A513+"'E4!%7:"</f>
        <v>#VALUE!</v>
      </c>
      <c r="CY68" t="e">
        <f>Nodes!B513+"'E4!%7;"</f>
        <v>#VALUE!</v>
      </c>
      <c r="CZ68" t="e">
        <f>Nodes!C513+"'E4!%7&lt;"</f>
        <v>#VALUE!</v>
      </c>
      <c r="DA68" t="e">
        <f>Nodes!D513+"'E4!%7="</f>
        <v>#VALUE!</v>
      </c>
      <c r="DB68" t="e">
        <f>Nodes!E513+"'E4!%7&gt;"</f>
        <v>#VALUE!</v>
      </c>
      <c r="DC68" t="e">
        <f>Nodes!F513+"'E4!%7?"</f>
        <v>#VALUE!</v>
      </c>
      <c r="DD68" t="e">
        <f>Nodes!G513+"'E4!%7@"</f>
        <v>#VALUE!</v>
      </c>
      <c r="DE68" t="e">
        <f>Nodes!H513+"'E4!%7A"</f>
        <v>#VALUE!</v>
      </c>
      <c r="DF68" t="e">
        <f>Nodes!I513+"'E4!%7B"</f>
        <v>#VALUE!</v>
      </c>
      <c r="DG68" t="e">
        <f>Nodes!J513+"'E4!%7C"</f>
        <v>#VALUE!</v>
      </c>
      <c r="DH68" t="e">
        <f>Nodes!K513+"'E4!%7D"</f>
        <v>#VALUE!</v>
      </c>
      <c r="DI68" t="e">
        <f>Nodes!L513+"'E4!%7E"</f>
        <v>#VALUE!</v>
      </c>
      <c r="DJ68" t="e">
        <f>Nodes!M513+"'E4!%7F"</f>
        <v>#VALUE!</v>
      </c>
      <c r="DK68" t="e">
        <f>Nodes!N513+"'E4!%7G"</f>
        <v>#VALUE!</v>
      </c>
      <c r="DL68" t="e">
        <f>Nodes!O513+"'E4!%7H"</f>
        <v>#VALUE!</v>
      </c>
      <c r="DM68" t="e">
        <f>Nodes!P513+"'E4!%7I"</f>
        <v>#VALUE!</v>
      </c>
      <c r="DN68" t="e">
        <f>Nodes!Q513+"'E4!%7J"</f>
        <v>#VALUE!</v>
      </c>
      <c r="DO68" t="e">
        <f>Nodes!R513+"'E4!%7K"</f>
        <v>#VALUE!</v>
      </c>
      <c r="DP68" t="e">
        <f>Nodes!S513+"'E4!%7L"</f>
        <v>#VALUE!</v>
      </c>
      <c r="DQ68" t="e">
        <f>Nodes!T513+"'E4!%7M"</f>
        <v>#VALUE!</v>
      </c>
      <c r="DR68" s="548" t="e">
        <f>Nodes!U513+"'E4!%7N"</f>
        <v>#VALUE!</v>
      </c>
      <c r="DS68" t="e">
        <f>Nodes!V513+"'E4!%7O"</f>
        <v>#VALUE!</v>
      </c>
      <c r="DT68" t="e">
        <f>Nodes!W513+"'E4!%7P"</f>
        <v>#VALUE!</v>
      </c>
      <c r="DU68" t="e">
        <f>Nodes!X513+"'E4!%7Q"</f>
        <v>#VALUE!</v>
      </c>
      <c r="DV68" t="e">
        <f>Nodes!Y513+"'E4!%7R"</f>
        <v>#VALUE!</v>
      </c>
      <c r="DW68" t="e">
        <f>Nodes!Z513+"'E4!%7S"</f>
        <v>#VALUE!</v>
      </c>
      <c r="DX68" t="e">
        <f>Nodes!AA513+"'E4!%7T"</f>
        <v>#VALUE!</v>
      </c>
      <c r="DY68" t="e">
        <f>Nodes!AB513+"'E4!%7U"</f>
        <v>#VALUE!</v>
      </c>
      <c r="DZ68" t="e">
        <f>Nodes!AC513+"'E4!%7V"</f>
        <v>#VALUE!</v>
      </c>
      <c r="EA68" t="e">
        <f>Nodes!A514+"'E4!%7W"</f>
        <v>#VALUE!</v>
      </c>
      <c r="EB68" t="e">
        <f>Nodes!B514+"'E4!%7X"</f>
        <v>#VALUE!</v>
      </c>
      <c r="EC68" t="e">
        <f>Nodes!C514+"'E4!%7Y"</f>
        <v>#VALUE!</v>
      </c>
      <c r="ED68" t="e">
        <f>Nodes!D514+"'E4!%7Z"</f>
        <v>#VALUE!</v>
      </c>
      <c r="EE68" t="e">
        <f>Nodes!E514+"'E4!%7["</f>
        <v>#VALUE!</v>
      </c>
      <c r="EF68" t="e">
        <f>Nodes!F514+"'E4!%7\"</f>
        <v>#VALUE!</v>
      </c>
      <c r="EG68" t="e">
        <f>Nodes!G514+"'E4!%7]"</f>
        <v>#VALUE!</v>
      </c>
      <c r="EH68" t="e">
        <f>Nodes!H514+"'E4!%7^"</f>
        <v>#VALUE!</v>
      </c>
      <c r="EI68" t="e">
        <f>Nodes!I514+"'E4!%7_"</f>
        <v>#VALUE!</v>
      </c>
      <c r="EJ68" t="e">
        <f>Nodes!J514+"'E4!%7`"</f>
        <v>#VALUE!</v>
      </c>
      <c r="EK68" t="e">
        <f>Nodes!K514+"'E4!%7a"</f>
        <v>#VALUE!</v>
      </c>
      <c r="EL68" t="e">
        <f>Nodes!L514+"'E4!%7b"</f>
        <v>#VALUE!</v>
      </c>
      <c r="EM68" t="e">
        <f>Nodes!M514+"'E4!%7c"</f>
        <v>#VALUE!</v>
      </c>
      <c r="EN68" t="e">
        <f>Nodes!N514+"'E4!%7d"</f>
        <v>#VALUE!</v>
      </c>
      <c r="EO68" t="e">
        <f>Nodes!O514+"'E4!%7e"</f>
        <v>#VALUE!</v>
      </c>
      <c r="EP68" t="e">
        <f>Nodes!P514+"'E4!%7f"</f>
        <v>#VALUE!</v>
      </c>
      <c r="EQ68" t="e">
        <f>Nodes!Q514+"'E4!%7g"</f>
        <v>#VALUE!</v>
      </c>
      <c r="ER68" t="e">
        <f>Nodes!R514+"'E4!%7h"</f>
        <v>#VALUE!</v>
      </c>
      <c r="ES68" t="e">
        <f>Nodes!S514+"'E4!%7i"</f>
        <v>#VALUE!</v>
      </c>
      <c r="ET68" t="e">
        <f>Nodes!T514+"'E4!%7j"</f>
        <v>#VALUE!</v>
      </c>
      <c r="EU68" s="548" t="e">
        <f>Nodes!U514+"'E4!%7k"</f>
        <v>#VALUE!</v>
      </c>
      <c r="EV68" t="e">
        <f>Nodes!V514+"'E4!%7l"</f>
        <v>#VALUE!</v>
      </c>
      <c r="EW68" t="e">
        <f>Nodes!W514+"'E4!%7m"</f>
        <v>#VALUE!</v>
      </c>
      <c r="EX68" t="e">
        <f>Nodes!X514+"'E4!%7n"</f>
        <v>#VALUE!</v>
      </c>
      <c r="EY68" t="e">
        <f>Nodes!Y514+"'E4!%7o"</f>
        <v>#VALUE!</v>
      </c>
      <c r="EZ68" t="e">
        <f>Nodes!Z514+"'E4!%7p"</f>
        <v>#VALUE!</v>
      </c>
      <c r="FA68" t="e">
        <f>Nodes!AA514+"'E4!%7q"</f>
        <v>#VALUE!</v>
      </c>
      <c r="FB68" t="e">
        <f>Nodes!AB514+"'E4!%7r"</f>
        <v>#VALUE!</v>
      </c>
      <c r="FC68" t="e">
        <f>Nodes!AC514+"'E4!%7s"</f>
        <v>#VALUE!</v>
      </c>
      <c r="FD68" t="e">
        <f>Nodes!A515+"'E4!%7t"</f>
        <v>#VALUE!</v>
      </c>
      <c r="FE68" t="e">
        <f>Nodes!B515+"'E4!%7u"</f>
        <v>#VALUE!</v>
      </c>
      <c r="FF68" t="e">
        <f>Nodes!C515+"'E4!%7v"</f>
        <v>#VALUE!</v>
      </c>
      <c r="FG68" t="e">
        <f>Nodes!D515+"'E4!%7w"</f>
        <v>#VALUE!</v>
      </c>
      <c r="FH68" t="e">
        <f>Nodes!E515+"'E4!%7x"</f>
        <v>#VALUE!</v>
      </c>
      <c r="FI68" t="e">
        <f>Nodes!F515+"'E4!%7y"</f>
        <v>#VALUE!</v>
      </c>
      <c r="FJ68" t="e">
        <f>Nodes!G515+"'E4!%7z"</f>
        <v>#VALUE!</v>
      </c>
      <c r="FK68" t="e">
        <f>Nodes!H515+"'E4!%7{"</f>
        <v>#VALUE!</v>
      </c>
      <c r="FL68" t="e">
        <f>Nodes!I515+"'E4!%7|"</f>
        <v>#VALUE!</v>
      </c>
      <c r="FM68" t="e">
        <f>Nodes!J515+"'E4!%7}"</f>
        <v>#VALUE!</v>
      </c>
      <c r="FN68" t="e">
        <f>Nodes!K515+"'E4!%7~"</f>
        <v>#VALUE!</v>
      </c>
      <c r="FO68" t="e">
        <f>Nodes!L515+"'E4!%8#"</f>
        <v>#VALUE!</v>
      </c>
      <c r="FP68" t="e">
        <f>Nodes!M515+"'E4!%8$"</f>
        <v>#VALUE!</v>
      </c>
      <c r="FQ68" t="e">
        <f>Nodes!N515+"'E4!%8%"</f>
        <v>#VALUE!</v>
      </c>
      <c r="FR68" t="e">
        <f>Nodes!O515+"'E4!%8&amp;"</f>
        <v>#VALUE!</v>
      </c>
      <c r="FS68" t="e">
        <f>Nodes!P515+"'E4!%8'"</f>
        <v>#VALUE!</v>
      </c>
      <c r="FT68" t="e">
        <f>Nodes!Q515+"'E4!%8("</f>
        <v>#VALUE!</v>
      </c>
      <c r="FU68" t="e">
        <f>Nodes!R515+"'E4!%8)"</f>
        <v>#VALUE!</v>
      </c>
      <c r="FV68" t="e">
        <f>Nodes!S515+"'E4!%8."</f>
        <v>#VALUE!</v>
      </c>
      <c r="FW68" t="e">
        <f>Nodes!T515+"'E4!%8/"</f>
        <v>#VALUE!</v>
      </c>
      <c r="FX68" s="548" t="e">
        <f>Nodes!U515+"'E4!%80"</f>
        <v>#VALUE!</v>
      </c>
      <c r="FY68" t="e">
        <f>Nodes!V515+"'E4!%81"</f>
        <v>#VALUE!</v>
      </c>
      <c r="FZ68" t="e">
        <f>Nodes!W515+"'E4!%82"</f>
        <v>#VALUE!</v>
      </c>
      <c r="GA68" t="e">
        <f>Nodes!X515+"'E4!%83"</f>
        <v>#VALUE!</v>
      </c>
      <c r="GB68" t="e">
        <f>Nodes!Y515+"'E4!%84"</f>
        <v>#VALUE!</v>
      </c>
      <c r="GC68" t="e">
        <f>Nodes!Z515+"'E4!%85"</f>
        <v>#VALUE!</v>
      </c>
      <c r="GD68" t="e">
        <f>Nodes!AA515+"'E4!%86"</f>
        <v>#VALUE!</v>
      </c>
      <c r="GE68" t="e">
        <f>Nodes!AB515+"'E4!%87"</f>
        <v>#VALUE!</v>
      </c>
      <c r="GF68" t="e">
        <f>Nodes!AC515+"'E4!%88"</f>
        <v>#VALUE!</v>
      </c>
      <c r="GG68" t="e">
        <f>Nodes!A516+"'E4!%89"</f>
        <v>#VALUE!</v>
      </c>
      <c r="GH68" t="e">
        <f>Nodes!B516+"'E4!%8:"</f>
        <v>#VALUE!</v>
      </c>
      <c r="GI68" t="e">
        <f>Nodes!C516+"'E4!%8;"</f>
        <v>#VALUE!</v>
      </c>
      <c r="GJ68" t="e">
        <f>Nodes!D516+"'E4!%8&lt;"</f>
        <v>#VALUE!</v>
      </c>
      <c r="GK68" t="e">
        <f>Nodes!E516+"'E4!%8="</f>
        <v>#VALUE!</v>
      </c>
      <c r="GL68" t="e">
        <f>Nodes!F516+"'E4!%8&gt;"</f>
        <v>#VALUE!</v>
      </c>
      <c r="GM68" t="e">
        <f>Nodes!G516+"'E4!%8?"</f>
        <v>#VALUE!</v>
      </c>
      <c r="GN68" t="e">
        <f>Nodes!H516+"'E4!%8@"</f>
        <v>#VALUE!</v>
      </c>
      <c r="GO68" t="e">
        <f>Nodes!I516+"'E4!%8A"</f>
        <v>#VALUE!</v>
      </c>
      <c r="GP68" t="e">
        <f>Nodes!J516+"'E4!%8B"</f>
        <v>#VALUE!</v>
      </c>
      <c r="GQ68" t="e">
        <f>Nodes!K516+"'E4!%8C"</f>
        <v>#VALUE!</v>
      </c>
      <c r="GR68" t="e">
        <f>Nodes!L516+"'E4!%8D"</f>
        <v>#VALUE!</v>
      </c>
      <c r="GS68" t="e">
        <f>Nodes!M516+"'E4!%8E"</f>
        <v>#VALUE!</v>
      </c>
      <c r="GT68" t="e">
        <f>Nodes!N516+"'E4!%8F"</f>
        <v>#VALUE!</v>
      </c>
      <c r="GU68" t="e">
        <f>Nodes!O516+"'E4!%8G"</f>
        <v>#VALUE!</v>
      </c>
      <c r="GV68" t="e">
        <f>Nodes!P516+"'E4!%8H"</f>
        <v>#VALUE!</v>
      </c>
      <c r="GW68" t="e">
        <f>Nodes!Q516+"'E4!%8I"</f>
        <v>#VALUE!</v>
      </c>
      <c r="GX68" t="e">
        <f>Nodes!R516+"'E4!%8J"</f>
        <v>#VALUE!</v>
      </c>
      <c r="GY68" t="e">
        <f>Nodes!S516+"'E4!%8K"</f>
        <v>#VALUE!</v>
      </c>
      <c r="GZ68" t="e">
        <f>Nodes!T516+"'E4!%8L"</f>
        <v>#VALUE!</v>
      </c>
      <c r="HA68" s="548" t="e">
        <f>Nodes!U516+"'E4!%8M"</f>
        <v>#VALUE!</v>
      </c>
      <c r="HB68" t="e">
        <f>Nodes!V516+"'E4!%8N"</f>
        <v>#VALUE!</v>
      </c>
      <c r="HC68" t="e">
        <f>Nodes!W516+"'E4!%8O"</f>
        <v>#VALUE!</v>
      </c>
      <c r="HD68" t="e">
        <f>Nodes!X516+"'E4!%8P"</f>
        <v>#VALUE!</v>
      </c>
      <c r="HE68" t="e">
        <f>Nodes!Y516+"'E4!%8Q"</f>
        <v>#VALUE!</v>
      </c>
      <c r="HF68" t="e">
        <f>Nodes!Z516+"'E4!%8R"</f>
        <v>#VALUE!</v>
      </c>
      <c r="HG68" t="e">
        <f>Nodes!AA516+"'E4!%8S"</f>
        <v>#VALUE!</v>
      </c>
      <c r="HH68" t="e">
        <f>Nodes!AB516+"'E4!%8T"</f>
        <v>#VALUE!</v>
      </c>
      <c r="HI68" t="e">
        <f>Nodes!AC516+"'E4!%8U"</f>
        <v>#VALUE!</v>
      </c>
      <c r="HJ68" t="e">
        <f>Nodes!A517+"'E4!%8V"</f>
        <v>#VALUE!</v>
      </c>
      <c r="HK68" t="e">
        <f>Nodes!B517+"'E4!%8W"</f>
        <v>#VALUE!</v>
      </c>
      <c r="HL68" t="e">
        <f>Nodes!C517+"'E4!%8X"</f>
        <v>#VALUE!</v>
      </c>
      <c r="HM68" t="e">
        <f>Nodes!D517+"'E4!%8Y"</f>
        <v>#VALUE!</v>
      </c>
      <c r="HN68" t="e">
        <f>Nodes!E517+"'E4!%8Z"</f>
        <v>#VALUE!</v>
      </c>
      <c r="HO68" t="e">
        <f>Nodes!F517+"'E4!%8["</f>
        <v>#VALUE!</v>
      </c>
      <c r="HP68" t="e">
        <f>Nodes!G517+"'E4!%8\"</f>
        <v>#VALUE!</v>
      </c>
      <c r="HQ68" t="e">
        <f>Nodes!H517+"'E4!%8]"</f>
        <v>#VALUE!</v>
      </c>
      <c r="HR68" t="e">
        <f>Nodes!I517+"'E4!%8^"</f>
        <v>#VALUE!</v>
      </c>
      <c r="HS68" t="e">
        <f>Nodes!J517+"'E4!%8_"</f>
        <v>#VALUE!</v>
      </c>
      <c r="HT68" t="e">
        <f>Nodes!K517+"'E4!%8`"</f>
        <v>#VALUE!</v>
      </c>
      <c r="HU68" t="e">
        <f>Nodes!L517+"'E4!%8a"</f>
        <v>#VALUE!</v>
      </c>
      <c r="HV68" t="e">
        <f>Nodes!M517+"'E4!%8b"</f>
        <v>#VALUE!</v>
      </c>
      <c r="HW68" t="e">
        <f>Nodes!N517+"'E4!%8c"</f>
        <v>#VALUE!</v>
      </c>
      <c r="HX68" t="e">
        <f>Nodes!O517+"'E4!%8d"</f>
        <v>#VALUE!</v>
      </c>
      <c r="HY68" t="e">
        <f>Nodes!P517+"'E4!%8e"</f>
        <v>#VALUE!</v>
      </c>
      <c r="HZ68" t="e">
        <f>Nodes!Q517+"'E4!%8f"</f>
        <v>#VALUE!</v>
      </c>
      <c r="IA68" t="e">
        <f>Nodes!R517+"'E4!%8g"</f>
        <v>#VALUE!</v>
      </c>
      <c r="IB68" t="e">
        <f>Nodes!S517+"'E4!%8h"</f>
        <v>#VALUE!</v>
      </c>
      <c r="IC68" t="e">
        <f>Nodes!T517+"'E4!%8i"</f>
        <v>#VALUE!</v>
      </c>
      <c r="ID68" s="548" t="e">
        <f>Nodes!U517+"'E4!%8j"</f>
        <v>#VALUE!</v>
      </c>
      <c r="IE68" t="e">
        <f>Nodes!V517+"'E4!%8k"</f>
        <v>#VALUE!</v>
      </c>
      <c r="IF68" t="e">
        <f>Nodes!W517+"'E4!%8l"</f>
        <v>#VALUE!</v>
      </c>
      <c r="IG68" t="e">
        <f>Nodes!X517+"'E4!%8m"</f>
        <v>#VALUE!</v>
      </c>
      <c r="IH68" t="e">
        <f>Nodes!Y517+"'E4!%8n"</f>
        <v>#VALUE!</v>
      </c>
      <c r="II68" t="e">
        <f>Nodes!Z517+"'E4!%8o"</f>
        <v>#VALUE!</v>
      </c>
      <c r="IJ68" t="e">
        <f>Nodes!AA517+"'E4!%8p"</f>
        <v>#VALUE!</v>
      </c>
      <c r="IK68" t="e">
        <f>Nodes!AB517+"'E4!%8q"</f>
        <v>#VALUE!</v>
      </c>
      <c r="IL68" t="e">
        <f>Nodes!AC517+"'E4!%8r"</f>
        <v>#VALUE!</v>
      </c>
      <c r="IM68" t="e">
        <f>Nodes!A518+"'E4!%8s"</f>
        <v>#VALUE!</v>
      </c>
      <c r="IN68" t="e">
        <f>Nodes!B518+"'E4!%8t"</f>
        <v>#VALUE!</v>
      </c>
      <c r="IO68" t="e">
        <f>Nodes!C518+"'E4!%8u"</f>
        <v>#VALUE!</v>
      </c>
      <c r="IP68" t="e">
        <f>Nodes!D518+"'E4!%8v"</f>
        <v>#VALUE!</v>
      </c>
      <c r="IQ68" t="e">
        <f>Nodes!E518+"'E4!%8w"</f>
        <v>#VALUE!</v>
      </c>
      <c r="IR68" t="e">
        <f>Nodes!F518+"'E4!%8x"</f>
        <v>#VALUE!</v>
      </c>
      <c r="IS68" t="e">
        <f>Nodes!G518+"'E4!%8y"</f>
        <v>#VALUE!</v>
      </c>
      <c r="IT68" t="e">
        <f>Nodes!H518+"'E4!%8z"</f>
        <v>#VALUE!</v>
      </c>
      <c r="IU68" t="e">
        <f>Nodes!I518+"'E4!%8{"</f>
        <v>#VALUE!</v>
      </c>
      <c r="IV68" t="e">
        <f>Nodes!J518+"'E4!%8|"</f>
        <v>#VALUE!</v>
      </c>
    </row>
    <row r="69" spans="6:256">
      <c r="F69" t="e">
        <f>Nodes!K518+"'E4!%8}"</f>
        <v>#VALUE!</v>
      </c>
      <c r="G69" t="e">
        <f>Nodes!L518+"'E4!%8~"</f>
        <v>#VALUE!</v>
      </c>
      <c r="H69" t="e">
        <f>Nodes!M518+"'E4!%9#"</f>
        <v>#VALUE!</v>
      </c>
      <c r="I69" t="e">
        <f>Nodes!N518+"'E4!%9$"</f>
        <v>#VALUE!</v>
      </c>
      <c r="J69" t="e">
        <f>Nodes!O518+"'E4!%9%"</f>
        <v>#VALUE!</v>
      </c>
      <c r="K69" t="e">
        <f>Nodes!P518+"'E4!%9&amp;"</f>
        <v>#VALUE!</v>
      </c>
      <c r="L69" t="e">
        <f>Nodes!Q518+"'E4!%9'"</f>
        <v>#VALUE!</v>
      </c>
      <c r="M69" t="e">
        <f>Nodes!R518+"'E4!%9("</f>
        <v>#VALUE!</v>
      </c>
      <c r="N69" t="e">
        <f>Nodes!S518+"'E4!%9)"</f>
        <v>#VALUE!</v>
      </c>
      <c r="O69" t="e">
        <f>Nodes!T518+"'E4!%9."</f>
        <v>#VALUE!</v>
      </c>
      <c r="P69" s="548" t="e">
        <f>Nodes!U518+"'E4!%9/"</f>
        <v>#VALUE!</v>
      </c>
      <c r="Q69" t="e">
        <f>Nodes!V518+"'E4!%90"</f>
        <v>#VALUE!</v>
      </c>
      <c r="R69" t="e">
        <f>Nodes!W518+"'E4!%91"</f>
        <v>#VALUE!</v>
      </c>
      <c r="S69" t="e">
        <f>Nodes!X518+"'E4!%92"</f>
        <v>#VALUE!</v>
      </c>
      <c r="T69" t="e">
        <f>Nodes!Y518+"'E4!%93"</f>
        <v>#VALUE!</v>
      </c>
      <c r="U69" t="e">
        <f>Nodes!Z518+"'E4!%94"</f>
        <v>#VALUE!</v>
      </c>
      <c r="V69" t="e">
        <f>Nodes!AA518+"'E4!%95"</f>
        <v>#VALUE!</v>
      </c>
      <c r="W69" t="e">
        <f>Nodes!AB518+"'E4!%96"</f>
        <v>#VALUE!</v>
      </c>
      <c r="X69" t="e">
        <f>Nodes!AC518+"'E4!%97"</f>
        <v>#VALUE!</v>
      </c>
      <c r="Y69" t="e">
        <f>Nodes!A519+"'E4!%98"</f>
        <v>#VALUE!</v>
      </c>
      <c r="Z69" t="e">
        <f>Nodes!B519+"'E4!%99"</f>
        <v>#VALUE!</v>
      </c>
      <c r="AA69" t="e">
        <f>Nodes!C519+"'E4!%9:"</f>
        <v>#VALUE!</v>
      </c>
      <c r="AB69" t="e">
        <f>Nodes!D519+"'E4!%9;"</f>
        <v>#VALUE!</v>
      </c>
      <c r="AC69" t="e">
        <f>Nodes!E519+"'E4!%9&lt;"</f>
        <v>#VALUE!</v>
      </c>
      <c r="AD69" t="e">
        <f>Nodes!F519+"'E4!%9="</f>
        <v>#VALUE!</v>
      </c>
      <c r="AE69" t="e">
        <f>Nodes!G519+"'E4!%9&gt;"</f>
        <v>#VALUE!</v>
      </c>
      <c r="AF69" t="e">
        <f>Nodes!H519+"'E4!%9?"</f>
        <v>#VALUE!</v>
      </c>
      <c r="AG69" t="e">
        <f>Nodes!I519+"'E4!%9@"</f>
        <v>#VALUE!</v>
      </c>
      <c r="AH69" t="e">
        <f>Nodes!J519+"'E4!%9A"</f>
        <v>#VALUE!</v>
      </c>
      <c r="AI69" t="e">
        <f>Nodes!K519+"'E4!%9B"</f>
        <v>#VALUE!</v>
      </c>
      <c r="AJ69" t="e">
        <f>Nodes!L519+"'E4!%9C"</f>
        <v>#VALUE!</v>
      </c>
      <c r="AK69" t="e">
        <f>Nodes!M519+"'E4!%9D"</f>
        <v>#VALUE!</v>
      </c>
      <c r="AL69" t="e">
        <f>Nodes!N519+"'E4!%9E"</f>
        <v>#VALUE!</v>
      </c>
      <c r="AM69" t="e">
        <f>Nodes!O519+"'E4!%9F"</f>
        <v>#VALUE!</v>
      </c>
      <c r="AN69" t="e">
        <f>Nodes!P519+"'E4!%9G"</f>
        <v>#VALUE!</v>
      </c>
      <c r="AO69" t="e">
        <f>Nodes!Q519+"'E4!%9H"</f>
        <v>#VALUE!</v>
      </c>
      <c r="AP69" t="e">
        <f>Nodes!R519+"'E4!%9I"</f>
        <v>#VALUE!</v>
      </c>
      <c r="AQ69" t="e">
        <f>Nodes!S519+"'E4!%9J"</f>
        <v>#VALUE!</v>
      </c>
      <c r="AR69" t="e">
        <f>Nodes!T519+"'E4!%9K"</f>
        <v>#VALUE!</v>
      </c>
      <c r="AS69" s="548" t="e">
        <f>Nodes!U519+"'E4!%9L"</f>
        <v>#VALUE!</v>
      </c>
      <c r="AT69" t="e">
        <f>Nodes!V519+"'E4!%9M"</f>
        <v>#VALUE!</v>
      </c>
      <c r="AU69" t="e">
        <f>Nodes!W519+"'E4!%9N"</f>
        <v>#VALUE!</v>
      </c>
      <c r="AV69" t="e">
        <f>Nodes!X519+"'E4!%9O"</f>
        <v>#VALUE!</v>
      </c>
      <c r="AW69" t="e">
        <f>Nodes!Y519+"'E4!%9P"</f>
        <v>#VALUE!</v>
      </c>
      <c r="AX69" t="e">
        <f>Nodes!Z519+"'E4!%9Q"</f>
        <v>#VALUE!</v>
      </c>
      <c r="AY69" t="e">
        <f>Nodes!AA519+"'E4!%9R"</f>
        <v>#VALUE!</v>
      </c>
      <c r="AZ69" t="e">
        <f>Nodes!AB519+"'E4!%9S"</f>
        <v>#VALUE!</v>
      </c>
      <c r="BA69" t="e">
        <f>Nodes!AC519+"'E4!%9T"</f>
        <v>#VALUE!</v>
      </c>
      <c r="BB69" t="e">
        <f>Nodes!A520+"'E4!%9U"</f>
        <v>#VALUE!</v>
      </c>
      <c r="BC69" t="e">
        <f>Nodes!B520+"'E4!%9V"</f>
        <v>#VALUE!</v>
      </c>
      <c r="BD69" t="e">
        <f>Nodes!C520+"'E4!%9W"</f>
        <v>#VALUE!</v>
      </c>
      <c r="BE69" t="e">
        <f>Nodes!D520+"'E4!%9X"</f>
        <v>#VALUE!</v>
      </c>
      <c r="BF69" t="e">
        <f>Nodes!E520+"'E4!%9Y"</f>
        <v>#VALUE!</v>
      </c>
      <c r="BG69" t="e">
        <f>Nodes!F520+"'E4!%9Z"</f>
        <v>#VALUE!</v>
      </c>
      <c r="BH69" t="e">
        <f>Nodes!G520+"'E4!%9["</f>
        <v>#VALUE!</v>
      </c>
      <c r="BI69" t="e">
        <f>Nodes!H520+"'E4!%9\"</f>
        <v>#VALUE!</v>
      </c>
      <c r="BJ69" t="e">
        <f>Nodes!I520+"'E4!%9]"</f>
        <v>#VALUE!</v>
      </c>
      <c r="BK69" t="e">
        <f>Nodes!J520+"'E4!%9^"</f>
        <v>#VALUE!</v>
      </c>
      <c r="BL69" t="e">
        <f>Nodes!K520+"'E4!%9_"</f>
        <v>#VALUE!</v>
      </c>
      <c r="BM69" t="e">
        <f>Nodes!L520+"'E4!%9`"</f>
        <v>#VALUE!</v>
      </c>
      <c r="BN69" t="e">
        <f>Nodes!M520+"'E4!%9a"</f>
        <v>#VALUE!</v>
      </c>
      <c r="BO69" t="e">
        <f>Nodes!N520+"'E4!%9b"</f>
        <v>#VALUE!</v>
      </c>
      <c r="BP69" t="e">
        <f>Nodes!O520+"'E4!%9c"</f>
        <v>#VALUE!</v>
      </c>
      <c r="BQ69" t="e">
        <f>Nodes!P520+"'E4!%9d"</f>
        <v>#VALUE!</v>
      </c>
      <c r="BR69" t="e">
        <f>Nodes!Q520+"'E4!%9e"</f>
        <v>#VALUE!</v>
      </c>
      <c r="BS69" t="e">
        <f>Nodes!R520+"'E4!%9f"</f>
        <v>#VALUE!</v>
      </c>
      <c r="BT69" t="e">
        <f>Nodes!S520+"'E4!%9g"</f>
        <v>#VALUE!</v>
      </c>
      <c r="BU69" t="e">
        <f>Nodes!T520+"'E4!%9h"</f>
        <v>#VALUE!</v>
      </c>
      <c r="BV69" s="548" t="e">
        <f>Nodes!U520+"'E4!%9i"</f>
        <v>#VALUE!</v>
      </c>
      <c r="BW69" t="e">
        <f>Nodes!V520+"'E4!%9j"</f>
        <v>#VALUE!</v>
      </c>
      <c r="BX69" t="e">
        <f>Nodes!W520+"'E4!%9k"</f>
        <v>#VALUE!</v>
      </c>
      <c r="BY69" t="e">
        <f>Nodes!X520+"'E4!%9l"</f>
        <v>#VALUE!</v>
      </c>
      <c r="BZ69" t="e">
        <f>Nodes!Y520+"'E4!%9m"</f>
        <v>#VALUE!</v>
      </c>
      <c r="CA69" t="e">
        <f>Nodes!Z520+"'E4!%9n"</f>
        <v>#VALUE!</v>
      </c>
      <c r="CB69" t="e">
        <f>Nodes!AA520+"'E4!%9o"</f>
        <v>#VALUE!</v>
      </c>
      <c r="CC69" t="e">
        <f>Nodes!AB520+"'E4!%9p"</f>
        <v>#VALUE!</v>
      </c>
      <c r="CD69" t="e">
        <f>Nodes!AC520+"'E4!%9q"</f>
        <v>#VALUE!</v>
      </c>
      <c r="CE69" t="e">
        <f>Nodes!A521+"'E4!%9r"</f>
        <v>#VALUE!</v>
      </c>
      <c r="CF69" t="e">
        <f>Nodes!B521+"'E4!%9s"</f>
        <v>#VALUE!</v>
      </c>
      <c r="CG69" t="e">
        <f>Nodes!C521+"'E4!%9t"</f>
        <v>#VALUE!</v>
      </c>
      <c r="CH69" t="e">
        <f>Nodes!D521+"'E4!%9u"</f>
        <v>#VALUE!</v>
      </c>
      <c r="CI69" t="e">
        <f>Nodes!E521+"'E4!%9v"</f>
        <v>#VALUE!</v>
      </c>
      <c r="CJ69" t="e">
        <f>Nodes!F521+"'E4!%9w"</f>
        <v>#VALUE!</v>
      </c>
      <c r="CK69" t="e">
        <f>Nodes!G521+"'E4!%9x"</f>
        <v>#VALUE!</v>
      </c>
      <c r="CL69" t="e">
        <f>Nodes!H521+"'E4!%9y"</f>
        <v>#VALUE!</v>
      </c>
      <c r="CM69" t="e">
        <f>Nodes!I521+"'E4!%9z"</f>
        <v>#VALUE!</v>
      </c>
      <c r="CN69" t="e">
        <f>Nodes!J521+"'E4!%9{"</f>
        <v>#VALUE!</v>
      </c>
      <c r="CO69" t="e">
        <f>Nodes!K521+"'E4!%9|"</f>
        <v>#VALUE!</v>
      </c>
      <c r="CP69" t="e">
        <f>Nodes!L521+"'E4!%9}"</f>
        <v>#VALUE!</v>
      </c>
      <c r="CQ69" t="e">
        <f>Nodes!M521+"'E4!%9~"</f>
        <v>#VALUE!</v>
      </c>
      <c r="CR69" t="e">
        <f>Nodes!N521+"'E4!%:#"</f>
        <v>#VALUE!</v>
      </c>
      <c r="CS69" t="e">
        <f>Nodes!O521+"'E4!%:$"</f>
        <v>#VALUE!</v>
      </c>
      <c r="CT69" t="e">
        <f>Nodes!P521+"'E4!%:%"</f>
        <v>#VALUE!</v>
      </c>
      <c r="CU69" t="e">
        <f>Nodes!Q521+"'E4!%:&amp;"</f>
        <v>#VALUE!</v>
      </c>
      <c r="CV69" t="e">
        <f>Nodes!R521+"'E4!%:'"</f>
        <v>#VALUE!</v>
      </c>
      <c r="CW69" t="e">
        <f>Nodes!S521+"'E4!%:("</f>
        <v>#VALUE!</v>
      </c>
      <c r="CX69" t="e">
        <f>Nodes!T521+"'E4!%:)"</f>
        <v>#VALUE!</v>
      </c>
      <c r="CY69" s="548" t="e">
        <f>Nodes!U521+"'E4!%:."</f>
        <v>#VALUE!</v>
      </c>
      <c r="CZ69" t="e">
        <f>Nodes!V521+"'E4!%:/"</f>
        <v>#VALUE!</v>
      </c>
      <c r="DA69" t="e">
        <f>Nodes!W521+"'E4!%:0"</f>
        <v>#VALUE!</v>
      </c>
      <c r="DB69" t="e">
        <f>Nodes!X521+"'E4!%:1"</f>
        <v>#VALUE!</v>
      </c>
      <c r="DC69" t="e">
        <f>Nodes!Y521+"'E4!%:2"</f>
        <v>#VALUE!</v>
      </c>
      <c r="DD69" t="e">
        <f>Nodes!Z521+"'E4!%:3"</f>
        <v>#VALUE!</v>
      </c>
      <c r="DE69" t="e">
        <f>Nodes!AA521+"'E4!%:4"</f>
        <v>#VALUE!</v>
      </c>
      <c r="DF69" t="e">
        <f>Nodes!AB521+"'E4!%:5"</f>
        <v>#VALUE!</v>
      </c>
      <c r="DG69" t="e">
        <f>Nodes!AC521+"'E4!%:6"</f>
        <v>#VALUE!</v>
      </c>
      <c r="DH69" t="e">
        <f>Nodes!A522+"'E4!%:7"</f>
        <v>#VALUE!</v>
      </c>
      <c r="DI69" t="e">
        <f>Nodes!B522+"'E4!%:8"</f>
        <v>#VALUE!</v>
      </c>
      <c r="DJ69" t="e">
        <f>Nodes!C522+"'E4!%:9"</f>
        <v>#VALUE!</v>
      </c>
      <c r="DK69" t="e">
        <f>Nodes!D522+"'E4!%::"</f>
        <v>#VALUE!</v>
      </c>
      <c r="DL69" t="e">
        <f>Nodes!E522+"'E4!%:;"</f>
        <v>#VALUE!</v>
      </c>
      <c r="DM69" t="e">
        <f>Nodes!F522+"'E4!%:&lt;"</f>
        <v>#VALUE!</v>
      </c>
      <c r="DN69" t="e">
        <f>Nodes!G522+"'E4!%:="</f>
        <v>#VALUE!</v>
      </c>
      <c r="DO69" t="e">
        <f>Nodes!H522+"'E4!%:&gt;"</f>
        <v>#VALUE!</v>
      </c>
      <c r="DP69" t="e">
        <f>Nodes!I522+"'E4!%:?"</f>
        <v>#VALUE!</v>
      </c>
      <c r="DQ69" t="e">
        <f>Nodes!J522+"'E4!%:@"</f>
        <v>#VALUE!</v>
      </c>
      <c r="DR69" t="e">
        <f>Nodes!K522+"'E4!%:A"</f>
        <v>#VALUE!</v>
      </c>
      <c r="DS69" t="e">
        <f>Nodes!L522+"'E4!%:B"</f>
        <v>#VALUE!</v>
      </c>
      <c r="DT69" t="e">
        <f>Nodes!M522+"'E4!%:C"</f>
        <v>#VALUE!</v>
      </c>
      <c r="DU69" t="e">
        <f>Nodes!N522+"'E4!%:D"</f>
        <v>#VALUE!</v>
      </c>
      <c r="DV69" t="e">
        <f>Nodes!O522+"'E4!%:E"</f>
        <v>#VALUE!</v>
      </c>
      <c r="DW69" t="e">
        <f>Nodes!P522+"'E4!%:F"</f>
        <v>#VALUE!</v>
      </c>
      <c r="DX69" t="e">
        <f>Nodes!Q522+"'E4!%:G"</f>
        <v>#VALUE!</v>
      </c>
      <c r="DY69" t="e">
        <f>Nodes!R522+"'E4!%:H"</f>
        <v>#VALUE!</v>
      </c>
      <c r="DZ69" t="e">
        <f>Nodes!S522+"'E4!%:I"</f>
        <v>#VALUE!</v>
      </c>
      <c r="EA69" t="e">
        <f>Nodes!T522+"'E4!%:J"</f>
        <v>#VALUE!</v>
      </c>
      <c r="EB69" s="548" t="e">
        <f>Nodes!U522+"'E4!%:K"</f>
        <v>#VALUE!</v>
      </c>
      <c r="EC69" t="e">
        <f>Nodes!V522+"'E4!%:L"</f>
        <v>#VALUE!</v>
      </c>
      <c r="ED69" t="e">
        <f>Nodes!W522+"'E4!%:M"</f>
        <v>#VALUE!</v>
      </c>
      <c r="EE69" t="e">
        <f>Nodes!X522+"'E4!%:N"</f>
        <v>#VALUE!</v>
      </c>
      <c r="EF69" t="e">
        <f>Nodes!Y522+"'E4!%:O"</f>
        <v>#VALUE!</v>
      </c>
      <c r="EG69" t="e">
        <f>Nodes!Z522+"'E4!%:P"</f>
        <v>#VALUE!</v>
      </c>
      <c r="EH69" t="e">
        <f>Nodes!AA522+"'E4!%:Q"</f>
        <v>#VALUE!</v>
      </c>
      <c r="EI69" t="e">
        <f>Nodes!AB522+"'E4!%:R"</f>
        <v>#VALUE!</v>
      </c>
      <c r="EJ69" t="e">
        <f>Nodes!AC522+"'E4!%:S"</f>
        <v>#VALUE!</v>
      </c>
      <c r="EK69" t="e">
        <f>Nodes!A523+"'E4!%:T"</f>
        <v>#VALUE!</v>
      </c>
      <c r="EL69" t="e">
        <f>Nodes!B523+"'E4!%:U"</f>
        <v>#VALUE!</v>
      </c>
      <c r="EM69" t="e">
        <f>Nodes!C523+"'E4!%:V"</f>
        <v>#VALUE!</v>
      </c>
      <c r="EN69" t="e">
        <f>Nodes!D523+"'E4!%:W"</f>
        <v>#VALUE!</v>
      </c>
      <c r="EO69" t="e">
        <f>Nodes!E523+"'E4!%:X"</f>
        <v>#VALUE!</v>
      </c>
      <c r="EP69" t="e">
        <f>Nodes!F523+"'E4!%:Y"</f>
        <v>#VALUE!</v>
      </c>
      <c r="EQ69" t="e">
        <f>Nodes!G523+"'E4!%:Z"</f>
        <v>#VALUE!</v>
      </c>
      <c r="ER69" t="e">
        <f>Nodes!H523+"'E4!%:["</f>
        <v>#VALUE!</v>
      </c>
      <c r="ES69" t="e">
        <f>Nodes!I523+"'E4!%:\"</f>
        <v>#VALUE!</v>
      </c>
      <c r="ET69" t="e">
        <f>Nodes!J523+"'E4!%:]"</f>
        <v>#VALUE!</v>
      </c>
      <c r="EU69" t="e">
        <f>Nodes!K523+"'E4!%:^"</f>
        <v>#VALUE!</v>
      </c>
      <c r="EV69" t="e">
        <f>Nodes!L523+"'E4!%:_"</f>
        <v>#VALUE!</v>
      </c>
      <c r="EW69" t="e">
        <f>Nodes!M523+"'E4!%:`"</f>
        <v>#VALUE!</v>
      </c>
      <c r="EX69" t="e">
        <f>Nodes!N523+"'E4!%:a"</f>
        <v>#VALUE!</v>
      </c>
      <c r="EY69" t="e">
        <f>Nodes!O523+"'E4!%:b"</f>
        <v>#VALUE!</v>
      </c>
      <c r="EZ69" t="e">
        <f>Nodes!P523+"'E4!%:c"</f>
        <v>#VALUE!</v>
      </c>
      <c r="FA69" t="e">
        <f>Nodes!Q523+"'E4!%:d"</f>
        <v>#VALUE!</v>
      </c>
      <c r="FB69" t="e">
        <f>Nodes!R523+"'E4!%:e"</f>
        <v>#VALUE!</v>
      </c>
      <c r="FC69" t="e">
        <f>Nodes!S523+"'E4!%:f"</f>
        <v>#VALUE!</v>
      </c>
      <c r="FD69" t="e">
        <f>Nodes!T523+"'E4!%:g"</f>
        <v>#VALUE!</v>
      </c>
      <c r="FE69" s="548" t="e">
        <f>Nodes!U523+"'E4!%:h"</f>
        <v>#VALUE!</v>
      </c>
      <c r="FF69" t="e">
        <f>Nodes!V523+"'E4!%:i"</f>
        <v>#VALUE!</v>
      </c>
      <c r="FG69" t="e">
        <f>Nodes!W523+"'E4!%:j"</f>
        <v>#VALUE!</v>
      </c>
      <c r="FH69" s="333" t="e">
        <f>Nodes!X523+"'E4!%:k"</f>
        <v>#VALUE!</v>
      </c>
      <c r="FI69" t="e">
        <f>Nodes!Y523+"'E4!%:l"</f>
        <v>#VALUE!</v>
      </c>
      <c r="FJ69" t="e">
        <f>Nodes!Z523+"'E4!%:m"</f>
        <v>#VALUE!</v>
      </c>
      <c r="FK69" t="e">
        <f>Nodes!AA523+"'E4!%:n"</f>
        <v>#VALUE!</v>
      </c>
      <c r="FL69" t="e">
        <f>Nodes!AB523+"'E4!%:o"</f>
        <v>#VALUE!</v>
      </c>
      <c r="FM69" t="e">
        <f>Nodes!AC523+"'E4!%:p"</f>
        <v>#VALUE!</v>
      </c>
      <c r="FN69" t="e">
        <f>Nodes!A524+"'E4!%:q"</f>
        <v>#VALUE!</v>
      </c>
      <c r="FO69" t="e">
        <f>Nodes!B524+"'E4!%:r"</f>
        <v>#VALUE!</v>
      </c>
      <c r="FP69" t="e">
        <f>Nodes!C524+"'E4!%:s"</f>
        <v>#VALUE!</v>
      </c>
      <c r="FQ69" t="e">
        <f>Nodes!D524+"'E4!%:t"</f>
        <v>#VALUE!</v>
      </c>
      <c r="FR69" t="e">
        <f>Nodes!E524+"'E4!%:u"</f>
        <v>#VALUE!</v>
      </c>
      <c r="FS69" t="e">
        <f>Nodes!F524+"'E4!%:v"</f>
        <v>#VALUE!</v>
      </c>
      <c r="FT69" t="e">
        <f>Nodes!G524+"'E4!%:w"</f>
        <v>#VALUE!</v>
      </c>
      <c r="FU69" t="e">
        <f>Nodes!H524+"'E4!%:x"</f>
        <v>#VALUE!</v>
      </c>
      <c r="FV69" t="e">
        <f>Nodes!I524+"'E4!%:y"</f>
        <v>#VALUE!</v>
      </c>
      <c r="FW69" t="e">
        <f>Nodes!J524+"'E4!%:z"</f>
        <v>#VALUE!</v>
      </c>
      <c r="FX69" t="e">
        <f>Nodes!K524+"'E4!%:{"</f>
        <v>#VALUE!</v>
      </c>
      <c r="FY69" t="e">
        <f>Nodes!L524+"'E4!%:|"</f>
        <v>#VALUE!</v>
      </c>
      <c r="FZ69" t="e">
        <f>Nodes!M524+"'E4!%:}"</f>
        <v>#VALUE!</v>
      </c>
      <c r="GA69" t="e">
        <f>Nodes!N524+"'E4!%:~"</f>
        <v>#VALUE!</v>
      </c>
      <c r="GB69" t="e">
        <f>Nodes!O524+"'E4!%;#"</f>
        <v>#VALUE!</v>
      </c>
      <c r="GC69" t="e">
        <f>Nodes!P524+"'E4!%;$"</f>
        <v>#VALUE!</v>
      </c>
      <c r="GD69" t="e">
        <f>Nodes!Q524+"'E4!%;%"</f>
        <v>#VALUE!</v>
      </c>
      <c r="GE69" t="e">
        <f>Nodes!R524+"'E4!%;&amp;"</f>
        <v>#VALUE!</v>
      </c>
      <c r="GF69" t="e">
        <f>Nodes!S524+"'E4!%;'"</f>
        <v>#VALUE!</v>
      </c>
      <c r="GG69" t="e">
        <f>Nodes!T524+"'E4!%;("</f>
        <v>#VALUE!</v>
      </c>
      <c r="GH69" s="548" t="e">
        <f>Nodes!U524+"'E4!%;)"</f>
        <v>#VALUE!</v>
      </c>
      <c r="GI69" t="e">
        <f>Nodes!V524+"'E4!%;."</f>
        <v>#VALUE!</v>
      </c>
      <c r="GJ69" t="e">
        <f>Nodes!W524+"'E4!%;/"</f>
        <v>#VALUE!</v>
      </c>
      <c r="GK69" t="e">
        <f>Nodes!X524+"'E4!%;0"</f>
        <v>#VALUE!</v>
      </c>
      <c r="GL69" t="e">
        <f>Nodes!Y524+"'E4!%;1"</f>
        <v>#VALUE!</v>
      </c>
      <c r="GM69" t="e">
        <f>Nodes!Z524+"'E4!%;2"</f>
        <v>#VALUE!</v>
      </c>
      <c r="GN69" t="e">
        <f>Nodes!AA524+"'E4!%;3"</f>
        <v>#VALUE!</v>
      </c>
      <c r="GO69" t="e">
        <f>Nodes!AB524+"'E4!%;4"</f>
        <v>#VALUE!</v>
      </c>
      <c r="GP69" t="e">
        <f>Nodes!AC524+"'E4!%;5"</f>
        <v>#VALUE!</v>
      </c>
      <c r="GQ69" t="e">
        <f>Nodes!A525+"'E4!%;6"</f>
        <v>#VALUE!</v>
      </c>
      <c r="GR69" t="e">
        <f>Nodes!B525+"'E4!%;7"</f>
        <v>#VALUE!</v>
      </c>
      <c r="GS69" t="e">
        <f>Nodes!C525+"'E4!%;8"</f>
        <v>#VALUE!</v>
      </c>
      <c r="GT69" t="e">
        <f>Nodes!D525+"'E4!%;9"</f>
        <v>#VALUE!</v>
      </c>
      <c r="GU69" t="e">
        <f>Nodes!E525+"'E4!%;:"</f>
        <v>#VALUE!</v>
      </c>
      <c r="GV69" t="e">
        <f>Nodes!F525+"'E4!%;;"</f>
        <v>#VALUE!</v>
      </c>
      <c r="GW69" t="e">
        <f>Nodes!G525+"'E4!%;&lt;"</f>
        <v>#VALUE!</v>
      </c>
      <c r="GX69" t="e">
        <f>Nodes!H525+"'E4!%;="</f>
        <v>#VALUE!</v>
      </c>
      <c r="GY69" t="e">
        <f>Nodes!I525+"'E4!%;&gt;"</f>
        <v>#VALUE!</v>
      </c>
      <c r="GZ69" t="e">
        <f>Nodes!J525+"'E4!%;?"</f>
        <v>#VALUE!</v>
      </c>
      <c r="HA69" t="e">
        <f>Nodes!K525+"'E4!%;@"</f>
        <v>#VALUE!</v>
      </c>
      <c r="HB69" t="e">
        <f>Nodes!L525+"'E4!%;A"</f>
        <v>#VALUE!</v>
      </c>
      <c r="HC69" t="e">
        <f>Nodes!M525+"'E4!%;B"</f>
        <v>#VALUE!</v>
      </c>
      <c r="HD69" t="e">
        <f>Nodes!N525+"'E4!%;C"</f>
        <v>#VALUE!</v>
      </c>
      <c r="HE69" t="e">
        <f>Nodes!O525+"'E4!%;D"</f>
        <v>#VALUE!</v>
      </c>
      <c r="HF69" t="e">
        <f>Nodes!P525+"'E4!%;E"</f>
        <v>#VALUE!</v>
      </c>
      <c r="HG69" t="e">
        <f>Nodes!Q525+"'E4!%;F"</f>
        <v>#VALUE!</v>
      </c>
      <c r="HH69" t="e">
        <f>Nodes!R525+"'E4!%;G"</f>
        <v>#VALUE!</v>
      </c>
      <c r="HI69" t="e">
        <f>Nodes!S525+"'E4!%;H"</f>
        <v>#VALUE!</v>
      </c>
      <c r="HJ69" t="e">
        <f>Nodes!T525+"'E4!%;I"</f>
        <v>#VALUE!</v>
      </c>
      <c r="HK69" s="548" t="e">
        <f>Nodes!U525+"'E4!%;J"</f>
        <v>#VALUE!</v>
      </c>
      <c r="HL69" t="e">
        <f>Nodes!V525+"'E4!%;K"</f>
        <v>#VALUE!</v>
      </c>
      <c r="HM69" t="e">
        <f>Nodes!W525+"'E4!%;L"</f>
        <v>#VALUE!</v>
      </c>
      <c r="HN69" t="e">
        <f>Nodes!X525+"'E4!%;M"</f>
        <v>#VALUE!</v>
      </c>
      <c r="HO69" t="e">
        <f>Nodes!Y525+"'E4!%;N"</f>
        <v>#VALUE!</v>
      </c>
      <c r="HP69" t="e">
        <f>Nodes!Z525+"'E4!%;O"</f>
        <v>#VALUE!</v>
      </c>
      <c r="HQ69" t="e">
        <f>Nodes!AA525+"'E4!%;P"</f>
        <v>#VALUE!</v>
      </c>
      <c r="HR69" t="e">
        <f>Nodes!AB525+"'E4!%;Q"</f>
        <v>#VALUE!</v>
      </c>
      <c r="HS69" t="e">
        <f>Nodes!AC525+"'E4!%;R"</f>
        <v>#VALUE!</v>
      </c>
      <c r="HT69" t="e">
        <f>Nodes!A526+"'E4!%;S"</f>
        <v>#VALUE!</v>
      </c>
      <c r="HU69" t="e">
        <f>Nodes!B526+"'E4!%;T"</f>
        <v>#VALUE!</v>
      </c>
      <c r="HV69" t="e">
        <f>Nodes!C526+"'E4!%;U"</f>
        <v>#VALUE!</v>
      </c>
      <c r="HW69" t="e">
        <f>Nodes!D526+"'E4!%;V"</f>
        <v>#VALUE!</v>
      </c>
      <c r="HX69" t="e">
        <f>Nodes!E526+"'E4!%;W"</f>
        <v>#VALUE!</v>
      </c>
      <c r="HY69" t="e">
        <f>Nodes!F526+"'E4!%;X"</f>
        <v>#VALUE!</v>
      </c>
      <c r="HZ69" t="e">
        <f>Nodes!G526+"'E4!%;Y"</f>
        <v>#VALUE!</v>
      </c>
      <c r="IA69" t="e">
        <f>Nodes!H526+"'E4!%;Z"</f>
        <v>#VALUE!</v>
      </c>
      <c r="IB69" t="e">
        <f>Nodes!I526+"'E4!%;["</f>
        <v>#VALUE!</v>
      </c>
      <c r="IC69" t="e">
        <f>Nodes!J526+"'E4!%;\"</f>
        <v>#VALUE!</v>
      </c>
      <c r="ID69" t="e">
        <f>Nodes!K526+"'E4!%;]"</f>
        <v>#VALUE!</v>
      </c>
      <c r="IE69" t="e">
        <f>Nodes!L526+"'E4!%;^"</f>
        <v>#VALUE!</v>
      </c>
      <c r="IF69" t="e">
        <f>Nodes!M526+"'E4!%;_"</f>
        <v>#VALUE!</v>
      </c>
      <c r="IG69" t="e">
        <f>Nodes!N526+"'E4!%;`"</f>
        <v>#VALUE!</v>
      </c>
      <c r="IH69" t="e">
        <f>Nodes!O526+"'E4!%;a"</f>
        <v>#VALUE!</v>
      </c>
      <c r="II69" t="e">
        <f>Nodes!P526+"'E4!%;b"</f>
        <v>#VALUE!</v>
      </c>
      <c r="IJ69" t="e">
        <f>Nodes!Q526+"'E4!%;c"</f>
        <v>#VALUE!</v>
      </c>
      <c r="IK69" t="e">
        <f>Nodes!R526+"'E4!%;d"</f>
        <v>#VALUE!</v>
      </c>
      <c r="IL69" t="e">
        <f>Nodes!S526+"'E4!%;e"</f>
        <v>#VALUE!</v>
      </c>
      <c r="IM69" t="e">
        <f>Nodes!T526+"'E4!%;f"</f>
        <v>#VALUE!</v>
      </c>
      <c r="IN69" s="548" t="e">
        <f>Nodes!U526+"'E4!%;g"</f>
        <v>#VALUE!</v>
      </c>
      <c r="IO69" t="e">
        <f>Nodes!V526+"'E4!%;h"</f>
        <v>#VALUE!</v>
      </c>
      <c r="IP69" t="e">
        <f>Nodes!W526+"'E4!%;i"</f>
        <v>#VALUE!</v>
      </c>
      <c r="IQ69" t="e">
        <f>Nodes!X526+"'E4!%;j"</f>
        <v>#VALUE!</v>
      </c>
      <c r="IR69" t="e">
        <f>Nodes!Y526+"'E4!%;k"</f>
        <v>#VALUE!</v>
      </c>
      <c r="IS69" t="e">
        <f>Nodes!Z526+"'E4!%;l"</f>
        <v>#VALUE!</v>
      </c>
      <c r="IT69" t="e">
        <f>Nodes!AA526+"'E4!%;m"</f>
        <v>#VALUE!</v>
      </c>
      <c r="IU69" t="e">
        <f>Nodes!AB526+"'E4!%;n"</f>
        <v>#VALUE!</v>
      </c>
      <c r="IV69" t="e">
        <f>Nodes!AC526+"'E4!%;o"</f>
        <v>#VALUE!</v>
      </c>
    </row>
    <row r="70" spans="6:256">
      <c r="F70" t="e">
        <f>Nodes!A527+"'E4!%;p"</f>
        <v>#VALUE!</v>
      </c>
      <c r="G70" t="e">
        <f>Nodes!B527+"'E4!%;q"</f>
        <v>#VALUE!</v>
      </c>
      <c r="H70" t="e">
        <f>Nodes!C527+"'E4!%;r"</f>
        <v>#VALUE!</v>
      </c>
      <c r="I70" t="e">
        <f>Nodes!D527+"'E4!%;s"</f>
        <v>#VALUE!</v>
      </c>
      <c r="J70" t="e">
        <f>Nodes!E527+"'E4!%;t"</f>
        <v>#VALUE!</v>
      </c>
      <c r="K70" t="e">
        <f>Nodes!F527+"'E4!%;u"</f>
        <v>#VALUE!</v>
      </c>
      <c r="L70" t="e">
        <f>Nodes!G527+"'E4!%;v"</f>
        <v>#VALUE!</v>
      </c>
      <c r="M70" t="e">
        <f>Nodes!H527+"'E4!%;w"</f>
        <v>#VALUE!</v>
      </c>
      <c r="N70" t="e">
        <f>Nodes!I527+"'E4!%;x"</f>
        <v>#VALUE!</v>
      </c>
      <c r="O70" t="e">
        <f>Nodes!J527+"'E4!%;y"</f>
 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
        <v>#VALUE!</v>
      </c>
      <c r="S70" t="e">
        <f>Nodes!N527+"'E4!%;}"</f>
        <v>#VALUE!</v>
      </c>
      <c r="T70" t="e">
        <f>Nodes!O527+"'E4!%;~"</f>
        <v>#VALUE!</v>
      </c>
      <c r="U70" t="e">
        <f>Nodes!P527+"'E4!%&lt;#"</f>
        <v>#VALUE!</v>
      </c>
      <c r="V70" t="e">
        <f>Nodes!Q527+"'E4!%&lt;$"</f>
        <v>#VALUE!</v>
      </c>
      <c r="W70" t="e">
        <f>Nodes!R527+"'E4!%&lt;%"</f>
        <v>#VALUE!</v>
      </c>
      <c r="X70" t="e">
        <f>Nodes!S527+"'E4!%&lt;&amp;"</f>
        <v>#VALUE!</v>
      </c>
      <c r="Y70" t="e">
        <f>Nodes!T527+"'E4!%&lt;'"</f>
        <v>#VALUE!</v>
      </c>
      <c r="Z70" s="548" t="e">
        <f>Nodes!U527+"'E4!%&lt;("</f>
        <v>#VALUE!</v>
      </c>
      <c r="AA70" t="e">
        <f>Nodes!V527+"'E4!%&lt;)"</f>
        <v>#VALUE!</v>
      </c>
      <c r="AB70" t="e">
        <f>Nodes!W527+"'E4!%&lt;."</f>
        <v>#VALUE!</v>
      </c>
      <c r="AC70" t="e">
        <f>Nodes!X527+"'E4!%&lt;/"</f>
        <v>#VALUE!</v>
      </c>
      <c r="AD70" t="e">
        <f>Nodes!Y527+"'E4!%&lt;0"</f>
        <v>#VALUE!</v>
      </c>
      <c r="AE70" t="e">
        <f>Nodes!Z527+"'E4!%&lt;1"</f>
        <v>#VALUE!</v>
      </c>
      <c r="AF70" t="e">
        <f>Nodes!AA527+"'E4!%&lt;2"</f>
        <v>#VALUE!</v>
      </c>
      <c r="AG70" t="e">
        <f>Nodes!AB527+"'E4!%&lt;3"</f>
        <v>#VALUE!</v>
      </c>
      <c r="AH70" t="e">
        <f>Nodes!AC527+"'E4!%&lt;4"</f>
        <v>#VALUE!</v>
      </c>
      <c r="AI70" t="e">
        <f>Nodes!A528+"'E4!%&lt;5"</f>
        <v>#VALUE!</v>
      </c>
      <c r="AJ70" t="e">
        <f>Nodes!B528+"'E4!%&lt;6"</f>
        <v>#VALUE!</v>
      </c>
      <c r="AK70" t="e">
        <f>Nodes!C528+"'E4!%&lt;7"</f>
        <v>#VALUE!</v>
      </c>
      <c r="AL70" t="e">
        <f>Nodes!D528+"'E4!%&lt;8"</f>
        <v>#VALUE!</v>
      </c>
      <c r="AM70" t="e">
        <f>Nodes!E528+"'E4!%&lt;9"</f>
        <v>#VALUE!</v>
      </c>
      <c r="AN70" t="e">
        <f>Nodes!F528+"'E4!%&lt;:"</f>
        <v>#VALUE!</v>
      </c>
      <c r="AO70" t="e">
        <f>Nodes!G528+"'E4!%&lt;;"</f>
        <v>#VALUE!</v>
      </c>
      <c r="AP70" t="e">
        <f>Nodes!H528+"'E4!%&lt;&lt;"</f>
        <v>#VALUE!</v>
      </c>
      <c r="AQ70" t="e">
        <f>Nodes!I528+"'E4!%&lt;="</f>
        <v>#VALUE!</v>
      </c>
      <c r="AR70" t="e">
        <f>Nodes!J528+"'E4!%&lt;&gt;"</f>
        <v>#VALUE!</v>
      </c>
      <c r="AS70" t="e">
        <f>Nodes!K528+"'E4!%&lt;?"</f>
        <v>#VALUE!</v>
      </c>
      <c r="AT70" t="e">
        <f>Nodes!L528+"'E4!%&lt;@"</f>
        <v>#VALUE!</v>
      </c>
      <c r="AU70" t="e">
        <f>Nodes!M528+"'E4!%&lt;A"</f>
        <v>#VALUE!</v>
      </c>
      <c r="AV70" t="e">
        <f>Nodes!N528+"'E4!%&lt;B"</f>
        <v>#VALUE!</v>
      </c>
      <c r="AW70" t="e">
        <f>Nodes!O528+"'E4!%&lt;C"</f>
        <v>#VALUE!</v>
      </c>
      <c r="AX70" t="e">
        <f>Nodes!P528+"'E4!%&lt;D"</f>
        <v>#VALUE!</v>
      </c>
      <c r="AY70" t="e">
        <f>Nodes!Q528+"'E4!%&lt;E"</f>
        <v>#VALUE!</v>
      </c>
      <c r="AZ70" t="e">
        <f>Nodes!R528+"'E4!%&lt;F"</f>
        <v>#VALUE!</v>
      </c>
      <c r="BA70" t="e">
        <f>Nodes!S528+"'E4!%&lt;G"</f>
        <v>#VALUE!</v>
      </c>
      <c r="BB70" t="e">
        <f>Nodes!T528+"'E4!%&lt;H"</f>
        <v>#VALUE!</v>
      </c>
      <c r="BC70" s="548" t="e">
        <f>Nodes!U528+"'E4!%&lt;I"</f>
        <v>#VALUE!</v>
      </c>
      <c r="BD70" t="e">
        <f>Nodes!V528+"'E4!%&lt;J"</f>
        <v>#VALUE!</v>
      </c>
      <c r="BE70" t="e">
        <f>Nodes!W528+"'E4!%&lt;K"</f>
        <v>#VALUE!</v>
      </c>
      <c r="BF70" t="e">
        <f>Nodes!X528+"'E4!%&lt;L"</f>
        <v>#VALUE!</v>
      </c>
      <c r="BG70" t="e">
        <f>Nodes!Y528+"'E4!%&lt;M"</f>
        <v>#VALUE!</v>
      </c>
      <c r="BH70" t="e">
        <f>Nodes!Z528+"'E4!%&lt;N"</f>
        <v>#VALUE!</v>
      </c>
      <c r="BI70" t="e">
        <f>Nodes!AA528+"'E4!%&lt;O"</f>
        <v>#VALUE!</v>
      </c>
      <c r="BJ70" t="e">
        <f>Nodes!AB528+"'E4!%&lt;P"</f>
        <v>#VALUE!</v>
      </c>
      <c r="BK70" t="e">
        <f>Nodes!AC528+"'E4!%&lt;Q"</f>
        <v>#VALUE!</v>
      </c>
      <c r="BL70" t="e">
        <f>Nodes!A529+"'E4!%&lt;R"</f>
        <v>#VALUE!</v>
      </c>
      <c r="BM70" t="e">
        <f>Nodes!B529+"'E4!%&lt;S"</f>
        <v>#VALUE!</v>
      </c>
      <c r="BN70" t="e">
        <f>Nodes!C529+"'E4!%&lt;T"</f>
        <v>#VALUE!</v>
      </c>
      <c r="BO70" t="e">
        <f>Nodes!D529+"'E4!%&lt;U"</f>
        <v>#VALUE!</v>
      </c>
      <c r="BP70" t="e">
        <f>Nodes!E529+"'E4!%&lt;V"</f>
        <v>#VALUE!</v>
      </c>
      <c r="BQ70" t="e">
        <f>Nodes!F529+"'E4!%&lt;W"</f>
        <v>#VALUE!</v>
      </c>
      <c r="BR70" t="e">
        <f>Nodes!G529+"'E4!%&lt;X"</f>
        <v>#VALUE!</v>
      </c>
      <c r="BS70" t="e">
        <f>Nodes!H529+"'E4!%&lt;Y"</f>
        <v>#VALUE!</v>
      </c>
      <c r="BT70" t="e">
        <f>Nodes!I529+"'E4!%&lt;Z"</f>
        <v>#VALUE!</v>
      </c>
      <c r="BU70" t="e">
        <f>Nodes!J529+"'E4!%&lt;["</f>
        <v>#VALUE!</v>
      </c>
      <c r="BV70" t="e">
        <f>Nodes!K529+"'E4!%&lt;\"</f>
        <v>#VALUE!</v>
      </c>
      <c r="BW70" t="e">
        <f>Nodes!L529+"'E4!%&lt;]"</f>
        <v>#VALUE!</v>
      </c>
      <c r="BX70" t="e">
        <f>Nodes!M529+"'E4!%&lt;^"</f>
        <v>#VALUE!</v>
      </c>
      <c r="BY70" t="e">
        <f>Nodes!N529+"'E4!%&lt;_"</f>
        <v>#VALUE!</v>
      </c>
      <c r="BZ70" t="e">
        <f>Nodes!O529+"'E4!%&lt;`"</f>
        <v>#VALUE!</v>
      </c>
      <c r="CA70" t="e">
        <f>Nodes!P529+"'E4!%&lt;a"</f>
        <v>#VALUE!</v>
      </c>
      <c r="CB70" t="e">
        <f>Nodes!Q529+"'E4!%&lt;b"</f>
        <v>#VALUE!</v>
      </c>
      <c r="CC70" t="e">
        <f>Nodes!R529+"'E4!%&lt;c"</f>
        <v>#VALUE!</v>
      </c>
      <c r="CD70" t="e">
        <f>Nodes!S529+"'E4!%&lt;d"</f>
        <v>#VALUE!</v>
      </c>
      <c r="CE70" t="e">
        <f>Nodes!T529+"'E4!%&lt;e"</f>
        <v>#VALUE!</v>
      </c>
      <c r="CF70" s="548" t="e">
        <f>Nodes!U529+"'E4!%&lt;f"</f>
        <v>#VALUE!</v>
      </c>
      <c r="CG70" t="e">
        <f>Nodes!V529+"'E4!%&lt;g"</f>
        <v>#VALUE!</v>
      </c>
      <c r="CH70" t="e">
        <f>Nodes!W529+"'E4!%&lt;h"</f>
        <v>#VALUE!</v>
      </c>
      <c r="CI70" t="e">
        <f>Nodes!X529+"'E4!%&lt;i"</f>
        <v>#VALUE!</v>
      </c>
      <c r="CJ70" t="e">
        <f>Nodes!Y529+"'E4!%&lt;j"</f>
        <v>#VALUE!</v>
      </c>
      <c r="CK70" t="e">
        <f>Nodes!Z529+"'E4!%&lt;k"</f>
        <v>#VALUE!</v>
      </c>
      <c r="CL70" t="e">
        <f>Nodes!AA529+"'E4!%&lt;l"</f>
        <v>#VALUE!</v>
      </c>
      <c r="CM70" t="e">
        <f>Nodes!AB529+"'E4!%&lt;m"</f>
        <v>#VALUE!</v>
      </c>
      <c r="CN70" t="e">
        <f>Nodes!AC529+"'E4!%&lt;n"</f>
        <v>#VALUE!</v>
      </c>
      <c r="CO70" t="e">
        <f>Nodes!A530+"'E4!%&lt;o"</f>
        <v>#VALUE!</v>
      </c>
      <c r="CP70" t="e">
        <f>Nodes!B530+"'E4!%&lt;p"</f>
        <v>#VALUE!</v>
      </c>
      <c r="CQ70" t="e">
        <f>Nodes!C530+"'E4!%&lt;q"</f>
        <v>#VALUE!</v>
      </c>
      <c r="CR70" t="e">
        <f>Nodes!D530+"'E4!%&lt;r"</f>
        <v>#VALUE!</v>
      </c>
      <c r="CS70" t="e">
        <f>Nodes!E530+"'E4!%&lt;s"</f>
        <v>#VALUE!</v>
      </c>
      <c r="CT70" t="e">
        <f>Nodes!F530+"'E4!%&lt;t"</f>
        <v>#VALUE!</v>
      </c>
      <c r="CU70" t="e">
        <f>Nodes!G530+"'E4!%&lt;u"</f>
        <v>#VALUE!</v>
      </c>
      <c r="CV70" t="e">
        <f>Nodes!H530+"'E4!%&lt;v"</f>
        <v>#VALUE!</v>
      </c>
      <c r="CW70" t="e">
        <f>Nodes!I530+"'E4!%&lt;w"</f>
        <v>#VALUE!</v>
      </c>
      <c r="CX70" t="e">
        <f>Nodes!J530+"'E4!%&lt;x"</f>
        <v>#VALUE!</v>
      </c>
      <c r="CY70" t="e">
        <f>Nodes!K530+"'E4!%&lt;y"</f>
        <v>#VALUE!</v>
      </c>
      <c r="CZ70" t="e">
        <f>Nodes!L530+"'E4!%&lt;z"</f>
        <v>#VALUE!</v>
      </c>
      <c r="DA70" t="e">
        <f>Nodes!M530+"'E4!%&lt;{"</f>
        <v>#VALUE!</v>
      </c>
      <c r="DB70" t="e">
        <f>Nodes!N530+"'E4!%&lt;|"</f>
        <v>#VALUE!</v>
      </c>
      <c r="DC70" t="e">
        <f>Nodes!O530+"'E4!%&lt;}"</f>
        <v>#VALUE!</v>
      </c>
      <c r="DD70" t="e">
        <f>Nodes!P530+"'E4!%&lt;~"</f>
        <v>#VALUE!</v>
      </c>
      <c r="DE70" t="e">
        <f>Nodes!Q530+"'E4!%=#"</f>
        <v>#VALUE!</v>
      </c>
      <c r="DF70" t="e">
        <f>Nodes!R530+"'E4!%=$"</f>
        <v>#VALUE!</v>
      </c>
      <c r="DG70" t="e">
        <f>Nodes!S530+"'E4!%=%"</f>
        <v>#VALUE!</v>
      </c>
      <c r="DH70" t="e">
        <f>Nodes!T530+"'E4!%=&amp;"</f>
        <v>#VALUE!</v>
      </c>
      <c r="DI70" s="548" t="e">
        <f>Nodes!U530+"'E4!%='"</f>
        <v>#VALUE!</v>
      </c>
      <c r="DJ70" t="e">
        <f>Nodes!V530+"'E4!%=("</f>
        <v>#VALUE!</v>
      </c>
      <c r="DK70" t="e">
        <f>Nodes!W530+"'E4!%=)"</f>
        <v>#VALUE!</v>
      </c>
      <c r="DL70" t="e">
        <f>Nodes!X530+"'E4!%=."</f>
        <v>#VALUE!</v>
      </c>
      <c r="DM70" t="e">
        <f>Nodes!Y530+"'E4!%=/"</f>
        <v>#VALUE!</v>
      </c>
      <c r="DN70" t="e">
        <f>Nodes!Z530+"'E4!%=0"</f>
        <v>#VALUE!</v>
      </c>
      <c r="DO70" t="e">
        <f>Nodes!AA530+"'E4!%=1"</f>
        <v>#VALUE!</v>
      </c>
      <c r="DP70" t="e">
        <f>Nodes!AB530+"'E4!%=2"</f>
        <v>#VALUE!</v>
      </c>
      <c r="DQ70" t="e">
        <f>Nodes!AC530+"'E4!%=3"</f>
        <v>#VALUE!</v>
      </c>
      <c r="DR70" t="e">
        <f>Nodes!A531+"'E4!%=4"</f>
        <v>#VALUE!</v>
      </c>
      <c r="DS70" t="e">
        <f>Nodes!B531+"'E4!%=5"</f>
        <v>#VALUE!</v>
      </c>
      <c r="DT70" t="e">
        <f>Nodes!C531+"'E4!%=6"</f>
        <v>#VALUE!</v>
      </c>
      <c r="DU70" t="e">
        <f>Nodes!D531+"'E4!%=7"</f>
        <v>#VALUE!</v>
      </c>
      <c r="DV70" t="e">
        <f>Nodes!E531+"'E4!%=8"</f>
        <v>#VALUE!</v>
      </c>
      <c r="DW70" t="e">
        <f>Nodes!F531+"'E4!%=9"</f>
        <v>#VALUE!</v>
      </c>
      <c r="DX70" t="e">
        <f>Nodes!G531+"'E4!%=:"</f>
        <v>#VALUE!</v>
      </c>
      <c r="DY70" t="e">
        <f>Nodes!H531+"'E4!%=;"</f>
        <v>#VALUE!</v>
      </c>
      <c r="DZ70" t="e">
        <f>Nodes!I531+"'E4!%=&lt;"</f>
        <v>#VALUE!</v>
      </c>
      <c r="EA70" t="e">
        <f>Nodes!J531+"'E4!%=="</f>
        <v>#VALUE!</v>
      </c>
      <c r="EB70" t="e">
        <f>Nodes!K531+"'E4!%=&gt;"</f>
        <v>#VALUE!</v>
      </c>
      <c r="EC70" t="e">
        <f>Nodes!L531+"'E4!%=?"</f>
        <v>#VALUE!</v>
      </c>
      <c r="ED70" t="e">
        <f>Nodes!M531+"'E4!%=@"</f>
        <v>#VALUE!</v>
      </c>
      <c r="EE70" t="e">
        <f>Nodes!N531+"'E4!%=A"</f>
        <v>#VALUE!</v>
      </c>
      <c r="EF70" t="e">
        <f>Nodes!O531+"'E4!%=B"</f>
        <v>#VALUE!</v>
      </c>
      <c r="EG70" t="e">
        <f>Nodes!P531+"'E4!%=C"</f>
        <v>#VALUE!</v>
      </c>
      <c r="EH70" t="e">
        <f>Nodes!Q531+"'E4!%=D"</f>
        <v>#VALUE!</v>
      </c>
      <c r="EI70" t="e">
        <f>Nodes!R531+"'E4!%=E"</f>
        <v>#VALUE!</v>
      </c>
      <c r="EJ70" t="e">
        <f>Nodes!S531+"'E4!%=F"</f>
        <v>#VALUE!</v>
      </c>
      <c r="EK70" t="e">
        <f>Nodes!T531+"'E4!%=G"</f>
        <v>#VALUE!</v>
      </c>
      <c r="EL70" s="548" t="e">
        <f>Nodes!U531+"'E4!%=H"</f>
        <v>#VALUE!</v>
      </c>
      <c r="EM70" t="e">
        <f>Nodes!V531+"'E4!%=I"</f>
        <v>#VALUE!</v>
      </c>
      <c r="EN70" t="e">
        <f>Nodes!W531+"'E4!%=J"</f>
        <v>#VALUE!</v>
      </c>
      <c r="EO70" t="e">
        <f>Nodes!X531+"'E4!%=K"</f>
        <v>#VALUE!</v>
      </c>
      <c r="EP70" t="e">
        <f>Nodes!Y531+"'E4!%=L"</f>
        <v>#VALUE!</v>
      </c>
      <c r="EQ70" t="e">
        <f>Nodes!Z531+"'E4!%=M"</f>
        <v>#VALUE!</v>
      </c>
      <c r="ER70" t="e">
        <f>Nodes!AA531+"'E4!%=N"</f>
        <v>#VALUE!</v>
      </c>
      <c r="ES70" t="e">
        <f>Nodes!AB531+"'E4!%=O"</f>
        <v>#VALUE!</v>
      </c>
      <c r="ET70" t="e">
        <f>Nodes!AC531+"'E4!%=P"</f>
        <v>#VALUE!</v>
      </c>
      <c r="EU70" t="e">
        <f>Nodes!A532+"'E4!%=Q"</f>
        <v>#VALUE!</v>
      </c>
      <c r="EV70" t="e">
        <f>Nodes!B532+"'E4!%=R"</f>
        <v>#VALUE!</v>
      </c>
      <c r="EW70" t="e">
        <f>Nodes!C532+"'E4!%=S"</f>
        <v>#VALUE!</v>
      </c>
      <c r="EX70" t="e">
        <f>Nodes!D532+"'E4!%=T"</f>
        <v>#VALUE!</v>
      </c>
      <c r="EY70" t="e">
        <f>Nodes!E532+"'E4!%=U"</f>
        <v>#VALUE!</v>
      </c>
      <c r="EZ70" t="e">
        <f>Nodes!F532+"'E4!%=V"</f>
        <v>#VALUE!</v>
      </c>
      <c r="FA70" t="e">
        <f>Nodes!G532+"'E4!%=W"</f>
        <v>#VALUE!</v>
      </c>
      <c r="FB70" t="e">
        <f>Nodes!H532+"'E4!%=X"</f>
        <v>#VALUE!</v>
      </c>
      <c r="FC70" t="e">
        <f>Nodes!I532+"'E4!%=Y"</f>
        <v>#VALUE!</v>
      </c>
      <c r="FD70" t="e">
        <f>Nodes!J532+"'E4!%=Z"</f>
        <v>#VALUE!</v>
      </c>
      <c r="FE70" t="e">
        <f>Nodes!K532+"'E4!%=["</f>
        <v>#VALUE!</v>
      </c>
      <c r="FF70" t="e">
        <f>Nodes!L532+"'E4!%=\"</f>
        <v>#VALUE!</v>
      </c>
      <c r="FG70" t="e">
        <f>Nodes!M532+"'E4!%=]"</f>
        <v>#VALUE!</v>
      </c>
      <c r="FH70" t="e">
        <f>Nodes!N532+"'E4!%=^"</f>
        <v>#VALUE!</v>
      </c>
      <c r="FI70" t="e">
        <f>Nodes!O532+"'E4!%=_"</f>
        <v>#VALUE!</v>
      </c>
      <c r="FJ70" t="e">
        <f>Nodes!P532+"'E4!%=`"</f>
        <v>#VALUE!</v>
      </c>
      <c r="FK70" t="e">
        <f>Nodes!Q532+"'E4!%=a"</f>
        <v>#VALUE!</v>
      </c>
      <c r="FL70" t="e">
        <f>Nodes!R532+"'E4!%=b"</f>
        <v>#VALUE!</v>
      </c>
      <c r="FM70" t="e">
        <f>Nodes!S532+"'E4!%=c"</f>
        <v>#VALUE!</v>
      </c>
      <c r="FN70" t="e">
        <f>Nodes!T532+"'E4!%=d"</f>
        <v>#VALUE!</v>
      </c>
      <c r="FO70" s="548" t="e">
        <f>Nodes!U532+"'E4!%=e"</f>
        <v>#VALUE!</v>
      </c>
      <c r="FP70" t="e">
        <f>Nodes!V532+"'E4!%=f"</f>
        <v>#VALUE!</v>
      </c>
      <c r="FQ70" t="e">
        <f>Nodes!W532+"'E4!%=g"</f>
        <v>#VALUE!</v>
      </c>
      <c r="FR70" t="e">
        <f>Nodes!X532+"'E4!%=h"</f>
        <v>#VALUE!</v>
      </c>
      <c r="FS70" t="e">
        <f>Nodes!Y532+"'E4!%=i"</f>
        <v>#VALUE!</v>
      </c>
      <c r="FT70" t="e">
        <f>Nodes!Z532+"'E4!%=j"</f>
        <v>#VALUE!</v>
      </c>
      <c r="FU70" t="e">
        <f>Nodes!AA532+"'E4!%=k"</f>
        <v>#VALUE!</v>
      </c>
      <c r="FV70" t="e">
        <f>Nodes!AB532+"'E4!%=l"</f>
        <v>#VALUE!</v>
      </c>
      <c r="FW70" t="e">
        <f>Nodes!AC532+"'E4!%=m"</f>
        <v>#VALUE!</v>
      </c>
      <c r="FX70" t="e">
        <f>Nodes!A533+"'E4!%=n"</f>
        <v>#VALUE!</v>
      </c>
      <c r="FY70" t="e">
        <f>Nodes!B533+"'E4!%=o"</f>
        <v>#VALUE!</v>
      </c>
      <c r="FZ70" t="e">
        <f>Nodes!C533+"'E4!%=p"</f>
        <v>#VALUE!</v>
      </c>
      <c r="GA70" t="e">
        <f>Nodes!D533+"'E4!%=q"</f>
        <v>#VALUE!</v>
      </c>
      <c r="GB70" t="e">
        <f>Nodes!E533+"'E4!%=r"</f>
        <v>#VALUE!</v>
      </c>
      <c r="GC70" t="e">
        <f>Nodes!F533+"'E4!%=s"</f>
        <v>#VALUE!</v>
      </c>
      <c r="GD70" t="e">
        <f>Nodes!G533+"'E4!%=t"</f>
        <v>#VALUE!</v>
      </c>
      <c r="GE70" t="e">
        <f>Nodes!H533+"'E4!%=u"</f>
        <v>#VALUE!</v>
      </c>
      <c r="GF70" t="e">
        <f>Nodes!I533+"'E4!%=v"</f>
        <v>#VALUE!</v>
      </c>
      <c r="GG70" t="e">
        <f>Nodes!J533+"'E4!%=w"</f>
        <v>#VALUE!</v>
      </c>
      <c r="GH70" t="e">
        <f>Nodes!K533+"'E4!%=x"</f>
        <v>#VALUE!</v>
      </c>
      <c r="GI70" t="e">
        <f>Nodes!L533+"'E4!%=y"</f>
        <v>#VALUE!</v>
      </c>
      <c r="GJ70" t="e">
        <f>Nodes!M533+"'E4!%=z"</f>
        <v>#VALUE!</v>
      </c>
      <c r="GK70" t="e">
        <f>Nodes!N533+"'E4!%={"</f>
        <v>#VALUE!</v>
      </c>
      <c r="GL70" t="e">
        <f>Nodes!O533+"'E4!%=|"</f>
        <v>#VALUE!</v>
      </c>
      <c r="GM70" t="e">
        <f>Nodes!P533+"'E4!%=}"</f>
        <v>#VALUE!</v>
      </c>
      <c r="GN70" t="e">
        <f>Nodes!Q533+"'E4!%=~"</f>
        <v>#VALUE!</v>
      </c>
      <c r="GO70" t="e">
        <f>Nodes!R533+"'E4!%&gt;#"</f>
        <v>#VALUE!</v>
      </c>
      <c r="GP70" t="e">
        <f>Nodes!S533+"'E4!%&gt;$"</f>
        <v>#VALUE!</v>
      </c>
      <c r="GQ70" t="e">
        <f>Nodes!T533+"'E4!%&gt;%"</f>
        <v>#VALUE!</v>
      </c>
      <c r="GR70" s="548" t="e">
        <f>Nodes!U533+"'E4!%&gt;&amp;"</f>
        <v>#VALUE!</v>
      </c>
      <c r="GS70" t="e">
        <f>Nodes!V533+"'E4!%&gt;'"</f>
        <v>#VALUE!</v>
      </c>
      <c r="GT70" t="e">
        <f>Nodes!W533+"'E4!%&gt;("</f>
        <v>#VALUE!</v>
      </c>
      <c r="GU70" t="e">
        <f>Nodes!X533+"'E4!%&gt;)"</f>
        <v>#VALUE!</v>
      </c>
      <c r="GV70" t="e">
        <f>Nodes!Y533+"'E4!%&gt;."</f>
        <v>#VALUE!</v>
      </c>
      <c r="GW70" t="e">
        <f>Nodes!Z533+"'E4!%&gt;/"</f>
        <v>#VALUE!</v>
      </c>
      <c r="GX70" t="e">
        <f>Nodes!AA533+"'E4!%&gt;0"</f>
        <v>#VALUE!</v>
      </c>
      <c r="GY70" t="e">
        <f>Nodes!AB533+"'E4!%&gt;1"</f>
        <v>#VALUE!</v>
      </c>
      <c r="GZ70" t="e">
        <f>Nodes!AC533+"'E4!%&gt;2"</f>
        <v>#VALUE!</v>
      </c>
      <c r="HA70" t="e">
        <f>Nodes!A534+"'E4!%&gt;3"</f>
        <v>#VALUE!</v>
      </c>
      <c r="HB70" t="e">
        <f>Nodes!B534+"'E4!%&gt;4"</f>
        <v>#VALUE!</v>
      </c>
      <c r="HC70" t="e">
        <f>Nodes!C534+"'E4!%&gt;5"</f>
        <v>#VALUE!</v>
      </c>
      <c r="HD70" t="e">
        <f>Nodes!D534+"'E4!%&gt;6"</f>
        <v>#VALUE!</v>
      </c>
      <c r="HE70" t="e">
        <f>Nodes!E534+"'E4!%&gt;7"</f>
        <v>#VALUE!</v>
      </c>
      <c r="HF70" t="e">
        <f>Nodes!F534+"'E4!%&gt;8"</f>
        <v>#VALUE!</v>
      </c>
      <c r="HG70" t="e">
        <f>Nodes!G534+"'E4!%&gt;9"</f>
        <v>#VALUE!</v>
      </c>
      <c r="HH70" t="e">
        <f>Nodes!H534+"'E4!%&gt;:"</f>
        <v>#VALUE!</v>
      </c>
      <c r="HI70" t="e">
        <f>Nodes!I534+"'E4!%&gt;;"</f>
        <v>#VALUE!</v>
      </c>
      <c r="HJ70" t="e">
        <f>Nodes!J534+"'E4!%&gt;&lt;"</f>
        <v>#VALUE!</v>
      </c>
      <c r="HK70" t="e">
        <f>Nodes!K534+"'E4!%&gt;="</f>
        <v>#VALUE!</v>
      </c>
      <c r="HL70" t="e">
        <f>Nodes!L534+"'E4!%&gt;&gt;"</f>
        <v>#VALUE!</v>
      </c>
      <c r="HM70" t="e">
        <f>Nodes!M534+"'E4!%&gt;?"</f>
        <v>#VALUE!</v>
      </c>
      <c r="HN70" t="e">
        <f>Nodes!N534+"'E4!%&gt;@"</f>
        <v>#VALUE!</v>
      </c>
      <c r="HO70" t="e">
        <f>Nodes!O534+"'E4!%&gt;A"</f>
        <v>#VALUE!</v>
      </c>
      <c r="HP70" t="e">
        <f>Nodes!P534+"'E4!%&gt;B"</f>
        <v>#VALUE!</v>
      </c>
      <c r="HQ70" t="e">
        <f>Nodes!Q534+"'E4!%&gt;C"</f>
        <v>#VALUE!</v>
      </c>
      <c r="HR70" t="e">
        <f>Nodes!R534+"'E4!%&gt;D"</f>
        <v>#VALUE!</v>
      </c>
      <c r="HS70" t="e">
        <f>Nodes!S534+"'E4!%&gt;E"</f>
        <v>#VALUE!</v>
      </c>
      <c r="HT70" t="e">
        <f>Nodes!T534+"'E4!%&gt;F"</f>
        <v>#VALUE!</v>
      </c>
      <c r="HU70" s="548" t="e">
        <f>Nodes!U534+"'E4!%&gt;G"</f>
        <v>#VALUE!</v>
      </c>
      <c r="HV70" t="e">
        <f>Nodes!V534+"'E4!%&gt;H"</f>
        <v>#VALUE!</v>
      </c>
      <c r="HW70" t="e">
        <f>Nodes!W534+"'E4!%&gt;I"</f>
        <v>#VALUE!</v>
      </c>
      <c r="HX70" t="e">
        <f>Nodes!X534+"'E4!%&gt;J"</f>
        <v>#VALUE!</v>
      </c>
      <c r="HY70" t="e">
        <f>Nodes!Y534+"'E4!%&gt;K"</f>
        <v>#VALUE!</v>
      </c>
      <c r="HZ70" t="e">
        <f>Nodes!Z534+"'E4!%&gt;L"</f>
        <v>#VALUE!</v>
      </c>
      <c r="IA70" t="e">
        <f>Nodes!AA534+"'E4!%&gt;M"</f>
        <v>#VALUE!</v>
      </c>
      <c r="IB70" t="e">
        <f>Nodes!AB534+"'E4!%&gt;N"</f>
        <v>#VALUE!</v>
      </c>
      <c r="IC70" t="e">
        <f>Nodes!AC534+"'E4!%&gt;O"</f>
        <v>#VALUE!</v>
      </c>
      <c r="ID70" t="e">
        <f>Nodes!A535+"'E4!%&gt;P"</f>
        <v>#VALUE!</v>
      </c>
      <c r="IE70" t="e">
        <f>Nodes!B535+"'E4!%&gt;Q"</f>
        <v>#VALUE!</v>
      </c>
      <c r="IF70" t="e">
        <f>Nodes!C535+"'E4!%&gt;R"</f>
        <v>#VALUE!</v>
      </c>
      <c r="IG70" t="e">
        <f>Nodes!D535+"'E4!%&gt;S"</f>
        <v>#VALUE!</v>
      </c>
      <c r="IH70" t="e">
        <f>Nodes!E535+"'E4!%&gt;T"</f>
        <v>#VALUE!</v>
      </c>
      <c r="II70" t="e">
        <f>Nodes!F535+"'E4!%&gt;U"</f>
        <v>#VALUE!</v>
      </c>
      <c r="IJ70" t="e">
        <f>Nodes!G535+"'E4!%&gt;V"</f>
        <v>#VALUE!</v>
      </c>
      <c r="IK70" t="e">
        <f>Nodes!H535+"'E4!%&gt;W"</f>
        <v>#VALUE!</v>
      </c>
      <c r="IL70" t="e">
        <f>Nodes!I535+"'E4!%&gt;X"</f>
        <v>#VALUE!</v>
      </c>
      <c r="IM70" t="e">
        <f>Nodes!J535+"'E4!%&gt;Y"</f>
        <v>#VALUE!</v>
      </c>
      <c r="IN70" t="e">
        <f>Nodes!K535+"'E4!%&gt;Z"</f>
        <v>#VALUE!</v>
      </c>
      <c r="IO70" t="e">
        <f>Nodes!L535+"'E4!%&gt;["</f>
        <v>#VALUE!</v>
      </c>
      <c r="IP70" t="e">
        <f>Nodes!M535+"'E4!%&gt;\"</f>
        <v>#VALUE!</v>
      </c>
      <c r="IQ70" t="e">
        <f>Nodes!N535+"'E4!%&gt;]"</f>
        <v>#VALUE!</v>
      </c>
      <c r="IR70" t="e">
        <f>Nodes!O535+"'E4!%&gt;^"</f>
        <v>#VALUE!</v>
      </c>
      <c r="IS70" t="e">
        <f>Nodes!P535+"'E4!%&gt;_"</f>
        <v>#VALUE!</v>
      </c>
      <c r="IT70" t="e">
        <f>Nodes!Q535+"'E4!%&gt;`"</f>
        <v>#VALUE!</v>
      </c>
      <c r="IU70" t="e">
        <f>Nodes!R535+"'E4!%&gt;a"</f>
        <v>#VALUE!</v>
      </c>
      <c r="IV70" t="e">
        <f>Nodes!S535+"'E4!%&gt;b"</f>
        <v>#VALUE!</v>
      </c>
    </row>
    <row r="71" spans="6:256">
      <c r="F71" t="e">
        <f>Nodes!T535+"'E4!%&gt;c"</f>
        <v>#VALUE!</v>
      </c>
      <c r="G71" s="548" t="e">
        <f>Nodes!U535+"'E4!%&gt;d"</f>
        <v>#VALUE!</v>
      </c>
      <c r="H71" t="e">
        <f>Nodes!V535+"'E4!%&gt;e"</f>
        <v>#VALUE!</v>
      </c>
      <c r="I71" t="e">
        <f>Nodes!W535+"'E4!%&gt;f"</f>
        <v>#VALUE!</v>
      </c>
      <c r="J71" t="e">
        <f>Nodes!X535+"'E4!%&gt;g"</f>
        <v>#VALUE!</v>
      </c>
      <c r="K71" t="e">
        <f>Nodes!Y535+"'E4!%&gt;h"</f>
        <v>#VALUE!</v>
      </c>
      <c r="L71" t="e">
        <f>Nodes!Z535+"'E4!%&gt;i"</f>
        <v>#VALUE!</v>
      </c>
      <c r="M71" t="e">
        <f>Nodes!AA535+"'E4!%&gt;j"</f>
        <v>#VALUE!</v>
      </c>
      <c r="N71" t="e">
        <f>Nodes!AB535+"'E4!%&gt;k"</f>
        <v>#VALUE!</v>
      </c>
      <c r="O71" t="e">
        <f>Nodes!AC535+"'E4!%&gt;l"</f>
        <v>#VALUE!</v>
      </c>
      <c r="P71" t="e">
        <f>Nodes!A536+"'E4!%&gt;m"</f>
        <v>#VALUE!</v>
      </c>
      <c r="Q71" t="e">
        <f>Nodes!B536+"'E4!%&gt;n"</f>
        <v>#VALUE!</v>
      </c>
      <c r="R71" t="e">
        <f>Nodes!C536+"'E4!%&gt;o"</f>
        <v>#VALUE!</v>
      </c>
      <c r="S71" t="e">
        <f>Nodes!D536+"'E4!%&gt;p"</f>
        <v>#VALUE!</v>
      </c>
      <c r="T71" t="e">
        <f>Nodes!E536+"'E4!%&gt;q"</f>
        <v>#VALUE!</v>
      </c>
      <c r="U71" t="e">
        <f>Nodes!F536+"'E4!%&gt;r"</f>
        <v>#VALUE!</v>
      </c>
      <c r="V71" t="e">
        <f>Nodes!G536+"'E4!%&gt;s"</f>
        <v>#VALUE!</v>
      </c>
      <c r="W71" t="e">
        <f>Nodes!H536+"'E4!%&gt;t"</f>
        <v>#VALUE!</v>
      </c>
      <c r="X71" t="e">
        <f>Nodes!I536+"'E4!%&gt;u"</f>
        <v>#VALUE!</v>
      </c>
      <c r="Y71" t="e">
        <f>Nodes!J536+"'E4!%&gt;v"</f>
        <v>#VALUE!</v>
      </c>
      <c r="Z71" t="e">
        <f>Nodes!K536+"'E4!%&gt;w"</f>
        <v>#VALUE!</v>
      </c>
      <c r="AA71" t="e">
        <f>Nodes!L536+"'E4!%&gt;x"</f>
        <v>#VALUE!</v>
      </c>
      <c r="AB71" t="e">
        <f>Nodes!M536+"'E4!%&gt;y"</f>
        <v>#VALUE!</v>
      </c>
      <c r="AC71" t="e">
        <f>Nodes!N536+"'E4!%&gt;z"</f>
        <v>#VALUE!</v>
      </c>
      <c r="AD71" t="e">
        <f>Nodes!O536+"'E4!%&gt;{"</f>
        <v>#VALUE!</v>
      </c>
      <c r="AE71" t="e">
        <f>Nodes!P536+"'E4!%&gt;|"</f>
        <v>#VALUE!</v>
      </c>
      <c r="AF71" t="e">
        <f>Nodes!Q536+"'E4!%&gt;}"</f>
        <v>#VALUE!</v>
      </c>
      <c r="AG71" t="e">
        <f>Nodes!R536+"'E4!%&gt;~"</f>
        <v>#VALUE!</v>
      </c>
      <c r="AH71" t="e">
        <f>Nodes!S536+"'E4!%?#"</f>
        <v>#VALUE!</v>
      </c>
      <c r="AI71" t="e">
        <f>Nodes!T536+"'E4!%?$"</f>
        <v>#VALUE!</v>
      </c>
      <c r="AJ71" s="548" t="e">
        <f>Nodes!U536+"'E4!%?%"</f>
        <v>#VALUE!</v>
      </c>
      <c r="AK71" t="e">
        <f>Nodes!V536+"'E4!%?&amp;"</f>
        <v>#VALUE!</v>
      </c>
      <c r="AL71" t="e">
        <f>Nodes!W536+"'E4!%?'"</f>
        <v>#VALUE!</v>
      </c>
      <c r="AM71" t="e">
        <f>Nodes!X536+"'E4!%?("</f>
        <v>#VALUE!</v>
      </c>
      <c r="AN71" t="e">
        <f>Nodes!Y536+"'E4!%?)"</f>
        <v>#VALUE!</v>
      </c>
      <c r="AO71" t="e">
        <f>Nodes!Z536+"'E4!%?."</f>
        <v>#VALUE!</v>
      </c>
      <c r="AP71" t="e">
        <f>Nodes!AA536+"'E4!%?/"</f>
        <v>#VALUE!</v>
      </c>
      <c r="AQ71" t="e">
        <f>Nodes!AB536+"'E4!%?0"</f>
        <v>#VALUE!</v>
      </c>
      <c r="AR71" t="e">
        <f>Nodes!AC536+"'E4!%?1"</f>
        <v>#VALUE!</v>
      </c>
      <c r="AS71" t="e">
        <f>Nodes!A537+"'E4!%?2"</f>
        <v>#VALUE!</v>
      </c>
      <c r="AT71" t="e">
        <f>Nodes!B537+"'E4!%?3"</f>
        <v>#VALUE!</v>
      </c>
      <c r="AU71" t="e">
        <f>Nodes!C537+"'E4!%?4"</f>
        <v>#VALUE!</v>
      </c>
      <c r="AV71" t="e">
        <f>Nodes!D537+"'E4!%?5"</f>
        <v>#VALUE!</v>
      </c>
      <c r="AW71" t="e">
        <f>Nodes!E537+"'E4!%?6"</f>
        <v>#VALUE!</v>
      </c>
      <c r="AX71" t="e">
        <f>Nodes!F537+"'E4!%?7"</f>
        <v>#VALUE!</v>
      </c>
      <c r="AY71" t="e">
        <f>Nodes!G537+"'E4!%?8"</f>
        <v>#VALUE!</v>
      </c>
      <c r="AZ71" t="e">
        <f>Nodes!H537+"'E4!%?9"</f>
        <v>#VALUE!</v>
      </c>
      <c r="BA71" t="e">
        <f>Nodes!I537+"'E4!%?:"</f>
        <v>#VALUE!</v>
      </c>
      <c r="BB71" t="e">
        <f>Nodes!J537+"'E4!%?;"</f>
        <v>#VALUE!</v>
      </c>
      <c r="BC71" t="e">
        <f>Nodes!K537+"'E4!%?&lt;"</f>
        <v>#VALUE!</v>
      </c>
      <c r="BD71" t="e">
        <f>Nodes!L537+"'E4!%?="</f>
        <v>#VALUE!</v>
      </c>
      <c r="BE71" t="e">
        <f>Nodes!M537+"'E4!%?&gt;"</f>
        <v>#VALUE!</v>
      </c>
      <c r="BF71" t="e">
        <f>Nodes!N537+"'E4!%??"</f>
        <v>#VALUE!</v>
      </c>
      <c r="BG71" t="e">
        <f>Nodes!O537+"'E4!%?@"</f>
        <v>#VALUE!</v>
      </c>
      <c r="BH71" t="e">
        <f>Nodes!P537+"'E4!%?A"</f>
        <v>#VALUE!</v>
      </c>
      <c r="BI71" t="e">
        <f>Nodes!Q537+"'E4!%?B"</f>
        <v>#VALUE!</v>
      </c>
      <c r="BJ71" t="e">
        <f>Nodes!R537+"'E4!%?C"</f>
        <v>#VALUE!</v>
      </c>
      <c r="BK71" t="e">
        <f>Nodes!S537+"'E4!%?D"</f>
        <v>#VALUE!</v>
      </c>
      <c r="BL71" t="e">
        <f>Nodes!T537+"'E4!%?E"</f>
        <v>#VALUE!</v>
      </c>
      <c r="BM71" s="548" t="e">
        <f>Nodes!U537+"'E4!%?F"</f>
        <v>#VALUE!</v>
      </c>
      <c r="BN71" t="e">
        <f>Nodes!V537+"'E4!%?G"</f>
        <v>#VALUE!</v>
      </c>
      <c r="BO71" t="e">
        <f>Nodes!W537+"'E4!%?H"</f>
        <v>#VALUE!</v>
      </c>
      <c r="BP71" t="e">
        <f>Nodes!X537+"'E4!%?I"</f>
        <v>#VALUE!</v>
      </c>
      <c r="BQ71" t="e">
        <f>Nodes!Y537+"'E4!%?J"</f>
        <v>#VALUE!</v>
      </c>
      <c r="BR71" t="e">
        <f>Nodes!Z537+"'E4!%?K"</f>
        <v>#VALUE!</v>
      </c>
      <c r="BS71" t="e">
        <f>Nodes!AA537+"'E4!%?L"</f>
        <v>#VALUE!</v>
      </c>
      <c r="BT71" t="e">
        <f>Nodes!AB537+"'E4!%?M"</f>
        <v>#VALUE!</v>
      </c>
      <c r="BU71" t="e">
        <f>Nodes!AC537+"'E4!%?N"</f>
        <v>#VALUE!</v>
      </c>
      <c r="BV71" t="e">
        <f>Nodes!A538+"'E4!%?O"</f>
        <v>#VALUE!</v>
      </c>
      <c r="BW71" t="e">
        <f>Nodes!B538+"'E4!%?P"</f>
        <v>#VALUE!</v>
      </c>
      <c r="BX71" t="e">
        <f>Nodes!C538+"'E4!%?Q"</f>
        <v>#VALUE!</v>
      </c>
      <c r="BY71" t="e">
        <f>Nodes!D538+"'E4!%?R"</f>
        <v>#VALUE!</v>
      </c>
      <c r="BZ71" t="e">
        <f>Nodes!E538+"'E4!%?S"</f>
        <v>#VALUE!</v>
      </c>
      <c r="CA71" t="e">
        <f>Nodes!F538+"'E4!%?T"</f>
        <v>#VALUE!</v>
      </c>
      <c r="CB71" t="e">
        <f>Nodes!G538+"'E4!%?U"</f>
        <v>#VALUE!</v>
      </c>
      <c r="CC71" t="e">
        <f>Nodes!H538+"'E4!%?V"</f>
        <v>#VALUE!</v>
      </c>
      <c r="CD71" t="e">
        <f>Nodes!I538+"'E4!%?W"</f>
        <v>#VALUE!</v>
      </c>
      <c r="CE71" t="e">
        <f>Nodes!J538+"'E4!%?X"</f>
        <v>#VALUE!</v>
      </c>
      <c r="CF71" t="e">
        <f>Nodes!K538+"'E4!%?Y"</f>
        <v>#VALUE!</v>
      </c>
      <c r="CG71" t="e">
        <f>Nodes!L538+"'E4!%?Z"</f>
        <v>#VALUE!</v>
      </c>
      <c r="CH71" t="e">
        <f>Nodes!M538+"'E4!%?["</f>
        <v>#VALUE!</v>
      </c>
      <c r="CI71" t="e">
        <f>Nodes!N538+"'E4!%?\"</f>
        <v>#VALUE!</v>
      </c>
      <c r="CJ71" t="e">
        <f>Nodes!O538+"'E4!%?]"</f>
        <v>#VALUE!</v>
      </c>
      <c r="CK71" t="e">
        <f>Nodes!P538+"'E4!%?^"</f>
        <v>#VALUE!</v>
      </c>
      <c r="CL71" t="e">
        <f>Nodes!Q538+"'E4!%?_"</f>
        <v>#VALUE!</v>
      </c>
      <c r="CM71" t="e">
        <f>Nodes!R538+"'E4!%?`"</f>
        <v>#VALUE!</v>
      </c>
      <c r="CN71" t="e">
        <f>Nodes!S538+"'E4!%?a"</f>
        <v>#VALUE!</v>
      </c>
      <c r="CO71" t="e">
        <f>Nodes!T538+"'E4!%?b"</f>
        <v>#VALUE!</v>
      </c>
      <c r="CP71" s="548" t="e">
        <f>Nodes!U538+"'E4!%?c"</f>
        <v>#VALUE!</v>
      </c>
      <c r="CQ71" t="e">
        <f>Nodes!V538+"'E4!%?d"</f>
        <v>#VALUE!</v>
      </c>
      <c r="CR71" t="e">
        <f>Nodes!W538+"'E4!%?e"</f>
        <v>#VALUE!</v>
      </c>
      <c r="CS71" t="e">
        <f>Nodes!X538+"'E4!%?f"</f>
        <v>#VALUE!</v>
      </c>
      <c r="CT71" t="e">
        <f>Nodes!Y538+"'E4!%?g"</f>
        <v>#VALUE!</v>
      </c>
      <c r="CU71" t="e">
        <f>Nodes!Z538+"'E4!%?h"</f>
        <v>#VALUE!</v>
      </c>
      <c r="CV71" t="e">
        <f>Nodes!AA538+"'E4!%?i"</f>
        <v>#VALUE!</v>
      </c>
      <c r="CW71" t="e">
        <f>Nodes!AB538+"'E4!%?j"</f>
        <v>#VALUE!</v>
      </c>
      <c r="CX71" t="e">
        <f>Nodes!AC538+"'E4!%?k"</f>
        <v>#VALUE!</v>
      </c>
      <c r="CY71" t="e">
        <f>Nodes!A539+"'E4!%?l"</f>
        <v>#VALUE!</v>
      </c>
      <c r="CZ71" t="e">
        <f>Nodes!B539+"'E4!%?m"</f>
        <v>#VALUE!</v>
      </c>
      <c r="DA71" t="e">
        <f>Nodes!C539+"'E4!%?n"</f>
        <v>#VALUE!</v>
      </c>
      <c r="DB71" t="e">
        <f>Nodes!D539+"'E4!%?o"</f>
        <v>#VALUE!</v>
      </c>
      <c r="DC71" t="e">
        <f>Nodes!E539+"'E4!%?p"</f>
        <v>#VALUE!</v>
      </c>
      <c r="DD71" t="e">
        <f>Nodes!F539+"'E4!%?q"</f>
        <v>#VALUE!</v>
      </c>
      <c r="DE71" t="e">
        <f>Nodes!G539+"'E4!%?r"</f>
        <v>#VALUE!</v>
      </c>
      <c r="DF71" t="e">
        <f>Nodes!H539+"'E4!%?s"</f>
        <v>#VALUE!</v>
      </c>
      <c r="DG71" t="e">
        <f>Nodes!I539+"'E4!%?t"</f>
        <v>#VALUE!</v>
      </c>
      <c r="DH71" t="e">
        <f>Nodes!J539+"'E4!%?u"</f>
        <v>#VALUE!</v>
      </c>
      <c r="DI71" t="e">
        <f>Nodes!K539+"'E4!%?v"</f>
        <v>#VALUE!</v>
      </c>
      <c r="DJ71" t="e">
        <f>Nodes!L539+"'E4!%?w"</f>
        <v>#VALUE!</v>
      </c>
      <c r="DK71" t="e">
        <f>Nodes!M539+"'E4!%?x"</f>
        <v>#VALUE!</v>
      </c>
      <c r="DL71" t="e">
        <f>Nodes!N539+"'E4!%?y"</f>
        <v>#VALUE!</v>
      </c>
      <c r="DM71" t="e">
        <f>Nodes!O539+"'E4!%?z"</f>
        <v>#VALUE!</v>
      </c>
      <c r="DN71" t="e">
        <f>Nodes!P539+"'E4!%?{"</f>
        <v>#VALUE!</v>
      </c>
      <c r="DO71" t="e">
        <f>Nodes!Q539+"'E4!%?|"</f>
        <v>#VALUE!</v>
      </c>
      <c r="DP71" t="e">
        <f>Nodes!R539+"'E4!%?}"</f>
        <v>#VALUE!</v>
      </c>
      <c r="DQ71" t="e">
        <f>Nodes!S539+"'E4!%?~"</f>
        <v>#VALUE!</v>
      </c>
      <c r="DR71" t="e">
        <f>Nodes!T539+"'E4!%@#"</f>
        <v>#VALUE!</v>
      </c>
      <c r="DS71" s="548" t="e">
        <f>Nodes!U539+"'E4!%@$"</f>
        <v>#VALUE!</v>
      </c>
      <c r="DT71" t="e">
        <f>Nodes!V539+"'E4!%@%"</f>
        <v>#VALUE!</v>
      </c>
      <c r="DU71" t="e">
        <f>Nodes!W539+"'E4!%@&amp;"</f>
        <v>#VALUE!</v>
      </c>
      <c r="DV71" t="e">
        <f>Nodes!X539+"'E4!%@'"</f>
        <v>#VALUE!</v>
      </c>
      <c r="DW71" t="e">
        <f>Nodes!Y539+"'E4!%@("</f>
        <v>#VALUE!</v>
      </c>
      <c r="DX71" t="e">
        <f>Nodes!Z539+"'E4!%@)"</f>
        <v>#VALUE!</v>
      </c>
      <c r="DY71" t="e">
        <f>Nodes!AA539+"'E4!%@."</f>
        <v>#VALUE!</v>
      </c>
      <c r="DZ71" t="e">
        <f>Nodes!AB539+"'E4!%@/"</f>
        <v>#VALUE!</v>
      </c>
      <c r="EA71" t="e">
        <f>Nodes!AC539+"'E4!%@0"</f>
        <v>#VALUE!</v>
      </c>
      <c r="EB71" t="e">
        <f>Nodes!A540+"'E4!%@1"</f>
        <v>#VALUE!</v>
      </c>
      <c r="EC71" t="e">
        <f>Nodes!B540+"'E4!%@2"</f>
        <v>#VALUE!</v>
      </c>
      <c r="ED71" t="e">
        <f>Nodes!C540+"'E4!%@3"</f>
        <v>#VALUE!</v>
      </c>
      <c r="EE71" t="e">
        <f>Nodes!D540+"'E4!%@4"</f>
        <v>#VALUE!</v>
      </c>
      <c r="EF71" t="e">
        <f>Nodes!E540+"'E4!%@5"</f>
        <v>#VALUE!</v>
      </c>
      <c r="EG71" t="e">
        <f>Nodes!F540+"'E4!%@6"</f>
        <v>#VALUE!</v>
      </c>
      <c r="EH71" t="e">
        <f>Nodes!G540+"'E4!%@7"</f>
        <v>#VALUE!</v>
      </c>
      <c r="EI71" t="e">
        <f>Nodes!H540+"'E4!%@8"</f>
        <v>#VALUE!</v>
      </c>
      <c r="EJ71" t="e">
        <f>Nodes!I540+"'E4!%@9"</f>
        <v>#VALUE!</v>
      </c>
      <c r="EK71" t="e">
        <f>Nodes!J540+"'E4!%@:"</f>
        <v>#VALUE!</v>
      </c>
      <c r="EL71" t="e">
        <f>Nodes!K540+"'E4!%@;"</f>
        <v>#VALUE!</v>
      </c>
      <c r="EM71" t="e">
        <f>Nodes!L540+"'E4!%@&lt;"</f>
        <v>#VALUE!</v>
      </c>
      <c r="EN71" t="e">
        <f>Nodes!M540+"'E4!%@="</f>
        <v>#VALUE!</v>
      </c>
      <c r="EO71" t="e">
        <f>Nodes!N540+"'E4!%@&gt;"</f>
        <v>#VALUE!</v>
      </c>
      <c r="EP71" t="e">
        <f>Nodes!O540+"'E4!%@?"</f>
        <v>#VALUE!</v>
      </c>
      <c r="EQ71" t="e">
        <f>Nodes!P540+"'E4!%@@"</f>
        <v>#VALUE!</v>
      </c>
      <c r="ER71" t="e">
        <f>Nodes!Q540+"'E4!%@A"</f>
        <v>#VALUE!</v>
      </c>
      <c r="ES71" t="e">
        <f>Nodes!R540+"'E4!%@B"</f>
        <v>#VALUE!</v>
      </c>
      <c r="ET71" t="e">
        <f>Nodes!S540+"'E4!%@C"</f>
        <v>#VALUE!</v>
      </c>
      <c r="EU71" t="e">
        <f>Nodes!T540+"'E4!%@D"</f>
        <v>#VALUE!</v>
      </c>
      <c r="EV71" s="548" t="e">
        <f>Nodes!U540+"'E4!%@E"</f>
        <v>#VALUE!</v>
      </c>
      <c r="EW71" t="e">
        <f>Nodes!V540+"'E4!%@F"</f>
        <v>#VALUE!</v>
      </c>
      <c r="EX71" t="e">
        <f>Nodes!W540+"'E4!%@G"</f>
        <v>#VALUE!</v>
      </c>
      <c r="EY71" t="e">
        <f>Nodes!X540+"'E4!%@H"</f>
        <v>#VALUE!</v>
      </c>
      <c r="EZ71" t="e">
        <f>Nodes!Y540+"'E4!%@I"</f>
        <v>#VALUE!</v>
      </c>
      <c r="FA71" t="e">
        <f>Nodes!Z540+"'E4!%@J"</f>
        <v>#VALUE!</v>
      </c>
      <c r="FB71" t="e">
        <f>Nodes!AA540+"'E4!%@K"</f>
        <v>#VALUE!</v>
      </c>
      <c r="FC71" t="e">
        <f>Nodes!AB540+"'E4!%@L"</f>
        <v>#VALUE!</v>
      </c>
      <c r="FD71" t="e">
        <f>Nodes!AC540+"'E4!%@M"</f>
        <v>#VALUE!</v>
      </c>
      <c r="FE71" t="e">
        <f>Nodes!A541+"'E4!%@N"</f>
        <v>#VALUE!</v>
      </c>
      <c r="FF71" t="e">
        <f>Nodes!B541+"'E4!%@O"</f>
        <v>#VALUE!</v>
      </c>
      <c r="FG71" t="e">
        <f>Nodes!C541+"'E4!%@P"</f>
        <v>#VALUE!</v>
      </c>
      <c r="FH71" t="e">
        <f>Nodes!D541+"'E4!%@Q"</f>
        <v>#VALUE!</v>
      </c>
      <c r="FI71" t="e">
        <f>Nodes!E541+"'E4!%@R"</f>
        <v>#VALUE!</v>
      </c>
      <c r="FJ71" t="e">
        <f>Nodes!F541+"'E4!%@S"</f>
        <v>#VALUE!</v>
      </c>
      <c r="FK71" t="e">
        <f>Nodes!G541+"'E4!%@T"</f>
        <v>#VALUE!</v>
      </c>
      <c r="FL71" t="e">
        <f>Nodes!H541+"'E4!%@U"</f>
        <v>#VALUE!</v>
      </c>
      <c r="FM71" t="e">
        <f>Nodes!I541+"'E4!%@V"</f>
        <v>#VALUE!</v>
      </c>
      <c r="FN71" t="e">
        <f>Nodes!J541+"'E4!%@W"</f>
        <v>#VALUE!</v>
      </c>
      <c r="FO71" t="e">
        <f>Nodes!K541+"'E4!%@X"</f>
        <v>#VALUE!</v>
      </c>
      <c r="FP71" t="e">
        <f>Nodes!L541+"'E4!%@Y"</f>
        <v>#VALUE!</v>
      </c>
      <c r="FQ71" t="e">
        <f>Nodes!M541+"'E4!%@Z"</f>
        <v>#VALUE!</v>
      </c>
      <c r="FR71" t="e">
        <f>Nodes!N541+"'E4!%@["</f>
        <v>#VALUE!</v>
      </c>
      <c r="FS71" t="e">
        <f>Nodes!O541+"'E4!%@\"</f>
        <v>#VALUE!</v>
      </c>
      <c r="FT71" t="e">
        <f>Nodes!P541+"'E4!%@]"</f>
        <v>#VALUE!</v>
      </c>
      <c r="FU71" t="e">
        <f>Nodes!Q541+"'E4!%@^"</f>
        <v>#VALUE!</v>
      </c>
      <c r="FV71" t="e">
        <f>Nodes!R541+"'E4!%@_"</f>
        <v>#VALUE!</v>
      </c>
      <c r="FW71" t="e">
        <f>Nodes!S541+"'E4!%@`"</f>
        <v>#VALUE!</v>
      </c>
      <c r="FX71" t="e">
        <f>Nodes!T541+"'E4!%@a"</f>
        <v>#VALUE!</v>
      </c>
      <c r="FY71" s="548" t="e">
        <f>Nodes!U541+"'E4!%@b"</f>
        <v>#VALUE!</v>
      </c>
      <c r="FZ71" t="e">
        <f>Nodes!V541+"'E4!%@c"</f>
        <v>#VALUE!</v>
      </c>
      <c r="GA71" t="e">
        <f>Nodes!W541+"'E4!%@d"</f>
        <v>#VALUE!</v>
      </c>
      <c r="GB71" t="e">
        <f>Nodes!X541+"'E4!%@e"</f>
        <v>#VALUE!</v>
      </c>
      <c r="GC71" t="e">
        <f>Nodes!Y541+"'E4!%@f"</f>
        <v>#VALUE!</v>
      </c>
      <c r="GD71" t="e">
        <f>Nodes!Z541+"'E4!%@g"</f>
        <v>#VALUE!</v>
      </c>
      <c r="GE71" t="e">
        <f>Nodes!AA541+"'E4!%@h"</f>
        <v>#VALUE!</v>
      </c>
      <c r="GF71" t="e">
        <f>Nodes!AB541+"'E4!%@i"</f>
        <v>#VALUE!</v>
      </c>
      <c r="GG71" t="e">
        <f>Nodes!AC541+"'E4!%@j"</f>
        <v>#VALUE!</v>
      </c>
      <c r="GH71" t="e">
        <f>Nodes!A542+"'E4!%@k"</f>
        <v>#VALUE!</v>
      </c>
      <c r="GI71" t="e">
        <f>Nodes!B542+"'E4!%@l"</f>
        <v>#VALUE!</v>
      </c>
      <c r="GJ71" t="e">
        <f>Nodes!C542+"'E4!%@m"</f>
        <v>#VALUE!</v>
      </c>
      <c r="GK71" t="e">
        <f>Nodes!D542+"'E4!%@n"</f>
        <v>#VALUE!</v>
      </c>
      <c r="GL71" t="e">
        <f>Nodes!E542+"'E4!%@o"</f>
        <v>#VALUE!</v>
      </c>
      <c r="GM71" t="e">
        <f>Nodes!F542+"'E4!%@p"</f>
        <v>#VALUE!</v>
      </c>
      <c r="GN71" t="e">
        <f>Nodes!G542+"'E4!%@q"</f>
        <v>#VALUE!</v>
      </c>
      <c r="GO71" t="e">
        <f>Nodes!H542+"'E4!%@r"</f>
        <v>#VALUE!</v>
      </c>
      <c r="GP71" t="e">
        <f>Nodes!I542+"'E4!%@s"</f>
        <v>#VALUE!</v>
      </c>
      <c r="GQ71" t="e">
        <f>Nodes!J542+"'E4!%@t"</f>
        <v>#VALUE!</v>
      </c>
      <c r="GR71" t="e">
        <f>Nodes!K542+"'E4!%@u"</f>
        <v>#VALUE!</v>
      </c>
      <c r="GS71" t="e">
        <f>Nodes!L542+"'E4!%@v"</f>
        <v>#VALUE!</v>
      </c>
      <c r="GT71" t="e">
        <f>Nodes!M542+"'E4!%@w"</f>
        <v>#VALUE!</v>
      </c>
      <c r="GU71" t="e">
        <f>Nodes!N542+"'E4!%@x"</f>
        <v>#VALUE!</v>
      </c>
      <c r="GV71" t="e">
        <f>Nodes!O542+"'E4!%@y"</f>
        <v>#VALUE!</v>
      </c>
      <c r="GW71" t="e">
        <f>Nodes!P542+"'E4!%@z"</f>
        <v>#VALUE!</v>
      </c>
      <c r="GX71" t="e">
        <f>Nodes!Q542+"'E4!%@{"</f>
        <v>#VALUE!</v>
      </c>
      <c r="GY71" t="e">
        <f>Nodes!R542+"'E4!%@|"</f>
        <v>#VALUE!</v>
      </c>
      <c r="GZ71" t="e">
        <f>Nodes!S542+"'E4!%@}"</f>
        <v>#VALUE!</v>
      </c>
      <c r="HA71" t="e">
        <f>Nodes!T542+"'E4!%@~"</f>
        <v>#VALUE!</v>
      </c>
      <c r="HB71" s="548" t="e">
        <f>Nodes!U542+"'E4!%A#"</f>
        <v>#VALUE!</v>
      </c>
      <c r="HC71" t="e">
        <f>Nodes!V542+"'E4!%A$"</f>
        <v>#VALUE!</v>
      </c>
      <c r="HD71" t="e">
        <f>Nodes!W542+"'E4!%A%"</f>
        <v>#VALUE!</v>
      </c>
      <c r="HE71" t="e">
        <f>Nodes!X542+"'E4!%A&amp;"</f>
        <v>#VALUE!</v>
      </c>
      <c r="HF71" t="e">
        <f>Nodes!Y542+"'E4!%A'"</f>
        <v>#VALUE!</v>
      </c>
      <c r="HG71" t="e">
        <f>Nodes!Z542+"'E4!%A("</f>
        <v>#VALUE!</v>
      </c>
      <c r="HH71" t="e">
        <f>Nodes!AA542+"'E4!%A)"</f>
        <v>#VALUE!</v>
      </c>
      <c r="HI71" t="e">
        <f>Nodes!AB542+"'E4!%A."</f>
        <v>#VALUE!</v>
      </c>
      <c r="HJ71" t="e">
        <f>Nodes!AC542+"'E4!%A/"</f>
        <v>#VALUE!</v>
      </c>
      <c r="HK71" t="e">
        <f>Nodes!A543+"'E4!%A0"</f>
        <v>#VALUE!</v>
      </c>
      <c r="HL71" t="e">
        <f>Nodes!B543+"'E4!%A1"</f>
        <v>#VALUE!</v>
      </c>
      <c r="HM71" t="e">
        <f>Nodes!C543+"'E4!%A2"</f>
        <v>#VALUE!</v>
      </c>
      <c r="HN71" t="e">
        <f>Nodes!D543+"'E4!%A3"</f>
        <v>#VALUE!</v>
      </c>
      <c r="HO71" t="e">
        <f>Nodes!E543+"'E4!%A4"</f>
        <v>#VALUE!</v>
      </c>
      <c r="HP71" t="e">
        <f>Nodes!F543+"'E4!%A5"</f>
        <v>#VALUE!</v>
      </c>
      <c r="HQ71" t="e">
        <f>Nodes!G543+"'E4!%A6"</f>
        <v>#VALUE!</v>
      </c>
      <c r="HR71" t="e">
        <f>Nodes!H543+"'E4!%A7"</f>
        <v>#VALUE!</v>
      </c>
      <c r="HS71" t="e">
        <f>Nodes!I543+"'E4!%A8"</f>
        <v>#VALUE!</v>
      </c>
      <c r="HT71" t="e">
        <f>Nodes!J543+"'E4!%A9"</f>
        <v>#VALUE!</v>
      </c>
      <c r="HU71" t="e">
        <f>Nodes!K543+"'E4!%A:"</f>
        <v>#VALUE!</v>
      </c>
      <c r="HV71" t="e">
        <f>Nodes!L543+"'E4!%A;"</f>
        <v>#VALUE!</v>
      </c>
      <c r="HW71" t="e">
        <f>Nodes!M543+"'E4!%A&lt;"</f>
        <v>#VALUE!</v>
      </c>
      <c r="HX71" t="e">
        <f>Nodes!N543+"'E4!%A="</f>
        <v>#VALUE!</v>
      </c>
      <c r="HY71" t="e">
        <f>Nodes!O543+"'E4!%A&gt;"</f>
        <v>#VALUE!</v>
      </c>
      <c r="HZ71" t="e">
        <f>Nodes!P543+"'E4!%A?"</f>
        <v>#VALUE!</v>
      </c>
      <c r="IA71" t="e">
        <f>Nodes!Q543+"'E4!%A@"</f>
        <v>#VALUE!</v>
      </c>
      <c r="IB71" t="e">
        <f>Nodes!R543+"'E4!%AA"</f>
        <v>#VALUE!</v>
      </c>
      <c r="IC71" t="e">
        <f>Nodes!S543+"'E4!%AB"</f>
        <v>#VALUE!</v>
      </c>
      <c r="ID71" t="e">
        <f>Nodes!T543+"'E4!%AC"</f>
        <v>#VALUE!</v>
      </c>
      <c r="IE71" s="548" t="e">
        <f>Nodes!U543+"'E4!%AD"</f>
        <v>#VALUE!</v>
      </c>
      <c r="IF71" t="e">
        <f>Nodes!V543+"'E4!%AE"</f>
        <v>#VALUE!</v>
      </c>
      <c r="IG71" t="e">
        <f>Nodes!W543+"'E4!%AF"</f>
        <v>#VALUE!</v>
      </c>
      <c r="IH71" t="e">
        <f>Nodes!X543+"'E4!%AG"</f>
        <v>#VALUE!</v>
      </c>
      <c r="II71" t="e">
        <f>Nodes!Y543+"'E4!%AH"</f>
        <v>#VALUE!</v>
      </c>
      <c r="IJ71" t="e">
        <f>Nodes!Z543+"'E4!%AI"</f>
        <v>#VALUE!</v>
      </c>
      <c r="IK71" t="e">
        <f>Nodes!AA543+"'E4!%AJ"</f>
        <v>#VALUE!</v>
      </c>
      <c r="IL71" t="e">
        <f>Nodes!AB543+"'E4!%AK"</f>
        <v>#VALUE!</v>
      </c>
      <c r="IM71" t="e">
        <f>Nodes!AC543+"'E4!%AL"</f>
        <v>#VALUE!</v>
      </c>
      <c r="IN71" t="e">
        <f>Nodes!A544+"'E4!%AM"</f>
        <v>#VALUE!</v>
      </c>
      <c r="IO71" t="e">
        <f>Nodes!B544+"'E4!%AN"</f>
        <v>#VALUE!</v>
      </c>
      <c r="IP71" t="e">
        <f>Nodes!C544+"'E4!%AO"</f>
        <v>#VALUE!</v>
      </c>
      <c r="IQ71" t="e">
        <f>Nodes!D544+"'E4!%AP"</f>
        <v>#VALUE!</v>
      </c>
      <c r="IR71" t="e">
        <f>Nodes!E544+"'E4!%AQ"</f>
        <v>#VALUE!</v>
      </c>
      <c r="IS71" t="e">
        <f>Nodes!F544+"'E4!%AR"</f>
        <v>#VALUE!</v>
      </c>
      <c r="IT71" t="e">
        <f>Nodes!G544+"'E4!%AS"</f>
        <v>#VALUE!</v>
      </c>
      <c r="IU71" t="e">
        <f>Nodes!H544+"'E4!%AT"</f>
        <v>#VALUE!</v>
      </c>
      <c r="IV71" t="e">
        <f>Nodes!I544+"'E4!%AU"</f>
        <v>#VALUE!</v>
      </c>
    </row>
    <row r="72" spans="6:256">
      <c r="F72" t="e">
        <f>Nodes!J544+"'E4!%AV"</f>
        <v>#VALUE!</v>
      </c>
      <c r="G72" t="e">
        <f>Nodes!K544+"'E4!%AW"</f>
        <v>#VALUE!</v>
      </c>
      <c r="H72" t="e">
        <f>Nodes!L544+"'E4!%AX"</f>
        <v>#VALUE!</v>
      </c>
      <c r="I72" t="e">
        <f>Nodes!M544+"'E4!%AY"</f>
        <v>#VALUE!</v>
      </c>
      <c r="J72" t="e">
        <f>Nodes!N544+"'E4!%AZ"</f>
        <v>#VALUE!</v>
      </c>
      <c r="K72" t="e">
        <f>Nodes!O544+"'E4!%A["</f>
        <v>#VALUE!</v>
      </c>
      <c r="L72" t="e">
        <f>Nodes!P544+"'E4!%A\"</f>
        <v>#VALUE!</v>
      </c>
      <c r="M72" t="e">
        <f>Nodes!Q544+"'E4!%A]"</f>
        <v>#VALUE!</v>
      </c>
      <c r="N72" t="e">
        <f>Nodes!R544+"'E4!%A^"</f>
        <v>#VALUE!</v>
      </c>
      <c r="O72" t="e">
        <f>Nodes!S544+"'E4!%A_"</f>
        <v>#VALUE!</v>
      </c>
      <c r="P72" t="e">
        <f>Nodes!T544+"'E4!%A`"</f>
        <v>#VALUE!</v>
      </c>
      <c r="Q72" s="548" t="e">
        <f>Nodes!U544+"'E4!%Aa"</f>
        <v>#VALUE!</v>
      </c>
      <c r="R72" t="e">
        <f>Nodes!V544+"'E4!%Ab"</f>
        <v>#VALUE!</v>
      </c>
      <c r="S72" t="e">
        <f>Nodes!W544+"'E4!%Ac"</f>
        <v>#VALUE!</v>
      </c>
      <c r="T72" t="e">
        <f>Nodes!X544+"'E4!%Ad"</f>
        <v>#VALUE!</v>
      </c>
      <c r="U72" t="e">
        <f>Nodes!Y544+"'E4!%Ae"</f>
        <v>#VALUE!</v>
      </c>
      <c r="V72" t="e">
        <f>Nodes!Z544+"'E4!%Af"</f>
        <v>#VALUE!</v>
      </c>
      <c r="W72" t="e">
        <f>Nodes!AA544+"'E4!%Ag"</f>
        <v>#VALUE!</v>
      </c>
      <c r="X72" t="e">
        <f>Nodes!AB544+"'E4!%Ah"</f>
        <v>#VALUE!</v>
      </c>
      <c r="Y72" t="e">
        <f>Nodes!AC544+"'E4!%Ai"</f>
        <v>#VALUE!</v>
      </c>
      <c r="Z72" t="e">
        <f>Nodes!A545+"'E4!%Aj"</f>
        <v>#VALUE!</v>
      </c>
      <c r="AA72" t="e">
        <f>Nodes!B545+"'E4!%Ak"</f>
        <v>#VALUE!</v>
      </c>
      <c r="AB72" t="e">
        <f>Nodes!C545+"'E4!%Al"</f>
        <v>#VALUE!</v>
      </c>
      <c r="AC72" t="e">
        <f>Nodes!D545+"'E4!%Am"</f>
        <v>#VALUE!</v>
      </c>
      <c r="AD72" t="e">
        <f>Nodes!E545+"'E4!%An"</f>
        <v>#VALUE!</v>
      </c>
      <c r="AE72" t="e">
        <f>Nodes!F545+"'E4!%Ao"</f>
        <v>#VALUE!</v>
      </c>
      <c r="AF72" t="e">
        <f>Nodes!G545+"'E4!%Ap"</f>
        <v>#VALUE!</v>
      </c>
      <c r="AG72" t="e">
        <f>Nodes!H545+"'E4!%Aq"</f>
        <v>#VALUE!</v>
      </c>
      <c r="AH72" t="e">
        <f>Nodes!I545+"'E4!%Ar"</f>
        <v>#VALUE!</v>
      </c>
      <c r="AI72" t="e">
        <f>Nodes!J545+"'E4!%As"</f>
        <v>#VALUE!</v>
      </c>
      <c r="AJ72" t="e">
        <f>Nodes!K545+"'E4!%At"</f>
        <v>#VALUE!</v>
      </c>
      <c r="AK72" t="e">
        <f>Nodes!L545+"'E4!%Au"</f>
        <v>#VALUE!</v>
      </c>
      <c r="AL72" t="e">
        <f>Nodes!M545+"'E4!%Av"</f>
        <v>#VALUE!</v>
      </c>
      <c r="AM72" t="e">
        <f>Nodes!N545+"'E4!%Aw"</f>
        <v>#VALUE!</v>
      </c>
      <c r="AN72" t="e">
        <f>Nodes!O545+"'E4!%Ax"</f>
        <v>#VALUE!</v>
      </c>
      <c r="AO72" t="e">
        <f>Nodes!P545+"'E4!%Ay"</f>
        <v>#VALUE!</v>
      </c>
      <c r="AP72" t="e">
        <f>Nodes!Q545+"'E4!%Az"</f>
        <v>#VALUE!</v>
      </c>
      <c r="AQ72" t="e">
        <f>Nodes!R545+"'E4!%A{"</f>
        <v>#VALUE!</v>
      </c>
      <c r="AR72" t="e">
        <f>Nodes!S545+"'E4!%A|"</f>
        <v>#VALUE!</v>
      </c>
      <c r="AS72" t="e">
        <f>Nodes!T545+"'E4!%A}"</f>
        <v>#VALUE!</v>
      </c>
      <c r="AT72" s="548" t="e">
        <f>Nodes!U545+"'E4!%A~"</f>
        <v>#VALUE!</v>
      </c>
      <c r="AU72" t="e">
        <f>Nodes!V545+"'E4!%B#"</f>
        <v>#VALUE!</v>
      </c>
      <c r="AV72" t="e">
        <f>Nodes!W545+"'E4!%B$"</f>
        <v>#VALUE!</v>
      </c>
      <c r="AW72" t="e">
        <f>Nodes!X545+"'E4!%B%"</f>
        <v>#VALUE!</v>
      </c>
      <c r="AX72" t="e">
        <f>Nodes!Y545+"'E4!%B&amp;"</f>
        <v>#VALUE!</v>
      </c>
      <c r="AY72" t="e">
        <f>Nodes!Z545+"'E4!%B'"</f>
        <v>#VALUE!</v>
      </c>
      <c r="AZ72" t="e">
        <f>Nodes!AA545+"'E4!%B("</f>
        <v>#VALUE!</v>
      </c>
      <c r="BA72" t="e">
        <f>Nodes!AB545+"'E4!%B)"</f>
        <v>#VALUE!</v>
      </c>
      <c r="BB72" t="e">
        <f>Nodes!AC545+"'E4!%B."</f>
        <v>#VALUE!</v>
      </c>
      <c r="BC72" t="e">
        <f>Nodes!A546+"'E4!%B/"</f>
        <v>#VALUE!</v>
      </c>
      <c r="BD72" t="e">
        <f>Nodes!B546+"'E4!%B0"</f>
        <v>#VALUE!</v>
      </c>
      <c r="BE72" t="e">
        <f>Nodes!C546+"'E4!%B1"</f>
        <v>#VALUE!</v>
      </c>
      <c r="BF72" t="e">
        <f>Nodes!D546+"'E4!%B2"</f>
        <v>#VALUE!</v>
      </c>
      <c r="BG72" t="e">
        <f>Nodes!E546+"'E4!%B3"</f>
        <v>#VALUE!</v>
      </c>
      <c r="BH72" t="e">
        <f>Nodes!F546+"'E4!%B4"</f>
        <v>#VALUE!</v>
      </c>
      <c r="BI72" t="e">
        <f>Nodes!G546+"'E4!%B5"</f>
        <v>#VALUE!</v>
      </c>
      <c r="BJ72" t="e">
        <f>Nodes!H546+"'E4!%B6"</f>
        <v>#VALUE!</v>
      </c>
      <c r="BK72" t="e">
        <f>Nodes!I546+"'E4!%B7"</f>
        <v>#VALUE!</v>
      </c>
      <c r="BL72" t="e">
        <f>Nodes!J546+"'E4!%B8"</f>
        <v>#VALUE!</v>
      </c>
      <c r="BM72" t="e">
        <f>Nodes!K546+"'E4!%B9"</f>
        <v>#VALUE!</v>
      </c>
      <c r="BN72" t="e">
        <f>Nodes!L546+"'E4!%B:"</f>
        <v>#VALUE!</v>
      </c>
      <c r="BO72" t="e">
        <f>Nodes!M546+"'E4!%B;"</f>
        <v>#VALUE!</v>
      </c>
      <c r="BP72" t="e">
        <f>Nodes!N546+"'E4!%B&lt;"</f>
        <v>#VALUE!</v>
      </c>
      <c r="BQ72" t="e">
        <f>Nodes!O546+"'E4!%B="</f>
        <v>#VALUE!</v>
      </c>
      <c r="BR72" t="e">
        <f>Nodes!P546+"'E4!%B&gt;"</f>
        <v>#VALUE!</v>
      </c>
      <c r="BS72" t="e">
        <f>Nodes!Q546+"'E4!%B?"</f>
        <v>#VALUE!</v>
      </c>
      <c r="BT72" t="e">
        <f>Nodes!R546+"'E4!%B@"</f>
        <v>#VALUE!</v>
      </c>
      <c r="BU72" t="e">
        <f>Nodes!S546+"'E4!%BA"</f>
        <v>#VALUE!</v>
      </c>
      <c r="BV72" t="e">
        <f>Nodes!T546+"'E4!%BB"</f>
        <v>#VALUE!</v>
      </c>
      <c r="BW72" s="548" t="e">
        <f>Nodes!U546+"'E4!%BC"</f>
        <v>#VALUE!</v>
      </c>
      <c r="BX72" t="e">
        <f>Nodes!V546+"'E4!%BD"</f>
        <v>#VALUE!</v>
      </c>
      <c r="BY72" t="e">
        <f>Nodes!W546+"'E4!%BE"</f>
        <v>#VALUE!</v>
      </c>
      <c r="BZ72" t="e">
        <f>Nodes!X546+"'E4!%BF"</f>
        <v>#VALUE!</v>
      </c>
      <c r="CA72" t="e">
        <f>Nodes!Y546+"'E4!%BG"</f>
        <v>#VALUE!</v>
      </c>
      <c r="CB72" t="e">
        <f>Nodes!Z546+"'E4!%BH"</f>
        <v>#VALUE!</v>
      </c>
      <c r="CC72" t="e">
        <f>Nodes!AA546+"'E4!%BI"</f>
        <v>#VALUE!</v>
      </c>
      <c r="CD72" t="e">
        <f>Nodes!AB546+"'E4!%BJ"</f>
        <v>#VALUE!</v>
      </c>
      <c r="CE72" t="e">
        <f>Nodes!AC546+"'E4!%BK"</f>
        <v>#VALUE!</v>
      </c>
      <c r="CF72" t="e">
        <f>Nodes!A547+"'E4!%BL"</f>
        <v>#VALUE!</v>
      </c>
      <c r="CG72" t="e">
        <f>Nodes!B547+"'E4!%BM"</f>
        <v>#VALUE!</v>
      </c>
      <c r="CH72" t="e">
        <f>Nodes!C547+"'E4!%BN"</f>
        <v>#VALUE!</v>
      </c>
      <c r="CI72" t="e">
        <f>Nodes!D547+"'E4!%BO"</f>
        <v>#VALUE!</v>
      </c>
      <c r="CJ72" t="e">
        <f>Nodes!E547+"'E4!%BP"</f>
        <v>#VALUE!</v>
      </c>
      <c r="CK72" t="e">
        <f>Nodes!F547+"'E4!%BQ"</f>
        <v>#VALUE!</v>
      </c>
      <c r="CL72" t="e">
        <f>Nodes!G547+"'E4!%BR"</f>
        <v>#VALUE!</v>
      </c>
      <c r="CM72" t="e">
        <f>Nodes!H547+"'E4!%BS"</f>
        <v>#VALUE!</v>
      </c>
      <c r="CN72" t="e">
        <f>Nodes!I547+"'E4!%BT"</f>
        <v>#VALUE!</v>
      </c>
      <c r="CO72" t="e">
        <f>Nodes!J547+"'E4!%BU"</f>
        <v>#VALUE!</v>
      </c>
      <c r="CP72" t="e">
        <f>Nodes!K547+"'E4!%BV"</f>
        <v>#VALUE!</v>
      </c>
      <c r="CQ72" t="e">
        <f>Nodes!L547+"'E4!%BW"</f>
        <v>#VALUE!</v>
      </c>
      <c r="CR72" t="e">
        <f>Nodes!M547+"'E4!%BX"</f>
        <v>#VALUE!</v>
      </c>
      <c r="CS72" t="e">
        <f>Nodes!N547+"'E4!%BY"</f>
        <v>#VALUE!</v>
      </c>
      <c r="CT72" t="e">
        <f>Nodes!O547+"'E4!%BZ"</f>
        <v>#VALUE!</v>
      </c>
      <c r="CU72" t="e">
        <f>Nodes!P547+"'E4!%B["</f>
        <v>#VALUE!</v>
      </c>
      <c r="CV72" t="e">
        <f>Nodes!Q547+"'E4!%B\"</f>
        <v>#VALUE!</v>
      </c>
      <c r="CW72" t="e">
        <f>Nodes!R547+"'E4!%B]"</f>
        <v>#VALUE!</v>
      </c>
      <c r="CX72" t="e">
        <f>Nodes!S547+"'E4!%B^"</f>
        <v>#VALUE!</v>
      </c>
      <c r="CY72" t="e">
        <f>Nodes!T547+"'E4!%B_"</f>
        <v>#VALUE!</v>
      </c>
      <c r="CZ72" s="548" t="e">
        <f>Nodes!U547+"'E4!%B`"</f>
        <v>#VALUE!</v>
      </c>
      <c r="DA72" t="e">
        <f>Nodes!V547+"'E4!%Ba"</f>
        <v>#VALUE!</v>
      </c>
      <c r="DB72" t="e">
        <f>Nodes!W547+"'E4!%Bb"</f>
        <v>#VALUE!</v>
      </c>
      <c r="DC72" t="e">
        <f>Nodes!X547+"'E4!%Bc"</f>
        <v>#VALUE!</v>
      </c>
      <c r="DD72" t="e">
        <f>Nodes!Y547+"'E4!%Bd"</f>
        <v>#VALUE!</v>
      </c>
      <c r="DE72" t="e">
        <f>Nodes!Z547+"'E4!%Be"</f>
        <v>#VALUE!</v>
      </c>
      <c r="DF72" t="e">
        <f>Nodes!AA547+"'E4!%Bf"</f>
        <v>#VALUE!</v>
      </c>
      <c r="DG72" t="e">
        <f>Nodes!AB547+"'E4!%Bg"</f>
        <v>#VALUE!</v>
      </c>
      <c r="DH72" t="e">
        <f>Nodes!AC547+"'E4!%Bh"</f>
        <v>#VALUE!</v>
      </c>
      <c r="DI72" t="e">
        <f>Nodes!A548+"'E4!%Bi"</f>
        <v>#VALUE!</v>
      </c>
      <c r="DJ72" t="e">
        <f>Nodes!B548+"'E4!%Bj"</f>
        <v>#VALUE!</v>
      </c>
      <c r="DK72" t="e">
        <f>Nodes!C548+"'E4!%Bk"</f>
        <v>#VALUE!</v>
      </c>
      <c r="DL72" t="e">
        <f>Nodes!D548+"'E4!%Bl"</f>
        <v>#VALUE!</v>
      </c>
      <c r="DM72" t="e">
        <f>Nodes!E548+"'E4!%Bm"</f>
        <v>#VALUE!</v>
      </c>
      <c r="DN72" t="e">
        <f>Nodes!F548+"'E4!%Bn"</f>
        <v>#VALUE!</v>
      </c>
      <c r="DO72" t="e">
        <f>Nodes!G548+"'E4!%Bo"</f>
        <v>#VALUE!</v>
      </c>
      <c r="DP72" t="e">
        <f>Nodes!H548+"'E4!%Bp"</f>
        <v>#VALUE!</v>
      </c>
      <c r="DQ72" t="e">
        <f>Nodes!I548+"'E4!%Bq"</f>
        <v>#VALUE!</v>
      </c>
      <c r="DR72" t="e">
        <f>Nodes!J548+"'E4!%Br"</f>
        <v>#VALUE!</v>
      </c>
      <c r="DS72" t="e">
        <f>Nodes!K548+"'E4!%Bs"</f>
        <v>#VALUE!</v>
      </c>
      <c r="DT72" t="e">
        <f>Nodes!L548+"'E4!%Bt"</f>
        <v>#VALUE!</v>
      </c>
      <c r="DU72" t="e">
        <f>Nodes!M548+"'E4!%Bu"</f>
        <v>#VALUE!</v>
      </c>
      <c r="DV72" t="e">
        <f>Nodes!N548+"'E4!%Bv"</f>
        <v>#VALUE!</v>
      </c>
      <c r="DW72" t="e">
        <f>Nodes!O548+"'E4!%Bw"</f>
        <v>#VALUE!</v>
      </c>
      <c r="DX72" t="e">
        <f>Nodes!P548+"'E4!%Bx"</f>
        <v>#VALUE!</v>
      </c>
      <c r="DY72" t="e">
        <f>Nodes!Q548+"'E4!%By"</f>
        <v>#VALUE!</v>
      </c>
      <c r="DZ72" t="e">
        <f>Nodes!R548+"'E4!%Bz"</f>
        <v>#VALUE!</v>
      </c>
      <c r="EA72" t="e">
        <f>Nodes!S548+"'E4!%B{"</f>
        <v>#VALUE!</v>
      </c>
      <c r="EB72" t="e">
        <f>Nodes!T548+"'E4!%B|"</f>
        <v>#VALUE!</v>
      </c>
      <c r="EC72" s="548" t="e">
        <f>Nodes!U548+"'E4!%B}"</f>
        <v>#VALUE!</v>
      </c>
      <c r="ED72" t="e">
        <f>Nodes!V548+"'E4!%B~"</f>
        <v>#VALUE!</v>
      </c>
      <c r="EE72" t="e">
        <f>Nodes!W548+"'E4!%C#"</f>
        <v>#VALUE!</v>
      </c>
      <c r="EF72" t="e">
        <f>Nodes!X548+"'E4!%C$"</f>
        <v>#VALUE!</v>
      </c>
      <c r="EG72" t="e">
        <f>Nodes!Y548+"'E4!%C%"</f>
        <v>#VALUE!</v>
      </c>
      <c r="EH72" t="e">
        <f>Nodes!Z548+"'E4!%C&amp;"</f>
        <v>#VALUE!</v>
      </c>
      <c r="EI72" t="e">
        <f>Nodes!AA548+"'E4!%C'"</f>
        <v>#VALUE!</v>
      </c>
      <c r="EJ72" t="e">
        <f>Nodes!AB548+"'E4!%C("</f>
        <v>#VALUE!</v>
      </c>
      <c r="EK72" t="e">
        <f>Nodes!AC548+"'E4!%C)"</f>
        <v>#VALUE!</v>
      </c>
      <c r="EL72" t="e">
        <f>Nodes!A549+"'E4!%C."</f>
        <v>#VALUE!</v>
      </c>
      <c r="EM72" t="e">
        <f>Nodes!B549+"'E4!%C/"</f>
        <v>#VALUE!</v>
      </c>
      <c r="EN72" t="e">
        <f>Nodes!C549+"'E4!%C0"</f>
        <v>#VALUE!</v>
      </c>
      <c r="EO72" t="e">
        <f>Nodes!D549+"'E4!%C1"</f>
        <v>#VALUE!</v>
      </c>
      <c r="EP72" t="e">
        <f>Nodes!E549+"'E4!%C2"</f>
        <v>#VALUE!</v>
      </c>
      <c r="EQ72" t="e">
        <f>Nodes!F549+"'E4!%C3"</f>
        <v>#VALUE!</v>
      </c>
      <c r="ER72" t="e">
        <f>Nodes!G549+"'E4!%C4"</f>
        <v>#VALUE!</v>
      </c>
      <c r="ES72" t="e">
        <f>Nodes!H549+"'E4!%C5"</f>
        <v>#VALUE!</v>
      </c>
      <c r="ET72" t="e">
        <f>Nodes!I549+"'E4!%C6"</f>
        <v>#VALUE!</v>
      </c>
      <c r="EU72" t="e">
        <f>Nodes!J549+"'E4!%C7"</f>
        <v>#VALUE!</v>
      </c>
      <c r="EV72" t="e">
        <f>Nodes!K549+"'E4!%C8"</f>
        <v>#VALUE!</v>
      </c>
      <c r="EW72" t="e">
        <f>Nodes!L549+"'E4!%C9"</f>
        <v>#VALUE!</v>
      </c>
      <c r="EX72" t="e">
        <f>Nodes!M549+"'E4!%C:"</f>
        <v>#VALUE!</v>
      </c>
      <c r="EY72" t="e">
        <f>Nodes!N549+"'E4!%C;"</f>
        <v>#VALUE!</v>
      </c>
      <c r="EZ72" t="e">
        <f>Nodes!O549+"'E4!%C&lt;"</f>
        <v>#VALUE!</v>
      </c>
      <c r="FA72" t="e">
        <f>Nodes!P549+"'E4!%C="</f>
        <v>#VALUE!</v>
      </c>
      <c r="FB72" t="e">
        <f>Nodes!Q549+"'E4!%C&gt;"</f>
        <v>#VALUE!</v>
      </c>
      <c r="FC72" t="e">
        <f>Nodes!R549+"'E4!%C?"</f>
        <v>#VALUE!</v>
      </c>
      <c r="FD72" t="e">
        <f>Nodes!S549+"'E4!%C@"</f>
        <v>#VALUE!</v>
      </c>
      <c r="FE72" t="e">
        <f>Nodes!T549+"'E4!%CA"</f>
        <v>#VALUE!</v>
      </c>
      <c r="FF72" s="548" t="e">
        <f>Nodes!U549+"'E4!%CB"</f>
        <v>#VALUE!</v>
      </c>
      <c r="FG72" t="e">
        <f>Nodes!V549+"'E4!%CC"</f>
        <v>#VALUE!</v>
      </c>
      <c r="FH72" t="e">
        <f>Nodes!W549+"'E4!%CD"</f>
        <v>#VALUE!</v>
      </c>
      <c r="FI72" t="e">
        <f>Nodes!X549+"'E4!%CE"</f>
        <v>#VALUE!</v>
      </c>
      <c r="FJ72" t="e">
        <f>Nodes!Y549+"'E4!%CF"</f>
        <v>#VALUE!</v>
      </c>
      <c r="FK72" t="e">
        <f>Nodes!Z549+"'E4!%CG"</f>
        <v>#VALUE!</v>
      </c>
      <c r="FL72" t="e">
        <f>Nodes!AA549+"'E4!%CH"</f>
        <v>#VALUE!</v>
      </c>
      <c r="FM72" t="e">
        <f>Nodes!AB549+"'E4!%CI"</f>
        <v>#VALUE!</v>
      </c>
      <c r="FN72" t="e">
        <f>Nodes!AC549+"'E4!%CJ"</f>
        <v>#VALUE!</v>
      </c>
      <c r="FO72" t="e">
        <f>Nodes!A550+"'E4!%CK"</f>
        <v>#VALUE!</v>
      </c>
      <c r="FP72" t="e">
        <f>Nodes!B550+"'E4!%CL"</f>
        <v>#VALUE!</v>
      </c>
      <c r="FQ72" t="e">
        <f>Nodes!C550+"'E4!%CM"</f>
        <v>#VALUE!</v>
      </c>
      <c r="FR72" t="e">
        <f>Nodes!D550+"'E4!%CN"</f>
        <v>#VALUE!</v>
      </c>
      <c r="FS72" t="e">
        <f>Nodes!E550+"'E4!%CO"</f>
        <v>#VALUE!</v>
      </c>
      <c r="FT72" t="e">
        <f>Nodes!F550+"'E4!%CP"</f>
        <v>#VALUE!</v>
      </c>
      <c r="FU72" t="e">
        <f>Nodes!G550+"'E4!%CQ"</f>
        <v>#VALUE!</v>
      </c>
      <c r="FV72" t="e">
        <f>Nodes!H550+"'E4!%CR"</f>
        <v>#VALUE!</v>
      </c>
      <c r="FW72" t="e">
        <f>Nodes!I550+"'E4!%CS"</f>
        <v>#VALUE!</v>
      </c>
      <c r="FX72" t="e">
        <f>Nodes!J550+"'E4!%CT"</f>
        <v>#VALUE!</v>
      </c>
      <c r="FY72" t="e">
        <f>Nodes!K550+"'E4!%CU"</f>
        <v>#VALUE!</v>
      </c>
      <c r="FZ72" t="e">
        <f>Nodes!L550+"'E4!%CV"</f>
        <v>#VALUE!</v>
      </c>
      <c r="GA72" t="e">
        <f>Nodes!M550+"'E4!%CW"</f>
        <v>#VALUE!</v>
      </c>
      <c r="GB72" t="e">
        <f>Nodes!N550+"'E4!%CX"</f>
        <v>#VALUE!</v>
      </c>
      <c r="GC72" t="e">
        <f>Nodes!O550+"'E4!%CY"</f>
        <v>#VALUE!</v>
      </c>
      <c r="GD72" t="e">
        <f>Nodes!P550+"'E4!%CZ"</f>
        <v>#VALUE!</v>
      </c>
      <c r="GE72" t="e">
        <f>Nodes!Q550+"'E4!%C["</f>
        <v>#VALUE!</v>
      </c>
      <c r="GF72" t="e">
        <f>Nodes!R550+"'E4!%C\"</f>
        <v>#VALUE!</v>
      </c>
      <c r="GG72" t="e">
        <f>Nodes!S550+"'E4!%C]"</f>
        <v>#VALUE!</v>
      </c>
      <c r="GH72" t="e">
        <f>Nodes!T550+"'E4!%C^"</f>
        <v>#VALUE!</v>
      </c>
      <c r="GI72" s="548" t="e">
        <f>Nodes!U550+"'E4!%C_"</f>
        <v>#VALUE!</v>
      </c>
      <c r="GJ72" t="e">
        <f>Nodes!V550+"'E4!%C`"</f>
        <v>#VALUE!</v>
      </c>
      <c r="GK72" t="e">
        <f>Nodes!W550+"'E4!%Ca"</f>
        <v>#VALUE!</v>
      </c>
      <c r="GL72" t="e">
        <f>Nodes!X550+"'E4!%Cb"</f>
        <v>#VALUE!</v>
      </c>
      <c r="GM72" t="e">
        <f>Nodes!Y550+"'E4!%Cc"</f>
        <v>#VALUE!</v>
      </c>
      <c r="GN72" t="e">
        <f>Nodes!Z550+"'E4!%Cd"</f>
        <v>#VALUE!</v>
      </c>
      <c r="GO72" t="e">
        <f>Nodes!AA550+"'E4!%Ce"</f>
        <v>#VALUE!</v>
      </c>
      <c r="GP72" t="e">
        <f>Nodes!AB550+"'E4!%Cf"</f>
        <v>#VALUE!</v>
      </c>
      <c r="GQ72" t="e">
        <f>Nodes!AC550+"'E4!%Cg"</f>
        <v>#VALUE!</v>
      </c>
      <c r="GR72" t="e">
        <f>Nodes!A551+"'E4!%Ch"</f>
        <v>#VALUE!</v>
      </c>
      <c r="GS72" t="e">
        <f>Nodes!B551+"'E4!%Ci"</f>
        <v>#VALUE!</v>
      </c>
      <c r="GT72" t="e">
        <f>Nodes!C551+"'E4!%Cj"</f>
        <v>#VALUE!</v>
      </c>
      <c r="GU72" t="e">
        <f>Nodes!D551+"'E4!%Ck"</f>
        <v>#VALUE!</v>
      </c>
      <c r="GV72" t="e">
        <f>Nodes!E551+"'E4!%Cl"</f>
        <v>#VALUE!</v>
      </c>
      <c r="GW72" t="e">
        <f>Nodes!F551+"'E4!%Cm"</f>
        <v>#VALUE!</v>
      </c>
      <c r="GX72" t="e">
        <f>Nodes!G551+"'E4!%Cn"</f>
        <v>#VALUE!</v>
      </c>
      <c r="GY72" t="e">
        <f>Nodes!H551+"'E4!%Co"</f>
        <v>#VALUE!</v>
      </c>
      <c r="GZ72" t="e">
        <f>Nodes!I551+"'E4!%Cp"</f>
        <v>#VALUE!</v>
      </c>
      <c r="HA72" t="e">
        <f>Nodes!J551+"'E4!%Cq"</f>
        <v>#VALUE!</v>
      </c>
      <c r="HB72" t="e">
        <f>Nodes!K551+"'E4!%Cr"</f>
        <v>#VALUE!</v>
      </c>
      <c r="HC72" t="e">
        <f>Nodes!L551+"'E4!%Cs"</f>
        <v>#VALUE!</v>
      </c>
      <c r="HD72" t="e">
        <f>Nodes!M551+"'E4!%Ct"</f>
        <v>#VALUE!</v>
      </c>
      <c r="HE72" t="e">
        <f>Nodes!N551+"'E4!%Cu"</f>
        <v>#VALUE!</v>
      </c>
      <c r="HF72" t="e">
        <f>Nodes!O551+"'E4!%Cv"</f>
        <v>#VALUE!</v>
      </c>
      <c r="HG72" t="e">
        <f>Nodes!P551+"'E4!%Cw"</f>
        <v>#VALUE!</v>
      </c>
      <c r="HH72" t="e">
        <f>Nodes!Q551+"'E4!%Cx"</f>
        <v>#VALUE!</v>
      </c>
      <c r="HI72" t="e">
        <f>Nodes!R551+"'E4!%Cy"</f>
        <v>#VALUE!</v>
      </c>
      <c r="HJ72" t="e">
        <f>Nodes!S551+"'E4!%Cz"</f>
        <v>#VALUE!</v>
      </c>
      <c r="HK72" t="e">
        <f>Nodes!T551+"'E4!%C{"</f>
        <v>#VALUE!</v>
      </c>
      <c r="HL72" s="548" t="e">
        <f>Nodes!U551+"'E4!%C|"</f>
        <v>#VALUE!</v>
      </c>
      <c r="HM72" t="e">
        <f>Nodes!V551+"'E4!%C}"</f>
        <v>#VALUE!</v>
      </c>
      <c r="HN72" t="e">
        <f>Nodes!W551+"'E4!%C~"</f>
        <v>#VALUE!</v>
      </c>
      <c r="HO72" t="e">
        <f>Nodes!X551+"'E4!%D#"</f>
        <v>#VALUE!</v>
      </c>
      <c r="HP72" t="e">
        <f>Nodes!Y551+"'E4!%D$"</f>
        <v>#VALUE!</v>
      </c>
      <c r="HQ72" t="e">
        <f>Nodes!Z551+"'E4!%D%"</f>
        <v>#VALUE!</v>
      </c>
      <c r="HR72" t="e">
        <f>Nodes!AA551+"'E4!%D&amp;"</f>
        <v>#VALUE!</v>
      </c>
      <c r="HS72" t="e">
        <f>Nodes!AB551+"'E4!%D'"</f>
        <v>#VALUE!</v>
      </c>
      <c r="HT72" t="e">
        <f>Nodes!AC551+"'E4!%D("</f>
        <v>#VALUE!</v>
      </c>
      <c r="HU72" t="e">
        <f>Nodes!A552+"'E4!%D)"</f>
        <v>#VALUE!</v>
      </c>
      <c r="HV72" t="e">
        <f>Nodes!B552+"'E4!%D."</f>
        <v>#VALUE!</v>
      </c>
      <c r="HW72" t="e">
        <f>Nodes!C552+"'E4!%D/"</f>
        <v>#VALUE!</v>
      </c>
      <c r="HX72" t="e">
        <f>Nodes!D552+"'E4!%D0"</f>
        <v>#VALUE!</v>
      </c>
      <c r="HY72" t="e">
        <f>Nodes!E552+"'E4!%D1"</f>
        <v>#VALUE!</v>
      </c>
      <c r="HZ72" t="e">
        <f>Nodes!F552+"'E4!%D2"</f>
        <v>#VALUE!</v>
      </c>
      <c r="IA72" t="e">
        <f>Nodes!G552+"'E4!%D3"</f>
        <v>#VALUE!</v>
      </c>
      <c r="IB72" t="e">
        <f>Nodes!H552+"'E4!%D4"</f>
        <v>#VALUE!</v>
      </c>
      <c r="IC72" t="e">
        <f>Nodes!I552+"'E4!%D5"</f>
        <v>#VALUE!</v>
      </c>
      <c r="ID72" t="e">
        <f>Nodes!J552+"'E4!%D6"</f>
        <v>#VALUE!</v>
      </c>
      <c r="IE72" t="e">
        <f>Nodes!K552+"'E4!%D7"</f>
        <v>#VALUE!</v>
      </c>
      <c r="IF72" t="e">
        <f>Nodes!L552+"'E4!%D8"</f>
        <v>#VALUE!</v>
      </c>
      <c r="IG72" t="e">
        <f>Nodes!M552+"'E4!%D9"</f>
        <v>#VALUE!</v>
      </c>
      <c r="IH72" t="e">
        <f>Nodes!N552+"'E4!%D:"</f>
        <v>#VALUE!</v>
      </c>
      <c r="II72" t="e">
        <f>Nodes!O552+"'E4!%D;"</f>
        <v>#VALUE!</v>
      </c>
      <c r="IJ72" t="e">
        <f>Nodes!P552+"'E4!%D&lt;"</f>
        <v>#VALUE!</v>
      </c>
      <c r="IK72" t="e">
        <f>Nodes!Q552+"'E4!%D="</f>
        <v>#VALUE!</v>
      </c>
      <c r="IL72" t="e">
        <f>Nodes!R552+"'E4!%D&gt;"</f>
        <v>#VALUE!</v>
      </c>
      <c r="IM72" t="e">
        <f>Nodes!S552+"'E4!%D?"</f>
        <v>#VALUE!</v>
      </c>
      <c r="IN72" t="e">
        <f>Nodes!T552+"'E4!%D@"</f>
        <v>#VALUE!</v>
      </c>
      <c r="IO72" s="548" t="e">
        <f>Nodes!U552+"'E4!%DA"</f>
        <v>#VALUE!</v>
      </c>
      <c r="IP72" t="e">
        <f>Nodes!V552+"'E4!%DB"</f>
        <v>#VALUE!</v>
      </c>
      <c r="IQ72" t="e">
        <f>Nodes!W552+"'E4!%DC"</f>
        <v>#VALUE!</v>
      </c>
      <c r="IR72" t="e">
        <f>Nodes!X552+"'E4!%DD"</f>
        <v>#VALUE!</v>
      </c>
      <c r="IS72" t="e">
        <f>Nodes!Y552+"'E4!%DE"</f>
        <v>#VALUE!</v>
      </c>
      <c r="IT72" t="e">
        <f>Nodes!Z552+"'E4!%DF"</f>
        <v>#VALUE!</v>
      </c>
      <c r="IU72" t="e">
        <f>Nodes!AA552+"'E4!%DG"</f>
        <v>#VALUE!</v>
      </c>
      <c r="IV72" t="e">
        <f>Nodes!AB552+"'E4!%DH"</f>
        <v>#VALUE!</v>
      </c>
    </row>
    <row r="73" spans="6:256">
      <c r="F73" t="e">
        <f>Nodes!AC552+"'E4!%DI"</f>
        <v>#VALUE!</v>
      </c>
      <c r="G73" t="e">
        <f>Nodes!A553+"'E4!%DJ"</f>
        <v>#VALUE!</v>
      </c>
      <c r="H73" t="e">
        <f>Nodes!B553+"'E4!%DK"</f>
        <v>#VALUE!</v>
      </c>
      <c r="I73" t="e">
        <f>Nodes!C553+"'E4!%DL"</f>
        <v>#VALUE!</v>
      </c>
      <c r="J73" t="e">
        <f>Nodes!D553+"'E4!%DM"</f>
        <v>#VALUE!</v>
      </c>
      <c r="K73" t="e">
        <f>Nodes!E553+"'E4!%DN"</f>
        <v>#VALUE!</v>
      </c>
      <c r="L73" t="e">
        <f>Nodes!F553+"'E4!%DO"</f>
        <v>#VALUE!</v>
      </c>
      <c r="M73" t="e">
        <f>Nodes!G553+"'E4!%DP"</f>
        <v>#VALUE!</v>
      </c>
      <c r="N73" t="e">
        <f>Nodes!H553+"'E4!%DQ"</f>
        <v>#VALUE!</v>
      </c>
      <c r="O73" t="e">
        <f>Nodes!I553+"'E4!%DR"</f>
        <v>#VALUE!</v>
      </c>
      <c r="P73" t="e">
        <f>Nodes!J553+"'E4!%DS"</f>
        <v>#VALUE!</v>
      </c>
      <c r="Q73" t="e">
        <f>Nodes!K553+"'E4!%DT"</f>
        <v>#VALUE!</v>
      </c>
      <c r="R73" t="e">
        <f>Nodes!L553+"'E4!%DU"</f>
        <v>#VALUE!</v>
      </c>
      <c r="S73" t="e">
        <f>Nodes!M553+"'E4!%DV"</f>
        <v>#VALUE!</v>
      </c>
      <c r="T73" t="e">
        <f>Nodes!N553+"'E4!%DW"</f>
        <v>#VALUE!</v>
      </c>
      <c r="U73" t="e">
        <f>Nodes!O553+"'E4!%DX"</f>
        <v>#VALUE!</v>
      </c>
      <c r="V73" t="e">
        <f>Nodes!P553+"'E4!%DY"</f>
        <v>#VALUE!</v>
      </c>
      <c r="W73" t="e">
        <f>Nodes!Q553+"'E4!%DZ"</f>
        <v>#VALUE!</v>
      </c>
      <c r="X73" t="e">
        <f>Nodes!R553+"'E4!%D["</f>
        <v>#VALUE!</v>
      </c>
      <c r="Y73" t="e">
        <f>Nodes!S553+"'E4!%D\"</f>
        <v>#VALUE!</v>
      </c>
      <c r="Z73" t="e">
        <f>Nodes!T553+"'E4!%D]"</f>
        <v>#VALUE!</v>
      </c>
      <c r="AA73" s="548" t="e">
        <f>Nodes!U553+"'E4!%D^"</f>
        <v>#VALUE!</v>
      </c>
      <c r="AB73" t="e">
        <f>Nodes!V553+"'E4!%D_"</f>
        <v>#VALUE!</v>
      </c>
      <c r="AC73" t="e">
        <f>Nodes!W553+"'E4!%D`"</f>
        <v>#VALUE!</v>
      </c>
      <c r="AD73" t="e">
        <f>Nodes!X553+"'E4!%Da"</f>
        <v>#VALUE!</v>
      </c>
      <c r="AE73" t="e">
        <f>Nodes!Y553+"'E4!%Db"</f>
        <v>#VALUE!</v>
      </c>
      <c r="AF73" t="e">
        <f>Nodes!Z553+"'E4!%Dc"</f>
        <v>#VALUE!</v>
      </c>
      <c r="AG73" t="e">
        <f>Nodes!AA553+"'E4!%Dd"</f>
        <v>#VALUE!</v>
      </c>
      <c r="AH73" t="e">
        <f>Nodes!AB553+"'E4!%De"</f>
        <v>#VALUE!</v>
      </c>
      <c r="AI73" t="e">
        <f>Nodes!AC553+"'E4!%Df"</f>
        <v>#VALUE!</v>
      </c>
      <c r="AJ73" t="e">
        <f>Nodes!A554+"'E4!%Dg"</f>
        <v>#VALUE!</v>
      </c>
      <c r="AK73" t="e">
        <f>Nodes!B554+"'E4!%Dh"</f>
        <v>#VALUE!</v>
      </c>
      <c r="AL73" t="e">
        <f>Nodes!C554+"'E4!%Di"</f>
        <v>#VALUE!</v>
      </c>
      <c r="AM73" t="e">
        <f>Nodes!D554+"'E4!%Dj"</f>
        <v>#VALUE!</v>
      </c>
      <c r="AN73" t="e">
        <f>Nodes!E554+"'E4!%Dk"</f>
        <v>#VALUE!</v>
      </c>
      <c r="AO73" t="e">
        <f>Nodes!F554+"'E4!%Dl"</f>
        <v>#VALUE!</v>
      </c>
      <c r="AP73" t="e">
        <f>Nodes!G554+"'E4!%Dm"</f>
        <v>#VALUE!</v>
      </c>
      <c r="AQ73" t="e">
        <f>Nodes!H554+"'E4!%Dn"</f>
        <v>#VALUE!</v>
      </c>
      <c r="AR73" t="e">
        <f>Nodes!I554+"'E4!%Do"</f>
        <v>#VALUE!</v>
      </c>
      <c r="AS73" t="e">
        <f>Nodes!J554+"'E4!%Dp"</f>
        <v>#VALUE!</v>
      </c>
      <c r="AT73" t="e">
        <f>Nodes!K554+"'E4!%Dq"</f>
        <v>#VALUE!</v>
      </c>
      <c r="AU73" t="e">
        <f>Nodes!L554+"'E4!%Dr"</f>
        <v>#VALUE!</v>
      </c>
      <c r="AV73" t="e">
        <f>Nodes!M554+"'E4!%Ds"</f>
        <v>#VALUE!</v>
      </c>
      <c r="AW73" t="e">
        <f>Nodes!N554+"'E4!%Dt"</f>
        <v>#VALUE!</v>
      </c>
      <c r="AX73" t="e">
        <f>Nodes!O554+"'E4!%Du"</f>
        <v>#VALUE!</v>
      </c>
      <c r="AY73" t="e">
        <f>Nodes!P554+"'E4!%Dv"</f>
        <v>#VALUE!</v>
      </c>
      <c r="AZ73" t="e">
        <f>Nodes!Q554+"'E4!%Dw"</f>
        <v>#VALUE!</v>
      </c>
      <c r="BA73" t="e">
        <f>Nodes!R554+"'E4!%Dx"</f>
        <v>#VALUE!</v>
      </c>
      <c r="BB73" t="e">
        <f>Nodes!S554+"'E4!%Dy"</f>
        <v>#VALUE!</v>
      </c>
      <c r="BC73" t="e">
        <f>Nodes!T554+"'E4!%Dz"</f>
        <v>#VALUE!</v>
      </c>
      <c r="BD73" s="548" t="e">
        <f>Nodes!U554+"'E4!%D{"</f>
        <v>#VALUE!</v>
      </c>
      <c r="BE73" t="e">
        <f>Nodes!V554+"'E4!%D|"</f>
        <v>#VALUE!</v>
      </c>
      <c r="BF73" t="e">
        <f>Nodes!W554+"'E4!%D}"</f>
        <v>#VALUE!</v>
      </c>
      <c r="BG73" t="e">
        <f>Nodes!X554+"'E4!%D~"</f>
        <v>#VALUE!</v>
      </c>
      <c r="BH73" t="e">
        <f>Nodes!Y554+"'E4!%E#"</f>
        <v>#VALUE!</v>
      </c>
      <c r="BI73" t="e">
        <f>Nodes!Z554+"'E4!%E$"</f>
        <v>#VALUE!</v>
      </c>
      <c r="BJ73" t="e">
        <f>Nodes!AA554+"'E4!%E%"</f>
        <v>#VALUE!</v>
      </c>
      <c r="BK73" t="e">
        <f>Nodes!AB554+"'E4!%E&amp;"</f>
        <v>#VALUE!</v>
      </c>
      <c r="BL73" t="e">
        <f>Nodes!AC554+"'E4!%E'"</f>
        <v>#VALUE!</v>
      </c>
      <c r="BM73" t="e">
        <f>Nodes!A555+"'E4!%E("</f>
        <v>#VALUE!</v>
      </c>
      <c r="BN73" t="e">
        <f>Nodes!B555+"'E4!%E)"</f>
        <v>#VALUE!</v>
      </c>
      <c r="BO73" t="e">
        <f>Nodes!C555+"'E4!%E."</f>
        <v>#VALUE!</v>
      </c>
      <c r="BP73" t="e">
        <f>Nodes!D555+"'E4!%E/"</f>
        <v>#VALUE!</v>
      </c>
      <c r="BQ73" t="e">
        <f>Nodes!E555+"'E4!%E0"</f>
        <v>#VALUE!</v>
      </c>
      <c r="BR73" t="e">
        <f>Nodes!F555+"'E4!%E1"</f>
        <v>#VALUE!</v>
      </c>
      <c r="BS73" t="e">
        <f>Nodes!G555+"'E4!%E2"</f>
        <v>#VALUE!</v>
      </c>
      <c r="BT73" t="e">
        <f>Nodes!H555+"'E4!%E3"</f>
        <v>#VALUE!</v>
      </c>
      <c r="BU73" t="e">
        <f>Nodes!I555+"'E4!%E4"</f>
        <v>#VALUE!</v>
      </c>
      <c r="BV73" t="e">
        <f>Nodes!J555+"'E4!%E5"</f>
        <v>#VALUE!</v>
      </c>
      <c r="BW73" t="e">
        <f>Nodes!K555+"'E4!%E6"</f>
        <v>#VALUE!</v>
      </c>
      <c r="BX73" t="e">
        <f>Nodes!L555+"'E4!%E7"</f>
        <v>#VALUE!</v>
      </c>
      <c r="BY73" t="e">
        <f>Nodes!M555+"'E4!%E8"</f>
        <v>#VALUE!</v>
      </c>
      <c r="BZ73" t="e">
        <f>Nodes!N555+"'E4!%E9"</f>
        <v>#VALUE!</v>
      </c>
      <c r="CA73" t="e">
        <f>Nodes!O555+"'E4!%E:"</f>
        <v>#VALUE!</v>
      </c>
      <c r="CB73" t="e">
        <f>Nodes!P555+"'E4!%E;"</f>
        <v>#VALUE!</v>
      </c>
      <c r="CC73" t="e">
        <f>Nodes!Q555+"'E4!%E&lt;"</f>
        <v>#VALUE!</v>
      </c>
      <c r="CD73" t="e">
        <f>Nodes!R555+"'E4!%E="</f>
        <v>#VALUE!</v>
      </c>
      <c r="CE73" t="e">
        <f>Nodes!S555+"'E4!%E&gt;"</f>
        <v>#VALUE!</v>
      </c>
      <c r="CF73" t="e">
        <f>Nodes!T555+"'E4!%E?"</f>
        <v>#VALUE!</v>
      </c>
      <c r="CG73" s="548" t="e">
        <f>Nodes!U555+"'E4!%E@"</f>
        <v>#VALUE!</v>
      </c>
      <c r="CH73" t="e">
        <f>Nodes!V555+"'E4!%EA"</f>
        <v>#VALUE!</v>
      </c>
      <c r="CI73" t="e">
        <f>Nodes!W555+"'E4!%EB"</f>
        <v>#VALUE!</v>
      </c>
      <c r="CJ73" t="e">
        <f>Nodes!X555+"'E4!%EC"</f>
        <v>#VALUE!</v>
      </c>
      <c r="CK73" t="e">
        <f>Nodes!Y555+"'E4!%ED"</f>
        <v>#VALUE!</v>
      </c>
      <c r="CL73" t="e">
        <f>Nodes!Z555+"'E4!%EE"</f>
        <v>#VALUE!</v>
      </c>
      <c r="CM73" t="e">
        <f>Nodes!AA555+"'E4!%EF"</f>
        <v>#VALUE!</v>
      </c>
      <c r="CN73" t="e">
        <f>Nodes!AB555+"'E4!%EG"</f>
        <v>#VALUE!</v>
      </c>
      <c r="CO73" t="e">
        <f>Nodes!AC555+"'E4!%EH"</f>
        <v>#VALUE!</v>
      </c>
      <c r="CP73" t="e">
        <f>Nodes!A556+"'E4!%EI"</f>
        <v>#VALUE!</v>
      </c>
      <c r="CQ73" t="e">
        <f>Nodes!B556+"'E4!%EJ"</f>
        <v>#VALUE!</v>
      </c>
      <c r="CR73" t="e">
        <f>Nodes!C556+"'E4!%EK"</f>
        <v>#VALUE!</v>
      </c>
      <c r="CS73" t="e">
        <f>Nodes!D556+"'E4!%EL"</f>
        <v>#VALUE!</v>
      </c>
      <c r="CT73" t="e">
        <f>Nodes!E556+"'E4!%EM"</f>
        <v>#VALUE!</v>
      </c>
      <c r="CU73" t="e">
        <f>Nodes!F556+"'E4!%EN"</f>
        <v>#VALUE!</v>
      </c>
      <c r="CV73" t="e">
        <f>Nodes!G556+"'E4!%EO"</f>
        <v>#VALUE!</v>
      </c>
      <c r="CW73" t="e">
        <f>Nodes!H556+"'E4!%EP"</f>
        <v>#VALUE!</v>
      </c>
      <c r="CX73" t="e">
        <f>Nodes!I556+"'E4!%EQ"</f>
        <v>#VALUE!</v>
      </c>
      <c r="CY73" t="e">
        <f>Nodes!J556+"'E4!%ER"</f>
        <v>#VALUE!</v>
      </c>
      <c r="CZ73" t="e">
        <f>Nodes!K556+"'E4!%ES"</f>
        <v>#VALUE!</v>
      </c>
      <c r="DA73" t="e">
        <f>Nodes!L556+"'E4!%ET"</f>
        <v>#VALUE!</v>
      </c>
      <c r="DB73" t="e">
        <f>Nodes!M556+"'E4!%EU"</f>
        <v>#VALUE!</v>
      </c>
      <c r="DC73" t="e">
        <f>Nodes!N556+"'E4!%EV"</f>
        <v>#VALUE!</v>
      </c>
      <c r="DD73" t="e">
        <f>Nodes!O556+"'E4!%EW"</f>
        <v>#VALUE!</v>
      </c>
      <c r="DE73" t="e">
        <f>Nodes!P556+"'E4!%EX"</f>
        <v>#VALUE!</v>
      </c>
      <c r="DF73" t="e">
        <f>Nodes!Q556+"'E4!%EY"</f>
        <v>#VALUE!</v>
      </c>
      <c r="DG73" t="e">
        <f>Nodes!R556+"'E4!%EZ"</f>
        <v>#VALUE!</v>
      </c>
      <c r="DH73" t="e">
        <f>Nodes!S556+"'E4!%E["</f>
        <v>#VALUE!</v>
      </c>
      <c r="DI73" t="e">
        <f>Nodes!T556+"'E4!%E\"</f>
        <v>#VALUE!</v>
      </c>
      <c r="DJ73" s="548" t="e">
        <f>Nodes!U556+"'E4!%E]"</f>
        <v>#VALUE!</v>
      </c>
      <c r="DK73" t="e">
        <f>Nodes!V556+"'E4!%E^"</f>
        <v>#VALUE!</v>
      </c>
      <c r="DL73" t="e">
        <f>Nodes!W556+"'E4!%E_"</f>
        <v>#VALUE!</v>
      </c>
      <c r="DM73" t="e">
        <f>Nodes!X556+"'E4!%E`"</f>
        <v>#VALUE!</v>
      </c>
      <c r="DN73" t="e">
        <f>Nodes!Y556+"'E4!%Ea"</f>
        <v>#VALUE!</v>
      </c>
      <c r="DO73" t="e">
        <f>Nodes!Z556+"'E4!%Eb"</f>
        <v>#VALUE!</v>
      </c>
      <c r="DP73" t="e">
        <f>Nodes!AA556+"'E4!%Ec"</f>
        <v>#VALUE!</v>
      </c>
      <c r="DQ73" t="e">
        <f>Nodes!AB556+"'E4!%Ed"</f>
        <v>#VALUE!</v>
      </c>
      <c r="DR73" t="e">
        <f>Nodes!AC556+"'E4!%Ee"</f>
        <v>#VALUE!</v>
      </c>
      <c r="DS73" t="e">
        <f>Nodes!A557+"'E4!%Ef"</f>
        <v>#VALUE!</v>
      </c>
      <c r="DT73" t="e">
        <f>Nodes!B557+"'E4!%Eg"</f>
        <v>#VALUE!</v>
      </c>
      <c r="DU73" t="e">
        <f>Nodes!C557+"'E4!%Eh"</f>
        <v>#VALUE!</v>
      </c>
      <c r="DV73" t="e">
        <f>Nodes!D557+"'E4!%Ei"</f>
        <v>#VALUE!</v>
      </c>
      <c r="DW73" t="e">
        <f>Nodes!E557+"'E4!%Ej"</f>
        <v>#VALUE!</v>
      </c>
      <c r="DX73" t="e">
        <f>Nodes!F557+"'E4!%Ek"</f>
        <v>#VALUE!</v>
      </c>
      <c r="DY73" t="e">
        <f>Nodes!G557+"'E4!%El"</f>
        <v>#VALUE!</v>
      </c>
      <c r="DZ73" t="e">
        <f>Nodes!H557+"'E4!%Em"</f>
        <v>#VALUE!</v>
      </c>
      <c r="EA73" t="e">
        <f>Nodes!I557+"'E4!%En"</f>
        <v>#VALUE!</v>
      </c>
      <c r="EB73" t="e">
        <f>Nodes!J557+"'E4!%Eo"</f>
        <v>#VALUE!</v>
      </c>
      <c r="EC73" t="e">
        <f>Nodes!K557+"'E4!%Ep"</f>
        <v>#VALUE!</v>
      </c>
      <c r="ED73" t="e">
        <f>Nodes!L557+"'E4!%Eq"</f>
        <v>#VALUE!</v>
      </c>
      <c r="EE73" t="e">
        <f>Nodes!M557+"'E4!%Er"</f>
        <v>#VALUE!</v>
      </c>
      <c r="EF73" t="e">
        <f>Nodes!N557+"'E4!%Es"</f>
        <v>#VALUE!</v>
      </c>
      <c r="EG73" t="e">
        <f>Nodes!O557+"'E4!%Et"</f>
        <v>#VALUE!</v>
      </c>
      <c r="EH73" t="e">
        <f>Nodes!P557+"'E4!%Eu"</f>
        <v>#VALUE!</v>
      </c>
      <c r="EI73" t="e">
        <f>Nodes!Q557+"'E4!%Ev"</f>
        <v>#VALUE!</v>
      </c>
      <c r="EJ73" t="e">
        <f>Nodes!R557+"'E4!%Ew"</f>
        <v>#VALUE!</v>
      </c>
      <c r="EK73" t="e">
        <f>Nodes!S557+"'E4!%Ex"</f>
        <v>#VALUE!</v>
      </c>
      <c r="EL73" t="e">
        <f>Nodes!T557+"'E4!%Ey"</f>
        <v>#VALUE!</v>
      </c>
      <c r="EM73" s="548" t="e">
        <f>Nodes!U557+"'E4!%Ez"</f>
        <v>#VALUE!</v>
      </c>
      <c r="EN73" t="e">
        <f>Nodes!V557+"'E4!%E{"</f>
        <v>#VALUE!</v>
      </c>
      <c r="EO73" t="e">
        <f>Nodes!W557+"'E4!%E|"</f>
        <v>#VALUE!</v>
      </c>
      <c r="EP73" t="e">
        <f>Nodes!X557+"'E4!%E}"</f>
        <v>#VALUE!</v>
      </c>
      <c r="EQ73" t="e">
        <f>Nodes!Y557+"'E4!%E~"</f>
        <v>#VALUE!</v>
      </c>
      <c r="ER73" t="e">
        <f>Nodes!Z557+"'E4!%F#"</f>
        <v>#VALUE!</v>
      </c>
      <c r="ES73" t="e">
        <f>Nodes!AA557+"'E4!%F$"</f>
        <v>#VALUE!</v>
      </c>
      <c r="ET73" t="e">
        <f>Nodes!AB557+"'E4!%F%"</f>
        <v>#VALUE!</v>
      </c>
      <c r="EU73" t="e">
        <f>Nodes!AC557+"'E4!%F&amp;"</f>
        <v>#VALUE!</v>
      </c>
      <c r="EV73" t="e">
        <f>Nodes!A558+"'E4!%F'"</f>
        <v>#VALUE!</v>
      </c>
      <c r="EW73" t="e">
        <f>Nodes!B558+"'E4!%F("</f>
        <v>#VALUE!</v>
      </c>
      <c r="EX73" t="e">
        <f>Nodes!C558+"'E4!%F)"</f>
        <v>#VALUE!</v>
      </c>
      <c r="EY73" t="e">
        <f>Nodes!D558+"'E4!%F."</f>
        <v>#VALUE!</v>
      </c>
      <c r="EZ73" t="e">
        <f>Nodes!E558+"'E4!%F/"</f>
        <v>#VALUE!</v>
      </c>
      <c r="FA73" t="e">
        <f>Nodes!F558+"'E4!%F0"</f>
        <v>#VALUE!</v>
      </c>
      <c r="FB73" t="e">
        <f>Nodes!G558+"'E4!%F1"</f>
        <v>#VALUE!</v>
      </c>
      <c r="FC73" t="e">
        <f>Nodes!H558+"'E4!%F2"</f>
        <v>#VALUE!</v>
      </c>
      <c r="FD73" t="e">
        <f>Nodes!I558+"'E4!%F3"</f>
        <v>#VALUE!</v>
      </c>
      <c r="FE73" t="e">
        <f>Nodes!J558+"'E4!%F4"</f>
        <v>#VALUE!</v>
      </c>
      <c r="FF73" t="e">
        <f>Nodes!K558+"'E4!%F5"</f>
        <v>#VALUE!</v>
      </c>
      <c r="FG73" t="e">
        <f>Nodes!L558+"'E4!%F6"</f>
        <v>#VALUE!</v>
      </c>
      <c r="FH73" t="e">
        <f>Nodes!M558+"'E4!%F7"</f>
        <v>#VALUE!</v>
      </c>
      <c r="FI73" t="e">
        <f>Nodes!N558+"'E4!%F8"</f>
        <v>#VALUE!</v>
      </c>
      <c r="FJ73" t="e">
        <f>Nodes!O558+"'E4!%F9"</f>
        <v>#VALUE!</v>
      </c>
      <c r="FK73" t="e">
        <f>Nodes!P558+"'E4!%F:"</f>
        <v>#VALUE!</v>
      </c>
      <c r="FL73" t="e">
        <f>Nodes!Q558+"'E4!%F;"</f>
        <v>#VALUE!</v>
      </c>
      <c r="FM73" t="e">
        <f>Nodes!R558+"'E4!%F&lt;"</f>
        <v>#VALUE!</v>
      </c>
      <c r="FN73" t="e">
        <f>Nodes!S558+"'E4!%F="</f>
        <v>#VALUE!</v>
      </c>
      <c r="FO73" t="e">
        <f>Nodes!T558+"'E4!%F&gt;"</f>
        <v>#VALUE!</v>
      </c>
      <c r="FP73" s="548" t="e">
        <f>Nodes!U558+"'E4!%F?"</f>
        <v>#VALUE!</v>
      </c>
      <c r="FQ73" t="e">
        <f>Nodes!V558+"'E4!%F@"</f>
        <v>#VALUE!</v>
      </c>
      <c r="FR73" t="e">
        <f>Nodes!W558+"'E4!%FA"</f>
        <v>#VALUE!</v>
      </c>
      <c r="FS73" t="e">
        <f>Nodes!X558+"'E4!%FB"</f>
        <v>#VALUE!</v>
      </c>
      <c r="FT73" t="e">
        <f>Nodes!Y558+"'E4!%FC"</f>
        <v>#VALUE!</v>
      </c>
      <c r="FU73" t="e">
        <f>Nodes!Z558+"'E4!%FD"</f>
        <v>#VALUE!</v>
      </c>
      <c r="FV73" t="e">
        <f>Nodes!AA558+"'E4!%FE"</f>
        <v>#VALUE!</v>
      </c>
      <c r="FW73" t="e">
        <f>Nodes!AB558+"'E4!%FF"</f>
        <v>#VALUE!</v>
      </c>
      <c r="FX73" t="e">
        <f>Nodes!AC558+"'E4!%FG"</f>
        <v>#VALUE!</v>
      </c>
      <c r="FY73" t="e">
        <f>Nodes!A559+"'E4!%FH"</f>
        <v>#VALUE!</v>
      </c>
      <c r="FZ73" t="e">
        <f>Nodes!B559+"'E4!%FI"</f>
        <v>#VALUE!</v>
      </c>
      <c r="GA73" t="e">
        <f>Nodes!C559+"'E4!%FJ"</f>
        <v>#VALUE!</v>
      </c>
      <c r="GB73" t="e">
        <f>Nodes!D559+"'E4!%FK"</f>
        <v>#VALUE!</v>
      </c>
      <c r="GC73" t="e">
        <f>Nodes!E559+"'E4!%FL"</f>
        <v>#VALUE!</v>
      </c>
      <c r="GD73" t="e">
        <f>Nodes!F559+"'E4!%FM"</f>
        <v>#VALUE!</v>
      </c>
      <c r="GE73" t="e">
        <f>Nodes!G559+"'E4!%FN"</f>
        <v>#VALUE!</v>
      </c>
      <c r="GF73" t="e">
        <f>Nodes!H559+"'E4!%FO"</f>
        <v>#VALUE!</v>
      </c>
      <c r="GG73" t="e">
        <f>Nodes!I559+"'E4!%FP"</f>
        <v>#VALUE!</v>
      </c>
      <c r="GH73" t="e">
        <f>Nodes!J559+"'E4!%FQ"</f>
        <v>#VALUE!</v>
      </c>
      <c r="GI73" t="e">
        <f>Nodes!K559+"'E4!%FR"</f>
        <v>#VALUE!</v>
      </c>
      <c r="GJ73" t="e">
        <f>Nodes!L559+"'E4!%FS"</f>
        <v>#VALUE!</v>
      </c>
      <c r="GK73" t="e">
        <f>Nodes!M559+"'E4!%FT"</f>
        <v>#VALUE!</v>
      </c>
      <c r="GL73" t="e">
        <f>Nodes!N559+"'E4!%FU"</f>
        <v>#VALUE!</v>
      </c>
      <c r="GM73" t="e">
        <f>Nodes!O559+"'E4!%FV"</f>
        <v>#VALUE!</v>
      </c>
      <c r="GN73" t="e">
        <f>Nodes!P559+"'E4!%FW"</f>
        <v>#VALUE!</v>
      </c>
      <c r="GO73" t="e">
        <f>Nodes!Q559+"'E4!%FX"</f>
        <v>#VALUE!</v>
      </c>
      <c r="GP73" t="e">
        <f>Nodes!R559+"'E4!%FY"</f>
        <v>#VALUE!</v>
      </c>
      <c r="GQ73" t="e">
        <f>Nodes!S559+"'E4!%FZ"</f>
        <v>#VALUE!</v>
      </c>
      <c r="GR73" t="e">
        <f>Nodes!T559+"'E4!%F["</f>
        <v>#VALUE!</v>
      </c>
      <c r="GS73" s="548" t="e">
        <f>Nodes!U559+"'E4!%F\"</f>
        <v>#VALUE!</v>
      </c>
      <c r="GT73" t="e">
        <f>Nodes!V559+"'E4!%F]"</f>
        <v>#VALUE!</v>
      </c>
      <c r="GU73" t="e">
        <f>Nodes!W559+"'E4!%F^"</f>
        <v>#VALUE!</v>
      </c>
      <c r="GV73" t="e">
        <f>Nodes!X559+"'E4!%F_"</f>
        <v>#VALUE!</v>
      </c>
      <c r="GW73" t="e">
        <f>Nodes!Y559+"'E4!%F`"</f>
        <v>#VALUE!</v>
      </c>
      <c r="GX73" t="e">
        <f>Nodes!Z559+"'E4!%Fa"</f>
        <v>#VALUE!</v>
      </c>
      <c r="GY73" t="e">
        <f>Nodes!AA559+"'E4!%Fb"</f>
        <v>#VALUE!</v>
      </c>
      <c r="GZ73" t="e">
        <f>Nodes!AB559+"'E4!%Fc"</f>
        <v>#VALUE!</v>
      </c>
      <c r="HA73" t="e">
        <f>Nodes!AC559+"'E4!%Fd"</f>
        <v>#VALUE!</v>
      </c>
      <c r="HB73" t="e">
        <f>Nodes!A560+"'E4!%Fe"</f>
        <v>#VALUE!</v>
      </c>
      <c r="HC73" t="e">
        <f>Nodes!B560+"'E4!%Ff"</f>
        <v>#VALUE!</v>
      </c>
      <c r="HD73" t="e">
        <f>Nodes!C560+"'E4!%Fg"</f>
        <v>#VALUE!</v>
      </c>
      <c r="HE73" t="e">
        <f>Nodes!D560+"'E4!%Fh"</f>
        <v>#VALUE!</v>
      </c>
      <c r="HF73" t="e">
        <f>Nodes!E560+"'E4!%Fi"</f>
        <v>#VALUE!</v>
      </c>
      <c r="HG73" t="e">
        <f>Nodes!F560+"'E4!%Fj"</f>
        <v>#VALUE!</v>
      </c>
      <c r="HH73" t="e">
        <f>Nodes!G560+"'E4!%Fk"</f>
        <v>#VALUE!</v>
      </c>
      <c r="HI73" t="e">
        <f>Nodes!H560+"'E4!%Fl"</f>
        <v>#VALUE!</v>
      </c>
      <c r="HJ73" t="e">
        <f>Nodes!I560+"'E4!%Fm"</f>
        <v>#VALUE!</v>
      </c>
      <c r="HK73" t="e">
        <f>Nodes!J560+"'E4!%Fn"</f>
        <v>#VALUE!</v>
      </c>
      <c r="HL73" t="e">
        <f>Nodes!K560+"'E4!%Fo"</f>
        <v>#VALUE!</v>
      </c>
      <c r="HM73" t="e">
        <f>Nodes!L560+"'E4!%Fp"</f>
        <v>#VALUE!</v>
      </c>
      <c r="HN73" t="e">
        <f>Nodes!M560+"'E4!%Fq"</f>
        <v>#VALUE!</v>
      </c>
      <c r="HO73" t="e">
        <f>Nodes!N560+"'E4!%Fr"</f>
        <v>#VALUE!</v>
      </c>
      <c r="HP73" t="e">
        <f>Nodes!O560+"'E4!%Fs"</f>
        <v>#VALUE!</v>
      </c>
      <c r="HQ73" t="e">
        <f>Nodes!P560+"'E4!%Ft"</f>
        <v>#VALUE!</v>
      </c>
      <c r="HR73" t="e">
        <f>Nodes!Q560+"'E4!%Fu"</f>
        <v>#VALUE!</v>
      </c>
      <c r="HS73" t="e">
        <f>Nodes!R560+"'E4!%Fv"</f>
        <v>#VALUE!</v>
      </c>
      <c r="HT73" t="e">
        <f>Nodes!S560+"'E4!%Fw"</f>
        <v>#VALUE!</v>
      </c>
      <c r="HU73" t="e">
        <f>Nodes!T560+"'E4!%Fx"</f>
        <v>#VALUE!</v>
      </c>
      <c r="HV73" s="548" t="e">
        <f>Nodes!U560+"'E4!%Fy"</f>
        <v>#VALUE!</v>
      </c>
      <c r="HW73" t="e">
        <f>Nodes!V560+"'E4!%Fz"</f>
        <v>#VALUE!</v>
      </c>
      <c r="HX73" t="e">
        <f>Nodes!W560+"'E4!%F{"</f>
        <v>#VALUE!</v>
      </c>
      <c r="HY73" t="e">
        <f>Nodes!X560+"'E4!%F|"</f>
        <v>#VALUE!</v>
      </c>
      <c r="HZ73" t="e">
        <f>Nodes!Y560+"'E4!%F}"</f>
        <v>#VALUE!</v>
      </c>
      <c r="IA73" t="e">
        <f>Nodes!Z560+"'E4!%F~"</f>
        <v>#VALUE!</v>
      </c>
      <c r="IB73" t="e">
        <f>Nodes!AA560+"'E4!%G#"</f>
        <v>#VALUE!</v>
      </c>
      <c r="IC73" t="e">
        <f>Nodes!AB560+"'E4!%G$"</f>
        <v>#VALUE!</v>
      </c>
      <c r="ID73" t="e">
        <f>Nodes!AC560+"'E4!%G%"</f>
        <v>#VALUE!</v>
      </c>
      <c r="IE73" t="e">
        <f>Nodes!A561+"'E4!%G&amp;"</f>
        <v>#VALUE!</v>
      </c>
      <c r="IF73" t="e">
        <f>Nodes!B561+"'E4!%G'"</f>
        <v>#VALUE!</v>
      </c>
      <c r="IG73" t="e">
        <f>Nodes!C561+"'E4!%G("</f>
        <v>#VALUE!</v>
      </c>
      <c r="IH73" t="e">
        <f>Nodes!D561+"'E4!%G)"</f>
        <v>#VALUE!</v>
      </c>
      <c r="II73" t="e">
        <f>Nodes!E561+"'E4!%G."</f>
        <v>#VALUE!</v>
      </c>
      <c r="IJ73" t="e">
        <f>Nodes!F561+"'E4!%G/"</f>
        <v>#VALUE!</v>
      </c>
      <c r="IK73" t="e">
        <f>Nodes!G561+"'E4!%G0"</f>
        <v>#VALUE!</v>
      </c>
      <c r="IL73" t="e">
        <f>Nodes!H561+"'E4!%G1"</f>
        <v>#VALUE!</v>
      </c>
      <c r="IM73" t="e">
        <f>Nodes!I561+"'E4!%G2"</f>
        <v>#VALUE!</v>
      </c>
      <c r="IN73" t="e">
        <f>Nodes!J561+"'E4!%G3"</f>
        <v>#VALUE!</v>
      </c>
      <c r="IO73" t="e">
        <f>Nodes!K561+"'E4!%G4"</f>
        <v>#VALUE!</v>
      </c>
      <c r="IP73" t="e">
        <f>Nodes!L561+"'E4!%G5"</f>
        <v>#VALUE!</v>
      </c>
      <c r="IQ73" t="e">
        <f>Nodes!M561+"'E4!%G6"</f>
        <v>#VALUE!</v>
      </c>
      <c r="IR73" t="e">
        <f>Nodes!N561+"'E4!%G7"</f>
        <v>#VALUE!</v>
      </c>
      <c r="IS73" t="e">
        <f>Nodes!O561+"'E4!%G8"</f>
        <v>#VALUE!</v>
      </c>
      <c r="IT73" t="e">
        <f>Nodes!P561+"'E4!%G9"</f>
        <v>#VALUE!</v>
      </c>
      <c r="IU73" t="e">
        <f>Nodes!Q561+"'E4!%G:"</f>
        <v>#VALUE!</v>
      </c>
      <c r="IV73" t="e">
        <f>Nodes!R561+"'E4!%G;"</f>
        <v>#VALUE!</v>
      </c>
    </row>
    <row r="74" spans="6:256">
      <c r="F74" t="e">
        <f>Nodes!S561+"'E4!%G&lt;"</f>
        <v>#VALUE!</v>
      </c>
      <c r="G74" t="e">
        <f>Nodes!T561+"'E4!%G="</f>
        <v>#VALUE!</v>
      </c>
      <c r="H74" s="548" t="e">
        <f>Nodes!U561+"'E4!%G&gt;"</f>
        <v>#VALUE!</v>
      </c>
      <c r="I74" t="e">
        <f>Nodes!V561+"'E4!%G?"</f>
        <v>#VALUE!</v>
      </c>
      <c r="J74" t="e">
        <f>Nodes!W561+"'E4!%G@"</f>
        <v>#VALUE!</v>
      </c>
      <c r="K74" t="e">
        <f>Nodes!X561+"'E4!%GA"</f>
        <v>#VALUE!</v>
      </c>
      <c r="L74" t="e">
        <f>Nodes!Y561+"'E4!%GB"</f>
        <v>#VALUE!</v>
      </c>
      <c r="M74" t="e">
        <f>Nodes!Z561+"'E4!%GC"</f>
        <v>#VALUE!</v>
      </c>
      <c r="N74" t="e">
        <f>Nodes!AA561+"'E4!%GD"</f>
        <v>#VALUE!</v>
      </c>
      <c r="O74" t="e">
        <f>Nodes!AB561+"'E4!%GE"</f>
        <v>#VALUE!</v>
      </c>
      <c r="P74" t="e">
        <f>Nodes!AC561+"'E4!%GF"</f>
        <v>#VALUE!</v>
      </c>
      <c r="Q74" t="e">
        <f>Nodes!A562+"'E4!%GG"</f>
        <v>#VALUE!</v>
      </c>
      <c r="R74" t="e">
        <f>Nodes!B562+"'E4!%GH"</f>
        <v>#VALUE!</v>
      </c>
      <c r="S74" t="e">
        <f>Nodes!C562+"'E4!%GI"</f>
        <v>#VALUE!</v>
      </c>
      <c r="T74" t="e">
        <f>Nodes!D562+"'E4!%GJ"</f>
        <v>#VALUE!</v>
      </c>
      <c r="U74" t="e">
        <f>Nodes!E562+"'E4!%GK"</f>
        <v>#VALUE!</v>
      </c>
      <c r="V74" t="e">
        <f>Nodes!F562+"'E4!%GL"</f>
        <v>#VALUE!</v>
      </c>
      <c r="W74" t="e">
        <f>Nodes!G562+"'E4!%GM"</f>
        <v>#VALUE!</v>
      </c>
      <c r="X74" t="e">
        <f>Nodes!H562+"'E4!%GN"</f>
        <v>#VALUE!</v>
      </c>
      <c r="Y74" t="e">
        <f>Nodes!I562+"'E4!%GO"</f>
        <v>#VALUE!</v>
      </c>
      <c r="Z74" t="e">
        <f>Nodes!J562+"'E4!%GP"</f>
        <v>#VALUE!</v>
      </c>
      <c r="AA74" t="e">
        <f>Nodes!K562+"'E4!%GQ"</f>
        <v>#VALUE!</v>
      </c>
      <c r="AB74" t="e">
        <f>Nodes!L562+"'E4!%GR"</f>
        <v>#VALUE!</v>
      </c>
      <c r="AC74" t="e">
        <f>Nodes!M562+"'E4!%GS"</f>
        <v>#VALUE!</v>
      </c>
      <c r="AD74" t="e">
        <f>Nodes!N562+"'E4!%GT"</f>
        <v>#VALUE!</v>
      </c>
      <c r="AE74" t="e">
        <f>Nodes!O562+"'E4!%GU"</f>
        <v>#VALUE!</v>
      </c>
      <c r="AF74" t="e">
        <f>Nodes!P562+"'E4!%GV"</f>
        <v>#VALUE!</v>
      </c>
      <c r="AG74" t="e">
        <f>Nodes!Q562+"'E4!%GW"</f>
        <v>#VALUE!</v>
      </c>
      <c r="AH74" t="e">
        <f>Nodes!R562+"'E4!%GX"</f>
        <v>#VALUE!</v>
      </c>
      <c r="AI74" t="e">
        <f>Nodes!S562+"'E4!%GY"</f>
        <v>#VALUE!</v>
      </c>
      <c r="AJ74" t="e">
        <f>Nodes!T562+"'E4!%GZ"</f>
        <v>#VALUE!</v>
      </c>
      <c r="AK74" s="548" t="e">
        <f>Nodes!U562+"'E4!%G["</f>
        <v>#VALUE!</v>
      </c>
      <c r="AL74" t="e">
        <f>Nodes!V562+"'E4!%G\"</f>
        <v>#VALUE!</v>
      </c>
      <c r="AM74" t="e">
        <f>Nodes!W562+"'E4!%G]"</f>
        <v>#VALUE!</v>
      </c>
      <c r="AN74" t="e">
        <f>Nodes!X562+"'E4!%G^"</f>
        <v>#VALUE!</v>
      </c>
      <c r="AO74" t="e">
        <f>Nodes!Y562+"'E4!%G_"</f>
        <v>#VALUE!</v>
      </c>
      <c r="AP74" t="e">
        <f>Nodes!Z562+"'E4!%G`"</f>
        <v>#VALUE!</v>
      </c>
      <c r="AQ74" t="e">
        <f>Nodes!AA562+"'E4!%Ga"</f>
        <v>#VALUE!</v>
      </c>
      <c r="AR74" t="e">
        <f>Nodes!AB562+"'E4!%Gb"</f>
        <v>#VALUE!</v>
      </c>
      <c r="AS74" t="e">
        <f>Nodes!AC562+"'E4!%Gc"</f>
        <v>#VALUE!</v>
      </c>
      <c r="AT74" t="e">
        <f>Nodes!A563+"'E4!%Gd"</f>
        <v>#VALUE!</v>
      </c>
      <c r="AU74" t="e">
        <f>Nodes!B563+"'E4!%Ge"</f>
        <v>#VALUE!</v>
      </c>
      <c r="AV74" t="e">
        <f>Nodes!C563+"'E4!%Gf"</f>
        <v>#VALUE!</v>
      </c>
      <c r="AW74" t="e">
        <f>Nodes!D563+"'E4!%Gg"</f>
        <v>#VALUE!</v>
      </c>
      <c r="AX74" t="e">
        <f>Nodes!E563+"'E4!%Gh"</f>
        <v>#VALUE!</v>
      </c>
      <c r="AY74" t="e">
        <f>Nodes!F563+"'E4!%Gi"</f>
        <v>#VALUE!</v>
      </c>
      <c r="AZ74" t="e">
        <f>Nodes!G563+"'E4!%Gj"</f>
        <v>#VALUE!</v>
      </c>
      <c r="BA74" t="e">
        <f>Nodes!H563+"'E4!%Gk"</f>
        <v>#VALUE!</v>
      </c>
      <c r="BB74" t="e">
        <f>Nodes!I563+"'E4!%Gl"</f>
        <v>#VALUE!</v>
      </c>
      <c r="BC74" t="e">
        <f>Nodes!J563+"'E4!%Gm"</f>
        <v>#VALUE!</v>
      </c>
      <c r="BD74" t="e">
        <f>Nodes!K563+"'E4!%Gn"</f>
        <v>#VALUE!</v>
      </c>
      <c r="BE74" t="e">
        <f>Nodes!L563+"'E4!%Go"</f>
        <v>#VALUE!</v>
      </c>
      <c r="BF74" t="e">
        <f>Nodes!M563+"'E4!%Gp"</f>
        <v>#VALUE!</v>
      </c>
      <c r="BG74" t="e">
        <f>Nodes!N563+"'E4!%Gq"</f>
        <v>#VALUE!</v>
      </c>
      <c r="BH74" t="e">
        <f>Nodes!O563+"'E4!%Gr"</f>
        <v>#VALUE!</v>
      </c>
      <c r="BI74" t="e">
        <f>Nodes!P563+"'E4!%Gs"</f>
        <v>#VALUE!</v>
      </c>
      <c r="BJ74" t="e">
        <f>Nodes!Q563+"'E4!%Gt"</f>
        <v>#VALUE!</v>
      </c>
      <c r="BK74" t="e">
        <f>Nodes!R563+"'E4!%Gu"</f>
        <v>#VALUE!</v>
      </c>
      <c r="BL74" t="e">
        <f>Nodes!S563+"'E4!%Gv"</f>
        <v>#VALUE!</v>
      </c>
      <c r="BM74" t="e">
        <f>Nodes!T563+"'E4!%Gw"</f>
        <v>#VALUE!</v>
      </c>
      <c r="BN74" s="548" t="e">
        <f>Nodes!U563+"'E4!%Gx"</f>
        <v>#VALUE!</v>
      </c>
      <c r="BO74" t="e">
        <f>Nodes!V563+"'E4!%Gy"</f>
        <v>#VALUE!</v>
      </c>
      <c r="BP74" t="e">
        <f>Nodes!W563+"'E4!%Gz"</f>
        <v>#VALUE!</v>
      </c>
      <c r="BQ74" t="e">
        <f>Nodes!X563+"'E4!%G{"</f>
        <v>#VALUE!</v>
      </c>
      <c r="BR74" t="e">
        <f>Nodes!Y563+"'E4!%G|"</f>
        <v>#VALUE!</v>
      </c>
      <c r="BS74" t="e">
        <f>Nodes!Z563+"'E4!%G}"</f>
        <v>#VALUE!</v>
      </c>
      <c r="BT74" t="e">
        <f>Nodes!AA563+"'E4!%G~"</f>
        <v>#VALUE!</v>
      </c>
      <c r="BU74" t="e">
        <f>Nodes!AB563+"'E4!%H#"</f>
        <v>#VALUE!</v>
      </c>
      <c r="BV74" t="e">
        <f>Nodes!AC563+"'E4!%H$"</f>
        <v>#VALUE!</v>
      </c>
      <c r="BW74" t="e">
        <f>Nodes!A564+"'E4!%H%"</f>
        <v>#VALUE!</v>
      </c>
      <c r="BX74" t="e">
        <f>Nodes!B564+"'E4!%H&amp;"</f>
        <v>#VALUE!</v>
      </c>
      <c r="BY74" t="e">
        <f>Nodes!C564+"'E4!%H'"</f>
        <v>#VALUE!</v>
      </c>
      <c r="BZ74" t="e">
        <f>Nodes!D564+"'E4!%H("</f>
        <v>#VALUE!</v>
      </c>
      <c r="CA74" t="e">
        <f>Nodes!E564+"'E4!%H)"</f>
        <v>#VALUE!</v>
      </c>
      <c r="CB74" t="e">
        <f>Nodes!F564+"'E4!%H."</f>
        <v>#VALUE!</v>
      </c>
      <c r="CC74" t="e">
        <f>Nodes!G564+"'E4!%H/"</f>
        <v>#VALUE!</v>
      </c>
      <c r="CD74" t="e">
        <f>Nodes!H564+"'E4!%H0"</f>
        <v>#VALUE!</v>
      </c>
      <c r="CE74" t="e">
        <f>Nodes!I564+"'E4!%H1"</f>
        <v>#VALUE!</v>
      </c>
      <c r="CF74" t="e">
        <f>Nodes!J564+"'E4!%H2"</f>
        <v>#VALUE!</v>
      </c>
      <c r="CG74" t="e">
        <f>Nodes!K564+"'E4!%H3"</f>
        <v>#VALUE!</v>
      </c>
      <c r="CH74" t="e">
        <f>Nodes!L564+"'E4!%H4"</f>
        <v>#VALUE!</v>
      </c>
      <c r="CI74" t="e">
        <f>Nodes!M564+"'E4!%H5"</f>
        <v>#VALUE!</v>
      </c>
      <c r="CJ74" t="e">
        <f>Nodes!N564+"'E4!%H6"</f>
        <v>#VALUE!</v>
      </c>
      <c r="CK74" t="e">
        <f>Nodes!O564+"'E4!%H7"</f>
        <v>#VALUE!</v>
      </c>
      <c r="CL74" t="e">
        <f>Nodes!P564+"'E4!%H8"</f>
        <v>#VALUE!</v>
      </c>
      <c r="CM74" t="e">
        <f>Nodes!Q564+"'E4!%H9"</f>
        <v>#VALUE!</v>
      </c>
      <c r="CN74" t="e">
        <f>Nodes!R564+"'E4!%H:"</f>
        <v>#VALUE!</v>
      </c>
      <c r="CO74" t="e">
        <f>Nodes!S564+"'E4!%H;"</f>
        <v>#VALUE!</v>
      </c>
      <c r="CP74" t="e">
        <f>Nodes!T564+"'E4!%H&lt;"</f>
        <v>#VALUE!</v>
      </c>
      <c r="CQ74" s="548" t="e">
        <f>Nodes!U564+"'E4!%H="</f>
        <v>#VALUE!</v>
      </c>
      <c r="CR74" t="e">
        <f>Nodes!V564+"'E4!%H&gt;"</f>
        <v>#VALUE!</v>
      </c>
      <c r="CS74" t="e">
        <f>Nodes!W564+"'E4!%H?"</f>
        <v>#VALUE!</v>
      </c>
      <c r="CT74" t="e">
        <f>Nodes!X564+"'E4!%H@"</f>
        <v>#VALUE!</v>
      </c>
      <c r="CU74" t="e">
        <f>Nodes!Y564+"'E4!%HA"</f>
        <v>#VALUE!</v>
      </c>
      <c r="CV74" t="e">
        <f>Nodes!Z564+"'E4!%HB"</f>
        <v>#VALUE!</v>
      </c>
      <c r="CW74" t="e">
        <f>Nodes!AA564+"'E4!%HC"</f>
        <v>#VALUE!</v>
      </c>
      <c r="CX74" t="e">
        <f>Nodes!AB564+"'E4!%HD"</f>
        <v>#VALUE!</v>
      </c>
      <c r="CY74" t="e">
        <f>Nodes!AC564+"'E4!%HE"</f>
        <v>#VALUE!</v>
      </c>
      <c r="CZ74" t="e">
        <f>Nodes!A565+"'E4!%HF"</f>
        <v>#VALUE!</v>
      </c>
      <c r="DA74" t="e">
        <f>Nodes!B565+"'E4!%HG"</f>
        <v>#VALUE!</v>
      </c>
      <c r="DB74" t="e">
        <f>Nodes!C565+"'E4!%HH"</f>
        <v>#VALUE!</v>
      </c>
      <c r="DC74" t="e">
        <f>Nodes!D565+"'E4!%HI"</f>
        <v>#VALUE!</v>
      </c>
      <c r="DD74" t="e">
        <f>Nodes!E565+"'E4!%HJ"</f>
        <v>#VALUE!</v>
      </c>
      <c r="DE74" t="e">
        <f>Nodes!F565+"'E4!%HK"</f>
        <v>#VALUE!</v>
      </c>
      <c r="DF74" t="e">
        <f>Nodes!G565+"'E4!%HL"</f>
        <v>#VALUE!</v>
      </c>
      <c r="DG74" t="e">
        <f>Nodes!H565+"'E4!%HM"</f>
        <v>#VALUE!</v>
      </c>
      <c r="DH74" t="e">
        <f>Nodes!I565+"'E4!%HN"</f>
        <v>#VALUE!</v>
      </c>
      <c r="DI74" t="e">
        <f>Nodes!J565+"'E4!%HO"</f>
        <v>#VALUE!</v>
      </c>
      <c r="DJ74" t="e">
        <f>Nodes!K565+"'E4!%HP"</f>
        <v>#VALUE!</v>
      </c>
      <c r="DK74" t="e">
        <f>Nodes!L565+"'E4!%HQ"</f>
        <v>#VALUE!</v>
      </c>
      <c r="DL74" t="e">
        <f>Nodes!M565+"'E4!%HR"</f>
        <v>#VALUE!</v>
      </c>
      <c r="DM74" t="e">
        <f>Nodes!N565+"'E4!%HS"</f>
        <v>#VALUE!</v>
      </c>
      <c r="DN74" t="e">
        <f>Nodes!O565+"'E4!%HT"</f>
        <v>#VALUE!</v>
      </c>
      <c r="DO74" t="e">
        <f>Nodes!P565+"'E4!%HU"</f>
        <v>#VALUE!</v>
      </c>
      <c r="DP74" t="e">
        <f>Nodes!Q565+"'E4!%HV"</f>
        <v>#VALUE!</v>
      </c>
      <c r="DQ74" t="e">
        <f>Nodes!R565+"'E4!%HW"</f>
        <v>#VALUE!</v>
      </c>
      <c r="DR74" t="e">
        <f>Nodes!S565+"'E4!%HX"</f>
        <v>#VALUE!</v>
      </c>
      <c r="DS74" t="e">
        <f>Nodes!T565+"'E4!%HY"</f>
        <v>#VALUE!</v>
      </c>
      <c r="DT74" s="548" t="e">
        <f>Nodes!U565+"'E4!%HZ"</f>
        <v>#VALUE!</v>
      </c>
      <c r="DU74" t="e">
        <f>Nodes!V565+"'E4!%H["</f>
        <v>#VALUE!</v>
      </c>
      <c r="DV74" t="e">
        <f>Nodes!W565+"'E4!%H\"</f>
        <v>#VALUE!</v>
      </c>
      <c r="DW74" s="333" t="e">
        <f>Nodes!X565+"'E4!%H]"</f>
        <v>#VALUE!</v>
      </c>
      <c r="DX74" t="e">
        <f>Nodes!Y565+"'E4!%H^"</f>
        <v>#VALUE!</v>
      </c>
      <c r="DY74" t="e">
        <f>Nodes!Z565+"'E4!%H_"</f>
        <v>#VALUE!</v>
      </c>
      <c r="DZ74" t="e">
        <f>Nodes!AA565+"'E4!%H`"</f>
        <v>#VALUE!</v>
      </c>
      <c r="EA74" t="e">
        <f>Nodes!AB565+"'E4!%Ha"</f>
        <v>#VALUE!</v>
      </c>
      <c r="EB74" t="e">
        <f>Nodes!AC565+"'E4!%Hb"</f>
        <v>#VALUE!</v>
      </c>
      <c r="EC74" t="e">
        <f>Nodes!A566+"'E4!%Hc"</f>
        <v>#VALUE!</v>
      </c>
      <c r="ED74" t="e">
        <f>Nodes!B566+"'E4!%Hd"</f>
        <v>#VALUE!</v>
      </c>
      <c r="EE74" t="e">
        <f>Nodes!C566+"'E4!%He"</f>
        <v>#VALUE!</v>
      </c>
      <c r="EF74" t="e">
        <f>Nodes!D566+"'E4!%Hf"</f>
        <v>#VALUE!</v>
      </c>
      <c r="EG74" t="e">
        <f>Nodes!E566+"'E4!%Hg"</f>
        <v>#VALUE!</v>
      </c>
      <c r="EH74" t="e">
        <f>Nodes!F566+"'E4!%Hh"</f>
        <v>#VALUE!</v>
      </c>
      <c r="EI74" t="e">
        <f>Nodes!G566+"'E4!%Hi"</f>
        <v>#VALUE!</v>
      </c>
      <c r="EJ74" t="e">
        <f>Nodes!H566+"'E4!%Hj"</f>
        <v>#VALUE!</v>
      </c>
      <c r="EK74" t="e">
        <f>Nodes!I566+"'E4!%Hk"</f>
        <v>#VALUE!</v>
      </c>
      <c r="EL74" t="e">
        <f>Nodes!J566+"'E4!%Hl"</f>
        <v>#VALUE!</v>
      </c>
      <c r="EM74" t="e">
        <f>Nodes!K566+"'E4!%Hm"</f>
        <v>#VALUE!</v>
      </c>
      <c r="EN74" t="e">
        <f>Nodes!L566+"'E4!%Hn"</f>
        <v>#VALUE!</v>
      </c>
      <c r="EO74" t="e">
        <f>Nodes!M566+"'E4!%Ho"</f>
        <v>#VALUE!</v>
      </c>
      <c r="EP74" t="e">
        <f>Nodes!N566+"'E4!%Hp"</f>
        <v>#VALUE!</v>
      </c>
      <c r="EQ74" t="e">
        <f>Nodes!O566+"'E4!%Hq"</f>
        <v>#VALUE!</v>
      </c>
      <c r="ER74" t="e">
        <f>Nodes!P566+"'E4!%Hr"</f>
        <v>#VALUE!</v>
      </c>
      <c r="ES74" t="e">
        <f>Nodes!Q566+"'E4!%Hs"</f>
        <v>#VALUE!</v>
      </c>
      <c r="ET74" t="e">
        <f>Nodes!R566+"'E4!%Ht"</f>
        <v>#VALUE!</v>
      </c>
      <c r="EU74" t="e">
        <f>Nodes!S566+"'E4!%Hu"</f>
        <v>#VALUE!</v>
      </c>
      <c r="EV74" t="e">
        <f>Nodes!T566+"'E4!%Hv"</f>
        <v>#VALUE!</v>
      </c>
      <c r="EW74" s="548" t="e">
        <f>Nodes!U566+"'E4!%Hw"</f>
        <v>#VALUE!</v>
      </c>
      <c r="EX74" t="e">
        <f>Nodes!V566+"'E4!%Hx"</f>
        <v>#VALUE!</v>
      </c>
      <c r="EY74" t="e">
        <f>Nodes!W566+"'E4!%Hy"</f>
        <v>#VALUE!</v>
      </c>
      <c r="EZ74" s="333" t="e">
        <f>Nodes!X566+"'E4!%Hz"</f>
        <v>#VALUE!</v>
      </c>
      <c r="FA74" t="e">
        <f>Nodes!Y566+"'E4!%H{"</f>
        <v>#VALUE!</v>
      </c>
      <c r="FB74" t="e">
        <f>Nodes!Z566+"'E4!%H|"</f>
        <v>#VALUE!</v>
      </c>
      <c r="FC74" t="e">
        <f>Nodes!AA566+"'E4!%H}"</f>
        <v>#VALUE!</v>
      </c>
      <c r="FD74" t="e">
        <f>Nodes!AB566+"'E4!%H~"</f>
        <v>#VALUE!</v>
      </c>
      <c r="FE74" t="e">
        <f>Nodes!AC566+"'E4!%I#"</f>
        <v>#VALUE!</v>
      </c>
      <c r="FF74" t="e">
        <f>Nodes!A567+"'E4!%I$"</f>
        <v>#VALUE!</v>
      </c>
      <c r="FG74" t="e">
        <f>Nodes!B567+"'E4!%I%"</f>
        <v>#VALUE!</v>
      </c>
      <c r="FH74" t="e">
        <f>Nodes!C567+"'E4!%I&amp;"</f>
        <v>#VALUE!</v>
      </c>
      <c r="FI74" t="e">
        <f>Nodes!D567+"'E4!%I'"</f>
        <v>#VALUE!</v>
      </c>
      <c r="FJ74" t="e">
        <f>Nodes!E567+"'E4!%I("</f>
        <v>#VALUE!</v>
      </c>
      <c r="FK74" t="e">
        <f>Nodes!F567+"'E4!%I)"</f>
        <v>#VALUE!</v>
      </c>
      <c r="FL74" t="e">
        <f>Nodes!G567+"'E4!%I."</f>
        <v>#VALUE!</v>
      </c>
      <c r="FM74" t="e">
        <f>Nodes!H567+"'E4!%I/"</f>
        <v>#VALUE!</v>
      </c>
      <c r="FN74" t="e">
        <f>Nodes!I567+"'E4!%I0"</f>
        <v>#VALUE!</v>
      </c>
      <c r="FO74" t="e">
        <f>Nodes!J567+"'E4!%I1"</f>
        <v>#VALUE!</v>
      </c>
      <c r="FP74" t="e">
        <f>Nodes!K567+"'E4!%I2"</f>
        <v>#VALUE!</v>
      </c>
      <c r="FQ74" t="e">
        <f>Nodes!L567+"'E4!%I3"</f>
        <v>#VALUE!</v>
      </c>
      <c r="FR74" t="e">
        <f>Nodes!M567+"'E4!%I4"</f>
        <v>#VALUE!</v>
      </c>
      <c r="FS74" t="e">
        <f>Nodes!N567+"'E4!%I5"</f>
        <v>#VALUE!</v>
      </c>
      <c r="FT74" t="e">
        <f>Nodes!O567+"'E4!%I6"</f>
        <v>#VALUE!</v>
      </c>
      <c r="FU74" t="e">
        <f>Nodes!P567+"'E4!%I7"</f>
        <v>#VALUE!</v>
      </c>
      <c r="FV74" t="e">
        <f>Nodes!Q567+"'E4!%I8"</f>
        <v>#VALUE!</v>
      </c>
      <c r="FW74" t="e">
        <f>Nodes!R567+"'E4!%I9"</f>
        <v>#VALUE!</v>
      </c>
      <c r="FX74" t="e">
        <f>Nodes!S567+"'E4!%I:"</f>
        <v>#VALUE!</v>
      </c>
      <c r="FY74" t="e">
        <f>Nodes!T567+"'E4!%I;"</f>
        <v>#VALUE!</v>
      </c>
      <c r="FZ74" s="548" t="e">
        <f>Nodes!U567+"'E4!%I&lt;"</f>
        <v>#VALUE!</v>
      </c>
      <c r="GA74" t="e">
        <f>Nodes!V567+"'E4!%I="</f>
        <v>#VALUE!</v>
      </c>
      <c r="GB74" t="e">
        <f>Nodes!W567+"'E4!%I&gt;"</f>
        <v>#VALUE!</v>
      </c>
      <c r="GC74" s="333" t="e">
        <f>Nodes!X567+"'E4!%I?"</f>
        <v>#VALUE!</v>
      </c>
      <c r="GD74" t="e">
        <f>Nodes!Y567+"'E4!%I@"</f>
        <v>#VALUE!</v>
      </c>
      <c r="GE74" t="e">
        <f>Nodes!Z567+"'E4!%IA"</f>
        <v>#VALUE!</v>
      </c>
      <c r="GF74" t="e">
        <f>Nodes!AA567+"'E4!%IB"</f>
        <v>#VALUE!</v>
      </c>
      <c r="GG74" t="e">
        <f>Nodes!AB567+"'E4!%IC"</f>
        <v>#VALUE!</v>
      </c>
      <c r="GH74" t="e">
        <f>Nodes!AC567+"'E4!%ID"</f>
        <v>#VALUE!</v>
      </c>
      <c r="GI74" t="e">
        <f>Nodes!A568+"'E4!%IE"</f>
        <v>#VALUE!</v>
      </c>
      <c r="GJ74" t="e">
        <f>Nodes!B568+"'E4!%IF"</f>
        <v>#VALUE!</v>
      </c>
      <c r="GK74" t="e">
        <f>Nodes!C568+"'E4!%IG"</f>
        <v>#VALUE!</v>
      </c>
      <c r="GL74" t="e">
        <f>Nodes!D568+"'E4!%IH"</f>
        <v>#VALUE!</v>
      </c>
      <c r="GM74" t="e">
        <f>Nodes!E568+"'E4!%II"</f>
        <v>#VALUE!</v>
      </c>
      <c r="GN74" t="e">
        <f>Nodes!F568+"'E4!%IJ"</f>
        <v>#VALUE!</v>
      </c>
      <c r="GO74" t="e">
        <f>Nodes!G568+"'E4!%IK"</f>
        <v>#VALUE!</v>
      </c>
      <c r="GP74" t="e">
        <f>Nodes!H568+"'E4!%IL"</f>
        <v>#VALUE!</v>
      </c>
      <c r="GQ74" t="e">
        <f>Nodes!I568+"'E4!%IM"</f>
        <v>#VALUE!</v>
      </c>
      <c r="GR74" t="e">
        <f>Nodes!J568+"'E4!%IN"</f>
        <v>#VALUE!</v>
      </c>
      <c r="GS74" t="e">
        <f>Nodes!K568+"'E4!%IO"</f>
        <v>#VALUE!</v>
      </c>
      <c r="GT74" t="e">
        <f>Nodes!L568+"'E4!%IP"</f>
        <v>#VALUE!</v>
      </c>
      <c r="GU74" t="e">
        <f>Nodes!M568+"'E4!%IQ"</f>
        <v>#VALUE!</v>
      </c>
      <c r="GV74" t="e">
        <f>Nodes!N568+"'E4!%IR"</f>
        <v>#VALUE!</v>
      </c>
      <c r="GW74" t="e">
        <f>Nodes!O568+"'E4!%IS"</f>
        <v>#VALUE!</v>
      </c>
      <c r="GX74" t="e">
        <f>Nodes!P568+"'E4!%IT"</f>
        <v>#VALUE!</v>
      </c>
      <c r="GY74" t="e">
        <f>Nodes!Q568+"'E4!%IU"</f>
        <v>#VALUE!</v>
      </c>
      <c r="GZ74" t="e">
        <f>Nodes!R568+"'E4!%IV"</f>
        <v>#VALUE!</v>
      </c>
      <c r="HA74" t="e">
        <f>Nodes!S568+"'E4!%IW"</f>
        <v>#VALUE!</v>
      </c>
      <c r="HB74" t="e">
        <f>Nodes!T568+"'E4!%IX"</f>
        <v>#VALUE!</v>
      </c>
      <c r="HC74" s="548" t="e">
        <f>Nodes!U568+"'E4!%IY"</f>
        <v>#VALUE!</v>
      </c>
      <c r="HD74" t="e">
        <f>Nodes!V568+"'E4!%IZ"</f>
        <v>#VALUE!</v>
      </c>
      <c r="HE74" t="e">
        <f>Nodes!W568+"'E4!%I["</f>
        <v>#VALUE!</v>
      </c>
      <c r="HF74" t="e">
        <f>Nodes!X568+"'E4!%I\"</f>
        <v>#VALUE!</v>
      </c>
      <c r="HG74" t="e">
        <f>Nodes!Y568+"'E4!%I]"</f>
        <v>#VALUE!</v>
      </c>
      <c r="HH74" t="e">
        <f>Nodes!Z568+"'E4!%I^"</f>
        <v>#VALUE!</v>
      </c>
      <c r="HI74" t="e">
        <f>Nodes!AA568+"'E4!%I_"</f>
        <v>#VALUE!</v>
      </c>
      <c r="HJ74" t="e">
        <f>Nodes!AB568+"'E4!%I`"</f>
        <v>#VALUE!</v>
      </c>
      <c r="HK74" t="e">
        <f>Nodes!AC568+"'E4!%Ia"</f>
        <v>#VALUE!</v>
      </c>
      <c r="HL74" t="e">
        <f>Nodes!A569+"'E4!%Ib"</f>
        <v>#VALUE!</v>
      </c>
      <c r="HM74" t="e">
        <f>Nodes!B569+"'E4!%Ic"</f>
        <v>#VALUE!</v>
      </c>
      <c r="HN74" t="e">
        <f>Nodes!C569+"'E4!%Id"</f>
        <v>#VALUE!</v>
      </c>
      <c r="HO74" t="e">
        <f>Nodes!D569+"'E4!%Ie"</f>
        <v>#VALUE!</v>
      </c>
      <c r="HP74" t="e">
        <f>Nodes!E569+"'E4!%If"</f>
        <v>#VALUE!</v>
      </c>
      <c r="HQ74" t="e">
        <f>Nodes!F569+"'E4!%Ig"</f>
        <v>#VALUE!</v>
      </c>
      <c r="HR74" t="e">
        <f>Nodes!G569+"'E4!%Ih"</f>
        <v>#VALUE!</v>
      </c>
      <c r="HS74" t="e">
        <f>Nodes!H569+"'E4!%Ii"</f>
        <v>#VALUE!</v>
      </c>
      <c r="HT74" t="e">
        <f>Nodes!I569+"'E4!%Ij"</f>
        <v>#VALUE!</v>
      </c>
      <c r="HU74" t="e">
        <f>Nodes!J569+"'E4!%Ik"</f>
        <v>#VALUE!</v>
      </c>
      <c r="HV74" t="e">
        <f>Nodes!K569+"'E4!%Il"</f>
        <v>#VALUE!</v>
      </c>
      <c r="HW74" t="e">
        <f>Nodes!L569+"'E4!%Im"</f>
        <v>#VALUE!</v>
      </c>
      <c r="HX74" t="e">
        <f>Nodes!M569+"'E4!%In"</f>
        <v>#VALUE!</v>
      </c>
      <c r="HY74" t="e">
        <f>Nodes!N569+"'E4!%Io"</f>
        <v>#VALUE!</v>
      </c>
      <c r="HZ74" t="e">
        <f>Nodes!O569+"'E4!%Ip"</f>
        <v>#VALUE!</v>
      </c>
      <c r="IA74" t="e">
        <f>Nodes!P569+"'E4!%Iq"</f>
        <v>#VALUE!</v>
      </c>
      <c r="IB74" t="e">
        <f>Nodes!Q569+"'E4!%Ir"</f>
        <v>#VALUE!</v>
      </c>
      <c r="IC74" t="e">
        <f>Nodes!R569+"'E4!%Is"</f>
        <v>#VALUE!</v>
      </c>
      <c r="ID74" t="e">
        <f>Nodes!S569+"'E4!%It"</f>
        <v>#VALUE!</v>
      </c>
      <c r="IE74" t="e">
        <f>Nodes!T569+"'E4!%Iu"</f>
        <v>#VALUE!</v>
      </c>
      <c r="IF74" s="548" t="e">
        <f>Nodes!U569+"'E4!%Iv"</f>
        <v>#VALUE!</v>
      </c>
      <c r="IG74" t="e">
        <f>Nodes!V569+"'E4!%Iw"</f>
        <v>#VALUE!</v>
      </c>
      <c r="IH74" t="e">
        <f>Nodes!W569+"'E4!%Ix"</f>
        <v>#VALUE!</v>
      </c>
      <c r="II74" s="333" t="e">
        <f>Nodes!X569+"'E4!%Iy"</f>
        <v>#VALUE!</v>
      </c>
      <c r="IJ74" t="e">
        <f>Nodes!Y569+"'E4!%Iz"</f>
        <v>#VALUE!</v>
      </c>
      <c r="IK74" t="e">
        <f>Nodes!Z569+"'E4!%I{"</f>
        <v>#VALUE!</v>
      </c>
      <c r="IL74" t="e">
        <f>Nodes!AA569+"'E4!%I|"</f>
        <v>#VALUE!</v>
      </c>
      <c r="IM74" t="e">
        <f>Nodes!AB569+"'E4!%I}"</f>
        <v>#VALUE!</v>
      </c>
      <c r="IN74" t="e">
        <f>Nodes!AC569+"'E4!%I~"</f>
        <v>#VALUE!</v>
      </c>
      <c r="IO74" t="e">
        <f>Nodes!A570+"'E4!%J#"</f>
        <v>#VALUE!</v>
      </c>
      <c r="IP74" t="e">
        <f>Nodes!B570+"'E4!%J$"</f>
        <v>#VALUE!</v>
      </c>
      <c r="IQ74" t="e">
        <f>Nodes!C570+"'E4!%J%"</f>
        <v>#VALUE!</v>
      </c>
      <c r="IR74" t="e">
        <f>Nodes!D570+"'E4!%J&amp;"</f>
        <v>#VALUE!</v>
      </c>
      <c r="IS74" t="e">
        <f>Nodes!E570+"'E4!%J'"</f>
        <v>#VALUE!</v>
      </c>
      <c r="IT74" t="e">
        <f>Nodes!F570+"'E4!%J("</f>
        <v>#VALUE!</v>
      </c>
      <c r="IU74" t="e">
        <f>Nodes!G570+"'E4!%J)"</f>
        <v>#VALUE!</v>
      </c>
      <c r="IV74" t="e">
        <f>Nodes!H570+"'E4!%J."</f>
        <v>#VALUE!</v>
      </c>
    </row>
    <row r="75" spans="6:256">
      <c r="F75" t="e">
        <f>Nodes!I570+"'E4!%J/"</f>
        <v>#VALUE!</v>
      </c>
      <c r="G75" t="e">
        <f>Nodes!J570+"'E4!%J0"</f>
        <v>#VALUE!</v>
      </c>
      <c r="H75" t="e">
        <f>Nodes!K570+"'E4!%J1"</f>
        <v>#VALUE!</v>
      </c>
      <c r="I75" t="e">
        <f>Nodes!L570+"'E4!%J2"</f>
        <v>#VALUE!</v>
      </c>
      <c r="J75" t="e">
        <f>Nodes!M570+"'E4!%J3"</f>
        <v>#VALUE!</v>
      </c>
      <c r="K75" t="e">
        <f>Nodes!N570+"'E4!%J4"</f>
        <v>#VALUE!</v>
      </c>
      <c r="L75" t="e">
        <f>Nodes!O570+"'E4!%J5"</f>
        <v>#VALUE!</v>
      </c>
      <c r="M75" t="e">
        <f>Nodes!P570+"'E4!%J6"</f>
        <v>#VALUE!</v>
      </c>
      <c r="N75" t="e">
        <f>Nodes!Q570+"'E4!%J7"</f>
        <v>#VALUE!</v>
      </c>
      <c r="O75" t="e">
        <f>Nodes!R570+"'E4!%J8"</f>
        <v>#VALUE!</v>
      </c>
      <c r="P75" t="e">
        <f>Nodes!S570+"'E4!%J9"</f>
        <v>#VALUE!</v>
      </c>
      <c r="Q75" t="e">
        <f>Nodes!T570+"'E4!%J:"</f>
        <v>#VALUE!</v>
      </c>
      <c r="R75" s="548" t="e">
        <f>Nodes!U570+"'E4!%J;"</f>
        <v>#VALUE!</v>
      </c>
      <c r="S75" t="e">
        <f>Nodes!V570+"'E4!%J&lt;"</f>
        <v>#VALUE!</v>
      </c>
      <c r="T75" t="e">
        <f>Nodes!W570+"'E4!%J="</f>
        <v>#VALUE!</v>
      </c>
      <c r="U75" s="333" t="e">
        <f>Nodes!X570+"'E4!%J&gt;"</f>
        <v>#VALUE!</v>
      </c>
      <c r="V75" t="e">
        <f>Nodes!Y570+"'E4!%J?"</f>
        <v>#VALUE!</v>
      </c>
      <c r="W75" t="e">
        <f>Nodes!Z570+"'E4!%J@"</f>
        <v>#VALUE!</v>
      </c>
      <c r="X75" t="e">
        <f>Nodes!AA570+"'E4!%JA"</f>
        <v>#VALUE!</v>
      </c>
      <c r="Y75" t="e">
        <f>Nodes!AB570+"'E4!%JB"</f>
        <v>#VALUE!</v>
      </c>
      <c r="Z75" t="e">
        <f>Nodes!AC570+"'E4!%JC"</f>
        <v>#VALUE!</v>
      </c>
      <c r="AA75" t="e">
        <f>Nodes!A571+"'E4!%JD"</f>
        <v>#VALUE!</v>
      </c>
      <c r="AB75" t="e">
        <f>Nodes!B571+"'E4!%JE"</f>
        <v>#VALUE!</v>
      </c>
      <c r="AC75" t="e">
        <f>Nodes!C571+"'E4!%JF"</f>
        <v>#VALUE!</v>
      </c>
      <c r="AD75" t="e">
        <f>Nodes!D571+"'E4!%JG"</f>
        <v>#VALUE!</v>
      </c>
      <c r="AE75" t="e">
        <f>Nodes!E571+"'E4!%JH"</f>
        <v>#VALUE!</v>
      </c>
      <c r="AF75" t="e">
        <f>Nodes!F571+"'E4!%JI"</f>
        <v>#VALUE!</v>
      </c>
      <c r="AG75" t="e">
        <f>Nodes!G571+"'E4!%JJ"</f>
        <v>#VALUE!</v>
      </c>
      <c r="AH75" t="e">
        <f>Nodes!H571+"'E4!%JK"</f>
        <v>#VALUE!</v>
      </c>
      <c r="AI75" t="e">
        <f>Nodes!I571+"'E4!%JL"</f>
        <v>#VALUE!</v>
      </c>
      <c r="AJ75" t="e">
        <f>Nodes!J571+"'E4!%JM"</f>
        <v>#VALUE!</v>
      </c>
      <c r="AK75" t="e">
        <f>Nodes!K571+"'E4!%JN"</f>
        <v>#VALUE!</v>
      </c>
      <c r="AL75" t="e">
        <f>Nodes!L571+"'E4!%JO"</f>
        <v>#VALUE!</v>
      </c>
      <c r="AM75" t="e">
        <f>Nodes!M571+"'E4!%JP"</f>
        <v>#VALUE!</v>
      </c>
      <c r="AN75" t="e">
        <f>Nodes!N571+"'E4!%JQ"</f>
        <v>#VALUE!</v>
      </c>
      <c r="AO75" t="e">
        <f>Nodes!O571+"'E4!%JR"</f>
        <v>#VALUE!</v>
      </c>
      <c r="AP75" t="e">
        <f>Nodes!P571+"'E4!%JS"</f>
        <v>#VALUE!</v>
      </c>
      <c r="AQ75" t="e">
        <f>Nodes!Q571+"'E4!%JT"</f>
        <v>#VALUE!</v>
      </c>
      <c r="AR75" t="e">
        <f>Nodes!R571+"'E4!%JU"</f>
        <v>#VALUE!</v>
      </c>
      <c r="AS75" t="e">
        <f>Nodes!S571+"'E4!%JV"</f>
        <v>#VALUE!</v>
      </c>
      <c r="AT75" t="e">
        <f>Nodes!T571+"'E4!%JW"</f>
        <v>#VALUE!</v>
      </c>
      <c r="AU75" s="548" t="e">
        <f>Nodes!U571+"'E4!%JX"</f>
        <v>#VALUE!</v>
      </c>
      <c r="AV75" t="e">
        <f>Nodes!V571+"'E4!%JY"</f>
        <v>#VALUE!</v>
      </c>
      <c r="AW75" t="e">
        <f>Nodes!W571+"'E4!%JZ"</f>
        <v>#VALUE!</v>
      </c>
      <c r="AX75" s="333" t="e">
        <f>Nodes!X571+"'E4!%J["</f>
        <v>#VALUE!</v>
      </c>
      <c r="AY75" t="e">
        <f>Nodes!Y571+"'E4!%J\"</f>
        <v>#VALUE!</v>
      </c>
      <c r="AZ75" t="e">
        <f>Nodes!Z571+"'E4!%J]"</f>
        <v>#VALUE!</v>
      </c>
      <c r="BA75" t="e">
        <f>Nodes!AA571+"'E4!%J^"</f>
        <v>#VALUE!</v>
      </c>
      <c r="BB75" t="e">
        <f>Nodes!AB571+"'E4!%J_"</f>
        <v>#VALUE!</v>
      </c>
      <c r="BC75" t="e">
        <f>Nodes!AC571+"'E4!%J`"</f>
        <v>#VALUE!</v>
      </c>
      <c r="BD75" t="e">
        <f>Nodes!A572+"'E4!%Ja"</f>
        <v>#VALUE!</v>
      </c>
      <c r="BE75" t="e">
        <f>Nodes!B572+"'E4!%Jb"</f>
        <v>#VALUE!</v>
      </c>
      <c r="BF75" t="e">
        <f>Nodes!C572+"'E4!%Jc"</f>
        <v>#VALUE!</v>
      </c>
      <c r="BG75" t="e">
        <f>Nodes!D572+"'E4!%Jd"</f>
        <v>#VALUE!</v>
      </c>
      <c r="BH75" t="e">
        <f>Nodes!E572+"'E4!%Je"</f>
        <v>#VALUE!</v>
      </c>
      <c r="BI75" t="e">
        <f>Nodes!F572+"'E4!%Jf"</f>
        <v>#VALUE!</v>
      </c>
      <c r="BJ75" t="e">
        <f>Nodes!G572+"'E4!%Jg"</f>
        <v>#VALUE!</v>
      </c>
      <c r="BK75" t="e">
        <f>Nodes!H572+"'E4!%Jh"</f>
        <v>#VALUE!</v>
      </c>
      <c r="BL75" t="e">
        <f>Nodes!I572+"'E4!%Ji"</f>
        <v>#VALUE!</v>
      </c>
      <c r="BM75" t="e">
        <f>Nodes!J572+"'E4!%Jj"</f>
        <v>#VALUE!</v>
      </c>
      <c r="BN75" t="e">
        <f>Nodes!K572+"'E4!%Jk"</f>
        <v>#VALUE!</v>
      </c>
      <c r="BO75" t="e">
        <f>Nodes!L572+"'E4!%Jl"</f>
        <v>#VALUE!</v>
      </c>
      <c r="BP75" t="e">
        <f>Nodes!M572+"'E4!%Jm"</f>
        <v>#VALUE!</v>
      </c>
      <c r="BQ75" t="e">
        <f>Nodes!N572+"'E4!%Jn"</f>
        <v>#VALUE!</v>
      </c>
      <c r="BR75" t="e">
        <f>Nodes!O572+"'E4!%Jo"</f>
        <v>#VALUE!</v>
      </c>
      <c r="BS75" t="e">
        <f>Nodes!P572+"'E4!%Jp"</f>
        <v>#VALUE!</v>
      </c>
      <c r="BT75" t="e">
        <f>Nodes!Q572+"'E4!%Jq"</f>
        <v>#VALUE!</v>
      </c>
      <c r="BU75" t="e">
        <f>Nodes!R572+"'E4!%Jr"</f>
        <v>#VALUE!</v>
      </c>
      <c r="BV75" t="e">
        <f>Nodes!S572+"'E4!%Js"</f>
        <v>#VALUE!</v>
      </c>
      <c r="BW75" t="e">
        <f>Nodes!T572+"'E4!%Jt"</f>
        <v>#VALUE!</v>
      </c>
      <c r="BX75" s="548" t="e">
        <f>Nodes!U572+"'E4!%Ju"</f>
        <v>#VALUE!</v>
      </c>
      <c r="BY75" t="e">
        <f>Nodes!V572+"'E4!%Jv"</f>
        <v>#VALUE!</v>
      </c>
      <c r="BZ75" t="e">
        <f>Nodes!W572+"'E4!%Jw"</f>
        <v>#VALUE!</v>
      </c>
      <c r="CA75" s="333" t="e">
        <f>Nodes!X572+"'E4!%Jx"</f>
        <v>#VALUE!</v>
      </c>
      <c r="CB75" t="e">
        <f>Nodes!Y572+"'E4!%Jy"</f>
        <v>#VALUE!</v>
      </c>
      <c r="CC75" t="e">
        <f>Nodes!Z572+"'E4!%Jz"</f>
        <v>#VALUE!</v>
      </c>
      <c r="CD75" t="e">
        <f>Nodes!AA572+"'E4!%J{"</f>
        <v>#VALUE!</v>
      </c>
      <c r="CE75" t="e">
        <f>Nodes!AB572+"'E4!%J|"</f>
        <v>#VALUE!</v>
      </c>
      <c r="CF75" t="e">
        <f>Nodes!AC572+"'E4!%J}"</f>
        <v>#VALUE!</v>
      </c>
      <c r="CG75" t="e">
        <f>Nodes!A573+"'E4!%J~"</f>
        <v>#VALUE!</v>
      </c>
      <c r="CH75" t="e">
        <f>Nodes!B573+"'E4!%K#"</f>
        <v>#VALUE!</v>
      </c>
      <c r="CI75" t="e">
        <f>Nodes!C573+"'E4!%K$"</f>
        <v>#VALUE!</v>
      </c>
      <c r="CJ75" t="e">
        <f>Nodes!D573+"'E4!%K%"</f>
        <v>#VALUE!</v>
      </c>
      <c r="CK75" t="e">
        <f>Nodes!E573+"'E4!%K&amp;"</f>
        <v>#VALUE!</v>
      </c>
      <c r="CL75" t="e">
        <f>Nodes!F573+"'E4!%K'"</f>
        <v>#VALUE!</v>
      </c>
      <c r="CM75" t="e">
        <f>Nodes!G573+"'E4!%K("</f>
        <v>#VALUE!</v>
      </c>
      <c r="CN75" t="e">
        <f>Nodes!H573+"'E4!%K)"</f>
        <v>#VALUE!</v>
      </c>
      <c r="CO75" t="e">
        <f>Nodes!I573+"'E4!%K."</f>
        <v>#VALUE!</v>
      </c>
      <c r="CP75" t="e">
        <f>Nodes!J573+"'E4!%K/"</f>
        <v>#VALUE!</v>
      </c>
      <c r="CQ75" t="e">
        <f>Nodes!K573+"'E4!%K0"</f>
        <v>#VALUE!</v>
      </c>
      <c r="CR75" t="e">
        <f>Nodes!L573+"'E4!%K1"</f>
        <v>#VALUE!</v>
      </c>
      <c r="CS75" t="e">
        <f>Nodes!M573+"'E4!%K2"</f>
        <v>#VALUE!</v>
      </c>
      <c r="CT75" t="e">
        <f>Nodes!N573+"'E4!%K3"</f>
        <v>#VALUE!</v>
      </c>
      <c r="CU75" t="e">
        <f>Nodes!O573+"'E4!%K4"</f>
        <v>#VALUE!</v>
      </c>
      <c r="CV75" t="e">
        <f>Nodes!P573+"'E4!%K5"</f>
        <v>#VALUE!</v>
      </c>
      <c r="CW75" t="e">
        <f>Nodes!Q573+"'E4!%K6"</f>
        <v>#VALUE!</v>
      </c>
      <c r="CX75" t="e">
        <f>Nodes!R573+"'E4!%K7"</f>
        <v>#VALUE!</v>
      </c>
      <c r="CY75" t="e">
        <f>Nodes!S573+"'E4!%K8"</f>
        <v>#VALUE!</v>
      </c>
      <c r="CZ75" t="e">
        <f>Nodes!T573+"'E4!%K9"</f>
        <v>#VALUE!</v>
      </c>
      <c r="DA75" s="548" t="e">
        <f>Nodes!U573+"'E4!%K:"</f>
        <v>#VALUE!</v>
      </c>
      <c r="DB75" t="e">
        <f>Nodes!V573+"'E4!%K;"</f>
        <v>#VALUE!</v>
      </c>
      <c r="DC75" t="e">
        <f>Nodes!W573+"'E4!%K&lt;"</f>
        <v>#VALUE!</v>
      </c>
      <c r="DD75" s="333" t="e">
        <f>Nodes!X573+"'E4!%K="</f>
        <v>#VALUE!</v>
      </c>
      <c r="DE75" t="e">
        <f>Nodes!Y573+"'E4!%K&gt;"</f>
        <v>#VALUE!</v>
      </c>
      <c r="DF75" t="e">
        <f>Nodes!Z573+"'E4!%K?"</f>
        <v>#VALUE!</v>
      </c>
      <c r="DG75" t="e">
        <f>Nodes!AA573+"'E4!%K@"</f>
        <v>#VALUE!</v>
      </c>
      <c r="DH75" t="e">
        <f>Nodes!AB573+"'E4!%KA"</f>
        <v>#VALUE!</v>
      </c>
      <c r="DI75" t="e">
        <f>Nodes!AC573+"'E4!%KB"</f>
        <v>#VALUE!</v>
      </c>
      <c r="DJ75" t="e">
        <f>Nodes!A574+"'E4!%KC"</f>
        <v>#VALUE!</v>
      </c>
      <c r="DK75" t="e">
        <f>Nodes!B574+"'E4!%KD"</f>
        <v>#VALUE!</v>
      </c>
      <c r="DL75" t="e">
        <f>Nodes!C574+"'E4!%KE"</f>
        <v>#VALUE!</v>
      </c>
      <c r="DM75" t="e">
        <f>Nodes!D574+"'E4!%KF"</f>
        <v>#VALUE!</v>
      </c>
      <c r="DN75" t="e">
        <f>Nodes!E574+"'E4!%KG"</f>
        <v>#VALUE!</v>
      </c>
      <c r="DO75" t="e">
        <f>Nodes!F574+"'E4!%KH"</f>
        <v>#VALUE!</v>
      </c>
      <c r="DP75" t="e">
        <f>Nodes!G574+"'E4!%KI"</f>
        <v>#VALUE!</v>
      </c>
      <c r="DQ75" t="e">
        <f>Nodes!H574+"'E4!%KJ"</f>
        <v>#VALUE!</v>
      </c>
      <c r="DR75" t="e">
        <f>Nodes!I574+"'E4!%KK"</f>
        <v>#VALUE!</v>
      </c>
      <c r="DS75" t="e">
        <f>Nodes!J574+"'E4!%KL"</f>
        <v>#VALUE!</v>
      </c>
      <c r="DT75" t="e">
        <f>Nodes!K574+"'E4!%KM"</f>
        <v>#VALUE!</v>
      </c>
      <c r="DU75" t="e">
        <f>Nodes!L574+"'E4!%KN"</f>
        <v>#VALUE!</v>
      </c>
      <c r="DV75" t="e">
        <f>Nodes!M574+"'E4!%KO"</f>
        <v>#VALUE!</v>
      </c>
      <c r="DW75" t="e">
        <f>Nodes!N574+"'E4!%KP"</f>
        <v>#VALUE!</v>
      </c>
      <c r="DX75" t="e">
        <f>Nodes!O574+"'E4!%KQ"</f>
        <v>#VALUE!</v>
      </c>
      <c r="DY75" t="e">
        <f>Nodes!P574+"'E4!%KR"</f>
        <v>#VALUE!</v>
      </c>
      <c r="DZ75" t="e">
        <f>Nodes!Q574+"'E4!%KS"</f>
        <v>#VALUE!</v>
      </c>
      <c r="EA75" t="e">
        <f>Nodes!R574+"'E4!%KT"</f>
        <v>#VALUE!</v>
      </c>
      <c r="EB75" t="e">
        <f>Nodes!S574+"'E4!%KU"</f>
        <v>#VALUE!</v>
      </c>
      <c r="EC75" t="e">
        <f>Nodes!T574+"'E4!%KV"</f>
        <v>#VALUE!</v>
      </c>
      <c r="ED75" s="548" t="e">
        <f>Nodes!U574+"'E4!%KW"</f>
        <v>#VALUE!</v>
      </c>
      <c r="EE75" t="e">
        <f>Nodes!V574+"'E4!%KX"</f>
        <v>#VALUE!</v>
      </c>
      <c r="EF75" t="e">
        <f>Nodes!W574+"'E4!%KY"</f>
        <v>#VALUE!</v>
      </c>
      <c r="EG75" s="333" t="e">
        <f>Nodes!X574+"'E4!%KZ"</f>
        <v>#VALUE!</v>
      </c>
      <c r="EH75" t="e">
        <f>Nodes!Y574+"'E4!%K["</f>
        <v>#VALUE!</v>
      </c>
      <c r="EI75" t="e">
        <f>Nodes!Z574+"'E4!%K\"</f>
        <v>#VALUE!</v>
      </c>
      <c r="EJ75" t="e">
        <f>Nodes!AA574+"'E4!%K]"</f>
        <v>#VALUE!</v>
      </c>
      <c r="EK75" t="e">
        <f>Nodes!AB574+"'E4!%K^"</f>
        <v>#VALUE!</v>
      </c>
      <c r="EL75" t="e">
        <f>Nodes!AC574+"'E4!%K_"</f>
        <v>#VALUE!</v>
      </c>
      <c r="EM75" t="e">
        <f>Nodes!A575+"'E4!%K`"</f>
        <v>#VALUE!</v>
      </c>
      <c r="EN75" t="e">
        <f>Nodes!B575+"'E4!%Ka"</f>
        <v>#VALUE!</v>
      </c>
      <c r="EO75" t="e">
        <f>Nodes!C575+"'E4!%Kb"</f>
        <v>#VALUE!</v>
      </c>
      <c r="EP75" t="e">
        <f>Nodes!D575+"'E4!%Kc"</f>
        <v>#VALUE!</v>
      </c>
      <c r="EQ75" t="e">
        <f>Nodes!E575+"'E4!%Kd"</f>
        <v>#VALUE!</v>
      </c>
      <c r="ER75" t="e">
        <f>Nodes!F575+"'E4!%Ke"</f>
        <v>#VALUE!</v>
      </c>
      <c r="ES75" t="e">
        <f>Nodes!G575+"'E4!%Kf"</f>
        <v>#VALUE!</v>
      </c>
      <c r="ET75" t="e">
        <f>Nodes!H575+"'E4!%Kg"</f>
        <v>#VALUE!</v>
      </c>
      <c r="EU75" t="e">
        <f>Nodes!I575+"'E4!%Kh"</f>
        <v>#VALUE!</v>
      </c>
      <c r="EV75" t="e">
        <f>Nodes!J575+"'E4!%Ki"</f>
        <v>#VALUE!</v>
      </c>
      <c r="EW75" t="e">
        <f>Nodes!K575+"'E4!%Kj"</f>
        <v>#VALUE!</v>
      </c>
      <c r="EX75" t="e">
        <f>Nodes!L575+"'E4!%Kk"</f>
        <v>#VALUE!</v>
      </c>
      <c r="EY75" t="e">
        <f>Nodes!M575+"'E4!%Kl"</f>
        <v>#VALUE!</v>
      </c>
      <c r="EZ75" t="e">
        <f>Nodes!N575+"'E4!%Km"</f>
        <v>#VALUE!</v>
      </c>
      <c r="FA75" t="e">
        <f>Nodes!O575+"'E4!%Kn"</f>
        <v>#VALUE!</v>
      </c>
      <c r="FB75" t="e">
        <f>Nodes!P575+"'E4!%Ko"</f>
        <v>#VALUE!</v>
      </c>
      <c r="FC75" t="e">
        <f>Nodes!Q575+"'E4!%Kp"</f>
        <v>#VALUE!</v>
      </c>
      <c r="FD75" t="e">
        <f>Nodes!R575+"'E4!%Kq"</f>
        <v>#VALUE!</v>
      </c>
      <c r="FE75" t="e">
        <f>Nodes!S575+"'E4!%Kr"</f>
        <v>#VALUE!</v>
      </c>
      <c r="FF75" t="e">
        <f>Nodes!T575+"'E4!%Ks"</f>
        <v>#VALUE!</v>
      </c>
      <c r="FG75" s="548" t="e">
        <f>Nodes!U575+"'E4!%Kt"</f>
        <v>#VALUE!</v>
      </c>
      <c r="FH75" t="e">
        <f>Nodes!V575+"'E4!%Ku"</f>
        <v>#VALUE!</v>
      </c>
      <c r="FI75" t="e">
        <f>Nodes!W575+"'E4!%Kv"</f>
        <v>#VALUE!</v>
      </c>
      <c r="FJ75" s="333" t="e">
        <f>Nodes!X575+"'E4!%Kw"</f>
        <v>#VALUE!</v>
      </c>
      <c r="FK75" t="e">
        <f>Nodes!Y575+"'E4!%Kx"</f>
        <v>#VALUE!</v>
      </c>
      <c r="FL75" t="e">
        <f>Nodes!Z575+"'E4!%Ky"</f>
        <v>#VALUE!</v>
      </c>
      <c r="FM75" t="e">
        <f>Nodes!AA575+"'E4!%Kz"</f>
        <v>#VALUE!</v>
      </c>
      <c r="FN75" t="e">
        <f>Nodes!AB575+"'E4!%K{"</f>
        <v>#VALUE!</v>
      </c>
      <c r="FO75" t="e">
        <f>Nodes!AC575+"'E4!%K|"</f>
        <v>#VALUE!</v>
      </c>
      <c r="FP75" t="e">
        <f>Nodes!A576+"'E4!%K}"</f>
        <v>#VALUE!</v>
      </c>
      <c r="FQ75" t="e">
        <f>Nodes!B576+"'E4!%K~"</f>
        <v>#VALUE!</v>
      </c>
      <c r="FR75" t="e">
        <f>Nodes!C576+"'E4!%L#"</f>
        <v>#VALUE!</v>
      </c>
      <c r="FS75" t="e">
        <f>Nodes!D576+"'E4!%L$"</f>
        <v>#VALUE!</v>
      </c>
      <c r="FT75" t="e">
        <f>Nodes!E576+"'E4!%L%"</f>
        <v>#VALUE!</v>
      </c>
      <c r="FU75" t="e">
        <f>Nodes!F576+"'E4!%L&amp;"</f>
        <v>#VALUE!</v>
      </c>
      <c r="FV75" t="e">
        <f>Nodes!G576+"'E4!%L'"</f>
        <v>#VALUE!</v>
      </c>
      <c r="FW75" t="e">
        <f>Nodes!H576+"'E4!%L("</f>
        <v>#VALUE!</v>
      </c>
      <c r="FX75" t="e">
        <f>Nodes!I576+"'E4!%L)"</f>
        <v>#VALUE!</v>
      </c>
      <c r="FY75" t="e">
        <f>Nodes!J576+"'E4!%L."</f>
        <v>#VALUE!</v>
      </c>
      <c r="FZ75" t="e">
        <f>Nodes!K576+"'E4!%L/"</f>
        <v>#VALUE!</v>
      </c>
      <c r="GA75" t="e">
        <f>Nodes!L576+"'E4!%L0"</f>
        <v>#VALUE!</v>
      </c>
      <c r="GB75" t="e">
        <f>Nodes!M576+"'E4!%L1"</f>
        <v>#VALUE!</v>
      </c>
      <c r="GC75" t="e">
        <f>Nodes!N576+"'E4!%L2"</f>
        <v>#VALUE!</v>
      </c>
      <c r="GD75" t="e">
        <f>Nodes!O576+"'E4!%L3"</f>
        <v>#VALUE!</v>
      </c>
      <c r="GE75" t="e">
        <f>Nodes!P576+"'E4!%L4"</f>
        <v>#VALUE!</v>
      </c>
      <c r="GF75" t="e">
        <f>Nodes!Q576+"'E4!%L5"</f>
        <v>#VALUE!</v>
      </c>
      <c r="GG75" t="e">
        <f>Nodes!R576+"'E4!%L6"</f>
        <v>#VALUE!</v>
      </c>
      <c r="GH75" t="e">
        <f>Nodes!S576+"'E4!%L7"</f>
        <v>#VALUE!</v>
      </c>
      <c r="GI75" t="e">
        <f>Nodes!T576+"'E4!%L8"</f>
        <v>#VALUE!</v>
      </c>
      <c r="GJ75" s="548" t="e">
        <f>Nodes!U576+"'E4!%L9"</f>
        <v>#VALUE!</v>
      </c>
      <c r="GK75" t="e">
        <f>Nodes!V576+"'E4!%L:"</f>
        <v>#VALUE!</v>
      </c>
      <c r="GL75" t="e">
        <f>Nodes!W576+"'E4!%L;"</f>
        <v>#VALUE!</v>
      </c>
      <c r="GM75" s="333" t="e">
        <f>Nodes!X576+"'E4!%L&lt;"</f>
        <v>#VALUE!</v>
      </c>
      <c r="GN75" t="e">
        <f>Nodes!Y576+"'E4!%L="</f>
        <v>#VALUE!</v>
      </c>
      <c r="GO75" t="e">
        <f>Nodes!Z576+"'E4!%L&gt;"</f>
        <v>#VALUE!</v>
      </c>
      <c r="GP75" t="e">
        <f>Nodes!AA576+"'E4!%L?"</f>
        <v>#VALUE!</v>
      </c>
      <c r="GQ75" t="e">
        <f>Nodes!AB576+"'E4!%L@"</f>
        <v>#VALUE!</v>
      </c>
      <c r="GR75" t="e">
        <f>Nodes!AC576+"'E4!%LA"</f>
        <v>#VALUE!</v>
      </c>
      <c r="GS75" t="e">
        <f>Nodes!A577+"'E4!%LB"</f>
        <v>#VALUE!</v>
      </c>
      <c r="GT75" t="e">
        <f>Nodes!B577+"'E4!%LC"</f>
        <v>#VALUE!</v>
      </c>
      <c r="GU75" t="e">
        <f>Nodes!C577+"'E4!%LD"</f>
        <v>#VALUE!</v>
      </c>
      <c r="GV75" t="e">
        <f>Nodes!D577+"'E4!%LE"</f>
        <v>#VALUE!</v>
      </c>
      <c r="GW75" t="e">
        <f>Nodes!E577+"'E4!%LF"</f>
        <v>#VALUE!</v>
      </c>
      <c r="GX75" t="e">
        <f>Nodes!F577+"'E4!%LG"</f>
        <v>#VALUE!</v>
      </c>
      <c r="GY75" t="e">
        <f>Nodes!G577+"'E4!%LH"</f>
        <v>#VALUE!</v>
      </c>
      <c r="GZ75" t="e">
        <f>Nodes!H577+"'E4!%LI"</f>
        <v>#VALUE!</v>
      </c>
      <c r="HA75" t="e">
        <f>Nodes!I577+"'E4!%LJ"</f>
        <v>#VALUE!</v>
      </c>
      <c r="HB75" t="e">
        <f>Nodes!J577+"'E4!%LK"</f>
        <v>#VALUE!</v>
      </c>
      <c r="HC75" t="e">
        <f>Nodes!K577+"'E4!%LL"</f>
        <v>#VALUE!</v>
      </c>
      <c r="HD75" t="e">
        <f>Nodes!L577+"'E4!%LM"</f>
        <v>#VALUE!</v>
      </c>
      <c r="HE75" t="e">
        <f>Nodes!M577+"'E4!%LN"</f>
        <v>#VALUE!</v>
      </c>
      <c r="HF75" t="e">
        <f>Nodes!N577+"'E4!%LO"</f>
        <v>#VALUE!</v>
      </c>
      <c r="HG75" t="e">
        <f>Nodes!O577+"'E4!%LP"</f>
        <v>#VALUE!</v>
      </c>
      <c r="HH75" t="e">
        <f>Nodes!P577+"'E4!%LQ"</f>
        <v>#VALUE!</v>
      </c>
      <c r="HI75" t="e">
        <f>Nodes!Q577+"'E4!%LR"</f>
        <v>#VALUE!</v>
      </c>
      <c r="HJ75" t="e">
        <f>Nodes!R577+"'E4!%LS"</f>
        <v>#VALUE!</v>
      </c>
      <c r="HK75" t="e">
        <f>Nodes!S577+"'E4!%LT"</f>
        <v>#VALUE!</v>
      </c>
      <c r="HL75" t="e">
        <f>Nodes!T577+"'E4!%LU"</f>
        <v>#VALUE!</v>
      </c>
      <c r="HM75" s="548" t="e">
        <f>Nodes!U577+"'E4!%LV"</f>
        <v>#VALUE!</v>
      </c>
      <c r="HN75" t="e">
        <f>Nodes!V577+"'E4!%LW"</f>
        <v>#VALUE!</v>
      </c>
      <c r="HO75" t="e">
        <f>Nodes!W577+"'E4!%LX"</f>
        <v>#VALUE!</v>
      </c>
      <c r="HP75" s="333" t="e">
        <f>Nodes!X577+"'E4!%LY"</f>
        <v>#VALUE!</v>
      </c>
      <c r="HQ75" t="e">
        <f>Nodes!Y577+"'E4!%LZ"</f>
        <v>#VALUE!</v>
      </c>
      <c r="HR75" t="e">
        <f>Nodes!Z577+"'E4!%L["</f>
        <v>#VALUE!</v>
      </c>
      <c r="HS75" t="e">
        <f>Nodes!AA577+"'E4!%L\"</f>
        <v>#VALUE!</v>
      </c>
      <c r="HT75" t="e">
        <f>Nodes!AB577+"'E4!%L]"</f>
        <v>#VALUE!</v>
      </c>
      <c r="HU75" t="e">
        <f>Nodes!AC577+"'E4!%L^"</f>
        <v>#VALUE!</v>
      </c>
      <c r="HV75" t="e">
        <f>Nodes!A578+"'E4!%L_"</f>
        <v>#VALUE!</v>
      </c>
      <c r="HW75" t="e">
        <f>Nodes!B578+"'E4!%L`"</f>
        <v>#VALUE!</v>
      </c>
      <c r="HX75" t="e">
        <f>Nodes!C578+"'E4!%La"</f>
        <v>#VALUE!</v>
      </c>
      <c r="HY75" t="e">
        <f>Nodes!D578+"'E4!%Lb"</f>
        <v>#VALUE!</v>
      </c>
      <c r="HZ75" t="e">
        <f>Nodes!E578+"'E4!%Lc"</f>
        <v>#VALUE!</v>
      </c>
      <c r="IA75" t="e">
        <f>Nodes!F578+"'E4!%Ld"</f>
        <v>#VALUE!</v>
      </c>
      <c r="IB75" t="e">
        <f>Nodes!G578+"'E4!%Le"</f>
        <v>#VALUE!</v>
      </c>
      <c r="IC75" t="e">
        <f>Nodes!H578+"'E4!%Lf"</f>
        <v>#VALUE!</v>
      </c>
      <c r="ID75" t="e">
        <f>Nodes!I578+"'E4!%Lg"</f>
        <v>#VALUE!</v>
      </c>
      <c r="IE75" t="e">
        <f>Nodes!J578+"'E4!%Lh"</f>
        <v>#VALUE!</v>
      </c>
      <c r="IF75" t="e">
        <f>Nodes!K578+"'E4!%Li"</f>
        <v>#VALUE!</v>
      </c>
      <c r="IG75" t="e">
        <f>Nodes!L578+"'E4!%Lj"</f>
        <v>#VALUE!</v>
      </c>
      <c r="IH75" t="e">
        <f>Nodes!M578+"'E4!%Lk"</f>
        <v>#VALUE!</v>
      </c>
      <c r="II75" t="e">
        <f>Nodes!N578+"'E4!%Ll"</f>
        <v>#VALUE!</v>
      </c>
      <c r="IJ75" t="e">
        <f>Nodes!O578+"'E4!%Lm"</f>
        <v>#VALUE!</v>
      </c>
      <c r="IK75" t="e">
        <f>Nodes!P578+"'E4!%Ln"</f>
        <v>#VALUE!</v>
      </c>
      <c r="IL75" t="e">
        <f>Nodes!Q578+"'E4!%Lo"</f>
        <v>#VALUE!</v>
      </c>
      <c r="IM75" t="e">
        <f>Nodes!R578+"'E4!%Lp"</f>
        <v>#VALUE!</v>
      </c>
      <c r="IN75" t="e">
        <f>Nodes!S578+"'E4!%Lq"</f>
        <v>#VALUE!</v>
      </c>
      <c r="IO75" t="e">
        <f>Nodes!T578+"'E4!%Lr"</f>
        <v>#VALUE!</v>
      </c>
      <c r="IP75" s="548" t="e">
        <f>Nodes!U578+"'E4!%Ls"</f>
        <v>#VALUE!</v>
      </c>
      <c r="IQ75" t="e">
        <f>Nodes!V578+"'E4!%Lt"</f>
        <v>#VALUE!</v>
      </c>
      <c r="IR75" t="e">
        <f>Nodes!W578+"'E4!%Lu"</f>
        <v>#VALUE!</v>
      </c>
      <c r="IS75" t="e">
        <f>Nodes!X578+"'E4!%Lv"</f>
        <v>#VALUE!</v>
      </c>
      <c r="IT75" t="e">
        <f>Nodes!Y578+"'E4!%Lw"</f>
        <v>#VALUE!</v>
      </c>
      <c r="IU75" t="e">
        <f>Nodes!Z578+"'E4!%Lx"</f>
        <v>#VALUE!</v>
      </c>
      <c r="IV75" t="e">
        <f>Nodes!AA578+"'E4!%Ly"</f>
        <v>#VALUE!</v>
      </c>
    </row>
    <row r="76" spans="6:256">
      <c r="F76" t="e">
        <f>Nodes!AB578+"'E4!%Lz"</f>
        <v>#VALUE!</v>
      </c>
      <c r="G76" t="e">
        <f>Nodes!AC578+"'E4!%L{"</f>
        <v>#VALUE!</v>
      </c>
      <c r="H76" t="e">
        <f>Nodes!A579+"'E4!%L|"</f>
        <v>#VALUE!</v>
      </c>
      <c r="I76" t="e">
        <f>Nodes!B579+"'E4!%L}"</f>
        <v>#VALUE!</v>
      </c>
      <c r="J76" t="e">
        <f>Nodes!C579+"'E4!%L~"</f>
        <v>#VALUE!</v>
      </c>
      <c r="K76" t="e">
        <f>Nodes!D579+"'E4!%M#"</f>
        <v>#VALUE!</v>
      </c>
      <c r="L76" t="e">
        <f>Nodes!E579+"'E4!%M$"</f>
        <v>#VALUE!</v>
      </c>
      <c r="M76" t="e">
        <f>Nodes!F579+"'E4!%M%"</f>
        <v>#VALUE!</v>
      </c>
      <c r="N76" t="e">
        <f>Nodes!G579+"'E4!%M&amp;"</f>
        <v>#VALUE!</v>
      </c>
      <c r="O76" t="e">
        <f>Nodes!H579+"'E4!%M'"</f>
        <v>#VALUE!</v>
      </c>
      <c r="P76" t="e">
        <f>Nodes!I579+"'E4!%M("</f>
        <v>#VALUE!</v>
      </c>
      <c r="Q76" t="e">
        <f>Nodes!J579+"'E4!%M)"</f>
        <v>#VALUE!</v>
      </c>
      <c r="R76" t="e">
        <f>Nodes!K579+"'E4!%M."</f>
        <v>#VALUE!</v>
      </c>
      <c r="S76" t="e">
        <f>Nodes!L579+"'E4!%M/"</f>
        <v>#VALUE!</v>
      </c>
      <c r="T76" t="e">
        <f>Nodes!M579+"'E4!%M0"</f>
        <v>#VALUE!</v>
      </c>
      <c r="U76" t="e">
        <f>Nodes!N579+"'E4!%M1"</f>
        <v>#VALUE!</v>
      </c>
      <c r="V76" t="e">
        <f>Nodes!O579+"'E4!%M2"</f>
        <v>#VALUE!</v>
      </c>
      <c r="W76" t="e">
        <f>Nodes!P579+"'E4!%M3"</f>
        <v>#VALUE!</v>
      </c>
      <c r="X76" t="e">
        <f>Nodes!Q579+"'E4!%M4"</f>
        <v>#VALUE!</v>
      </c>
      <c r="Y76" t="e">
        <f>Nodes!R579+"'E4!%M5"</f>
        <v>#VALUE!</v>
      </c>
      <c r="Z76" t="e">
        <f>Nodes!S579+"'E4!%M6"</f>
        <v>#VALUE!</v>
      </c>
      <c r="AA76" t="e">
        <f>Nodes!T579+"'E4!%M7"</f>
        <v>#VALUE!</v>
      </c>
      <c r="AB76" s="548" t="e">
        <f>Nodes!U579+"'E4!%M8"</f>
        <v>#VALUE!</v>
      </c>
      <c r="AC76" t="e">
        <f>Nodes!V579+"'E4!%M9"</f>
        <v>#VALUE!</v>
      </c>
      <c r="AD76" t="e">
        <f>Nodes!W579+"'E4!%M:"</f>
        <v>#VALUE!</v>
      </c>
      <c r="AE76" s="333" t="e">
        <f>Nodes!X579+"'E4!%M;"</f>
        <v>#VALUE!</v>
      </c>
      <c r="AF76" t="e">
        <f>Nodes!Y579+"'E4!%M&lt;"</f>
        <v>#VALUE!</v>
      </c>
      <c r="AG76" t="e">
        <f>Nodes!Z579+"'E4!%M="</f>
        <v>#VALUE!</v>
      </c>
      <c r="AH76" t="e">
        <f>Nodes!AA579+"'E4!%M&gt;"</f>
        <v>#VALUE!</v>
      </c>
      <c r="AI76" t="e">
        <f>Nodes!AB579+"'E4!%M?"</f>
        <v>#VALUE!</v>
      </c>
      <c r="AJ76" t="e">
        <f>Nodes!AC579+"'E4!%M@"</f>
        <v>#VALUE!</v>
      </c>
      <c r="AK76" t="e">
        <f>Nodes!A580+"'E4!%MA"</f>
        <v>#VALUE!</v>
      </c>
      <c r="AL76" t="e">
        <f>Nodes!B580+"'E4!%MB"</f>
        <v>#VALUE!</v>
      </c>
      <c r="AM76" t="e">
        <f>Nodes!C580+"'E4!%MC"</f>
        <v>#VALUE!</v>
      </c>
      <c r="AN76" t="e">
        <f>Nodes!D580+"'E4!%MD"</f>
        <v>#VALUE!</v>
      </c>
      <c r="AO76" t="e">
        <f>Nodes!E580+"'E4!%ME"</f>
        <v>#VALUE!</v>
      </c>
      <c r="AP76" t="e">
        <f>Nodes!F580+"'E4!%MF"</f>
        <v>#VALUE!</v>
      </c>
      <c r="AQ76" t="e">
        <f>Nodes!G580+"'E4!%MG"</f>
        <v>#VALUE!</v>
      </c>
      <c r="AR76" t="e">
        <f>Nodes!H580+"'E4!%MH"</f>
        <v>#VALUE!</v>
      </c>
      <c r="AS76" t="e">
        <f>Nodes!I580+"'E4!%MI"</f>
        <v>#VALUE!</v>
      </c>
      <c r="AT76" t="e">
        <f>Nodes!J580+"'E4!%MJ"</f>
        <v>#VALUE!</v>
      </c>
      <c r="AU76" t="e">
        <f>Nodes!K580+"'E4!%MK"</f>
        <v>#VALUE!</v>
      </c>
      <c r="AV76" t="e">
        <f>Nodes!L580+"'E4!%ML"</f>
        <v>#VALUE!</v>
      </c>
      <c r="AW76" t="e">
        <f>Nodes!M580+"'E4!%MM"</f>
        <v>#VALUE!</v>
      </c>
      <c r="AX76" t="e">
        <f>Nodes!N580+"'E4!%MN"</f>
        <v>#VALUE!</v>
      </c>
      <c r="AY76" t="e">
        <f>Nodes!O580+"'E4!%MO"</f>
        <v>#VALUE!</v>
      </c>
      <c r="AZ76" t="e">
        <f>Nodes!P580+"'E4!%MP"</f>
        <v>#VALUE!</v>
      </c>
      <c r="BA76" t="e">
        <f>Nodes!Q580+"'E4!%MQ"</f>
        <v>#VALUE!</v>
      </c>
      <c r="BB76" t="e">
        <f>Nodes!R580+"'E4!%MR"</f>
        <v>#VALUE!</v>
      </c>
      <c r="BC76" t="e">
        <f>Nodes!S580+"'E4!%MS"</f>
        <v>#VALUE!</v>
      </c>
      <c r="BD76" t="e">
        <f>Nodes!T580+"'E4!%MT"</f>
        <v>#VALUE!</v>
      </c>
      <c r="BE76" s="548" t="e">
        <f>Nodes!U580+"'E4!%MU"</f>
        <v>#VALUE!</v>
      </c>
      <c r="BF76" s="548" t="e">
        <f>Nodes!V580+"'E4!%MV"</f>
        <v>#VALUE!</v>
      </c>
      <c r="BG76" s="548" t="e">
        <f>Nodes!W580+"'E4!%MW"</f>
        <v>#VALUE!</v>
      </c>
      <c r="BH76" s="333" t="e">
        <f>Nodes!X580+"'E4!%MX"</f>
        <v>#VALUE!</v>
      </c>
      <c r="BI76" t="e">
        <f>Nodes!Y580+"'E4!%MY"</f>
        <v>#VALUE!</v>
      </c>
      <c r="BJ76" t="e">
        <f>Nodes!Z580+"'E4!%MZ"</f>
        <v>#VALUE!</v>
      </c>
      <c r="BK76" t="e">
        <f>Nodes!AA580+"'E4!%M["</f>
        <v>#VALUE!</v>
      </c>
      <c r="BL76" t="e">
        <f>Nodes!AB580+"'E4!%M\"</f>
        <v>#VALUE!</v>
      </c>
      <c r="BM76" t="e">
        <f>Nodes!AC580+"'E4!%M]"</f>
        <v>#VALUE!</v>
      </c>
      <c r="BN76" t="e">
        <f>Nodes!A581+"'E4!%M^"</f>
        <v>#VALUE!</v>
      </c>
      <c r="BO76" t="e">
        <f>Nodes!B581+"'E4!%M_"</f>
        <v>#VALUE!</v>
      </c>
      <c r="BP76" t="e">
        <f>Nodes!C581+"'E4!%M`"</f>
        <v>#VALUE!</v>
      </c>
      <c r="BQ76" t="e">
        <f>Nodes!D581+"'E4!%Ma"</f>
        <v>#VALUE!</v>
      </c>
      <c r="BR76" t="e">
        <f>Nodes!E581+"'E4!%Mb"</f>
        <v>#VALUE!</v>
      </c>
      <c r="BS76" t="e">
        <f>Nodes!F581+"'E4!%Mc"</f>
        <v>#VALUE!</v>
      </c>
      <c r="BT76" t="e">
        <f>Nodes!G581+"'E4!%Md"</f>
        <v>#VALUE!</v>
      </c>
      <c r="BU76" t="e">
        <f>Nodes!H581+"'E4!%Me"</f>
        <v>#VALUE!</v>
      </c>
      <c r="BV76" t="e">
        <f>Nodes!I581+"'E4!%Mf"</f>
        <v>#VALUE!</v>
      </c>
      <c r="BW76" t="e">
        <f>Nodes!J581+"'E4!%Mg"</f>
        <v>#VALUE!</v>
      </c>
      <c r="BX76" t="e">
        <f>Nodes!K581+"'E4!%Mh"</f>
        <v>#VALUE!</v>
      </c>
      <c r="BY76" t="e">
        <f>Nodes!L581+"'E4!%Mi"</f>
        <v>#VALUE!</v>
      </c>
      <c r="BZ76" t="e">
        <f>Nodes!M581+"'E4!%Mj"</f>
        <v>#VALUE!</v>
      </c>
      <c r="CA76" t="e">
        <f>Nodes!N581+"'E4!%Mk"</f>
        <v>#VALUE!</v>
      </c>
      <c r="CB76" t="e">
        <f>Nodes!O581+"'E4!%Ml"</f>
        <v>#VALUE!</v>
      </c>
      <c r="CC76" t="e">
        <f>Nodes!P581+"'E4!%Mm"</f>
        <v>#VALUE!</v>
      </c>
      <c r="CD76" t="e">
        <f>Nodes!Q581+"'E4!%Mn"</f>
        <v>#VALUE!</v>
      </c>
      <c r="CE76" t="e">
        <f>Nodes!R581+"'E4!%Mo"</f>
        <v>#VALUE!</v>
      </c>
      <c r="CF76" t="e">
        <f>Nodes!S581+"'E4!%Mp"</f>
        <v>#VALUE!</v>
      </c>
      <c r="CG76" t="e">
        <f>Nodes!T581+"'E4!%Mq"</f>
        <v>#VALUE!</v>
      </c>
      <c r="CH76" s="548" t="e">
        <f>Nodes!U581+"'E4!%Mr"</f>
        <v>#VALUE!</v>
      </c>
      <c r="CI76" t="e">
        <f>Nodes!V581+"'E4!%Ms"</f>
        <v>#VALUE!</v>
      </c>
      <c r="CJ76" t="e">
        <f>Nodes!W581+"'E4!%Mt"</f>
        <v>#VALUE!</v>
      </c>
      <c r="CK76" s="333" t="e">
        <f>Nodes!X581+"'E4!%Mu"</f>
        <v>#VALUE!</v>
      </c>
      <c r="CL76" t="e">
        <f>Nodes!Y581+"'E4!%Mv"</f>
        <v>#VALUE!</v>
      </c>
      <c r="CM76" t="e">
        <f>Nodes!Z581+"'E4!%Mw"</f>
        <v>#VALUE!</v>
      </c>
      <c r="CN76" t="e">
        <f>Nodes!AA581+"'E4!%Mx"</f>
        <v>#VALUE!</v>
      </c>
      <c r="CO76" t="e">
        <f>Nodes!AB581+"'E4!%My"</f>
        <v>#VALUE!</v>
      </c>
      <c r="CP76" t="e">
        <f>Nodes!AC581+"'E4!%Mz"</f>
        <v>#VALUE!</v>
      </c>
      <c r="CQ76" t="e">
        <f>Nodes!A582+"'E4!%M{"</f>
        <v>#VALUE!</v>
      </c>
      <c r="CR76" t="e">
        <f>Nodes!B582+"'E4!%M|"</f>
        <v>#VALUE!</v>
      </c>
      <c r="CS76" t="e">
        <f>Nodes!C582+"'E4!%M}"</f>
        <v>#VALUE!</v>
      </c>
      <c r="CT76" t="e">
        <f>Nodes!D582+"'E4!%M~"</f>
        <v>#VALUE!</v>
      </c>
      <c r="CU76" t="e">
        <f>Nodes!E582+"'E4!%N#"</f>
        <v>#VALUE!</v>
      </c>
      <c r="CV76" t="e">
        <f>Nodes!F582+"'E4!%N$"</f>
        <v>#VALUE!</v>
      </c>
      <c r="CW76" t="e">
        <f>Nodes!G582+"'E4!%N%"</f>
        <v>#VALUE!</v>
      </c>
      <c r="CX76" t="e">
        <f>Nodes!H582+"'E4!%N&amp;"</f>
        <v>#VALUE!</v>
      </c>
      <c r="CY76" t="e">
        <f>Nodes!I582+"'E4!%N'"</f>
        <v>#VALUE!</v>
      </c>
      <c r="CZ76" t="e">
        <f>Nodes!J582+"'E4!%N("</f>
        <v>#VALUE!</v>
      </c>
      <c r="DA76" t="e">
        <f>Nodes!K582+"'E4!%N)"</f>
        <v>#VALUE!</v>
      </c>
      <c r="DB76" t="e">
        <f>Nodes!L582+"'E4!%N."</f>
        <v>#VALUE!</v>
      </c>
      <c r="DC76" t="e">
        <f>Nodes!M582+"'E4!%N/"</f>
        <v>#VALUE!</v>
      </c>
      <c r="DD76" t="e">
        <f>Nodes!N582+"'E4!%N0"</f>
        <v>#VALUE!</v>
      </c>
      <c r="DE76" t="e">
        <f>Nodes!O582+"'E4!%N1"</f>
        <v>#VALUE!</v>
      </c>
      <c r="DF76" t="e">
        <f>Nodes!P582+"'E4!%N2"</f>
        <v>#VALUE!</v>
      </c>
      <c r="DG76" t="e">
        <f>Nodes!Q582+"'E4!%N3"</f>
        <v>#VALUE!</v>
      </c>
      <c r="DH76" t="e">
        <f>Nodes!R582+"'E4!%N4"</f>
        <v>#VALUE!</v>
      </c>
      <c r="DI76" t="e">
        <f>Nodes!S582+"'E4!%N5"</f>
        <v>#VALUE!</v>
      </c>
      <c r="DJ76" t="e">
        <f>Nodes!T582+"'E4!%N6"</f>
        <v>#VALUE!</v>
      </c>
      <c r="DK76" s="548" t="e">
        <f>Nodes!U582+"'E4!%N7"</f>
        <v>#VALUE!</v>
      </c>
      <c r="DL76" s="548" t="e">
        <f>Nodes!V582+"'E4!%N8"</f>
        <v>#VALUE!</v>
      </c>
      <c r="DM76" s="548" t="e">
        <f>Nodes!W582+"'E4!%N9"</f>
        <v>#VALUE!</v>
      </c>
      <c r="DN76" s="333" t="e">
        <f>Nodes!X582+"'E4!%N:"</f>
        <v>#VALUE!</v>
      </c>
      <c r="DO76" t="e">
        <f>Nodes!Y582+"'E4!%N;"</f>
        <v>#VALUE!</v>
      </c>
      <c r="DP76" t="e">
        <f>Nodes!Z582+"'E4!%N&lt;"</f>
        <v>#VALUE!</v>
      </c>
      <c r="DQ76" t="e">
        <f>Nodes!AA582+"'E4!%N="</f>
        <v>#VALUE!</v>
      </c>
      <c r="DR76" t="e">
        <f>Nodes!AB582+"'E4!%N&gt;"</f>
        <v>#VALUE!</v>
      </c>
      <c r="DS76" t="e">
        <f>Nodes!AC582+"'E4!%N?"</f>
        <v>#VALUE!</v>
      </c>
      <c r="DT76" t="e">
        <f>Nodes!A583+"'E4!%N@"</f>
        <v>#VALUE!</v>
      </c>
      <c r="DU76" t="e">
        <f>Nodes!B583+"'E4!%NA"</f>
        <v>#VALUE!</v>
      </c>
      <c r="DV76" t="e">
        <f>Nodes!C583+"'E4!%NB"</f>
        <v>#VALUE!</v>
      </c>
      <c r="DW76" t="e">
        <f>Nodes!D583+"'E4!%NC"</f>
        <v>#VALUE!</v>
      </c>
      <c r="DX76" t="e">
        <f>Nodes!E583+"'E4!%ND"</f>
        <v>#VALUE!</v>
      </c>
      <c r="DY76" t="e">
        <f>Nodes!F583+"'E4!%NE"</f>
        <v>#VALUE!</v>
      </c>
      <c r="DZ76" t="e">
        <f>Nodes!G583+"'E4!%NF"</f>
        <v>#VALUE!</v>
      </c>
      <c r="EA76" t="e">
        <f>Nodes!H583+"'E4!%NG"</f>
        <v>#VALUE!</v>
      </c>
      <c r="EB76" t="e">
        <f>Nodes!I583+"'E4!%NH"</f>
        <v>#VALUE!</v>
      </c>
      <c r="EC76" t="e">
        <f>Nodes!J583+"'E4!%NI"</f>
        <v>#VALUE!</v>
      </c>
      <c r="ED76" t="e">
        <f>Nodes!K583+"'E4!%NJ"</f>
        <v>#VALUE!</v>
      </c>
      <c r="EE76" t="e">
        <f>Nodes!L583+"'E4!%NK"</f>
        <v>#VALUE!</v>
      </c>
      <c r="EF76" t="e">
        <f>Nodes!M583+"'E4!%NL"</f>
        <v>#VALUE!</v>
      </c>
      <c r="EG76" t="e">
        <f>Nodes!N583+"'E4!%NM"</f>
        <v>#VALUE!</v>
      </c>
      <c r="EH76" t="e">
        <f>Nodes!O583+"'E4!%NN"</f>
        <v>#VALUE!</v>
      </c>
      <c r="EI76" t="e">
        <f>Nodes!P583+"'E4!%NO"</f>
        <v>#VALUE!</v>
      </c>
      <c r="EJ76" t="e">
        <f>Nodes!Q583+"'E4!%NP"</f>
        <v>#VALUE!</v>
      </c>
      <c r="EK76" t="e">
        <f>Nodes!R583+"'E4!%NQ"</f>
        <v>#VALUE!</v>
      </c>
      <c r="EL76" t="e">
        <f>Nodes!S583+"'E4!%NR"</f>
        <v>#VALUE!</v>
      </c>
      <c r="EM76" t="e">
        <f>Nodes!T583+"'E4!%NS"</f>
        <v>#VALUE!</v>
      </c>
      <c r="EN76" s="548" t="e">
        <f>Nodes!U583+"'E4!%NT"</f>
        <v>#VALUE!</v>
      </c>
      <c r="EO76" t="e">
        <f>Nodes!V583+"'E4!%NU"</f>
        <v>#VALUE!</v>
      </c>
      <c r="EP76" t="e">
        <f>Nodes!W583+"'E4!%NV"</f>
        <v>#VALUE!</v>
      </c>
      <c r="EQ76" s="333" t="e">
        <f>Nodes!X583+"'E4!%NW"</f>
        <v>#VALUE!</v>
      </c>
      <c r="ER76" t="e">
        <f>Nodes!Y583+"'E4!%NX"</f>
        <v>#VALUE!</v>
      </c>
      <c r="ES76" t="e">
        <f>Nodes!Z583+"'E4!%NY"</f>
        <v>#VALUE!</v>
      </c>
      <c r="ET76" t="e">
        <f>Nodes!AA583+"'E4!%NZ"</f>
        <v>#VALUE!</v>
      </c>
      <c r="EU76" t="e">
        <f>Nodes!AB583+"'E4!%N["</f>
        <v>#VALUE!</v>
      </c>
      <c r="EV76" t="e">
        <f>Nodes!AC583+"'E4!%N\"</f>
        <v>#VALUE!</v>
      </c>
      <c r="EW76" t="e">
        <f>Nodes!A584+"'E4!%N]"</f>
        <v>#VALUE!</v>
      </c>
      <c r="EX76" t="e">
        <f>Nodes!B584+"'E4!%N^"</f>
        <v>#VALUE!</v>
      </c>
      <c r="EY76" t="e">
        <f>Nodes!C584+"'E4!%N_"</f>
        <v>#VALUE!</v>
      </c>
      <c r="EZ76" t="e">
        <f>Nodes!D584+"'E4!%N`"</f>
        <v>#VALUE!</v>
      </c>
      <c r="FA76" t="e">
        <f>Nodes!E584+"'E4!%Na"</f>
        <v>#VALUE!</v>
      </c>
      <c r="FB76" t="e">
        <f>Nodes!F584+"'E4!%Nb"</f>
        <v>#VALUE!</v>
      </c>
      <c r="FC76" t="e">
        <f>Nodes!G584+"'E4!%Nc"</f>
        <v>#VALUE!</v>
      </c>
      <c r="FD76" t="e">
        <f>Nodes!H584+"'E4!%Nd"</f>
        <v>#VALUE!</v>
      </c>
      <c r="FE76" t="e">
        <f>Nodes!I584+"'E4!%Ne"</f>
        <v>#VALUE!</v>
      </c>
      <c r="FF76" t="e">
        <f>Nodes!J584+"'E4!%Nf"</f>
        <v>#VALUE!</v>
      </c>
      <c r="FG76" t="e">
        <f>Nodes!K584+"'E4!%Ng"</f>
        <v>#VALUE!</v>
      </c>
      <c r="FH76" t="e">
        <f>Nodes!L584+"'E4!%Nh"</f>
        <v>#VALUE!</v>
      </c>
      <c r="FI76" t="e">
        <f>Nodes!M584+"'E4!%Ni"</f>
        <v>#VALUE!</v>
      </c>
      <c r="FJ76" t="e">
        <f>Nodes!N584+"'E4!%Nj"</f>
        <v>#VALUE!</v>
      </c>
      <c r="FK76" t="e">
        <f>Nodes!O584+"'E4!%Nk"</f>
        <v>#VALUE!</v>
      </c>
      <c r="FL76" t="e">
        <f>Nodes!P584+"'E4!%Nl"</f>
        <v>#VALUE!</v>
      </c>
      <c r="FM76" t="e">
        <f>Nodes!Q584+"'E4!%Nm"</f>
        <v>#VALUE!</v>
      </c>
      <c r="FN76" t="e">
        <f>Nodes!R584+"'E4!%Nn"</f>
        <v>#VALUE!</v>
      </c>
      <c r="FO76" t="e">
        <f>Nodes!S584+"'E4!%No"</f>
        <v>#VALUE!</v>
      </c>
      <c r="FP76" t="e">
        <f>Nodes!T584+"'E4!%Np"</f>
        <v>#VALUE!</v>
      </c>
      <c r="FQ76" s="548" t="e">
        <f>Nodes!U584+"'E4!%Nq"</f>
        <v>#VALUE!</v>
      </c>
      <c r="FR76" t="e">
        <f>Nodes!V584+"'E4!%Nr"</f>
        <v>#VALUE!</v>
      </c>
      <c r="FS76" t="e">
        <f>Nodes!W584+"'E4!%Ns"</f>
        <v>#VALUE!</v>
      </c>
      <c r="FT76" s="333" t="e">
        <f>Nodes!X584+"'E4!%Nt"</f>
        <v>#VALUE!</v>
      </c>
      <c r="FU76" t="e">
        <f>Nodes!Y584+"'E4!%Nu"</f>
        <v>#VALUE!</v>
      </c>
      <c r="FV76" t="e">
        <f>Nodes!Z584+"'E4!%Nv"</f>
        <v>#VALUE!</v>
      </c>
      <c r="FW76" t="e">
        <f>Nodes!AA584+"'E4!%Nw"</f>
        <v>#VALUE!</v>
      </c>
      <c r="FX76" t="e">
        <f>Nodes!AB584+"'E4!%Nx"</f>
        <v>#VALUE!</v>
      </c>
      <c r="FY76" t="e">
        <f>Nodes!AC584+"'E4!%Ny"</f>
        <v>#VALUE!</v>
      </c>
      <c r="FZ76" t="e">
        <f>Nodes!A585+"'E4!%Nz"</f>
        <v>#VALUE!</v>
      </c>
      <c r="GA76" t="e">
        <f>Nodes!B585+"'E4!%N{"</f>
        <v>#VALUE!</v>
      </c>
      <c r="GB76" t="e">
        <f>Nodes!C585+"'E4!%N|"</f>
        <v>#VALUE!</v>
      </c>
      <c r="GC76" t="e">
        <f>Nodes!D585+"'E4!%N}"</f>
        <v>#VALUE!</v>
      </c>
      <c r="GD76" t="e">
        <f>Nodes!E585+"'E4!%N~"</f>
        <v>#VALUE!</v>
      </c>
      <c r="GE76" t="e">
        <f>Nodes!F585+"'E4!%O#"</f>
        <v>#VALUE!</v>
      </c>
      <c r="GF76" t="e">
        <f>Nodes!G585+"'E4!%O$"</f>
        <v>#VALUE!</v>
      </c>
      <c r="GG76" t="e">
        <f>Nodes!H585+"'E4!%O%"</f>
        <v>#VALUE!</v>
      </c>
      <c r="GH76" t="e">
        <f>Nodes!I585+"'E4!%O&amp;"</f>
        <v>#VALUE!</v>
      </c>
      <c r="GI76" t="e">
        <f>Nodes!J585+"'E4!%O'"</f>
        <v>#VALUE!</v>
      </c>
      <c r="GJ76" t="e">
        <f>Nodes!K585+"'E4!%O("</f>
        <v>#VALUE!</v>
      </c>
      <c r="GK76" t="e">
        <f>Nodes!L585+"'E4!%O)"</f>
        <v>#VALUE!</v>
      </c>
      <c r="GL76" t="e">
        <f>Nodes!M585+"'E4!%O."</f>
        <v>#VALUE!</v>
      </c>
      <c r="GM76" t="e">
        <f>Nodes!N585+"'E4!%O/"</f>
        <v>#VALUE!</v>
      </c>
      <c r="GN76" t="e">
        <f>Nodes!O585+"'E4!%O0"</f>
        <v>#VALUE!</v>
      </c>
      <c r="GO76" t="e">
        <f>Nodes!P585+"'E4!%O1"</f>
        <v>#VALUE!</v>
      </c>
      <c r="GP76" t="e">
        <f>Nodes!Q585+"'E4!%O2"</f>
        <v>#VALUE!</v>
      </c>
      <c r="GQ76" t="e">
        <f>Nodes!R585+"'E4!%O3"</f>
        <v>#VALUE!</v>
      </c>
      <c r="GR76" t="e">
        <f>Nodes!S585+"'E4!%O4"</f>
        <v>#VALUE!</v>
      </c>
      <c r="GS76" t="e">
        <f>Nodes!T585+"'E4!%O5"</f>
        <v>#VALUE!</v>
      </c>
      <c r="GT76" s="548" t="e">
        <f>Nodes!U585+"'E4!%O6"</f>
        <v>#VALUE!</v>
      </c>
      <c r="GU76" s="548" t="e">
        <f>Nodes!V585+"'E4!%O7"</f>
        <v>#VALUE!</v>
      </c>
      <c r="GV76" s="548" t="e">
        <f>Nodes!W585+"'E4!%O8"</f>
        <v>#VALUE!</v>
      </c>
      <c r="GW76" s="333" t="e">
        <f>Nodes!X585+"'E4!%O9"</f>
        <v>#VALUE!</v>
      </c>
      <c r="GX76" t="e">
        <f>Nodes!Y585+"'E4!%O:"</f>
        <v>#VALUE!</v>
      </c>
      <c r="GY76" t="e">
        <f>Nodes!Z585+"'E4!%O;"</f>
        <v>#VALUE!</v>
      </c>
      <c r="GZ76" t="e">
        <f>Nodes!AA585+"'E4!%O&lt;"</f>
        <v>#VALUE!</v>
      </c>
      <c r="HA76" t="e">
        <f>Nodes!AB585+"'E4!%O="</f>
        <v>#VALUE!</v>
      </c>
      <c r="HB76" t="e">
        <f>Nodes!AC585+"'E4!%O&gt;"</f>
        <v>#VALUE!</v>
      </c>
      <c r="HC76" t="e">
        <f>Nodes!A586+"'E4!%O?"</f>
        <v>#VALUE!</v>
      </c>
      <c r="HD76" t="e">
        <f>Nodes!B586+"'E4!%O@"</f>
        <v>#VALUE!</v>
      </c>
      <c r="HE76" t="e">
        <f>Nodes!C586+"'E4!%OA"</f>
        <v>#VALUE!</v>
      </c>
      <c r="HF76" t="e">
        <f>Nodes!D586+"'E4!%OB"</f>
        <v>#VALUE!</v>
      </c>
      <c r="HG76" t="e">
        <f>Nodes!E586+"'E4!%OC"</f>
        <v>#VALUE!</v>
      </c>
      <c r="HH76" t="e">
        <f>Nodes!F586+"'E4!%OD"</f>
        <v>#VALUE!</v>
      </c>
      <c r="HI76" t="e">
        <f>Nodes!G586+"'E4!%OE"</f>
        <v>#VALUE!</v>
      </c>
      <c r="HJ76" t="e">
        <f>Nodes!H586+"'E4!%OF"</f>
        <v>#VALUE!</v>
      </c>
      <c r="HK76" t="e">
        <f>Nodes!I586+"'E4!%OG"</f>
        <v>#VALUE!</v>
      </c>
      <c r="HL76" t="e">
        <f>Nodes!J586+"'E4!%OH"</f>
        <v>#VALUE!</v>
      </c>
      <c r="HM76" t="e">
        <f>Nodes!K586+"'E4!%OI"</f>
        <v>#VALUE!</v>
      </c>
      <c r="HN76" t="e">
        <f>Nodes!L586+"'E4!%OJ"</f>
        <v>#VALUE!</v>
      </c>
      <c r="HO76" t="e">
        <f>Nodes!M586+"'E4!%OK"</f>
        <v>#VALUE!</v>
      </c>
      <c r="HP76" t="e">
        <f>Nodes!N586+"'E4!%OL"</f>
        <v>#VALUE!</v>
      </c>
      <c r="HQ76" t="e">
        <f>Nodes!O586+"'E4!%OM"</f>
        <v>#VALUE!</v>
      </c>
      <c r="HR76" t="e">
        <f>Nodes!P586+"'E4!%ON"</f>
        <v>#VALUE!</v>
      </c>
      <c r="HS76" t="e">
        <f>Nodes!Q586+"'E4!%OO"</f>
        <v>#VALUE!</v>
      </c>
      <c r="HT76" t="e">
        <f>Nodes!R586+"'E4!%OP"</f>
        <v>#VALUE!</v>
      </c>
      <c r="HU76" t="e">
        <f>Nodes!S586+"'E4!%OQ"</f>
        <v>#VALUE!</v>
      </c>
      <c r="HV76" t="e">
        <f>Nodes!T586+"'E4!%OR"</f>
        <v>#VALUE!</v>
      </c>
      <c r="HW76" s="548" t="e">
        <f>Nodes!U586+"'E4!%OS"</f>
        <v>#VALUE!</v>
      </c>
      <c r="HX76" s="548" t="e">
        <f>Nodes!V586+"'E4!%OT"</f>
        <v>#VALUE!</v>
      </c>
      <c r="HY76" s="548" t="e">
        <f>Nodes!W586+"'E4!%OU"</f>
        <v>#VALUE!</v>
      </c>
      <c r="HZ76" s="333" t="e">
        <f>Nodes!X586+"'E4!%OV"</f>
        <v>#VALUE!</v>
      </c>
      <c r="IA76" t="e">
        <f>Nodes!Y586+"'E4!%OW"</f>
        <v>#VALUE!</v>
      </c>
      <c r="IB76" t="e">
        <f>Nodes!Z586+"'E4!%OX"</f>
        <v>#VALUE!</v>
      </c>
      <c r="IC76" t="e">
        <f>Nodes!AA586+"'E4!%OY"</f>
        <v>#VALUE!</v>
      </c>
      <c r="ID76" t="e">
        <f>Nodes!AB586+"'E4!%OZ"</f>
        <v>#VALUE!</v>
      </c>
      <c r="IE76" t="e">
        <f>Nodes!AC586+"'E4!%O["</f>
        <v>#VALUE!</v>
      </c>
      <c r="IF76" t="e">
        <f>Nodes!A587+"'E4!%O\"</f>
        <v>#VALUE!</v>
      </c>
      <c r="IG76" t="e">
        <f>Nodes!B587+"'E4!%O]"</f>
        <v>#VALUE!</v>
      </c>
      <c r="IH76" t="e">
        <f>Nodes!C587+"'E4!%O^"</f>
        <v>#VALUE!</v>
      </c>
      <c r="II76" t="e">
        <f>Nodes!D587+"'E4!%O_"</f>
        <v>#VALUE!</v>
      </c>
      <c r="IJ76" t="e">
        <f>Nodes!E587+"'E4!%O`"</f>
        <v>#VALUE!</v>
      </c>
      <c r="IK76" t="e">
        <f>Nodes!F587+"'E4!%Oa"</f>
        <v>#VALUE!</v>
      </c>
      <c r="IL76" t="e">
        <f>Nodes!G587+"'E4!%Ob"</f>
        <v>#VALUE!</v>
      </c>
      <c r="IM76" t="e">
        <f>Nodes!H587+"'E4!%Oc"</f>
        <v>#VALUE!</v>
      </c>
      <c r="IN76" t="e">
        <f>Nodes!I587+"'E4!%Od"</f>
        <v>#VALUE!</v>
      </c>
      <c r="IO76" t="e">
        <f>Nodes!J587+"'E4!%Oe"</f>
        <v>#VALUE!</v>
      </c>
      <c r="IP76" t="e">
        <f>Nodes!K587+"'E4!%Of"</f>
        <v>#VALUE!</v>
      </c>
      <c r="IQ76" t="e">
        <f>Nodes!L587+"'E4!%Og"</f>
        <v>#VALUE!</v>
      </c>
      <c r="IR76" t="e">
        <f>Nodes!M587+"'E4!%Oh"</f>
        <v>#VALUE!</v>
      </c>
      <c r="IS76" t="e">
        <f>Nodes!N587+"'E4!%Oi"</f>
        <v>#VALUE!</v>
      </c>
      <c r="IT76" t="e">
        <f>Nodes!O587+"'E4!%Oj"</f>
        <v>#VALUE!</v>
      </c>
      <c r="IU76" t="e">
        <f>Nodes!P587+"'E4!%Ok"</f>
        <v>#VALUE!</v>
      </c>
      <c r="IV76" t="e">
        <f>Nodes!Q587+"'E4!%Ol"</f>
        <v>#VALUE!</v>
      </c>
    </row>
    <row r="77" spans="6:256">
      <c r="F77" t="e">
        <f>Nodes!R587+"'E4!%Om"</f>
        <v>#VALUE!</v>
      </c>
      <c r="G77" t="e">
        <f>Nodes!S587+"'E4!%On"</f>
        <v>#VALUE!</v>
      </c>
      <c r="H77" t="e">
        <f>Nodes!T587+"'E4!%Oo"</f>
        <v>#VALUE!</v>
      </c>
      <c r="I77" s="548" t="e">
        <f>Nodes!U587+"'E4!%Op"</f>
        <v>#VALUE!</v>
      </c>
      <c r="J77" s="548" t="e">
        <f>Nodes!V587+"'E4!%Oq"</f>
        <v>#VALUE!</v>
      </c>
      <c r="K77" s="548" t="e">
        <f>Nodes!W587+"'E4!%Or"</f>
        <v>#VALUE!</v>
      </c>
      <c r="L77" s="333" t="e">
        <f>Nodes!X587+"'E4!%Os"</f>
        <v>#VALUE!</v>
      </c>
      <c r="M77" t="e">
        <f>Nodes!Y587+"'E4!%Ot"</f>
        <v>#VALUE!</v>
      </c>
      <c r="N77" t="e">
        <f>Nodes!Z587+"'E4!%Ou"</f>
        <v>#VALUE!</v>
      </c>
      <c r="O77" t="e">
        <f>Nodes!AA587+"'E4!%Ov"</f>
        <v>#VALUE!</v>
      </c>
      <c r="P77" t="e">
        <f>Nodes!AB587+"'E4!%Ow"</f>
        <v>#VALUE!</v>
      </c>
      <c r="Q77" t="e">
        <f>Nodes!AC587+"'E4!%Ox"</f>
        <v>#VALUE!</v>
      </c>
      <c r="R77" t="e">
        <f>Nodes!A588+"'E4!%Oy"</f>
        <v>#VALUE!</v>
      </c>
      <c r="S77" t="e">
        <f>Nodes!B588+"'E4!%Oz"</f>
        <v>#VALUE!</v>
      </c>
      <c r="T77" t="e">
        <f>Nodes!C588+"'E4!%O{"</f>
        <v>#VALUE!</v>
      </c>
      <c r="U77" t="e">
        <f>Nodes!D588+"'E4!%O|"</f>
        <v>#VALUE!</v>
      </c>
      <c r="V77" t="e">
        <f>Nodes!E588+"'E4!%O}"</f>
        <v>#VALUE!</v>
      </c>
      <c r="W77" t="e">
        <f>Nodes!F588+"'E4!%O~"</f>
        <v>#VALUE!</v>
      </c>
      <c r="X77" t="e">
        <f>Nodes!G588+"'E4!%P#"</f>
        <v>#VALUE!</v>
      </c>
      <c r="Y77" t="e">
        <f>Nodes!H588+"'E4!%P$"</f>
        <v>#VALUE!</v>
      </c>
      <c r="Z77" t="e">
        <f>Nodes!I588+"'E4!%P%"</f>
        <v>#VALUE!</v>
      </c>
      <c r="AA77" t="e">
        <f>Nodes!J588+"'E4!%P&amp;"</f>
        <v>#VALUE!</v>
      </c>
      <c r="AB77" t="e">
        <f>Nodes!K588+"'E4!%P'"</f>
        <v>#VALUE!</v>
      </c>
      <c r="AC77" t="e">
        <f>Nodes!L588+"'E4!%P("</f>
        <v>#VALUE!</v>
      </c>
      <c r="AD77" t="e">
        <f>Nodes!M588+"'E4!%P)"</f>
        <v>#VALUE!</v>
      </c>
      <c r="AE77" t="e">
        <f>Nodes!N588+"'E4!%P."</f>
        <v>#VALUE!</v>
      </c>
      <c r="AF77" t="e">
        <f>Nodes!O588+"'E4!%P/"</f>
        <v>#VALUE!</v>
      </c>
      <c r="AG77" t="e">
        <f>Nodes!P588+"'E4!%P0"</f>
        <v>#VALUE!</v>
      </c>
      <c r="AH77" t="e">
        <f>Nodes!Q588+"'E4!%P1"</f>
        <v>#VALUE!</v>
      </c>
      <c r="AI77" t="e">
        <f>Nodes!R588+"'E4!%P2"</f>
        <v>#VALUE!</v>
      </c>
      <c r="AJ77" t="e">
        <f>Nodes!S588+"'E4!%P3"</f>
        <v>#VALUE!</v>
      </c>
      <c r="AK77" t="e">
        <f>Nodes!T588+"'E4!%P4"</f>
        <v>#VALUE!</v>
      </c>
      <c r="AL77" s="548" t="e">
        <f>Nodes!U588+"'E4!%P5"</f>
        <v>#VALUE!</v>
      </c>
      <c r="AM77" t="e">
        <f>Nodes!V588+"'E4!%P6"</f>
        <v>#VALUE!</v>
      </c>
      <c r="AN77" t="e">
        <f>Nodes!W588+"'E4!%P7"</f>
        <v>#VALUE!</v>
      </c>
      <c r="AO77" s="333" t="e">
        <f>Nodes!X588+"'E4!%P8"</f>
        <v>#VALUE!</v>
      </c>
      <c r="AP77" t="e">
        <f>Nodes!Y588+"'E4!%P9"</f>
        <v>#VALUE!</v>
      </c>
      <c r="AQ77" t="e">
        <f>Nodes!Z588+"'E4!%P:"</f>
        <v>#VALUE!</v>
      </c>
      <c r="AR77" t="e">
        <f>Nodes!AA588+"'E4!%P;"</f>
        <v>#VALUE!</v>
      </c>
      <c r="AS77" t="e">
        <f>Nodes!AB588+"'E4!%P&lt;"</f>
        <v>#VALUE!</v>
      </c>
      <c r="AT77" t="e">
        <f>Nodes!AC588+"'E4!%P="</f>
        <v>#VALUE!</v>
      </c>
      <c r="AU77" t="e">
        <f>Nodes!A589+"'E4!%P&gt;"</f>
        <v>#VALUE!</v>
      </c>
      <c r="AV77" t="e">
        <f>Nodes!B589+"'E4!%P?"</f>
        <v>#VALUE!</v>
      </c>
      <c r="AW77" t="e">
        <f>Nodes!C589+"'E4!%P@"</f>
        <v>#VALUE!</v>
      </c>
      <c r="AX77" t="e">
        <f>Nodes!D589+"'E4!%PA"</f>
        <v>#VALUE!</v>
      </c>
      <c r="AY77" t="e">
        <f>Nodes!E589+"'E4!%PB"</f>
        <v>#VALUE!</v>
      </c>
      <c r="AZ77" t="e">
        <f>Nodes!F589+"'E4!%PC"</f>
        <v>#VALUE!</v>
      </c>
      <c r="BA77" t="e">
        <f>Nodes!G589+"'E4!%PD"</f>
        <v>#VALUE!</v>
      </c>
      <c r="BB77" t="e">
        <f>Nodes!H589+"'E4!%PE"</f>
        <v>#VALUE!</v>
      </c>
      <c r="BC77" t="e">
        <f>Nodes!I589+"'E4!%PF"</f>
        <v>#VALUE!</v>
      </c>
      <c r="BD77" t="e">
        <f>Nodes!J589+"'E4!%PG"</f>
        <v>#VALUE!</v>
      </c>
      <c r="BE77" t="e">
        <f>Nodes!K589+"'E4!%PH"</f>
        <v>#VALUE!</v>
      </c>
      <c r="BF77" t="e">
        <f>Nodes!L589+"'E4!%PI"</f>
        <v>#VALUE!</v>
      </c>
      <c r="BG77" t="e">
        <f>Nodes!M589+"'E4!%PJ"</f>
        <v>#VALUE!</v>
      </c>
      <c r="BH77" t="e">
        <f>Nodes!N589+"'E4!%PK"</f>
        <v>#VALUE!</v>
      </c>
      <c r="BI77" t="e">
        <f>Nodes!O589+"'E4!%PL"</f>
        <v>#VALUE!</v>
      </c>
      <c r="BJ77" t="e">
        <f>Nodes!P589+"'E4!%PM"</f>
        <v>#VALUE!</v>
      </c>
      <c r="BK77" t="e">
        <f>Nodes!Q589+"'E4!%PN"</f>
        <v>#VALUE!</v>
      </c>
      <c r="BL77" t="e">
        <f>Nodes!R589+"'E4!%PO"</f>
        <v>#VALUE!</v>
      </c>
      <c r="BM77" t="e">
        <f>Nodes!S589+"'E4!%PP"</f>
        <v>#VALUE!</v>
      </c>
      <c r="BN77" t="e">
        <f>Nodes!T589+"'E4!%PQ"</f>
        <v>#VALUE!</v>
      </c>
      <c r="BO77" s="548" t="e">
        <f>Nodes!U589+"'E4!%PR"</f>
        <v>#VALUE!</v>
      </c>
      <c r="BP77" t="e">
        <f>Nodes!V589+"'E4!%PS"</f>
        <v>#VALUE!</v>
      </c>
      <c r="BQ77" t="e">
        <f>Nodes!W589+"'E4!%PT"</f>
        <v>#VALUE!</v>
      </c>
      <c r="BR77" s="333" t="e">
        <f>Nodes!X589+"'E4!%PU"</f>
        <v>#VALUE!</v>
      </c>
      <c r="BS77" t="e">
        <f>Nodes!Y589+"'E4!%PV"</f>
        <v>#VALUE!</v>
      </c>
      <c r="BT77" t="e">
        <f>Nodes!Z589+"'E4!%PW"</f>
        <v>#VALUE!</v>
      </c>
      <c r="BU77" t="e">
        <f>Nodes!AA589+"'E4!%PX"</f>
        <v>#VALUE!</v>
      </c>
      <c r="BV77" t="e">
        <f>Nodes!AB589+"'E4!%PY"</f>
        <v>#VALUE!</v>
      </c>
      <c r="BW77" t="e">
        <f>Nodes!AC589+"'E4!%PZ"</f>
        <v>#VALUE!</v>
      </c>
      <c r="BX77" t="e">
        <f>Nodes!A590+"'E4!%P["</f>
        <v>#VALUE!</v>
      </c>
      <c r="BY77" t="e">
        <f>Nodes!B590+"'E4!%P\"</f>
        <v>#VALUE!</v>
      </c>
      <c r="BZ77" t="e">
        <f>Nodes!C590+"'E4!%P]"</f>
        <v>#VALUE!</v>
      </c>
      <c r="CA77" t="e">
        <f>Nodes!D590+"'E4!%P^"</f>
        <v>#VALUE!</v>
      </c>
      <c r="CB77" t="e">
        <f>Nodes!E590+"'E4!%P_"</f>
        <v>#VALUE!</v>
      </c>
      <c r="CC77" t="e">
        <f>Nodes!F590+"'E4!%P`"</f>
        <v>#VALUE!</v>
      </c>
      <c r="CD77" t="e">
        <f>Nodes!G590+"'E4!%Pa"</f>
        <v>#VALUE!</v>
      </c>
      <c r="CE77" t="e">
        <f>Nodes!H590+"'E4!%Pb"</f>
        <v>#VALUE!</v>
      </c>
      <c r="CF77" t="e">
        <f>Nodes!I590+"'E4!%Pc"</f>
        <v>#VALUE!</v>
      </c>
      <c r="CG77" t="e">
        <f>Nodes!J590+"'E4!%Pd"</f>
        <v>#VALUE!</v>
      </c>
      <c r="CH77" t="e">
        <f>Nodes!K590+"'E4!%Pe"</f>
        <v>#VALUE!</v>
      </c>
      <c r="CI77" t="e">
        <f>Nodes!L590+"'E4!%Pf"</f>
        <v>#VALUE!</v>
      </c>
      <c r="CJ77" t="e">
        <f>Nodes!M590+"'E4!%Pg"</f>
        <v>#VALUE!</v>
      </c>
      <c r="CK77" t="e">
        <f>Nodes!N590+"'E4!%Ph"</f>
        <v>#VALUE!</v>
      </c>
      <c r="CL77" t="e">
        <f>Nodes!O590+"'E4!%Pi"</f>
        <v>#VALUE!</v>
      </c>
      <c r="CM77" t="e">
        <f>Nodes!P590+"'E4!%Pj"</f>
        <v>#VALUE!</v>
      </c>
      <c r="CN77" t="e">
        <f>Nodes!Q590+"'E4!%Pk"</f>
        <v>#VALUE!</v>
      </c>
      <c r="CO77" t="e">
        <f>Nodes!R590+"'E4!%Pl"</f>
        <v>#VALUE!</v>
      </c>
      <c r="CP77" t="e">
        <f>Nodes!S590+"'E4!%Pm"</f>
        <v>#VALUE!</v>
      </c>
      <c r="CQ77" t="e">
        <f>Nodes!T590+"'E4!%Pn"</f>
        <v>#VALUE!</v>
      </c>
      <c r="CR77" s="548" t="e">
        <f>Nodes!U590+"'E4!%Po"</f>
        <v>#VALUE!</v>
      </c>
      <c r="CS77" t="e">
        <f>Nodes!V590+"'E4!%Pp"</f>
        <v>#VALUE!</v>
      </c>
      <c r="CT77" t="e">
        <f>Nodes!W590+"'E4!%Pq"</f>
        <v>#VALUE!</v>
      </c>
      <c r="CU77" s="333" t="e">
        <f>Nodes!X590+"'E4!%Pr"</f>
        <v>#VALUE!</v>
      </c>
      <c r="CV77" t="e">
        <f>Nodes!Y590+"'E4!%Ps"</f>
        <v>#VALUE!</v>
      </c>
      <c r="CW77" t="e">
        <f>Nodes!Z590+"'E4!%Pt"</f>
        <v>#VALUE!</v>
      </c>
      <c r="CX77" t="e">
        <f>Nodes!AA590+"'E4!%Pu"</f>
        <v>#VALUE!</v>
      </c>
      <c r="CY77" t="e">
        <f>Nodes!AB590+"'E4!%Pv"</f>
        <v>#VALUE!</v>
      </c>
      <c r="CZ77" t="e">
        <f>Nodes!AC590+"'E4!%Pw"</f>
        <v>#VALUE!</v>
      </c>
      <c r="DA77" t="e">
        <f>Nodes!A591+"'E4!%Px"</f>
        <v>#VALUE!</v>
      </c>
      <c r="DB77" t="e">
        <f>Nodes!B591+"'E4!%Py"</f>
        <v>#VALUE!</v>
      </c>
      <c r="DC77" t="e">
        <f>Nodes!C591+"'E4!%Pz"</f>
        <v>#VALUE!</v>
      </c>
      <c r="DD77" t="e">
        <f>Nodes!D591+"'E4!%P{"</f>
        <v>#VALUE!</v>
      </c>
      <c r="DE77" t="e">
        <f>Nodes!E591+"'E4!%P|"</f>
        <v>#VALUE!</v>
      </c>
      <c r="DF77" t="e">
        <f>Nodes!F591+"'E4!%P}"</f>
        <v>#VALUE!</v>
      </c>
      <c r="DG77" t="e">
        <f>Nodes!G591+"'E4!%P~"</f>
        <v>#VALUE!</v>
      </c>
      <c r="DH77" t="e">
        <f>Nodes!H591+"'E4!%Q#"</f>
        <v>#VALUE!</v>
      </c>
      <c r="DI77" t="e">
        <f>Nodes!I591+"'E4!%Q$"</f>
        <v>#VALUE!</v>
      </c>
      <c r="DJ77" t="e">
        <f>Nodes!J591+"'E4!%Q%"</f>
        <v>#VALUE!</v>
      </c>
      <c r="DK77" t="e">
        <f>Nodes!K591+"'E4!%Q&amp;"</f>
        <v>#VALUE!</v>
      </c>
      <c r="DL77" t="e">
        <f>Nodes!L591+"'E4!%Q'"</f>
        <v>#VALUE!</v>
      </c>
      <c r="DM77" t="e">
        <f>Nodes!M591+"'E4!%Q("</f>
        <v>#VALUE!</v>
      </c>
      <c r="DN77" t="e">
        <f>Nodes!N591+"'E4!%Q)"</f>
        <v>#VALUE!</v>
      </c>
      <c r="DO77" t="e">
        <f>Nodes!O591+"'E4!%Q."</f>
        <v>#VALUE!</v>
      </c>
      <c r="DP77" t="e">
        <f>Nodes!P591+"'E4!%Q/"</f>
        <v>#VALUE!</v>
      </c>
      <c r="DQ77" t="e">
        <f>Nodes!Q591+"'E4!%Q0"</f>
        <v>#VALUE!</v>
      </c>
      <c r="DR77" t="e">
        <f>Nodes!R591+"'E4!%Q1"</f>
        <v>#VALUE!</v>
      </c>
      <c r="DS77" t="e">
        <f>Nodes!S591+"'E4!%Q2"</f>
        <v>#VALUE!</v>
      </c>
      <c r="DT77" t="e">
        <f>Nodes!T591+"'E4!%Q3"</f>
        <v>#VALUE!</v>
      </c>
      <c r="DU77" s="548" t="e">
        <f>Nodes!U591+"'E4!%Q4"</f>
        <v>#VALUE!</v>
      </c>
      <c r="DV77" t="e">
        <f>Nodes!V591+"'E4!%Q5"</f>
        <v>#VALUE!</v>
      </c>
      <c r="DW77" t="e">
        <f>Nodes!W591+"'E4!%Q6"</f>
        <v>#VALUE!</v>
      </c>
      <c r="DX77" s="333" t="e">
        <f>Nodes!X591+"'E4!%Q7"</f>
        <v>#VALUE!</v>
      </c>
      <c r="DY77" t="e">
        <f>Nodes!Y591+"'E4!%Q8"</f>
        <v>#VALUE!</v>
      </c>
      <c r="DZ77" t="e">
        <f>Nodes!Z591+"'E4!%Q9"</f>
        <v>#VALUE!</v>
      </c>
      <c r="EA77" t="e">
        <f>Nodes!AA591+"'E4!%Q:"</f>
        <v>#VALUE!</v>
      </c>
      <c r="EB77" t="e">
        <f>Nodes!AB591+"'E4!%Q;"</f>
        <v>#VALUE!</v>
      </c>
      <c r="EC77" t="e">
        <f>Nodes!AC591+"'E4!%Q&lt;"</f>
        <v>#VALUE!</v>
      </c>
      <c r="ED77" t="e">
        <f>Nodes!A592+"'E4!%Q="</f>
        <v>#VALUE!</v>
      </c>
      <c r="EE77" t="e">
        <f>Nodes!B592+"'E4!%Q&gt;"</f>
        <v>#VALUE!</v>
      </c>
      <c r="EF77" t="e">
        <f>Nodes!C592+"'E4!%Q?"</f>
        <v>#VALUE!</v>
      </c>
      <c r="EG77" t="e">
        <f>Nodes!D592+"'E4!%Q@"</f>
        <v>#VALUE!</v>
      </c>
      <c r="EH77" t="e">
        <f>Nodes!E592+"'E4!%QA"</f>
        <v>#VALUE!</v>
      </c>
      <c r="EI77" t="e">
        <f>Nodes!F592+"'E4!%QB"</f>
        <v>#VALUE!</v>
      </c>
      <c r="EJ77" t="e">
        <f>Nodes!G592+"'E4!%QC"</f>
        <v>#VALUE!</v>
      </c>
      <c r="EK77" t="e">
        <f>Nodes!H592+"'E4!%QD"</f>
        <v>#VALUE!</v>
      </c>
      <c r="EL77" t="e">
        <f>Nodes!I592+"'E4!%QE"</f>
        <v>#VALUE!</v>
      </c>
      <c r="EM77" t="e">
        <f>Nodes!J592+"'E4!%QF"</f>
        <v>#VALUE!</v>
      </c>
      <c r="EN77" t="e">
        <f>Nodes!K592+"'E4!%QG"</f>
        <v>#VALUE!</v>
      </c>
      <c r="EO77" t="e">
        <f>Nodes!L592+"'E4!%QH"</f>
        <v>#VALUE!</v>
      </c>
      <c r="EP77" t="e">
        <f>Nodes!M592+"'E4!%QI"</f>
        <v>#VALUE!</v>
      </c>
      <c r="EQ77" t="e">
        <f>Nodes!N592+"'E4!%QJ"</f>
        <v>#VALUE!</v>
      </c>
      <c r="ER77" t="e">
        <f>Nodes!O592+"'E4!%QK"</f>
        <v>#VALUE!</v>
      </c>
      <c r="ES77" t="e">
        <f>Nodes!P592+"'E4!%QL"</f>
        <v>#VALUE!</v>
      </c>
      <c r="ET77" t="e">
        <f>Nodes!Q592+"'E4!%QM"</f>
        <v>#VALUE!</v>
      </c>
      <c r="EU77" t="e">
        <f>Nodes!R592+"'E4!%QN"</f>
        <v>#VALUE!</v>
      </c>
      <c r="EV77" t="e">
        <f>Nodes!S592+"'E4!%QO"</f>
        <v>#VALUE!</v>
      </c>
      <c r="EW77" t="e">
        <f>Nodes!T592+"'E4!%QP"</f>
        <v>#VALUE!</v>
      </c>
      <c r="EX77" s="548" t="e">
        <f>Nodes!U592+"'E4!%QQ"</f>
        <v>#VALUE!</v>
      </c>
      <c r="EY77" t="e">
        <f>Nodes!V592+"'E4!%QR"</f>
        <v>#VALUE!</v>
      </c>
      <c r="EZ77" t="e">
        <f>Nodes!W592+"'E4!%QS"</f>
        <v>#VALUE!</v>
      </c>
      <c r="FA77" s="333" t="e">
        <f>Nodes!X592+"'E4!%QT"</f>
        <v>#VALUE!</v>
      </c>
      <c r="FB77" t="e">
        <f>Nodes!Y592+"'E4!%QU"</f>
        <v>#VALUE!</v>
      </c>
      <c r="FC77" t="e">
        <f>Nodes!Z592+"'E4!%QV"</f>
        <v>#VALUE!</v>
      </c>
      <c r="FD77" t="e">
        <f>Nodes!AA592+"'E4!%QW"</f>
        <v>#VALUE!</v>
      </c>
      <c r="FE77" t="e">
        <f>Nodes!AB592+"'E4!%QX"</f>
        <v>#VALUE!</v>
      </c>
      <c r="FF77" t="e">
        <f>Nodes!AC592+"'E4!%QY"</f>
        <v>#VALUE!</v>
      </c>
      <c r="FG77" t="e">
        <f>Nodes!A593+"'E4!%QZ"</f>
        <v>#VALUE!</v>
      </c>
      <c r="FH77" t="e">
        <f>Nodes!B593+"'E4!%Q["</f>
        <v>#VALUE!</v>
      </c>
      <c r="FI77" t="e">
        <f>Nodes!C593+"'E4!%Q\"</f>
        <v>#VALUE!</v>
      </c>
      <c r="FJ77" t="e">
        <f>Nodes!D593+"'E4!%Q]"</f>
        <v>#VALUE!</v>
      </c>
      <c r="FK77" t="e">
        <f>Nodes!E593+"'E4!%Q^"</f>
        <v>#VALUE!</v>
      </c>
      <c r="FL77" t="e">
        <f>Nodes!F593+"'E4!%Q_"</f>
        <v>#VALUE!</v>
      </c>
      <c r="FM77" t="e">
        <f>Nodes!G593+"'E4!%Q`"</f>
        <v>#VALUE!</v>
      </c>
      <c r="FN77" t="e">
        <f>Nodes!H593+"'E4!%Qa"</f>
        <v>#VALUE!</v>
      </c>
      <c r="FO77" t="e">
        <f>Nodes!I593+"'E4!%Qb"</f>
        <v>#VALUE!</v>
      </c>
      <c r="FP77" t="e">
        <f>Nodes!J593+"'E4!%Qc"</f>
        <v>#VALUE!</v>
      </c>
      <c r="FQ77" t="e">
        <f>Nodes!K593+"'E4!%Qd"</f>
        <v>#VALUE!</v>
      </c>
      <c r="FR77" t="e">
        <f>Nodes!L593+"'E4!%Qe"</f>
        <v>#VALUE!</v>
      </c>
      <c r="FS77" t="e">
        <f>Nodes!M593+"'E4!%Qf"</f>
        <v>#VALUE!</v>
      </c>
      <c r="FT77" t="e">
        <f>Nodes!N593+"'E4!%Qg"</f>
        <v>#VALUE!</v>
      </c>
      <c r="FU77" t="e">
        <f>Nodes!O593+"'E4!%Qh"</f>
        <v>#VALUE!</v>
      </c>
      <c r="FV77" t="e">
        <f>Nodes!P593+"'E4!%Qi"</f>
        <v>#VALUE!</v>
      </c>
      <c r="FW77" t="e">
        <f>Nodes!Q593+"'E4!%Qj"</f>
        <v>#VALUE!</v>
      </c>
      <c r="FX77" t="e">
        <f>Nodes!R593+"'E4!%Qk"</f>
        <v>#VALUE!</v>
      </c>
      <c r="FY77" t="e">
        <f>Nodes!S593+"'E4!%Ql"</f>
        <v>#VALUE!</v>
      </c>
      <c r="FZ77" t="e">
        <f>Nodes!T593+"'E4!%Qm"</f>
        <v>#VALUE!</v>
      </c>
      <c r="GA77" s="548" t="e">
        <f>Nodes!U593+"'E4!%Qn"</f>
        <v>#VALUE!</v>
      </c>
      <c r="GB77" t="e">
        <f>Nodes!V593+"'E4!%Qo"</f>
        <v>#VALUE!</v>
      </c>
      <c r="GC77" t="e">
        <f>Nodes!W593+"'E4!%Qp"</f>
        <v>#VALUE!</v>
      </c>
      <c r="GD77" s="333" t="e">
        <f>Nodes!X593+"'E4!%Qq"</f>
        <v>#VALUE!</v>
      </c>
      <c r="GE77" t="e">
        <f>Nodes!Y593+"'E4!%Qr"</f>
        <v>#VALUE!</v>
      </c>
      <c r="GF77" t="e">
        <f>Nodes!Z593+"'E4!%Qs"</f>
        <v>#VALUE!</v>
      </c>
      <c r="GG77" t="e">
        <f>Nodes!AA593+"'E4!%Qt"</f>
        <v>#VALUE!</v>
      </c>
      <c r="GH77" t="e">
        <f>Nodes!AB593+"'E4!%Qu"</f>
        <v>#VALUE!</v>
      </c>
      <c r="GI77" t="e">
        <f>Nodes!AC593+"'E4!%Qv"</f>
        <v>#VALUE!</v>
      </c>
      <c r="GJ77" t="e">
        <f>Nodes!A594+"'E4!%Qw"</f>
        <v>#VALUE!</v>
      </c>
      <c r="GK77" t="e">
        <f>Nodes!B594+"'E4!%Qx"</f>
        <v>#VALUE!</v>
      </c>
      <c r="GL77" t="e">
        <f>Nodes!C594+"'E4!%Qy"</f>
        <v>#VALUE!</v>
      </c>
      <c r="GM77" t="e">
        <f>Nodes!D594+"'E4!%Qz"</f>
        <v>#VALUE!</v>
      </c>
      <c r="GN77" t="e">
        <f>Nodes!E594+"'E4!%Q{"</f>
        <v>#VALUE!</v>
      </c>
      <c r="GO77" t="e">
        <f>Nodes!F594+"'E4!%Q|"</f>
        <v>#VALUE!</v>
      </c>
      <c r="GP77" t="e">
        <f>Nodes!G594+"'E4!%Q}"</f>
        <v>#VALUE!</v>
      </c>
      <c r="GQ77" t="e">
        <f>Nodes!H594+"'E4!%Q~"</f>
        <v>#VALUE!</v>
      </c>
      <c r="GR77" t="e">
        <f>Nodes!I594+"'E4!%R#"</f>
        <v>#VALUE!</v>
      </c>
      <c r="GS77" t="e">
        <f>Nodes!J594+"'E4!%R$"</f>
        <v>#VALUE!</v>
      </c>
      <c r="GT77" t="e">
        <f>Nodes!K594+"'E4!%R%"</f>
        <v>#VALUE!</v>
      </c>
      <c r="GU77" t="e">
        <f>Nodes!L594+"'E4!%R&amp;"</f>
        <v>#VALUE!</v>
      </c>
      <c r="GV77" t="e">
        <f>Nodes!M594+"'E4!%R'"</f>
        <v>#VALUE!</v>
      </c>
      <c r="GW77" t="e">
        <f>Nodes!N594+"'E4!%R("</f>
        <v>#VALUE!</v>
      </c>
      <c r="GX77" t="e">
        <f>Nodes!O594+"'E4!%R)"</f>
        <v>#VALUE!</v>
      </c>
      <c r="GY77" t="e">
        <f>Nodes!P594+"'E4!%R."</f>
        <v>#VALUE!</v>
      </c>
      <c r="GZ77" t="e">
        <f>Nodes!Q594+"'E4!%R/"</f>
        <v>#VALUE!</v>
      </c>
      <c r="HA77" t="e">
        <f>Nodes!R594+"'E4!%R0"</f>
        <v>#VALUE!</v>
      </c>
      <c r="HB77" t="e">
        <f>Nodes!S594+"'E4!%R1"</f>
        <v>#VALUE!</v>
      </c>
      <c r="HC77" t="e">
        <f>Nodes!T594+"'E4!%R2"</f>
        <v>#VALUE!</v>
      </c>
      <c r="HD77" s="548" t="e">
        <f>Nodes!U594+"'E4!%R3"</f>
        <v>#VALUE!</v>
      </c>
      <c r="HE77" t="e">
        <f>Nodes!V594+"'E4!%R4"</f>
        <v>#VALUE!</v>
      </c>
      <c r="HF77" t="e">
        <f>Nodes!W594+"'E4!%R5"</f>
        <v>#VALUE!</v>
      </c>
      <c r="HG77" s="333" t="e">
        <f>Nodes!X594+"'E4!%R6"</f>
        <v>#VALUE!</v>
      </c>
      <c r="HH77" t="e">
        <f>Nodes!Y594+"'E4!%R7"</f>
        <v>#VALUE!</v>
      </c>
      <c r="HI77" t="e">
        <f>Nodes!Z594+"'E4!%R8"</f>
        <v>#VALUE!</v>
      </c>
      <c r="HJ77" t="e">
        <f>Nodes!AA594+"'E4!%R9"</f>
        <v>#VALUE!</v>
      </c>
      <c r="HK77" t="e">
        <f>Nodes!AB594+"'E4!%R:"</f>
        <v>#VALUE!</v>
      </c>
      <c r="HL77" t="e">
        <f>Nodes!AC594+"'E4!%R;"</f>
        <v>#VALUE!</v>
      </c>
      <c r="HM77" t="e">
        <f>Nodes!A595+"'E4!%R&lt;"</f>
        <v>#VALUE!</v>
      </c>
      <c r="HN77" t="e">
        <f>Nodes!B595+"'E4!%R="</f>
        <v>#VALUE!</v>
      </c>
      <c r="HO77" t="e">
        <f>Nodes!C595+"'E4!%R&gt;"</f>
        <v>#VALUE!</v>
      </c>
      <c r="HP77" t="e">
        <f>Nodes!D595+"'E4!%R?"</f>
        <v>#VALUE!</v>
      </c>
      <c r="HQ77" t="e">
        <f>Nodes!E595+"'E4!%R@"</f>
        <v>#VALUE!</v>
      </c>
      <c r="HR77" t="e">
        <f>Nodes!F595+"'E4!%RA"</f>
        <v>#VALUE!</v>
      </c>
      <c r="HS77" t="e">
        <f>Nodes!G595+"'E4!%RB"</f>
        <v>#VALUE!</v>
      </c>
      <c r="HT77" t="e">
        <f>Nodes!H595+"'E4!%RC"</f>
        <v>#VALUE!</v>
      </c>
      <c r="HU77" t="e">
        <f>Nodes!I595+"'E4!%RD"</f>
        <v>#VALUE!</v>
      </c>
      <c r="HV77" t="e">
        <f>Nodes!J595+"'E4!%RE"</f>
        <v>#VALUE!</v>
      </c>
      <c r="HW77" t="e">
        <f>Nodes!K595+"'E4!%RF"</f>
        <v>#VALUE!</v>
      </c>
      <c r="HX77" t="e">
        <f>Nodes!L595+"'E4!%RG"</f>
        <v>#VALUE!</v>
      </c>
      <c r="HY77" t="e">
        <f>Nodes!M595+"'E4!%RH"</f>
        <v>#VALUE!</v>
      </c>
      <c r="HZ77" t="e">
        <f>Nodes!N595+"'E4!%RI"</f>
        <v>#VALUE!</v>
      </c>
      <c r="IA77" t="e">
        <f>Nodes!O595+"'E4!%RJ"</f>
        <v>#VALUE!</v>
      </c>
      <c r="IB77" t="e">
        <f>Nodes!P595+"'E4!%RK"</f>
        <v>#VALUE!</v>
      </c>
      <c r="IC77" t="e">
        <f>Nodes!Q595+"'E4!%RL"</f>
        <v>#VALUE!</v>
      </c>
      <c r="ID77" t="e">
        <f>Nodes!R595+"'E4!%RM"</f>
        <v>#VALUE!</v>
      </c>
      <c r="IE77" t="e">
        <f>Nodes!S595+"'E4!%RN"</f>
        <v>#VALUE!</v>
      </c>
      <c r="IF77" t="e">
        <f>Nodes!T595+"'E4!%RO"</f>
        <v>#VALUE!</v>
      </c>
      <c r="IG77" s="548" t="e">
        <f>Nodes!U595+"'E4!%RP"</f>
        <v>#VALUE!</v>
      </c>
      <c r="IH77" t="e">
        <f>Nodes!V595+"'E4!%RQ"</f>
        <v>#VALUE!</v>
      </c>
      <c r="II77" t="e">
        <f>Nodes!W595+"'E4!%RR"</f>
        <v>#VALUE!</v>
      </c>
      <c r="IJ77" s="333" t="e">
        <f>Nodes!X595+"'E4!%RS"</f>
        <v>#VALUE!</v>
      </c>
      <c r="IK77" t="e">
        <f>Nodes!Y595+"'E4!%RT"</f>
        <v>#VALUE!</v>
      </c>
      <c r="IL77" t="e">
        <f>Nodes!Z595+"'E4!%RU"</f>
        <v>#VALUE!</v>
      </c>
      <c r="IM77" t="e">
        <f>Nodes!AA595+"'E4!%RV"</f>
        <v>#VALUE!</v>
      </c>
      <c r="IN77" t="e">
        <f>Nodes!AB595+"'E4!%RW"</f>
        <v>#VALUE!</v>
      </c>
      <c r="IO77" t="e">
        <f>Nodes!AC595+"'E4!%RX"</f>
        <v>#VALUE!</v>
      </c>
      <c r="IP77" t="e">
        <f>Nodes!A596+"'E4!%RY"</f>
        <v>#VALUE!</v>
      </c>
      <c r="IQ77" t="e">
        <f>Nodes!B596+"'E4!%RZ"</f>
        <v>#VALUE!</v>
      </c>
      <c r="IR77" t="e">
        <f>Nodes!C596+"'E4!%R["</f>
        <v>#VALUE!</v>
      </c>
      <c r="IS77" t="e">
        <f>Nodes!D596+"'E4!%R\"</f>
        <v>#VALUE!</v>
      </c>
      <c r="IT77" t="e">
        <f>Nodes!E596+"'E4!%R]"</f>
        <v>#VALUE!</v>
      </c>
      <c r="IU77" t="e">
        <f>Nodes!F596+"'E4!%R^"</f>
        <v>#VALUE!</v>
      </c>
      <c r="IV77" t="e">
        <f>Nodes!G596+"'E4!%R_"</f>
        <v>#VALUE!</v>
      </c>
    </row>
    <row r="78" spans="6:256">
      <c r="F78" t="e">
        <f>Nodes!H596+"'E4!%R`"</f>
        <v>#VALUE!</v>
      </c>
      <c r="G78" t="e">
        <f>Nodes!I596+"'E4!%Ra"</f>
        <v>#VALUE!</v>
      </c>
      <c r="H78" t="e">
        <f>Nodes!J596+"'E4!%Rb"</f>
        <v>#VALUE!</v>
      </c>
      <c r="I78" t="e">
        <f>Nodes!K596+"'E4!%Rc"</f>
        <v>#VALUE!</v>
      </c>
      <c r="J78" t="e">
        <f>Nodes!L596+"'E4!%Rd"</f>
        <v>#VALUE!</v>
      </c>
      <c r="K78" t="e">
        <f>Nodes!M596+"'E4!%Re"</f>
        <v>#VALUE!</v>
      </c>
      <c r="L78" t="e">
        <f>Nodes!N596+"'E4!%Rf"</f>
        <v>#VALUE!</v>
      </c>
      <c r="M78" t="e">
        <f>Nodes!O596+"'E4!%Rg"</f>
        <v>#VALUE!</v>
      </c>
      <c r="N78" t="e">
        <f>Nodes!P596+"'E4!%Rh"</f>
        <v>#VALUE!</v>
      </c>
      <c r="O78" t="e">
        <f>Nodes!Q596+"'E4!%Ri"</f>
        <v>#VALUE!</v>
      </c>
      <c r="P78" t="e">
        <f>Nodes!R596+"'E4!%Rj"</f>
        <v>#VALUE!</v>
      </c>
      <c r="Q78" t="e">
        <f>Nodes!S596+"'E4!%Rk"</f>
        <v>#VALUE!</v>
      </c>
      <c r="R78" t="e">
        <f>Nodes!T596+"'E4!%Rl"</f>
        <v>#VALUE!</v>
      </c>
      <c r="S78" s="548" t="e">
        <f>Nodes!U596+"'E4!%Rm"</f>
        <v>#VALUE!</v>
      </c>
      <c r="T78" t="e">
        <f>Nodes!V596+"'E4!%Rn"</f>
        <v>#VALUE!</v>
      </c>
      <c r="U78" t="e">
        <f>Nodes!W596+"'E4!%Ro"</f>
        <v>#VALUE!</v>
      </c>
      <c r="V78" s="333" t="e">
        <f>Nodes!X596+"'E4!%Rp"</f>
        <v>#VALUE!</v>
      </c>
      <c r="W78" t="e">
        <f>Nodes!Y596+"'E4!%Rq"</f>
        <v>#VALUE!</v>
      </c>
      <c r="X78" t="e">
        <f>Nodes!Z596+"'E4!%Rr"</f>
        <v>#VALUE!</v>
      </c>
      <c r="Y78" t="e">
        <f>Nodes!AA596+"'E4!%Rs"</f>
        <v>#VALUE!</v>
      </c>
      <c r="Z78" t="e">
        <f>Nodes!AB596+"'E4!%Rt"</f>
        <v>#VALUE!</v>
      </c>
      <c r="AA78" t="e">
        <f>Nodes!AC596+"'E4!%Ru"</f>
        <v>#VALUE!</v>
      </c>
      <c r="AB78" t="e">
        <f>Nodes!A597+"'E4!%Rv"</f>
        <v>#VALUE!</v>
      </c>
      <c r="AC78" t="e">
        <f>Nodes!B597+"'E4!%Rw"</f>
        <v>#VALUE!</v>
      </c>
      <c r="AD78" t="e">
        <f>Nodes!C597+"'E4!%Rx"</f>
        <v>#VALUE!</v>
      </c>
      <c r="AE78" t="e">
        <f>Nodes!D597+"'E4!%Ry"</f>
        <v>#VALUE!</v>
      </c>
      <c r="AF78" t="e">
        <f>Nodes!E597+"'E4!%Rz"</f>
        <v>#VALUE!</v>
      </c>
      <c r="AG78" t="e">
        <f>Nodes!F597+"'E4!%R{"</f>
        <v>#VALUE!</v>
      </c>
      <c r="AH78" t="e">
        <f>Nodes!G597+"'E4!%R|"</f>
        <v>#VALUE!</v>
      </c>
      <c r="AI78" t="e">
        <f>Nodes!H597+"'E4!%R}"</f>
        <v>#VALUE!</v>
      </c>
      <c r="AJ78" t="e">
        <f>Nodes!I597+"'E4!%R~"</f>
        <v>#VALUE!</v>
      </c>
      <c r="AK78" t="e">
        <f>Nodes!J597+"'E4!%S#"</f>
        <v>#VALUE!</v>
      </c>
      <c r="AL78" t="e">
        <f>Nodes!K597+"'E4!%S$"</f>
        <v>#VALUE!</v>
      </c>
      <c r="AM78" t="e">
        <f>Nodes!L597+"'E4!%S%"</f>
        <v>#VALUE!</v>
      </c>
      <c r="AN78" t="e">
        <f>Nodes!M597+"'E4!%S&amp;"</f>
        <v>#VALUE!</v>
      </c>
      <c r="AO78" t="e">
        <f>Nodes!N597+"'E4!%S'"</f>
        <v>#VALUE!</v>
      </c>
      <c r="AP78" t="e">
        <f>Nodes!O597+"'E4!%S("</f>
        <v>#VALUE!</v>
      </c>
      <c r="AQ78" t="e">
        <f>Nodes!P597+"'E4!%S)"</f>
        <v>#VALUE!</v>
      </c>
      <c r="AR78" t="e">
        <f>Nodes!Q597+"'E4!%S."</f>
        <v>#VALUE!</v>
      </c>
      <c r="AS78" t="e">
        <f>Nodes!R597+"'E4!%S/"</f>
        <v>#VALUE!</v>
      </c>
      <c r="AT78" t="e">
        <f>Nodes!S597+"'E4!%S0"</f>
        <v>#VALUE!</v>
      </c>
      <c r="AU78" s="547" t="e">
        <f>Nodes!T597+"'E4!%S1"</f>
        <v>#VALUE!</v>
      </c>
      <c r="AV78" t="e">
        <f>Nodes!U597+"'E4!%S2"</f>
        <v>#VALUE!</v>
      </c>
      <c r="AW78" t="e">
        <f>Nodes!V597+"'E4!%S3"</f>
        <v>#VALUE!</v>
      </c>
      <c r="AX78" s="547" t="e">
        <f>Nodes!W597+"'E4!%S4"</f>
        <v>#VALUE!</v>
      </c>
      <c r="AY78" t="e">
        <f>Nodes!X597+"'E4!%S5"</f>
        <v>#VALUE!</v>
      </c>
      <c r="AZ78" t="e">
        <f>Nodes!Y597+"'E4!%S6"</f>
        <v>#VALUE!</v>
      </c>
      <c r="BA78" t="e">
        <f>Nodes!Z597+"'E4!%S7"</f>
        <v>#VALUE!</v>
      </c>
      <c r="BB78" t="e">
        <f>Nodes!AA597+"'E4!%S8"</f>
        <v>#VALUE!</v>
      </c>
      <c r="BC78" t="e">
        <f>Nodes!AB597+"'E4!%S9"</f>
        <v>#VALUE!</v>
      </c>
      <c r="BD78" t="e">
        <f>Nodes!AC597+"'E4!%S:"</f>
        <v>#VALUE!</v>
      </c>
      <c r="BE78" t="e">
        <f>Nodes!A598+"'E4!%S;"</f>
        <v>#VALUE!</v>
      </c>
      <c r="BF78" t="e">
        <f>Nodes!B598+"'E4!%S&lt;"</f>
        <v>#VALUE!</v>
      </c>
      <c r="BG78" t="e">
        <f>Nodes!C598+"'E4!%S="</f>
        <v>#VALUE!</v>
      </c>
      <c r="BH78" t="e">
        <f>Nodes!D598+"'E4!%S&gt;"</f>
        <v>#VALUE!</v>
      </c>
      <c r="BI78" t="e">
        <f>Nodes!E598+"'E4!%S?"</f>
        <v>#VALUE!</v>
      </c>
      <c r="BJ78" t="e">
        <f>Nodes!F598+"'E4!%S@"</f>
        <v>#VALUE!</v>
      </c>
      <c r="BK78" t="e">
        <f>Nodes!G598+"'E4!%SA"</f>
        <v>#VALUE!</v>
      </c>
      <c r="BL78" t="e">
        <f>Nodes!H598+"'E4!%SB"</f>
        <v>#VALUE!</v>
      </c>
      <c r="BM78" t="e">
        <f>Nodes!I598+"'E4!%SC"</f>
        <v>#VALUE!</v>
      </c>
      <c r="BN78" t="e">
        <f>Nodes!J598+"'E4!%SD"</f>
        <v>#VALUE!</v>
      </c>
      <c r="BO78" t="e">
        <f>Nodes!K598+"'E4!%SE"</f>
        <v>#VALUE!</v>
      </c>
      <c r="BP78" t="e">
        <f>Nodes!L598+"'E4!%SF"</f>
        <v>#VALUE!</v>
      </c>
      <c r="BQ78" t="e">
        <f>Nodes!M598+"'E4!%SG"</f>
        <v>#VALUE!</v>
      </c>
      <c r="BR78" t="e">
        <f>Nodes!N598+"'E4!%SH"</f>
        <v>#VALUE!</v>
      </c>
      <c r="BS78" t="e">
        <f>Nodes!O598+"'E4!%SI"</f>
        <v>#VALUE!</v>
      </c>
      <c r="BT78" t="e">
        <f>Nodes!P598+"'E4!%SJ"</f>
        <v>#VALUE!</v>
      </c>
      <c r="BU78" t="e">
        <f>Nodes!Q598+"'E4!%SK"</f>
        <v>#VALUE!</v>
      </c>
      <c r="BV78" t="e">
        <f>Nodes!R598+"'E4!%SL"</f>
        <v>#VALUE!</v>
      </c>
      <c r="BW78" t="e">
        <f>Nodes!S598+"'E4!%SM"</f>
        <v>#VALUE!</v>
      </c>
      <c r="BX78" s="547" t="e">
        <f>Nodes!T598+"'E4!%SN"</f>
        <v>#VALUE!</v>
      </c>
      <c r="BY78" t="e">
        <f>Nodes!U598+"'E4!%SO"</f>
        <v>#VALUE!</v>
      </c>
      <c r="BZ78" t="e">
        <f>Nodes!V598+"'E4!%SP"</f>
        <v>#VALUE!</v>
      </c>
      <c r="CA78" s="547" t="e">
        <f>Nodes!W598+"'E4!%SQ"</f>
        <v>#VALUE!</v>
      </c>
      <c r="CB78" t="e">
        <f>Nodes!X598+"'E4!%SR"</f>
        <v>#VALUE!</v>
      </c>
      <c r="CC78" t="e">
        <f>Nodes!Y598+"'E4!%SS"</f>
        <v>#VALUE!</v>
      </c>
      <c r="CD78" t="e">
        <f>Nodes!Z598+"'E4!%ST"</f>
        <v>#VALUE!</v>
      </c>
      <c r="CE78" t="e">
        <f>Nodes!AA598+"'E4!%SU"</f>
        <v>#VALUE!</v>
      </c>
      <c r="CF78" t="e">
        <f>Nodes!AB598+"'E4!%SV"</f>
        <v>#VALUE!</v>
      </c>
      <c r="CG78" t="e">
        <f>Nodes!AC598+"'E4!%SW"</f>
        <v>#VALUE!</v>
      </c>
      <c r="CH78" t="e">
        <f>Nodes!A599+"'E4!%SX"</f>
        <v>#VALUE!</v>
      </c>
      <c r="CI78" t="e">
        <f>Nodes!B599+"'E4!%SY"</f>
        <v>#VALUE!</v>
      </c>
      <c r="CJ78" t="e">
        <f>Nodes!C599+"'E4!%SZ"</f>
        <v>#VALUE!</v>
      </c>
      <c r="CK78" t="e">
        <f>Nodes!D599+"'E4!%S["</f>
        <v>#VALUE!</v>
      </c>
      <c r="CL78" t="e">
        <f>Nodes!E599+"'E4!%S\"</f>
        <v>#VALUE!</v>
      </c>
      <c r="CM78" t="e">
        <f>Nodes!F599+"'E4!%S]"</f>
        <v>#VALUE!</v>
      </c>
      <c r="CN78" t="e">
        <f>Nodes!G599+"'E4!%S^"</f>
        <v>#VALUE!</v>
      </c>
      <c r="CO78" t="e">
        <f>Nodes!H599+"'E4!%S_"</f>
        <v>#VALUE!</v>
      </c>
      <c r="CP78" t="e">
        <f>Nodes!I599+"'E4!%S`"</f>
        <v>#VALUE!</v>
      </c>
      <c r="CQ78" t="e">
        <f>Nodes!J599+"'E4!%Sa"</f>
        <v>#VALUE!</v>
      </c>
      <c r="CR78" t="e">
        <f>Nodes!K599+"'E4!%Sb"</f>
        <v>#VALUE!</v>
      </c>
      <c r="CS78" t="e">
        <f>Nodes!L599+"'E4!%Sc"</f>
        <v>#VALUE!</v>
      </c>
      <c r="CT78" t="e">
        <f>Nodes!M599+"'E4!%Sd"</f>
        <v>#VALUE!</v>
      </c>
      <c r="CU78" t="e">
        <f>Nodes!N599+"'E4!%Se"</f>
        <v>#VALUE!</v>
      </c>
      <c r="CV78" t="e">
        <f>Nodes!O599+"'E4!%Sf"</f>
        <v>#VALUE!</v>
      </c>
      <c r="CW78" t="e">
        <f>Nodes!P599+"'E4!%Sg"</f>
        <v>#VALUE!</v>
      </c>
      <c r="CX78" t="e">
        <f>Nodes!Q599+"'E4!%Sh"</f>
        <v>#VALUE!</v>
      </c>
      <c r="CY78" t="e">
        <f>Nodes!R599+"'E4!%Si"</f>
        <v>#VALUE!</v>
      </c>
      <c r="CZ78" t="e">
        <f>Nodes!S599+"'E4!%Sj"</f>
        <v>#VALUE!</v>
      </c>
      <c r="DA78" s="547" t="e">
        <f>Nodes!T599+"'E4!%Sk"</f>
        <v>#VALUE!</v>
      </c>
      <c r="DB78" t="e">
        <f>Nodes!U599+"'E4!%Sl"</f>
        <v>#VALUE!</v>
      </c>
      <c r="DC78" t="e">
        <f>Nodes!V599+"'E4!%Sm"</f>
        <v>#VALUE!</v>
      </c>
      <c r="DD78" s="547" t="e">
        <f>Nodes!W599+"'E4!%Sn"</f>
        <v>#VALUE!</v>
      </c>
      <c r="DE78" t="e">
        <f>Nodes!X599+"'E4!%So"</f>
        <v>#VALUE!</v>
      </c>
      <c r="DF78" t="e">
        <f>Nodes!Y599+"'E4!%Sp"</f>
        <v>#VALUE!</v>
      </c>
      <c r="DG78" t="e">
        <f>Nodes!Z599+"'E4!%Sq"</f>
        <v>#VALUE!</v>
      </c>
      <c r="DH78" t="e">
        <f>Nodes!AA599+"'E4!%Sr"</f>
        <v>#VALUE!</v>
      </c>
      <c r="DI78" t="e">
        <f>Nodes!AB599+"'E4!%Ss"</f>
        <v>#VALUE!</v>
      </c>
      <c r="DJ78" t="e">
        <f>Nodes!AC599+"'E4!%St"</f>
        <v>#VALUE!</v>
      </c>
      <c r="DK78" t="e">
        <f>Nodes!A600+"'E4!%Su"</f>
        <v>#VALUE!</v>
      </c>
      <c r="DL78" t="e">
        <f>Nodes!B600+"'E4!%Sv"</f>
        <v>#VALUE!</v>
      </c>
      <c r="DM78" t="e">
        <f>Nodes!C600+"'E4!%Sw"</f>
        <v>#VALUE!</v>
      </c>
      <c r="DN78" t="e">
        <f>Nodes!D600+"'E4!%Sx"</f>
        <v>#VALUE!</v>
      </c>
      <c r="DO78" t="e">
        <f>Nodes!E600+"'E4!%Sy"</f>
        <v>#VALUE!</v>
      </c>
      <c r="DP78" t="e">
        <f>Nodes!F600+"'E4!%Sz"</f>
        <v>#VALUE!</v>
      </c>
      <c r="DQ78" t="e">
        <f>Nodes!G600+"'E4!%S{"</f>
        <v>#VALUE!</v>
      </c>
      <c r="DR78" t="e">
        <f>Nodes!H600+"'E4!%S|"</f>
        <v>#VALUE!</v>
      </c>
      <c r="DS78" t="e">
        <f>Nodes!I600+"'E4!%S}"</f>
        <v>#VALUE!</v>
      </c>
      <c r="DT78" t="e">
        <f>Nodes!J600+"'E4!%S~"</f>
        <v>#VALUE!</v>
      </c>
      <c r="DU78" t="e">
        <f>Nodes!K600+"'E4!%T#"</f>
        <v>#VALUE!</v>
      </c>
      <c r="DV78" t="e">
        <f>Nodes!L600+"'E4!%T$"</f>
        <v>#VALUE!</v>
      </c>
      <c r="DW78" t="e">
        <f>Nodes!M600+"'E4!%T%"</f>
        <v>#VALUE!</v>
      </c>
      <c r="DX78" t="e">
        <f>Nodes!N600+"'E4!%T&amp;"</f>
        <v>#VALUE!</v>
      </c>
      <c r="DY78" t="e">
        <f>Nodes!O600+"'E4!%T'"</f>
        <v>#VALUE!</v>
      </c>
      <c r="DZ78" t="e">
        <f>Nodes!P600+"'E4!%T("</f>
        <v>#VALUE!</v>
      </c>
      <c r="EA78" t="e">
        <f>Nodes!Q600+"'E4!%T)"</f>
        <v>#VALUE!</v>
      </c>
      <c r="EB78" t="e">
        <f>Nodes!R600+"'E4!%T."</f>
        <v>#VALUE!</v>
      </c>
      <c r="EC78" t="e">
        <f>Nodes!S600+"'E4!%T/"</f>
        <v>#VALUE!</v>
      </c>
      <c r="ED78" s="547" t="e">
        <f>Nodes!T600+"'E4!%T0"</f>
        <v>#VALUE!</v>
      </c>
      <c r="EE78" t="e">
        <f>Nodes!U600+"'E4!%T1"</f>
        <v>#VALUE!</v>
      </c>
      <c r="EF78" t="e">
        <f>Nodes!V600+"'E4!%T2"</f>
        <v>#VALUE!</v>
      </c>
      <c r="EG78" s="547" t="e">
        <f>Nodes!W600+"'E4!%T3"</f>
        <v>#VALUE!</v>
      </c>
      <c r="EH78" t="e">
        <f>Nodes!X600+"'E4!%T4"</f>
        <v>#VALUE!</v>
      </c>
      <c r="EI78" t="e">
        <f>Nodes!Y600+"'E4!%T5"</f>
        <v>#VALUE!</v>
      </c>
      <c r="EJ78" t="e">
        <f>Nodes!Z600+"'E4!%T6"</f>
        <v>#VALUE!</v>
      </c>
      <c r="EK78" t="e">
        <f>Nodes!AA600+"'E4!%T7"</f>
        <v>#VALUE!</v>
      </c>
      <c r="EL78" t="e">
        <f>Nodes!AB600+"'E4!%T8"</f>
        <v>#VALUE!</v>
      </c>
      <c r="EM78" t="e">
        <f>Nodes!AC600+"'E4!%T9"</f>
        <v>#VALUE!</v>
      </c>
      <c r="EN78" t="e">
        <f>Nodes!A601+"'E4!%T:"</f>
        <v>#VALUE!</v>
      </c>
      <c r="EO78" t="e">
        <f>Nodes!B601+"'E4!%T;"</f>
        <v>#VALUE!</v>
      </c>
      <c r="EP78" t="e">
        <f>Nodes!C601+"'E4!%T&lt;"</f>
        <v>#VALUE!</v>
      </c>
      <c r="EQ78" t="e">
        <f>Nodes!D601+"'E4!%T="</f>
        <v>#VALUE!</v>
      </c>
      <c r="ER78" t="e">
        <f>Nodes!E601+"'E4!%T&gt;"</f>
        <v>#VALUE!</v>
      </c>
      <c r="ES78" t="e">
        <f>Nodes!F601+"'E4!%T?"</f>
        <v>#VALUE!</v>
      </c>
      <c r="ET78" t="e">
        <f>Nodes!G601+"'E4!%T@"</f>
        <v>#VALUE!</v>
      </c>
      <c r="EU78" t="e">
        <f>Nodes!H601+"'E4!%TA"</f>
        <v>#VALUE!</v>
      </c>
      <c r="EV78" t="e">
        <f>Nodes!I601+"'E4!%TB"</f>
        <v>#VALUE!</v>
      </c>
      <c r="EW78" t="e">
        <f>Nodes!J601+"'E4!%TC"</f>
        <v>#VALUE!</v>
      </c>
      <c r="EX78" t="e">
        <f>Nodes!K601+"'E4!%TD"</f>
        <v>#VALUE!</v>
      </c>
      <c r="EY78" t="e">
        <f>Nodes!L601+"'E4!%TE"</f>
        <v>#VALUE!</v>
      </c>
      <c r="EZ78" t="e">
        <f>Nodes!M601+"'E4!%TF"</f>
        <v>#VALUE!</v>
      </c>
      <c r="FA78" t="e">
        <f>Nodes!N601+"'E4!%TG"</f>
        <v>#VALUE!</v>
      </c>
      <c r="FB78" t="e">
        <f>Nodes!O601+"'E4!%TH"</f>
        <v>#VALUE!</v>
      </c>
      <c r="FC78" t="e">
        <f>Nodes!P601+"'E4!%TI"</f>
        <v>#VALUE!</v>
      </c>
      <c r="FD78" t="e">
        <f>Nodes!Q601+"'E4!%TJ"</f>
        <v>#VALUE!</v>
      </c>
      <c r="FE78" t="e">
        <f>Nodes!R601+"'E4!%TK"</f>
        <v>#VALUE!</v>
      </c>
      <c r="FF78" t="e">
        <f>Nodes!S601+"'E4!%TL"</f>
        <v>#VALUE!</v>
      </c>
      <c r="FG78" s="547" t="e">
        <f>Nodes!T601+"'E4!%TM"</f>
        <v>#VALUE!</v>
      </c>
      <c r="FH78" t="e">
        <f>Nodes!U601+"'E4!%TN"</f>
        <v>#VALUE!</v>
      </c>
      <c r="FI78" t="e">
        <f>Nodes!V601+"'E4!%TO"</f>
        <v>#VALUE!</v>
      </c>
      <c r="FJ78" s="547" t="e">
        <f>Nodes!W601+"'E4!%TP"</f>
        <v>#VALUE!</v>
      </c>
      <c r="FK78" t="e">
        <f>Nodes!X601+"'E4!%TQ"</f>
        <v>#VALUE!</v>
      </c>
      <c r="FL78" t="e">
        <f>Nodes!Y601+"'E4!%TR"</f>
        <v>#VALUE!</v>
      </c>
      <c r="FM78" t="e">
        <f>Nodes!Z601+"'E4!%TS"</f>
        <v>#VALUE!</v>
      </c>
      <c r="FN78" t="e">
        <f>Nodes!AA601+"'E4!%TT"</f>
        <v>#VALUE!</v>
      </c>
      <c r="FO78" t="e">
        <f>Nodes!AB601+"'E4!%TU"</f>
        <v>#VALUE!</v>
      </c>
      <c r="FP78" t="e">
        <f>Nodes!AC601+"'E4!%TV"</f>
        <v>#VALUE!</v>
      </c>
      <c r="FQ78" t="e">
        <f>Nodes!A602+"'E4!%TW"</f>
        <v>#VALUE!</v>
      </c>
      <c r="FR78" t="e">
        <f>Nodes!B602+"'E4!%TX"</f>
        <v>#VALUE!</v>
      </c>
      <c r="FS78" t="e">
        <f>Nodes!C602+"'E4!%TY"</f>
        <v>#VALUE!</v>
      </c>
      <c r="FT78" t="e">
        <f>Nodes!D602+"'E4!%TZ"</f>
        <v>#VALUE!</v>
      </c>
      <c r="FU78" t="e">
        <f>Nodes!E602+"'E4!%T["</f>
        <v>#VALUE!</v>
      </c>
      <c r="FV78" t="e">
        <f>Nodes!F602+"'E4!%T\"</f>
        <v>#VALUE!</v>
      </c>
      <c r="FW78" t="e">
        <f>Nodes!G602+"'E4!%T]"</f>
        <v>#VALUE!</v>
      </c>
      <c r="FX78" t="e">
        <f>Nodes!H602+"'E4!%T^"</f>
        <v>#VALUE!</v>
      </c>
      <c r="FY78" t="e">
        <f>Nodes!I602+"'E4!%T_"</f>
        <v>#VALUE!</v>
      </c>
      <c r="FZ78" t="e">
        <f>Nodes!J602+"'E4!%T`"</f>
        <v>#VALUE!</v>
      </c>
      <c r="GA78" t="e">
        <f>Nodes!K602+"'E4!%Ta"</f>
        <v>#VALUE!</v>
      </c>
      <c r="GB78" t="e">
        <f>Nodes!L602+"'E4!%Tb"</f>
        <v>#VALUE!</v>
      </c>
      <c r="GC78" t="e">
        <f>Nodes!M602+"'E4!%Tc"</f>
        <v>#VALUE!</v>
      </c>
      <c r="GD78" t="e">
        <f>Nodes!N602+"'E4!%Td"</f>
        <v>#VALUE!</v>
      </c>
      <c r="GE78" t="e">
        <f>Nodes!O602+"'E4!%Te"</f>
        <v>#VALUE!</v>
      </c>
      <c r="GF78" t="e">
        <f>Nodes!P602+"'E4!%Tf"</f>
        <v>#VALUE!</v>
      </c>
      <c r="GG78" t="e">
        <f>Nodes!Q602+"'E4!%Tg"</f>
        <v>#VALUE!</v>
      </c>
      <c r="GH78" t="e">
        <f>Nodes!R602+"'E4!%Th"</f>
        <v>#VALUE!</v>
      </c>
      <c r="GI78" t="e">
        <f>Nodes!S602+"'E4!%Ti"</f>
        <v>#VALUE!</v>
      </c>
      <c r="GJ78" s="547" t="e">
        <f>Nodes!T602+"'E4!%Tj"</f>
        <v>#VALUE!</v>
      </c>
      <c r="GK78" t="e">
        <f>Nodes!U602+"'E4!%Tk"</f>
        <v>#VALUE!</v>
      </c>
      <c r="GL78" t="e">
        <f>Nodes!V602+"'E4!%Tl"</f>
        <v>#VALUE!</v>
      </c>
      <c r="GM78" s="547" t="e">
        <f>Nodes!W602+"'E4!%Tm"</f>
        <v>#VALUE!</v>
      </c>
      <c r="GN78" t="e">
        <f>Nodes!X602+"'E4!%Tn"</f>
        <v>#VALUE!</v>
      </c>
      <c r="GO78" t="e">
        <f>Nodes!Y602+"'E4!%To"</f>
        <v>#VALUE!</v>
      </c>
      <c r="GP78" t="e">
        <f>Nodes!Z602+"'E4!%Tp"</f>
        <v>#VALUE!</v>
      </c>
      <c r="GQ78" t="e">
        <f>Nodes!AA602+"'E4!%Tq"</f>
        <v>#VALUE!</v>
      </c>
      <c r="GR78" t="e">
        <f>Nodes!AB602+"'E4!%Tr"</f>
        <v>#VALUE!</v>
      </c>
      <c r="GS78" t="e">
        <f>Nodes!AC602+"'E4!%Ts"</f>
        <v>#VALUE!</v>
      </c>
      <c r="GT78" t="e">
        <f>Nodes!A603+"'E4!%Tt"</f>
        <v>#VALUE!</v>
      </c>
      <c r="GU78" t="e">
        <f>Nodes!B603+"'E4!%Tu"</f>
        <v>#VALUE!</v>
      </c>
      <c r="GV78" t="e">
        <f>Nodes!C603+"'E4!%Tv"</f>
        <v>#VALUE!</v>
      </c>
      <c r="GW78" t="e">
        <f>Nodes!D603+"'E4!%Tw"</f>
        <v>#VALUE!</v>
      </c>
      <c r="GX78" t="e">
        <f>Nodes!E603+"'E4!%Tx"</f>
        <v>#VALUE!</v>
      </c>
      <c r="GY78" t="e">
        <f>Nodes!F603+"'E4!%Ty"</f>
        <v>#VALUE!</v>
      </c>
      <c r="GZ78" t="e">
        <f>Nodes!G603+"'E4!%Tz"</f>
        <v>#VALUE!</v>
      </c>
      <c r="HA78" t="e">
        <f>Nodes!H603+"'E4!%T{"</f>
        <v>#VALUE!</v>
      </c>
      <c r="HB78" t="e">
        <f>Nodes!I603+"'E4!%T|"</f>
        <v>#VALUE!</v>
      </c>
      <c r="HC78" t="e">
        <f>Nodes!J603+"'E4!%T}"</f>
        <v>#VALUE!</v>
      </c>
      <c r="HD78" t="e">
        <f>Nodes!K603+"'E4!%T~"</f>
        <v>#VALUE!</v>
      </c>
      <c r="HE78" t="e">
        <f>Nodes!L603+"'E4!%U#"</f>
        <v>#VALUE!</v>
      </c>
      <c r="HF78" t="e">
        <f>Nodes!M603+"'E4!%U$"</f>
        <v>#VALUE!</v>
      </c>
      <c r="HG78" t="e">
        <f>Nodes!N603+"'E4!%U%"</f>
        <v>#VALUE!</v>
      </c>
      <c r="HH78" t="e">
        <f>Nodes!O603+"'E4!%U&amp;"</f>
        <v>#VALUE!</v>
      </c>
      <c r="HI78" t="e">
        <f>Nodes!P603+"'E4!%U'"</f>
        <v>#VALUE!</v>
      </c>
      <c r="HJ78" t="e">
        <f>Nodes!Q603+"'E4!%U("</f>
        <v>#VALUE!</v>
      </c>
      <c r="HK78" t="e">
        <f>Nodes!R603+"'E4!%U)"</f>
        <v>#VALUE!</v>
      </c>
      <c r="HL78" t="e">
        <f>Nodes!S603+"'E4!%U."</f>
        <v>#VALUE!</v>
      </c>
      <c r="HM78" s="547" t="e">
        <f>Nodes!T603+"'E4!%U/"</f>
        <v>#VALUE!</v>
      </c>
      <c r="HN78" t="e">
        <f>Nodes!U603+"'E4!%U0"</f>
        <v>#VALUE!</v>
      </c>
      <c r="HO78" t="e">
        <f>Nodes!V603+"'E4!%U1"</f>
        <v>#VALUE!</v>
      </c>
      <c r="HP78" s="547" t="e">
        <f>Nodes!W603+"'E4!%U2"</f>
        <v>#VALUE!</v>
      </c>
      <c r="HQ78" t="e">
        <f>Nodes!X603+"'E4!%U3"</f>
        <v>#VALUE!</v>
      </c>
      <c r="HR78" t="e">
        <f>Nodes!Y603+"'E4!%U4"</f>
        <v>#VALUE!</v>
      </c>
      <c r="HS78" t="e">
        <f>Nodes!Z603+"'E4!%U5"</f>
        <v>#VALUE!</v>
      </c>
      <c r="HT78" t="e">
        <f>Nodes!AA603+"'E4!%U6"</f>
        <v>#VALUE!</v>
      </c>
      <c r="HU78" t="e">
        <f>Nodes!AB603+"'E4!%U7"</f>
        <v>#VALUE!</v>
      </c>
      <c r="HV78" t="e">
        <f>Nodes!AC603+"'E4!%U8"</f>
        <v>#VALUE!</v>
      </c>
      <c r="HW78" t="e">
        <f>Nodes!A604+"'E4!%U9"</f>
        <v>#VALUE!</v>
      </c>
      <c r="HX78" t="e">
        <f>Nodes!B604+"'E4!%U:"</f>
        <v>#VALUE!</v>
      </c>
      <c r="HY78" t="e">
        <f>Nodes!C604+"'E4!%U;"</f>
        <v>#VALUE!</v>
      </c>
      <c r="HZ78" t="e">
        <f>Nodes!D604+"'E4!%U&lt;"</f>
        <v>#VALUE!</v>
      </c>
      <c r="IA78" t="e">
        <f>Nodes!E604+"'E4!%U="</f>
        <v>#VALUE!</v>
      </c>
      <c r="IB78" t="e">
        <f>Nodes!F604+"'E4!%U&gt;"</f>
        <v>#VALUE!</v>
      </c>
      <c r="IC78" t="e">
        <f>Nodes!G604+"'E4!%U?"</f>
        <v>#VALUE!</v>
      </c>
      <c r="ID78" t="e">
        <f>Nodes!H604+"'E4!%U@"</f>
        <v>#VALUE!</v>
      </c>
      <c r="IE78" t="e">
        <f>Nodes!I604+"'E4!%UA"</f>
        <v>#VALUE!</v>
      </c>
      <c r="IF78" t="e">
        <f>Nodes!J604+"'E4!%UB"</f>
        <v>#VALUE!</v>
      </c>
      <c r="IG78" t="e">
        <f>Nodes!K604+"'E4!%UC"</f>
        <v>#VALUE!</v>
      </c>
      <c r="IH78" t="e">
        <f>Nodes!L604+"'E4!%UD"</f>
        <v>#VALUE!</v>
      </c>
      <c r="II78" t="e">
        <f>Nodes!M604+"'E4!%UE"</f>
        <v>#VALUE!</v>
      </c>
      <c r="IJ78" t="e">
        <f>Nodes!N604+"'E4!%UF"</f>
        <v>#VALUE!</v>
      </c>
      <c r="IK78" t="e">
        <f>Nodes!O604+"'E4!%UG"</f>
        <v>#VALUE!</v>
      </c>
      <c r="IL78" t="e">
        <f>Nodes!P604+"'E4!%UH"</f>
        <v>#VALUE!</v>
      </c>
      <c r="IM78" t="e">
        <f>Nodes!Q604+"'E4!%UI"</f>
        <v>#VALUE!</v>
      </c>
      <c r="IN78" t="e">
        <f>Nodes!R604+"'E4!%UJ"</f>
        <v>#VALUE!</v>
      </c>
      <c r="IO78" t="e">
        <f>Nodes!S604+"'E4!%UK"</f>
        <v>#VALUE!</v>
      </c>
      <c r="IP78" s="547" t="e">
        <f>Nodes!T604+"'E4!%UL"</f>
        <v>#VALUE!</v>
      </c>
      <c r="IQ78" t="e">
        <f>Nodes!U604+"'E4!%UM"</f>
        <v>#VALUE!</v>
      </c>
      <c r="IR78" t="e">
        <f>Nodes!V604+"'E4!%UN"</f>
        <v>#VALUE!</v>
      </c>
      <c r="IS78" s="547" t="e">
        <f>Nodes!W604+"'E4!%UO"</f>
        <v>#VALUE!</v>
      </c>
      <c r="IT78" t="e">
        <f>Nodes!X604+"'E4!%UP"</f>
        <v>#VALUE!</v>
      </c>
      <c r="IU78" t="e">
        <f>Nodes!Y604+"'E4!%UQ"</f>
        <v>#VALUE!</v>
      </c>
      <c r="IV78" t="e">
        <f>Nodes!Z604+"'E4!%UR"</f>
        <v>#VALUE!</v>
      </c>
    </row>
    <row r="79" spans="6:256">
      <c r="F79" t="e">
        <f>Nodes!AA604+"'E4!%US"</f>
        <v>#VALUE!</v>
      </c>
      <c r="G79" t="e">
        <f>Nodes!AB604+"'E4!%UT"</f>
        <v>#VALUE!</v>
      </c>
      <c r="H79" t="e">
        <f>Nodes!AC604+"'E4!%UU"</f>
        <v>#VALUE!</v>
      </c>
      <c r="I79" t="e">
        <f>Nodes!A605+"'E4!%UV"</f>
        <v>#VALUE!</v>
      </c>
      <c r="J79" t="e">
        <f>Nodes!B605+"'E4!%UW"</f>
        <v>#VALUE!</v>
      </c>
      <c r="K79" t="e">
        <f>Nodes!C605+"'E4!%UX"</f>
        <v>#VALUE!</v>
      </c>
      <c r="L79" t="e">
        <f>Nodes!D605+"'E4!%UY"</f>
        <v>#VALUE!</v>
      </c>
      <c r="M79" t="e">
        <f>Nodes!E605+"'E4!%UZ"</f>
        <v>#VALUE!</v>
      </c>
      <c r="N79" t="e">
        <f>Nodes!F605+"'E4!%U["</f>
        <v>#VALUE!</v>
      </c>
      <c r="O79" t="e">
        <f>Nodes!G605+"'E4!%U\"</f>
        <v>#VALUE!</v>
      </c>
      <c r="P79" t="e">
        <f>Nodes!H605+"'E4!%U]"</f>
        <v>#VALUE!</v>
      </c>
      <c r="Q79" t="e">
        <f>Nodes!I605+"'E4!%U^"</f>
        <v>#VALUE!</v>
      </c>
      <c r="R79" t="e">
        <f>Nodes!J605+"'E4!%U_"</f>
        <v>#VALUE!</v>
      </c>
      <c r="S79" t="e">
        <f>Nodes!K605+"'E4!%U`"</f>
        <v>#VALUE!</v>
      </c>
      <c r="T79" t="e">
        <f>Nodes!L605+"'E4!%Ua"</f>
        <v>#VALUE!</v>
      </c>
      <c r="U79" t="e">
        <f>Nodes!M605+"'E4!%Ub"</f>
        <v>#VALUE!</v>
      </c>
      <c r="V79" t="e">
        <f>Nodes!N605+"'E4!%Uc"</f>
        <v>#VALUE!</v>
      </c>
      <c r="W79" t="e">
        <f>Nodes!O605+"'E4!%Ud"</f>
        <v>#VALUE!</v>
      </c>
      <c r="X79" t="e">
        <f>Nodes!P605+"'E4!%Ue"</f>
        <v>#VALUE!</v>
      </c>
      <c r="Y79" t="e">
        <f>Nodes!Q605+"'E4!%Uf"</f>
        <v>#VALUE!</v>
      </c>
      <c r="Z79" t="e">
        <f>Nodes!R605+"'E4!%Ug"</f>
        <v>#VALUE!</v>
      </c>
      <c r="AA79" t="e">
        <f>Nodes!S605+"'E4!%Uh"</f>
        <v>#VALUE!</v>
      </c>
      <c r="AB79" s="547" t="e">
        <f>Nodes!T605+"'E4!%Ui"</f>
        <v>#VALUE!</v>
      </c>
      <c r="AC79" t="e">
        <f>Nodes!U605+"'E4!%Uj"</f>
        <v>#VALUE!</v>
      </c>
      <c r="AD79" t="e">
        <f>Nodes!V605+"'E4!%Uk"</f>
        <v>#VALUE!</v>
      </c>
      <c r="AE79" s="547" t="e">
        <f>Nodes!W605+"'E4!%Ul"</f>
        <v>#VALUE!</v>
      </c>
      <c r="AF79" t="e">
        <f>Nodes!X605+"'E4!%Um"</f>
        <v>#VALUE!</v>
      </c>
      <c r="AG79" t="e">
        <f>Nodes!Y605+"'E4!%Un"</f>
        <v>#VALUE!</v>
      </c>
      <c r="AH79" t="e">
        <f>Nodes!Z605+"'E4!%Uo"</f>
        <v>#VALUE!</v>
      </c>
      <c r="AI79" t="e">
        <f>Nodes!AA605+"'E4!%Up"</f>
        <v>#VALUE!</v>
      </c>
      <c r="AJ79" t="e">
        <f>Nodes!AB605+"'E4!%Uq"</f>
        <v>#VALUE!</v>
      </c>
      <c r="AK79" t="e">
        <f>Nodes!AC605+"'E4!%Ur"</f>
        <v>#VALUE!</v>
      </c>
      <c r="AL79" t="e">
        <f>Nodes!A606+"'E4!%Us"</f>
        <v>#VALUE!</v>
      </c>
      <c r="AM79" t="e">
        <f>Nodes!B606+"'E4!%Ut"</f>
        <v>#VALUE!</v>
      </c>
      <c r="AN79" t="e">
        <f>Nodes!C606+"'E4!%Uu"</f>
        <v>#VALUE!</v>
      </c>
      <c r="AO79" t="e">
        <f>Nodes!D606+"'E4!%Uv"</f>
        <v>#VALUE!</v>
      </c>
      <c r="AP79" t="e">
        <f>Nodes!E606+"'E4!%Uw"</f>
        <v>#VALUE!</v>
      </c>
      <c r="AQ79" t="e">
        <f>Nodes!F606+"'E4!%Ux"</f>
        <v>#VALUE!</v>
      </c>
      <c r="AR79" t="e">
        <f>Nodes!G606+"'E4!%Uy"</f>
        <v>#VALUE!</v>
      </c>
      <c r="AS79" t="e">
        <f>Nodes!H606+"'E4!%Uz"</f>
        <v>#VALUE!</v>
      </c>
      <c r="AT79" t="e">
        <f>Nodes!I606+"'E4!%U{"</f>
        <v>#VALUE!</v>
      </c>
      <c r="AU79" t="e">
        <f>Nodes!J606+"'E4!%U|"</f>
        <v>#VALUE!</v>
      </c>
      <c r="AV79" t="e">
        <f>Nodes!K606+"'E4!%U}"</f>
        <v>#VALUE!</v>
      </c>
      <c r="AW79" t="e">
        <f>Nodes!L606+"'E4!%U~"</f>
        <v>#VALUE!</v>
      </c>
      <c r="AX79" t="e">
        <f>Nodes!M606+"'E4!%V#"</f>
        <v>#VALUE!</v>
      </c>
      <c r="AY79" t="e">
        <f>Nodes!N606+"'E4!%V$"</f>
        <v>#VALUE!</v>
      </c>
      <c r="AZ79" t="e">
        <f>Nodes!O606+"'E4!%V%"</f>
        <v>#VALUE!</v>
      </c>
      <c r="BA79" t="e">
        <f>Nodes!P606+"'E4!%V&amp;"</f>
        <v>#VALUE!</v>
      </c>
      <c r="BB79" t="e">
        <f>Nodes!Q606+"'E4!%V'"</f>
        <v>#VALUE!</v>
      </c>
      <c r="BC79" t="e">
        <f>Nodes!R606+"'E4!%V("</f>
        <v>#VALUE!</v>
      </c>
      <c r="BD79" t="e">
        <f>Nodes!S606+"'E4!%V)"</f>
        <v>#VALUE!</v>
      </c>
      <c r="BE79" s="547" t="e">
        <f>Nodes!T606+"'E4!%V."</f>
        <v>#VALUE!</v>
      </c>
      <c r="BF79" t="e">
        <f>Nodes!U606+"'E4!%V/"</f>
        <v>#VALUE!</v>
      </c>
      <c r="BG79" t="e">
        <f>Nodes!V606+"'E4!%V0"</f>
        <v>#VALUE!</v>
      </c>
      <c r="BH79" s="547" t="e">
        <f>Nodes!W606+"'E4!%V1"</f>
        <v>#VALUE!</v>
      </c>
      <c r="BI79" t="e">
        <f>Nodes!X606+"'E4!%V2"</f>
        <v>#VALUE!</v>
      </c>
      <c r="BJ79" t="e">
        <f>Nodes!Y606+"'E4!%V3"</f>
        <v>#VALUE!</v>
      </c>
      <c r="BK79" t="e">
        <f>Nodes!Z606+"'E4!%V4"</f>
        <v>#VALUE!</v>
      </c>
      <c r="BL79" t="e">
        <f>Nodes!AA606+"'E4!%V5"</f>
        <v>#VALUE!</v>
      </c>
      <c r="BM79" t="e">
        <f>Nodes!AB606+"'E4!%V6"</f>
        <v>#VALUE!</v>
      </c>
      <c r="BN79" t="e">
        <f>Nodes!AC606+"'E4!%V7"</f>
        <v>#VALUE!</v>
      </c>
      <c r="BO79" t="e">
        <f>Nodes!A607+"'E4!%V8"</f>
        <v>#VALUE!</v>
      </c>
      <c r="BP79" t="e">
        <f>Nodes!B607+"'E4!%V9"</f>
        <v>#VALUE!</v>
      </c>
      <c r="BQ79" t="e">
        <f>Nodes!C607+"'E4!%V:"</f>
        <v>#VALUE!</v>
      </c>
      <c r="BR79" t="e">
        <f>Nodes!D607+"'E4!%V;"</f>
        <v>#VALUE!</v>
      </c>
      <c r="BS79" t="e">
        <f>Nodes!E607+"'E4!%V&lt;"</f>
        <v>#VALUE!</v>
      </c>
      <c r="BT79" t="e">
        <f>Nodes!F607+"'E4!%V="</f>
        <v>#VALUE!</v>
      </c>
      <c r="BU79" t="e">
        <f>Nodes!G607+"'E4!%V&gt;"</f>
        <v>#VALUE!</v>
      </c>
      <c r="BV79" t="e">
        <f>Nodes!H607+"'E4!%V?"</f>
        <v>#VALUE!</v>
      </c>
      <c r="BW79" t="e">
        <f>Nodes!I607+"'E4!%V@"</f>
        <v>#VALUE!</v>
      </c>
      <c r="BX79" t="e">
        <f>Nodes!J607+"'E4!%VA"</f>
        <v>#VALUE!</v>
      </c>
      <c r="BY79" t="e">
        <f>Nodes!K607+"'E4!%VB"</f>
        <v>#VALUE!</v>
      </c>
      <c r="BZ79" t="e">
        <f>Nodes!L607+"'E4!%VC"</f>
        <v>#VALUE!</v>
      </c>
      <c r="CA79" t="e">
        <f>Nodes!M607+"'E4!%VD"</f>
        <v>#VALUE!</v>
      </c>
      <c r="CB79" t="e">
        <f>Nodes!N607+"'E4!%VE"</f>
        <v>#VALUE!</v>
      </c>
      <c r="CC79" t="e">
        <f>Nodes!O607+"'E4!%VF"</f>
        <v>#VALUE!</v>
      </c>
      <c r="CD79" t="e">
        <f>Nodes!P607+"'E4!%VG"</f>
        <v>#VALUE!</v>
      </c>
      <c r="CE79" t="e">
        <f>Nodes!Q607+"'E4!%VH"</f>
        <v>#VALUE!</v>
      </c>
      <c r="CF79" t="e">
        <f>Nodes!R607+"'E4!%VI"</f>
        <v>#VALUE!</v>
      </c>
      <c r="CG79" t="e">
        <f>Nodes!S607+"'E4!%VJ"</f>
        <v>#VALUE!</v>
      </c>
      <c r="CH79" s="547" t="e">
        <f>Nodes!T607+"'E4!%VK"</f>
        <v>#VALUE!</v>
      </c>
      <c r="CI79" t="e">
        <f>Nodes!U607+"'E4!%VL"</f>
        <v>#VALUE!</v>
      </c>
      <c r="CJ79" t="e">
        <f>Nodes!V607+"'E4!%VM"</f>
        <v>#VALUE!</v>
      </c>
      <c r="CK79" s="547" t="e">
        <f>Nodes!W607+"'E4!%VN"</f>
        <v>#VALUE!</v>
      </c>
      <c r="CL79" t="e">
        <f>Nodes!X607+"'E4!%VO"</f>
        <v>#VALUE!</v>
      </c>
      <c r="CM79" t="e">
        <f>Nodes!Y607+"'E4!%VP"</f>
        <v>#VALUE!</v>
      </c>
      <c r="CN79" t="e">
        <f>Nodes!Z607+"'E4!%VQ"</f>
        <v>#VALUE!</v>
      </c>
      <c r="CO79" t="e">
        <f>Nodes!AA607+"'E4!%VR"</f>
        <v>#VALUE!</v>
      </c>
      <c r="CP79" t="e">
        <f>Nodes!AB607+"'E4!%VS"</f>
        <v>#VALUE!</v>
      </c>
      <c r="CQ79" t="e">
        <f>Nodes!AC607+"'E4!%VT"</f>
        <v>#VALUE!</v>
      </c>
      <c r="CR79" t="e">
        <f>Nodes!A608+"'E4!%VU"</f>
        <v>#VALUE!</v>
      </c>
      <c r="CS79" t="e">
        <f>Nodes!B608+"'E4!%VV"</f>
        <v>#VALUE!</v>
      </c>
      <c r="CT79" t="e">
        <f>Nodes!C608+"'E4!%VW"</f>
        <v>#VALUE!</v>
      </c>
      <c r="CU79" t="e">
        <f>Nodes!D608+"'E4!%VX"</f>
        <v>#VALUE!</v>
      </c>
      <c r="CV79" t="e">
        <f>Nodes!E608+"'E4!%VY"</f>
        <v>#VALUE!</v>
      </c>
      <c r="CW79" t="e">
        <f>Nodes!F608+"'E4!%VZ"</f>
        <v>#VALUE!</v>
      </c>
      <c r="CX79" t="e">
        <f>Nodes!G608+"'E4!%V["</f>
        <v>#VALUE!</v>
      </c>
      <c r="CY79" t="e">
        <f>Nodes!H608+"'E4!%V\"</f>
        <v>#VALUE!</v>
      </c>
      <c r="CZ79" t="e">
        <f>Nodes!I608+"'E4!%V]"</f>
        <v>#VALUE!</v>
      </c>
      <c r="DA79" t="e">
        <f>Nodes!J608+"'E4!%V^"</f>
        <v>#VALUE!</v>
      </c>
      <c r="DB79" t="e">
        <f>Nodes!K608+"'E4!%V_"</f>
        <v>#VALUE!</v>
      </c>
      <c r="DC79" t="e">
        <f>Nodes!L608+"'E4!%V`"</f>
        <v>#VALUE!</v>
      </c>
      <c r="DD79" t="e">
        <f>Nodes!M608+"'E4!%Va"</f>
        <v>#VALUE!</v>
      </c>
      <c r="DE79" t="e">
        <f>Nodes!N608+"'E4!%Vb"</f>
        <v>#VALUE!</v>
      </c>
      <c r="DF79" t="e">
        <f>Nodes!O608+"'E4!%Vc"</f>
        <v>#VALUE!</v>
      </c>
      <c r="DG79" t="e">
        <f>Nodes!P608+"'E4!%Vd"</f>
        <v>#VALUE!</v>
      </c>
      <c r="DH79" t="e">
        <f>Nodes!Q608+"'E4!%Ve"</f>
        <v>#VALUE!</v>
      </c>
      <c r="DI79" t="e">
        <f>Nodes!R608+"'E4!%Vf"</f>
        <v>#VALUE!</v>
      </c>
      <c r="DJ79" t="e">
        <f>Nodes!S608+"'E4!%Vg"</f>
        <v>#VALUE!</v>
      </c>
      <c r="DK79" s="547" t="e">
        <f>Nodes!T608+"'E4!%Vh"</f>
        <v>#VALUE!</v>
      </c>
      <c r="DL79" t="e">
        <f>Nodes!U608+"'E4!%Vi"</f>
        <v>#VALUE!</v>
      </c>
      <c r="DM79" t="e">
        <f>Nodes!V608+"'E4!%Vj"</f>
        <v>#VALUE!</v>
      </c>
      <c r="DN79" s="547" t="e">
        <f>Nodes!W608+"'E4!%Vk"</f>
        <v>#VALUE!</v>
      </c>
      <c r="DO79" t="e">
        <f>Nodes!X608+"'E4!%Vl"</f>
        <v>#VALUE!</v>
      </c>
      <c r="DP79" t="e">
        <f>Nodes!Y608+"'E4!%Vm"</f>
        <v>#VALUE!</v>
      </c>
      <c r="DQ79" t="e">
        <f>Nodes!Z608+"'E4!%Vn"</f>
        <v>#VALUE!</v>
      </c>
      <c r="DR79" t="e">
        <f>Nodes!AA608+"'E4!%Vo"</f>
        <v>#VALUE!</v>
      </c>
      <c r="DS79" t="e">
        <f>Nodes!AB608+"'E4!%Vp"</f>
        <v>#VALUE!</v>
      </c>
      <c r="DT79" t="e">
        <f>Nodes!AC608+"'E4!%Vq"</f>
        <v>#VALUE!</v>
      </c>
      <c r="DU79" t="e">
        <f>Nodes!A609+"'E4!%Vr"</f>
        <v>#VALUE!</v>
      </c>
      <c r="DV79" t="e">
        <f>Nodes!B609+"'E4!%Vs"</f>
        <v>#VALUE!</v>
      </c>
      <c r="DW79" t="e">
        <f>Nodes!C609+"'E4!%Vt"</f>
        <v>#VALUE!</v>
      </c>
      <c r="DX79" t="e">
        <f>Nodes!D609+"'E4!%Vu"</f>
        <v>#VALUE!</v>
      </c>
      <c r="DY79" t="e">
        <f>Nodes!E609+"'E4!%Vv"</f>
        <v>#VALUE!</v>
      </c>
      <c r="DZ79" t="e">
        <f>Nodes!F609+"'E4!%Vw"</f>
        <v>#VALUE!</v>
      </c>
      <c r="EA79" t="e">
        <f>Nodes!G609+"'E4!%Vx"</f>
        <v>#VALUE!</v>
      </c>
      <c r="EB79" t="e">
        <f>Nodes!H609+"'E4!%Vy"</f>
        <v>#VALUE!</v>
      </c>
      <c r="EC79" t="e">
        <f>Nodes!I609+"'E4!%Vz"</f>
        <v>#VALUE!</v>
      </c>
      <c r="ED79" t="e">
        <f>Nodes!J609+"'E4!%V{"</f>
        <v>#VALUE!</v>
      </c>
      <c r="EE79" t="e">
        <f>Nodes!K609+"'E4!%V|"</f>
        <v>#VALUE!</v>
      </c>
      <c r="EF79" t="e">
        <f>Nodes!L609+"'E4!%V}"</f>
        <v>#VALUE!</v>
      </c>
      <c r="EG79" t="e">
        <f>Nodes!M609+"'E4!%V~"</f>
        <v>#VALUE!</v>
      </c>
      <c r="EH79" t="e">
        <f>Nodes!N609+"'E4!%W#"</f>
        <v>#VALUE!</v>
      </c>
      <c r="EI79" t="e">
        <f>Nodes!O609+"'E4!%W$"</f>
        <v>#VALUE!</v>
      </c>
      <c r="EJ79" t="e">
        <f>Nodes!P609+"'E4!%W%"</f>
        <v>#VALUE!</v>
      </c>
      <c r="EK79" t="e">
        <f>Nodes!Q609+"'E4!%W&amp;"</f>
        <v>#VALUE!</v>
      </c>
      <c r="EL79" t="e">
        <f>Nodes!R609+"'E4!%W'"</f>
        <v>#VALUE!</v>
      </c>
      <c r="EM79" t="e">
        <f>Nodes!S609+"'E4!%W("</f>
        <v>#VALUE!</v>
      </c>
      <c r="EN79" s="547" t="e">
        <f>Nodes!T609+"'E4!%W)"</f>
        <v>#VALUE!</v>
      </c>
      <c r="EO79" t="e">
        <f>Nodes!U609+"'E4!%W."</f>
        <v>#VALUE!</v>
      </c>
      <c r="EP79" t="e">
        <f>Nodes!V609+"'E4!%W/"</f>
        <v>#VALUE!</v>
      </c>
      <c r="EQ79" s="547" t="e">
        <f>Nodes!W609+"'E4!%W0"</f>
        <v>#VALUE!</v>
      </c>
      <c r="ER79" t="e">
        <f>Nodes!X609+"'E4!%W1"</f>
        <v>#VALUE!</v>
      </c>
      <c r="ES79" t="e">
        <f>Nodes!Y609+"'E4!%W2"</f>
        <v>#VALUE!</v>
      </c>
      <c r="ET79" t="e">
        <f>Nodes!Z609+"'E4!%W3"</f>
        <v>#VALUE!</v>
      </c>
      <c r="EU79" t="e">
        <f>Nodes!AA609+"'E4!%W4"</f>
        <v>#VALUE!</v>
      </c>
      <c r="EV79" t="e">
        <f>Nodes!AB609+"'E4!%W5"</f>
        <v>#VALUE!</v>
      </c>
      <c r="EW79" t="e">
        <f>Nodes!AC609+"'E4!%W6"</f>
        <v>#VALUE!</v>
      </c>
      <c r="EX79" t="e">
        <f>Nodes!A610+"'E4!%W7"</f>
        <v>#VALUE!</v>
      </c>
      <c r="EY79" t="e">
        <f>Nodes!B610+"'E4!%W8"</f>
        <v>#VALUE!</v>
      </c>
      <c r="EZ79" t="e">
        <f>Nodes!C610+"'E4!%W9"</f>
        <v>#VALUE!</v>
      </c>
      <c r="FA79" t="e">
        <f>Nodes!D610+"'E4!%W:"</f>
        <v>#VALUE!</v>
      </c>
      <c r="FB79" t="e">
        <f>Nodes!E610+"'E4!%W;"</f>
        <v>#VALUE!</v>
      </c>
      <c r="FC79" t="e">
        <f>Nodes!F610+"'E4!%W&lt;"</f>
        <v>#VALUE!</v>
      </c>
      <c r="FD79" t="e">
        <f>Nodes!G610+"'E4!%W="</f>
        <v>#VALUE!</v>
      </c>
      <c r="FE79" t="e">
        <f>Nodes!H610+"'E4!%W&gt;"</f>
        <v>#VALUE!</v>
      </c>
      <c r="FF79" t="e">
        <f>Nodes!I610+"'E4!%W?"</f>
        <v>#VALUE!</v>
      </c>
      <c r="FG79" t="e">
        <f>Nodes!J610+"'E4!%W@"</f>
        <v>#VALUE!</v>
      </c>
      <c r="FH79" t="e">
        <f>Nodes!K610+"'E4!%WA"</f>
        <v>#VALUE!</v>
      </c>
      <c r="FI79" t="e">
        <f>Nodes!L610+"'E4!%WB"</f>
        <v>#VALUE!</v>
      </c>
      <c r="FJ79" t="e">
        <f>Nodes!M610+"'E4!%WC"</f>
        <v>#VALUE!</v>
      </c>
      <c r="FK79" t="e">
        <f>Nodes!N610+"'E4!%WD"</f>
        <v>#VALUE!</v>
      </c>
      <c r="FL79" t="e">
        <f>Nodes!O610+"'E4!%WE"</f>
        <v>#VALUE!</v>
      </c>
      <c r="FM79" t="e">
        <f>Nodes!P610+"'E4!%WF"</f>
        <v>#VALUE!</v>
      </c>
      <c r="FN79" t="e">
        <f>Nodes!Q610+"'E4!%WG"</f>
        <v>#VALUE!</v>
      </c>
      <c r="FO79" t="e">
        <f>Nodes!R610+"'E4!%WH"</f>
        <v>#VALUE!</v>
      </c>
      <c r="FP79" t="e">
        <f>Nodes!S610+"'E4!%WI"</f>
        <v>#VALUE!</v>
      </c>
      <c r="FQ79" s="547" t="e">
        <f>Nodes!T610+"'E4!%WJ"</f>
        <v>#VALUE!</v>
      </c>
      <c r="FR79" t="e">
        <f>Nodes!U610+"'E4!%WK"</f>
        <v>#VALUE!</v>
      </c>
      <c r="FS79" t="e">
        <f>Nodes!V610+"'E4!%WL"</f>
        <v>#VALUE!</v>
      </c>
      <c r="FT79" s="547" t="e">
        <f>Nodes!W610+"'E4!%WM"</f>
        <v>#VALUE!</v>
      </c>
      <c r="FU79" t="e">
        <f>Nodes!X610+"'E4!%WN"</f>
        <v>#VALUE!</v>
      </c>
      <c r="FV79" t="e">
        <f>Nodes!Y610+"'E4!%WO"</f>
        <v>#VALUE!</v>
      </c>
      <c r="FW79" t="e">
        <f>Nodes!Z610+"'E4!%WP"</f>
        <v>#VALUE!</v>
      </c>
      <c r="FX79" t="e">
        <f>Nodes!AA610+"'E4!%WQ"</f>
        <v>#VALUE!</v>
      </c>
      <c r="FY79" t="e">
        <f>Nodes!AB610+"'E4!%WR"</f>
        <v>#VALUE!</v>
      </c>
      <c r="FZ79" t="e">
        <f>Nodes!AC610+"'E4!%WS"</f>
        <v>#VALUE!</v>
      </c>
      <c r="GA79" t="e">
        <f>Nodes!A611+"'E4!%WT"</f>
        <v>#VALUE!</v>
      </c>
      <c r="GB79" t="e">
        <f>Nodes!B611+"'E4!%WU"</f>
        <v>#VALUE!</v>
      </c>
      <c r="GC79" t="e">
        <f>Nodes!C611+"'E4!%WV"</f>
        <v>#VALUE!</v>
      </c>
      <c r="GD79" t="e">
        <f>Nodes!D611+"'E4!%WW"</f>
        <v>#VALUE!</v>
      </c>
      <c r="GE79" t="e">
        <f>Nodes!E611+"'E4!%WX"</f>
        <v>#VALUE!</v>
      </c>
      <c r="GF79" t="e">
        <f>Nodes!F611+"'E4!%WY"</f>
        <v>#VALUE!</v>
      </c>
      <c r="GG79" t="e">
        <f>Nodes!G611+"'E4!%WZ"</f>
        <v>#VALUE!</v>
      </c>
      <c r="GH79" t="e">
        <f>Nodes!H611+"'E4!%W["</f>
        <v>#VALUE!</v>
      </c>
      <c r="GI79" t="e">
        <f>Nodes!I611+"'E4!%W\"</f>
        <v>#VALUE!</v>
      </c>
      <c r="GJ79" t="e">
        <f>Nodes!J611+"'E4!%W]"</f>
        <v>#VALUE!</v>
      </c>
      <c r="GK79" t="e">
        <f>Nodes!K611+"'E4!%W^"</f>
        <v>#VALUE!</v>
      </c>
      <c r="GL79" t="e">
        <f>Nodes!L611+"'E4!%W_"</f>
        <v>#VALUE!</v>
      </c>
      <c r="GM79" t="e">
        <f>Nodes!M611+"'E4!%W`"</f>
        <v>#VALUE!</v>
      </c>
      <c r="GN79" t="e">
        <f>Nodes!N611+"'E4!%Wa"</f>
        <v>#VALUE!</v>
      </c>
      <c r="GO79" t="e">
        <f>Nodes!O611+"'E4!%Wb"</f>
        <v>#VALUE!</v>
      </c>
      <c r="GP79" t="e">
        <f>Nodes!P611+"'E4!%Wc"</f>
        <v>#VALUE!</v>
      </c>
      <c r="GQ79" t="e">
        <f>Nodes!Q611+"'E4!%Wd"</f>
        <v>#VALUE!</v>
      </c>
      <c r="GR79" t="e">
        <f>Nodes!R611+"'E4!%We"</f>
        <v>#VALUE!</v>
      </c>
      <c r="GS79" t="e">
        <f>Nodes!S611+"'E4!%Wf"</f>
        <v>#VALUE!</v>
      </c>
      <c r="GT79" s="547" t="e">
        <f>Nodes!T611+"'E4!%Wg"</f>
        <v>#VALUE!</v>
      </c>
      <c r="GU79" t="e">
        <f>Nodes!U611+"'E4!%Wh"</f>
        <v>#VALUE!</v>
      </c>
      <c r="GV79" t="e">
        <f>Nodes!V611+"'E4!%Wi"</f>
        <v>#VALUE!</v>
      </c>
      <c r="GW79" s="547" t="e">
        <f>Nodes!W611+"'E4!%Wj"</f>
        <v>#VALUE!</v>
      </c>
      <c r="GX79" t="e">
        <f>Nodes!X611+"'E4!%Wk"</f>
        <v>#VALUE!</v>
      </c>
      <c r="GY79" t="e">
        <f>Nodes!Y611+"'E4!%Wl"</f>
        <v>#VALUE!</v>
      </c>
      <c r="GZ79" t="e">
        <f>Nodes!Z611+"'E4!%Wm"</f>
        <v>#VALUE!</v>
      </c>
      <c r="HA79" t="e">
        <f>Nodes!AA611+"'E4!%Wn"</f>
        <v>#VALUE!</v>
      </c>
      <c r="HB79" t="e">
        <f>Nodes!AB611+"'E4!%Wo"</f>
        <v>#VALUE!</v>
      </c>
      <c r="HC79" t="e">
        <f>Nodes!AC611+"'E4!%Wp"</f>
        <v>#VALUE!</v>
      </c>
      <c r="HD79" t="e">
        <f>Nodes!A612+"'E4!%Wq"</f>
        <v>#VALUE!</v>
      </c>
      <c r="HE79" t="e">
        <f>Nodes!B612+"'E4!%Wr"</f>
        <v>#VALUE!</v>
      </c>
      <c r="HF79" t="e">
        <f>Nodes!C612+"'E4!%Ws"</f>
        <v>#VALUE!</v>
      </c>
      <c r="HG79" t="e">
        <f>Nodes!D612+"'E4!%Wt"</f>
        <v>#VALUE!</v>
      </c>
      <c r="HH79" t="e">
        <f>Nodes!E612+"'E4!%Wu"</f>
        <v>#VALUE!</v>
      </c>
      <c r="HI79" t="e">
        <f>Nodes!F612+"'E4!%Wv"</f>
        <v>#VALUE!</v>
      </c>
      <c r="HJ79" t="e">
        <f>Nodes!G612+"'E4!%Ww"</f>
        <v>#VALUE!</v>
      </c>
      <c r="HK79" t="e">
        <f>Nodes!H612+"'E4!%Wx"</f>
        <v>#VALUE!</v>
      </c>
      <c r="HL79" t="e">
        <f>Nodes!I612+"'E4!%Wy"</f>
        <v>#VALUE!</v>
      </c>
      <c r="HM79" t="e">
        <f>Nodes!J612+"'E4!%Wz"</f>
        <v>#VALUE!</v>
      </c>
      <c r="HN79" t="e">
        <f>Nodes!K612+"'E4!%W{"</f>
        <v>#VALUE!</v>
      </c>
      <c r="HO79" t="e">
        <f>Nodes!L612+"'E4!%W|"</f>
        <v>#VALUE!</v>
      </c>
      <c r="HP79" t="e">
        <f>Nodes!M612+"'E4!%W}"</f>
        <v>#VALUE!</v>
      </c>
      <c r="HQ79" t="e">
        <f>Nodes!N612+"'E4!%W~"</f>
        <v>#VALUE!</v>
      </c>
      <c r="HR79" t="e">
        <f>Nodes!O612+"'E4!%X#"</f>
        <v>#VALUE!</v>
      </c>
      <c r="HS79" t="e">
        <f>Nodes!P612+"'E4!%X$"</f>
        <v>#VALUE!</v>
      </c>
      <c r="HT79" t="e">
        <f>Nodes!Q612+"'E4!%X%"</f>
        <v>#VALUE!</v>
      </c>
      <c r="HU79" t="e">
        <f>Nodes!R612+"'E4!%X&amp;"</f>
        <v>#VALUE!</v>
      </c>
      <c r="HV79" t="e">
        <f>Nodes!S612+"'E4!%X'"</f>
        <v>#VALUE!</v>
      </c>
      <c r="HW79" s="547" t="e">
        <f>Nodes!T612+"'E4!%X("</f>
        <v>#VALUE!</v>
      </c>
      <c r="HX79" t="e">
        <f>Nodes!U612+"'E4!%X)"</f>
        <v>#VALUE!</v>
      </c>
      <c r="HY79" t="e">
        <f>Nodes!V612+"'E4!%X."</f>
        <v>#VALUE!</v>
      </c>
      <c r="HZ79" s="547" t="e">
        <f>Nodes!W612+"'E4!%X/"</f>
        <v>#VALUE!</v>
      </c>
      <c r="IA79" t="e">
        <f>Nodes!X612+"'E4!%X0"</f>
        <v>#VALUE!</v>
      </c>
      <c r="IB79" t="e">
        <f>Nodes!Y612+"'E4!%X1"</f>
        <v>#VALUE!</v>
      </c>
      <c r="IC79" t="e">
        <f>Nodes!Z612+"'E4!%X2"</f>
        <v>#VALUE!</v>
      </c>
      <c r="ID79" t="e">
        <f>Nodes!AA612+"'E4!%X3"</f>
        <v>#VALUE!</v>
      </c>
      <c r="IE79" t="e">
        <f>Nodes!AB612+"'E4!%X4"</f>
        <v>#VALUE!</v>
      </c>
      <c r="IF79" t="e">
        <f>Nodes!AC612+"'E4!%X5"</f>
        <v>#VALUE!</v>
      </c>
      <c r="IG79" t="e">
        <f>Nodes!A613+"'E4!%X6"</f>
        <v>#VALUE!</v>
      </c>
      <c r="IH79" t="e">
        <f>Nodes!B613+"'E4!%X7"</f>
        <v>#VALUE!</v>
      </c>
      <c r="II79" t="e">
        <f>Nodes!C613+"'E4!%X8"</f>
        <v>#VALUE!</v>
      </c>
      <c r="IJ79" t="e">
        <f>Nodes!D613+"'E4!%X9"</f>
        <v>#VALUE!</v>
      </c>
      <c r="IK79" t="e">
        <f>Nodes!E613+"'E4!%X:"</f>
        <v>#VALUE!</v>
      </c>
      <c r="IL79" t="e">
        <f>Nodes!F613+"'E4!%X;"</f>
        <v>#VALUE!</v>
      </c>
      <c r="IM79" t="e">
        <f>Nodes!G613+"'E4!%X&lt;"</f>
        <v>#VALUE!</v>
      </c>
      <c r="IN79" t="e">
        <f>Nodes!H613+"'E4!%X="</f>
        <v>#VALUE!</v>
      </c>
      <c r="IO79" t="e">
        <f>Nodes!I613+"'E4!%X&gt;"</f>
        <v>#VALUE!</v>
      </c>
      <c r="IP79" t="e">
        <f>Nodes!J613+"'E4!%X?"</f>
        <v>#VALUE!</v>
      </c>
      <c r="IQ79" t="e">
        <f>Nodes!K613+"'E4!%X@"</f>
        <v>#VALUE!</v>
      </c>
      <c r="IR79" t="e">
        <f>Nodes!L613+"'E4!%XA"</f>
        <v>#VALUE!</v>
      </c>
      <c r="IS79" t="e">
        <f>Nodes!M613+"'E4!%XB"</f>
        <v>#VALUE!</v>
      </c>
      <c r="IT79" t="e">
        <f>Nodes!N613+"'E4!%XC"</f>
        <v>#VALUE!</v>
      </c>
      <c r="IU79" t="e">
        <f>Nodes!O613+"'E4!%XD"</f>
        <v>#VALUE!</v>
      </c>
      <c r="IV79" t="e">
        <f>Nodes!P613+"'E4!%XE"</f>
        <v>#VALUE!</v>
      </c>
    </row>
    <row r="80" spans="6:256">
      <c r="F80" t="e">
        <f>Nodes!Q613+"'E4!%XF"</f>
        <v>#VALUE!</v>
      </c>
      <c r="G80" t="e">
        <f>Nodes!R613+"'E4!%XG"</f>
        <v>#VALUE!</v>
      </c>
      <c r="H80" t="e">
        <f>Nodes!S613+"'E4!%XH"</f>
        <v>#VALUE!</v>
      </c>
      <c r="I80" s="547" t="e">
        <f>Nodes!T613+"'E4!%XI"</f>
        <v>#VALUE!</v>
      </c>
      <c r="J80" t="e">
        <f>Nodes!U613+"'E4!%XJ"</f>
        <v>#VALUE!</v>
      </c>
      <c r="K80" t="e">
        <f>Nodes!V613+"'E4!%XK"</f>
        <v>#VALUE!</v>
      </c>
      <c r="L80" s="547" t="e">
        <f>Nodes!W613+"'E4!%XL"</f>
        <v>#VALUE!</v>
      </c>
      <c r="M80" t="e">
        <f>Nodes!X613+"'E4!%XM"</f>
        <v>#VALUE!</v>
      </c>
      <c r="N80" t="e">
        <f>Nodes!Y613+"'E4!%XN"</f>
        <v>#VALUE!</v>
      </c>
      <c r="O80" t="e">
        <f>Nodes!Z613+"'E4!%XO"</f>
        <v>#VALUE!</v>
      </c>
      <c r="P80" t="e">
        <f>Nodes!AA613+"'E4!%XP"</f>
        <v>#VALUE!</v>
      </c>
      <c r="Q80" t="e">
        <f>Nodes!AB613+"'E4!%XQ"</f>
        <v>#VALUE!</v>
      </c>
      <c r="R80" t="e">
        <f>Nodes!AC613+"'E4!%XR"</f>
        <v>#VALUE!</v>
      </c>
      <c r="S80" t="e">
        <f>Nodes!A614+"'E4!%XS"</f>
        <v>#VALUE!</v>
      </c>
      <c r="T80" t="e">
        <f>Nodes!B614+"'E4!%XT"</f>
        <v>#VALUE!</v>
      </c>
      <c r="U80" t="e">
        <f>Nodes!C614+"'E4!%XU"</f>
        <v>#VALUE!</v>
      </c>
      <c r="V80" t="e">
        <f>Nodes!D614+"'E4!%XV"</f>
        <v>#VALUE!</v>
      </c>
      <c r="W80" t="e">
        <f>Nodes!E614+"'E4!%XW"</f>
        <v>#VALUE!</v>
      </c>
      <c r="X80" t="e">
        <f>Nodes!F614+"'E4!%XX"</f>
        <v>#VALUE!</v>
      </c>
      <c r="Y80" t="e">
        <f>Nodes!G614+"'E4!%XY"</f>
        <v>#VALUE!</v>
      </c>
      <c r="Z80" t="e">
        <f>Nodes!H614+"'E4!%XZ"</f>
        <v>#VALUE!</v>
      </c>
      <c r="AA80" t="e">
        <f>Nodes!I614+"'E4!%X["</f>
        <v>#VALUE!</v>
      </c>
      <c r="AB80" t="e">
        <f>Nodes!J614+"'E4!%X\"</f>
        <v>#VALUE!</v>
      </c>
      <c r="AC80" t="e">
        <f>Nodes!K614+"'E4!%X]"</f>
        <v>#VALUE!</v>
      </c>
      <c r="AD80" t="e">
        <f>Nodes!L614+"'E4!%X^"</f>
        <v>#VALUE!</v>
      </c>
      <c r="AE80" t="e">
        <f>Nodes!M614+"'E4!%X_"</f>
        <v>#VALUE!</v>
      </c>
      <c r="AF80" t="e">
        <f>Nodes!N614+"'E4!%X`"</f>
        <v>#VALUE!</v>
      </c>
      <c r="AG80" t="e">
        <f>Nodes!O614+"'E4!%Xa"</f>
        <v>#VALUE!</v>
      </c>
      <c r="AH80" t="e">
        <f>Nodes!P614+"'E4!%Xb"</f>
        <v>#VALUE!</v>
      </c>
      <c r="AI80" t="e">
        <f>Nodes!Q614+"'E4!%Xc"</f>
        <v>#VALUE!</v>
      </c>
      <c r="AJ80" t="e">
        <f>Nodes!R614+"'E4!%Xd"</f>
        <v>#VALUE!</v>
      </c>
      <c r="AK80" t="e">
        <f>Nodes!S614+"'E4!%Xe"</f>
        <v>#VALUE!</v>
      </c>
      <c r="AL80" s="547" t="e">
        <f>Nodes!T614+"'E4!%Xf"</f>
        <v>#VALUE!</v>
      </c>
      <c r="AM80" t="e">
        <f>Nodes!U614+"'E4!%Xg"</f>
        <v>#VALUE!</v>
      </c>
      <c r="AN80" t="e">
        <f>Nodes!V614+"'E4!%Xh"</f>
        <v>#VALUE!</v>
      </c>
      <c r="AO80" s="547" t="e">
        <f>Nodes!W614+"'E4!%Xi"</f>
        <v>#VALUE!</v>
      </c>
      <c r="AP80" t="e">
        <f>Nodes!X614+"'E4!%Xj"</f>
        <v>#VALUE!</v>
      </c>
      <c r="AQ80" t="e">
        <f>Nodes!Y614+"'E4!%Xk"</f>
        <v>#VALUE!</v>
      </c>
      <c r="AR80" t="e">
        <f>Nodes!Z614+"'E4!%Xl"</f>
        <v>#VALUE!</v>
      </c>
      <c r="AS80" t="e">
        <f>Nodes!AA614+"'E4!%Xm"</f>
        <v>#VALUE!</v>
      </c>
      <c r="AT80" t="e">
        <f>Nodes!AB614+"'E4!%Xn"</f>
        <v>#VALUE!</v>
      </c>
      <c r="AU80" t="e">
        <f>Nodes!AC614+"'E4!%Xo"</f>
        <v>#VALUE!</v>
      </c>
      <c r="AV80" t="e">
        <f>Nodes!A615+"'E4!%Xp"</f>
        <v>#VALUE!</v>
      </c>
      <c r="AW80" t="e">
        <f>Nodes!B615+"'E4!%Xq"</f>
        <v>#VALUE!</v>
      </c>
      <c r="AX80" t="e">
        <f>Nodes!C615+"'E4!%Xr"</f>
        <v>#VALUE!</v>
      </c>
      <c r="AY80" t="e">
        <f>Nodes!D615+"'E4!%Xs"</f>
        <v>#VALUE!</v>
      </c>
      <c r="AZ80" t="e">
        <f>Nodes!E615+"'E4!%Xt"</f>
        <v>#VALUE!</v>
      </c>
      <c r="BA80" t="e">
        <f>Nodes!F615+"'E4!%Xu"</f>
        <v>#VALUE!</v>
      </c>
      <c r="BB80" t="e">
        <f>Nodes!G615+"'E4!%Xv"</f>
        <v>#VALUE!</v>
      </c>
      <c r="BC80" t="e">
        <f>Nodes!H615+"'E4!%Xw"</f>
        <v>#VALUE!</v>
      </c>
      <c r="BD80" t="e">
        <f>Nodes!I615+"'E4!%Xx"</f>
        <v>#VALUE!</v>
      </c>
      <c r="BE80" t="e">
        <f>Nodes!J615+"'E4!%Xy"</f>
        <v>#VALUE!</v>
      </c>
      <c r="BF80" t="e">
        <f>Nodes!K615+"'E4!%Xz"</f>
        <v>#VALUE!</v>
      </c>
      <c r="BG80" t="e">
        <f>Nodes!L615+"'E4!%X{"</f>
        <v>#VALUE!</v>
      </c>
      <c r="BH80" t="e">
        <f>Nodes!M615+"'E4!%X|"</f>
        <v>#VALUE!</v>
      </c>
      <c r="BI80" t="e">
        <f>Nodes!N615+"'E4!%X}"</f>
        <v>#VALUE!</v>
      </c>
      <c r="BJ80" t="e">
        <f>Nodes!O615+"'E4!%X~"</f>
        <v>#VALUE!</v>
      </c>
      <c r="BK80" t="e">
        <f>Nodes!P615+"'E4!%Y#"</f>
        <v>#VALUE!</v>
      </c>
      <c r="BL80" t="e">
        <f>Nodes!Q615+"'E4!%Y$"</f>
        <v>#VALUE!</v>
      </c>
      <c r="BM80" t="e">
        <f>Nodes!R615+"'E4!%Y%"</f>
        <v>#VALUE!</v>
      </c>
      <c r="BN80" t="e">
        <f>Nodes!S615+"'E4!%Y&amp;"</f>
        <v>#VALUE!</v>
      </c>
      <c r="BO80" s="547" t="e">
        <f>Nodes!T615+"'E4!%Y'"</f>
        <v>#VALUE!</v>
      </c>
      <c r="BP80" t="e">
        <f>Nodes!U615+"'E4!%Y("</f>
        <v>#VALUE!</v>
      </c>
      <c r="BQ80" t="e">
        <f>Nodes!V615+"'E4!%Y)"</f>
        <v>#VALUE!</v>
      </c>
      <c r="BR80" s="547" t="e">
        <f>Nodes!W615+"'E4!%Y."</f>
        <v>#VALUE!</v>
      </c>
      <c r="BS80" t="e">
        <f>Nodes!X615+"'E4!%Y/"</f>
        <v>#VALUE!</v>
      </c>
      <c r="BT80" t="e">
        <f>Nodes!Y615+"'E4!%Y0"</f>
        <v>#VALUE!</v>
      </c>
      <c r="BU80" t="e">
        <f>Nodes!Z615+"'E4!%Y1"</f>
        <v>#VALUE!</v>
      </c>
      <c r="BV80" t="e">
        <f>Nodes!AA615+"'E4!%Y2"</f>
        <v>#VALUE!</v>
      </c>
      <c r="BW80" t="e">
        <f>Nodes!AB615+"'E4!%Y3"</f>
        <v>#VALUE!</v>
      </c>
      <c r="BX80" t="e">
        <f>Nodes!AC615+"'E4!%Y4"</f>
        <v>#VALUE!</v>
      </c>
      <c r="BY80" t="e">
        <f>Nodes!A616+"'E4!%Y5"</f>
        <v>#VALUE!</v>
      </c>
      <c r="BZ80" t="e">
        <f>Nodes!B616+"'E4!%Y6"</f>
        <v>#VALUE!</v>
      </c>
      <c r="CA80" t="e">
        <f>Nodes!C616+"'E4!%Y7"</f>
        <v>#VALUE!</v>
      </c>
      <c r="CB80" t="e">
        <f>Nodes!D616+"'E4!%Y8"</f>
        <v>#VALUE!</v>
      </c>
      <c r="CC80" t="e">
        <f>Nodes!E616+"'E4!%Y9"</f>
        <v>#VALUE!</v>
      </c>
      <c r="CD80" t="e">
        <f>Nodes!F616+"'E4!%Y:"</f>
        <v>#VALUE!</v>
      </c>
      <c r="CE80" t="e">
        <f>Nodes!G616+"'E4!%Y;"</f>
        <v>#VALUE!</v>
      </c>
      <c r="CF80" t="e">
        <f>Nodes!H616+"'E4!%Y&lt;"</f>
        <v>#VALUE!</v>
      </c>
      <c r="CG80" t="e">
        <f>Nodes!I616+"'E4!%Y="</f>
        <v>#VALUE!</v>
      </c>
      <c r="CH80" t="e">
        <f>Nodes!J616+"'E4!%Y&gt;"</f>
        <v>#VALUE!</v>
      </c>
      <c r="CI80" t="e">
        <f>Nodes!K616+"'E4!%Y?"</f>
        <v>#VALUE!</v>
      </c>
      <c r="CJ80" t="e">
        <f>Nodes!L616+"'E4!%Y@"</f>
        <v>#VALUE!</v>
      </c>
      <c r="CK80" t="e">
        <f>Nodes!M616+"'E4!%YA"</f>
        <v>#VALUE!</v>
      </c>
      <c r="CL80" t="e">
        <f>Nodes!N616+"'E4!%YB"</f>
        <v>#VALUE!</v>
      </c>
      <c r="CM80" t="e">
        <f>Nodes!O616+"'E4!%YC"</f>
        <v>#VALUE!</v>
      </c>
      <c r="CN80" t="e">
        <f>Nodes!P616+"'E4!%YD"</f>
        <v>#VALUE!</v>
      </c>
      <c r="CO80" t="e">
        <f>Nodes!Q616+"'E4!%YE"</f>
        <v>#VALUE!</v>
      </c>
      <c r="CP80" t="e">
        <f>Nodes!R616+"'E4!%YF"</f>
        <v>#VALUE!</v>
      </c>
      <c r="CQ80" t="e">
        <f>Nodes!S616+"'E4!%YG"</f>
        <v>#VALUE!</v>
      </c>
      <c r="CR80" s="547" t="e">
        <f>Nodes!T616+"'E4!%YH"</f>
        <v>#VALUE!</v>
      </c>
      <c r="CS80" t="e">
        <f>Nodes!U616+"'E4!%YI"</f>
        <v>#VALUE!</v>
      </c>
      <c r="CT80" t="e">
        <f>Nodes!V616+"'E4!%YJ"</f>
        <v>#VALUE!</v>
      </c>
      <c r="CU80" s="547" t="e">
        <f>Nodes!W616+"'E4!%YK"</f>
        <v>#VALUE!</v>
      </c>
      <c r="CV80" t="e">
        <f>Nodes!X616+"'E4!%YL"</f>
        <v>#VALUE!</v>
      </c>
      <c r="CW80" t="e">
        <f>Nodes!Y616+"'E4!%YM"</f>
        <v>#VALUE!</v>
      </c>
      <c r="CX80" t="e">
        <f>Nodes!Z616+"'E4!%YN"</f>
        <v>#VALUE!</v>
      </c>
      <c r="CY80" t="e">
        <f>Nodes!AA616+"'E4!%YO"</f>
        <v>#VALUE!</v>
      </c>
      <c r="CZ80" t="e">
        <f>Nodes!AB616+"'E4!%YP"</f>
        <v>#VALUE!</v>
      </c>
      <c r="DA80" t="e">
        <f>Nodes!AC616+"'E4!%YQ"</f>
        <v>#VALUE!</v>
      </c>
      <c r="DB80" t="e">
        <f>Nodes!A617+"'E4!%YR"</f>
        <v>#VALUE!</v>
      </c>
      <c r="DC80" t="e">
        <f>Nodes!B617+"'E4!%YS"</f>
        <v>#VALUE!</v>
      </c>
      <c r="DD80" t="e">
        <f>Nodes!C617+"'E4!%YT"</f>
        <v>#VALUE!</v>
      </c>
      <c r="DE80" t="e">
        <f>Nodes!D617+"'E4!%YU"</f>
        <v>#VALUE!</v>
      </c>
      <c r="DF80" t="e">
        <f>Nodes!E617+"'E4!%YV"</f>
        <v>#VALUE!</v>
      </c>
      <c r="DG80" t="e">
        <f>Nodes!F617+"'E4!%YW"</f>
        <v>#VALUE!</v>
      </c>
      <c r="DH80" t="e">
        <f>Nodes!G617+"'E4!%YX"</f>
        <v>#VALUE!</v>
      </c>
      <c r="DI80" t="e">
        <f>Nodes!H617+"'E4!%YY"</f>
        <v>#VALUE!</v>
      </c>
      <c r="DJ80" t="e">
        <f>Nodes!I617+"'E4!%YZ"</f>
        <v>#VALUE!</v>
      </c>
      <c r="DK80" t="e">
        <f>Nodes!J617+"'E4!%Y["</f>
        <v>#VALUE!</v>
      </c>
      <c r="DL80" t="e">
        <f>Nodes!K617+"'E4!%Y\"</f>
        <v>#VALUE!</v>
      </c>
      <c r="DM80" t="e">
        <f>Nodes!L617+"'E4!%Y]"</f>
        <v>#VALUE!</v>
      </c>
      <c r="DN80" t="e">
        <f>Nodes!M617+"'E4!%Y^"</f>
        <v>#VALUE!</v>
      </c>
      <c r="DO80" t="e">
        <f>Nodes!N617+"'E4!%Y_"</f>
        <v>#VALUE!</v>
      </c>
      <c r="DP80" t="e">
        <f>Nodes!O617+"'E4!%Y`"</f>
        <v>#VALUE!</v>
      </c>
      <c r="DQ80" t="e">
        <f>Nodes!P617+"'E4!%Ya"</f>
        <v>#VALUE!</v>
      </c>
      <c r="DR80" t="e">
        <f>Nodes!Q617+"'E4!%Yb"</f>
        <v>#VALUE!</v>
      </c>
      <c r="DS80" t="e">
        <f>Nodes!R617+"'E4!%Yc"</f>
        <v>#VALUE!</v>
      </c>
      <c r="DT80" t="e">
        <f>Nodes!S617+"'E4!%Yd"</f>
        <v>#VALUE!</v>
      </c>
      <c r="DU80" s="547" t="e">
        <f>Nodes!T617+"'E4!%Ye"</f>
        <v>#VALUE!</v>
      </c>
      <c r="DV80" t="e">
        <f>Nodes!U617+"'E4!%Yf"</f>
        <v>#VALUE!</v>
      </c>
      <c r="DW80" t="e">
        <f>Nodes!V617+"'E4!%Yg"</f>
        <v>#VALUE!</v>
      </c>
      <c r="DX80" s="547" t="e">
        <f>Nodes!W617+"'E4!%Yh"</f>
        <v>#VALUE!</v>
      </c>
      <c r="DY80" t="e">
        <f>Nodes!X617+"'E4!%Yi"</f>
        <v>#VALUE!</v>
      </c>
      <c r="DZ80" t="e">
        <f>Nodes!Y617+"'E4!%Yj"</f>
        <v>#VALUE!</v>
      </c>
      <c r="EA80" t="e">
        <f>Nodes!Z617+"'E4!%Yk"</f>
        <v>#VALUE!</v>
      </c>
      <c r="EB80" t="e">
        <f>Nodes!AA617+"'E4!%Yl"</f>
        <v>#VALUE!</v>
      </c>
      <c r="EC80" t="e">
        <f>Nodes!AB617+"'E4!%Ym"</f>
        <v>#VALUE!</v>
      </c>
      <c r="ED80" t="e">
        <f>Nodes!AC617+"'E4!%Yn"</f>
        <v>#VALUE!</v>
      </c>
      <c r="EE80" t="e">
        <f>Nodes!A618+"'E4!%Yo"</f>
        <v>#VALUE!</v>
      </c>
      <c r="EF80" t="e">
        <f>Nodes!B618+"'E4!%Yp"</f>
        <v>#VALUE!</v>
      </c>
      <c r="EG80" t="e">
        <f>Nodes!C618+"'E4!%Yq"</f>
        <v>#VALUE!</v>
      </c>
      <c r="EH80" t="e">
        <f>Nodes!D618+"'E4!%Yr"</f>
        <v>#VALUE!</v>
      </c>
      <c r="EI80" t="e">
        <f>Nodes!E618+"'E4!%Ys"</f>
        <v>#VALUE!</v>
      </c>
      <c r="EJ80" t="e">
        <f>Nodes!F618+"'E4!%Yt"</f>
        <v>#VALUE!</v>
      </c>
      <c r="EK80" t="e">
        <f>Nodes!G618+"'E4!%Yu"</f>
        <v>#VALUE!</v>
      </c>
      <c r="EL80" t="e">
        <f>Nodes!H618+"'E4!%Yv"</f>
        <v>#VALUE!</v>
      </c>
      <c r="EM80" t="e">
        <f>Nodes!I618+"'E4!%Yw"</f>
        <v>#VALUE!</v>
      </c>
      <c r="EN80" t="e">
        <f>Nodes!J618+"'E4!%Yx"</f>
        <v>#VALUE!</v>
      </c>
      <c r="EO80" t="e">
        <f>Nodes!K618+"'E4!%Yy"</f>
        <v>#VALUE!</v>
      </c>
      <c r="EP80" t="e">
        <f>Nodes!L618+"'E4!%Yz"</f>
        <v>#VALUE!</v>
      </c>
      <c r="EQ80" t="e">
        <f>Nodes!M618+"'E4!%Y{"</f>
        <v>#VALUE!</v>
      </c>
      <c r="ER80" t="e">
        <f>Nodes!N618+"'E4!%Y|"</f>
        <v>#VALUE!</v>
      </c>
      <c r="ES80" t="e">
        <f>Nodes!O618+"'E4!%Y}"</f>
        <v>#VALUE!</v>
      </c>
      <c r="ET80" t="e">
        <f>Nodes!P618+"'E4!%Y~"</f>
        <v>#VALUE!</v>
      </c>
      <c r="EU80" t="e">
        <f>Nodes!Q618+"'E4!%Z#"</f>
        <v>#VALUE!</v>
      </c>
      <c r="EV80" t="e">
        <f>Nodes!R618+"'E4!%Z$"</f>
        <v>#VALUE!</v>
      </c>
      <c r="EW80" t="e">
        <f>Nodes!S618+"'E4!%Z%"</f>
        <v>#VALUE!</v>
      </c>
      <c r="EX80" s="547" t="e">
        <f>Nodes!T618+"'E4!%Z&amp;"</f>
        <v>#VALUE!</v>
      </c>
      <c r="EY80" t="e">
        <f>Nodes!U618+"'E4!%Z'"</f>
        <v>#VALUE!</v>
      </c>
      <c r="EZ80" t="e">
        <f>Nodes!V618+"'E4!%Z("</f>
        <v>#VALUE!</v>
      </c>
      <c r="FA80" s="547" t="e">
        <f>Nodes!W618+"'E4!%Z)"</f>
        <v>#VALUE!</v>
      </c>
      <c r="FB80" t="e">
        <f>Nodes!X618+"'E4!%Z."</f>
        <v>#VALUE!</v>
      </c>
      <c r="FC80" t="e">
        <f>Nodes!Y618+"'E4!%Z/"</f>
        <v>#VALUE!</v>
      </c>
      <c r="FD80" t="e">
        <f>Nodes!Z618+"'E4!%Z0"</f>
        <v>#VALUE!</v>
      </c>
      <c r="FE80" t="e">
        <f>Nodes!AA618+"'E4!%Z1"</f>
        <v>#VALUE!</v>
      </c>
      <c r="FF80" t="e">
        <f>Nodes!AB618+"'E4!%Z2"</f>
        <v>#VALUE!</v>
      </c>
      <c r="FG80" t="e">
        <f>Nodes!AC618+"'E4!%Z3"</f>
        <v>#VALUE!</v>
      </c>
      <c r="FH80" t="e">
        <f>Nodes!A619+"'E4!%Z4"</f>
        <v>#VALUE!</v>
      </c>
      <c r="FI80" t="e">
        <f>Nodes!B619+"'E4!%Z5"</f>
        <v>#VALUE!</v>
      </c>
      <c r="FJ80" t="e">
        <f>Nodes!C619+"'E4!%Z6"</f>
        <v>#VALUE!</v>
      </c>
      <c r="FK80" t="e">
        <f>Nodes!D619+"'E4!%Z7"</f>
        <v>#VALUE!</v>
      </c>
      <c r="FL80" t="e">
        <f>Nodes!E619+"'E4!%Z8"</f>
        <v>#VALUE!</v>
      </c>
      <c r="FM80" t="e">
        <f>Nodes!F619+"'E4!%Z9"</f>
        <v>#VALUE!</v>
      </c>
      <c r="FN80" t="e">
        <f>Nodes!G619+"'E4!%Z:"</f>
        <v>#VALUE!</v>
      </c>
      <c r="FO80" t="e">
        <f>Nodes!H619+"'E4!%Z;"</f>
        <v>#VALUE!</v>
      </c>
      <c r="FP80" t="e">
        <f>Nodes!I619+"'E4!%Z&lt;"</f>
        <v>#VALUE!</v>
      </c>
      <c r="FQ80" t="e">
        <f>Nodes!J619+"'E4!%Z="</f>
        <v>#VALUE!</v>
      </c>
      <c r="FR80" t="e">
        <f>Nodes!K619+"'E4!%Z&gt;"</f>
        <v>#VALUE!</v>
      </c>
      <c r="FS80" t="e">
        <f>Nodes!L619+"'E4!%Z?"</f>
        <v>#VALUE!</v>
      </c>
      <c r="FT80" t="e">
        <f>Nodes!M619+"'E4!%Z@"</f>
        <v>#VALUE!</v>
      </c>
      <c r="FU80" t="e">
        <f>Nodes!N619+"'E4!%ZA"</f>
        <v>#VALUE!</v>
      </c>
      <c r="FV80" t="e">
        <f>Nodes!O619+"'E4!%ZB"</f>
        <v>#VALUE!</v>
      </c>
      <c r="FW80" t="e">
        <f>Nodes!P619+"'E4!%ZC"</f>
        <v>#VALUE!</v>
      </c>
      <c r="FX80" t="e">
        <f>Nodes!Q619+"'E4!%ZD"</f>
        <v>#VALUE!</v>
      </c>
      <c r="FY80" t="e">
        <f>Nodes!R619+"'E4!%ZE"</f>
        <v>#VALUE!</v>
      </c>
      <c r="FZ80" t="e">
        <f>Nodes!S619+"'E4!%ZF"</f>
        <v>#VALUE!</v>
      </c>
      <c r="GA80" s="547" t="e">
        <f>Nodes!T619+"'E4!%ZG"</f>
        <v>#VALUE!</v>
      </c>
      <c r="GB80" t="e">
        <f>Nodes!U619+"'E4!%ZH"</f>
        <v>#VALUE!</v>
      </c>
      <c r="GC80" t="e">
        <f>Nodes!V619+"'E4!%ZI"</f>
        <v>#VALUE!</v>
      </c>
      <c r="GD80" s="547" t="e">
        <f>Nodes!W619+"'E4!%ZJ"</f>
        <v>#VALUE!</v>
      </c>
      <c r="GE80" t="e">
        <f>Nodes!X619+"'E4!%ZK"</f>
        <v>#VALUE!</v>
      </c>
      <c r="GF80" t="e">
        <f>Nodes!Y619+"'E4!%ZL"</f>
        <v>#VALUE!</v>
      </c>
      <c r="GG80" t="e">
        <f>Nodes!Z619+"'E4!%ZM"</f>
        <v>#VALUE!</v>
      </c>
      <c r="GH80" t="e">
        <f>Nodes!AA619+"'E4!%ZN"</f>
        <v>#VALUE!</v>
      </c>
      <c r="GI80" t="e">
        <f>Nodes!AB619+"'E4!%ZO"</f>
        <v>#VALUE!</v>
      </c>
      <c r="GJ80" t="e">
        <f>Nodes!AC619+"'E4!%ZP"</f>
        <v>#VALUE!</v>
      </c>
      <c r="GK80" t="e">
        <f>Nodes!A620+"'E4!%ZQ"</f>
        <v>#VALUE!</v>
      </c>
      <c r="GL80" t="e">
        <f>Nodes!B620+"'E4!%ZR"</f>
        <v>#VALUE!</v>
      </c>
      <c r="GM80" t="e">
        <f>Nodes!C620+"'E4!%ZS"</f>
        <v>#VALUE!</v>
      </c>
      <c r="GN80" t="e">
        <f>Nodes!D620+"'E4!%ZT"</f>
        <v>#VALUE!</v>
      </c>
      <c r="GO80" t="e">
        <f>Nodes!E620+"'E4!%ZU"</f>
        <v>#VALUE!</v>
      </c>
      <c r="GP80" t="e">
        <f>Nodes!F620+"'E4!%ZV"</f>
        <v>#VALUE!</v>
      </c>
      <c r="GQ80" t="e">
        <f>Nodes!G620+"'E4!%ZW"</f>
        <v>#VALUE!</v>
      </c>
      <c r="GR80" t="e">
        <f>Nodes!H620+"'E4!%ZX"</f>
        <v>#VALUE!</v>
      </c>
      <c r="GS80" t="e">
        <f>Nodes!I620+"'E4!%ZY"</f>
        <v>#VALUE!</v>
      </c>
      <c r="GT80" t="e">
        <f>Nodes!J620+"'E4!%ZZ"</f>
        <v>#VALUE!</v>
      </c>
      <c r="GU80" t="e">
        <f>Nodes!K620+"'E4!%Z["</f>
        <v>#VALUE!</v>
      </c>
      <c r="GV80" t="e">
        <f>Nodes!L620+"'E4!%Z\"</f>
        <v>#VALUE!</v>
      </c>
      <c r="GW80" t="e">
        <f>Nodes!M620+"'E4!%Z]"</f>
        <v>#VALUE!</v>
      </c>
      <c r="GX80" t="e">
        <f>Nodes!N620+"'E4!%Z^"</f>
        <v>#VALUE!</v>
      </c>
      <c r="GY80" t="e">
        <f>Nodes!O620+"'E4!%Z_"</f>
        <v>#VALUE!</v>
      </c>
      <c r="GZ80" t="e">
        <f>Nodes!P620+"'E4!%Z`"</f>
        <v>#VALUE!</v>
      </c>
      <c r="HA80" t="e">
        <f>Nodes!Q620+"'E4!%Za"</f>
        <v>#VALUE!</v>
      </c>
      <c r="HB80" t="e">
        <f>Nodes!R620+"'E4!%Zb"</f>
        <v>#VALUE!</v>
      </c>
      <c r="HC80" t="e">
        <f>Nodes!S620+"'E4!%Zc"</f>
        <v>#VALUE!</v>
      </c>
      <c r="HD80" s="547" t="e">
        <f>Nodes!T620+"'E4!%Zd"</f>
        <v>#VALUE!</v>
      </c>
      <c r="HE80" t="e">
        <f>Nodes!U620+"'E4!%Ze"</f>
        <v>#VALUE!</v>
      </c>
      <c r="HF80" t="e">
        <f>Nodes!V620+"'E4!%Zf"</f>
        <v>#VALUE!</v>
      </c>
      <c r="HG80" s="547" t="e">
        <f>Nodes!W620+"'E4!%Zg"</f>
        <v>#VALUE!</v>
      </c>
      <c r="HH80" t="e">
        <f>Nodes!X620+"'E4!%Zh"</f>
        <v>#VALUE!</v>
      </c>
      <c r="HI80" t="e">
        <f>Nodes!Y620+"'E4!%Zi"</f>
        <v>#VALUE!</v>
      </c>
      <c r="HJ80" t="e">
        <f>Nodes!Z620+"'E4!%Zj"</f>
        <v>#VALUE!</v>
      </c>
      <c r="HK80" t="e">
        <f>Nodes!AA620+"'E4!%Zk"</f>
        <v>#VALUE!</v>
      </c>
      <c r="HL80" t="e">
        <f>Nodes!AB620+"'E4!%Zl"</f>
        <v>#VALUE!</v>
      </c>
      <c r="HM80" t="e">
        <f>Nodes!AC620+"'E4!%Zm"</f>
        <v>#VALUE!</v>
      </c>
      <c r="HN80" t="e">
        <f>Nodes!A621+"'E4!%Zn"</f>
        <v>#VALUE!</v>
      </c>
      <c r="HO80" t="e">
        <f>Nodes!B621+"'E4!%Zo"</f>
        <v>#VALUE!</v>
      </c>
      <c r="HP80" t="e">
        <f>Nodes!C621+"'E4!%Zp"</f>
        <v>#VALUE!</v>
      </c>
      <c r="HQ80" t="e">
        <f>Nodes!D621+"'E4!%Zq"</f>
        <v>#VALUE!</v>
      </c>
      <c r="HR80" t="e">
        <f>Nodes!E621+"'E4!%Zr"</f>
        <v>#VALUE!</v>
      </c>
      <c r="HS80" t="e">
        <f>Nodes!F621+"'E4!%Zs"</f>
        <v>#VALUE!</v>
      </c>
      <c r="HT80" t="e">
        <f>Nodes!G621+"'E4!%Zt"</f>
        <v>#VALUE!</v>
      </c>
      <c r="HU80" t="e">
        <f>Nodes!H621+"'E4!%Zu"</f>
        <v>#VALUE!</v>
      </c>
      <c r="HV80" t="e">
        <f>Nodes!I621+"'E4!%Zv"</f>
        <v>#VALUE!</v>
      </c>
      <c r="HW80" t="e">
        <f>Nodes!J621+"'E4!%Zw"</f>
        <v>#VALUE!</v>
      </c>
      <c r="HX80" t="e">
        <f>Nodes!K621+"'E4!%Zx"</f>
        <v>#VALUE!</v>
      </c>
      <c r="HY80" t="e">
        <f>Nodes!L621+"'E4!%Zy"</f>
        <v>#VALUE!</v>
      </c>
      <c r="HZ80" t="e">
        <f>Nodes!M621+"'E4!%Zz"</f>
        <v>#VALUE!</v>
      </c>
      <c r="IA80" t="e">
        <f>Nodes!N621+"'E4!%Z{"</f>
        <v>#VALUE!</v>
      </c>
      <c r="IB80" t="e">
        <f>Nodes!O621+"'E4!%Z|"</f>
        <v>#VALUE!</v>
      </c>
      <c r="IC80" t="e">
        <f>Nodes!P621+"'E4!%Z}"</f>
        <v>#VALUE!</v>
      </c>
      <c r="ID80" t="e">
        <f>Nodes!Q621+"'E4!%Z~"</f>
        <v>#VALUE!</v>
      </c>
      <c r="IE80" t="e">
        <f>Nodes!R621+"'E4!%[#"</f>
        <v>#VALUE!</v>
      </c>
      <c r="IF80" t="e">
        <f>Nodes!S621+"'E4!%[$"</f>
        <v>#VALUE!</v>
      </c>
      <c r="IG80" s="547" t="e">
        <f>Nodes!T621+"'E4!%[%"</f>
        <v>#VALUE!</v>
      </c>
      <c r="IH80" t="e">
        <f>Nodes!U621+"'E4!%[&amp;"</f>
        <v>#VALUE!</v>
      </c>
      <c r="II80" t="e">
        <f>Nodes!V621+"'E4!%['"</f>
        <v>#VALUE!</v>
      </c>
      <c r="IJ80" s="547" t="e">
        <f>Nodes!W621+"'E4!%[("</f>
        <v>#VALUE!</v>
      </c>
      <c r="IK80" t="e">
        <f>Nodes!X621+"'E4!%[)"</f>
        <v>#VALUE!</v>
      </c>
      <c r="IL80" t="e">
        <f>Nodes!Y621+"'E4!%[."</f>
        <v>#VALUE!</v>
      </c>
      <c r="IM80" t="e">
        <f>Nodes!Z621+"'E4!%[/"</f>
        <v>#VALUE!</v>
      </c>
      <c r="IN80" t="e">
        <f>Nodes!AA621+"'E4!%[0"</f>
        <v>#VALUE!</v>
      </c>
      <c r="IO80" t="e">
        <f>Nodes!AB621+"'E4!%[1"</f>
        <v>#VALUE!</v>
      </c>
      <c r="IP80" t="e">
        <f>Nodes!AC621+"'E4!%[2"</f>
        <v>#VALUE!</v>
      </c>
      <c r="IQ80" t="e">
        <f>Nodes!A622+"'E4!%[3"</f>
        <v>#VALUE!</v>
      </c>
      <c r="IR80" t="e">
        <f>Nodes!B622+"'E4!%[4"</f>
        <v>#VALUE!</v>
      </c>
      <c r="IS80" t="e">
        <f>Nodes!C622+"'E4!%[5"</f>
        <v>#VALUE!</v>
      </c>
      <c r="IT80" t="e">
        <f>Nodes!D622+"'E4!%[6"</f>
        <v>#VALUE!</v>
      </c>
      <c r="IU80" t="e">
        <f>Nodes!E622+"'E4!%[7"</f>
        <v>#VALUE!</v>
      </c>
      <c r="IV80" t="e">
        <f>Nodes!F622+"'E4!%[8"</f>
        <v>#VALUE!</v>
      </c>
    </row>
    <row r="81" spans="6:256">
      <c r="F81" t="e">
        <f>Nodes!G622+"'E4!%[9"</f>
        <v>#VALUE!</v>
      </c>
      <c r="G81" t="e">
        <f>Nodes!H622+"'E4!%[:"</f>
        <v>#VALUE!</v>
      </c>
      <c r="H81" t="e">
        <f>Nodes!I622+"'E4!%[;"</f>
        <v>#VALUE!</v>
      </c>
      <c r="I81" t="e">
        <f>Nodes!J622+"'E4!%[&lt;"</f>
        <v>#VALUE!</v>
      </c>
      <c r="J81" t="e">
        <f>Nodes!K622+"'E4!%[="</f>
        <v>#VALUE!</v>
      </c>
      <c r="K81" t="e">
        <f>Nodes!L622+"'E4!%[&gt;"</f>
        <v>#VALUE!</v>
      </c>
      <c r="L81" t="e">
        <f>Nodes!M622+"'E4!%[?"</f>
        <v>#VALUE!</v>
      </c>
      <c r="M81" t="e">
        <f>Nodes!N622+"'E4!%[@"</f>
        <v>#VALUE!</v>
      </c>
      <c r="N81" t="e">
        <f>Nodes!O622+"'E4!%[A"</f>
        <v>#VALUE!</v>
      </c>
      <c r="O81" t="e">
        <f>Nodes!P622+"'E4!%[B"</f>
        <v>#VALUE!</v>
      </c>
      <c r="P81" t="e">
        <f>Nodes!Q622+"'E4!%[C"</f>
        <v>#VALUE!</v>
      </c>
      <c r="Q81" t="e">
        <f>Nodes!R622+"'E4!%[D"</f>
        <v>#VALUE!</v>
      </c>
      <c r="R81" t="e">
        <f>Nodes!S622+"'E4!%[E"</f>
        <v>#VALUE!</v>
      </c>
      <c r="S81" s="547" t="e">
        <f>Nodes!T622+"'E4!%[F"</f>
        <v>#VALUE!</v>
      </c>
      <c r="T81" t="e">
        <f>Nodes!U622+"'E4!%[G"</f>
        <v>#VALUE!</v>
      </c>
      <c r="U81" t="e">
        <f>Nodes!V622+"'E4!%[H"</f>
        <v>#VALUE!</v>
      </c>
      <c r="V81" s="547" t="e">
        <f>Nodes!W622+"'E4!%[I"</f>
        <v>#VALUE!</v>
      </c>
      <c r="W81" t="e">
        <f>Nodes!X622+"'E4!%[J"</f>
        <v>#VALUE!</v>
      </c>
      <c r="X81" t="e">
        <f>Nodes!Y622+"'E4!%[K"</f>
        <v>#VALUE!</v>
      </c>
      <c r="Y81" t="e">
        <f>Nodes!Z622+"'E4!%[L"</f>
        <v>#VALUE!</v>
      </c>
      <c r="Z81" t="e">
        <f>Nodes!AA622+"'E4!%[M"</f>
        <v>#VALUE!</v>
      </c>
      <c r="AA81" t="e">
        <f>Nodes!AB622+"'E4!%[N"</f>
        <v>#VALUE!</v>
      </c>
      <c r="AB81" t="e">
        <f>Nodes!AC622+"'E4!%[O"</f>
        <v>#VALUE!</v>
      </c>
      <c r="AC81" t="e">
        <f>Nodes!A623+"'E4!%[P"</f>
        <v>#VALUE!</v>
      </c>
      <c r="AD81" t="e">
        <f>Nodes!B623+"'E4!%[Q"</f>
        <v>#VALUE!</v>
      </c>
      <c r="AE81" t="e">
        <f>Nodes!C623+"'E4!%[R"</f>
        <v>#VALUE!</v>
      </c>
      <c r="AF81" t="e">
        <f>Nodes!D623+"'E4!%[S"</f>
        <v>#VALUE!</v>
      </c>
      <c r="AG81" t="e">
        <f>Nodes!E623+"'E4!%[T"</f>
        <v>#VALUE!</v>
      </c>
      <c r="AH81" t="e">
        <f>Nodes!F623+"'E4!%[U"</f>
        <v>#VALUE!</v>
      </c>
      <c r="AI81" t="e">
        <f>Nodes!G623+"'E4!%[V"</f>
        <v>#VALUE!</v>
      </c>
      <c r="AJ81" t="e">
        <f>Nodes!H623+"'E4!%[W"</f>
        <v>#VALUE!</v>
      </c>
      <c r="AK81" t="e">
        <f>Nodes!I623+"'E4!%[X"</f>
        <v>#VALUE!</v>
      </c>
      <c r="AL81" t="e">
        <f>Nodes!J623+"'E4!%[Y"</f>
        <v>#VALUE!</v>
      </c>
      <c r="AM81" t="e">
        <f>Nodes!K623+"'E4!%[Z"</f>
        <v>#VALUE!</v>
      </c>
      <c r="AN81" t="e">
        <f>Nodes!L623+"'E4!%[["</f>
        <v>#VALUE!</v>
      </c>
      <c r="AO81" t="e">
        <f>Nodes!M623+"'E4!%[\"</f>
        <v>#VALUE!</v>
      </c>
      <c r="AP81" t="e">
        <f>Nodes!N623+"'E4!%[]"</f>
        <v>#VALUE!</v>
      </c>
      <c r="AQ81" t="e">
        <f>Nodes!O623+"'E4!%[^"</f>
        <v>#VALUE!</v>
      </c>
      <c r="AR81" t="e">
        <f>Nodes!P623+"'E4!%[_"</f>
        <v>#VALUE!</v>
      </c>
      <c r="AS81" t="e">
        <f>Nodes!Q623+"'E4!%[`"</f>
        <v>#VALUE!</v>
      </c>
      <c r="AT81" t="e">
        <f>Nodes!R623+"'E4!%[a"</f>
        <v>#VALUE!</v>
      </c>
      <c r="AU81" t="e">
        <f>Nodes!S623+"'E4!%[b"</f>
        <v>#VALUE!</v>
      </c>
      <c r="AV81" s="547" t="e">
        <f>Nodes!T623+"'E4!%[c"</f>
        <v>#VALUE!</v>
      </c>
      <c r="AW81" t="e">
        <f>Nodes!U623+"'E4!%[d"</f>
        <v>#VALUE!</v>
      </c>
      <c r="AX81" t="e">
        <f>Nodes!V623+"'E4!%[e"</f>
        <v>#VALUE!</v>
      </c>
      <c r="AY81" s="547" t="e">
        <f>Nodes!W623+"'E4!%[f"</f>
        <v>#VALUE!</v>
      </c>
      <c r="AZ81" t="e">
        <f>Nodes!X623+"'E4!%[g"</f>
        <v>#VALUE!</v>
      </c>
      <c r="BA81" t="e">
        <f>Nodes!Y623+"'E4!%[h"</f>
        <v>#VALUE!</v>
      </c>
      <c r="BB81" t="e">
        <f>Nodes!Z623+"'E4!%[i"</f>
        <v>#VALUE!</v>
      </c>
      <c r="BC81" t="e">
        <f>Nodes!AA623+"'E4!%[j"</f>
        <v>#VALUE!</v>
      </c>
      <c r="BD81" t="e">
        <f>Nodes!AB623+"'E4!%[k"</f>
        <v>#VALUE!</v>
      </c>
      <c r="BE81" t="e">
        <f>Nodes!AC623+"'E4!%[l"</f>
        <v>#VALUE!</v>
      </c>
      <c r="BF81" t="e">
        <f>Nodes!A624+"'E4!%[m"</f>
        <v>#VALUE!</v>
      </c>
      <c r="BG81" t="e">
        <f>Nodes!B624+"'E4!%[n"</f>
        <v>#VALUE!</v>
      </c>
      <c r="BH81" t="e">
        <f>Nodes!C624+"'E4!%[o"</f>
        <v>#VALUE!</v>
      </c>
      <c r="BI81" t="e">
        <f>Nodes!D624+"'E4!%[p"</f>
        <v>#VALUE!</v>
      </c>
      <c r="BJ81" t="e">
        <f>Nodes!E624+"'E4!%[q"</f>
        <v>#VALUE!</v>
      </c>
      <c r="BK81" t="e">
        <f>Nodes!F624+"'E4!%[r"</f>
        <v>#VALUE!</v>
      </c>
      <c r="BL81" t="e">
        <f>Nodes!G624+"'E4!%[s"</f>
        <v>#VALUE!</v>
      </c>
      <c r="BM81" t="e">
        <f>Nodes!H624+"'E4!%[t"</f>
        <v>#VALUE!</v>
      </c>
      <c r="BN81" t="e">
        <f>Nodes!I624+"'E4!%[u"</f>
        <v>#VALUE!</v>
      </c>
      <c r="BO81" t="e">
        <f>Nodes!J624+"'E4!%[v"</f>
        <v>#VALUE!</v>
      </c>
      <c r="BP81" t="e">
        <f>Nodes!K624+"'E4!%[w"</f>
        <v>#VALUE!</v>
      </c>
      <c r="BQ81" t="e">
        <f>Nodes!L624+"'E4!%[x"</f>
        <v>#VALUE!</v>
      </c>
      <c r="BR81" t="e">
        <f>Nodes!M624+"'E4!%[y"</f>
        <v>#VALUE!</v>
      </c>
      <c r="BS81" t="e">
        <f>Nodes!N624+"'E4!%[z"</f>
        <v>#VALUE!</v>
      </c>
      <c r="BT81" t="e">
        <f>Nodes!O624+"'E4!%[{"</f>
        <v>#VALUE!</v>
      </c>
      <c r="BU81" t="e">
        <f>Nodes!P624+"'E4!%[|"</f>
        <v>#VALUE!</v>
      </c>
      <c r="BV81" t="e">
        <f>Nodes!Q624+"'E4!%[}"</f>
        <v>#VALUE!</v>
      </c>
      <c r="BW81" t="e">
        <f>Nodes!R624+"'E4!%[~"</f>
        <v>#VALUE!</v>
      </c>
      <c r="BX81" t="e">
        <f>Nodes!S624+"'E4!%\#"</f>
        <v>#VALUE!</v>
      </c>
      <c r="BY81" s="547" t="e">
        <f>Nodes!T624+"'E4!%\$"</f>
        <v>#VALUE!</v>
      </c>
      <c r="BZ81" t="e">
        <f>Nodes!U624+"'E4!%\%"</f>
        <v>#VALUE!</v>
      </c>
      <c r="CA81" t="e">
        <f>Nodes!V624+"'E4!%\&amp;"</f>
        <v>#VALUE!</v>
      </c>
      <c r="CB81" s="547" t="e">
        <f>Nodes!W624+"'E4!%\'"</f>
        <v>#VALUE!</v>
      </c>
      <c r="CC81" t="e">
        <f>Nodes!X624+"'E4!%\("</f>
        <v>#VALUE!</v>
      </c>
      <c r="CD81" t="e">
        <f>Nodes!Y624+"'E4!%\)"</f>
        <v>#VALUE!</v>
      </c>
      <c r="CE81" t="e">
        <f>Nodes!Z624+"'E4!%\."</f>
        <v>#VALUE!</v>
      </c>
      <c r="CF81" t="e">
        <f>Nodes!AA624+"'E4!%\/"</f>
        <v>#VALUE!</v>
      </c>
      <c r="CG81" t="e">
        <f>Nodes!AB624+"'E4!%\0"</f>
        <v>#VALUE!</v>
      </c>
      <c r="CH81" t="e">
        <f>Nodes!AC624+"'E4!%\1"</f>
        <v>#VALUE!</v>
      </c>
      <c r="CI81" t="e">
        <f>Nodes!A625+"'E4!%\2"</f>
        <v>#VALUE!</v>
      </c>
      <c r="CJ81" t="e">
        <f>Nodes!B625+"'E4!%\3"</f>
        <v>#VALUE!</v>
      </c>
      <c r="CK81" t="e">
        <f>Nodes!C625+"'E4!%\4"</f>
        <v>#VALUE!</v>
      </c>
      <c r="CL81" t="e">
        <f>Nodes!D625+"'E4!%\5"</f>
        <v>#VALUE!</v>
      </c>
      <c r="CM81" t="e">
        <f>Nodes!E625+"'E4!%\6"</f>
        <v>#VALUE!</v>
      </c>
      <c r="CN81" t="e">
        <f>Nodes!F625+"'E4!%\7"</f>
        <v>#VALUE!</v>
      </c>
      <c r="CO81" t="e">
        <f>Nodes!G625+"'E4!%\8"</f>
        <v>#VALUE!</v>
      </c>
      <c r="CP81" t="e">
        <f>Nodes!H625+"'E4!%\9"</f>
        <v>#VALUE!</v>
      </c>
      <c r="CQ81" t="e">
        <f>Nodes!I625+"'E4!%\:"</f>
        <v>#VALUE!</v>
      </c>
      <c r="CR81" t="e">
        <f>Nodes!J625+"'E4!%\;"</f>
        <v>#VALUE!</v>
      </c>
      <c r="CS81" t="e">
        <f>Nodes!K625+"'E4!%\&lt;"</f>
        <v>#VALUE!</v>
      </c>
      <c r="CT81" t="e">
        <f>Nodes!L625+"'E4!%\="</f>
        <v>#VALUE!</v>
      </c>
      <c r="CU81" t="e">
        <f>Nodes!M625+"'E4!%\&gt;"</f>
        <v>#VALUE!</v>
      </c>
      <c r="CV81" t="e">
        <f>Nodes!N625+"'E4!%\?"</f>
        <v>#VALUE!</v>
      </c>
      <c r="CW81" t="e">
        <f>Nodes!O625+"'E4!%\@"</f>
        <v>#VALUE!</v>
      </c>
      <c r="CX81" t="e">
        <f>Nodes!P625+"'E4!%\A"</f>
        <v>#VALUE!</v>
      </c>
      <c r="CY81" t="e">
        <f>Nodes!Q625+"'E4!%\B"</f>
        <v>#VALUE!</v>
      </c>
      <c r="CZ81" t="e">
        <f>Nodes!R625+"'E4!%\C"</f>
        <v>#VALUE!</v>
      </c>
      <c r="DA81" t="e">
        <f>Nodes!S625+"'E4!%\D"</f>
        <v>#VALUE!</v>
      </c>
      <c r="DB81" s="547" t="e">
        <f>Nodes!T625+"'E4!%\E"</f>
        <v>#VALUE!</v>
      </c>
      <c r="DC81" t="e">
        <f>Nodes!U625+"'E4!%\F"</f>
        <v>#VALUE!</v>
      </c>
      <c r="DD81" t="e">
        <f>Nodes!V625+"'E4!%\G"</f>
        <v>#VALUE!</v>
      </c>
      <c r="DE81" s="547" t="e">
        <f>Nodes!W625+"'E4!%\H"</f>
        <v>#VALUE!</v>
      </c>
      <c r="DF81" t="e">
        <f>Nodes!X625+"'E4!%\I"</f>
        <v>#VALUE!</v>
      </c>
      <c r="DG81" t="e">
        <f>Nodes!Y625+"'E4!%\J"</f>
        <v>#VALUE!</v>
      </c>
      <c r="DH81" t="e">
        <f>Nodes!Z625+"'E4!%\K"</f>
        <v>#VALUE!</v>
      </c>
      <c r="DI81" t="e">
        <f>Nodes!AA625+"'E4!%\L"</f>
        <v>#VALUE!</v>
      </c>
      <c r="DJ81" t="e">
        <f>Nodes!AB625+"'E4!%\M"</f>
        <v>#VALUE!</v>
      </c>
      <c r="DK81" t="e">
        <f>Nodes!AC625+"'E4!%\N"</f>
        <v>#VALUE!</v>
      </c>
      <c r="DL81" t="e">
        <f>Nodes!A626+"'E4!%\O"</f>
        <v>#VALUE!</v>
      </c>
      <c r="DM81" t="e">
        <f>Nodes!B626+"'E4!%\P"</f>
        <v>#VALUE!</v>
      </c>
      <c r="DN81" t="e">
        <f>Nodes!C626+"'E4!%\Q"</f>
        <v>#VALUE!</v>
      </c>
      <c r="DO81" t="e">
        <f>Nodes!D626+"'E4!%\R"</f>
        <v>#VALUE!</v>
      </c>
      <c r="DP81" t="e">
        <f>Nodes!E626+"'E4!%\S"</f>
        <v>#VALUE!</v>
      </c>
      <c r="DQ81" t="e">
        <f>Nodes!F626+"'E4!%\T"</f>
        <v>#VALUE!</v>
      </c>
      <c r="DR81" t="e">
        <f>Nodes!G626+"'E4!%\U"</f>
        <v>#VALUE!</v>
      </c>
      <c r="DS81" t="e">
        <f>Nodes!H626+"'E4!%\V"</f>
        <v>#VALUE!</v>
      </c>
      <c r="DT81" t="e">
        <f>Nodes!I626+"'E4!%\W"</f>
        <v>#VALUE!</v>
      </c>
      <c r="DU81" t="e">
        <f>Nodes!J626+"'E4!%\X"</f>
        <v>#VALUE!</v>
      </c>
      <c r="DV81" t="e">
        <f>Nodes!K626+"'E4!%\Y"</f>
        <v>#VALUE!</v>
      </c>
      <c r="DW81" t="e">
        <f>Nodes!L626+"'E4!%\Z"</f>
        <v>#VALUE!</v>
      </c>
      <c r="DX81" t="e">
        <f>Nodes!M626+"'E4!%\["</f>
        <v>#VALUE!</v>
      </c>
      <c r="DY81" t="e">
        <f>Nodes!N626+"'E4!%\\"</f>
        <v>#VALUE!</v>
      </c>
      <c r="DZ81" t="e">
        <f>Nodes!O626+"'E4!%\]"</f>
        <v>#VALUE!</v>
      </c>
      <c r="EA81" t="e">
        <f>Nodes!P626+"'E4!%\^"</f>
        <v>#VALUE!</v>
      </c>
      <c r="EB81" t="e">
        <f>Nodes!Q626+"'E4!%\_"</f>
        <v>#VALUE!</v>
      </c>
      <c r="EC81" t="e">
        <f>Nodes!R626+"'E4!%\`"</f>
        <v>#VALUE!</v>
      </c>
      <c r="ED81" t="e">
        <f>Nodes!S626+"'E4!%\a"</f>
        <v>#VALUE!</v>
      </c>
      <c r="EE81" s="547" t="e">
        <f>Nodes!T626+"'E4!%\b"</f>
        <v>#VALUE!</v>
      </c>
      <c r="EF81" t="e">
        <f>Nodes!U626+"'E4!%\c"</f>
        <v>#VALUE!</v>
      </c>
      <c r="EG81" t="e">
        <f>Nodes!V626+"'E4!%\d"</f>
        <v>#VALUE!</v>
      </c>
      <c r="EH81" s="547" t="e">
        <f>Nodes!W626+"'E4!%\e"</f>
        <v>#VALUE!</v>
      </c>
      <c r="EI81" t="e">
        <f>Nodes!X626+"'E4!%\f"</f>
        <v>#VALUE!</v>
      </c>
      <c r="EJ81" t="e">
        <f>Nodes!Y626+"'E4!%\g"</f>
        <v>#VALUE!</v>
      </c>
      <c r="EK81" t="e">
        <f>Nodes!Z626+"'E4!%\h"</f>
        <v>#VALUE!</v>
      </c>
      <c r="EL81" t="e">
        <f>Nodes!AA626+"'E4!%\i"</f>
        <v>#VALUE!</v>
      </c>
      <c r="EM81" t="e">
        <f>Nodes!AB626+"'E4!%\j"</f>
        <v>#VALUE!</v>
      </c>
      <c r="EN81" t="e">
        <f>Nodes!AC626+"'E4!%\k"</f>
        <v>#VALUE!</v>
      </c>
      <c r="EO81" t="e">
        <f>Nodes!A627+"'E4!%\l"</f>
        <v>#VALUE!</v>
      </c>
      <c r="EP81" t="e">
        <f>Nodes!B627+"'E4!%\m"</f>
        <v>#VALUE!</v>
      </c>
      <c r="EQ81" t="e">
        <f>Nodes!C627+"'E4!%\n"</f>
        <v>#VALUE!</v>
      </c>
      <c r="ER81" t="e">
        <f>Nodes!D627+"'E4!%\o"</f>
        <v>#VALUE!</v>
      </c>
      <c r="ES81" t="e">
        <f>Nodes!E627+"'E4!%\p"</f>
        <v>#VALUE!</v>
      </c>
      <c r="ET81" t="e">
        <f>Nodes!F627+"'E4!%\q"</f>
        <v>#VALUE!</v>
      </c>
      <c r="EU81" t="e">
        <f>Nodes!G627+"'E4!%\r"</f>
        <v>#VALUE!</v>
      </c>
      <c r="EV81" t="e">
        <f>Nodes!H627+"'E4!%\s"</f>
        <v>#VALUE!</v>
      </c>
      <c r="EW81" t="e">
        <f>Nodes!I627+"'E4!%\t"</f>
        <v>#VALUE!</v>
      </c>
      <c r="EX81" t="e">
        <f>Nodes!J627+"'E4!%\u"</f>
        <v>#VALUE!</v>
      </c>
      <c r="EY81" t="e">
        <f>Nodes!K627+"'E4!%\v"</f>
        <v>#VALUE!</v>
      </c>
      <c r="EZ81" t="e">
        <f>Nodes!L627+"'E4!%\w"</f>
        <v>#VALUE!</v>
      </c>
      <c r="FA81" t="e">
        <f>Nodes!M627+"'E4!%\x"</f>
        <v>#VALUE!</v>
      </c>
      <c r="FB81" t="e">
        <f>Nodes!N627+"'E4!%\y"</f>
        <v>#VALUE!</v>
      </c>
      <c r="FC81" t="e">
        <f>Nodes!O627+"'E4!%\z"</f>
        <v>#VALUE!</v>
      </c>
      <c r="FD81" t="e">
        <f>Nodes!P627+"'E4!%\{"</f>
        <v>#VALUE!</v>
      </c>
      <c r="FE81" t="e">
        <f>Nodes!Q627+"'E4!%\|"</f>
        <v>#VALUE!</v>
      </c>
      <c r="FF81" t="e">
        <f>Nodes!R627+"'E4!%\}"</f>
        <v>#VALUE!</v>
      </c>
      <c r="FG81" t="e">
        <f>Nodes!S627+"'E4!%\~"</f>
        <v>#VALUE!</v>
      </c>
      <c r="FH81" s="547" t="e">
        <f>Nodes!T627+"'E4!%]#"</f>
        <v>#VALUE!</v>
      </c>
      <c r="FI81" t="e">
        <f>Nodes!U627+"'E4!%]$"</f>
        <v>#VALUE!</v>
      </c>
      <c r="FJ81" t="e">
        <f>Nodes!V627+"'E4!%]%"</f>
        <v>#VALUE!</v>
      </c>
      <c r="FK81" s="547" t="e">
        <f>Nodes!W627+"'E4!%]&amp;"</f>
        <v>#VALUE!</v>
      </c>
      <c r="FL81" t="e">
        <f>Nodes!X627+"'E4!%]'"</f>
        <v>#VALUE!</v>
      </c>
      <c r="FM81" t="e">
        <f>Nodes!Y627+"'E4!%]("</f>
        <v>#VALUE!</v>
      </c>
      <c r="FN81" t="e">
        <f>Nodes!Z627+"'E4!%])"</f>
        <v>#VALUE!</v>
      </c>
      <c r="FO81" t="e">
        <f>Nodes!AA627+"'E4!%]."</f>
        <v>#VALUE!</v>
      </c>
      <c r="FP81" t="e">
        <f>Nodes!AB627+"'E4!%]/"</f>
        <v>#VALUE!</v>
      </c>
      <c r="FQ81" t="e">
        <f>Nodes!AC627+"'E4!%]0"</f>
        <v>#VALUE!</v>
      </c>
      <c r="FR81" t="e">
        <f>Nodes!A628+"'E4!%]1"</f>
        <v>#VALUE!</v>
      </c>
      <c r="FS81" t="e">
        <f>Nodes!B628+"'E4!%]2"</f>
        <v>#VALUE!</v>
      </c>
      <c r="FT81" t="e">
        <f>Nodes!C628+"'E4!%]3"</f>
        <v>#VALUE!</v>
      </c>
      <c r="FU81" t="e">
        <f>Nodes!D628+"'E4!%]4"</f>
        <v>#VALUE!</v>
      </c>
      <c r="FV81" t="e">
        <f>Nodes!E628+"'E4!%]5"</f>
        <v>#VALUE!</v>
      </c>
      <c r="FW81" t="e">
        <f>Nodes!F628+"'E4!%]6"</f>
        <v>#VALUE!</v>
      </c>
      <c r="FX81" t="e">
        <f>Nodes!G628+"'E4!%]7"</f>
        <v>#VALUE!</v>
      </c>
      <c r="FY81" t="e">
        <f>Nodes!H628+"'E4!%]8"</f>
        <v>#VALUE!</v>
      </c>
      <c r="FZ81" t="e">
        <f>Nodes!I628+"'E4!%]9"</f>
        <v>#VALUE!</v>
      </c>
      <c r="GA81" t="e">
        <f>Nodes!J628+"'E4!%]:"</f>
        <v>#VALUE!</v>
      </c>
      <c r="GB81" t="e">
        <f>Nodes!K628+"'E4!%];"</f>
        <v>#VALUE!</v>
      </c>
      <c r="GC81" t="e">
        <f>Nodes!L628+"'E4!%]&lt;"</f>
        <v>#VALUE!</v>
      </c>
      <c r="GD81" t="e">
        <f>Nodes!M628+"'E4!%]="</f>
        <v>#VALUE!</v>
      </c>
      <c r="GE81" t="e">
        <f>Nodes!N628+"'E4!%]&gt;"</f>
        <v>#VALUE!</v>
      </c>
      <c r="GF81" t="e">
        <f>Nodes!O628+"'E4!%]?"</f>
        <v>#VALUE!</v>
      </c>
      <c r="GG81" t="e">
        <f>Nodes!P628+"'E4!%]@"</f>
        <v>#VALUE!</v>
      </c>
      <c r="GH81" t="e">
        <f>Nodes!Q628+"'E4!%]A"</f>
        <v>#VALUE!</v>
      </c>
      <c r="GI81" t="e">
        <f>Nodes!R628+"'E4!%]B"</f>
        <v>#VALUE!</v>
      </c>
      <c r="GJ81" t="e">
        <f>Nodes!S628+"'E4!%]C"</f>
        <v>#VALUE!</v>
      </c>
      <c r="GK81" s="547" t="e">
        <f>Nodes!T628+"'E4!%]D"</f>
        <v>#VALUE!</v>
      </c>
      <c r="GL81" t="e">
        <f>Nodes!U628+"'E4!%]E"</f>
        <v>#VALUE!</v>
      </c>
      <c r="GM81" t="e">
        <f>Nodes!V628+"'E4!%]F"</f>
        <v>#VALUE!</v>
      </c>
      <c r="GN81" s="547" t="e">
        <f>Nodes!W628+"'E4!%]G"</f>
        <v>#VALUE!</v>
      </c>
      <c r="GO81" t="e">
        <f>Nodes!X628+"'E4!%]H"</f>
        <v>#VALUE!</v>
      </c>
      <c r="GP81" t="e">
        <f>Nodes!Y628+"'E4!%]I"</f>
        <v>#VALUE!</v>
      </c>
      <c r="GQ81" t="e">
        <f>Nodes!Z628+"'E4!%]J"</f>
        <v>#VALUE!</v>
      </c>
      <c r="GR81" t="e">
        <f>Nodes!AA628+"'E4!%]K"</f>
        <v>#VALUE!</v>
      </c>
      <c r="GS81" t="e">
        <f>Nodes!AB628+"'E4!%]L"</f>
        <v>#VALUE!</v>
      </c>
      <c r="GT81" t="e">
        <f>Nodes!AC628+"'E4!%]M"</f>
        <v>#VALUE!</v>
      </c>
      <c r="GU81" t="e">
        <f>Nodes!A629+"'E4!%]N"</f>
        <v>#VALUE!</v>
      </c>
      <c r="GV81" t="e">
        <f>Nodes!B629+"'E4!%]O"</f>
        <v>#VALUE!</v>
      </c>
      <c r="GW81" t="e">
        <f>Nodes!C629+"'E4!%]P"</f>
        <v>#VALUE!</v>
      </c>
      <c r="GX81" t="e">
        <f>Nodes!D629+"'E4!%]Q"</f>
        <v>#VALUE!</v>
      </c>
      <c r="GY81" t="e">
        <f>Nodes!E629+"'E4!%]R"</f>
        <v>#VALUE!</v>
      </c>
      <c r="GZ81" t="e">
        <f>Nodes!F629+"'E4!%]S"</f>
        <v>#VALUE!</v>
      </c>
      <c r="HA81" t="e">
        <f>Nodes!G629+"'E4!%]T"</f>
        <v>#VALUE!</v>
      </c>
      <c r="HB81" t="e">
        <f>Nodes!H629+"'E4!%]U"</f>
        <v>#VALUE!</v>
      </c>
      <c r="HC81" t="e">
        <f>Nodes!I629+"'E4!%]V"</f>
        <v>#VALUE!</v>
      </c>
      <c r="HD81" t="e">
        <f>Nodes!J629+"'E4!%]W"</f>
        <v>#VALUE!</v>
      </c>
      <c r="HE81" t="e">
        <f>Nodes!K629+"'E4!%]X"</f>
        <v>#VALUE!</v>
      </c>
      <c r="HF81" t="e">
        <f>Nodes!L629+"'E4!%]Y"</f>
        <v>#VALUE!</v>
      </c>
      <c r="HG81" t="e">
        <f>Nodes!M629+"'E4!%]Z"</f>
        <v>#VALUE!</v>
      </c>
      <c r="HH81" t="e">
        <f>Nodes!N629+"'E4!%]["</f>
        <v>#VALUE!</v>
      </c>
      <c r="HI81" t="e">
        <f>Nodes!O629+"'E4!%]\"</f>
        <v>#VALUE!</v>
      </c>
      <c r="HJ81" t="e">
        <f>Nodes!P629+"'E4!%]]"</f>
        <v>#VALUE!</v>
      </c>
      <c r="HK81" t="e">
        <f>Nodes!Q629+"'E4!%]^"</f>
        <v>#VALUE!</v>
      </c>
      <c r="HL81" t="e">
        <f>Nodes!R629+"'E4!%]_"</f>
        <v>#VALUE!</v>
      </c>
      <c r="HM81" t="e">
        <f>Nodes!S629+"'E4!%]`"</f>
        <v>#VALUE!</v>
      </c>
      <c r="HN81" s="547" t="e">
        <f>Nodes!T629+"'E4!%]a"</f>
        <v>#VALUE!</v>
      </c>
      <c r="HO81" t="e">
        <f>Nodes!U629+"'E4!%]b"</f>
        <v>#VALUE!</v>
      </c>
      <c r="HP81" t="e">
        <f>Nodes!V629+"'E4!%]c"</f>
        <v>#VALUE!</v>
      </c>
      <c r="HQ81" s="547" t="e">
        <f>Nodes!W629+"'E4!%]d"</f>
        <v>#VALUE!</v>
      </c>
      <c r="HR81" t="e">
        <f>Nodes!X629+"'E4!%]e"</f>
        <v>#VALUE!</v>
      </c>
      <c r="HS81" t="e">
        <f>Nodes!Y629+"'E4!%]f"</f>
        <v>#VALUE!</v>
      </c>
      <c r="HT81" t="e">
        <f>Nodes!Z629+"'E4!%]g"</f>
        <v>#VALUE!</v>
      </c>
      <c r="HU81" t="e">
        <f>Nodes!AA629+"'E4!%]h"</f>
        <v>#VALUE!</v>
      </c>
      <c r="HV81" t="e">
        <f>Nodes!AB629+"'E4!%]i"</f>
        <v>#VALUE!</v>
      </c>
      <c r="HW81" t="e">
        <f>Nodes!AC629+"'E4!%]j"</f>
        <v>#VALUE!</v>
      </c>
      <c r="HX81" t="e">
        <f>Nodes!A630+"'E4!%]k"</f>
        <v>#VALUE!</v>
      </c>
      <c r="HY81" t="e">
        <f>Nodes!B630+"'E4!%]l"</f>
        <v>#VALUE!</v>
      </c>
      <c r="HZ81" t="e">
        <f>Nodes!C630+"'E4!%]m"</f>
        <v>#VALUE!</v>
      </c>
      <c r="IA81" t="e">
        <f>Nodes!D630+"'E4!%]n"</f>
        <v>#VALUE!</v>
      </c>
      <c r="IB81" t="e">
        <f>Nodes!E630+"'E4!%]o"</f>
        <v>#VALUE!</v>
      </c>
      <c r="IC81" t="e">
        <f>Nodes!F630+"'E4!%]p"</f>
        <v>#VALUE!</v>
      </c>
      <c r="ID81" t="e">
        <f>Nodes!G630+"'E4!%]q"</f>
        <v>#VALUE!</v>
      </c>
      <c r="IE81" t="e">
        <f>Nodes!H630+"'E4!%]r"</f>
        <v>#VALUE!</v>
      </c>
      <c r="IF81" t="e">
        <f>Nodes!I630+"'E4!%]s"</f>
        <v>#VALUE!</v>
      </c>
      <c r="IG81" t="e">
        <f>Nodes!J630+"'E4!%]t"</f>
        <v>#VALUE!</v>
      </c>
      <c r="IH81" t="e">
        <f>Nodes!K630+"'E4!%]u"</f>
        <v>#VALUE!</v>
      </c>
      <c r="II81" t="e">
        <f>Nodes!L630+"'E4!%]v"</f>
        <v>#VALUE!</v>
      </c>
      <c r="IJ81" t="e">
        <f>Nodes!M630+"'E4!%]w"</f>
        <v>#VALUE!</v>
      </c>
      <c r="IK81" t="e">
        <f>Nodes!N630+"'E4!%]x"</f>
        <v>#VALUE!</v>
      </c>
      <c r="IL81" t="e">
        <f>Nodes!O630+"'E4!%]y"</f>
        <v>#VALUE!</v>
      </c>
      <c r="IM81" t="e">
        <f>Nodes!P630+"'E4!%]z"</f>
        <v>#VALUE!</v>
      </c>
      <c r="IN81" t="e">
        <f>Nodes!Q630+"'E4!%]{"</f>
        <v>#VALUE!</v>
      </c>
      <c r="IO81" t="e">
        <f>Nodes!R630+"'E4!%]|"</f>
        <v>#VALUE!</v>
      </c>
      <c r="IP81" t="e">
        <f>Nodes!S630+"'E4!%]}"</f>
        <v>#VALUE!</v>
      </c>
      <c r="IQ81" s="547" t="e">
        <f>Nodes!T630+"'E4!%]~"</f>
        <v>#VALUE!</v>
      </c>
      <c r="IR81" t="e">
        <f>Nodes!U630+"'E4!%^#"</f>
        <v>#VALUE!</v>
      </c>
      <c r="IS81" t="e">
        <f>Nodes!V630+"'E4!%^$"</f>
        <v>#VALUE!</v>
      </c>
      <c r="IT81" s="547" t="e">
        <f>Nodes!W630+"'E4!%^%"</f>
        <v>#VALUE!</v>
      </c>
      <c r="IU81" t="e">
        <f>Nodes!X630+"'E4!%^&amp;"</f>
        <v>#VALUE!</v>
      </c>
      <c r="IV81" t="e">
        <f>Nodes!Y630+"'E4!%^'"</f>
        <v>#VALUE!</v>
      </c>
    </row>
    <row r="82" spans="6:256">
      <c r="F82" t="e">
        <f>Nodes!Z630+"'E4!%^("</f>
        <v>#VALUE!</v>
      </c>
      <c r="G82" t="e">
        <f>Nodes!AA630+"'E4!%^)"</f>
        <v>#VALUE!</v>
      </c>
      <c r="H82" t="e">
        <f>Nodes!AB630+"'E4!%^."</f>
        <v>#VALUE!</v>
      </c>
      <c r="I82" t="e">
        <f>Nodes!AC630+"'E4!%^/"</f>
        <v>#VALUE!</v>
      </c>
      <c r="J82" t="e">
        <f>Nodes!A631+"'E4!%^0"</f>
        <v>#VALUE!</v>
      </c>
      <c r="K82" t="e">
        <f>Nodes!B631+"'E4!%^1"</f>
        <v>#VALUE!</v>
      </c>
      <c r="L82" t="e">
        <f>Nodes!C631+"'E4!%^2"</f>
        <v>#VALUE!</v>
      </c>
      <c r="M82" t="e">
        <f>Nodes!D631+"'E4!%^3"</f>
        <v>#VALUE!</v>
      </c>
      <c r="N82" t="e">
        <f>Nodes!E631+"'E4!%^4"</f>
        <v>#VALUE!</v>
      </c>
      <c r="O82" t="e">
        <f>Nodes!F631+"'E4!%^5"</f>
        <v>#VALUE!</v>
      </c>
      <c r="P82" t="e">
        <f>Nodes!G631+"'E4!%^6"</f>
        <v>#VALUE!</v>
      </c>
      <c r="Q82" t="e">
        <f>Nodes!H631+"'E4!%^7"</f>
        <v>#VALUE!</v>
      </c>
      <c r="R82" t="e">
        <f>Nodes!I631+"'E4!%^8"</f>
        <v>#VALUE!</v>
      </c>
      <c r="S82" t="e">
        <f>Nodes!J631+"'E4!%^9"</f>
        <v>#VALUE!</v>
      </c>
      <c r="T82" t="e">
        <f>Nodes!K631+"'E4!%^:"</f>
        <v>#VALUE!</v>
      </c>
      <c r="U82" t="e">
        <f>Nodes!L631+"'E4!%^;"</f>
        <v>#VALUE!</v>
      </c>
      <c r="V82" t="e">
        <f>Nodes!M631+"'E4!%^&lt;"</f>
        <v>#VALUE!</v>
      </c>
      <c r="W82" t="e">
        <f>Nodes!N631+"'E4!%^="</f>
        <v>#VALUE!</v>
      </c>
      <c r="X82" t="e">
        <f>Nodes!O631+"'E4!%^&gt;"</f>
        <v>#VALUE!</v>
      </c>
      <c r="Y82" t="e">
        <f>Nodes!P631+"'E4!%^?"</f>
        <v>#VALUE!</v>
      </c>
      <c r="Z82" t="e">
        <f>Nodes!Q631+"'E4!%^@"</f>
        <v>#VALUE!</v>
      </c>
      <c r="AA82" t="e">
        <f>Nodes!R631+"'E4!%^A"</f>
        <v>#VALUE!</v>
      </c>
      <c r="AB82" t="e">
        <f>Nodes!S631+"'E4!%^B"</f>
        <v>#VALUE!</v>
      </c>
      <c r="AC82" s="547" t="e">
        <f>Nodes!T631+"'E4!%^C"</f>
        <v>#VALUE!</v>
      </c>
      <c r="AD82" t="e">
        <f>Nodes!U631+"'E4!%^D"</f>
        <v>#VALUE!</v>
      </c>
      <c r="AE82" t="e">
        <f>Nodes!V631+"'E4!%^E"</f>
        <v>#VALUE!</v>
      </c>
      <c r="AF82" s="547" t="e">
        <f>Nodes!W631+"'E4!%^F"</f>
        <v>#VALUE!</v>
      </c>
      <c r="AG82" t="e">
        <f>Nodes!X631+"'E4!%^G"</f>
        <v>#VALUE!</v>
      </c>
      <c r="AH82" t="e">
        <f>Nodes!Y631+"'E4!%^H"</f>
        <v>#VALUE!</v>
      </c>
      <c r="AI82" t="e">
        <f>Nodes!Z631+"'E4!%^I"</f>
        <v>#VALUE!</v>
      </c>
      <c r="AJ82" t="e">
        <f>Nodes!AA631+"'E4!%^J"</f>
        <v>#VALUE!</v>
      </c>
      <c r="AK82" t="e">
        <f>Nodes!AB631+"'E4!%^K"</f>
        <v>#VALUE!</v>
      </c>
      <c r="AL82" t="e">
        <f>Nodes!AC631+"'E4!%^L"</f>
        <v>#VALUE!</v>
      </c>
      <c r="AM82" t="e">
        <f>Nodes!A632+"'E4!%^M"</f>
        <v>#VALUE!</v>
      </c>
      <c r="AN82" t="e">
        <f>Nodes!B632+"'E4!%^N"</f>
        <v>#VALUE!</v>
      </c>
      <c r="AO82" t="e">
        <f>Nodes!C632+"'E4!%^O"</f>
        <v>#VALUE!</v>
      </c>
      <c r="AP82" t="e">
        <f>Nodes!D632+"'E4!%^P"</f>
        <v>#VALUE!</v>
      </c>
      <c r="AQ82" t="e">
        <f>Nodes!E632+"'E4!%^Q"</f>
        <v>#VALUE!</v>
      </c>
      <c r="AR82" t="e">
        <f>Nodes!F632+"'E4!%^R"</f>
        <v>#VALUE!</v>
      </c>
      <c r="AS82" t="e">
        <f>Nodes!G632+"'E4!%^S"</f>
        <v>#VALUE!</v>
      </c>
      <c r="AT82" t="e">
        <f>Nodes!H632+"'E4!%^T"</f>
        <v>#VALUE!</v>
      </c>
      <c r="AU82" t="e">
        <f>Nodes!I632+"'E4!%^U"</f>
        <v>#VALUE!</v>
      </c>
      <c r="AV82" t="e">
        <f>Nodes!J632+"'E4!%^V"</f>
        <v>#VALUE!</v>
      </c>
      <c r="AW82" t="e">
        <f>Nodes!K632+"'E4!%^W"</f>
        <v>#VALUE!</v>
      </c>
      <c r="AX82" t="e">
        <f>Nodes!L632+"'E4!%^X"</f>
        <v>#VALUE!</v>
      </c>
      <c r="AY82" t="e">
        <f>Nodes!M632+"'E4!%^Y"</f>
        <v>#VALUE!</v>
      </c>
      <c r="AZ82" t="e">
        <f>Nodes!N632+"'E4!%^Z"</f>
        <v>#VALUE!</v>
      </c>
      <c r="BA82" t="e">
        <f>Nodes!O632+"'E4!%^["</f>
        <v>#VALUE!</v>
      </c>
      <c r="BB82" t="e">
        <f>Nodes!P632+"'E4!%^\"</f>
        <v>#VALUE!</v>
      </c>
      <c r="BC82" t="e">
        <f>Nodes!Q632+"'E4!%^]"</f>
        <v>#VALUE!</v>
      </c>
      <c r="BD82" t="e">
        <f>Nodes!R632+"'E4!%^^"</f>
        <v>#VALUE!</v>
      </c>
      <c r="BE82" t="e">
        <f>Nodes!S632+"'E4!%^_"</f>
        <v>#VALUE!</v>
      </c>
      <c r="BF82" s="547" t="e">
        <f>Nodes!T632+"'E4!%^`"</f>
        <v>#VALUE!</v>
      </c>
      <c r="BG82" t="e">
        <f>Nodes!U632+"'E4!%^a"</f>
        <v>#VALUE!</v>
      </c>
      <c r="BH82" t="e">
        <f>Nodes!V632+"'E4!%^b"</f>
        <v>#VALUE!</v>
      </c>
      <c r="BI82" s="547" t="e">
        <f>Nodes!W632+"'E4!%^c"</f>
        <v>#VALUE!</v>
      </c>
      <c r="BJ82" t="e">
        <f>Nodes!X632+"'E4!%^d"</f>
        <v>#VALUE!</v>
      </c>
      <c r="BK82" t="e">
        <f>Nodes!Y632+"'E4!%^e"</f>
        <v>#VALUE!</v>
      </c>
      <c r="BL82" t="e">
        <f>Nodes!Z632+"'E4!%^f"</f>
        <v>#VALUE!</v>
      </c>
      <c r="BM82" t="e">
        <f>Nodes!AA632+"'E4!%^g"</f>
        <v>#VALUE!</v>
      </c>
      <c r="BN82" t="e">
        <f>Nodes!AB632+"'E4!%^h"</f>
        <v>#VALUE!</v>
      </c>
      <c r="BO82" t="e">
        <f>Nodes!AC632+"'E4!%^i"</f>
        <v>#VALUE!</v>
      </c>
      <c r="BP82" t="e">
        <f>Nodes!A633+"'E4!%^j"</f>
        <v>#VALUE!</v>
      </c>
      <c r="BQ82" t="e">
        <f>Nodes!B633+"'E4!%^k"</f>
        <v>#VALUE!</v>
      </c>
      <c r="BR82" t="e">
        <f>Nodes!C633+"'E4!%^l"</f>
        <v>#VALUE!</v>
      </c>
      <c r="BS82" t="e">
        <f>Nodes!D633+"'E4!%^m"</f>
        <v>#VALUE!</v>
      </c>
      <c r="BT82" t="e">
        <f>Nodes!E633+"'E4!%^n"</f>
        <v>#VALUE!</v>
      </c>
      <c r="BU82" t="e">
        <f>Nodes!F633+"'E4!%^o"</f>
        <v>#VALUE!</v>
      </c>
      <c r="BV82" t="e">
        <f>Nodes!G633+"'E4!%^p"</f>
        <v>#VALUE!</v>
      </c>
      <c r="BW82" t="e">
        <f>Nodes!H633+"'E4!%^q"</f>
        <v>#VALUE!</v>
      </c>
      <c r="BX82" t="e">
        <f>Nodes!I633+"'E4!%^r"</f>
        <v>#VALUE!</v>
      </c>
      <c r="BY82" t="e">
        <f>Nodes!J633+"'E4!%^s"</f>
        <v>#VALUE!</v>
      </c>
      <c r="BZ82" t="e">
        <f>Nodes!K633+"'E4!%^t"</f>
        <v>#VALUE!</v>
      </c>
      <c r="CA82" t="e">
        <f>Nodes!L633+"'E4!%^u"</f>
        <v>#VALUE!</v>
      </c>
      <c r="CB82" t="e">
        <f>Nodes!M633+"'E4!%^v"</f>
        <v>#VALUE!</v>
      </c>
      <c r="CC82" t="e">
        <f>Nodes!N633+"'E4!%^w"</f>
        <v>#VALUE!</v>
      </c>
      <c r="CD82" t="e">
        <f>Nodes!O633+"'E4!%^x"</f>
        <v>#VALUE!</v>
      </c>
      <c r="CE82" t="e">
        <f>Nodes!P633+"'E4!%^y"</f>
        <v>#VALUE!</v>
      </c>
      <c r="CF82" t="e">
        <f>Nodes!Q633+"'E4!%^z"</f>
        <v>#VALUE!</v>
      </c>
      <c r="CG82" t="e">
        <f>Nodes!R633+"'E4!%^{"</f>
        <v>#VALUE!</v>
      </c>
      <c r="CH82" t="e">
        <f>Nodes!S633+"'E4!%^|"</f>
        <v>#VALUE!</v>
      </c>
      <c r="CI82" s="547" t="e">
        <f>Nodes!T633+"'E4!%^}"</f>
        <v>#VALUE!</v>
      </c>
      <c r="CJ82" t="e">
        <f>Nodes!U633+"'E4!%^~"</f>
        <v>#VALUE!</v>
      </c>
      <c r="CK82" t="e">
        <f>Nodes!V633+"'E4!%_#"</f>
        <v>#VALUE!</v>
      </c>
      <c r="CL82" s="547" t="e">
        <f>Nodes!W633+"'E4!%_$"</f>
        <v>#VALUE!</v>
      </c>
      <c r="CM82" t="e">
        <f>Nodes!X633+"'E4!%_%"</f>
        <v>#VALUE!</v>
      </c>
      <c r="CN82" t="e">
        <f>Nodes!Y633+"'E4!%_&amp;"</f>
        <v>#VALUE!</v>
      </c>
      <c r="CO82" t="e">
        <f>Nodes!Z633+"'E4!%_'"</f>
        <v>#VALUE!</v>
      </c>
      <c r="CP82" t="e">
        <f>Nodes!AA633+"'E4!%_("</f>
        <v>#VALUE!</v>
      </c>
      <c r="CQ82" t="e">
        <f>Nodes!AB633+"'E4!%_)"</f>
        <v>#VALUE!</v>
      </c>
      <c r="CR82" t="e">
        <f>Nodes!AC633+"'E4!%_."</f>
        <v>#VALUE!</v>
      </c>
      <c r="CS82" t="e">
        <f>Nodes!A634+"'E4!%_/"</f>
        <v>#VALUE!</v>
      </c>
      <c r="CT82" t="e">
        <f>Nodes!B634+"'E4!%_0"</f>
        <v>#VALUE!</v>
      </c>
      <c r="CU82" t="e">
        <f>Nodes!C634+"'E4!%_1"</f>
        <v>#VALUE!</v>
      </c>
      <c r="CV82" t="e">
        <f>Nodes!D634+"'E4!%_2"</f>
        <v>#VALUE!</v>
      </c>
      <c r="CW82" t="e">
        <f>Nodes!E634+"'E4!%_3"</f>
        <v>#VALUE!</v>
      </c>
      <c r="CX82" t="e">
        <f>Nodes!F634+"'E4!%_4"</f>
        <v>#VALUE!</v>
      </c>
      <c r="CY82" t="e">
        <f>Nodes!G634+"'E4!%_5"</f>
        <v>#VALUE!</v>
      </c>
      <c r="CZ82" t="e">
        <f>Nodes!H634+"'E4!%_6"</f>
        <v>#VALUE!</v>
      </c>
      <c r="DA82" t="e">
        <f>Nodes!I634+"'E4!%_7"</f>
        <v>#VALUE!</v>
      </c>
      <c r="DB82" t="e">
        <f>Nodes!J634+"'E4!%_8"</f>
        <v>#VALUE!</v>
      </c>
      <c r="DC82" t="e">
        <f>Nodes!K634+"'E4!%_9"</f>
        <v>#VALUE!</v>
      </c>
      <c r="DD82" t="e">
        <f>Nodes!L634+"'E4!%_:"</f>
        <v>#VALUE!</v>
      </c>
      <c r="DE82" t="e">
        <f>Nodes!M634+"'E4!%_;"</f>
        <v>#VALUE!</v>
      </c>
      <c r="DF82" t="e">
        <f>Nodes!N634+"'E4!%_&lt;"</f>
        <v>#VALUE!</v>
      </c>
      <c r="DG82" t="e">
        <f>Nodes!O634+"'E4!%_="</f>
        <v>#VALUE!</v>
      </c>
      <c r="DH82" t="e">
        <f>Nodes!P634+"'E4!%_&gt;"</f>
        <v>#VALUE!</v>
      </c>
      <c r="DI82" t="e">
        <f>Nodes!Q634+"'E4!%_?"</f>
        <v>#VALUE!</v>
      </c>
      <c r="DJ82" t="e">
        <f>Nodes!R634+"'E4!%_@"</f>
        <v>#VALUE!</v>
      </c>
      <c r="DK82" t="e">
        <f>Nodes!S634+"'E4!%_A"</f>
        <v>#VALUE!</v>
      </c>
      <c r="DL82" s="547" t="e">
        <f>Nodes!T634+"'E4!%_B"</f>
        <v>#VALUE!</v>
      </c>
      <c r="DM82" t="e">
        <f>Nodes!U634+"'E4!%_C"</f>
        <v>#VALUE!</v>
      </c>
      <c r="DN82" t="e">
        <f>Nodes!V634+"'E4!%_D"</f>
        <v>#VALUE!</v>
      </c>
      <c r="DO82" s="547" t="e">
        <f>Nodes!W634+"'E4!%_E"</f>
        <v>#VALUE!</v>
      </c>
      <c r="DP82" t="e">
        <f>Nodes!X634+"'E4!%_F"</f>
        <v>#VALUE!</v>
      </c>
      <c r="DQ82" t="e">
        <f>Nodes!Y634+"'E4!%_G"</f>
        <v>#VALUE!</v>
      </c>
      <c r="DR82" t="e">
        <f>Nodes!Z634+"'E4!%_H"</f>
        <v>#VALUE!</v>
      </c>
      <c r="DS82" t="e">
        <f>Nodes!AA634+"'E4!%_I"</f>
        <v>#VALUE!</v>
      </c>
      <c r="DT82" t="e">
        <f>Nodes!AB634+"'E4!%_J"</f>
        <v>#VALUE!</v>
      </c>
      <c r="DU82" t="e">
        <f>Nodes!AC634+"'E4!%_K"</f>
        <v>#VALUE!</v>
      </c>
      <c r="DV82" t="e">
        <f>Nodes!A635+"'E4!%_L"</f>
        <v>#VALUE!</v>
      </c>
      <c r="DW82" t="e">
        <f>Nodes!B635+"'E4!%_M"</f>
        <v>#VALUE!</v>
      </c>
      <c r="DX82" t="e">
        <f>Nodes!C635+"'E4!%_N"</f>
        <v>#VALUE!</v>
      </c>
      <c r="DY82" t="e">
        <f>Nodes!D635+"'E4!%_O"</f>
        <v>#VALUE!</v>
      </c>
      <c r="DZ82" t="e">
        <f>Nodes!E635+"'E4!%_P"</f>
        <v>#VALUE!</v>
      </c>
      <c r="EA82" t="e">
        <f>Nodes!F635+"'E4!%_Q"</f>
        <v>#VALUE!</v>
      </c>
      <c r="EB82" t="e">
        <f>Nodes!G635+"'E4!%_R"</f>
        <v>#VALUE!</v>
      </c>
      <c r="EC82" t="e">
        <f>Nodes!H635+"'E4!%_S"</f>
        <v>#VALUE!</v>
      </c>
      <c r="ED82" t="e">
        <f>Nodes!I635+"'E4!%_T"</f>
        <v>#VALUE!</v>
      </c>
      <c r="EE82" t="e">
        <f>Nodes!J635+"'E4!%_U"</f>
        <v>#VALUE!</v>
      </c>
      <c r="EF82" t="e">
        <f>Nodes!K635+"'E4!%_V"</f>
        <v>#VALUE!</v>
      </c>
      <c r="EG82" t="e">
        <f>Nodes!L635+"'E4!%_W"</f>
        <v>#VALUE!</v>
      </c>
      <c r="EH82" t="e">
        <f>Nodes!M635+"'E4!%_X"</f>
        <v>#VALUE!</v>
      </c>
      <c r="EI82" t="e">
        <f>Nodes!N635+"'E4!%_Y"</f>
        <v>#VALUE!</v>
      </c>
      <c r="EJ82" t="e">
        <f>Nodes!O635+"'E4!%_Z"</f>
        <v>#VALUE!</v>
      </c>
      <c r="EK82" t="e">
        <f>Nodes!P635+"'E4!%_["</f>
        <v>#VALUE!</v>
      </c>
      <c r="EL82" t="e">
        <f>Nodes!Q635+"'E4!%_\"</f>
        <v>#VALUE!</v>
      </c>
      <c r="EM82" t="e">
        <f>Nodes!R635+"'E4!%_]"</f>
        <v>#VALUE!</v>
      </c>
      <c r="EN82" t="e">
        <f>Nodes!S635+"'E4!%_^"</f>
        <v>#VALUE!</v>
      </c>
      <c r="EO82" s="547" t="e">
        <f>Nodes!T635+"'E4!%__"</f>
        <v>#VALUE!</v>
      </c>
      <c r="EP82" t="e">
        <f>Nodes!U635+"'E4!%_`"</f>
        <v>#VALUE!</v>
      </c>
      <c r="EQ82" t="e">
        <f>Nodes!V635+"'E4!%_a"</f>
        <v>#VALUE!</v>
      </c>
      <c r="ER82" s="547" t="e">
        <f>Nodes!W635+"'E4!%_b"</f>
        <v>#VALUE!</v>
      </c>
      <c r="ES82" t="e">
        <f>Nodes!X635+"'E4!%_c"</f>
        <v>#VALUE!</v>
      </c>
      <c r="ET82" t="e">
        <f>Nodes!Y635+"'E4!%_d"</f>
        <v>#VALUE!</v>
      </c>
      <c r="EU82" t="e">
        <f>Nodes!Z635+"'E4!%_e"</f>
        <v>#VALUE!</v>
      </c>
      <c r="EV82" t="e">
        <f>Nodes!AA635+"'E4!%_f"</f>
        <v>#VALUE!</v>
      </c>
      <c r="EW82" t="e">
        <f>Nodes!AB635+"'E4!%_g"</f>
        <v>#VALUE!</v>
      </c>
      <c r="EX82" t="e">
        <f>Nodes!AC635+"'E4!%_h"</f>
        <v>#VALUE!</v>
      </c>
      <c r="EY82" t="e">
        <f>Nodes!A636+"'E4!%_i"</f>
        <v>#VALUE!</v>
      </c>
      <c r="EZ82" t="e">
        <f>Nodes!B636+"'E4!%_j"</f>
        <v>#VALUE!</v>
      </c>
      <c r="FA82" t="e">
        <f>Nodes!C636+"'E4!%_k"</f>
        <v>#VALUE!</v>
      </c>
      <c r="FB82" t="e">
        <f>Nodes!D636+"'E4!%_l"</f>
        <v>#VALUE!</v>
      </c>
      <c r="FC82" t="e">
        <f>Nodes!E636+"'E4!%_m"</f>
        <v>#VALUE!</v>
      </c>
      <c r="FD82" t="e">
        <f>Nodes!F636+"'E4!%_n"</f>
        <v>#VALUE!</v>
      </c>
      <c r="FE82" t="e">
        <f>Nodes!G636+"'E4!%_o"</f>
        <v>#VALUE!</v>
      </c>
      <c r="FF82" t="e">
        <f>Nodes!H636+"'E4!%_p"</f>
        <v>#VALUE!</v>
      </c>
      <c r="FG82" t="e">
        <f>Nodes!I636+"'E4!%_q"</f>
        <v>#VALUE!</v>
      </c>
      <c r="FH82" t="e">
        <f>Nodes!J636+"'E4!%_r"</f>
        <v>#VALUE!</v>
      </c>
      <c r="FI82" t="e">
        <f>Nodes!K636+"'E4!%_s"</f>
        <v>#VALUE!</v>
      </c>
      <c r="FJ82" t="e">
        <f>Nodes!L636+"'E4!%_t"</f>
        <v>#VALUE!</v>
      </c>
      <c r="FK82" t="e">
        <f>Nodes!M636+"'E4!%_u"</f>
        <v>#VALUE!</v>
      </c>
      <c r="FL82" t="e">
        <f>Nodes!N636+"'E4!%_v"</f>
        <v>#VALUE!</v>
      </c>
      <c r="FM82" t="e">
        <f>Nodes!O636+"'E4!%_w"</f>
        <v>#VALUE!</v>
      </c>
      <c r="FN82" t="e">
        <f>Nodes!P636+"'E4!%_x"</f>
        <v>#VALUE!</v>
      </c>
      <c r="FO82" t="e">
        <f>Nodes!Q636+"'E4!%_y"</f>
        <v>#VALUE!</v>
      </c>
      <c r="FP82" t="e">
        <f>Nodes!R636+"'E4!%_z"</f>
        <v>#VALUE!</v>
      </c>
      <c r="FQ82" t="e">
        <f>Nodes!S636+"'E4!%_{"</f>
        <v>#VALUE!</v>
      </c>
      <c r="FR82" s="547" t="e">
        <f>Nodes!T636+"'E4!%_|"</f>
        <v>#VALUE!</v>
      </c>
      <c r="FS82" t="e">
        <f>Nodes!U636+"'E4!%_}"</f>
        <v>#VALUE!</v>
      </c>
      <c r="FT82" t="e">
        <f>Nodes!V636+"'E4!%_~"</f>
        <v>#VALUE!</v>
      </c>
      <c r="FU82" s="547" t="e">
        <f>Nodes!W636+"'E4!%`#"</f>
        <v>#VALUE!</v>
      </c>
      <c r="FV82" t="e">
        <f>Nodes!X636+"'E4!%`$"</f>
        <v>#VALUE!</v>
      </c>
      <c r="FW82" t="e">
        <f>Nodes!Y636+"'E4!%`%"</f>
        <v>#VALUE!</v>
      </c>
      <c r="FX82" t="e">
        <f>Nodes!Z636+"'E4!%`&amp;"</f>
        <v>#VALUE!</v>
      </c>
      <c r="FY82" t="e">
        <f>Nodes!AA636+"'E4!%`'"</f>
        <v>#VALUE!</v>
      </c>
      <c r="FZ82" t="e">
        <f>Nodes!AB636+"'E4!%`("</f>
        <v>#VALUE!</v>
      </c>
      <c r="GA82" t="e">
        <f>Nodes!AC636+"'E4!%`)"</f>
        <v>#VALUE!</v>
      </c>
      <c r="GB82" t="e">
        <f>Nodes!A637+"'E4!%`."</f>
        <v>#VALUE!</v>
      </c>
      <c r="GC82" t="e">
        <f>Nodes!B637+"'E4!%`/"</f>
        <v>#VALUE!</v>
      </c>
      <c r="GD82" t="e">
        <f>Nodes!C637+"'E4!%`0"</f>
        <v>#VALUE!</v>
      </c>
      <c r="GE82" t="e">
        <f>Nodes!D637+"'E4!%`1"</f>
        <v>#VALUE!</v>
      </c>
      <c r="GF82" t="e">
        <f>Nodes!E637+"'E4!%`2"</f>
        <v>#VALUE!</v>
      </c>
      <c r="GG82" t="e">
        <f>Nodes!F637+"'E4!%`3"</f>
        <v>#VALUE!</v>
      </c>
      <c r="GH82" t="e">
        <f>Nodes!G637+"'E4!%`4"</f>
        <v>#VALUE!</v>
      </c>
      <c r="GI82" t="e">
        <f>Nodes!H637+"'E4!%`5"</f>
        <v>#VALUE!</v>
      </c>
      <c r="GJ82" t="e">
        <f>Nodes!I637+"'E4!%`6"</f>
        <v>#VALUE!</v>
      </c>
      <c r="GK82" t="e">
        <f>Nodes!J637+"'E4!%`7"</f>
        <v>#VALUE!</v>
      </c>
      <c r="GL82" t="e">
        <f>Nodes!K637+"'E4!%`8"</f>
        <v>#VALUE!</v>
      </c>
      <c r="GM82" t="e">
        <f>Nodes!L637+"'E4!%`9"</f>
        <v>#VALUE!</v>
      </c>
      <c r="GN82" t="e">
        <f>Nodes!M637+"'E4!%`:"</f>
        <v>#VALUE!</v>
      </c>
      <c r="GO82" t="e">
        <f>Nodes!N637+"'E4!%`;"</f>
        <v>#VALUE!</v>
      </c>
      <c r="GP82" t="e">
        <f>Nodes!O637+"'E4!%`&lt;"</f>
        <v>#VALUE!</v>
      </c>
      <c r="GQ82" t="e">
        <f>Nodes!P637+"'E4!%`="</f>
        <v>#VALUE!</v>
      </c>
      <c r="GR82" t="e">
        <f>Nodes!Q637+"'E4!%`&gt;"</f>
        <v>#VALUE!</v>
      </c>
      <c r="GS82" t="e">
        <f>Nodes!R637+"'E4!%`?"</f>
        <v>#VALUE!</v>
      </c>
      <c r="GT82" t="e">
        <f>Nodes!S637+"'E4!%`@"</f>
        <v>#VALUE!</v>
      </c>
      <c r="GU82" s="547" t="e">
        <f>Nodes!T637+"'E4!%`A"</f>
        <v>#VALUE!</v>
      </c>
      <c r="GV82" t="e">
        <f>Nodes!U637+"'E4!%`B"</f>
        <v>#VALUE!</v>
      </c>
      <c r="GW82" t="e">
        <f>Nodes!V637+"'E4!%`C"</f>
        <v>#VALUE!</v>
      </c>
      <c r="GX82" s="547" t="e">
        <f>Nodes!W637+"'E4!%`D"</f>
        <v>#VALUE!</v>
      </c>
      <c r="GY82" t="e">
        <f>Nodes!X637+"'E4!%`E"</f>
        <v>#VALUE!</v>
      </c>
      <c r="GZ82" t="e">
        <f>Nodes!Y637+"'E4!%`F"</f>
        <v>#VALUE!</v>
      </c>
      <c r="HA82" t="e">
        <f>Nodes!Z637+"'E4!%`G"</f>
        <v>#VALUE!</v>
      </c>
      <c r="HB82" t="e">
        <f>Nodes!AA637+"'E4!%`H"</f>
        <v>#VALUE!</v>
      </c>
      <c r="HC82" t="e">
        <f>Nodes!AB637+"'E4!%`I"</f>
        <v>#VALUE!</v>
      </c>
      <c r="HD82" t="e">
        <f>Nodes!AC637+"'E4!%`J"</f>
        <v>#VALUE!</v>
      </c>
      <c r="HE82" t="e">
        <f>Nodes!A638+"'E4!%`K"</f>
        <v>#VALUE!</v>
      </c>
      <c r="HF82" t="e">
        <f>Nodes!B638+"'E4!%`L"</f>
        <v>#VALUE!</v>
      </c>
      <c r="HG82" t="e">
        <f>Nodes!C638+"'E4!%`M"</f>
        <v>#VALUE!</v>
      </c>
      <c r="HH82" t="e">
        <f>Nodes!D638+"'E4!%`N"</f>
        <v>#VALUE!</v>
      </c>
      <c r="HI82" t="e">
        <f>Nodes!E638+"'E4!%`O"</f>
        <v>#VALUE!</v>
      </c>
      <c r="HJ82" t="e">
        <f>Nodes!F638+"'E4!%`P"</f>
        <v>#VALUE!</v>
      </c>
      <c r="HK82" t="e">
        <f>Nodes!G638+"'E4!%`Q"</f>
        <v>#VALUE!</v>
      </c>
      <c r="HL82" t="e">
        <f>Nodes!H638+"'E4!%`R"</f>
        <v>#VALUE!</v>
      </c>
      <c r="HM82" t="e">
        <f>Nodes!I638+"'E4!%`S"</f>
        <v>#VALUE!</v>
      </c>
      <c r="HN82" t="e">
        <f>Nodes!J638+"'E4!%`T"</f>
        <v>#VALUE!</v>
      </c>
      <c r="HO82" t="e">
        <f>Nodes!K638+"'E4!%`U"</f>
        <v>#VALUE!</v>
      </c>
      <c r="HP82" t="e">
        <f>Nodes!L638+"'E4!%`V"</f>
        <v>#VALUE!</v>
      </c>
      <c r="HQ82" t="e">
        <f>Nodes!M638+"'E4!%`W"</f>
        <v>#VALUE!</v>
      </c>
      <c r="HR82" t="e">
        <f>Nodes!N638+"'E4!%`X"</f>
        <v>#VALUE!</v>
      </c>
      <c r="HS82" t="e">
        <f>Nodes!O638+"'E4!%`Y"</f>
        <v>#VALUE!</v>
      </c>
      <c r="HT82" t="e">
        <f>Nodes!P638+"'E4!%`Z"</f>
        <v>#VALUE!</v>
      </c>
      <c r="HU82" t="e">
        <f>Nodes!Q638+"'E4!%`["</f>
        <v>#VALUE!</v>
      </c>
      <c r="HV82" t="e">
        <f>Nodes!R638+"'E4!%`\"</f>
        <v>#VALUE!</v>
      </c>
      <c r="HW82" t="e">
        <f>Nodes!S638+"'E4!%`]"</f>
        <v>#VALUE!</v>
      </c>
      <c r="HX82" s="547" t="e">
        <f>Nodes!T638+"'E4!%`^"</f>
        <v>#VALUE!</v>
      </c>
      <c r="HY82" t="e">
        <f>Nodes!U638+"'E4!%`_"</f>
        <v>#VALUE!</v>
      </c>
      <c r="HZ82" t="e">
        <f>Nodes!V638+"'E4!%``"</f>
        <v>#VALUE!</v>
      </c>
      <c r="IA82" s="547" t="e">
        <f>Nodes!W638+"'E4!%`a"</f>
        <v>#VALUE!</v>
      </c>
      <c r="IB82" t="e">
        <f>Nodes!X638+"'E4!%`b"</f>
        <v>#VALUE!</v>
      </c>
      <c r="IC82" t="e">
        <f>Nodes!Y638+"'E4!%`c"</f>
        <v>#VALUE!</v>
      </c>
      <c r="ID82" t="e">
        <f>Nodes!Z638+"'E4!%`d"</f>
        <v>#VALUE!</v>
      </c>
      <c r="IE82" t="e">
        <f>Nodes!AA638+"'E4!%`e"</f>
        <v>#VALUE!</v>
      </c>
      <c r="IF82" t="e">
        <f>Nodes!AB638+"'E4!%`f"</f>
        <v>#VALUE!</v>
      </c>
      <c r="IG82" t="e">
        <f>Nodes!AC638+"'E4!%`g"</f>
        <v>#VALUE!</v>
      </c>
      <c r="IH82" t="e">
        <f>Nodes!A639+"'E4!%`h"</f>
        <v>#VALUE!</v>
      </c>
      <c r="II82" t="e">
        <f>Nodes!B639+"'E4!%`i"</f>
        <v>#VALUE!</v>
      </c>
      <c r="IJ82" t="e">
        <f>Nodes!C639+"'E4!%`j"</f>
        <v>#VALUE!</v>
      </c>
      <c r="IK82" t="e">
        <f>Nodes!D639+"'E4!%`k"</f>
        <v>#VALUE!</v>
      </c>
      <c r="IL82" t="e">
        <f>Nodes!E639+"'E4!%`l"</f>
        <v>#VALUE!</v>
      </c>
      <c r="IM82" t="e">
        <f>Nodes!F639+"'E4!%`m"</f>
        <v>#VALUE!</v>
      </c>
      <c r="IN82" t="e">
        <f>Nodes!G639+"'E4!%`n"</f>
        <v>#VALUE!</v>
      </c>
      <c r="IO82" t="e">
        <f>Nodes!H639+"'E4!%`o"</f>
        <v>#VALUE!</v>
      </c>
      <c r="IP82" t="e">
        <f>Nodes!I639+"'E4!%`p"</f>
        <v>#VALUE!</v>
      </c>
      <c r="IQ82" t="e">
        <f>Nodes!J639+"'E4!%`q"</f>
        <v>#VALUE!</v>
      </c>
      <c r="IR82" t="e">
        <f>Nodes!K639+"'E4!%`r"</f>
        <v>#VALUE!</v>
      </c>
      <c r="IS82" t="e">
        <f>Nodes!L639+"'E4!%`s"</f>
        <v>#VALUE!</v>
      </c>
      <c r="IT82" t="e">
        <f>Nodes!M639+"'E4!%`t"</f>
        <v>#VALUE!</v>
      </c>
      <c r="IU82" t="e">
        <f>Nodes!N639+"'E4!%`u"</f>
        <v>#VALUE!</v>
      </c>
      <c r="IV82" t="e">
        <f>Nodes!O639+"'E4!%`v"</f>
        <v>#VALUE!</v>
      </c>
    </row>
    <row r="83" spans="6:256">
      <c r="F83" t="e">
        <f>Nodes!P639+"'E4!%`w"</f>
        <v>#VALUE!</v>
      </c>
      <c r="G83" t="e">
        <f>Nodes!Q639+"'E4!%`x"</f>
        <v>#VALUE!</v>
      </c>
      <c r="H83" t="e">
        <f>Nodes!R639+"'E4!%`y"</f>
        <v>#VALUE!</v>
      </c>
      <c r="I83" t="e">
        <f>Nodes!S639+"'E4!%`z"</f>
        <v>#VALUE!</v>
      </c>
      <c r="J83" s="547" t="e">
        <f>Nodes!T639+"'E4!%`{"</f>
        <v>#VALUE!</v>
      </c>
      <c r="K83" t="e">
        <f>Nodes!U639+"'E4!%`|"</f>
        <v>#VALUE!</v>
      </c>
      <c r="L83" t="e">
        <f>Nodes!V639+"'E4!%`}"</f>
        <v>#VALUE!</v>
      </c>
      <c r="M83" s="547" t="e">
        <f>Nodes!W639+"'E4!%`~"</f>
        <v>#VALUE!</v>
      </c>
      <c r="N83" t="e">
        <f>Nodes!X639+"'E4!%a#"</f>
        <v>#VALUE!</v>
      </c>
      <c r="O83" t="e">
        <f>Nodes!Y639+"'E4!%a$"</f>
        <v>#VALUE!</v>
      </c>
      <c r="P83" t="e">
        <f>Nodes!Z639+"'E4!%a%"</f>
        <v>#VALUE!</v>
      </c>
      <c r="Q83" t="e">
        <f>Nodes!AA639+"'E4!%a&amp;"</f>
        <v>#VALUE!</v>
      </c>
      <c r="R83" t="e">
        <f>Nodes!AB639+"'E4!%a'"</f>
        <v>#VALUE!</v>
      </c>
      <c r="S83" t="e">
        <f>Nodes!AC639+"'E4!%a("</f>
        <v>#VALUE!</v>
      </c>
      <c r="T83" t="e">
        <f>Nodes!A640+"'E4!%a)"</f>
        <v>#VALUE!</v>
      </c>
      <c r="U83" t="e">
        <f>Nodes!B640+"'E4!%a."</f>
        <v>#VALUE!</v>
      </c>
      <c r="V83" t="e">
        <f>Nodes!C640+"'E4!%a/"</f>
        <v>#VALUE!</v>
      </c>
      <c r="W83" t="e">
        <f>Nodes!D640+"'E4!%a0"</f>
        <v>#VALUE!</v>
      </c>
      <c r="X83" t="e">
        <f>Nodes!E640+"'E4!%a1"</f>
        <v>#VALUE!</v>
      </c>
      <c r="Y83" t="e">
        <f>Nodes!F640+"'E4!%a2"</f>
        <v>#VALUE!</v>
      </c>
      <c r="Z83" t="e">
        <f>Nodes!G640+"'E4!%a3"</f>
        <v>#VALUE!</v>
      </c>
      <c r="AA83" t="e">
        <f>Nodes!H640+"'E4!%a4"</f>
        <v>#VALUE!</v>
      </c>
      <c r="AB83" t="e">
        <f>Nodes!I640+"'E4!%a5"</f>
        <v>#VALUE!</v>
      </c>
      <c r="AC83" t="e">
        <f>Nodes!J640+"'E4!%a6"</f>
        <v>#VALUE!</v>
      </c>
      <c r="AD83" t="e">
        <f>Nodes!K640+"'E4!%a7"</f>
        <v>#VALUE!</v>
      </c>
      <c r="AE83" t="e">
        <f>Nodes!L640+"'E4!%a8"</f>
        <v>#VALUE!</v>
      </c>
      <c r="AF83" t="e">
        <f>Nodes!M640+"'E4!%a9"</f>
        <v>#VALUE!</v>
      </c>
      <c r="AG83" t="e">
        <f>Nodes!N640+"'E4!%a:"</f>
        <v>#VALUE!</v>
      </c>
      <c r="AH83" t="e">
        <f>Nodes!O640+"'E4!%a;"</f>
        <v>#VALUE!</v>
      </c>
      <c r="AI83" t="e">
        <f>Nodes!P640+"'E4!%a&lt;"</f>
        <v>#VALUE!</v>
      </c>
      <c r="AJ83" t="e">
        <f>Nodes!Q640+"'E4!%a="</f>
        <v>#VALUE!</v>
      </c>
      <c r="AK83" t="e">
        <f>Nodes!R640+"'E4!%a&gt;"</f>
        <v>#VALUE!</v>
      </c>
      <c r="AL83" t="e">
        <f>Nodes!S640+"'E4!%a?"</f>
        <v>#VALUE!</v>
      </c>
      <c r="AM83" s="547" t="e">
        <f>Nodes!T640+"'E4!%a@"</f>
        <v>#VALUE!</v>
      </c>
      <c r="AN83" t="e">
        <f>Nodes!U640+"'E4!%aA"</f>
        <v>#VALUE!</v>
      </c>
      <c r="AO83" t="e">
        <f>Nodes!V640+"'E4!%aB"</f>
        <v>#VALUE!</v>
      </c>
      <c r="AP83" s="547" t="e">
        <f>Nodes!W640+"'E4!%aC"</f>
        <v>#VALUE!</v>
      </c>
      <c r="AQ83" t="e">
        <f>Nodes!X640+"'E4!%aD"</f>
        <v>#VALUE!</v>
      </c>
      <c r="AR83" t="e">
        <f>Nodes!Y640+"'E4!%aE"</f>
        <v>#VALUE!</v>
      </c>
      <c r="AS83" t="e">
        <f>Nodes!Z640+"'E4!%aF"</f>
        <v>#VALUE!</v>
      </c>
      <c r="AT83" t="e">
        <f>Nodes!AA640+"'E4!%aG"</f>
        <v>#VALUE!</v>
      </c>
      <c r="AU83" t="e">
        <f>Nodes!AB640+"'E4!%aH"</f>
        <v>#VALUE!</v>
      </c>
      <c r="AV83" t="e">
        <f>Nodes!AC640+"'E4!%aI"</f>
        <v>#VALUE!</v>
      </c>
      <c r="AW83" t="e">
        <f>Nodes!A641+"'E4!%aJ"</f>
        <v>#VALUE!</v>
      </c>
      <c r="AX83" t="e">
        <f>Nodes!B641+"'E4!%aK"</f>
        <v>#VALUE!</v>
      </c>
      <c r="AY83" t="e">
        <f>Nodes!C641+"'E4!%aL"</f>
        <v>#VALUE!</v>
      </c>
      <c r="AZ83" t="e">
        <f>Nodes!D641+"'E4!%aM"</f>
        <v>#VALUE!</v>
      </c>
      <c r="BA83" t="e">
        <f>Nodes!E641+"'E4!%aN"</f>
        <v>#VALUE!</v>
      </c>
      <c r="BB83" t="e">
        <f>Nodes!F641+"'E4!%aO"</f>
        <v>#VALUE!</v>
      </c>
      <c r="BC83" t="e">
        <f>Nodes!G641+"'E4!%aP"</f>
        <v>#VALUE!</v>
      </c>
      <c r="BD83" t="e">
        <f>Nodes!H641+"'E4!%aQ"</f>
        <v>#VALUE!</v>
      </c>
      <c r="BE83" t="e">
        <f>Nodes!I641+"'E4!%aR"</f>
        <v>#VALUE!</v>
      </c>
      <c r="BF83" t="e">
        <f>Nodes!J641+"'E4!%aS"</f>
        <v>#VALUE!</v>
      </c>
      <c r="BG83" t="e">
        <f>Nodes!K641+"'E4!%aT"</f>
        <v>#VALUE!</v>
      </c>
      <c r="BH83" t="e">
        <f>Nodes!L641+"'E4!%aU"</f>
        <v>#VALUE!</v>
      </c>
      <c r="BI83" t="e">
        <f>Nodes!M641+"'E4!%aV"</f>
        <v>#VALUE!</v>
      </c>
      <c r="BJ83" t="e">
        <f>Nodes!N641+"'E4!%aW"</f>
        <v>#VALUE!</v>
      </c>
      <c r="BK83" t="e">
        <f>Nodes!O641+"'E4!%aX"</f>
        <v>#VALUE!</v>
      </c>
      <c r="BL83" t="e">
        <f>Nodes!P641+"'E4!%aY"</f>
        <v>#VALUE!</v>
      </c>
      <c r="BM83" t="e">
        <f>Nodes!Q641+"'E4!%aZ"</f>
        <v>#VALUE!</v>
      </c>
      <c r="BN83" t="e">
        <f>Nodes!R641+"'E4!%a["</f>
        <v>#VALUE!</v>
      </c>
      <c r="BO83" t="e">
        <f>Nodes!S641+"'E4!%a\"</f>
        <v>#VALUE!</v>
      </c>
      <c r="BP83" s="547" t="e">
        <f>Nodes!T641+"'E4!%a]"</f>
        <v>#VALUE!</v>
      </c>
      <c r="BQ83" t="e">
        <f>Nodes!U641+"'E4!%a^"</f>
        <v>#VALUE!</v>
      </c>
      <c r="BR83" t="e">
        <f>Nodes!V641+"'E4!%a_"</f>
        <v>#VALUE!</v>
      </c>
      <c r="BS83" s="547" t="e">
        <f>Nodes!W641+"'E4!%a`"</f>
        <v>#VALUE!</v>
      </c>
      <c r="BT83" t="e">
        <f>Nodes!X641+"'E4!%aa"</f>
        <v>#VALUE!</v>
      </c>
      <c r="BU83" t="e">
        <f>Nodes!Y641+"'E4!%ab"</f>
        <v>#VALUE!</v>
      </c>
      <c r="BV83" t="e">
        <f>Nodes!Z641+"'E4!%ac"</f>
        <v>#VALUE!</v>
      </c>
      <c r="BW83" t="e">
        <f>Nodes!AA641+"'E4!%ad"</f>
        <v>#VALUE!</v>
      </c>
      <c r="BX83" t="e">
        <f>Nodes!AB641+"'E4!%ae"</f>
        <v>#VALUE!</v>
      </c>
      <c r="BY83" t="e">
        <f>Nodes!AC641+"'E4!%af"</f>
        <v>#VALUE!</v>
      </c>
      <c r="BZ83" t="e">
        <f>Nodes!A642+"'E4!%ag"</f>
        <v>#VALUE!</v>
      </c>
      <c r="CA83" t="e">
        <f>Nodes!B642+"'E4!%ah"</f>
        <v>#VALUE!</v>
      </c>
      <c r="CB83" t="e">
        <f>Nodes!C642+"'E4!%ai"</f>
        <v>#VALUE!</v>
      </c>
      <c r="CC83" t="e">
        <f>Nodes!D642+"'E4!%aj"</f>
        <v>#VALUE!</v>
      </c>
      <c r="CD83" t="e">
        <f>Nodes!E642+"'E4!%ak"</f>
        <v>#VALUE!</v>
      </c>
      <c r="CE83" t="e">
        <f>Nodes!F642+"'E4!%al"</f>
        <v>#VALUE!</v>
      </c>
      <c r="CF83" t="e">
        <f>Nodes!G642+"'E4!%am"</f>
        <v>#VALUE!</v>
      </c>
      <c r="CG83" t="e">
        <f>Nodes!H642+"'E4!%an"</f>
        <v>#VALUE!</v>
      </c>
      <c r="CH83" t="e">
        <f>Nodes!I642+"'E4!%ao"</f>
        <v>#VALUE!</v>
      </c>
      <c r="CI83" t="e">
        <f>Nodes!J642+"'E4!%ap"</f>
        <v>#VALUE!</v>
      </c>
      <c r="CJ83" t="e">
        <f>Nodes!K642+"'E4!%aq"</f>
        <v>#VALUE!</v>
      </c>
      <c r="CK83" t="e">
        <f>Nodes!L642+"'E4!%ar"</f>
        <v>#VALUE!</v>
      </c>
      <c r="CL83" t="e">
        <f>Nodes!M642+"'E4!%as"</f>
        <v>#VALUE!</v>
      </c>
      <c r="CM83" t="e">
        <f>Nodes!N642+"'E4!%at"</f>
        <v>#VALUE!</v>
      </c>
      <c r="CN83" t="e">
        <f>Nodes!O642+"'E4!%au"</f>
        <v>#VALUE!</v>
      </c>
      <c r="CO83" t="e">
        <f>Nodes!P642+"'E4!%av"</f>
        <v>#VALUE!</v>
      </c>
      <c r="CP83" t="e">
        <f>Nodes!Q642+"'E4!%aw"</f>
        <v>#VALUE!</v>
      </c>
      <c r="CQ83" t="e">
        <f>Nodes!R642+"'E4!%ax"</f>
        <v>#VALUE!</v>
      </c>
      <c r="CR83" t="e">
        <f>Nodes!S642+"'E4!%ay"</f>
        <v>#VALUE!</v>
      </c>
      <c r="CS83" s="547" t="e">
        <f>Nodes!T642+"'E4!%az"</f>
        <v>#VALUE!</v>
      </c>
      <c r="CT83" t="e">
        <f>Nodes!U642+"'E4!%a{"</f>
        <v>#VALUE!</v>
      </c>
      <c r="CU83" t="e">
        <f>Nodes!V642+"'E4!%a|"</f>
        <v>#VALUE!</v>
      </c>
      <c r="CV83" s="547" t="e">
        <f>Nodes!W642+"'E4!%a}"</f>
        <v>#VALUE!</v>
      </c>
      <c r="CW83" t="e">
        <f>Nodes!X642+"'E4!%a~"</f>
        <v>#VALUE!</v>
      </c>
      <c r="CX83" t="e">
        <f>Nodes!Y642+"'E4!%b#"</f>
        <v>#VALUE!</v>
      </c>
      <c r="CY83" t="e">
        <f>Nodes!Z642+"'E4!%b$"</f>
        <v>#VALUE!</v>
      </c>
      <c r="CZ83" t="e">
        <f>Nodes!AA642+"'E4!%b%"</f>
        <v>#VALUE!</v>
      </c>
      <c r="DA83" t="e">
        <f>Nodes!AB642+"'E4!%b&amp;"</f>
        <v>#VALUE!</v>
      </c>
      <c r="DB83" t="e">
        <f>Nodes!AC642+"'E4!%b'"</f>
        <v>#VALUE!</v>
      </c>
      <c r="DC83" t="e">
        <f>Nodes!A643+"'E4!%b("</f>
        <v>#VALUE!</v>
      </c>
      <c r="DD83" t="e">
        <f>Nodes!B643+"'E4!%b)"</f>
        <v>#VALUE!</v>
      </c>
      <c r="DE83" t="e">
        <f>Nodes!C643+"'E4!%b."</f>
        <v>#VALUE!</v>
      </c>
      <c r="DF83" t="e">
        <f>Nodes!D643+"'E4!%b/"</f>
        <v>#VALUE!</v>
      </c>
      <c r="DG83" t="e">
        <f>Nodes!E643+"'E4!%b0"</f>
        <v>#VALUE!</v>
      </c>
      <c r="DH83" t="e">
        <f>Nodes!F643+"'E4!%b1"</f>
        <v>#VALUE!</v>
      </c>
      <c r="DI83" t="e">
        <f>Nodes!G643+"'E4!%b2"</f>
        <v>#VALUE!</v>
      </c>
      <c r="DJ83" t="e">
        <f>Nodes!H643+"'E4!%b3"</f>
        <v>#VALUE!</v>
      </c>
      <c r="DK83" t="e">
        <f>Nodes!I643+"'E4!%b4"</f>
        <v>#VALUE!</v>
      </c>
      <c r="DL83" t="e">
        <f>Nodes!J643+"'E4!%b5"</f>
        <v>#VALUE!</v>
      </c>
      <c r="DM83" t="e">
        <f>Nodes!K643+"'E4!%b6"</f>
        <v>#VALUE!</v>
      </c>
      <c r="DN83" t="e">
        <f>Nodes!L643+"'E4!%b7"</f>
        <v>#VALUE!</v>
      </c>
      <c r="DO83" t="e">
        <f>Nodes!M643+"'E4!%b8"</f>
        <v>#VALUE!</v>
      </c>
      <c r="DP83" t="e">
        <f>Nodes!N643+"'E4!%b9"</f>
        <v>#VALUE!</v>
      </c>
      <c r="DQ83" t="e">
        <f>Nodes!O643+"'E4!%b:"</f>
        <v>#VALUE!</v>
      </c>
      <c r="DR83" t="e">
        <f>Nodes!P643+"'E4!%b;"</f>
        <v>#VALUE!</v>
      </c>
      <c r="DS83" t="e">
        <f>Nodes!Q643+"'E4!%b&lt;"</f>
        <v>#VALUE!</v>
      </c>
      <c r="DT83" t="e">
        <f>Nodes!R643+"'E4!%b="</f>
        <v>#VALUE!</v>
      </c>
      <c r="DU83" t="e">
        <f>Nodes!S643+"'E4!%b&gt;"</f>
        <v>#VALUE!</v>
      </c>
      <c r="DV83" s="547" t="e">
        <f>Nodes!T643+"'E4!%b?"</f>
        <v>#VALUE!</v>
      </c>
      <c r="DW83" t="e">
        <f>Nodes!U643+"'E4!%b@"</f>
        <v>#VALUE!</v>
      </c>
      <c r="DX83" t="e">
        <f>Nodes!V643+"'E4!%bA"</f>
        <v>#VALUE!</v>
      </c>
      <c r="DY83" s="547" t="e">
        <f>Nodes!W643+"'E4!%bB"</f>
        <v>#VALUE!</v>
      </c>
      <c r="DZ83" t="e">
        <f>Nodes!X643+"'E4!%bC"</f>
        <v>#VALUE!</v>
      </c>
      <c r="EA83" t="e">
        <f>Nodes!Y643+"'E4!%bD"</f>
        <v>#VALUE!</v>
      </c>
      <c r="EB83" t="e">
        <f>Nodes!Z643+"'E4!%bE"</f>
        <v>#VALUE!</v>
      </c>
      <c r="EC83" t="e">
        <f>Nodes!AA643+"'E4!%bF"</f>
        <v>#VALUE!</v>
      </c>
      <c r="ED83" t="e">
        <f>Nodes!AB643+"'E4!%bG"</f>
        <v>#VALUE!</v>
      </c>
      <c r="EE83" t="e">
        <f>Nodes!AC643+"'E4!%bH"</f>
        <v>#VALUE!</v>
      </c>
      <c r="EF83" t="e">
        <f>Nodes!A644+"'E4!%bI"</f>
        <v>#VALUE!</v>
      </c>
      <c r="EG83" t="e">
        <f>Nodes!B644+"'E4!%bJ"</f>
        <v>#VALUE!</v>
      </c>
      <c r="EH83" t="e">
        <f>Nodes!C644+"'E4!%bK"</f>
        <v>#VALUE!</v>
      </c>
      <c r="EI83" t="e">
        <f>Nodes!D644+"'E4!%bL"</f>
        <v>#VALUE!</v>
      </c>
      <c r="EJ83" t="e">
        <f>Nodes!E644+"'E4!%bM"</f>
        <v>#VALUE!</v>
      </c>
      <c r="EK83" t="e">
        <f>Nodes!F644+"'E4!%bN"</f>
        <v>#VALUE!</v>
      </c>
      <c r="EL83" t="e">
        <f>Nodes!G644+"'E4!%bO"</f>
        <v>#VALUE!</v>
      </c>
      <c r="EM83" t="e">
        <f>Nodes!H644+"'E4!%bP"</f>
        <v>#VALUE!</v>
      </c>
      <c r="EN83" t="e">
        <f>Nodes!I644+"'E4!%bQ"</f>
        <v>#VALUE!</v>
      </c>
      <c r="EO83" t="e">
        <f>Nodes!J644+"'E4!%bR"</f>
        <v>#VALUE!</v>
      </c>
      <c r="EP83" t="e">
        <f>Nodes!K644+"'E4!%bS"</f>
        <v>#VALUE!</v>
      </c>
      <c r="EQ83" t="e">
        <f>Nodes!L644+"'E4!%bT"</f>
        <v>#VALUE!</v>
      </c>
      <c r="ER83" t="e">
        <f>Nodes!M644+"'E4!%bU"</f>
        <v>#VALUE!</v>
      </c>
      <c r="ES83" t="e">
        <f>Nodes!N644+"'E4!%bV"</f>
        <v>#VALUE!</v>
      </c>
      <c r="ET83" t="e">
        <f>Nodes!O644+"'E4!%bW"</f>
        <v>#VALUE!</v>
      </c>
      <c r="EU83" t="e">
        <f>Nodes!P644+"'E4!%bX"</f>
        <v>#VALUE!</v>
      </c>
      <c r="EV83" t="e">
        <f>Nodes!Q644+"'E4!%bY"</f>
        <v>#VALUE!</v>
      </c>
      <c r="EW83" t="e">
        <f>Nodes!R644+"'E4!%bZ"</f>
        <v>#VALUE!</v>
      </c>
      <c r="EX83" t="e">
        <f>Nodes!S644+"'E4!%b["</f>
        <v>#VALUE!</v>
      </c>
      <c r="EY83" s="547" t="e">
        <f>Nodes!T644+"'E4!%b\"</f>
        <v>#VALUE!</v>
      </c>
      <c r="EZ83" t="e">
        <f>Nodes!U644+"'E4!%b]"</f>
        <v>#VALUE!</v>
      </c>
      <c r="FA83" t="e">
        <f>Nodes!V644+"'E4!%b^"</f>
        <v>#VALUE!</v>
      </c>
      <c r="FB83" s="547" t="e">
        <f>Nodes!W644+"'E4!%b_"</f>
        <v>#VALUE!</v>
      </c>
      <c r="FC83" t="e">
        <f>Nodes!X644+"'E4!%b`"</f>
        <v>#VALUE!</v>
      </c>
      <c r="FD83" t="e">
        <f>Nodes!Y644+"'E4!%ba"</f>
        <v>#VALUE!</v>
      </c>
      <c r="FE83" t="e">
        <f>Nodes!Z644+"'E4!%bb"</f>
        <v>#VALUE!</v>
      </c>
      <c r="FF83" t="e">
        <f>Nodes!AA644+"'E4!%bc"</f>
        <v>#VALUE!</v>
      </c>
      <c r="FG83" t="e">
        <f>Nodes!AB644+"'E4!%bd"</f>
        <v>#VALUE!</v>
      </c>
      <c r="FH83" t="e">
        <f>Nodes!AC644+"'E4!%be"</f>
        <v>#VALUE!</v>
      </c>
      <c r="FI83" t="e">
        <f>Nodes!A645+"'E4!%bf"</f>
        <v>#VALUE!</v>
      </c>
      <c r="FJ83" t="e">
        <f>Nodes!B645+"'E4!%bg"</f>
        <v>#VALUE!</v>
      </c>
      <c r="FK83" t="e">
        <f>Nodes!C645+"'E4!%bh"</f>
        <v>#VALUE!</v>
      </c>
      <c r="FL83" t="e">
        <f>Nodes!D645+"'E4!%bi"</f>
        <v>#VALUE!</v>
      </c>
      <c r="FM83" t="e">
        <f>Nodes!E645+"'E4!%bj"</f>
        <v>#VALUE!</v>
      </c>
      <c r="FN83" t="e">
        <f>Nodes!F645+"'E4!%bk"</f>
        <v>#VALUE!</v>
      </c>
      <c r="FO83" t="e">
        <f>Nodes!G645+"'E4!%bl"</f>
        <v>#VALUE!</v>
      </c>
      <c r="FP83" t="e">
        <f>Nodes!H645+"'E4!%bm"</f>
        <v>#VALUE!</v>
      </c>
      <c r="FQ83" t="e">
        <f>Nodes!I645+"'E4!%bn"</f>
        <v>#VALUE!</v>
      </c>
      <c r="FR83" t="e">
        <f>Nodes!J645+"'E4!%bo"</f>
        <v>#VALUE!</v>
      </c>
      <c r="FS83" t="e">
        <f>Nodes!K645+"'E4!%bp"</f>
        <v>#VALUE!</v>
      </c>
      <c r="FT83" t="e">
        <f>Nodes!L645+"'E4!%bq"</f>
        <v>#VALUE!</v>
      </c>
      <c r="FU83" t="e">
        <f>Nodes!M645+"'E4!%br"</f>
        <v>#VALUE!</v>
      </c>
      <c r="FV83" t="e">
        <f>Nodes!N645+"'E4!%bs"</f>
        <v>#VALUE!</v>
      </c>
      <c r="FW83" t="e">
        <f>Nodes!O645+"'E4!%bt"</f>
        <v>#VALUE!</v>
      </c>
      <c r="FX83" t="e">
        <f>Nodes!P645+"'E4!%bu"</f>
        <v>#VALUE!</v>
      </c>
      <c r="FY83" t="e">
        <f>Nodes!Q645+"'E4!%bv"</f>
        <v>#VALUE!</v>
      </c>
      <c r="FZ83" t="e">
        <f>Nodes!R645+"'E4!%bw"</f>
        <v>#VALUE!</v>
      </c>
      <c r="GA83" t="e">
        <f>Nodes!S645+"'E4!%bx"</f>
        <v>#VALUE!</v>
      </c>
      <c r="GB83" s="547" t="e">
        <f>Nodes!T645+"'E4!%by"</f>
        <v>#VALUE!</v>
      </c>
      <c r="GC83" t="e">
        <f>Nodes!U645+"'E4!%bz"</f>
        <v>#VALUE!</v>
      </c>
      <c r="GD83" t="e">
        <f>Nodes!V645+"'E4!%b{"</f>
        <v>#VALUE!</v>
      </c>
      <c r="GE83" s="547" t="e">
        <f>Nodes!W645+"'E4!%b|"</f>
        <v>#VALUE!</v>
      </c>
      <c r="GF83" t="e">
        <f>Nodes!X645+"'E4!%b}"</f>
        <v>#VALUE!</v>
      </c>
      <c r="GG83" t="e">
        <f>Nodes!Y645+"'E4!%b~"</f>
        <v>#VALUE!</v>
      </c>
      <c r="GH83" t="e">
        <f>Nodes!Z645+"'E4!%c#"</f>
        <v>#VALUE!</v>
      </c>
      <c r="GI83" t="e">
        <f>Nodes!AA645+"'E4!%c$"</f>
        <v>#VALUE!</v>
      </c>
      <c r="GJ83" t="e">
        <f>Nodes!AB645+"'E4!%c%"</f>
        <v>#VALUE!</v>
      </c>
      <c r="GK83" t="e">
        <f>Nodes!AC645+"'E4!%c&amp;"</f>
        <v>#VALUE!</v>
      </c>
      <c r="GL83" t="e">
        <f>Nodes!A646+"'E4!%c'"</f>
        <v>#VALUE!</v>
      </c>
      <c r="GM83" t="e">
        <f>Nodes!B646+"'E4!%c("</f>
        <v>#VALUE!</v>
      </c>
      <c r="GN83" t="e">
        <f>Nodes!C646+"'E4!%c)"</f>
        <v>#VALUE!</v>
      </c>
      <c r="GO83" t="e">
        <f>Nodes!D646+"'E4!%c."</f>
        <v>#VALUE!</v>
      </c>
      <c r="GP83" t="e">
        <f>Nodes!E646+"'E4!%c/"</f>
        <v>#VALUE!</v>
      </c>
      <c r="GQ83" t="e">
        <f>Nodes!F646+"'E4!%c0"</f>
        <v>#VALUE!</v>
      </c>
      <c r="GR83" t="e">
        <f>Nodes!G646+"'E4!%c1"</f>
        <v>#VALUE!</v>
      </c>
      <c r="GS83" t="e">
        <f>Nodes!H646+"'E4!%c2"</f>
        <v>#VALUE!</v>
      </c>
      <c r="GT83" t="e">
        <f>Nodes!I646+"'E4!%c3"</f>
        <v>#VALUE!</v>
      </c>
      <c r="GU83" t="e">
        <f>Nodes!J646+"'E4!%c4"</f>
        <v>#VALUE!</v>
      </c>
      <c r="GV83" t="e">
        <f>Nodes!K646+"'E4!%c5"</f>
        <v>#VALUE!</v>
      </c>
      <c r="GW83" t="e">
        <f>Nodes!L646+"'E4!%c6"</f>
        <v>#VALUE!</v>
      </c>
      <c r="GX83" t="e">
        <f>Nodes!M646+"'E4!%c7"</f>
        <v>#VALUE!</v>
      </c>
      <c r="GY83" t="e">
        <f>Nodes!N646+"'E4!%c8"</f>
        <v>#VALUE!</v>
      </c>
      <c r="GZ83" t="e">
        <f>Nodes!O646+"'E4!%c9"</f>
        <v>#VALUE!</v>
      </c>
      <c r="HA83" t="e">
        <f>Nodes!P646+"'E4!%c:"</f>
        <v>#VALUE!</v>
      </c>
      <c r="HB83" t="e">
        <f>Nodes!Q646+"'E4!%c;"</f>
        <v>#VALUE!</v>
      </c>
      <c r="HC83" t="e">
        <f>Nodes!R646+"'E4!%c&lt;"</f>
        <v>#VALUE!</v>
      </c>
      <c r="HD83" t="e">
        <f>Nodes!S646+"'E4!%c="</f>
        <v>#VALUE!</v>
      </c>
      <c r="HE83" s="547" t="e">
        <f>Nodes!T646+"'E4!%c&gt;"</f>
        <v>#VALUE!</v>
      </c>
      <c r="HF83" t="e">
        <f>Nodes!U646+"'E4!%c?"</f>
        <v>#VALUE!</v>
      </c>
      <c r="HG83" t="e">
        <f>Nodes!V646+"'E4!%c@"</f>
        <v>#VALUE!</v>
      </c>
      <c r="HH83" s="547" t="e">
        <f>Nodes!W646+"'E4!%cA"</f>
        <v>#VALUE!</v>
      </c>
      <c r="HI83" t="e">
        <f>Nodes!X646+"'E4!%cB"</f>
        <v>#VALUE!</v>
      </c>
      <c r="HJ83" t="e">
        <f>Nodes!Y646+"'E4!%cC"</f>
        <v>#VALUE!</v>
      </c>
      <c r="HK83" t="e">
        <f>Nodes!Z646+"'E4!%cD"</f>
        <v>#VALUE!</v>
      </c>
      <c r="HL83" t="e">
        <f>Nodes!AA646+"'E4!%cE"</f>
        <v>#VALUE!</v>
      </c>
      <c r="HM83" t="e">
        <f>Nodes!AB646+"'E4!%cF"</f>
        <v>#VALUE!</v>
      </c>
      <c r="HN83" t="e">
        <f>Nodes!AC646+"'E4!%cG"</f>
        <v>#VALUE!</v>
      </c>
      <c r="HO83" t="e">
        <f>Nodes!A647+"'E4!%cH"</f>
        <v>#VALUE!</v>
      </c>
      <c r="HP83" t="e">
        <f>Nodes!B647+"'E4!%cI"</f>
        <v>#VALUE!</v>
      </c>
      <c r="HQ83" t="e">
        <f>Nodes!C647+"'E4!%cJ"</f>
        <v>#VALUE!</v>
      </c>
      <c r="HR83" t="e">
        <f>Nodes!D647+"'E4!%cK"</f>
        <v>#VALUE!</v>
      </c>
      <c r="HS83" t="e">
        <f>Nodes!E647+"'E4!%cL"</f>
        <v>#VALUE!</v>
      </c>
      <c r="HT83" t="e">
        <f>Nodes!F647+"'E4!%cM"</f>
        <v>#VALUE!</v>
      </c>
      <c r="HU83" t="e">
        <f>Nodes!G647+"'E4!%cN"</f>
        <v>#VALUE!</v>
      </c>
      <c r="HV83" t="e">
        <f>Nodes!H647+"'E4!%cO"</f>
        <v>#VALUE!</v>
      </c>
      <c r="HW83" t="e">
        <f>Nodes!I647+"'E4!%cP"</f>
        <v>#VALUE!</v>
      </c>
      <c r="HX83" t="e">
        <f>Nodes!J647+"'E4!%cQ"</f>
        <v>#VALUE!</v>
      </c>
      <c r="HY83" t="e">
        <f>Nodes!K647+"'E4!%cR"</f>
        <v>#VALUE!</v>
      </c>
      <c r="HZ83" t="e">
        <f>Nodes!L647+"'E4!%cS"</f>
        <v>#VALUE!</v>
      </c>
      <c r="IA83" t="e">
        <f>Nodes!M647+"'E4!%cT"</f>
        <v>#VALUE!</v>
      </c>
      <c r="IB83" t="e">
        <f>Nodes!N647+"'E4!%cU"</f>
        <v>#VALUE!</v>
      </c>
      <c r="IC83" t="e">
        <f>Nodes!O647+"'E4!%cV"</f>
        <v>#VALUE!</v>
      </c>
      <c r="ID83" t="e">
        <f>Nodes!P647+"'E4!%cW"</f>
        <v>#VALUE!</v>
      </c>
      <c r="IE83" t="e">
        <f>Nodes!Q647+"'E4!%cX"</f>
        <v>#VALUE!</v>
      </c>
      <c r="IF83" t="e">
        <f>Nodes!R647+"'E4!%cY"</f>
        <v>#VALUE!</v>
      </c>
      <c r="IG83" t="e">
        <f>Nodes!S647+"'E4!%cZ"</f>
        <v>#VALUE!</v>
      </c>
      <c r="IH83" s="547" t="e">
        <f>Nodes!T647+"'E4!%c["</f>
        <v>#VALUE!</v>
      </c>
      <c r="II83" t="e">
        <f>Nodes!U647+"'E4!%c\"</f>
        <v>#VALUE!</v>
      </c>
      <c r="IJ83" t="e">
        <f>Nodes!V647+"'E4!%c]"</f>
        <v>#VALUE!</v>
      </c>
      <c r="IK83" s="547" t="e">
        <f>Nodes!W647+"'E4!%c^"</f>
        <v>#VALUE!</v>
      </c>
      <c r="IL83" t="e">
        <f>Nodes!X647+"'E4!%c_"</f>
        <v>#VALUE!</v>
      </c>
      <c r="IM83" t="e">
        <f>Nodes!Y647+"'E4!%c`"</f>
        <v>#VALUE!</v>
      </c>
      <c r="IN83" t="e">
        <f>Nodes!Z647+"'E4!%ca"</f>
        <v>#VALUE!</v>
      </c>
      <c r="IO83" t="e">
        <f>Nodes!AA647+"'E4!%cb"</f>
        <v>#VALUE!</v>
      </c>
      <c r="IP83" t="e">
        <f>Nodes!AB647+"'E4!%cc"</f>
        <v>#VALUE!</v>
      </c>
      <c r="IQ83" t="e">
        <f>Nodes!AC647+"'E4!%cd"</f>
        <v>#VALUE!</v>
      </c>
      <c r="IR83" t="e">
        <f>Nodes!A648+"'E4!%ce"</f>
        <v>#VALUE!</v>
      </c>
      <c r="IS83" t="e">
        <f>Nodes!B648+"'E4!%cf"</f>
        <v>#VALUE!</v>
      </c>
      <c r="IT83" t="e">
        <f>Nodes!C648+"'E4!%cg"</f>
        <v>#VALUE!</v>
      </c>
      <c r="IU83" t="e">
        <f>Nodes!D648+"'E4!%ch"</f>
        <v>#VALUE!</v>
      </c>
      <c r="IV83" t="e">
        <f>Nodes!E648+"'E4!%ci"</f>
        <v>#VALUE!</v>
      </c>
    </row>
    <row r="84" spans="6:256">
      <c r="F84" t="e">
        <f>Nodes!F648+"'E4!%cj"</f>
        <v>#VALUE!</v>
      </c>
      <c r="G84" t="e">
        <f>Nodes!G648+"'E4!%ck"</f>
        <v>#VALUE!</v>
      </c>
      <c r="H84" t="e">
        <f>Nodes!H648+"'E4!%cl"</f>
        <v>#VALUE!</v>
      </c>
      <c r="I84" t="e">
        <f>Nodes!I648+"'E4!%cm"</f>
        <v>#VALUE!</v>
      </c>
      <c r="J84" t="e">
        <f>Nodes!J648+"'E4!%cn"</f>
        <v>#VALUE!</v>
      </c>
      <c r="K84" t="e">
        <f>Nodes!K648+"'E4!%co"</f>
        <v>#VALUE!</v>
      </c>
      <c r="L84" t="e">
        <f>Nodes!L648+"'E4!%cp"</f>
        <v>#VALUE!</v>
      </c>
      <c r="M84" t="e">
        <f>Nodes!M648+"'E4!%cq"</f>
        <v>#VALUE!</v>
      </c>
      <c r="N84" t="e">
        <f>Nodes!N648+"'E4!%cr"</f>
        <v>#VALUE!</v>
      </c>
      <c r="O84" t="e">
        <f>Nodes!O648+"'E4!%cs"</f>
        <v>#VALUE!</v>
      </c>
      <c r="P84" t="e">
        <f>Nodes!P648+"'E4!%ct"</f>
        <v>#VALUE!</v>
      </c>
      <c r="Q84" t="e">
        <f>Nodes!Q648+"'E4!%cu"</f>
        <v>#VALUE!</v>
      </c>
      <c r="R84" t="e">
        <f>Nodes!R648+"'E4!%cv"</f>
        <v>#VALUE!</v>
      </c>
      <c r="S84" t="e">
        <f>Nodes!S648+"'E4!%cw"</f>
        <v>#VALUE!</v>
      </c>
      <c r="T84" s="547" t="e">
        <f>Nodes!T648+"'E4!%cx"</f>
        <v>#VALUE!</v>
      </c>
      <c r="U84" t="e">
        <f>Nodes!U648+"'E4!%cy"</f>
        <v>#VALUE!</v>
      </c>
      <c r="V84" t="e">
        <f>Nodes!V648+"'E4!%cz"</f>
        <v>#VALUE!</v>
      </c>
      <c r="W84" s="547" t="e">
        <f>Nodes!W648+"'E4!%c{"</f>
        <v>#VALUE!</v>
      </c>
      <c r="X84" t="e">
        <f>Nodes!X648+"'E4!%c|"</f>
        <v>#VALUE!</v>
      </c>
      <c r="Y84" t="e">
        <f>Nodes!Y648+"'E4!%c}"</f>
        <v>#VALUE!</v>
      </c>
      <c r="Z84" t="e">
        <f>Nodes!Z648+"'E4!%c~"</f>
        <v>#VALUE!</v>
      </c>
      <c r="AA84" t="e">
        <f>Nodes!AA648+"'E4!%d#"</f>
        <v>#VALUE!</v>
      </c>
      <c r="AB84" t="e">
        <f>Nodes!AB648+"'E4!%d$"</f>
        <v>#VALUE!</v>
      </c>
      <c r="AC84" t="e">
        <f>Nodes!AC648+"'E4!%d%"</f>
        <v>#VALUE!</v>
      </c>
      <c r="AD84" t="e">
        <f>Nodes!A649+"'E4!%d&amp;"</f>
        <v>#VALUE!</v>
      </c>
      <c r="AE84" t="e">
        <f>Nodes!B649+"'E4!%d'"</f>
        <v>#VALUE!</v>
      </c>
      <c r="AF84" t="e">
        <f>Nodes!C649+"'E4!%d("</f>
        <v>#VALUE!</v>
      </c>
      <c r="AG84" t="e">
        <f>Nodes!D649+"'E4!%d)"</f>
        <v>#VALUE!</v>
      </c>
      <c r="AH84" t="e">
        <f>Nodes!E649+"'E4!%d."</f>
        <v>#VALUE!</v>
      </c>
      <c r="AI84" t="e">
        <f>Nodes!F649+"'E4!%d/"</f>
        <v>#VALUE!</v>
      </c>
      <c r="AJ84" t="e">
        <f>Nodes!G649+"'E4!%d0"</f>
        <v>#VALUE!</v>
      </c>
      <c r="AK84" t="e">
        <f>Nodes!H649+"'E4!%d1"</f>
        <v>#VALUE!</v>
      </c>
      <c r="AL84" t="e">
        <f>Nodes!I649+"'E4!%d2"</f>
        <v>#VALUE!</v>
      </c>
      <c r="AM84" t="e">
        <f>Nodes!J649+"'E4!%d3"</f>
        <v>#VALUE!</v>
      </c>
      <c r="AN84" t="e">
        <f>Nodes!K649+"'E4!%d4"</f>
        <v>#VALUE!</v>
      </c>
      <c r="AO84" t="e">
        <f>Nodes!L649+"'E4!%d5"</f>
        <v>#VALUE!</v>
      </c>
      <c r="AP84" t="e">
        <f>Nodes!M649+"'E4!%d6"</f>
        <v>#VALUE!</v>
      </c>
      <c r="AQ84" t="e">
        <f>Nodes!N649+"'E4!%d7"</f>
        <v>#VALUE!</v>
      </c>
      <c r="AR84" t="e">
        <f>Nodes!O649+"'E4!%d8"</f>
        <v>#VALUE!</v>
      </c>
      <c r="AS84" t="e">
        <f>Nodes!P649+"'E4!%d9"</f>
        <v>#VALUE!</v>
      </c>
      <c r="AT84" t="e">
        <f>Nodes!Q649+"'E4!%d:"</f>
        <v>#VALUE!</v>
      </c>
      <c r="AU84" t="e">
        <f>Nodes!R649+"'E4!%d;"</f>
        <v>#VALUE!</v>
      </c>
      <c r="AV84" t="e">
        <f>Nodes!S649+"'E4!%d&lt;"</f>
        <v>#VALUE!</v>
      </c>
      <c r="AW84" s="547" t="e">
        <f>Nodes!T649+"'E4!%d="</f>
        <v>#VALUE!</v>
      </c>
      <c r="AX84" t="e">
        <f>Nodes!U649+"'E4!%d&gt;"</f>
        <v>#VALUE!</v>
      </c>
      <c r="AY84" t="e">
        <f>Nodes!V649+"'E4!%d?"</f>
        <v>#VALUE!</v>
      </c>
      <c r="AZ84" s="547" t="e">
        <f>Nodes!W649+"'E4!%d@"</f>
        <v>#VALUE!</v>
      </c>
      <c r="BA84" t="e">
        <f>Nodes!X649+"'E4!%dA"</f>
        <v>#VALUE!</v>
      </c>
      <c r="BB84" t="e">
        <f>Nodes!Y649+"'E4!%dB"</f>
        <v>#VALUE!</v>
      </c>
      <c r="BC84" t="e">
        <f>Nodes!Z649+"'E4!%dC"</f>
        <v>#VALUE!</v>
      </c>
      <c r="BD84" t="e">
        <f>Nodes!AA649+"'E4!%dD"</f>
        <v>#VALUE!</v>
      </c>
      <c r="BE84" t="e">
        <f>Nodes!AB649+"'E4!%dE"</f>
        <v>#VALUE!</v>
      </c>
      <c r="BF84" t="e">
        <f>Nodes!AC649+"'E4!%dF"</f>
        <v>#VALUE!</v>
      </c>
      <c r="BG84" t="e">
        <f>Nodes!A650+"'E4!%dG"</f>
        <v>#VALUE!</v>
      </c>
      <c r="BH84" t="e">
        <f>Nodes!B650+"'E4!%dH"</f>
        <v>#VALUE!</v>
      </c>
      <c r="BI84" t="e">
        <f>Nodes!C650+"'E4!%dI"</f>
        <v>#VALUE!</v>
      </c>
      <c r="BJ84" t="e">
        <f>Nodes!D650+"'E4!%dJ"</f>
        <v>#VALUE!</v>
      </c>
      <c r="BK84" t="e">
        <f>Nodes!E650+"'E4!%dK"</f>
        <v>#VALUE!</v>
      </c>
      <c r="BL84" t="e">
        <f>Nodes!F650+"'E4!%dL"</f>
        <v>#VALUE!</v>
      </c>
      <c r="BM84" t="e">
        <f>Nodes!G650+"'E4!%dM"</f>
        <v>#VALUE!</v>
      </c>
      <c r="BN84" t="e">
        <f>Nodes!H650+"'E4!%dN"</f>
        <v>#VALUE!</v>
      </c>
      <c r="BO84" t="e">
        <f>Nodes!I650+"'E4!%dO"</f>
        <v>#VALUE!</v>
      </c>
      <c r="BP84" t="e">
        <f>Nodes!J650+"'E4!%dP"</f>
        <v>#VALUE!</v>
      </c>
      <c r="BQ84" t="e">
        <f>Nodes!K650+"'E4!%dQ"</f>
        <v>#VALUE!</v>
      </c>
      <c r="BR84" t="e">
        <f>Nodes!L650+"'E4!%dR"</f>
        <v>#VALUE!</v>
      </c>
      <c r="BS84" t="e">
        <f>Nodes!M650+"'E4!%dS"</f>
        <v>#VALUE!</v>
      </c>
      <c r="BT84" t="e">
        <f>Nodes!N650+"'E4!%dT"</f>
        <v>#VALUE!</v>
      </c>
      <c r="BU84" t="e">
        <f>Nodes!O650+"'E4!%dU"</f>
        <v>#VALUE!</v>
      </c>
      <c r="BV84" t="e">
        <f>Nodes!P650+"'E4!%dV"</f>
        <v>#VALUE!</v>
      </c>
      <c r="BW84" t="e">
        <f>Nodes!Q650+"'E4!%dW"</f>
        <v>#VALUE!</v>
      </c>
      <c r="BX84" t="e">
        <f>Nodes!R650+"'E4!%dX"</f>
        <v>#VALUE!</v>
      </c>
      <c r="BY84" t="e">
        <f>Nodes!S650+"'E4!%dY"</f>
        <v>#VALUE!</v>
      </c>
      <c r="BZ84" s="547" t="e">
        <f>Nodes!T650+"'E4!%dZ"</f>
        <v>#VALUE!</v>
      </c>
      <c r="CA84" t="e">
        <f>Nodes!U650+"'E4!%d["</f>
        <v>#VALUE!</v>
      </c>
      <c r="CB84" t="e">
        <f>Nodes!V650+"'E4!%d\"</f>
        <v>#VALUE!</v>
      </c>
      <c r="CC84" s="547" t="e">
        <f>Nodes!W650+"'E4!%d]"</f>
        <v>#VALUE!</v>
      </c>
      <c r="CD84" t="e">
        <f>Nodes!X650+"'E4!%d^"</f>
        <v>#VALUE!</v>
      </c>
      <c r="CE84" t="e">
        <f>Nodes!Y650+"'E4!%d_"</f>
        <v>#VALUE!</v>
      </c>
      <c r="CF84" t="e">
        <f>Nodes!Z650+"'E4!%d`"</f>
        <v>#VALUE!</v>
      </c>
      <c r="CG84" t="e">
        <f>Nodes!AA650+"'E4!%da"</f>
        <v>#VALUE!</v>
      </c>
      <c r="CH84" t="e">
        <f>Nodes!AB650+"'E4!%db"</f>
        <v>#VALUE!</v>
      </c>
      <c r="CI84" t="e">
        <f>Nodes!AC650+"'E4!%dc"</f>
        <v>#VALUE!</v>
      </c>
      <c r="CJ84" t="e">
        <f>Nodes!A651+"'E4!%dd"</f>
        <v>#VALUE!</v>
      </c>
      <c r="CK84" t="e">
        <f>Nodes!B651+"'E4!%de"</f>
        <v>#VALUE!</v>
      </c>
      <c r="CL84" t="e">
        <f>Nodes!C651+"'E4!%df"</f>
        <v>#VALUE!</v>
      </c>
      <c r="CM84" t="e">
        <f>Nodes!D651+"'E4!%dg"</f>
        <v>#VALUE!</v>
      </c>
      <c r="CN84" t="e">
        <f>Nodes!E651+"'E4!%dh"</f>
        <v>#VALUE!</v>
      </c>
      <c r="CO84" t="e">
        <f>Nodes!F651+"'E4!%di"</f>
        <v>#VALUE!</v>
      </c>
      <c r="CP84" t="e">
        <f>Nodes!G651+"'E4!%dj"</f>
        <v>#VALUE!</v>
      </c>
      <c r="CQ84" t="e">
        <f>Nodes!H651+"'E4!%dk"</f>
        <v>#VALUE!</v>
      </c>
      <c r="CR84" t="e">
        <f>Nodes!I651+"'E4!%dl"</f>
        <v>#VALUE!</v>
      </c>
      <c r="CS84" t="e">
        <f>Nodes!J651+"'E4!%dm"</f>
        <v>#VALUE!</v>
      </c>
      <c r="CT84" t="e">
        <f>Nodes!K651+"'E4!%dn"</f>
        <v>#VALUE!</v>
      </c>
      <c r="CU84" t="e">
        <f>Nodes!L651+"'E4!%do"</f>
        <v>#VALUE!</v>
      </c>
      <c r="CV84" t="e">
        <f>Nodes!M651+"'E4!%dp"</f>
        <v>#VALUE!</v>
      </c>
      <c r="CW84" t="e">
        <f>Nodes!N651+"'E4!%dq"</f>
        <v>#VALUE!</v>
      </c>
      <c r="CX84" t="e">
        <f>Nodes!O651+"'E4!%dr"</f>
        <v>#VALUE!</v>
      </c>
      <c r="CY84" t="e">
        <f>Nodes!P651+"'E4!%ds"</f>
        <v>#VALUE!</v>
      </c>
      <c r="CZ84" t="e">
        <f>Nodes!Q651+"'E4!%dt"</f>
        <v>#VALUE!</v>
      </c>
      <c r="DA84" t="e">
        <f>Nodes!R651+"'E4!%du"</f>
        <v>#VALUE!</v>
      </c>
      <c r="DB84" t="e">
        <f>Nodes!S651+"'E4!%dv"</f>
        <v>#VALUE!</v>
      </c>
      <c r="DC84" s="547" t="e">
        <f>Nodes!T651+"'E4!%dw"</f>
        <v>#VALUE!</v>
      </c>
      <c r="DD84" t="e">
        <f>Nodes!U651+"'E4!%dx"</f>
        <v>#VALUE!</v>
      </c>
      <c r="DE84" t="e">
        <f>Nodes!V651+"'E4!%dy"</f>
        <v>#VALUE!</v>
      </c>
      <c r="DF84" s="547" t="e">
        <f>Nodes!W651+"'E4!%dz"</f>
        <v>#VALUE!</v>
      </c>
      <c r="DG84" t="e">
        <f>Nodes!X651+"'E4!%d{"</f>
        <v>#VALUE!</v>
      </c>
      <c r="DH84" t="e">
        <f>Nodes!Y651+"'E4!%d|"</f>
        <v>#VALUE!</v>
      </c>
      <c r="DI84" t="e">
        <f>Nodes!Z651+"'E4!%d}"</f>
        <v>#VALUE!</v>
      </c>
      <c r="DJ84" t="e">
        <f>Nodes!AA651+"'E4!%d~"</f>
        <v>#VALUE!</v>
      </c>
      <c r="DK84" t="e">
        <f>Nodes!AB651+"'E4!%e#"</f>
        <v>#VALUE!</v>
      </c>
      <c r="DL84" t="e">
        <f>Nodes!AC651+"'E4!%e$"</f>
        <v>#VALUE!</v>
      </c>
      <c r="DM84" t="e">
        <f>Nodes!A652+"'E4!%e%"</f>
        <v>#VALUE!</v>
      </c>
      <c r="DN84" t="e">
        <f>Nodes!B652+"'E4!%e&amp;"</f>
        <v>#VALUE!</v>
      </c>
      <c r="DO84" t="e">
        <f>Nodes!C652+"'E4!%e'"</f>
        <v>#VALUE!</v>
      </c>
      <c r="DP84" t="e">
        <f>Nodes!D652+"'E4!%e("</f>
        <v>#VALUE!</v>
      </c>
      <c r="DQ84" t="e">
        <f>Nodes!E652+"'E4!%e)"</f>
        <v>#VALUE!</v>
      </c>
      <c r="DR84" t="e">
        <f>Nodes!F652+"'E4!%e."</f>
        <v>#VALUE!</v>
      </c>
      <c r="DS84" t="e">
        <f>Nodes!G652+"'E4!%e/"</f>
        <v>#VALUE!</v>
      </c>
      <c r="DT84" t="e">
        <f>Nodes!H652+"'E4!%e0"</f>
        <v>#VALUE!</v>
      </c>
      <c r="DU84" t="e">
        <f>Nodes!I652+"'E4!%e1"</f>
        <v>#VALUE!</v>
      </c>
      <c r="DV84" t="e">
        <f>Nodes!J652+"'E4!%e2"</f>
        <v>#VALUE!</v>
      </c>
      <c r="DW84" t="e">
        <f>Nodes!K652+"'E4!%e3"</f>
        <v>#VALUE!</v>
      </c>
      <c r="DX84" t="e">
        <f>Nodes!L652+"'E4!%e4"</f>
        <v>#VALUE!</v>
      </c>
      <c r="DY84" t="e">
        <f>Nodes!M652+"'E4!%e5"</f>
        <v>#VALUE!</v>
      </c>
      <c r="DZ84" t="e">
        <f>Nodes!N652+"'E4!%e6"</f>
        <v>#VALUE!</v>
      </c>
      <c r="EA84" t="e">
        <f>Nodes!O652+"'E4!%e7"</f>
        <v>#VALUE!</v>
      </c>
      <c r="EB84" t="e">
        <f>Nodes!P652+"'E4!%e8"</f>
        <v>#VALUE!</v>
      </c>
      <c r="EC84" t="e">
        <f>Nodes!Q652+"'E4!%e9"</f>
        <v>#VALUE!</v>
      </c>
      <c r="ED84" t="e">
        <f>Nodes!R652+"'E4!%e:"</f>
        <v>#VALUE!</v>
      </c>
      <c r="EE84" t="e">
        <f>Nodes!S652+"'E4!%e;"</f>
        <v>#VALUE!</v>
      </c>
      <c r="EF84" s="547" t="e">
        <f>Nodes!T652+"'E4!%e&lt;"</f>
        <v>#VALUE!</v>
      </c>
      <c r="EG84" t="e">
        <f>Nodes!U652+"'E4!%e="</f>
        <v>#VALUE!</v>
      </c>
      <c r="EH84" t="e">
        <f>Nodes!V652+"'E4!%e&gt;"</f>
        <v>#VALUE!</v>
      </c>
      <c r="EI84" s="547" t="e">
        <f>Nodes!W652+"'E4!%e?"</f>
        <v>#VALUE!</v>
      </c>
      <c r="EJ84" t="e">
        <f>Nodes!X652+"'E4!%e@"</f>
        <v>#VALUE!</v>
      </c>
      <c r="EK84" t="e">
        <f>Nodes!Y652+"'E4!%eA"</f>
        <v>#VALUE!</v>
      </c>
      <c r="EL84" t="e">
        <f>Nodes!Z652+"'E4!%eB"</f>
        <v>#VALUE!</v>
      </c>
      <c r="EM84" t="e">
        <f>Nodes!AA652+"'E4!%eC"</f>
        <v>#VALUE!</v>
      </c>
      <c r="EN84" t="e">
        <f>Nodes!AB652+"'E4!%eD"</f>
        <v>#VALUE!</v>
      </c>
      <c r="EO84" t="e">
        <f>Nodes!AC652+"'E4!%eE"</f>
        <v>#VALUE!</v>
      </c>
      <c r="EP84" t="e">
        <f>Nodes!A653+"'E4!%eF"</f>
        <v>#VALUE!</v>
      </c>
      <c r="EQ84" t="e">
        <f>Nodes!B653+"'E4!%eG"</f>
        <v>#VALUE!</v>
      </c>
      <c r="ER84" t="e">
        <f>Nodes!C653+"'E4!%eH"</f>
        <v>#VALUE!</v>
      </c>
      <c r="ES84" t="e">
        <f>Nodes!D653+"'E4!%eI"</f>
        <v>#VALUE!</v>
      </c>
      <c r="ET84" t="e">
        <f>Nodes!E653+"'E4!%eJ"</f>
        <v>#VALUE!</v>
      </c>
      <c r="EU84" t="e">
        <f>Nodes!F653+"'E4!%eK"</f>
        <v>#VALUE!</v>
      </c>
      <c r="EV84" t="e">
        <f>Nodes!G653+"'E4!%eL"</f>
        <v>#VALUE!</v>
      </c>
      <c r="EW84" t="e">
        <f>Nodes!H653+"'E4!%eM"</f>
        <v>#VALUE!</v>
      </c>
      <c r="EX84" t="e">
        <f>Nodes!I653+"'E4!%eN"</f>
        <v>#VALUE!</v>
      </c>
      <c r="EY84" t="e">
        <f>Nodes!J653+"'E4!%eO"</f>
        <v>#VALUE!</v>
      </c>
      <c r="EZ84" t="e">
        <f>Nodes!K653+"'E4!%eP"</f>
        <v>#VALUE!</v>
      </c>
      <c r="FA84" t="e">
        <f>Nodes!L653+"'E4!%eQ"</f>
        <v>#VALUE!</v>
      </c>
      <c r="FB84" t="e">
        <f>Nodes!M653+"'E4!%eR"</f>
        <v>#VALUE!</v>
      </c>
      <c r="FC84" t="e">
        <f>Nodes!N653+"'E4!%eS"</f>
        <v>#VALUE!</v>
      </c>
      <c r="FD84" t="e">
        <f>Nodes!O653+"'E4!%eT"</f>
        <v>#VALUE!</v>
      </c>
      <c r="FE84" t="e">
        <f>Nodes!P653+"'E4!%eU"</f>
        <v>#N/A</v>
      </c>
      <c r="FF84" t="e">
        <f>Nodes!Q653+"'E4!%eV"</f>
        <v>#VALUE!</v>
      </c>
      <c r="FG84" t="e">
        <f>Nodes!R653+"'E4!%eW"</f>
        <v>#VALUE!</v>
      </c>
      <c r="FH84" t="e">
        <f>Nodes!S653+"'E4!%eX"</f>
        <v>#VALUE!</v>
      </c>
      <c r="FI84" s="547" t="e">
        <f>Nodes!T653+"'E4!%eY"</f>
        <v>#VALUE!</v>
      </c>
      <c r="FJ84" t="e">
        <f>Nodes!U653+"'E4!%eZ"</f>
        <v>#VALUE!</v>
      </c>
      <c r="FK84" t="e">
        <f>Nodes!V653+"'E4!%e["</f>
        <v>#VALUE!</v>
      </c>
      <c r="FL84" s="547" t="e">
        <f>Nodes!W653+"'E4!%e\"</f>
        <v>#VALUE!</v>
      </c>
      <c r="FM84" t="e">
        <f>Nodes!X653+"'E4!%e]"</f>
        <v>#VALUE!</v>
      </c>
      <c r="FN84" t="e">
        <f>Nodes!Y653+"'E4!%e^"</f>
        <v>#VALUE!</v>
      </c>
      <c r="FO84" t="e">
        <f>Nodes!Z653+"'E4!%e_"</f>
        <v>#VALUE!</v>
      </c>
      <c r="FP84" t="e">
        <f>Nodes!AA653+"'E4!%e`"</f>
        <v>#VALUE!</v>
      </c>
      <c r="FQ84" t="e">
        <f>Nodes!AB653+"'E4!%ea"</f>
        <v>#VALUE!</v>
      </c>
      <c r="FR84" t="e">
        <f>Nodes!AC653+"'E4!%eb"</f>
        <v>#VALUE!</v>
      </c>
      <c r="FS84" t="e">
        <f>Nodes!A654+"'E4!%ec"</f>
        <v>#VALUE!</v>
      </c>
      <c r="FT84" t="e">
        <f>Nodes!B654+"'E4!%ed"</f>
        <v>#VALUE!</v>
      </c>
      <c r="FU84" t="e">
        <f>Nodes!C654+"'E4!%ee"</f>
        <v>#VALUE!</v>
      </c>
      <c r="FV84" t="e">
        <f>Nodes!D654+"'E4!%ef"</f>
        <v>#VALUE!</v>
      </c>
      <c r="FW84" t="e">
        <f>Nodes!E654+"'E4!%eg"</f>
        <v>#VALUE!</v>
      </c>
      <c r="FX84" t="e">
        <f>Nodes!F654+"'E4!%eh"</f>
        <v>#VALUE!</v>
      </c>
      <c r="FY84" t="e">
        <f>Nodes!G654+"'E4!%ei"</f>
        <v>#VALUE!</v>
      </c>
      <c r="FZ84" t="e">
        <f>Nodes!H654+"'E4!%ej"</f>
        <v>#VALUE!</v>
      </c>
      <c r="GA84" t="e">
        <f>Nodes!I654+"'E4!%ek"</f>
        <v>#VALUE!</v>
      </c>
      <c r="GB84" t="e">
        <f>Nodes!J654+"'E4!%el"</f>
        <v>#VALUE!</v>
      </c>
      <c r="GC84" t="e">
        <f>Nodes!K654+"'E4!%em"</f>
        <v>#VALUE!</v>
      </c>
      <c r="GD84" t="e">
        <f>Nodes!L654+"'E4!%en"</f>
        <v>#VALUE!</v>
      </c>
      <c r="GE84" t="e">
        <f>Nodes!M654+"'E4!%eo"</f>
        <v>#VALUE!</v>
      </c>
      <c r="GF84" t="e">
        <f>Nodes!N654+"'E4!%ep"</f>
        <v>#VALUE!</v>
      </c>
      <c r="GG84" t="e">
        <f>Nodes!O654+"'E4!%eq"</f>
        <v>#VALUE!</v>
      </c>
      <c r="GH84" t="e">
        <f>Nodes!P654+"'E4!%er"</f>
        <v>#VALUE!</v>
      </c>
      <c r="GI84" t="e">
        <f>Nodes!Q654+"'E4!%es"</f>
        <v>#VALUE!</v>
      </c>
      <c r="GJ84" t="e">
        <f>Nodes!R654+"'E4!%et"</f>
        <v>#VALUE!</v>
      </c>
      <c r="GK84" t="e">
        <f>Nodes!S654+"'E4!%eu"</f>
        <v>#VALUE!</v>
      </c>
      <c r="GL84" s="547" t="e">
        <f>Nodes!T654+"'E4!%ev"</f>
        <v>#VALUE!</v>
      </c>
      <c r="GM84" t="e">
        <f>Nodes!U654+"'E4!%ew"</f>
        <v>#VALUE!</v>
      </c>
      <c r="GN84" t="e">
        <f>Nodes!V654+"'E4!%ex"</f>
        <v>#VALUE!</v>
      </c>
      <c r="GO84" s="547" t="e">
        <f>Nodes!W654+"'E4!%ey"</f>
        <v>#VALUE!</v>
      </c>
      <c r="GP84" t="e">
        <f>Nodes!X654+"'E4!%ez"</f>
        <v>#VALUE!</v>
      </c>
      <c r="GQ84" t="e">
        <f>Nodes!Y654+"'E4!%e{"</f>
        <v>#VALUE!</v>
      </c>
      <c r="GR84" t="e">
        <f>Nodes!Z654+"'E4!%e|"</f>
        <v>#VALUE!</v>
      </c>
      <c r="GS84" t="e">
        <f>Nodes!AA654+"'E4!%e}"</f>
        <v>#VALUE!</v>
      </c>
      <c r="GT84" t="e">
        <f>Nodes!AB654+"'E4!%e~"</f>
        <v>#VALUE!</v>
      </c>
      <c r="GU84" t="e">
        <f>Nodes!AC654+"'E4!%f#"</f>
        <v>#VALUE!</v>
      </c>
      <c r="GV84" t="e">
        <f>Nodes!A655+"'E4!%f$"</f>
        <v>#VALUE!</v>
      </c>
      <c r="GW84" t="e">
        <f>Nodes!B655+"'E4!%f%"</f>
        <v>#VALUE!</v>
      </c>
      <c r="GX84" t="e">
        <f>Nodes!C655+"'E4!%f&amp;"</f>
        <v>#VALUE!</v>
      </c>
      <c r="GY84" t="e">
        <f>Nodes!D655+"'E4!%f'"</f>
        <v>#VALUE!</v>
      </c>
      <c r="GZ84" t="e">
        <f>Nodes!E655+"'E4!%f("</f>
        <v>#VALUE!</v>
      </c>
      <c r="HA84" t="e">
        <f>Nodes!F655+"'E4!%f)"</f>
        <v>#VALUE!</v>
      </c>
      <c r="HB84" t="e">
        <f>Nodes!G655+"'E4!%f."</f>
        <v>#VALUE!</v>
      </c>
      <c r="HC84" t="e">
        <f>Nodes!H655+"'E4!%f/"</f>
        <v>#VALUE!</v>
      </c>
      <c r="HD84" t="e">
        <f>Nodes!I655+"'E4!%f0"</f>
        <v>#VALUE!</v>
      </c>
      <c r="HE84" t="e">
        <f>Nodes!J655+"'E4!%f1"</f>
        <v>#VALUE!</v>
      </c>
      <c r="HF84" t="e">
        <f>Nodes!K655+"'E4!%f2"</f>
        <v>#VALUE!</v>
      </c>
      <c r="HG84" t="e">
        <f>Nodes!L655+"'E4!%f3"</f>
        <v>#VALUE!</v>
      </c>
      <c r="HH84" t="e">
        <f>Nodes!M655+"'E4!%f4"</f>
        <v>#VALUE!</v>
      </c>
      <c r="HI84" t="e">
        <f>Nodes!N655+"'E4!%f5"</f>
        <v>#VALUE!</v>
      </c>
      <c r="HJ84" t="e">
        <f>Nodes!O655+"'E4!%f6"</f>
        <v>#VALUE!</v>
      </c>
      <c r="HK84" t="e">
        <f>Nodes!P655+"'E4!%f7"</f>
        <v>#VALUE!</v>
      </c>
      <c r="HL84" t="e">
        <f>Nodes!Q655+"'E4!%f8"</f>
        <v>#VALUE!</v>
      </c>
      <c r="HM84" t="e">
        <f>Nodes!R655+"'E4!%f9"</f>
        <v>#VALUE!</v>
      </c>
      <c r="HN84" t="e">
        <f>Nodes!S655+"'E4!%f:"</f>
        <v>#VALUE!</v>
      </c>
      <c r="HO84" s="547" t="e">
        <f>Nodes!T655+"'E4!%f;"</f>
        <v>#VALUE!</v>
      </c>
      <c r="HP84" t="e">
        <f>Nodes!U655+"'E4!%f&lt;"</f>
        <v>#VALUE!</v>
      </c>
      <c r="HQ84" t="e">
        <f>Nodes!V655+"'E4!%f="</f>
        <v>#VALUE!</v>
      </c>
      <c r="HR84" s="547" t="e">
        <f>Nodes!W655+"'E4!%f&gt;"</f>
        <v>#VALUE!</v>
      </c>
      <c r="HS84" t="e">
        <f>Nodes!X655+"'E4!%f?"</f>
        <v>#VALUE!</v>
      </c>
      <c r="HT84" t="e">
        <f>Nodes!Y655+"'E4!%f@"</f>
        <v>#VALUE!</v>
      </c>
      <c r="HU84" t="e">
        <f>Nodes!Z655+"'E4!%fA"</f>
        <v>#VALUE!</v>
      </c>
      <c r="HV84" t="e">
        <f>Nodes!AA655+"'E4!%fB"</f>
        <v>#VALUE!</v>
      </c>
      <c r="HW84" t="e">
        <f>Nodes!AB655+"'E4!%fC"</f>
        <v>#VALUE!</v>
      </c>
      <c r="HX84" t="e">
        <f>Nodes!AC655+"'E4!%fD"</f>
        <v>#VALUE!</v>
      </c>
      <c r="HY84" t="e">
        <f>Nodes!A656+"'E4!%fE"</f>
        <v>#VALUE!</v>
      </c>
      <c r="HZ84" t="e">
        <f>Nodes!B656+"'E4!%fF"</f>
        <v>#VALUE!</v>
      </c>
      <c r="IA84" t="e">
        <f>Nodes!C656+"'E4!%fG"</f>
        <v>#VALUE!</v>
      </c>
      <c r="IB84" t="e">
        <f>Nodes!D656+"'E4!%fH"</f>
        <v>#VALUE!</v>
      </c>
      <c r="IC84" t="e">
        <f>Nodes!E656+"'E4!%fI"</f>
        <v>#VALUE!</v>
      </c>
      <c r="ID84" t="e">
        <f>Nodes!F656+"'E4!%fJ"</f>
        <v>#VALUE!</v>
      </c>
      <c r="IE84" t="e">
        <f>Nodes!G656+"'E4!%fK"</f>
        <v>#VALUE!</v>
      </c>
      <c r="IF84" t="e">
        <f>Nodes!H656+"'E4!%fL"</f>
        <v>#VALUE!</v>
      </c>
      <c r="IG84" t="e">
        <f>Nodes!I656+"'E4!%fM"</f>
        <v>#VALUE!</v>
      </c>
      <c r="IH84" t="e">
        <f>Nodes!J656+"'E4!%fN"</f>
        <v>#VALUE!</v>
      </c>
      <c r="II84" t="e">
        <f>Nodes!K656+"'E4!%fO"</f>
        <v>#VALUE!</v>
      </c>
      <c r="IJ84" t="e">
        <f>Nodes!L656+"'E4!%fP"</f>
        <v>#VALUE!</v>
      </c>
      <c r="IK84" t="e">
        <f>Nodes!M656+"'E4!%fQ"</f>
        <v>#VALUE!</v>
      </c>
      <c r="IL84" t="e">
        <f>Nodes!N656+"'E4!%fR"</f>
        <v>#VALUE!</v>
      </c>
      <c r="IM84" t="e">
        <f>Nodes!O656+"'E4!%fS"</f>
        <v>#VALUE!</v>
      </c>
      <c r="IN84" t="e">
        <f>Nodes!P656+"'E4!%fT"</f>
        <v>#VALUE!</v>
      </c>
      <c r="IO84" t="e">
        <f>Nodes!Q656+"'E4!%fU"</f>
        <v>#VALUE!</v>
      </c>
      <c r="IP84" t="e">
        <f>Nodes!R656+"'E4!%fV"</f>
        <v>#VALUE!</v>
      </c>
      <c r="IQ84" t="e">
        <f>Nodes!S656+"'E4!%fW"</f>
        <v>#VALUE!</v>
      </c>
      <c r="IR84" s="547" t="e">
        <f>Nodes!T656+"'E4!%fX"</f>
        <v>#VALUE!</v>
      </c>
      <c r="IS84" t="e">
        <f>Nodes!U656+"'E4!%fY"</f>
        <v>#VALUE!</v>
      </c>
      <c r="IT84" t="e">
        <f>Nodes!V656+"'E4!%fZ"</f>
        <v>#VALUE!</v>
      </c>
      <c r="IU84" s="547" t="e">
        <f>Nodes!W656+"'E4!%f["</f>
        <v>#VALUE!</v>
      </c>
      <c r="IV84" t="e">
        <f>Nodes!X656+"'E4!%f\"</f>
        <v>#VALUE!</v>
      </c>
    </row>
    <row r="85" spans="6:256">
      <c r="F85" t="e">
        <f>Nodes!Y656+"'E4!%f]"</f>
        <v>#VALUE!</v>
      </c>
      <c r="G85" t="e">
        <f>Nodes!Z656+"'E4!%f^"</f>
        <v>#VALUE!</v>
      </c>
      <c r="H85" t="e">
        <f>Nodes!AA656+"'E4!%f_"</f>
        <v>#VALUE!</v>
      </c>
      <c r="I85" t="e">
        <f>Nodes!AB656+"'E4!%f`"</f>
        <v>#VALUE!</v>
      </c>
      <c r="J85" t="e">
        <f>Nodes!AC656+"'E4!%fa"</f>
        <v>#VALUE!</v>
      </c>
      <c r="K85" t="e">
        <f>Nodes!A657+"'E4!%fb"</f>
        <v>#VALUE!</v>
      </c>
      <c r="L85" t="e">
        <f>Nodes!B657+"'E4!%fc"</f>
        <v>#VALUE!</v>
      </c>
      <c r="M85" t="e">
        <f>Nodes!C657+"'E4!%fd"</f>
        <v>#VALUE!</v>
      </c>
      <c r="N85" t="e">
        <f>Nodes!D657+"'E4!%fe"</f>
        <v>#VALUE!</v>
      </c>
      <c r="O85" t="e">
        <f>Nodes!E657+"'E4!%ff"</f>
        <v>#VALUE!</v>
      </c>
      <c r="P85" t="e">
        <f>Nodes!F657+"'E4!%fg"</f>
        <v>#VALUE!</v>
      </c>
      <c r="Q85" t="e">
        <f>Nodes!G657+"'E4!%fh"</f>
        <v>#VALUE!</v>
      </c>
      <c r="R85" t="e">
        <f>Nodes!H657+"'E4!%fi"</f>
        <v>#VALUE!</v>
      </c>
      <c r="S85" t="e">
        <f>Nodes!I657+"'E4!%fj"</f>
        <v>#VALUE!</v>
      </c>
      <c r="T85" t="e">
        <f>Nodes!J657+"'E4!%fk"</f>
        <v>#VALUE!</v>
      </c>
      <c r="U85" t="e">
        <f>Nodes!K657+"'E4!%fl"</f>
        <v>#VALUE!</v>
      </c>
      <c r="V85" t="e">
        <f>Nodes!L657+"'E4!%fm"</f>
        <v>#VALUE!</v>
      </c>
      <c r="W85" t="e">
        <f>Nodes!M657+"'E4!%fn"</f>
        <v>#VALUE!</v>
      </c>
      <c r="X85" t="e">
        <f>Nodes!N657+"'E4!%fo"</f>
        <v>#VALUE!</v>
      </c>
      <c r="Y85" t="e">
        <f>Nodes!O657+"'E4!%fp"</f>
        <v>#VALUE!</v>
      </c>
      <c r="Z85" t="e">
        <f>Nodes!P657+"'E4!%fq"</f>
        <v>#VALUE!</v>
      </c>
      <c r="AA85" t="e">
        <f>Nodes!Q657+"'E4!%fr"</f>
        <v>#VALUE!</v>
      </c>
      <c r="AB85" t="e">
        <f>Nodes!R657+"'E4!%fs"</f>
        <v>#VALUE!</v>
      </c>
      <c r="AC85" t="e">
        <f>Nodes!S657+"'E4!%ft"</f>
        <v>#VALUE!</v>
      </c>
      <c r="AD85" s="547" t="e">
        <f>Nodes!T657+"'E4!%fu"</f>
        <v>#VALUE!</v>
      </c>
      <c r="AE85" t="e">
        <f>Nodes!U657+"'E4!%fv"</f>
        <v>#VALUE!</v>
      </c>
      <c r="AF85" t="e">
        <f>Nodes!V657+"'E4!%fw"</f>
        <v>#VALUE!</v>
      </c>
      <c r="AG85" s="547" t="e">
        <f>Nodes!W657+"'E4!%fx"</f>
        <v>#VALUE!</v>
      </c>
      <c r="AH85" t="e">
        <f>Nodes!X657+"'E4!%fy"</f>
        <v>#VALUE!</v>
      </c>
      <c r="AI85" t="e">
        <f>Nodes!Y657+"'E4!%fz"</f>
        <v>#VALUE!</v>
      </c>
      <c r="AJ85" t="e">
        <f>Nodes!Z657+"'E4!%f{"</f>
        <v>#VALUE!</v>
      </c>
      <c r="AK85" t="e">
        <f>Nodes!AA657+"'E4!%f|"</f>
        <v>#VALUE!</v>
      </c>
      <c r="AL85" t="e">
        <f>Nodes!AB657+"'E4!%f}"</f>
        <v>#VALUE!</v>
      </c>
      <c r="AM85" t="e">
        <f>Nodes!AC657+"'E4!%f~"</f>
        <v>#VALUE!</v>
      </c>
      <c r="AN85" t="e">
        <f>Nodes!A658+"'E4!%g#"</f>
        <v>#VALUE!</v>
      </c>
      <c r="AO85" t="e">
        <f>Nodes!B658+"'E4!%g$"</f>
        <v>#VALUE!</v>
      </c>
      <c r="AP85" t="e">
        <f>Nodes!C658+"'E4!%g%"</f>
        <v>#VALUE!</v>
      </c>
      <c r="AQ85" t="e">
        <f>Nodes!D658+"'E4!%g&amp;"</f>
        <v>#VALUE!</v>
      </c>
      <c r="AR85" t="e">
        <f>Nodes!E658+"'E4!%g'"</f>
        <v>#VALUE!</v>
      </c>
      <c r="AS85" t="e">
        <f>Nodes!F658+"'E4!%g("</f>
        <v>#VALUE!</v>
      </c>
      <c r="AT85" t="e">
        <f>Nodes!G658+"'E4!%g)"</f>
        <v>#VALUE!</v>
      </c>
      <c r="AU85" t="e">
        <f>Nodes!H658+"'E4!%g."</f>
        <v>#VALUE!</v>
      </c>
      <c r="AV85" t="e">
        <f>Nodes!I658+"'E4!%g/"</f>
        <v>#VALUE!</v>
      </c>
      <c r="AW85" t="e">
        <f>Nodes!J658+"'E4!%g0"</f>
        <v>#VALUE!</v>
      </c>
      <c r="AX85" t="e">
        <f>Nodes!K658+"'E4!%g1"</f>
        <v>#VALUE!</v>
      </c>
      <c r="AY85" t="e">
        <f>Nodes!L658+"'E4!%g2"</f>
        <v>#VALUE!</v>
      </c>
      <c r="AZ85" t="e">
        <f>Nodes!M658+"'E4!%g3"</f>
        <v>#VALUE!</v>
      </c>
      <c r="BA85" t="e">
        <f>Nodes!N658+"'E4!%g4"</f>
        <v>#VALUE!</v>
      </c>
      <c r="BB85" t="e">
        <f>Nodes!O658+"'E4!%g5"</f>
        <v>#VALUE!</v>
      </c>
      <c r="BC85" t="e">
        <f>Nodes!P658+"'E4!%g6"</f>
        <v>#VALUE!</v>
      </c>
      <c r="BD85" t="e">
        <f>Nodes!Q658+"'E4!%g7"</f>
        <v>#VALUE!</v>
      </c>
      <c r="BE85" t="e">
        <f>Nodes!R658+"'E4!%g8"</f>
        <v>#VALUE!</v>
      </c>
      <c r="BF85" t="e">
        <f>Nodes!S658+"'E4!%g9"</f>
        <v>#VALUE!</v>
      </c>
      <c r="BG85" s="547" t="e">
        <f>Nodes!T658+"'E4!%g:"</f>
        <v>#VALUE!</v>
      </c>
      <c r="BH85" t="e">
        <f>Nodes!U658+"'E4!%g;"</f>
        <v>#VALUE!</v>
      </c>
      <c r="BI85" t="e">
        <f>Nodes!V658+"'E4!%g&lt;"</f>
        <v>#VALUE!</v>
      </c>
      <c r="BJ85" s="547" t="e">
        <f>Nodes!W658+"'E4!%g="</f>
        <v>#VALUE!</v>
      </c>
      <c r="BK85" t="e">
        <f>Nodes!X658+"'E4!%g&gt;"</f>
        <v>#VALUE!</v>
      </c>
      <c r="BL85" t="e">
        <f>Nodes!Y658+"'E4!%g?"</f>
        <v>#VALUE!</v>
      </c>
      <c r="BM85" t="e">
        <f>Nodes!Z658+"'E4!%g@"</f>
        <v>#VALUE!</v>
      </c>
      <c r="BN85" t="e">
        <f>Nodes!AA658+"'E4!%gA"</f>
        <v>#VALUE!</v>
      </c>
      <c r="BO85" t="e">
        <f>Nodes!AB658+"'E4!%gB"</f>
        <v>#VALUE!</v>
      </c>
      <c r="BP85" t="e">
        <f>Nodes!AC658+"'E4!%gC"</f>
        <v>#VALUE!</v>
      </c>
      <c r="BQ85" t="e">
        <f>Nodes!A659+"'E4!%gD"</f>
        <v>#VALUE!</v>
      </c>
      <c r="BR85" t="e">
        <f>Nodes!B659+"'E4!%gE"</f>
        <v>#VALUE!</v>
      </c>
      <c r="BS85" t="e">
        <f>Nodes!C659+"'E4!%gF"</f>
        <v>#VALUE!</v>
      </c>
      <c r="BT85" t="e">
        <f>Nodes!D659+"'E4!%gG"</f>
        <v>#VALUE!</v>
      </c>
      <c r="BU85" t="e">
        <f>Nodes!E659+"'E4!%gH"</f>
        <v>#VALUE!</v>
      </c>
      <c r="BV85" t="e">
        <f>Nodes!F659+"'E4!%gI"</f>
        <v>#VALUE!</v>
      </c>
      <c r="BW85" t="e">
        <f>Nodes!G659+"'E4!%gJ"</f>
        <v>#VALUE!</v>
      </c>
      <c r="BX85" t="e">
        <f>Nodes!H659+"'E4!%gK"</f>
        <v>#VALUE!</v>
      </c>
      <c r="BY85" t="e">
        <f>Nodes!I659+"'E4!%gL"</f>
        <v>#VALUE!</v>
      </c>
      <c r="BZ85" t="e">
        <f>Nodes!J659+"'E4!%gM"</f>
        <v>#VALUE!</v>
      </c>
      <c r="CA85" t="e">
        <f>Nodes!K659+"'E4!%gN"</f>
        <v>#VALUE!</v>
      </c>
      <c r="CB85" t="e">
        <f>Nodes!L659+"'E4!%gO"</f>
        <v>#VALUE!</v>
      </c>
      <c r="CC85" t="e">
        <f>Nodes!M659+"'E4!%gP"</f>
        <v>#VALUE!</v>
      </c>
      <c r="CD85" t="e">
        <f>Nodes!N659+"'E4!%gQ"</f>
        <v>#VALUE!</v>
      </c>
      <c r="CE85" t="e">
        <f>Nodes!O659+"'E4!%gR"</f>
        <v>#VALUE!</v>
      </c>
      <c r="CF85" t="e">
        <f>Nodes!P659+"'E4!%gS"</f>
        <v>#VALUE!</v>
      </c>
      <c r="CG85" t="e">
        <f>Nodes!Q659+"'E4!%gT"</f>
        <v>#VALUE!</v>
      </c>
      <c r="CH85" t="e">
        <f>Nodes!R659+"'E4!%gU"</f>
        <v>#VALUE!</v>
      </c>
      <c r="CI85" t="e">
        <f>Nodes!S659+"'E4!%gV"</f>
        <v>#VALUE!</v>
      </c>
      <c r="CJ85" s="547" t="e">
        <f>Nodes!T659+"'E4!%gW"</f>
        <v>#VALUE!</v>
      </c>
      <c r="CK85" t="e">
        <f>Nodes!U659+"'E4!%gX"</f>
        <v>#VALUE!</v>
      </c>
      <c r="CL85" t="e">
        <f>Nodes!V659+"'E4!%gY"</f>
        <v>#VALUE!</v>
      </c>
      <c r="CM85" s="547" t="e">
        <f>Nodes!W659+"'E4!%gZ"</f>
        <v>#VALUE!</v>
      </c>
      <c r="CN85" t="e">
        <f>Nodes!X659+"'E4!%g["</f>
        <v>#VALUE!</v>
      </c>
      <c r="CO85" t="e">
        <f>Nodes!Y659+"'E4!%g\"</f>
        <v>#VALUE!</v>
      </c>
      <c r="CP85" t="e">
        <f>Nodes!Z659+"'E4!%g]"</f>
        <v>#VALUE!</v>
      </c>
      <c r="CQ85" t="e">
        <f>Nodes!AA659+"'E4!%g^"</f>
        <v>#VALUE!</v>
      </c>
      <c r="CR85" t="e">
        <f>Nodes!AB659+"'E4!%g_"</f>
        <v>#VALUE!</v>
      </c>
      <c r="CS85" t="e">
        <f>Nodes!AC659+"'E4!%g`"</f>
        <v>#VALUE!</v>
      </c>
      <c r="CT85" t="e">
        <f>Nodes!A660+"'E4!%ga"</f>
        <v>#VALUE!</v>
      </c>
      <c r="CU85" t="e">
        <f>Nodes!B660+"'E4!%gb"</f>
        <v>#VALUE!</v>
      </c>
      <c r="CV85" t="e">
        <f>Nodes!C660+"'E4!%gc"</f>
        <v>#VALUE!</v>
      </c>
      <c r="CW85" t="e">
        <f>Nodes!D660+"'E4!%gd"</f>
        <v>#VALUE!</v>
      </c>
      <c r="CX85" t="e">
        <f>Nodes!E660+"'E4!%ge"</f>
        <v>#VALUE!</v>
      </c>
      <c r="CY85" t="e">
        <f>Nodes!F660+"'E4!%gf"</f>
        <v>#VALUE!</v>
      </c>
      <c r="CZ85" t="e">
        <f>Nodes!G660+"'E4!%gg"</f>
        <v>#VALUE!</v>
      </c>
      <c r="DA85" t="e">
        <f>Nodes!H660+"'E4!%gh"</f>
        <v>#VALUE!</v>
      </c>
      <c r="DB85" t="e">
        <f>Nodes!I660+"'E4!%gi"</f>
        <v>#VALUE!</v>
      </c>
      <c r="DC85" t="e">
        <f>Nodes!J660+"'E4!%gj"</f>
        <v>#VALUE!</v>
      </c>
      <c r="DD85" t="e">
        <f>Nodes!K660+"'E4!%gk"</f>
        <v>#VALUE!</v>
      </c>
      <c r="DE85" t="e">
        <f>Nodes!L660+"'E4!%gl"</f>
        <v>#VALUE!</v>
      </c>
      <c r="DF85" t="e">
        <f>Nodes!M660+"'E4!%gm"</f>
        <v>#VALUE!</v>
      </c>
      <c r="DG85" t="e">
        <f>Nodes!N660+"'E4!%gn"</f>
        <v>#VALUE!</v>
      </c>
      <c r="DH85" t="e">
        <f>Nodes!O660+"'E4!%go"</f>
        <v>#VALUE!</v>
      </c>
      <c r="DI85" t="e">
        <f>Nodes!P660+"'E4!%gp"</f>
        <v>#VALUE!</v>
      </c>
      <c r="DJ85" t="e">
        <f>Nodes!Q660+"'E4!%gq"</f>
        <v>#VALUE!</v>
      </c>
      <c r="DK85" t="e">
        <f>Nodes!R660+"'E4!%gr"</f>
        <v>#VALUE!</v>
      </c>
      <c r="DL85" t="e">
        <f>Nodes!S660+"'E4!%gs"</f>
        <v>#VALUE!</v>
      </c>
      <c r="DM85" s="547" t="e">
        <f>Nodes!T660+"'E4!%gt"</f>
        <v>#VALUE!</v>
      </c>
      <c r="DN85" t="e">
        <f>Nodes!U660+"'E4!%gu"</f>
        <v>#VALUE!</v>
      </c>
      <c r="DO85" t="e">
        <f>Nodes!V660+"'E4!%gv"</f>
        <v>#VALUE!</v>
      </c>
      <c r="DP85" s="547" t="e">
        <f>Nodes!W660+"'E4!%gw"</f>
        <v>#VALUE!</v>
      </c>
      <c r="DQ85" t="e">
        <f>Nodes!X660+"'E4!%gx"</f>
        <v>#VALUE!</v>
      </c>
      <c r="DR85" t="e">
        <f>Nodes!Y660+"'E4!%gy"</f>
        <v>#VALUE!</v>
      </c>
      <c r="DS85" t="e">
        <f>Nodes!Z660+"'E4!%gz"</f>
        <v>#VALUE!</v>
      </c>
      <c r="DT85" t="e">
        <f>Nodes!AA660+"'E4!%g{"</f>
        <v>#VALUE!</v>
      </c>
      <c r="DU85" t="e">
        <f>Nodes!AB660+"'E4!%g|"</f>
        <v>#VALUE!</v>
      </c>
      <c r="DV85" t="e">
        <f>Nodes!AC660+"'E4!%g}"</f>
        <v>#VALUE!</v>
      </c>
      <c r="DW85" t="e">
        <f>Nodes!A661+"'E4!%g~"</f>
        <v>#VALUE!</v>
      </c>
      <c r="DX85" t="e">
        <f>Nodes!B661+"'E4!%h#"</f>
        <v>#VALUE!</v>
      </c>
      <c r="DY85" t="e">
        <f>Nodes!C661+"'E4!%h$"</f>
        <v>#VALUE!</v>
      </c>
      <c r="DZ85" t="e">
        <f>Nodes!D661+"'E4!%h%"</f>
        <v>#VALUE!</v>
      </c>
      <c r="EA85" t="e">
        <f>Nodes!E661+"'E4!%h&amp;"</f>
        <v>#VALUE!</v>
      </c>
      <c r="EB85" t="e">
        <f>Nodes!F661+"'E4!%h'"</f>
        <v>#VALUE!</v>
      </c>
      <c r="EC85" t="e">
        <f>Nodes!G661+"'E4!%h("</f>
        <v>#VALUE!</v>
      </c>
      <c r="ED85" t="e">
        <f>Nodes!H661+"'E4!%h)"</f>
        <v>#VALUE!</v>
      </c>
      <c r="EE85" t="e">
        <f>Nodes!I661+"'E4!%h."</f>
        <v>#VALUE!</v>
      </c>
      <c r="EF85" t="e">
        <f>Nodes!J661+"'E4!%h/"</f>
        <v>#VALUE!</v>
      </c>
      <c r="EG85" t="e">
        <f>Nodes!K661+"'E4!%h0"</f>
        <v>#VALUE!</v>
      </c>
      <c r="EH85" t="e">
        <f>Nodes!L661+"'E4!%h1"</f>
        <v>#VALUE!</v>
      </c>
      <c r="EI85" t="e">
        <f>Nodes!M661+"'E4!%h2"</f>
        <v>#VALUE!</v>
      </c>
      <c r="EJ85" t="e">
        <f>Nodes!N661+"'E4!%h3"</f>
        <v>#VALUE!</v>
      </c>
      <c r="EK85" t="e">
        <f>Nodes!O661+"'E4!%h4"</f>
        <v>#VALUE!</v>
      </c>
      <c r="EL85" t="e">
        <f>Nodes!P661+"'E4!%h5"</f>
        <v>#VALUE!</v>
      </c>
      <c r="EM85" t="e">
        <f>Nodes!Q661+"'E4!%h6"</f>
        <v>#VALUE!</v>
      </c>
      <c r="EN85" t="e">
        <f>Nodes!R661+"'E4!%h7"</f>
        <v>#VALUE!</v>
      </c>
      <c r="EO85" t="e">
        <f>Nodes!S661+"'E4!%h8"</f>
        <v>#VALUE!</v>
      </c>
      <c r="EP85" s="547" t="e">
        <f>Nodes!T661+"'E4!%h9"</f>
        <v>#VALUE!</v>
      </c>
      <c r="EQ85" t="e">
        <f>Nodes!U661+"'E4!%h:"</f>
        <v>#VALUE!</v>
      </c>
      <c r="ER85" t="e">
        <f>Nodes!V661+"'E4!%h;"</f>
        <v>#VALUE!</v>
      </c>
      <c r="ES85" s="547" t="e">
        <f>Nodes!W661+"'E4!%h&lt;"</f>
        <v>#VALUE!</v>
      </c>
      <c r="ET85" t="e">
        <f>Nodes!X661+"'E4!%h="</f>
        <v>#VALUE!</v>
      </c>
      <c r="EU85" t="e">
        <f>Nodes!Y661+"'E4!%h&gt;"</f>
        <v>#VALUE!</v>
      </c>
      <c r="EV85" t="e">
        <f>Nodes!Z661+"'E4!%h?"</f>
        <v>#VALUE!</v>
      </c>
      <c r="EW85" t="e">
        <f>Nodes!AA661+"'E4!%h@"</f>
        <v>#VALUE!</v>
      </c>
      <c r="EX85" t="e">
        <f>Nodes!AB661+"'E4!%hA"</f>
        <v>#VALUE!</v>
      </c>
      <c r="EY85" t="e">
        <f>Nodes!AC661+"'E4!%hB"</f>
        <v>#VALUE!</v>
      </c>
      <c r="EZ85" t="e">
        <f>Nodes!A662+"'E4!%hC"</f>
        <v>#VALUE!</v>
      </c>
      <c r="FA85" t="e">
        <f>Nodes!B662+"'E4!%hD"</f>
        <v>#VALUE!</v>
      </c>
      <c r="FB85" t="e">
        <f>Nodes!C662+"'E4!%hE"</f>
        <v>#VALUE!</v>
      </c>
      <c r="FC85" t="e">
        <f>Nodes!D662+"'E4!%hF"</f>
        <v>#VALUE!</v>
      </c>
      <c r="FD85" t="e">
        <f>Nodes!E662+"'E4!%hG"</f>
        <v>#VALUE!</v>
      </c>
      <c r="FE85" t="e">
        <f>Nodes!F662+"'E4!%hH"</f>
        <v>#VALUE!</v>
      </c>
      <c r="FF85" t="e">
        <f>Nodes!G662+"'E4!%hI"</f>
        <v>#VALUE!</v>
      </c>
      <c r="FG85" t="e">
        <f>Nodes!H662+"'E4!%hJ"</f>
        <v>#VALUE!</v>
      </c>
      <c r="FH85" t="e">
        <f>Nodes!I662+"'E4!%hK"</f>
        <v>#VALUE!</v>
      </c>
      <c r="FI85" t="e">
        <f>Nodes!J662+"'E4!%hL"</f>
        <v>#VALUE!</v>
      </c>
      <c r="FJ85" t="e">
        <f>Nodes!K662+"'E4!%hM"</f>
        <v>#VALUE!</v>
      </c>
      <c r="FK85" t="e">
        <f>Nodes!L662+"'E4!%hN"</f>
        <v>#VALUE!</v>
      </c>
      <c r="FL85" t="e">
        <f>Nodes!M662+"'E4!%hO"</f>
        <v>#VALUE!</v>
      </c>
      <c r="FM85" t="e">
        <f>Nodes!N662+"'E4!%hP"</f>
        <v>#VALUE!</v>
      </c>
      <c r="FN85" t="e">
        <f>Nodes!O662+"'E4!%hQ"</f>
        <v>#VALUE!</v>
      </c>
      <c r="FO85" t="e">
        <f>Nodes!P662+"'E4!%hR"</f>
        <v>#VALUE!</v>
      </c>
      <c r="FP85" t="e">
        <f>Nodes!Q662+"'E4!%hS"</f>
        <v>#VALUE!</v>
      </c>
      <c r="FQ85" t="e">
        <f>Nodes!R662+"'E4!%hT"</f>
        <v>#VALUE!</v>
      </c>
      <c r="FR85" t="e">
        <f>Nodes!S662+"'E4!%hU"</f>
        <v>#VALUE!</v>
      </c>
      <c r="FS85" s="547" t="e">
        <f>Nodes!T662+"'E4!%hV"</f>
        <v>#VALUE!</v>
      </c>
      <c r="FT85" t="e">
        <f>Nodes!U662+"'E4!%hW"</f>
        <v>#VALUE!</v>
      </c>
      <c r="FU85" t="e">
        <f>Nodes!V662+"'E4!%hX"</f>
        <v>#VALUE!</v>
      </c>
      <c r="FV85" s="547" t="e">
        <f>Nodes!W662+"'E4!%hY"</f>
        <v>#VALUE!</v>
      </c>
      <c r="FW85" t="e">
        <f>Nodes!X662+"'E4!%hZ"</f>
        <v>#VALUE!</v>
      </c>
      <c r="FX85" t="e">
        <f>Nodes!Y662+"'E4!%h["</f>
        <v>#VALUE!</v>
      </c>
      <c r="FY85" t="e">
        <f>Nodes!Z662+"'E4!%h\"</f>
        <v>#VALUE!</v>
      </c>
      <c r="FZ85" t="e">
        <f>Nodes!AA662+"'E4!%h]"</f>
        <v>#VALUE!</v>
      </c>
      <c r="GA85" t="e">
        <f>Nodes!AB662+"'E4!%h^"</f>
        <v>#VALUE!</v>
      </c>
      <c r="GB85" t="e">
        <f>Nodes!AC662+"'E4!%h_"</f>
        <v>#VALUE!</v>
      </c>
      <c r="GC85" t="e">
        <f>Nodes!A663+"'E4!%h`"</f>
        <v>#VALUE!</v>
      </c>
      <c r="GD85" t="e">
        <f>Nodes!B663+"'E4!%ha"</f>
        <v>#VALUE!</v>
      </c>
      <c r="GE85" t="e">
        <f>Nodes!C663+"'E4!%hb"</f>
        <v>#VALUE!</v>
      </c>
      <c r="GF85" t="e">
        <f>Nodes!D663+"'E4!%hc"</f>
        <v>#VALUE!</v>
      </c>
      <c r="GG85" t="e">
        <f>Nodes!E663+"'E4!%hd"</f>
        <v>#VALUE!</v>
      </c>
      <c r="GH85" t="e">
        <f>Nodes!F663+"'E4!%he"</f>
        <v>#VALUE!</v>
      </c>
      <c r="GI85" t="e">
        <f>Nodes!G663+"'E4!%hf"</f>
        <v>#VALUE!</v>
      </c>
      <c r="GJ85" t="e">
        <f>Nodes!H663+"'E4!%hg"</f>
        <v>#VALUE!</v>
      </c>
      <c r="GK85" t="e">
        <f>Nodes!I663+"'E4!%hh"</f>
        <v>#VALUE!</v>
      </c>
      <c r="GL85" t="e">
        <f>Nodes!J663+"'E4!%hi"</f>
        <v>#VALUE!</v>
      </c>
      <c r="GM85" t="e">
        <f>Nodes!K663+"'E4!%hj"</f>
        <v>#VALUE!</v>
      </c>
      <c r="GN85" t="e">
        <f>Nodes!L663+"'E4!%hk"</f>
        <v>#VALUE!</v>
      </c>
      <c r="GO85" t="e">
        <f>Nodes!M663+"'E4!%hl"</f>
        <v>#VALUE!</v>
      </c>
      <c r="GP85" t="e">
        <f>Nodes!N663+"'E4!%hm"</f>
        <v>#VALUE!</v>
      </c>
      <c r="GQ85" t="e">
        <f>Nodes!O663+"'E4!%hn"</f>
        <v>#VALUE!</v>
      </c>
      <c r="GR85" t="e">
        <f>Nodes!P663+"'E4!%ho"</f>
        <v>#VALUE!</v>
      </c>
      <c r="GS85" t="e">
        <f>Nodes!Q663+"'E4!%hp"</f>
        <v>#VALUE!</v>
      </c>
      <c r="GT85" t="e">
        <f>Nodes!R663+"'E4!%hq"</f>
        <v>#VALUE!</v>
      </c>
      <c r="GU85" t="e">
        <f>Nodes!S663+"'E4!%hr"</f>
        <v>#VALUE!</v>
      </c>
      <c r="GV85" s="547" t="e">
        <f>Nodes!T663+"'E4!%hs"</f>
        <v>#VALUE!</v>
      </c>
      <c r="GW85" t="e">
        <f>Nodes!U663+"'E4!%ht"</f>
        <v>#VALUE!</v>
      </c>
      <c r="GX85" t="e">
        <f>Nodes!V663+"'E4!%hu"</f>
        <v>#VALUE!</v>
      </c>
      <c r="GY85" s="547" t="e">
        <f>Nodes!W663+"'E4!%hv"</f>
        <v>#VALUE!</v>
      </c>
      <c r="GZ85" t="e">
        <f>Nodes!X663+"'E4!%hw"</f>
        <v>#VALUE!</v>
      </c>
      <c r="HA85" t="e">
        <f>Nodes!Y663+"'E4!%hx"</f>
        <v>#VALUE!</v>
      </c>
      <c r="HB85" t="e">
        <f>Nodes!Z663+"'E4!%hy"</f>
        <v>#VALUE!</v>
      </c>
      <c r="HC85" t="e">
        <f>Nodes!AA663+"'E4!%hz"</f>
        <v>#VALUE!</v>
      </c>
      <c r="HD85" t="e">
        <f>Nodes!AB663+"'E4!%h{"</f>
        <v>#VALUE!</v>
      </c>
      <c r="HE85" t="e">
        <f>Nodes!AC663+"'E4!%h|"</f>
        <v>#VALUE!</v>
      </c>
      <c r="HF85" t="e">
        <f>Nodes!A664+"'E4!%h}"</f>
        <v>#VALUE!</v>
      </c>
      <c r="HG85" t="e">
        <f>Nodes!B664+"'E4!%h~"</f>
        <v>#VALUE!</v>
      </c>
      <c r="HH85" t="e">
        <f>Nodes!C664+"'E4!%i#"</f>
        <v>#VALUE!</v>
      </c>
      <c r="HI85" t="e">
        <f>Nodes!D664+"'E4!%i$"</f>
        <v>#VALUE!</v>
      </c>
      <c r="HJ85" t="e">
        <f>Nodes!E664+"'E4!%i%"</f>
        <v>#VALUE!</v>
      </c>
      <c r="HK85" t="e">
        <f>Nodes!F664+"'E4!%i&amp;"</f>
        <v>#VALUE!</v>
      </c>
      <c r="HL85" t="e">
        <f>Nodes!G664+"'E4!%i'"</f>
        <v>#VALUE!</v>
      </c>
      <c r="HM85" t="e">
        <f>Nodes!H664+"'E4!%i("</f>
        <v>#VALUE!</v>
      </c>
      <c r="HN85" t="e">
        <f>Nodes!I664+"'E4!%i)"</f>
        <v>#VALUE!</v>
      </c>
      <c r="HO85" t="e">
        <f>Nodes!J664+"'E4!%i."</f>
        <v>#VALUE!</v>
      </c>
      <c r="HP85" t="e">
        <f>Nodes!K664+"'E4!%i/"</f>
        <v>#VALUE!</v>
      </c>
      <c r="HQ85" t="e">
        <f>Nodes!L664+"'E4!%i0"</f>
        <v>#VALUE!</v>
      </c>
      <c r="HR85" t="e">
        <f>Nodes!M664+"'E4!%i1"</f>
        <v>#VALUE!</v>
      </c>
      <c r="HS85" t="e">
        <f>Nodes!N664+"'E4!%i2"</f>
        <v>#VALUE!</v>
      </c>
      <c r="HT85" t="e">
        <f>Nodes!O664+"'E4!%i3"</f>
        <v>#VALUE!</v>
      </c>
      <c r="HU85" t="e">
        <f>Nodes!P664+"'E4!%i4"</f>
        <v>#VALUE!</v>
      </c>
      <c r="HV85" t="e">
        <f>Nodes!Q664+"'E4!%i5"</f>
        <v>#VALUE!</v>
      </c>
      <c r="HW85" t="e">
        <f>Nodes!R664+"'E4!%i6"</f>
        <v>#VALUE!</v>
      </c>
      <c r="HX85" t="e">
        <f>Nodes!S664+"'E4!%i7"</f>
        <v>#VALUE!</v>
      </c>
      <c r="HY85" s="547" t="e">
        <f>Nodes!T664+"'E4!%i8"</f>
        <v>#VALUE!</v>
      </c>
      <c r="HZ85" t="e">
        <f>Nodes!U664+"'E4!%i9"</f>
        <v>#VALUE!</v>
      </c>
      <c r="IA85" t="e">
        <f>Nodes!V664+"'E4!%i:"</f>
        <v>#VALUE!</v>
      </c>
      <c r="IB85" s="547" t="e">
        <f>Nodes!W664+"'E4!%i;"</f>
        <v>#VALUE!</v>
      </c>
      <c r="IC85" t="e">
        <f>Nodes!X664+"'E4!%i&lt;"</f>
        <v>#VALUE!</v>
      </c>
      <c r="ID85" t="e">
        <f>Nodes!Y664+"'E4!%i="</f>
        <v>#VALUE!</v>
      </c>
      <c r="IE85" t="e">
        <f>Nodes!Z664+"'E4!%i&gt;"</f>
        <v>#VALUE!</v>
      </c>
      <c r="IF85" t="e">
        <f>Nodes!AA664+"'E4!%i?"</f>
        <v>#VALUE!</v>
      </c>
      <c r="IG85" t="e">
        <f>Nodes!AB664+"'E4!%i@"</f>
        <v>#VALUE!</v>
      </c>
      <c r="IH85" t="e">
        <f>Nodes!AC664+"'E4!%iA"</f>
        <v>#VALUE!</v>
      </c>
      <c r="II85" t="e">
        <f>Nodes!A665+"'E4!%iB"</f>
        <v>#VALUE!</v>
      </c>
      <c r="IJ85" t="e">
        <f>Nodes!B665+"'E4!%iC"</f>
        <v>#VALUE!</v>
      </c>
      <c r="IK85" t="e">
        <f>Nodes!C665+"'E4!%iD"</f>
        <v>#VALUE!</v>
      </c>
      <c r="IL85" t="e">
        <f>Nodes!D665+"'E4!%iE"</f>
        <v>#VALUE!</v>
      </c>
      <c r="IM85" t="e">
        <f>Nodes!E665+"'E4!%iF"</f>
        <v>#VALUE!</v>
      </c>
      <c r="IN85" t="e">
        <f>Nodes!F665+"'E4!%iG"</f>
        <v>#VALUE!</v>
      </c>
      <c r="IO85" t="e">
        <f>Nodes!G665+"'E4!%iH"</f>
        <v>#VALUE!</v>
      </c>
      <c r="IP85" t="e">
        <f>Nodes!H665+"'E4!%iI"</f>
        <v>#VALUE!</v>
      </c>
      <c r="IQ85" t="e">
        <f>Nodes!I665+"'E4!%iJ"</f>
        <v>#VALUE!</v>
      </c>
      <c r="IR85" t="e">
        <f>Nodes!J665+"'E4!%iK"</f>
        <v>#VALUE!</v>
      </c>
      <c r="IS85" t="e">
        <f>Nodes!K665+"'E4!%iL"</f>
        <v>#VALUE!</v>
      </c>
      <c r="IT85" t="e">
        <f>Nodes!L665+"'E4!%iM"</f>
        <v>#VALUE!</v>
      </c>
      <c r="IU85" t="e">
        <f>Nodes!M665+"'E4!%iN"</f>
        <v>#VALUE!</v>
      </c>
      <c r="IV85" t="e">
        <f>Nodes!N665+"'E4!%iO"</f>
        <v>#VALUE!</v>
      </c>
    </row>
    <row r="86" spans="6:256">
      <c r="F86" t="e">
        <f>Nodes!O665+"'E4!%iP"</f>
        <v>#VALUE!</v>
      </c>
      <c r="G86" t="e">
        <f>Nodes!P665+"'E4!%iQ"</f>
        <v>#VALUE!</v>
      </c>
      <c r="H86" t="e">
        <f>Nodes!Q665+"'E4!%iR"</f>
        <v>#VALUE!</v>
      </c>
      <c r="I86" t="e">
        <f>Nodes!R665+"'E4!%iS"</f>
        <v>#VALUE!</v>
      </c>
      <c r="J86" t="e">
        <f>Nodes!S665+"'E4!%iT"</f>
        <v>#VALUE!</v>
      </c>
      <c r="K86" s="547" t="e">
        <f>Nodes!T665+"'E4!%iU"</f>
        <v>#VALUE!</v>
      </c>
      <c r="L86" t="e">
        <f>Nodes!U665+"'E4!%iV"</f>
        <v>#VALUE!</v>
      </c>
      <c r="M86" t="e">
        <f>Nodes!V665+"'E4!%iW"</f>
        <v>#VALUE!</v>
      </c>
      <c r="N86" s="547" t="e">
        <f>Nodes!W665+"'E4!%iX"</f>
        <v>#VALUE!</v>
      </c>
      <c r="O86" t="e">
        <f>Nodes!X665+"'E4!%iY"</f>
        <v>#VALUE!</v>
      </c>
      <c r="P86" t="e">
        <f>Nodes!Y665+"'E4!%iZ"</f>
        <v>#VALUE!</v>
      </c>
      <c r="Q86" t="e">
        <f>Nodes!Z665+"'E4!%i["</f>
        <v>#VALUE!</v>
      </c>
      <c r="R86" t="e">
        <f>Nodes!AA665+"'E4!%i\"</f>
        <v>#VALUE!</v>
      </c>
      <c r="S86" t="e">
        <f>Nodes!AB665+"'E4!%i]"</f>
        <v>#VALUE!</v>
      </c>
      <c r="T86" t="e">
        <f>Nodes!AC665+"'E4!%i^"</f>
        <v>#VALUE!</v>
      </c>
      <c r="U86" t="e">
        <f>Nodes!A666+"'E4!%i_"</f>
        <v>#VALUE!</v>
      </c>
      <c r="V86" t="e">
        <f>Nodes!B666+"'E4!%i`"</f>
        <v>#VALUE!</v>
      </c>
      <c r="W86" t="e">
        <f>Nodes!C666+"'E4!%ia"</f>
        <v>#VALUE!</v>
      </c>
      <c r="X86" t="e">
        <f>Nodes!D666+"'E4!%ib"</f>
        <v>#VALUE!</v>
      </c>
      <c r="Y86" t="e">
        <f>Nodes!E666+"'E4!%ic"</f>
        <v>#VALUE!</v>
      </c>
      <c r="Z86" t="e">
        <f>Nodes!F666+"'E4!%id"</f>
        <v>#VALUE!</v>
      </c>
      <c r="AA86" t="e">
        <f>Nodes!G666+"'E4!%ie"</f>
        <v>#VALUE!</v>
      </c>
      <c r="AB86" t="e">
        <f>Nodes!H666+"'E4!%if"</f>
        <v>#VALUE!</v>
      </c>
      <c r="AC86" t="e">
        <f>Nodes!I666+"'E4!%ig"</f>
        <v>#VALUE!</v>
      </c>
      <c r="AD86" t="e">
        <f>Nodes!J666+"'E4!%ih"</f>
        <v>#VALUE!</v>
      </c>
      <c r="AE86" t="e">
        <f>Nodes!K666+"'E4!%ii"</f>
        <v>#VALUE!</v>
      </c>
      <c r="AF86" t="e">
        <f>Nodes!L666+"'E4!%ij"</f>
        <v>#VALUE!</v>
      </c>
      <c r="AG86" t="e">
        <f>Nodes!M666+"'E4!%ik"</f>
        <v>#VALUE!</v>
      </c>
      <c r="AH86" t="e">
        <f>Nodes!N666+"'E4!%il"</f>
        <v>#VALUE!</v>
      </c>
      <c r="AI86" t="e">
        <f>Nodes!O666+"'E4!%im"</f>
        <v>#VALUE!</v>
      </c>
      <c r="AJ86" t="e">
        <f>Nodes!P666+"'E4!%in"</f>
        <v>#VALUE!</v>
      </c>
      <c r="AK86" t="e">
        <f>Nodes!Q666+"'E4!%io"</f>
        <v>#VALUE!</v>
      </c>
      <c r="AL86" t="e">
        <f>Nodes!R666+"'E4!%ip"</f>
        <v>#VALUE!</v>
      </c>
      <c r="AM86" t="e">
        <f>Nodes!S666+"'E4!%iq"</f>
        <v>#VALUE!</v>
      </c>
      <c r="AN86" s="547" t="e">
        <f>Nodes!T666+"'E4!%ir"</f>
        <v>#VALUE!</v>
      </c>
      <c r="AO86" t="e">
        <f>Nodes!U666+"'E4!%is"</f>
        <v>#VALUE!</v>
      </c>
      <c r="AP86" t="e">
        <f>Nodes!V666+"'E4!%it"</f>
        <v>#VALUE!</v>
      </c>
      <c r="AQ86" s="547" t="e">
        <f>Nodes!W666+"'E4!%iu"</f>
        <v>#VALUE!</v>
      </c>
      <c r="AR86" t="e">
        <f>Nodes!X666+"'E4!%iv"</f>
        <v>#VALUE!</v>
      </c>
      <c r="AS86" t="e">
        <f>Nodes!Y666+"'E4!%iw"</f>
        <v>#VALUE!</v>
      </c>
      <c r="AT86" t="e">
        <f>Nodes!Z666+"'E4!%ix"</f>
        <v>#VALUE!</v>
      </c>
      <c r="AU86" t="e">
        <f>Nodes!AA666+"'E4!%iy"</f>
        <v>#VALUE!</v>
      </c>
      <c r="AV86" t="e">
        <f>Nodes!AB666+"'E4!%iz"</f>
        <v>#VALUE!</v>
      </c>
      <c r="AW86" t="e">
        <f>Nodes!AC666+"'E4!%i{"</f>
        <v>#VALUE!</v>
      </c>
      <c r="AX86" t="e">
        <f>Nodes!A667+"'E4!%i|"</f>
        <v>#VALUE!</v>
      </c>
      <c r="AY86" t="e">
        <f>Nodes!B667+"'E4!%i}"</f>
        <v>#VALUE!</v>
      </c>
      <c r="AZ86" t="e">
        <f>Nodes!C667+"'E4!%i~"</f>
        <v>#VALUE!</v>
      </c>
      <c r="BA86" t="e">
        <f>Nodes!D667+"'E4!%j#"</f>
        <v>#VALUE!</v>
      </c>
      <c r="BB86" t="e">
        <f>Nodes!E667+"'E4!%j$"</f>
        <v>#VALUE!</v>
      </c>
      <c r="BC86" t="e">
        <f>Nodes!F667+"'E4!%j%"</f>
        <v>#VALUE!</v>
      </c>
      <c r="BD86" t="e">
        <f>Nodes!G667+"'E4!%j&amp;"</f>
        <v>#VALUE!</v>
      </c>
      <c r="BE86" t="e">
        <f>Nodes!H667+"'E4!%j'"</f>
        <v>#VALUE!</v>
      </c>
      <c r="BF86" t="e">
        <f>Nodes!I667+"'E4!%j("</f>
        <v>#VALUE!</v>
      </c>
      <c r="BG86" t="e">
        <f>Nodes!J667+"'E4!%j)"</f>
        <v>#VALUE!</v>
      </c>
      <c r="BH86" t="e">
        <f>Nodes!K667+"'E4!%j."</f>
        <v>#VALUE!</v>
      </c>
      <c r="BI86" t="e">
        <f>Nodes!L667+"'E4!%j/"</f>
        <v>#VALUE!</v>
      </c>
      <c r="BJ86" t="e">
        <f>Nodes!M667+"'E4!%j0"</f>
        <v>#VALUE!</v>
      </c>
      <c r="BK86" t="e">
        <f>Nodes!N667+"'E4!%j1"</f>
        <v>#VALUE!</v>
      </c>
      <c r="BL86" t="e">
        <f>Nodes!O667+"'E4!%j2"</f>
        <v>#VALUE!</v>
      </c>
      <c r="BM86" t="e">
        <f>Nodes!P667+"'E4!%j3"</f>
        <v>#VALUE!</v>
      </c>
      <c r="BN86" t="e">
        <f>Nodes!Q667+"'E4!%j4"</f>
        <v>#VALUE!</v>
      </c>
      <c r="BO86" t="e">
        <f>Nodes!R667+"'E4!%j5"</f>
        <v>#VALUE!</v>
      </c>
      <c r="BP86" t="e">
        <f>Nodes!S667+"'E4!%j6"</f>
        <v>#VALUE!</v>
      </c>
      <c r="BQ86" s="547" t="e">
        <f>Nodes!T667+"'E4!%j7"</f>
        <v>#VALUE!</v>
      </c>
      <c r="BR86" t="e">
        <f>Nodes!U667+"'E4!%j8"</f>
        <v>#VALUE!</v>
      </c>
      <c r="BS86" t="e">
        <f>Nodes!V667+"'E4!%j9"</f>
        <v>#VALUE!</v>
      </c>
      <c r="BT86" s="547" t="e">
        <f>Nodes!W667+"'E4!%j:"</f>
        <v>#VALUE!</v>
      </c>
      <c r="BU86" t="e">
        <f>Nodes!X667+"'E4!%j;"</f>
        <v>#VALUE!</v>
      </c>
      <c r="BV86" t="e">
        <f>Nodes!Y667+"'E4!%j&lt;"</f>
        <v>#VALUE!</v>
      </c>
      <c r="BW86" t="e">
        <f>Nodes!Z667+"'E4!%j="</f>
        <v>#VALUE!</v>
      </c>
      <c r="BX86" t="e">
        <f>Nodes!AA667+"'E4!%j&gt;"</f>
        <v>#VALUE!</v>
      </c>
      <c r="BY86" t="e">
        <f>Nodes!AB667+"'E4!%j?"</f>
        <v>#VALUE!</v>
      </c>
      <c r="BZ86" t="e">
        <f>Nodes!AC667+"'E4!%j@"</f>
        <v>#VALUE!</v>
      </c>
      <c r="CA86" t="e">
        <f>Nodes!A668+"'E4!%jA"</f>
        <v>#VALUE!</v>
      </c>
      <c r="CB86" t="e">
        <f>Nodes!B668+"'E4!%jB"</f>
        <v>#VALUE!</v>
      </c>
      <c r="CC86" t="e">
        <f>Nodes!C668+"'E4!%jC"</f>
        <v>#VALUE!</v>
      </c>
      <c r="CD86" t="e">
        <f>Nodes!D668+"'E4!%jD"</f>
        <v>#VALUE!</v>
      </c>
      <c r="CE86" t="e">
        <f>Nodes!E668+"'E4!%jE"</f>
        <v>#VALUE!</v>
      </c>
      <c r="CF86" t="e">
        <f>Nodes!F668+"'E4!%jF"</f>
        <v>#VALUE!</v>
      </c>
      <c r="CG86" t="e">
        <f>Nodes!G668+"'E4!%jG"</f>
        <v>#VALUE!</v>
      </c>
      <c r="CH86" t="e">
        <f>Nodes!H668+"'E4!%jH"</f>
        <v>#VALUE!</v>
      </c>
      <c r="CI86" t="e">
        <f>Nodes!I668+"'E4!%jI"</f>
        <v>#VALUE!</v>
      </c>
      <c r="CJ86" t="e">
        <f>Nodes!J668+"'E4!%jJ"</f>
        <v>#VALUE!</v>
      </c>
      <c r="CK86" t="e">
        <f>Nodes!K668+"'E4!%jK"</f>
        <v>#VALUE!</v>
      </c>
      <c r="CL86" t="e">
        <f>Nodes!L668+"'E4!%jL"</f>
        <v>#VALUE!</v>
      </c>
      <c r="CM86" t="e">
        <f>Nodes!M668+"'E4!%jM"</f>
        <v>#VALUE!</v>
      </c>
      <c r="CN86" t="e">
        <f>Nodes!N668+"'E4!%jN"</f>
        <v>#VALUE!</v>
      </c>
      <c r="CO86" t="e">
        <f>Nodes!O668+"'E4!%jO"</f>
        <v>#VALUE!</v>
      </c>
      <c r="CP86" t="e">
        <f>Nodes!P668+"'E4!%jP"</f>
        <v>#VALUE!</v>
      </c>
      <c r="CQ86" t="e">
        <f>Nodes!Q668+"'E4!%jQ"</f>
        <v>#VALUE!</v>
      </c>
      <c r="CR86" t="e">
        <f>Nodes!R668+"'E4!%jR"</f>
        <v>#VALUE!</v>
      </c>
      <c r="CS86" t="e">
        <f>Nodes!S668+"'E4!%jS"</f>
        <v>#VALUE!</v>
      </c>
      <c r="CT86" s="547" t="e">
        <f>Nodes!T668+"'E4!%jT"</f>
        <v>#VALUE!</v>
      </c>
      <c r="CU86" t="e">
        <f>Nodes!U668+"'E4!%jU"</f>
        <v>#VALUE!</v>
      </c>
      <c r="CV86" t="e">
        <f>Nodes!V668+"'E4!%jV"</f>
        <v>#VALUE!</v>
      </c>
      <c r="CW86" s="547" t="e">
        <f>Nodes!W668+"'E4!%jW"</f>
        <v>#VALUE!</v>
      </c>
      <c r="CX86" t="e">
        <f>Nodes!X668+"'E4!%jX"</f>
        <v>#VALUE!</v>
      </c>
      <c r="CY86" t="e">
        <f>Nodes!Y668+"'E4!%jY"</f>
        <v>#VALUE!</v>
      </c>
      <c r="CZ86" t="e">
        <f>Nodes!Z668+"'E4!%jZ"</f>
        <v>#VALUE!</v>
      </c>
      <c r="DA86" t="e">
        <f>Nodes!AA668+"'E4!%j["</f>
        <v>#VALUE!</v>
      </c>
      <c r="DB86" t="e">
        <f>Nodes!AB668+"'E4!%j\"</f>
        <v>#VALUE!</v>
      </c>
      <c r="DC86" t="e">
        <f>Nodes!AC668+"'E4!%j]"</f>
        <v>#VALUE!</v>
      </c>
      <c r="DD86" t="e">
        <f>Nodes!A669+"'E4!%j^"</f>
        <v>#VALUE!</v>
      </c>
      <c r="DE86" t="e">
        <f>Nodes!B669+"'E4!%j_"</f>
        <v>#VALUE!</v>
      </c>
      <c r="DF86" t="e">
        <f>Nodes!C669+"'E4!%j`"</f>
        <v>#VALUE!</v>
      </c>
      <c r="DG86" t="e">
        <f>Nodes!D669+"'E4!%ja"</f>
        <v>#VALUE!</v>
      </c>
      <c r="DH86" t="e">
        <f>Nodes!E669+"'E4!%jb"</f>
        <v>#VALUE!</v>
      </c>
      <c r="DI86" t="e">
        <f>Nodes!F669+"'E4!%jc"</f>
        <v>#VALUE!</v>
      </c>
      <c r="DJ86" t="e">
        <f>Nodes!G669+"'E4!%jd"</f>
        <v>#VALUE!</v>
      </c>
      <c r="DK86" t="e">
        <f>Nodes!H669+"'E4!%je"</f>
        <v>#VALUE!</v>
      </c>
      <c r="DL86" t="e">
        <f>Nodes!I669+"'E4!%jf"</f>
        <v>#VALUE!</v>
      </c>
      <c r="DM86" t="e">
        <f>Nodes!J669+"'E4!%jg"</f>
        <v>#VALUE!</v>
      </c>
      <c r="DN86" t="e">
        <f>Nodes!K669+"'E4!%jh"</f>
        <v>#VALUE!</v>
      </c>
      <c r="DO86" t="e">
        <f>Nodes!L669+"'E4!%ji"</f>
        <v>#VALUE!</v>
      </c>
      <c r="DP86" t="e">
        <f>Nodes!M669+"'E4!%jj"</f>
        <v>#VALUE!</v>
      </c>
      <c r="DQ86" t="e">
        <f>Nodes!N669+"'E4!%jk"</f>
        <v>#VALUE!</v>
      </c>
      <c r="DR86" t="e">
        <f>Nodes!O669+"'E4!%jl"</f>
        <v>#VALUE!</v>
      </c>
      <c r="DS86" t="e">
        <f>Nodes!P669+"'E4!%jm"</f>
        <v>#VALUE!</v>
      </c>
      <c r="DT86" t="e">
        <f>Nodes!Q669+"'E4!%jn"</f>
        <v>#VALUE!</v>
      </c>
      <c r="DU86" t="e">
        <f>Nodes!R669+"'E4!%jo"</f>
        <v>#VALUE!</v>
      </c>
      <c r="DV86" t="e">
        <f>Nodes!S669+"'E4!%jp"</f>
        <v>#VALUE!</v>
      </c>
      <c r="DW86" s="547" t="e">
        <f>Nodes!T669+"'E4!%jq"</f>
        <v>#VALUE!</v>
      </c>
      <c r="DX86" t="e">
        <f>Nodes!U669+"'E4!%jr"</f>
        <v>#VALUE!</v>
      </c>
      <c r="DY86" t="e">
        <f>Nodes!V669+"'E4!%js"</f>
        <v>#VALUE!</v>
      </c>
      <c r="DZ86" s="547" t="e">
        <f>Nodes!W669+"'E4!%jt"</f>
        <v>#VALUE!</v>
      </c>
      <c r="EA86" t="e">
        <f>Nodes!X669+"'E4!%ju"</f>
        <v>#VALUE!</v>
      </c>
      <c r="EB86" t="e">
        <f>Nodes!Y669+"'E4!%jv"</f>
        <v>#VALUE!</v>
      </c>
      <c r="EC86" t="e">
        <f>Nodes!Z669+"'E4!%jw"</f>
        <v>#VALUE!</v>
      </c>
      <c r="ED86" t="e">
        <f>Nodes!AA669+"'E4!%jx"</f>
        <v>#VALUE!</v>
      </c>
      <c r="EE86" t="e">
        <f>Nodes!AB669+"'E4!%jy"</f>
        <v>#VALUE!</v>
      </c>
      <c r="EF86" t="e">
        <f>Nodes!AC669+"'E4!%jz"</f>
        <v>#VALUE!</v>
      </c>
      <c r="EG86" t="e">
        <f>Nodes!A670+"'E4!%j{"</f>
        <v>#VALUE!</v>
      </c>
      <c r="EH86" t="e">
        <f>Nodes!B670+"'E4!%j|"</f>
        <v>#VALUE!</v>
      </c>
      <c r="EI86" t="e">
        <f>Nodes!C670+"'E4!%j}"</f>
        <v>#VALUE!</v>
      </c>
      <c r="EJ86" t="e">
        <f>Nodes!D670+"'E4!%j~"</f>
        <v>#VALUE!</v>
      </c>
      <c r="EK86" t="e">
        <f>Nodes!E670+"'E4!%k#"</f>
        <v>#VALUE!</v>
      </c>
      <c r="EL86" t="e">
        <f>Nodes!F670+"'E4!%k$"</f>
        <v>#VALUE!</v>
      </c>
      <c r="EM86" t="e">
        <f>Nodes!G670+"'E4!%k%"</f>
        <v>#VALUE!</v>
      </c>
      <c r="EN86" t="e">
        <f>Nodes!H670+"'E4!%k&amp;"</f>
        <v>#VALUE!</v>
      </c>
      <c r="EO86" t="e">
        <f>Nodes!I670+"'E4!%k'"</f>
        <v>#VALUE!</v>
      </c>
      <c r="EP86" t="e">
        <f>Nodes!J670+"'E4!%k("</f>
        <v>#VALUE!</v>
      </c>
      <c r="EQ86" t="e">
        <f>Nodes!K670+"'E4!%k)"</f>
        <v>#VALUE!</v>
      </c>
      <c r="ER86" t="e">
        <f>Nodes!L670+"'E4!%k."</f>
        <v>#VALUE!</v>
      </c>
      <c r="ES86" t="e">
        <f>Nodes!M670+"'E4!%k/"</f>
        <v>#VALUE!</v>
      </c>
      <c r="ET86" t="e">
        <f>Nodes!N670+"'E4!%k0"</f>
        <v>#VALUE!</v>
      </c>
      <c r="EU86" t="e">
        <f>Nodes!O670+"'E4!%k1"</f>
        <v>#VALUE!</v>
      </c>
      <c r="EV86" t="e">
        <f>Nodes!P670+"'E4!%k2"</f>
        <v>#VALUE!</v>
      </c>
      <c r="EW86" t="e">
        <f>Nodes!Q670+"'E4!%k3"</f>
        <v>#VALUE!</v>
      </c>
      <c r="EX86" t="e">
        <f>Nodes!R670+"'E4!%k4"</f>
        <v>#VALUE!</v>
      </c>
      <c r="EY86" t="e">
        <f>Nodes!S670+"'E4!%k5"</f>
        <v>#VALUE!</v>
      </c>
      <c r="EZ86" s="547" t="e">
        <f>Nodes!T670+"'E4!%k6"</f>
        <v>#VALUE!</v>
      </c>
      <c r="FA86" t="e">
        <f>Nodes!U670+"'E4!%k7"</f>
        <v>#VALUE!</v>
      </c>
      <c r="FB86" t="e">
        <f>Nodes!V670+"'E4!%k8"</f>
        <v>#VALUE!</v>
      </c>
      <c r="FC86" s="547" t="e">
        <f>Nodes!W670+"'E4!%k9"</f>
        <v>#VALUE!</v>
      </c>
      <c r="FD86" t="e">
        <f>Nodes!X670+"'E4!%k:"</f>
        <v>#VALUE!</v>
      </c>
      <c r="FE86" t="e">
        <f>Nodes!Y670+"'E4!%k;"</f>
        <v>#VALUE!</v>
      </c>
      <c r="FF86" t="e">
        <f>Nodes!Z670+"'E4!%k&lt;"</f>
        <v>#VALUE!</v>
      </c>
      <c r="FG86" t="e">
        <f>Nodes!AA670+"'E4!%k="</f>
        <v>#VALUE!</v>
      </c>
      <c r="FH86" t="e">
        <f>Nodes!AB670+"'E4!%k&gt;"</f>
        <v>#VALUE!</v>
      </c>
      <c r="FI86" t="e">
        <f>Nodes!AC670+"'E4!%k?"</f>
        <v>#VALUE!</v>
      </c>
      <c r="FJ86" t="e">
        <f>Nodes!A671+"'E4!%k@"</f>
        <v>#VALUE!</v>
      </c>
      <c r="FK86" t="e">
        <f>Nodes!B671+"'E4!%kA"</f>
        <v>#VALUE!</v>
      </c>
      <c r="FL86" t="e">
        <f>Nodes!C671+"'E4!%kB"</f>
        <v>#VALUE!</v>
      </c>
      <c r="FM86" t="e">
        <f>Nodes!D671+"'E4!%kC"</f>
        <v>#VALUE!</v>
      </c>
      <c r="FN86" t="e">
        <f>Nodes!E671+"'E4!%kD"</f>
        <v>#VALUE!</v>
      </c>
      <c r="FO86" t="e">
        <f>Nodes!F671+"'E4!%kE"</f>
        <v>#VALUE!</v>
      </c>
      <c r="FP86" t="e">
        <f>Nodes!G671+"'E4!%kF"</f>
        <v>#VALUE!</v>
      </c>
      <c r="FQ86" t="e">
        <f>Nodes!H671+"'E4!%kG"</f>
        <v>#VALUE!</v>
      </c>
      <c r="FR86" t="e">
        <f>Nodes!I671+"'E4!%kH"</f>
        <v>#VALUE!</v>
      </c>
      <c r="FS86" t="e">
        <f>Nodes!J671+"'E4!%kI"</f>
        <v>#VALUE!</v>
      </c>
      <c r="FT86" t="e">
        <f>Nodes!K671+"'E4!%kJ"</f>
        <v>#VALUE!</v>
      </c>
      <c r="FU86" t="e">
        <f>Nodes!L671+"'E4!%kK"</f>
        <v>#VALUE!</v>
      </c>
      <c r="FV86" t="e">
        <f>Nodes!M671+"'E4!%kL"</f>
        <v>#VALUE!</v>
      </c>
      <c r="FW86" t="e">
        <f>Nodes!N671+"'E4!%kM"</f>
        <v>#VALUE!</v>
      </c>
      <c r="FX86" t="e">
        <f>Nodes!O671+"'E4!%kN"</f>
        <v>#VALUE!</v>
      </c>
      <c r="FY86" t="e">
        <f>Nodes!P671+"'E4!%kO"</f>
        <v>#VALUE!</v>
      </c>
      <c r="FZ86" t="e">
        <f>Nodes!Q671+"'E4!%kP"</f>
        <v>#VALUE!</v>
      </c>
      <c r="GA86" t="e">
        <f>Nodes!R671+"'E4!%kQ"</f>
        <v>#VALUE!</v>
      </c>
      <c r="GB86" t="e">
        <f>Nodes!S671+"'E4!%kR"</f>
        <v>#VALUE!</v>
      </c>
      <c r="GC86" s="547" t="e">
        <f>Nodes!T671+"'E4!%kS"</f>
        <v>#VALUE!</v>
      </c>
      <c r="GD86" t="e">
        <f>Nodes!U671+"'E4!%kT"</f>
        <v>#VALUE!</v>
      </c>
      <c r="GE86" t="e">
        <f>Nodes!V671+"'E4!%kU"</f>
        <v>#VALUE!</v>
      </c>
      <c r="GF86" s="547" t="e">
        <f>Nodes!W671+"'E4!%kV"</f>
        <v>#VALUE!</v>
      </c>
      <c r="GG86" t="e">
        <f>Nodes!X671+"'E4!%kW"</f>
        <v>#VALUE!</v>
      </c>
      <c r="GH86" t="e">
        <f>Nodes!Y671+"'E4!%kX"</f>
        <v>#VALUE!</v>
      </c>
      <c r="GI86" t="e">
        <f>Nodes!Z671+"'E4!%kY"</f>
        <v>#VALUE!</v>
      </c>
      <c r="GJ86" t="e">
        <f>Nodes!AA671+"'E4!%kZ"</f>
        <v>#VALUE!</v>
      </c>
      <c r="GK86" t="e">
        <f>Nodes!AB671+"'E4!%k["</f>
        <v>#VALUE!</v>
      </c>
      <c r="GL86" t="e">
        <f>Nodes!AC671+"'E4!%k\"</f>
        <v>#VALUE!</v>
      </c>
      <c r="GM86" t="e">
        <f>Nodes!A672+"'E4!%k]"</f>
        <v>#VALUE!</v>
      </c>
      <c r="GN86" t="e">
        <f>Nodes!B672+"'E4!%k^"</f>
        <v>#VALUE!</v>
      </c>
      <c r="GO86" t="e">
        <f>Nodes!C672+"'E4!%k_"</f>
        <v>#VALUE!</v>
      </c>
      <c r="GP86" t="e">
        <f>Nodes!D672+"'E4!%k`"</f>
        <v>#VALUE!</v>
      </c>
      <c r="GQ86" t="e">
        <f>Nodes!E672+"'E4!%ka"</f>
        <v>#VALUE!</v>
      </c>
      <c r="GR86" t="e">
        <f>Nodes!F672+"'E4!%kb"</f>
        <v>#VALUE!</v>
      </c>
      <c r="GS86" t="e">
        <f>Nodes!G672+"'E4!%kc"</f>
        <v>#VALUE!</v>
      </c>
      <c r="GT86" t="e">
        <f>Nodes!H672+"'E4!%kd"</f>
        <v>#VALUE!</v>
      </c>
      <c r="GU86" t="e">
        <f>Nodes!I672+"'E4!%ke"</f>
        <v>#VALUE!</v>
      </c>
      <c r="GV86" t="e">
        <f>Nodes!J672+"'E4!%kf"</f>
        <v>#VALUE!</v>
      </c>
      <c r="GW86" t="e">
        <f>Nodes!K672+"'E4!%kg"</f>
        <v>#VALUE!</v>
      </c>
      <c r="GX86" t="e">
        <f>Nodes!L672+"'E4!%kh"</f>
        <v>#VALUE!</v>
      </c>
      <c r="GY86" t="e">
        <f>Nodes!M672+"'E4!%ki"</f>
        <v>#VALUE!</v>
      </c>
      <c r="GZ86" t="e">
        <f>Nodes!N672+"'E4!%kj"</f>
        <v>#VALUE!</v>
      </c>
      <c r="HA86" t="e">
        <f>Nodes!O672+"'E4!%kk"</f>
        <v>#VALUE!</v>
      </c>
      <c r="HB86" t="e">
        <f>Nodes!P672+"'E4!%kl"</f>
        <v>#VALUE!</v>
      </c>
      <c r="HC86" t="e">
        <f>Nodes!Q672+"'E4!%km"</f>
        <v>#VALUE!</v>
      </c>
      <c r="HD86" t="e">
        <f>Nodes!R672+"'E4!%kn"</f>
        <v>#VALUE!</v>
      </c>
      <c r="HE86" t="e">
        <f>Nodes!S672+"'E4!%ko"</f>
        <v>#VALUE!</v>
      </c>
      <c r="HF86" s="547" t="e">
        <f>Nodes!T672+"'E4!%kp"</f>
        <v>#VALUE!</v>
      </c>
      <c r="HG86" t="e">
        <f>Nodes!U672+"'E4!%kq"</f>
        <v>#VALUE!</v>
      </c>
      <c r="HH86" t="e">
        <f>Nodes!V672+"'E4!%kr"</f>
        <v>#VALUE!</v>
      </c>
      <c r="HI86" s="547" t="e">
        <f>Nodes!W672+"'E4!%ks"</f>
        <v>#VALUE!</v>
      </c>
      <c r="HJ86" t="e">
        <f>Nodes!X672+"'E4!%kt"</f>
        <v>#VALUE!</v>
      </c>
      <c r="HK86" t="e">
        <f>Nodes!Y672+"'E4!%ku"</f>
        <v>#VALUE!</v>
      </c>
      <c r="HL86" t="e">
        <f>Nodes!Z672+"'E4!%kv"</f>
        <v>#VALUE!</v>
      </c>
      <c r="HM86" t="e">
        <f>Nodes!AA672+"'E4!%kw"</f>
        <v>#VALUE!</v>
      </c>
      <c r="HN86" t="e">
        <f>Nodes!AB672+"'E4!%kx"</f>
        <v>#VALUE!</v>
      </c>
      <c r="HO86" t="e">
        <f>Nodes!AC672+"'E4!%ky"</f>
        <v>#VALUE!</v>
      </c>
      <c r="HP86" t="e">
        <f>Nodes!A673+"'E4!%kz"</f>
        <v>#VALUE!</v>
      </c>
      <c r="HQ86" t="e">
        <f>Nodes!B673+"'E4!%k{"</f>
        <v>#VALUE!</v>
      </c>
      <c r="HR86" t="e">
        <f>Nodes!C673+"'E4!%k|"</f>
        <v>#VALUE!</v>
      </c>
      <c r="HS86" t="e">
        <f>Nodes!D673+"'E4!%k}"</f>
        <v>#VALUE!</v>
      </c>
      <c r="HT86" t="e">
        <f>Nodes!E673+"'E4!%k~"</f>
        <v>#VALUE!</v>
      </c>
      <c r="HU86" t="e">
        <f>Nodes!F673+"'E4!%l#"</f>
        <v>#VALUE!</v>
      </c>
      <c r="HV86" t="e">
        <f>Nodes!G673+"'E4!%l$"</f>
        <v>#VALUE!</v>
      </c>
      <c r="HW86" t="e">
        <f>Nodes!H673+"'E4!%l%"</f>
        <v>#VALUE!</v>
      </c>
      <c r="HX86" t="e">
        <f>Nodes!I673+"'E4!%l&amp;"</f>
        <v>#VALUE!</v>
      </c>
      <c r="HY86" t="e">
        <f>Nodes!J673+"'E4!%l'"</f>
        <v>#VALUE!</v>
      </c>
      <c r="HZ86" t="e">
        <f>Nodes!K673+"'E4!%l("</f>
        <v>#VALUE!</v>
      </c>
      <c r="IA86" t="e">
        <f>Nodes!L673+"'E4!%l)"</f>
        <v>#VALUE!</v>
      </c>
      <c r="IB86" t="e">
        <f>Nodes!M673+"'E4!%l."</f>
        <v>#VALUE!</v>
      </c>
      <c r="IC86" t="e">
        <f>Nodes!N673+"'E4!%l/"</f>
        <v>#VALUE!</v>
      </c>
      <c r="ID86" t="e">
        <f>Nodes!O673+"'E4!%l0"</f>
        <v>#VALUE!</v>
      </c>
      <c r="IE86" t="e">
        <f>Nodes!P673+"'E4!%l1"</f>
        <v>#VALUE!</v>
      </c>
      <c r="IF86" t="e">
        <f>Nodes!Q673+"'E4!%l2"</f>
        <v>#VALUE!</v>
      </c>
      <c r="IG86" t="e">
        <f>Nodes!R673+"'E4!%l3"</f>
        <v>#VALUE!</v>
      </c>
      <c r="IH86" t="e">
        <f>Nodes!S673+"'E4!%l4"</f>
        <v>#VALUE!</v>
      </c>
      <c r="II86" s="547" t="e">
        <f>Nodes!T673+"'E4!%l5"</f>
        <v>#VALUE!</v>
      </c>
      <c r="IJ86" t="e">
        <f>Nodes!U673+"'E4!%l6"</f>
        <v>#VALUE!</v>
      </c>
      <c r="IK86" t="e">
        <f>Nodes!V673+"'E4!%l7"</f>
        <v>#VALUE!</v>
      </c>
      <c r="IL86" s="547" t="e">
        <f>Nodes!W673+"'E4!%l8"</f>
        <v>#VALUE!</v>
      </c>
      <c r="IM86" t="e">
        <f>Nodes!X673+"'E4!%l9"</f>
        <v>#VALUE!</v>
      </c>
      <c r="IN86" t="e">
        <f>Nodes!Y673+"'E4!%l:"</f>
        <v>#VALUE!</v>
      </c>
      <c r="IO86" t="e">
        <f>Nodes!Z673+"'E4!%l;"</f>
        <v>#VALUE!</v>
      </c>
      <c r="IP86" t="e">
        <f>Nodes!AA673+"'E4!%l&lt;"</f>
        <v>#VALUE!</v>
      </c>
      <c r="IQ86" t="e">
        <f>Nodes!AB673+"'E4!%l="</f>
        <v>#VALUE!</v>
      </c>
      <c r="IR86" t="e">
        <f>Nodes!AC673+"'E4!%l&gt;"</f>
        <v>#VALUE!</v>
      </c>
      <c r="IS86" t="e">
        <f>Nodes!A674+"'E4!%l?"</f>
        <v>#VALUE!</v>
      </c>
      <c r="IT86" t="e">
        <f>Nodes!B674+"'E4!%l@"</f>
        <v>#VALUE!</v>
      </c>
      <c r="IU86" t="e">
        <f>Nodes!C674+"'E4!%lA"</f>
        <v>#VALUE!</v>
      </c>
      <c r="IV86" t="e">
        <f>Nodes!D674+"'E4!%lB"</f>
        <v>#VALUE!</v>
      </c>
    </row>
    <row r="87" spans="6:256">
      <c r="F87" t="e">
        <f>Nodes!E674+"'E4!%lC"</f>
        <v>#VALUE!</v>
      </c>
      <c r="G87" t="e">
        <f>Nodes!F674+"'E4!%lD"</f>
        <v>#VALUE!</v>
      </c>
      <c r="H87" t="e">
        <f>Nodes!G674+"'E4!%lE"</f>
        <v>#VALUE!</v>
      </c>
      <c r="I87" t="e">
        <f>Nodes!H674+"'E4!%lF"</f>
        <v>#VALUE!</v>
      </c>
      <c r="J87" t="e">
        <f>Nodes!I674+"'E4!%lG"</f>
        <v>#VALUE!</v>
      </c>
      <c r="K87" t="e">
        <f>Nodes!J674+"'E4!%lH"</f>
        <v>#VALUE!</v>
      </c>
      <c r="L87" t="e">
        <f>Nodes!K674+"'E4!%lI"</f>
        <v>#VALUE!</v>
      </c>
      <c r="M87" t="e">
        <f>Nodes!L674+"'E4!%lJ"</f>
        <v>#VALUE!</v>
      </c>
      <c r="N87" t="e">
        <f>Nodes!M674+"'E4!%lK"</f>
        <v>#VALUE!</v>
      </c>
      <c r="O87" t="e">
        <f>Nodes!N674+"'E4!%lL"</f>
        <v>#VALUE!</v>
      </c>
      <c r="P87" t="e">
        <f>Nodes!O674+"'E4!%lM"</f>
        <v>#VALUE!</v>
      </c>
      <c r="Q87" t="e">
        <f>Nodes!P674+"'E4!%lN"</f>
        <v>#VALUE!</v>
      </c>
      <c r="R87" t="e">
        <f>Nodes!Q674+"'E4!%lO"</f>
        <v>#VALUE!</v>
      </c>
      <c r="S87" t="e">
        <f>Nodes!R674+"'E4!%lP"</f>
        <v>#VALUE!</v>
      </c>
      <c r="T87" t="e">
        <f>Nodes!S674+"'E4!%lQ"</f>
        <v>#VALUE!</v>
      </c>
      <c r="U87" s="547" t="e">
        <f>Nodes!T674+"'E4!%lR"</f>
        <v>#VALUE!</v>
      </c>
      <c r="V87" t="e">
        <f>Nodes!U674+"'E4!%lS"</f>
        <v>#VALUE!</v>
      </c>
      <c r="W87" t="e">
        <f>Nodes!V674+"'E4!%lT"</f>
        <v>#VALUE!</v>
      </c>
      <c r="X87" s="547" t="e">
        <f>Nodes!W674+"'E4!%lU"</f>
        <v>#VALUE!</v>
      </c>
      <c r="Y87" t="e">
        <f>Nodes!X674+"'E4!%lV"</f>
        <v>#VALUE!</v>
      </c>
      <c r="Z87" t="e">
        <f>Nodes!Y674+"'E4!%lW"</f>
        <v>#VALUE!</v>
      </c>
      <c r="AA87" t="e">
        <f>Nodes!Z674+"'E4!%lX"</f>
        <v>#VALUE!</v>
      </c>
      <c r="AB87" t="e">
        <f>Nodes!AA674+"'E4!%lY"</f>
        <v>#VALUE!</v>
      </c>
      <c r="AC87" t="e">
        <f>Nodes!AB674+"'E4!%lZ"</f>
        <v>#VALUE!</v>
      </c>
      <c r="AD87" t="e">
        <f>Nodes!AC674+"'E4!%l["</f>
        <v>#VALUE!</v>
      </c>
      <c r="AE87" t="e">
        <f>Nodes!A675+"'E4!%l\"</f>
        <v>#VALUE!</v>
      </c>
      <c r="AF87" t="e">
        <f>Nodes!B675+"'E4!%l]"</f>
        <v>#VALUE!</v>
      </c>
      <c r="AG87" t="e">
        <f>Nodes!C675+"'E4!%l^"</f>
        <v>#VALUE!</v>
      </c>
      <c r="AH87" t="e">
        <f>Nodes!D675+"'E4!%l_"</f>
        <v>#VALUE!</v>
      </c>
      <c r="AI87" t="e">
        <f>Nodes!E675+"'E4!%l`"</f>
        <v>#VALUE!</v>
      </c>
      <c r="AJ87" t="e">
        <f>Nodes!F675+"'E4!%la"</f>
        <v>#VALUE!</v>
      </c>
      <c r="AK87" t="e">
        <f>Nodes!G675+"'E4!%lb"</f>
        <v>#VALUE!</v>
      </c>
      <c r="AL87" t="e">
        <f>Nodes!H675+"'E4!%lc"</f>
        <v>#VALUE!</v>
      </c>
      <c r="AM87" t="e">
        <f>Nodes!I675+"'E4!%ld"</f>
        <v>#VALUE!</v>
      </c>
      <c r="AN87" t="e">
        <f>Nodes!J675+"'E4!%le"</f>
        <v>#VALUE!</v>
      </c>
      <c r="AO87" t="e">
        <f>Nodes!K675+"'E4!%lf"</f>
        <v>#VALUE!</v>
      </c>
      <c r="AP87" t="e">
        <f>Nodes!L675+"'E4!%lg"</f>
        <v>#VALUE!</v>
      </c>
      <c r="AQ87" t="e">
        <f>Nodes!M675+"'E4!%lh"</f>
        <v>#VALUE!</v>
      </c>
      <c r="AR87" t="e">
        <f>Nodes!N675+"'E4!%li"</f>
        <v>#VALUE!</v>
      </c>
      <c r="AS87" t="e">
        <f>Nodes!O675+"'E4!%lj"</f>
        <v>#VALUE!</v>
      </c>
      <c r="AT87" t="e">
        <f>Nodes!P675+"'E4!%lk"</f>
        <v>#VALUE!</v>
      </c>
      <c r="AU87" t="e">
        <f>Nodes!Q675+"'E4!%ll"</f>
        <v>#VALUE!</v>
      </c>
      <c r="AV87" t="e">
        <f>Nodes!R675+"'E4!%lm"</f>
        <v>#VALUE!</v>
      </c>
      <c r="AW87" t="e">
        <f>Nodes!S675+"'E4!%ln"</f>
        <v>#VALUE!</v>
      </c>
      <c r="AX87" s="547" t="e">
        <f>Nodes!T675+"'E4!%lo"</f>
        <v>#VALUE!</v>
      </c>
      <c r="AY87" t="e">
        <f>Nodes!U675+"'E4!%lp"</f>
        <v>#VALUE!</v>
      </c>
      <c r="AZ87" t="e">
        <f>Nodes!V675+"'E4!%lq"</f>
        <v>#VALUE!</v>
      </c>
      <c r="BA87" s="547" t="e">
        <f>Nodes!W675+"'E4!%lr"</f>
        <v>#VALUE!</v>
      </c>
      <c r="BB87" t="e">
        <f>Nodes!X675+"'E4!%ls"</f>
        <v>#VALUE!</v>
      </c>
      <c r="BC87" t="e">
        <f>Nodes!Y675+"'E4!%lt"</f>
        <v>#VALUE!</v>
      </c>
      <c r="BD87" t="e">
        <f>Nodes!Z675+"'E4!%lu"</f>
        <v>#VALUE!</v>
      </c>
      <c r="BE87" t="e">
        <f>Nodes!AA675+"'E4!%lv"</f>
        <v>#VALUE!</v>
      </c>
      <c r="BF87" t="e">
        <f>Nodes!AB675+"'E4!%lw"</f>
        <v>#VALUE!</v>
      </c>
      <c r="BG87" t="e">
        <f>Nodes!AC675+"'E4!%lx"</f>
        <v>#VALUE!</v>
      </c>
      <c r="BH87" t="e">
        <f>Nodes!A676+"'E4!%ly"</f>
        <v>#VALUE!</v>
      </c>
      <c r="BI87" t="e">
        <f>Nodes!B676+"'E4!%lz"</f>
        <v>#VALUE!</v>
      </c>
      <c r="BJ87" t="e">
        <f>Nodes!C676+"'E4!%l{"</f>
        <v>#VALUE!</v>
      </c>
      <c r="BK87" t="e">
        <f>Nodes!D676+"'E4!%l|"</f>
        <v>#VALUE!</v>
      </c>
      <c r="BL87" t="e">
        <f>Nodes!E676+"'E4!%l}"</f>
        <v>#VALUE!</v>
      </c>
      <c r="BM87" t="e">
        <f>Nodes!F676+"'E4!%l~"</f>
        <v>#VALUE!</v>
      </c>
      <c r="BN87" t="e">
        <f>Nodes!G676+"'E4!%m#"</f>
        <v>#VALUE!</v>
      </c>
      <c r="BO87" t="e">
        <f>Nodes!H676+"'E4!%m$"</f>
        <v>#VALUE!</v>
      </c>
      <c r="BP87" t="e">
        <f>Nodes!I676+"'E4!%m%"</f>
        <v>#VALUE!</v>
      </c>
      <c r="BQ87" t="e">
        <f>Nodes!J676+"'E4!%m&amp;"</f>
        <v>#VALUE!</v>
      </c>
      <c r="BR87" t="e">
        <f>Nodes!K676+"'E4!%m'"</f>
        <v>#VALUE!</v>
      </c>
      <c r="BS87" t="e">
        <f>Nodes!L676+"'E4!%m("</f>
        <v>#VALUE!</v>
      </c>
      <c r="BT87" t="e">
        <f>Nodes!M676+"'E4!%m)"</f>
        <v>#VALUE!</v>
      </c>
      <c r="BU87" t="e">
        <f>Nodes!N676+"'E4!%m."</f>
        <v>#VALUE!</v>
      </c>
      <c r="BV87" t="e">
        <f>Nodes!O676+"'E4!%m/"</f>
        <v>#VALUE!</v>
      </c>
      <c r="BW87" t="e">
        <f>Nodes!P676+"'E4!%m0"</f>
        <v>#N/A</v>
      </c>
      <c r="BX87" t="e">
        <f>Nodes!Q676+"'E4!%m1"</f>
        <v>#VALUE!</v>
      </c>
      <c r="BY87" t="e">
        <f>Nodes!R676+"'E4!%m2"</f>
        <v>#VALUE!</v>
      </c>
      <c r="BZ87" t="e">
        <f>Nodes!S676+"'E4!%m3"</f>
        <v>#VALUE!</v>
      </c>
      <c r="CA87" s="547" t="e">
        <f>Nodes!T676+"'E4!%m4"</f>
        <v>#VALUE!</v>
      </c>
      <c r="CB87" t="e">
        <f>Nodes!U676+"'E4!%m5"</f>
        <v>#VALUE!</v>
      </c>
      <c r="CC87" t="e">
        <f>Nodes!V676+"'E4!%m6"</f>
        <v>#VALUE!</v>
      </c>
      <c r="CD87" s="547" t="e">
        <f>Nodes!W676+"'E4!%m7"</f>
        <v>#VALUE!</v>
      </c>
      <c r="CE87" t="e">
        <f>Nodes!X676+"'E4!%m8"</f>
        <v>#VALUE!</v>
      </c>
      <c r="CF87" t="e">
        <f>Nodes!Y676+"'E4!%m9"</f>
        <v>#VALUE!</v>
      </c>
      <c r="CG87" t="e">
        <f>Nodes!Z676+"'E4!%m:"</f>
        <v>#VALUE!</v>
      </c>
      <c r="CH87" t="e">
        <f>Nodes!AA676+"'E4!%m;"</f>
        <v>#VALUE!</v>
      </c>
      <c r="CI87" t="e">
        <f>Nodes!AB676+"'E4!%m&lt;"</f>
        <v>#VALUE!</v>
      </c>
      <c r="CJ87" t="e">
        <f>Nodes!AC676+"'E4!%m="</f>
        <v>#VALUE!</v>
      </c>
      <c r="CK87" t="e">
        <f>Nodes!A677+"'E4!%m&gt;"</f>
        <v>#VALUE!</v>
      </c>
      <c r="CL87" t="e">
        <f>Nodes!B677+"'E4!%m?"</f>
        <v>#VALUE!</v>
      </c>
      <c r="CM87" t="e">
        <f>Nodes!C677+"'E4!%m@"</f>
        <v>#VALUE!</v>
      </c>
      <c r="CN87" t="e">
        <f>Nodes!D677+"'E4!%mA"</f>
        <v>#VALUE!</v>
      </c>
      <c r="CO87" t="e">
        <f>Nodes!E677+"'E4!%mB"</f>
        <v>#VALUE!</v>
      </c>
      <c r="CP87" t="e">
        <f>Nodes!F677+"'E4!%mC"</f>
        <v>#VALUE!</v>
      </c>
      <c r="CQ87" t="e">
        <f>Nodes!G677+"'E4!%mD"</f>
        <v>#VALUE!</v>
      </c>
      <c r="CR87" t="e">
        <f>Nodes!H677+"'E4!%mE"</f>
        <v>#VALUE!</v>
      </c>
      <c r="CS87" t="e">
        <f>Nodes!I677+"'E4!%mF"</f>
        <v>#VALUE!</v>
      </c>
      <c r="CT87" t="e">
        <f>Nodes!J677+"'E4!%mG"</f>
        <v>#VALUE!</v>
      </c>
      <c r="CU87" t="e">
        <f>Nodes!K677+"'E4!%mH"</f>
        <v>#VALUE!</v>
      </c>
      <c r="CV87" t="e">
        <f>Nodes!L677+"'E4!%mI"</f>
        <v>#VALUE!</v>
      </c>
      <c r="CW87" t="e">
        <f>Nodes!M677+"'E4!%mJ"</f>
        <v>#VALUE!</v>
      </c>
      <c r="CX87" t="e">
        <f>Nodes!N677+"'E4!%mK"</f>
        <v>#VALUE!</v>
      </c>
      <c r="CY87" t="e">
        <f>Nodes!O677+"'E4!%mL"</f>
        <v>#VALUE!</v>
      </c>
      <c r="CZ87" t="e">
        <f>Nodes!P677+"'E4!%mM"</f>
        <v>#N/A</v>
      </c>
      <c r="DA87" t="e">
        <f>Nodes!Q677+"'E4!%mN"</f>
        <v>#VALUE!</v>
      </c>
      <c r="DB87" t="e">
        <f>Nodes!R677+"'E4!%mO"</f>
        <v>#VALUE!</v>
      </c>
      <c r="DC87" t="e">
        <f>Nodes!S677+"'E4!%mP"</f>
        <v>#VALUE!</v>
      </c>
      <c r="DD87" s="547" t="e">
        <f>Nodes!T677+"'E4!%mQ"</f>
        <v>#VALUE!</v>
      </c>
      <c r="DE87" t="e">
        <f>Nodes!U677+"'E4!%mR"</f>
        <v>#VALUE!</v>
      </c>
      <c r="DF87" t="e">
        <f>Nodes!V677+"'E4!%mS"</f>
        <v>#VALUE!</v>
      </c>
      <c r="DG87" s="547" t="e">
        <f>Nodes!W677+"'E4!%mT"</f>
        <v>#VALUE!</v>
      </c>
      <c r="DH87" t="e">
        <f>Nodes!X677+"'E4!%mU"</f>
        <v>#VALUE!</v>
      </c>
      <c r="DI87" t="e">
        <f>Nodes!Y677+"'E4!%mV"</f>
        <v>#VALUE!</v>
      </c>
      <c r="DJ87" t="e">
        <f>Nodes!Z677+"'E4!%mW"</f>
        <v>#VALUE!</v>
      </c>
      <c r="DK87" t="e">
        <f>Nodes!AA677+"'E4!%mX"</f>
        <v>#VALUE!</v>
      </c>
      <c r="DL87" t="e">
        <f>Nodes!AB677+"'E4!%mY"</f>
        <v>#VALUE!</v>
      </c>
      <c r="DM87" t="e">
        <f>Nodes!AC677+"'E4!%mZ"</f>
        <v>#VALUE!</v>
      </c>
      <c r="DN87" t="e">
        <f>Nodes!A678+"'E4!%m["</f>
        <v>#VALUE!</v>
      </c>
      <c r="DO87" t="e">
        <f>Nodes!B678+"'E4!%m\"</f>
        <v>#VALUE!</v>
      </c>
      <c r="DP87" t="e">
        <f>Nodes!C678+"'E4!%m]"</f>
        <v>#VALUE!</v>
      </c>
      <c r="DQ87" t="e">
        <f>Nodes!D678+"'E4!%m^"</f>
        <v>#VALUE!</v>
      </c>
      <c r="DR87" t="e">
        <f>Nodes!E678+"'E4!%m_"</f>
        <v>#VALUE!</v>
      </c>
      <c r="DS87" t="e">
        <f>Nodes!F678+"'E4!%m`"</f>
        <v>#VALUE!</v>
      </c>
      <c r="DT87" t="e">
        <f>Nodes!G678+"'E4!%ma"</f>
        <v>#VALUE!</v>
      </c>
      <c r="DU87" t="e">
        <f>Nodes!H678+"'E4!%mb"</f>
        <v>#VALUE!</v>
      </c>
      <c r="DV87" t="e">
        <f>Nodes!I678+"'E4!%mc"</f>
        <v>#VALUE!</v>
      </c>
      <c r="DW87" t="e">
        <f>Nodes!J678+"'E4!%md"</f>
        <v>#VALUE!</v>
      </c>
      <c r="DX87" t="e">
        <f>Nodes!K678+"'E4!%me"</f>
        <v>#VALUE!</v>
      </c>
      <c r="DY87" t="e">
        <f>Nodes!L678+"'E4!%mf"</f>
        <v>#VALUE!</v>
      </c>
      <c r="DZ87" t="e">
        <f>Nodes!M678+"'E4!%mg"</f>
        <v>#VALUE!</v>
      </c>
      <c r="EA87" t="e">
        <f>Nodes!N678+"'E4!%mh"</f>
        <v>#VALUE!</v>
      </c>
      <c r="EB87" t="e">
        <f>Nodes!O678+"'E4!%mi"</f>
        <v>#VALUE!</v>
      </c>
      <c r="EC87" t="e">
        <f>Nodes!P678+"'E4!%mj"</f>
        <v>#N/A</v>
      </c>
      <c r="ED87" t="e">
        <f>Nodes!Q678+"'E4!%mk"</f>
        <v>#VALUE!</v>
      </c>
      <c r="EE87" t="e">
        <f>Nodes!R678+"'E4!%ml"</f>
        <v>#VALUE!</v>
      </c>
      <c r="EF87" t="e">
        <f>Nodes!S678+"'E4!%mm"</f>
        <v>#VALUE!</v>
      </c>
      <c r="EG87" s="547" t="e">
        <f>Nodes!T678+"'E4!%mn"</f>
        <v>#VALUE!</v>
      </c>
      <c r="EH87" t="e">
        <f>Nodes!U678+"'E4!%mo"</f>
        <v>#VALUE!</v>
      </c>
      <c r="EI87" t="e">
        <f>Nodes!V678+"'E4!%mp"</f>
        <v>#VALUE!</v>
      </c>
      <c r="EJ87" s="547" t="e">
        <f>Nodes!W678+"'E4!%mq"</f>
        <v>#VALUE!</v>
      </c>
      <c r="EK87" t="e">
        <f>Nodes!X678+"'E4!%mr"</f>
        <v>#VALUE!</v>
      </c>
      <c r="EL87" t="e">
        <f>Nodes!Y678+"'E4!%ms"</f>
        <v>#VALUE!</v>
      </c>
      <c r="EM87" t="e">
        <f>Nodes!Z678+"'E4!%mt"</f>
        <v>#VALUE!</v>
      </c>
      <c r="EN87" t="e">
        <f>Nodes!AA678+"'E4!%mu"</f>
        <v>#VALUE!</v>
      </c>
      <c r="EO87" t="e">
        <f>Nodes!AB678+"'E4!%mv"</f>
        <v>#VALUE!</v>
      </c>
      <c r="EP87" t="e">
        <f>Nodes!AC678+"'E4!%mw"</f>
        <v>#VALUE!</v>
      </c>
      <c r="EQ87" t="e">
        <f>Nodes!A679+"'E4!%mx"</f>
        <v>#VALUE!</v>
      </c>
      <c r="ER87" t="e">
        <f>Nodes!B679+"'E4!%my"</f>
        <v>#VALUE!</v>
      </c>
      <c r="ES87" t="e">
        <f>Nodes!C679+"'E4!%mz"</f>
        <v>#VALUE!</v>
      </c>
      <c r="ET87" t="e">
        <f>Nodes!D679+"'E4!%m{"</f>
        <v>#VALUE!</v>
      </c>
      <c r="EU87" t="e">
        <f>Nodes!E679+"'E4!%m|"</f>
        <v>#VALUE!</v>
      </c>
      <c r="EV87" t="e">
        <f>Nodes!F679+"'E4!%m}"</f>
        <v>#VALUE!</v>
      </c>
      <c r="EW87" t="e">
        <f>Nodes!G679+"'E4!%m~"</f>
        <v>#VALUE!</v>
      </c>
      <c r="EX87" t="e">
        <f>Nodes!H679+"'E4!%n#"</f>
        <v>#VALUE!</v>
      </c>
      <c r="EY87" t="e">
        <f>Nodes!I679+"'E4!%n$"</f>
        <v>#VALUE!</v>
      </c>
      <c r="EZ87" t="e">
        <f>Nodes!J679+"'E4!%n%"</f>
        <v>#VALUE!</v>
      </c>
      <c r="FA87" t="e">
        <f>Nodes!K679+"'E4!%n&amp;"</f>
        <v>#VALUE!</v>
      </c>
      <c r="FB87" t="e">
        <f>Nodes!L679+"'E4!%n'"</f>
        <v>#VALUE!</v>
      </c>
      <c r="FC87" t="e">
        <f>Nodes!M679+"'E4!%n("</f>
        <v>#VALUE!</v>
      </c>
      <c r="FD87" t="e">
        <f>Nodes!N679+"'E4!%n)"</f>
        <v>#VALUE!</v>
      </c>
      <c r="FE87" t="e">
        <f>Nodes!O679+"'E4!%n."</f>
        <v>#VALUE!</v>
      </c>
      <c r="FF87" t="e">
        <f>Nodes!P679+"'E4!%n/"</f>
        <v>#VALUE!</v>
      </c>
      <c r="FG87" t="e">
        <f>Nodes!Q679+"'E4!%n0"</f>
        <v>#VALUE!</v>
      </c>
      <c r="FH87" t="e">
        <f>Nodes!R679+"'E4!%n1"</f>
        <v>#VALUE!</v>
      </c>
      <c r="FI87" t="e">
        <f>Nodes!S679+"'E4!%n2"</f>
        <v>#VALUE!</v>
      </c>
      <c r="FJ87" s="547" t="e">
        <f>Nodes!T679+"'E4!%n3"</f>
        <v>#VALUE!</v>
      </c>
      <c r="FK87" t="e">
        <f>Nodes!U679+"'E4!%n4"</f>
        <v>#VALUE!</v>
      </c>
      <c r="FL87" t="e">
        <f>Nodes!V679+"'E4!%n5"</f>
        <v>#VALUE!</v>
      </c>
      <c r="FM87" s="547" t="e">
        <f>Nodes!W679+"'E4!%n6"</f>
        <v>#VALUE!</v>
      </c>
      <c r="FN87" t="e">
        <f>Nodes!X679+"'E4!%n7"</f>
        <v>#VALUE!</v>
      </c>
      <c r="FO87" t="e">
        <f>Nodes!Y679+"'E4!%n8"</f>
        <v>#VALUE!</v>
      </c>
      <c r="FP87" t="e">
        <f>Nodes!Z679+"'E4!%n9"</f>
        <v>#VALUE!</v>
      </c>
      <c r="FQ87" t="e">
        <f>Nodes!AA679+"'E4!%n:"</f>
        <v>#VALUE!</v>
      </c>
      <c r="FR87" t="e">
        <f>Nodes!AB679+"'E4!%n;"</f>
        <v>#VALUE!</v>
      </c>
      <c r="FS87" t="e">
        <f>Nodes!AC679+"'E4!%n&lt;"</f>
        <v>#VALUE!</v>
      </c>
      <c r="FT87" t="e">
        <f>Nodes!A680+"'E4!%n="</f>
        <v>#VALUE!</v>
      </c>
      <c r="FU87" t="e">
        <f>Nodes!B680+"'E4!%n&gt;"</f>
        <v>#VALUE!</v>
      </c>
      <c r="FV87" t="e">
        <f>Nodes!C680+"'E4!%n?"</f>
        <v>#VALUE!</v>
      </c>
      <c r="FW87" t="e">
        <f>Nodes!D680+"'E4!%n@"</f>
        <v>#VALUE!</v>
      </c>
      <c r="FX87" t="e">
        <f>Nodes!E680+"'E4!%nA"</f>
        <v>#VALUE!</v>
      </c>
      <c r="FY87" t="e">
        <f>Nodes!F680+"'E4!%nB"</f>
        <v>#VALUE!</v>
      </c>
      <c r="FZ87" t="e">
        <f>Nodes!G680+"'E4!%nC"</f>
        <v>#VALUE!</v>
      </c>
      <c r="GA87" t="e">
        <f>Nodes!H680+"'E4!%nD"</f>
        <v>#VALUE!</v>
      </c>
      <c r="GB87" t="e">
        <f>Nodes!I680+"'E4!%nE"</f>
        <v>#VALUE!</v>
      </c>
      <c r="GC87" t="e">
        <f>Nodes!J680+"'E4!%nF"</f>
        <v>#VALUE!</v>
      </c>
      <c r="GD87" t="e">
        <f>Nodes!K680+"'E4!%nG"</f>
        <v>#VALUE!</v>
      </c>
      <c r="GE87" t="e">
        <f>Nodes!L680+"'E4!%nH"</f>
        <v>#VALUE!</v>
      </c>
      <c r="GF87" t="e">
        <f>Nodes!M680+"'E4!%nI"</f>
        <v>#VALUE!</v>
      </c>
      <c r="GG87" t="e">
        <f>Nodes!N680+"'E4!%nJ"</f>
        <v>#VALUE!</v>
      </c>
      <c r="GH87" t="e">
        <f>Nodes!O680+"'E4!%nK"</f>
        <v>#VALUE!</v>
      </c>
      <c r="GI87" t="e">
        <f>Nodes!P680+"'E4!%nL"</f>
        <v>#VALUE!</v>
      </c>
      <c r="GJ87" t="e">
        <f>Nodes!Q680+"'E4!%nM"</f>
        <v>#VALUE!</v>
      </c>
      <c r="GK87" t="e">
        <f>Nodes!R680+"'E4!%nN"</f>
        <v>#VALUE!</v>
      </c>
      <c r="GL87" t="e">
        <f>Nodes!S680+"'E4!%nO"</f>
        <v>#VALUE!</v>
      </c>
      <c r="GM87" s="547" t="e">
        <f>Nodes!T680+"'E4!%nP"</f>
        <v>#VALUE!</v>
      </c>
      <c r="GN87" t="e">
        <f>Nodes!U680+"'E4!%nQ"</f>
        <v>#VALUE!</v>
      </c>
      <c r="GO87" t="e">
        <f>Nodes!V680+"'E4!%nR"</f>
        <v>#VALUE!</v>
      </c>
      <c r="GP87" s="547" t="e">
        <f>Nodes!W680+"'E4!%nS"</f>
        <v>#VALUE!</v>
      </c>
      <c r="GQ87" t="e">
        <f>Nodes!X680+"'E4!%nT"</f>
        <v>#VALUE!</v>
      </c>
      <c r="GR87" t="e">
        <f>Nodes!Y680+"'E4!%nU"</f>
        <v>#VALUE!</v>
      </c>
      <c r="GS87" t="e">
        <f>Nodes!Z680+"'E4!%nV"</f>
        <v>#VALUE!</v>
      </c>
      <c r="GT87" t="e">
        <f>Nodes!AA680+"'E4!%nW"</f>
        <v>#VALUE!</v>
      </c>
      <c r="GU87" t="e">
        <f>Nodes!AB680+"'E4!%nX"</f>
        <v>#VALUE!</v>
      </c>
      <c r="GV87" t="e">
        <f>Nodes!AC680+"'E4!%nY"</f>
        <v>#VALUE!</v>
      </c>
      <c r="GW87" t="e">
        <f>Nodes!A681+"'E4!%nZ"</f>
        <v>#VALUE!</v>
      </c>
      <c r="GX87" t="e">
        <f>Nodes!B681+"'E4!%n["</f>
        <v>#VALUE!</v>
      </c>
      <c r="GY87" t="e">
        <f>Nodes!C681+"'E4!%n\"</f>
        <v>#VALUE!</v>
      </c>
      <c r="GZ87" t="e">
        <f>Nodes!D681+"'E4!%n]"</f>
        <v>#VALUE!</v>
      </c>
      <c r="HA87" t="e">
        <f>Nodes!E681+"'E4!%n^"</f>
        <v>#VALUE!</v>
      </c>
      <c r="HB87" t="e">
        <f>Nodes!F681+"'E4!%n_"</f>
        <v>#VALUE!</v>
      </c>
      <c r="HC87" t="e">
        <f>Nodes!G681+"'E4!%n`"</f>
        <v>#VALUE!</v>
      </c>
      <c r="HD87" t="e">
        <f>Nodes!H681+"'E4!%na"</f>
        <v>#VALUE!</v>
      </c>
      <c r="HE87" t="e">
        <f>Nodes!I681+"'E4!%nb"</f>
        <v>#VALUE!</v>
      </c>
      <c r="HF87" t="e">
        <f>Nodes!J681+"'E4!%nc"</f>
        <v>#VALUE!</v>
      </c>
      <c r="HG87" t="e">
        <f>Nodes!K681+"'E4!%nd"</f>
        <v>#VALUE!</v>
      </c>
      <c r="HH87" t="e">
        <f>Nodes!L681+"'E4!%ne"</f>
        <v>#VALUE!</v>
      </c>
      <c r="HI87" t="e">
        <f>Nodes!M681+"'E4!%nf"</f>
        <v>#VALUE!</v>
      </c>
      <c r="HJ87" t="e">
        <f>Nodes!N681+"'E4!%ng"</f>
        <v>#VALUE!</v>
      </c>
      <c r="HK87" t="e">
        <f>Nodes!O681+"'E4!%nh"</f>
        <v>#VALUE!</v>
      </c>
      <c r="HL87" t="e">
        <f>Nodes!P681+"'E4!%ni"</f>
        <v>#VALUE!</v>
      </c>
      <c r="HM87" t="e">
        <f>Nodes!Q681+"'E4!%nj"</f>
        <v>#VALUE!</v>
      </c>
      <c r="HN87" t="e">
        <f>Nodes!R681+"'E4!%nk"</f>
        <v>#VALUE!</v>
      </c>
      <c r="HO87" t="e">
        <f>Nodes!S681+"'E4!%nl"</f>
        <v>#VALUE!</v>
      </c>
      <c r="HP87" s="547" t="e">
        <f>Nodes!T681+"'E4!%nm"</f>
        <v>#VALUE!</v>
      </c>
      <c r="HQ87" t="e">
        <f>Nodes!U681+"'E4!%nn"</f>
        <v>#VALUE!</v>
      </c>
      <c r="HR87" t="e">
        <f>Nodes!V681+"'E4!%no"</f>
        <v>#VALUE!</v>
      </c>
      <c r="HS87" s="547" t="e">
        <f>Nodes!W681+"'E4!%np"</f>
        <v>#VALUE!</v>
      </c>
      <c r="HT87" t="e">
        <f>Nodes!X681+"'E4!%nq"</f>
        <v>#VALUE!</v>
      </c>
      <c r="HU87" t="e">
        <f>Nodes!Y681+"'E4!%nr"</f>
        <v>#VALUE!</v>
      </c>
      <c r="HV87" t="e">
        <f>Nodes!Z681+"'E4!%ns"</f>
        <v>#VALUE!</v>
      </c>
      <c r="HW87" t="e">
        <f>Nodes!AA681+"'E4!%nt"</f>
        <v>#VALUE!</v>
      </c>
      <c r="HX87" t="e">
        <f>Nodes!AB681+"'E4!%nu"</f>
        <v>#VALUE!</v>
      </c>
      <c r="HY87" t="e">
        <f>Nodes!AC681+"'E4!%nv"</f>
        <v>#VALUE!</v>
      </c>
      <c r="HZ87" t="e">
        <f>Nodes!A682+"'E4!%nw"</f>
        <v>#VALUE!</v>
      </c>
      <c r="IA87" t="e">
        <f>Nodes!B682+"'E4!%nx"</f>
        <v>#VALUE!</v>
      </c>
      <c r="IB87" t="e">
        <f>Nodes!C682+"'E4!%ny"</f>
        <v>#VALUE!</v>
      </c>
      <c r="IC87" t="e">
        <f>Nodes!D682+"'E4!%nz"</f>
        <v>#VALUE!</v>
      </c>
      <c r="ID87" t="e">
        <f>Nodes!E682+"'E4!%n{"</f>
        <v>#VALUE!</v>
      </c>
      <c r="IE87" t="e">
        <f>Nodes!F682+"'E4!%n|"</f>
        <v>#VALUE!</v>
      </c>
      <c r="IF87" t="e">
        <f>Nodes!G682+"'E4!%n}"</f>
        <v>#VALUE!</v>
      </c>
      <c r="IG87" t="e">
        <f>Nodes!H682+"'E4!%n~"</f>
        <v>#VALUE!</v>
      </c>
      <c r="IH87" t="e">
        <f>Nodes!I682+"'E4!%o#"</f>
        <v>#VALUE!</v>
      </c>
      <c r="II87" t="e">
        <f>Nodes!J682+"'E4!%o$"</f>
        <v>#VALUE!</v>
      </c>
      <c r="IJ87" t="e">
        <f>Nodes!K682+"'E4!%o%"</f>
        <v>#VALUE!</v>
      </c>
      <c r="IK87" t="e">
        <f>Nodes!L682+"'E4!%o&amp;"</f>
        <v>#VALUE!</v>
      </c>
      <c r="IL87" t="e">
        <f>Nodes!M682+"'E4!%o'"</f>
        <v>#VALUE!</v>
      </c>
      <c r="IM87" t="e">
        <f>Nodes!N682+"'E4!%o("</f>
        <v>#VALUE!</v>
      </c>
      <c r="IN87" t="e">
        <f>Nodes!O682+"'E4!%o)"</f>
        <v>#VALUE!</v>
      </c>
      <c r="IO87" t="e">
        <f>Nodes!P682+"'E4!%o."</f>
        <v>#VALUE!</v>
      </c>
      <c r="IP87" t="e">
        <f>Nodes!Q682+"'E4!%o/"</f>
        <v>#VALUE!</v>
      </c>
      <c r="IQ87" t="e">
        <f>Nodes!R682+"'E4!%o0"</f>
        <v>#VALUE!</v>
      </c>
      <c r="IR87" t="e">
        <f>Nodes!S682+"'E4!%o1"</f>
        <v>#VALUE!</v>
      </c>
      <c r="IS87" s="547" t="e">
        <f>Nodes!T682+"'E4!%o2"</f>
        <v>#VALUE!</v>
      </c>
      <c r="IT87" t="e">
        <f>Nodes!U682+"'E4!%o3"</f>
        <v>#VALUE!</v>
      </c>
      <c r="IU87" t="e">
        <f>Nodes!V682+"'E4!%o4"</f>
        <v>#VALUE!</v>
      </c>
      <c r="IV87" s="547" t="e">
        <f>Nodes!W682+"'E4!%o5"</f>
        <v>#VALUE!</v>
      </c>
    </row>
    <row r="88" spans="6:256">
      <c r="F88" t="e">
        <f>Nodes!X682+"'E4!%o6"</f>
        <v>#VALUE!</v>
      </c>
      <c r="G88" t="e">
        <f>Nodes!Y682+"'E4!%o7"</f>
        <v>#VALUE!</v>
      </c>
      <c r="H88" t="e">
        <f>Nodes!Z682+"'E4!%o8"</f>
        <v>#VALUE!</v>
      </c>
      <c r="I88" t="e">
        <f>Nodes!AA682+"'E4!%o9"</f>
        <v>#VALUE!</v>
      </c>
      <c r="J88" t="e">
        <f>Nodes!AB682+"'E4!%o:"</f>
        <v>#VALUE!</v>
      </c>
      <c r="K88" t="e">
        <f>Nodes!AC682+"'E4!%o;"</f>
        <v>#VALUE!</v>
      </c>
      <c r="L88" t="e">
        <f>Nodes!A683+"'E4!%o&lt;"</f>
        <v>#VALUE!</v>
      </c>
      <c r="M88" t="e">
        <f>Nodes!B683+"'E4!%o="</f>
        <v>#VALUE!</v>
      </c>
      <c r="N88" t="e">
        <f>Nodes!C683+"'E4!%o&gt;"</f>
        <v>#VALUE!</v>
      </c>
      <c r="O88" t="e">
        <f>Nodes!D683+"'E4!%o?"</f>
        <v>#VALUE!</v>
      </c>
      <c r="P88" t="e">
        <f>Nodes!E683+"'E4!%o@"</f>
        <v>#VALUE!</v>
      </c>
      <c r="Q88" t="e">
        <f>Nodes!F683+"'E4!%oA"</f>
        <v>#VALUE!</v>
      </c>
      <c r="R88" t="e">
        <f>Nodes!G683+"'E4!%oB"</f>
        <v>#VALUE!</v>
      </c>
      <c r="S88" t="e">
        <f>Nodes!H683+"'E4!%oC"</f>
        <v>#VALUE!</v>
      </c>
      <c r="T88" t="e">
        <f>Nodes!I683+"'E4!%oD"</f>
        <v>#VALUE!</v>
      </c>
      <c r="U88" t="e">
        <f>Nodes!J683+"'E4!%oE"</f>
        <v>#VALUE!</v>
      </c>
      <c r="V88" t="e">
        <f>Nodes!K683+"'E4!%oF"</f>
        <v>#VALUE!</v>
      </c>
      <c r="W88" t="e">
        <f>Nodes!L683+"'E4!%oG"</f>
        <v>#VALUE!</v>
      </c>
      <c r="X88" t="e">
        <f>Nodes!M683+"'E4!%oH"</f>
        <v>#VALUE!</v>
      </c>
      <c r="Y88" t="e">
        <f>Nodes!N683+"'E4!%oI"</f>
        <v>#VALUE!</v>
      </c>
      <c r="Z88" t="e">
        <f>Nodes!O683+"'E4!%oJ"</f>
        <v>#VALUE!</v>
      </c>
      <c r="AA88" t="e">
        <f>Nodes!P683+"'E4!%oK"</f>
        <v>#VALUE!</v>
      </c>
      <c r="AB88" t="e">
        <f>Nodes!Q683+"'E4!%oL"</f>
        <v>#VALUE!</v>
      </c>
      <c r="AC88" t="e">
        <f>Nodes!R683+"'E4!%oM"</f>
        <v>#VALUE!</v>
      </c>
      <c r="AD88" t="e">
        <f>Nodes!S683+"'E4!%oN"</f>
        <v>#VALUE!</v>
      </c>
      <c r="AE88" s="547" t="e">
        <f>Nodes!T683+"'E4!%oO"</f>
        <v>#VALUE!</v>
      </c>
      <c r="AF88" t="e">
        <f>Nodes!U683+"'E4!%oP"</f>
        <v>#VALUE!</v>
      </c>
      <c r="AG88" t="e">
        <f>Nodes!V683+"'E4!%oQ"</f>
        <v>#VALUE!</v>
      </c>
      <c r="AH88" s="547" t="e">
        <f>Nodes!W683+"'E4!%oR"</f>
        <v>#VALUE!</v>
      </c>
      <c r="AI88" t="e">
        <f>Nodes!X683+"'E4!%oS"</f>
        <v>#VALUE!</v>
      </c>
      <c r="AJ88" t="e">
        <f>Nodes!Y683+"'E4!%oT"</f>
        <v>#VALUE!</v>
      </c>
      <c r="AK88" t="e">
        <f>Nodes!Z683+"'E4!%oU"</f>
        <v>#VALUE!</v>
      </c>
      <c r="AL88" t="e">
        <f>Nodes!AA683+"'E4!%oV"</f>
        <v>#VALUE!</v>
      </c>
      <c r="AM88" t="e">
        <f>Nodes!AB683+"'E4!%oW"</f>
        <v>#VALUE!</v>
      </c>
      <c r="AN88" t="e">
        <f>Nodes!AC683+"'E4!%oX"</f>
        <v>#VALUE!</v>
      </c>
      <c r="AO88" t="e">
        <f>Nodes!A684+"'E4!%oY"</f>
        <v>#VALUE!</v>
      </c>
      <c r="AP88" t="e">
        <f>Nodes!B684+"'E4!%oZ"</f>
        <v>#VALUE!</v>
      </c>
      <c r="AQ88" t="e">
        <f>Nodes!C684+"'E4!%o["</f>
        <v>#VALUE!</v>
      </c>
      <c r="AR88" t="e">
        <f>Nodes!D684+"'E4!%o\"</f>
        <v>#VALUE!</v>
      </c>
      <c r="AS88" t="e">
        <f>Nodes!E684+"'E4!%o]"</f>
        <v>#VALUE!</v>
      </c>
      <c r="AT88" t="e">
        <f>Nodes!F684+"'E4!%o^"</f>
        <v>#VALUE!</v>
      </c>
      <c r="AU88" t="e">
        <f>Nodes!G684+"'E4!%o_"</f>
        <v>#VALUE!</v>
      </c>
      <c r="AV88" t="e">
        <f>Nodes!H684+"'E4!%o`"</f>
        <v>#VALUE!</v>
      </c>
      <c r="AW88" t="e">
        <f>Nodes!I684+"'E4!%oa"</f>
        <v>#VALUE!</v>
      </c>
      <c r="AX88" t="e">
        <f>Nodes!J684+"'E4!%ob"</f>
        <v>#VALUE!</v>
      </c>
      <c r="AY88" t="e">
        <f>Nodes!K684+"'E4!%oc"</f>
        <v>#VALUE!</v>
      </c>
      <c r="AZ88" t="e">
        <f>Nodes!L684+"'E4!%od"</f>
        <v>#VALUE!</v>
      </c>
      <c r="BA88" t="e">
        <f>Nodes!M684+"'E4!%oe"</f>
        <v>#VALUE!</v>
      </c>
      <c r="BB88" t="e">
        <f>Nodes!N684+"'E4!%of"</f>
        <v>#VALUE!</v>
      </c>
      <c r="BC88" t="e">
        <f>Nodes!O684+"'E4!%og"</f>
        <v>#VALUE!</v>
      </c>
      <c r="BD88" t="e">
        <f>Nodes!P684+"'E4!%oh"</f>
        <v>#VALUE!</v>
      </c>
      <c r="BE88" t="e">
        <f>Nodes!Q684+"'E4!%oi"</f>
        <v>#VALUE!</v>
      </c>
      <c r="BF88" t="e">
        <f>Nodes!R684+"'E4!%oj"</f>
        <v>#VALUE!</v>
      </c>
      <c r="BG88" t="e">
        <f>Nodes!S684+"'E4!%ok"</f>
        <v>#VALUE!</v>
      </c>
      <c r="BH88" s="547" t="e">
        <f>Nodes!T684+"'E4!%ol"</f>
        <v>#VALUE!</v>
      </c>
      <c r="BI88" t="e">
        <f>Nodes!U684+"'E4!%om"</f>
        <v>#VALUE!</v>
      </c>
      <c r="BJ88" t="e">
        <f>Nodes!V684+"'E4!%on"</f>
        <v>#VALUE!</v>
      </c>
      <c r="BK88" s="547" t="e">
        <f>Nodes!W684+"'E4!%oo"</f>
        <v>#VALUE!</v>
      </c>
      <c r="BL88" t="e">
        <f>Nodes!X684+"'E4!%op"</f>
        <v>#VALUE!</v>
      </c>
      <c r="BM88" t="e">
        <f>Nodes!Y684+"'E4!%oq"</f>
        <v>#VALUE!</v>
      </c>
      <c r="BN88" t="e">
        <f>Nodes!Z684+"'E4!%or"</f>
        <v>#VALUE!</v>
      </c>
      <c r="BO88" t="e">
        <f>Nodes!AA684+"'E4!%os"</f>
        <v>#VALUE!</v>
      </c>
      <c r="BP88" t="e">
        <f>Nodes!AB684+"'E4!%ot"</f>
        <v>#VALUE!</v>
      </c>
      <c r="BQ88" t="e">
        <f>Nodes!AC684+"'E4!%ou"</f>
        <v>#VALUE!</v>
      </c>
      <c r="BR88" t="e">
        <f>Nodes!A685+"'E4!%ov"</f>
        <v>#VALUE!</v>
      </c>
      <c r="BS88" t="e">
        <f>Nodes!B685+"'E4!%ow"</f>
        <v>#VALUE!</v>
      </c>
      <c r="BT88" t="e">
        <f>Nodes!C685+"'E4!%ox"</f>
        <v>#VALUE!</v>
      </c>
      <c r="BU88" t="e">
        <f>Nodes!D685+"'E4!%oy"</f>
        <v>#VALUE!</v>
      </c>
      <c r="BV88" t="e">
        <f>Nodes!E685+"'E4!%oz"</f>
        <v>#VALUE!</v>
      </c>
      <c r="BW88" t="e">
        <f>Nodes!F685+"'E4!%o{"</f>
        <v>#VALUE!</v>
      </c>
      <c r="BX88" t="e">
        <f>Nodes!G685+"'E4!%o|"</f>
        <v>#VALUE!</v>
      </c>
      <c r="BY88" t="e">
        <f>Nodes!H685+"'E4!%o}"</f>
        <v>#VALUE!</v>
      </c>
      <c r="BZ88" t="e">
        <f>Nodes!I685+"'E4!%o~"</f>
        <v>#VALUE!</v>
      </c>
      <c r="CA88" t="e">
        <f>Nodes!J685+"'E4!%p#"</f>
        <v>#VALUE!</v>
      </c>
      <c r="CB88" t="e">
        <f>Nodes!K685+"'E4!%p$"</f>
        <v>#VALUE!</v>
      </c>
      <c r="CC88" t="e">
        <f>Nodes!L685+"'E4!%p%"</f>
        <v>#VALUE!</v>
      </c>
      <c r="CD88" t="e">
        <f>Nodes!M685+"'E4!%p&amp;"</f>
        <v>#VALUE!</v>
      </c>
      <c r="CE88" t="e">
        <f>Nodes!N685+"'E4!%p'"</f>
        <v>#VALUE!</v>
      </c>
      <c r="CF88" t="e">
        <f>Nodes!O685+"'E4!%p("</f>
        <v>#VALUE!</v>
      </c>
      <c r="CG88" t="e">
        <f>Nodes!P685+"'E4!%p)"</f>
        <v>#VALUE!</v>
      </c>
      <c r="CH88" t="e">
        <f>Nodes!Q685+"'E4!%p."</f>
        <v>#VALUE!</v>
      </c>
      <c r="CI88" t="e">
        <f>Nodes!R685+"'E4!%p/"</f>
        <v>#VALUE!</v>
      </c>
      <c r="CJ88" t="e">
        <f>Nodes!S685+"'E4!%p0"</f>
        <v>#VALUE!</v>
      </c>
      <c r="CK88" s="547" t="e">
        <f>Nodes!T685+"'E4!%p1"</f>
        <v>#VALUE!</v>
      </c>
      <c r="CL88" t="e">
        <f>Nodes!U685+"'E4!%p2"</f>
        <v>#VALUE!</v>
      </c>
      <c r="CM88" t="e">
        <f>Nodes!V685+"'E4!%p3"</f>
        <v>#VALUE!</v>
      </c>
      <c r="CN88" s="547" t="e">
        <f>Nodes!W685+"'E4!%p4"</f>
        <v>#VALUE!</v>
      </c>
      <c r="CO88" t="e">
        <f>Nodes!X685+"'E4!%p5"</f>
        <v>#VALUE!</v>
      </c>
      <c r="CP88" t="e">
        <f>Nodes!Y685+"'E4!%p6"</f>
        <v>#VALUE!</v>
      </c>
      <c r="CQ88" t="e">
        <f>Nodes!Z685+"'E4!%p7"</f>
        <v>#VALUE!</v>
      </c>
      <c r="CR88" t="e">
        <f>Nodes!AA685+"'E4!%p8"</f>
        <v>#VALUE!</v>
      </c>
      <c r="CS88" t="e">
        <f>Nodes!AB685+"'E4!%p9"</f>
        <v>#VALUE!</v>
      </c>
      <c r="CT88" t="e">
        <f>Nodes!AC685+"'E4!%p:"</f>
        <v>#VALUE!</v>
      </c>
      <c r="CU88" t="e">
        <f>Nodes!A686+"'E4!%p;"</f>
        <v>#VALUE!</v>
      </c>
      <c r="CV88" t="e">
        <f>Nodes!B686+"'E4!%p&lt;"</f>
        <v>#VALUE!</v>
      </c>
      <c r="CW88" t="e">
        <f>Nodes!C686+"'E4!%p="</f>
        <v>#VALUE!</v>
      </c>
      <c r="CX88" t="e">
        <f>Nodes!D686+"'E4!%p&gt;"</f>
        <v>#VALUE!</v>
      </c>
      <c r="CY88" t="e">
        <f>Nodes!E686+"'E4!%p?"</f>
        <v>#VALUE!</v>
      </c>
      <c r="CZ88" t="e">
        <f>Nodes!F686+"'E4!%p@"</f>
        <v>#VALUE!</v>
      </c>
      <c r="DA88" t="e">
        <f>Nodes!G686+"'E4!%pA"</f>
        <v>#VALUE!</v>
      </c>
      <c r="DB88" t="e">
        <f>Nodes!H686+"'E4!%pB"</f>
        <v>#VALUE!</v>
      </c>
      <c r="DC88" t="e">
        <f>Nodes!I686+"'E4!%pC"</f>
        <v>#VALUE!</v>
      </c>
      <c r="DD88" t="e">
        <f>Nodes!J686+"'E4!%pD"</f>
        <v>#VALUE!</v>
      </c>
      <c r="DE88" t="e">
        <f>Nodes!K686+"'E4!%pE"</f>
        <v>#VALUE!</v>
      </c>
      <c r="DF88" t="e">
        <f>Nodes!L686+"'E4!%pF"</f>
        <v>#VALUE!</v>
      </c>
      <c r="DG88" t="e">
        <f>Nodes!M686+"'E4!%pG"</f>
        <v>#VALUE!</v>
      </c>
      <c r="DH88" t="e">
        <f>Nodes!N686+"'E4!%pH"</f>
        <v>#VALUE!</v>
      </c>
      <c r="DI88" t="e">
        <f>Nodes!O686+"'E4!%pI"</f>
        <v>#VALUE!</v>
      </c>
      <c r="DJ88" t="e">
        <f>Nodes!P686+"'E4!%pJ"</f>
        <v>#VALUE!</v>
      </c>
      <c r="DK88" t="e">
        <f>Nodes!Q686+"'E4!%pK"</f>
        <v>#VALUE!</v>
      </c>
      <c r="DL88" t="e">
        <f>Nodes!R686+"'E4!%pL"</f>
        <v>#VALUE!</v>
      </c>
      <c r="DM88" t="e">
        <f>Nodes!S686+"'E4!%pM"</f>
        <v>#VALUE!</v>
      </c>
      <c r="DN88" s="547" t="e">
        <f>Nodes!T686+"'E4!%pN"</f>
        <v>#VALUE!</v>
      </c>
      <c r="DO88" t="e">
        <f>Nodes!U686+"'E4!%pO"</f>
        <v>#VALUE!</v>
      </c>
      <c r="DP88" t="e">
        <f>Nodes!V686+"'E4!%pP"</f>
        <v>#VALUE!</v>
      </c>
      <c r="DQ88" s="547" t="e">
        <f>Nodes!W686+"'E4!%pQ"</f>
        <v>#VALUE!</v>
      </c>
      <c r="DR88" t="e">
        <f>Nodes!X686+"'E4!%pR"</f>
        <v>#VALUE!</v>
      </c>
      <c r="DS88" t="e">
        <f>Nodes!Y686+"'E4!%pS"</f>
        <v>#VALUE!</v>
      </c>
      <c r="DT88" t="e">
        <f>Nodes!Z686+"'E4!%pT"</f>
        <v>#VALUE!</v>
      </c>
      <c r="DU88" t="e">
        <f>Nodes!AA686+"'E4!%pU"</f>
        <v>#VALUE!</v>
      </c>
      <c r="DV88" t="e">
        <f>Nodes!AB686+"'E4!%pV"</f>
        <v>#VALUE!</v>
      </c>
      <c r="DW88" t="e">
        <f>Nodes!AC686+"'E4!%pW"</f>
        <v>#VALUE!</v>
      </c>
      <c r="DX88" t="e">
        <f>Nodes!A687+"'E4!%pX"</f>
        <v>#VALUE!</v>
      </c>
      <c r="DY88" t="e">
        <f>Nodes!B687+"'E4!%pY"</f>
        <v>#VALUE!</v>
      </c>
      <c r="DZ88" t="e">
        <f>Nodes!C687+"'E4!%pZ"</f>
        <v>#VALUE!</v>
      </c>
      <c r="EA88" t="e">
        <f>Nodes!D687+"'E4!%p["</f>
        <v>#VALUE!</v>
      </c>
      <c r="EB88" t="e">
        <f>Nodes!E687+"'E4!%p\"</f>
        <v>#VALUE!</v>
      </c>
      <c r="EC88" t="e">
        <f>Nodes!F687+"'E4!%p]"</f>
        <v>#VALUE!</v>
      </c>
      <c r="ED88" t="e">
        <f>Nodes!G687+"'E4!%p^"</f>
        <v>#VALUE!</v>
      </c>
      <c r="EE88" t="e">
        <f>Nodes!H687+"'E4!%p_"</f>
        <v>#VALUE!</v>
      </c>
      <c r="EF88" t="e">
        <f>Nodes!I687+"'E4!%p`"</f>
        <v>#VALUE!</v>
      </c>
      <c r="EG88" t="e">
        <f>Nodes!J687+"'E4!%pa"</f>
        <v>#VALUE!</v>
      </c>
      <c r="EH88" t="e">
        <f>Nodes!K687+"'E4!%pb"</f>
        <v>#VALUE!</v>
      </c>
      <c r="EI88" t="e">
        <f>Nodes!L687+"'E4!%pc"</f>
        <v>#VALUE!</v>
      </c>
      <c r="EJ88" t="e">
        <f>Nodes!M687+"'E4!%pd"</f>
        <v>#VALUE!</v>
      </c>
      <c r="EK88" t="e">
        <f>Nodes!N687+"'E4!%pe"</f>
        <v>#VALUE!</v>
      </c>
      <c r="EL88" t="e">
        <f>Nodes!O687+"'E4!%pf"</f>
        <v>#VALUE!</v>
      </c>
      <c r="EM88" t="e">
        <f>Nodes!P687+"'E4!%pg"</f>
        <v>#VALUE!</v>
      </c>
      <c r="EN88" t="e">
        <f>Nodes!Q687+"'E4!%ph"</f>
        <v>#VALUE!</v>
      </c>
      <c r="EO88" t="e">
        <f>Nodes!R687+"'E4!%pi"</f>
        <v>#VALUE!</v>
      </c>
      <c r="EP88" t="e">
        <f>Nodes!S687+"'E4!%pj"</f>
        <v>#VALUE!</v>
      </c>
      <c r="EQ88" s="547" t="e">
        <f>Nodes!T687+"'E4!%pk"</f>
        <v>#VALUE!</v>
      </c>
      <c r="ER88" t="e">
        <f>Nodes!U687+"'E4!%pl"</f>
        <v>#VALUE!</v>
      </c>
      <c r="ES88" t="e">
        <f>Nodes!V687+"'E4!%pm"</f>
        <v>#VALUE!</v>
      </c>
      <c r="ET88" s="547" t="e">
        <f>Nodes!W687+"'E4!%pn"</f>
        <v>#VALUE!</v>
      </c>
      <c r="EU88" t="e">
        <f>Nodes!X687+"'E4!%po"</f>
        <v>#VALUE!</v>
      </c>
      <c r="EV88" t="e">
        <f>Nodes!Y687+"'E4!%pp"</f>
        <v>#VALUE!</v>
      </c>
      <c r="EW88" t="e">
        <f>Nodes!Z687+"'E4!%pq"</f>
        <v>#VALUE!</v>
      </c>
      <c r="EX88" t="e">
        <f>Nodes!AA687+"'E4!%pr"</f>
        <v>#VALUE!</v>
      </c>
      <c r="EY88" t="e">
        <f>Nodes!AB687+"'E4!%ps"</f>
        <v>#VALUE!</v>
      </c>
      <c r="EZ88" t="e">
        <f>Nodes!AC687+"'E4!%pt"</f>
        <v>#VALUE!</v>
      </c>
      <c r="FA88" t="e">
        <f>Nodes!A688+"'E4!%pu"</f>
        <v>#VALUE!</v>
      </c>
      <c r="FB88" t="e">
        <f>Nodes!B688+"'E4!%pv"</f>
        <v>#VALUE!</v>
      </c>
      <c r="FC88" t="e">
        <f>Nodes!C688+"'E4!%pw"</f>
        <v>#VALUE!</v>
      </c>
      <c r="FD88" t="e">
        <f>Nodes!D688+"'E4!%px"</f>
        <v>#VALUE!</v>
      </c>
      <c r="FE88" t="e">
        <f>Nodes!E688+"'E4!%py"</f>
        <v>#VALUE!</v>
      </c>
      <c r="FF88" t="e">
        <f>Nodes!F688+"'E4!%pz"</f>
        <v>#VALUE!</v>
      </c>
      <c r="FG88" t="e">
        <f>Nodes!G688+"'E4!%p{"</f>
        <v>#VALUE!</v>
      </c>
      <c r="FH88" t="e">
        <f>Nodes!H688+"'E4!%p|"</f>
        <v>#VALUE!</v>
      </c>
      <c r="FI88" t="e">
        <f>Nodes!I688+"'E4!%p}"</f>
        <v>#VALUE!</v>
      </c>
      <c r="FJ88" t="e">
        <f>Nodes!J688+"'E4!%p~"</f>
        <v>#VALUE!</v>
      </c>
      <c r="FK88" t="e">
        <f>Nodes!K688+"'E4!%q#"</f>
        <v>#VALUE!</v>
      </c>
      <c r="FL88" t="e">
        <f>Nodes!L688+"'E4!%q$"</f>
        <v>#VALUE!</v>
      </c>
      <c r="FM88" t="e">
        <f>Nodes!M688+"'E4!%q%"</f>
        <v>#VALUE!</v>
      </c>
      <c r="FN88" t="e">
        <f>Nodes!N688+"'E4!%q&amp;"</f>
        <v>#VALUE!</v>
      </c>
      <c r="FO88" t="e">
        <f>Nodes!O688+"'E4!%q'"</f>
        <v>#VALUE!</v>
      </c>
      <c r="FP88" t="e">
        <f>Nodes!P688+"'E4!%q("</f>
        <v>#VALUE!</v>
      </c>
      <c r="FQ88" t="e">
        <f>Nodes!Q688+"'E4!%q)"</f>
        <v>#VALUE!</v>
      </c>
      <c r="FR88" t="e">
        <f>Nodes!R688+"'E4!%q."</f>
        <v>#VALUE!</v>
      </c>
      <c r="FS88" t="e">
        <f>Nodes!S688+"'E4!%q/"</f>
        <v>#VALUE!</v>
      </c>
      <c r="FT88" s="547" t="e">
        <f>Nodes!T688+"'E4!%q0"</f>
        <v>#VALUE!</v>
      </c>
      <c r="FU88" t="e">
        <f>Nodes!U688+"'E4!%q1"</f>
        <v>#VALUE!</v>
      </c>
      <c r="FV88" t="e">
        <f>Nodes!V688+"'E4!%q2"</f>
        <v>#VALUE!</v>
      </c>
      <c r="FW88" s="547" t="e">
        <f>Nodes!W688+"'E4!%q3"</f>
        <v>#VALUE!</v>
      </c>
      <c r="FX88" t="e">
        <f>Nodes!X688+"'E4!%q4"</f>
        <v>#VALUE!</v>
      </c>
      <c r="FY88" t="e">
        <f>Nodes!Y688+"'E4!%q5"</f>
        <v>#VALUE!</v>
      </c>
      <c r="FZ88" t="e">
        <f>Nodes!Z688+"'E4!%q6"</f>
        <v>#VALUE!</v>
      </c>
      <c r="GA88" t="e">
        <f>Nodes!AA688+"'E4!%q7"</f>
        <v>#VALUE!</v>
      </c>
      <c r="GB88" t="e">
        <f>Nodes!AB688+"'E4!%q8"</f>
        <v>#VALUE!</v>
      </c>
      <c r="GC88" t="e">
        <f>Nodes!AC688+"'E4!%q9"</f>
        <v>#VALUE!</v>
      </c>
      <c r="GD88" t="e">
        <f>Nodes!A689+"'E4!%q:"</f>
        <v>#VALUE!</v>
      </c>
      <c r="GE88" t="e">
        <f>Nodes!B689+"'E4!%q;"</f>
        <v>#VALUE!</v>
      </c>
      <c r="GF88" t="e">
        <f>Nodes!C689+"'E4!%q&lt;"</f>
        <v>#VALUE!</v>
      </c>
      <c r="GG88" t="e">
        <f>Nodes!D689+"'E4!%q="</f>
        <v>#VALUE!</v>
      </c>
      <c r="GH88" t="e">
        <f>Nodes!E689+"'E4!%q&gt;"</f>
        <v>#VALUE!</v>
      </c>
      <c r="GI88" t="e">
        <f>Nodes!F689+"'E4!%q?"</f>
        <v>#VALUE!</v>
      </c>
      <c r="GJ88" t="e">
        <f>Nodes!G689+"'E4!%q@"</f>
        <v>#VALUE!</v>
      </c>
      <c r="GK88" t="e">
        <f>Nodes!H689+"'E4!%qA"</f>
        <v>#VALUE!</v>
      </c>
      <c r="GL88" t="e">
        <f>Nodes!I689+"'E4!%qB"</f>
        <v>#VALUE!</v>
      </c>
      <c r="GM88" t="e">
        <f>Nodes!J689+"'E4!%qC"</f>
        <v>#VALUE!</v>
      </c>
      <c r="GN88" t="e">
        <f>Nodes!K689+"'E4!%qD"</f>
        <v>#VALUE!</v>
      </c>
      <c r="GO88" t="e">
        <f>Nodes!L689+"'E4!%qE"</f>
        <v>#VALUE!</v>
      </c>
      <c r="GP88" t="e">
        <f>Nodes!M689+"'E4!%qF"</f>
        <v>#VALUE!</v>
      </c>
      <c r="GQ88" t="e">
        <f>Nodes!N689+"'E4!%qG"</f>
        <v>#VALUE!</v>
      </c>
      <c r="GR88" t="e">
        <f>Nodes!O689+"'E4!%qH"</f>
        <v>#VALUE!</v>
      </c>
      <c r="GS88" t="e">
        <f>Nodes!P689+"'E4!%qI"</f>
        <v>#VALUE!</v>
      </c>
      <c r="GT88" t="e">
        <f>Nodes!Q689+"'E4!%qJ"</f>
        <v>#VALUE!</v>
      </c>
      <c r="GU88" t="e">
        <f>Nodes!R689+"'E4!%qK"</f>
        <v>#VALUE!</v>
      </c>
      <c r="GV88" t="e">
        <f>Nodes!S689+"'E4!%qL"</f>
        <v>#VALUE!</v>
      </c>
      <c r="GW88" s="547" t="e">
        <f>Nodes!T689+"'E4!%qM"</f>
        <v>#VALUE!</v>
      </c>
      <c r="GX88" t="e">
        <f>Nodes!U689+"'E4!%qN"</f>
        <v>#VALUE!</v>
      </c>
      <c r="GY88" t="e">
        <f>Nodes!V689+"'E4!%qO"</f>
        <v>#VALUE!</v>
      </c>
      <c r="GZ88" s="547" t="e">
        <f>Nodes!W689+"'E4!%qP"</f>
        <v>#VALUE!</v>
      </c>
      <c r="HA88" t="e">
        <f>Nodes!X689+"'E4!%qQ"</f>
        <v>#VALUE!</v>
      </c>
      <c r="HB88" t="e">
        <f>Nodes!Y689+"'E4!%qR"</f>
        <v>#VALUE!</v>
      </c>
      <c r="HC88" t="e">
        <f>Nodes!Z689+"'E4!%qS"</f>
        <v>#VALUE!</v>
      </c>
      <c r="HD88" t="e">
        <f>Nodes!AA689+"'E4!%qT"</f>
        <v>#VALUE!</v>
      </c>
      <c r="HE88" t="e">
        <f>Nodes!AB689+"'E4!%qU"</f>
        <v>#VALUE!</v>
      </c>
      <c r="HF88" t="e">
        <f>Nodes!AC689+"'E4!%qV"</f>
        <v>#VALUE!</v>
      </c>
      <c r="HG88" t="e">
        <f>Nodes!A690+"'E4!%qW"</f>
        <v>#VALUE!</v>
      </c>
      <c r="HH88" t="e">
        <f>Nodes!B690+"'E4!%qX"</f>
        <v>#VALUE!</v>
      </c>
      <c r="HI88" t="e">
        <f>Nodes!C690+"'E4!%qY"</f>
        <v>#VALUE!</v>
      </c>
      <c r="HJ88" t="e">
        <f>Nodes!D690+"'E4!%qZ"</f>
        <v>#VALUE!</v>
      </c>
      <c r="HK88" t="e">
        <f>Nodes!E690+"'E4!%q["</f>
        <v>#VALUE!</v>
      </c>
      <c r="HL88" t="e">
        <f>Nodes!F690+"'E4!%q\"</f>
        <v>#VALUE!</v>
      </c>
      <c r="HM88" t="e">
        <f>Nodes!G690+"'E4!%q]"</f>
        <v>#VALUE!</v>
      </c>
      <c r="HN88" t="e">
        <f>Nodes!H690+"'E4!%q^"</f>
        <v>#VALUE!</v>
      </c>
      <c r="HO88" t="e">
        <f>Nodes!I690+"'E4!%q_"</f>
        <v>#VALUE!</v>
      </c>
      <c r="HP88" t="e">
        <f>Nodes!J690+"'E4!%q`"</f>
        <v>#VALUE!</v>
      </c>
      <c r="HQ88" t="e">
        <f>Nodes!K690+"'E4!%qa"</f>
        <v>#VALUE!</v>
      </c>
      <c r="HR88" t="e">
        <f>Nodes!L690+"'E4!%qb"</f>
        <v>#VALUE!</v>
      </c>
      <c r="HS88" t="e">
        <f>Nodes!M690+"'E4!%qc"</f>
        <v>#VALUE!</v>
      </c>
      <c r="HT88" t="e">
        <f>Nodes!N690+"'E4!%qd"</f>
        <v>#VALUE!</v>
      </c>
      <c r="HU88" t="e">
        <f>Nodes!O690+"'E4!%qe"</f>
        <v>#VALUE!</v>
      </c>
      <c r="HV88" t="e">
        <f>Nodes!P690+"'E4!%qf"</f>
        <v>#N/A</v>
      </c>
      <c r="HW88" t="e">
        <f>Nodes!Q690+"'E4!%qg"</f>
        <v>#VALUE!</v>
      </c>
      <c r="HX88" t="e">
        <f>Nodes!R690+"'E4!%qh"</f>
        <v>#VALUE!</v>
      </c>
      <c r="HY88" t="e">
        <f>Nodes!S690+"'E4!%qi"</f>
        <v>#VALUE!</v>
      </c>
      <c r="HZ88" s="547" t="e">
        <f>Nodes!T690+"'E4!%qj"</f>
        <v>#VALUE!</v>
      </c>
      <c r="IA88" t="e">
        <f>Nodes!U690+"'E4!%qk"</f>
        <v>#VALUE!</v>
      </c>
      <c r="IB88" t="e">
        <f>Nodes!V690+"'E4!%ql"</f>
        <v>#VALUE!</v>
      </c>
      <c r="IC88" s="547" t="e">
        <f>Nodes!W690+"'E4!%qm"</f>
        <v>#VALUE!</v>
      </c>
      <c r="ID88" t="e">
        <f>Nodes!X690+"'E4!%qn"</f>
        <v>#VALUE!</v>
      </c>
      <c r="IE88" t="e">
        <f>Nodes!Y690+"'E4!%qo"</f>
        <v>#VALUE!</v>
      </c>
      <c r="IF88" t="e">
        <f>Nodes!Z690+"'E4!%qp"</f>
        <v>#VALUE!</v>
      </c>
      <c r="IG88" t="e">
        <f>Nodes!AA690+"'E4!%qq"</f>
        <v>#VALUE!</v>
      </c>
      <c r="IH88" t="e">
        <f>Nodes!AB690+"'E4!%qr"</f>
        <v>#VALUE!</v>
      </c>
      <c r="II88" t="e">
        <f>Nodes!AC690+"'E4!%qs"</f>
        <v>#VALUE!</v>
      </c>
      <c r="IJ88" t="e">
        <f>Nodes!A691+"'E4!%qt"</f>
        <v>#VALUE!</v>
      </c>
      <c r="IK88" t="e">
        <f>Nodes!B691+"'E4!%qu"</f>
        <v>#VALUE!</v>
      </c>
      <c r="IL88" t="e">
        <f>Nodes!C691+"'E4!%qv"</f>
        <v>#VALUE!</v>
      </c>
      <c r="IM88" t="e">
        <f>Nodes!D691+"'E4!%qw"</f>
        <v>#VALUE!</v>
      </c>
      <c r="IN88" t="e">
        <f>Nodes!E691+"'E4!%qx"</f>
        <v>#VALUE!</v>
      </c>
      <c r="IO88" t="e">
        <f>Nodes!F691+"'E4!%qy"</f>
        <v>#VALUE!</v>
      </c>
      <c r="IP88" t="e">
        <f>Nodes!G691+"'E4!%qz"</f>
        <v>#VALUE!</v>
      </c>
      <c r="IQ88" t="e">
        <f>Nodes!H691+"'E4!%q{"</f>
        <v>#VALUE!</v>
      </c>
      <c r="IR88" t="e">
        <f>Nodes!I691+"'E4!%q|"</f>
        <v>#VALUE!</v>
      </c>
      <c r="IS88" t="e">
        <f>Nodes!J691+"'E4!%q}"</f>
        <v>#VALUE!</v>
      </c>
      <c r="IT88" t="e">
        <f>Nodes!K691+"'E4!%q~"</f>
        <v>#VALUE!</v>
      </c>
      <c r="IU88" t="e">
        <f>Nodes!L691+"'E4!%r#"</f>
        <v>#VALUE!</v>
      </c>
      <c r="IV88" t="e">
        <f>Nodes!M691+"'E4!%r$"</f>
        <v>#VALUE!</v>
      </c>
    </row>
    <row r="89" spans="6:256">
      <c r="F89" t="e">
        <f>Nodes!N691+"'E4!%r%"</f>
        <v>#VALUE!</v>
      </c>
      <c r="G89" t="e">
        <f>Nodes!O691+"'E4!%r&amp;"</f>
        <v>#VALUE!</v>
      </c>
      <c r="H89" t="e">
        <f>Nodes!P691+"'E4!%r'"</f>
        <v>#VALUE!</v>
      </c>
      <c r="I89" t="e">
        <f>Nodes!Q691+"'E4!%r("</f>
        <v>#VALUE!</v>
      </c>
      <c r="J89" t="e">
        <f>Nodes!R691+"'E4!%r)"</f>
        <v>#VALUE!</v>
      </c>
      <c r="K89" t="e">
        <f>Nodes!S691+"'E4!%r."</f>
        <v>#VALUE!</v>
      </c>
      <c r="L89" s="547" t="e">
        <f>Nodes!T691+"'E4!%r/"</f>
        <v>#VALUE!</v>
      </c>
      <c r="M89" t="e">
        <f>Nodes!U691+"'E4!%r0"</f>
        <v>#VALUE!</v>
      </c>
      <c r="N89" t="e">
        <f>Nodes!V691+"'E4!%r1"</f>
        <v>#VALUE!</v>
      </c>
      <c r="O89" s="547" t="e">
        <f>Nodes!W691+"'E4!%r2"</f>
        <v>#VALUE!</v>
      </c>
      <c r="P89" t="e">
        <f>Nodes!X691+"'E4!%r3"</f>
        <v>#VALUE!</v>
      </c>
      <c r="Q89" t="e">
        <f>Nodes!Y691+"'E4!%r4"</f>
        <v>#VALUE!</v>
      </c>
      <c r="R89" t="e">
        <f>Nodes!Z691+"'E4!%r5"</f>
        <v>#VALUE!</v>
      </c>
      <c r="S89" t="e">
        <f>Nodes!AA691+"'E4!%r6"</f>
        <v>#VALUE!</v>
      </c>
      <c r="T89" t="e">
        <f>Nodes!AB691+"'E4!%r7"</f>
        <v>#VALUE!</v>
      </c>
      <c r="U89" t="e">
        <f>Nodes!AC691+"'E4!%r8"</f>
        <v>#VALUE!</v>
      </c>
      <c r="V89" t="e">
        <f>Nodes!A692+"'E4!%r9"</f>
        <v>#VALUE!</v>
      </c>
      <c r="W89" t="e">
        <f>Nodes!B692+"'E4!%r:"</f>
        <v>#VALUE!</v>
      </c>
      <c r="X89" t="e">
        <f>Nodes!C692+"'E4!%r;"</f>
        <v>#VALUE!</v>
      </c>
      <c r="Y89" t="e">
        <f>Nodes!D692+"'E4!%r&lt;"</f>
        <v>#VALUE!</v>
      </c>
      <c r="Z89" t="e">
        <f>Nodes!E692+"'E4!%r="</f>
        <v>#VALUE!</v>
      </c>
      <c r="AA89" t="e">
        <f>Nodes!F692+"'E4!%r&gt;"</f>
        <v>#VALUE!</v>
      </c>
      <c r="AB89" t="e">
        <f>Nodes!G692+"'E4!%r?"</f>
        <v>#VALUE!</v>
      </c>
      <c r="AC89" t="e">
        <f>Nodes!H692+"'E4!%r@"</f>
        <v>#VALUE!</v>
      </c>
      <c r="AD89" t="e">
        <f>Nodes!I692+"'E4!%rA"</f>
        <v>#VALUE!</v>
      </c>
      <c r="AE89" t="e">
        <f>Nodes!J692+"'E4!%rB"</f>
        <v>#VALUE!</v>
      </c>
      <c r="AF89" t="e">
        <f>Nodes!K692+"'E4!%rC"</f>
        <v>#VALUE!</v>
      </c>
      <c r="AG89" t="e">
        <f>Nodes!L692+"'E4!%rD"</f>
        <v>#VALUE!</v>
      </c>
      <c r="AH89" t="e">
        <f>Nodes!M692+"'E4!%rE"</f>
        <v>#VALUE!</v>
      </c>
      <c r="AI89" t="e">
        <f>Nodes!N692+"'E4!%rF"</f>
        <v>#VALUE!</v>
      </c>
      <c r="AJ89" t="e">
        <f>Nodes!O692+"'E4!%rG"</f>
        <v>#VALUE!</v>
      </c>
      <c r="AK89" t="e">
        <f>Nodes!P692+"'E4!%rH"</f>
        <v>#VALUE!</v>
      </c>
      <c r="AL89" t="e">
        <f>Nodes!Q692+"'E4!%rI"</f>
        <v>#VALUE!</v>
      </c>
      <c r="AM89" t="e">
        <f>Nodes!R692+"'E4!%rJ"</f>
        <v>#VALUE!</v>
      </c>
      <c r="AN89" t="e">
        <f>Nodes!S692+"'E4!%rK"</f>
        <v>#VALUE!</v>
      </c>
      <c r="AO89" s="547" t="e">
        <f>Nodes!T692+"'E4!%rL"</f>
        <v>#VALUE!</v>
      </c>
      <c r="AP89" t="e">
        <f>Nodes!U692+"'E4!%rM"</f>
        <v>#VALUE!</v>
      </c>
      <c r="AQ89" t="e">
        <f>Nodes!V692+"'E4!%rN"</f>
        <v>#VALUE!</v>
      </c>
      <c r="AR89" s="547" t="e">
        <f>Nodes!W692+"'E4!%rO"</f>
        <v>#VALUE!</v>
      </c>
      <c r="AS89" t="e">
        <f>Nodes!X692+"'E4!%rP"</f>
        <v>#VALUE!</v>
      </c>
      <c r="AT89" t="e">
        <f>Nodes!Y692+"'E4!%rQ"</f>
        <v>#VALUE!</v>
      </c>
      <c r="AU89" t="e">
        <f>Nodes!Z692+"'E4!%rR"</f>
        <v>#VALUE!</v>
      </c>
      <c r="AV89" t="e">
        <f>Nodes!AA692+"'E4!%rS"</f>
        <v>#VALUE!</v>
      </c>
      <c r="AW89" t="e">
        <f>Nodes!AB692+"'E4!%rT"</f>
        <v>#VALUE!</v>
      </c>
      <c r="AX89" t="e">
        <f>Nodes!AC692+"'E4!%rU"</f>
        <v>#VALUE!</v>
      </c>
      <c r="AY89" t="e">
        <f>Nodes!A693+"'E4!%rV"</f>
        <v>#VALUE!</v>
      </c>
      <c r="AZ89" t="e">
        <f>Nodes!B693+"'E4!%rW"</f>
        <v>#VALUE!</v>
      </c>
      <c r="BA89" t="e">
        <f>Nodes!C693+"'E4!%rX"</f>
        <v>#VALUE!</v>
      </c>
      <c r="BB89" t="e">
        <f>Nodes!D693+"'E4!%rY"</f>
        <v>#VALUE!</v>
      </c>
      <c r="BC89" t="e">
        <f>Nodes!E693+"'E4!%rZ"</f>
        <v>#VALUE!</v>
      </c>
      <c r="BD89" t="e">
        <f>Nodes!F693+"'E4!%r["</f>
        <v>#VALUE!</v>
      </c>
      <c r="BE89" t="e">
        <f>Nodes!G693+"'E4!%r\"</f>
        <v>#VALUE!</v>
      </c>
      <c r="BF89" t="e">
        <f>Nodes!H693+"'E4!%r]"</f>
        <v>#VALUE!</v>
      </c>
      <c r="BG89" t="e">
        <f>Nodes!I693+"'E4!%r^"</f>
        <v>#VALUE!</v>
      </c>
      <c r="BH89" t="e">
        <f>Nodes!J693+"'E4!%r_"</f>
        <v>#VALUE!</v>
      </c>
      <c r="BI89" t="e">
        <f>Nodes!K693+"'E4!%r`"</f>
        <v>#VALUE!</v>
      </c>
      <c r="BJ89" t="e">
        <f>Nodes!L693+"'E4!%ra"</f>
        <v>#VALUE!</v>
      </c>
      <c r="BK89" t="e">
        <f>Nodes!M693+"'E4!%rb"</f>
        <v>#VALUE!</v>
      </c>
      <c r="BL89" t="e">
        <f>Nodes!N693+"'E4!%rc"</f>
        <v>#VALUE!</v>
      </c>
      <c r="BM89" t="e">
        <f>Nodes!O693+"'E4!%rd"</f>
        <v>#VALUE!</v>
      </c>
      <c r="BN89" t="e">
        <f>Nodes!P693+"'E4!%re"</f>
        <v>#VALUE!</v>
      </c>
      <c r="BO89" t="e">
        <f>Nodes!Q693+"'E4!%rf"</f>
        <v>#VALUE!</v>
      </c>
      <c r="BP89" t="e">
        <f>Nodes!R693+"'E4!%rg"</f>
        <v>#VALUE!</v>
      </c>
      <c r="BQ89" t="e">
        <f>Nodes!S693+"'E4!%rh"</f>
        <v>#VALUE!</v>
      </c>
      <c r="BR89" s="547" t="e">
        <f>Nodes!T693+"'E4!%ri"</f>
        <v>#VALUE!</v>
      </c>
      <c r="BS89" t="e">
        <f>Nodes!U693+"'E4!%rj"</f>
        <v>#VALUE!</v>
      </c>
      <c r="BT89" t="e">
        <f>Nodes!V693+"'E4!%rk"</f>
        <v>#VALUE!</v>
      </c>
      <c r="BU89" s="547" t="e">
        <f>Nodes!W693+"'E4!%rl"</f>
        <v>#VALUE!</v>
      </c>
      <c r="BV89" t="e">
        <f>Nodes!X693+"'E4!%rm"</f>
        <v>#VALUE!</v>
      </c>
      <c r="BW89" t="e">
        <f>Nodes!Y693+"'E4!%rn"</f>
        <v>#VALUE!</v>
      </c>
      <c r="BX89" t="e">
        <f>Nodes!Z693+"'E4!%ro"</f>
        <v>#VALUE!</v>
      </c>
      <c r="BY89" t="e">
        <f>Nodes!AA693+"'E4!%rp"</f>
        <v>#VALUE!</v>
      </c>
      <c r="BZ89" t="e">
        <f>Nodes!AB693+"'E4!%rq"</f>
        <v>#VALUE!</v>
      </c>
      <c r="CA89" t="e">
        <f>Nodes!AC693+"'E4!%rr"</f>
        <v>#VALUE!</v>
      </c>
      <c r="CB89" t="e">
        <f>Nodes!A694+"'E4!%rs"</f>
        <v>#VALUE!</v>
      </c>
      <c r="CC89" t="e">
        <f>Nodes!B694+"'E4!%rt"</f>
        <v>#VALUE!</v>
      </c>
      <c r="CD89" t="e">
        <f>Nodes!C694+"'E4!%ru"</f>
        <v>#VALUE!</v>
      </c>
      <c r="CE89" t="e">
        <f>Nodes!D694+"'E4!%rv"</f>
        <v>#VALUE!</v>
      </c>
      <c r="CF89" t="e">
        <f>Nodes!E694+"'E4!%rw"</f>
        <v>#VALUE!</v>
      </c>
      <c r="CG89" t="e">
        <f>Nodes!F694+"'E4!%rx"</f>
        <v>#VALUE!</v>
      </c>
      <c r="CH89" t="e">
        <f>Nodes!G694+"'E4!%ry"</f>
        <v>#VALUE!</v>
      </c>
      <c r="CI89" t="e">
        <f>Nodes!H694+"'E4!%rz"</f>
        <v>#VALUE!</v>
      </c>
      <c r="CJ89" t="e">
        <f>Nodes!I694+"'E4!%r{"</f>
        <v>#VALUE!</v>
      </c>
      <c r="CK89" t="e">
        <f>Nodes!J694+"'E4!%r|"</f>
        <v>#VALUE!</v>
      </c>
      <c r="CL89" t="e">
        <f>Nodes!K694+"'E4!%r}"</f>
        <v>#VALUE!</v>
      </c>
      <c r="CM89" t="e">
        <f>Nodes!L694+"'E4!%r~"</f>
        <v>#VALUE!</v>
      </c>
      <c r="CN89" t="e">
        <f>Nodes!M694+"'E4!%s#"</f>
        <v>#VALUE!</v>
      </c>
      <c r="CO89" t="e">
        <f>Nodes!N694+"'E4!%s$"</f>
        <v>#VALUE!</v>
      </c>
      <c r="CP89" t="e">
        <f>Nodes!O694+"'E4!%s%"</f>
        <v>#VALUE!</v>
      </c>
      <c r="CQ89" t="e">
        <f>Nodes!P694+"'E4!%s&amp;"</f>
        <v>#VALUE!</v>
      </c>
      <c r="CR89" t="e">
        <f>Nodes!Q694+"'E4!%s'"</f>
        <v>#VALUE!</v>
      </c>
      <c r="CS89" t="e">
        <f>Nodes!R694+"'E4!%s("</f>
        <v>#VALUE!</v>
      </c>
      <c r="CT89" t="e">
        <f>Nodes!S694+"'E4!%s)"</f>
        <v>#VALUE!</v>
      </c>
      <c r="CU89" s="547" t="e">
        <f>Nodes!T694+"'E4!%s."</f>
        <v>#VALUE!</v>
      </c>
      <c r="CV89" t="e">
        <f>Nodes!U694+"'E4!%s/"</f>
        <v>#VALUE!</v>
      </c>
      <c r="CW89" t="e">
        <f>Nodes!V694+"'E4!%s0"</f>
        <v>#VALUE!</v>
      </c>
      <c r="CX89" s="547" t="e">
        <f>Nodes!W694+"'E4!%s1"</f>
        <v>#VALUE!</v>
      </c>
      <c r="CY89" t="e">
        <f>Nodes!X694+"'E4!%s2"</f>
        <v>#VALUE!</v>
      </c>
      <c r="CZ89" t="e">
        <f>Nodes!Y694+"'E4!%s3"</f>
        <v>#VALUE!</v>
      </c>
      <c r="DA89" t="e">
        <f>Nodes!Z694+"'E4!%s4"</f>
        <v>#VALUE!</v>
      </c>
      <c r="DB89" t="e">
        <f>Nodes!AA694+"'E4!%s5"</f>
        <v>#VALUE!</v>
      </c>
      <c r="DC89" t="e">
        <f>Nodes!AB694+"'E4!%s6"</f>
        <v>#VALUE!</v>
      </c>
      <c r="DD89" t="e">
        <f>Nodes!AC694+"'E4!%s7"</f>
        <v>#VALUE!</v>
      </c>
      <c r="DE89" t="e">
        <f>Nodes!A695+"'E4!%s8"</f>
        <v>#VALUE!</v>
      </c>
      <c r="DF89" t="e">
        <f>Nodes!B695+"'E4!%s9"</f>
        <v>#VALUE!</v>
      </c>
      <c r="DG89" t="e">
        <f>Nodes!C695+"'E4!%s:"</f>
        <v>#VALUE!</v>
      </c>
      <c r="DH89" t="e">
        <f>Nodes!D695+"'E4!%s;"</f>
        <v>#VALUE!</v>
      </c>
      <c r="DI89" t="e">
        <f>Nodes!E695+"'E4!%s&lt;"</f>
        <v>#VALUE!</v>
      </c>
      <c r="DJ89" t="e">
        <f>Nodes!F695+"'E4!%s="</f>
        <v>#VALUE!</v>
      </c>
      <c r="DK89" t="e">
        <f>Nodes!G695+"'E4!%s&gt;"</f>
        <v>#VALUE!</v>
      </c>
      <c r="DL89" t="e">
        <f>Nodes!H695+"'E4!%s?"</f>
        <v>#VALUE!</v>
      </c>
      <c r="DM89" t="e">
        <f>Nodes!I695+"'E4!%s@"</f>
        <v>#VALUE!</v>
      </c>
      <c r="DN89" t="e">
        <f>Nodes!J695+"'E4!%sA"</f>
        <v>#VALUE!</v>
      </c>
      <c r="DO89" t="e">
        <f>Nodes!K695+"'E4!%sB"</f>
        <v>#VALUE!</v>
      </c>
      <c r="DP89" t="e">
        <f>Nodes!L695+"'E4!%sC"</f>
        <v>#VALUE!</v>
      </c>
      <c r="DQ89" t="e">
        <f>Nodes!M695+"'E4!%sD"</f>
        <v>#VALUE!</v>
      </c>
      <c r="DR89" t="e">
        <f>Nodes!N695+"'E4!%sE"</f>
        <v>#VALUE!</v>
      </c>
      <c r="DS89" t="e">
        <f>Nodes!O695+"'E4!%sF"</f>
        <v>#VALUE!</v>
      </c>
      <c r="DT89" t="e">
        <f>Nodes!P695+"'E4!%sG"</f>
        <v>#N/A</v>
      </c>
      <c r="DU89" t="e">
        <f>Nodes!Q695+"'E4!%sH"</f>
        <v>#VALUE!</v>
      </c>
      <c r="DV89" t="e">
        <f>Nodes!R695+"'E4!%sI"</f>
        <v>#VALUE!</v>
      </c>
      <c r="DW89" t="e">
        <f>Nodes!S695+"'E4!%sJ"</f>
        <v>#VALUE!</v>
      </c>
      <c r="DX89" s="547" t="e">
        <f>Nodes!T695+"'E4!%sK"</f>
        <v>#VALUE!</v>
      </c>
      <c r="DY89" t="e">
        <f>Nodes!U695+"'E4!%sL"</f>
        <v>#VALUE!</v>
      </c>
      <c r="DZ89" t="e">
        <f>Nodes!V695+"'E4!%sM"</f>
        <v>#VALUE!</v>
      </c>
      <c r="EA89" s="547" t="e">
        <f>Nodes!W695+"'E4!%sN"</f>
        <v>#VALUE!</v>
      </c>
      <c r="EB89" t="e">
        <f>Nodes!X695+"'E4!%sO"</f>
        <v>#VALUE!</v>
      </c>
      <c r="EC89" t="e">
        <f>Nodes!Y695+"'E4!%sP"</f>
        <v>#VALUE!</v>
      </c>
      <c r="ED89" t="e">
        <f>Nodes!Z695+"'E4!%sQ"</f>
        <v>#VALUE!</v>
      </c>
      <c r="EE89" t="e">
        <f>Nodes!AA695+"'E4!%sR"</f>
        <v>#VALUE!</v>
      </c>
      <c r="EF89" t="e">
        <f>Nodes!AB695+"'E4!%sS"</f>
        <v>#VALUE!</v>
      </c>
      <c r="EG89" t="e">
        <f>Nodes!AC695+"'E4!%sT"</f>
        <v>#VALUE!</v>
      </c>
      <c r="EH89" t="e">
        <f>Nodes!A696+"'E4!%sU"</f>
        <v>#VALUE!</v>
      </c>
      <c r="EI89" t="e">
        <f>Nodes!B696+"'E4!%sV"</f>
        <v>#VALUE!</v>
      </c>
      <c r="EJ89" t="e">
        <f>Nodes!C696+"'E4!%sW"</f>
        <v>#VALUE!</v>
      </c>
      <c r="EK89" t="e">
        <f>Nodes!D696+"'E4!%sX"</f>
        <v>#VALUE!</v>
      </c>
      <c r="EL89" t="e">
        <f>Nodes!E696+"'E4!%sY"</f>
        <v>#VALUE!</v>
      </c>
      <c r="EM89" t="e">
        <f>Nodes!F696+"'E4!%sZ"</f>
        <v>#VALUE!</v>
      </c>
      <c r="EN89" t="e">
        <f>Nodes!G696+"'E4!%s["</f>
        <v>#VALUE!</v>
      </c>
      <c r="EO89" t="e">
        <f>Nodes!H696+"'E4!%s\"</f>
        <v>#VALUE!</v>
      </c>
      <c r="EP89" t="e">
        <f>Nodes!I696+"'E4!%s]"</f>
        <v>#VALUE!</v>
      </c>
      <c r="EQ89" t="e">
        <f>Nodes!J696+"'E4!%s^"</f>
        <v>#VALUE!</v>
      </c>
      <c r="ER89" t="e">
        <f>Nodes!K696+"'E4!%s_"</f>
        <v>#VALUE!</v>
      </c>
      <c r="ES89" t="e">
        <f>Nodes!L696+"'E4!%s`"</f>
        <v>#VALUE!</v>
      </c>
      <c r="ET89" t="e">
        <f>Nodes!M696+"'E4!%sa"</f>
        <v>#VALUE!</v>
      </c>
      <c r="EU89" t="e">
        <f>Nodes!N696+"'E4!%sb"</f>
        <v>#VALUE!</v>
      </c>
      <c r="EV89" t="e">
        <f>Nodes!O696+"'E4!%sc"</f>
        <v>#VALUE!</v>
      </c>
      <c r="EW89" t="e">
        <f>Nodes!P696+"'E4!%sd"</f>
        <v>#VALUE!</v>
      </c>
      <c r="EX89" t="e">
        <f>Nodes!Q696+"'E4!%se"</f>
        <v>#VALUE!</v>
      </c>
      <c r="EY89" t="e">
        <f>Nodes!R696+"'E4!%sf"</f>
        <v>#VALUE!</v>
      </c>
      <c r="EZ89" t="e">
        <f>Nodes!S696+"'E4!%sg"</f>
        <v>#VALUE!</v>
      </c>
      <c r="FA89" s="547" t="e">
        <f>Nodes!T696+"'E4!%sh"</f>
        <v>#VALUE!</v>
      </c>
      <c r="FB89" t="e">
        <f>Nodes!U696+"'E4!%si"</f>
        <v>#VALUE!</v>
      </c>
      <c r="FC89" t="e">
        <f>Nodes!V696+"'E4!%sj"</f>
        <v>#VALUE!</v>
      </c>
      <c r="FD89" s="547" t="e">
        <f>Nodes!W696+"'E4!%sk"</f>
        <v>#VALUE!</v>
      </c>
      <c r="FE89" t="e">
        <f>Nodes!X696+"'E4!%sl"</f>
        <v>#VALUE!</v>
      </c>
      <c r="FF89" t="e">
        <f>Nodes!Y696+"'E4!%sm"</f>
        <v>#VALUE!</v>
      </c>
      <c r="FG89" t="e">
        <f>Nodes!Z696+"'E4!%sn"</f>
        <v>#VALUE!</v>
      </c>
      <c r="FH89" t="e">
        <f>Nodes!AA696+"'E4!%so"</f>
        <v>#VALUE!</v>
      </c>
      <c r="FI89" t="e">
        <f>Nodes!AB696+"'E4!%sp"</f>
        <v>#VALUE!</v>
      </c>
      <c r="FJ89" t="e">
        <f>Nodes!AC696+"'E4!%sq"</f>
        <v>#VALUE!</v>
      </c>
      <c r="FK89" t="e">
        <f>Nodes!A697+"'E4!%sr"</f>
        <v>#VALUE!</v>
      </c>
      <c r="FL89" t="e">
        <f>Nodes!B697+"'E4!%ss"</f>
        <v>#VALUE!</v>
      </c>
      <c r="FM89" t="e">
        <f>Nodes!C697+"'E4!%st"</f>
        <v>#VALUE!</v>
      </c>
      <c r="FN89" t="e">
        <f>Nodes!D697+"'E4!%su"</f>
        <v>#VALUE!</v>
      </c>
      <c r="FO89" t="e">
        <f>Nodes!E697+"'E4!%sv"</f>
        <v>#VALUE!</v>
      </c>
      <c r="FP89" t="e">
        <f>Nodes!F697+"'E4!%sw"</f>
        <v>#VALUE!</v>
      </c>
      <c r="FQ89" t="e">
        <f>Nodes!G697+"'E4!%sx"</f>
        <v>#VALUE!</v>
      </c>
      <c r="FR89" t="e">
        <f>Nodes!H697+"'E4!%sy"</f>
        <v>#VALUE!</v>
      </c>
      <c r="FS89" t="e">
        <f>Nodes!I697+"'E4!%sz"</f>
        <v>#VALUE!</v>
      </c>
      <c r="FT89" t="e">
        <f>Nodes!J697+"'E4!%s{"</f>
        <v>#VALUE!</v>
      </c>
      <c r="FU89" t="e">
        <f>Nodes!K697+"'E4!%s|"</f>
        <v>#VALUE!</v>
      </c>
      <c r="FV89" t="e">
        <f>Nodes!L697+"'E4!%s}"</f>
        <v>#VALUE!</v>
      </c>
      <c r="FW89" t="e">
        <f>Nodes!M697+"'E4!%s~"</f>
        <v>#VALUE!</v>
      </c>
      <c r="FX89" t="e">
        <f>Nodes!N697+"'E4!%t#"</f>
        <v>#VALUE!</v>
      </c>
      <c r="FY89" t="e">
        <f>Nodes!O697+"'E4!%t$"</f>
        <v>#VALUE!</v>
      </c>
      <c r="FZ89" t="e">
        <f>Nodes!P697+"'E4!%t%"</f>
        <v>#VALUE!</v>
      </c>
      <c r="GA89" t="e">
        <f>Nodes!Q697+"'E4!%t&amp;"</f>
        <v>#VALUE!</v>
      </c>
      <c r="GB89" t="e">
        <f>Nodes!R697+"'E4!%t'"</f>
        <v>#VALUE!</v>
      </c>
      <c r="GC89" t="e">
        <f>Nodes!S697+"'E4!%t("</f>
        <v>#VALUE!</v>
      </c>
      <c r="GD89" s="547" t="e">
        <f>Nodes!T697+"'E4!%t)"</f>
        <v>#VALUE!</v>
      </c>
      <c r="GE89" t="e">
        <f>Nodes!U697+"'E4!%t."</f>
        <v>#VALUE!</v>
      </c>
      <c r="GF89" t="e">
        <f>Nodes!V697+"'E4!%t/"</f>
        <v>#VALUE!</v>
      </c>
      <c r="GG89" s="547" t="e">
        <f>Nodes!W697+"'E4!%t0"</f>
        <v>#VALUE!</v>
      </c>
      <c r="GH89" t="e">
        <f>Nodes!X697+"'E4!%t1"</f>
        <v>#VALUE!</v>
      </c>
      <c r="GI89" t="e">
        <f>Nodes!Y697+"'E4!%t2"</f>
        <v>#VALUE!</v>
      </c>
      <c r="GJ89" t="e">
        <f>Nodes!Z697+"'E4!%t3"</f>
        <v>#VALUE!</v>
      </c>
      <c r="GK89" t="e">
        <f>Nodes!AA697+"'E4!%t4"</f>
        <v>#VALUE!</v>
      </c>
      <c r="GL89" t="e">
        <f>Nodes!AB697+"'E4!%t5"</f>
        <v>#VALUE!</v>
      </c>
      <c r="GM89" t="e">
        <f>Nodes!AC697+"'E4!%t6"</f>
        <v>#VALUE!</v>
      </c>
      <c r="GN89" t="e">
        <f>Nodes!A698+"'E4!%t7"</f>
        <v>#VALUE!</v>
      </c>
      <c r="GO89" t="e">
        <f>Nodes!B698+"'E4!%t8"</f>
        <v>#VALUE!</v>
      </c>
      <c r="GP89" t="e">
        <f>Nodes!C698+"'E4!%t9"</f>
        <v>#VALUE!</v>
      </c>
      <c r="GQ89" t="e">
        <f>Nodes!D698+"'E4!%t:"</f>
        <v>#VALUE!</v>
      </c>
      <c r="GR89" t="e">
        <f>Nodes!E698+"'E4!%t;"</f>
        <v>#VALUE!</v>
      </c>
      <c r="GS89" t="e">
        <f>Nodes!F698+"'E4!%t&lt;"</f>
        <v>#VALUE!</v>
      </c>
      <c r="GT89" t="e">
        <f>Nodes!G698+"'E4!%t="</f>
        <v>#VALUE!</v>
      </c>
      <c r="GU89" t="e">
        <f>Nodes!H698+"'E4!%t&gt;"</f>
        <v>#VALUE!</v>
      </c>
      <c r="GV89" t="e">
        <f>Nodes!I698+"'E4!%t?"</f>
        <v>#VALUE!</v>
      </c>
      <c r="GW89" t="e">
        <f>Nodes!J698+"'E4!%t@"</f>
        <v>#VALUE!</v>
      </c>
      <c r="GX89" t="e">
        <f>Nodes!K698+"'E4!%tA"</f>
        <v>#VALUE!</v>
      </c>
      <c r="GY89" t="e">
        <f>Nodes!L698+"'E4!%tB"</f>
        <v>#VALUE!</v>
      </c>
      <c r="GZ89" t="e">
        <f>Nodes!M698+"'E4!%tC"</f>
        <v>#VALUE!</v>
      </c>
      <c r="HA89" t="e">
        <f>Nodes!N698+"'E4!%tD"</f>
        <v>#VALUE!</v>
      </c>
      <c r="HB89" t="e">
        <f>Nodes!O698+"'E4!%tE"</f>
        <v>#VALUE!</v>
      </c>
      <c r="HC89" t="e">
        <f>Nodes!P698+"'E4!%tF"</f>
        <v>#N/A</v>
      </c>
      <c r="HD89" t="e">
        <f>Nodes!Q698+"'E4!%tG"</f>
        <v>#VALUE!</v>
      </c>
      <c r="HE89" t="e">
        <f>Nodes!R698+"'E4!%tH"</f>
        <v>#VALUE!</v>
      </c>
      <c r="HF89" t="e">
        <f>Nodes!S698+"'E4!%tI"</f>
        <v>#VALUE!</v>
      </c>
      <c r="HG89" s="547" t="e">
        <f>Nodes!T698+"'E4!%tJ"</f>
        <v>#VALUE!</v>
      </c>
      <c r="HH89" t="e">
        <f>Nodes!U698+"'E4!%tK"</f>
        <v>#VALUE!</v>
      </c>
      <c r="HI89" t="e">
        <f>Nodes!V698+"'E4!%tL"</f>
        <v>#VALUE!</v>
      </c>
      <c r="HJ89" s="547" t="e">
        <f>Nodes!W698+"'E4!%tM"</f>
        <v>#VALUE!</v>
      </c>
      <c r="HK89" t="e">
        <f>Nodes!X698+"'E4!%tN"</f>
        <v>#VALUE!</v>
      </c>
      <c r="HL89" t="e">
        <f>Nodes!Y698+"'E4!%tO"</f>
        <v>#VALUE!</v>
      </c>
      <c r="HM89" t="e">
        <f>Nodes!Z698+"'E4!%tP"</f>
        <v>#VALUE!</v>
      </c>
      <c r="HN89" t="e">
        <f>Nodes!AA698+"'E4!%tQ"</f>
        <v>#VALUE!</v>
      </c>
      <c r="HO89" t="e">
        <f>Nodes!AB698+"'E4!%tR"</f>
        <v>#VALUE!</v>
      </c>
      <c r="HP89" t="e">
        <f>Nodes!AC698+"'E4!%tS"</f>
        <v>#VALUE!</v>
      </c>
      <c r="HQ89" t="e">
        <f>Nodes!A699+"'E4!%tT"</f>
        <v>#VALUE!</v>
      </c>
      <c r="HR89" t="e">
        <f>Nodes!B699+"'E4!%tU"</f>
        <v>#VALUE!</v>
      </c>
      <c r="HS89" t="e">
        <f>Nodes!C699+"'E4!%tV"</f>
        <v>#VALUE!</v>
      </c>
      <c r="HT89" t="e">
        <f>Nodes!D699+"'E4!%tW"</f>
        <v>#VALUE!</v>
      </c>
      <c r="HU89" t="e">
        <f>Nodes!E699+"'E4!%tX"</f>
        <v>#VALUE!</v>
      </c>
      <c r="HV89" t="e">
        <f>Nodes!F699+"'E4!%tY"</f>
        <v>#VALUE!</v>
      </c>
      <c r="HW89" t="e">
        <f>Nodes!G699+"'E4!%tZ"</f>
        <v>#VALUE!</v>
      </c>
      <c r="HX89" t="e">
        <f>Nodes!H699+"'E4!%t["</f>
        <v>#VALUE!</v>
      </c>
      <c r="HY89" t="e">
        <f>Nodes!I699+"'E4!%t\"</f>
        <v>#VALUE!</v>
      </c>
      <c r="HZ89" t="e">
        <f>Nodes!J699+"'E4!%t]"</f>
        <v>#VALUE!</v>
      </c>
      <c r="IA89" t="e">
        <f>Nodes!K699+"'E4!%t^"</f>
        <v>#VALUE!</v>
      </c>
      <c r="IB89" t="e">
        <f>Nodes!L699+"'E4!%t_"</f>
        <v>#VALUE!</v>
      </c>
      <c r="IC89" t="e">
        <f>Nodes!M699+"'E4!%t`"</f>
        <v>#VALUE!</v>
      </c>
      <c r="ID89" t="e">
        <f>Nodes!N699+"'E4!%ta"</f>
        <v>#VALUE!</v>
      </c>
      <c r="IE89" t="e">
        <f>Nodes!O699+"'E4!%tb"</f>
        <v>#VALUE!</v>
      </c>
      <c r="IF89" t="e">
        <f>Nodes!P699+"'E4!%tc"</f>
        <v>#VALUE!</v>
      </c>
      <c r="IG89" t="e">
        <f>Nodes!Q699+"'E4!%td"</f>
        <v>#VALUE!</v>
      </c>
      <c r="IH89" t="e">
        <f>Nodes!R699+"'E4!%te"</f>
        <v>#VALUE!</v>
      </c>
      <c r="II89" t="e">
        <f>Nodes!S699+"'E4!%tf"</f>
        <v>#VALUE!</v>
      </c>
      <c r="IJ89" s="547" t="e">
        <f>Nodes!T699+"'E4!%tg"</f>
        <v>#VALUE!</v>
      </c>
      <c r="IK89" t="e">
        <f>Nodes!U699+"'E4!%th"</f>
        <v>#VALUE!</v>
      </c>
      <c r="IL89" t="e">
        <f>Nodes!V699+"'E4!%ti"</f>
        <v>#VALUE!</v>
      </c>
      <c r="IM89" s="547" t="e">
        <f>Nodes!W699+"'E4!%tj"</f>
        <v>#VALUE!</v>
      </c>
      <c r="IN89" t="e">
        <f>Nodes!X699+"'E4!%tk"</f>
        <v>#VALUE!</v>
      </c>
      <c r="IO89" t="e">
        <f>Nodes!Y699+"'E4!%tl"</f>
        <v>#VALUE!</v>
      </c>
      <c r="IP89" t="e">
        <f>Nodes!Z699+"'E4!%tm"</f>
        <v>#VALUE!</v>
      </c>
      <c r="IQ89" t="e">
        <f>Nodes!AA699+"'E4!%tn"</f>
        <v>#VALUE!</v>
      </c>
      <c r="IR89" t="e">
        <f>Nodes!AB699+"'E4!%to"</f>
        <v>#VALUE!</v>
      </c>
      <c r="IS89" t="e">
        <f>Nodes!AC699+"'E4!%tp"</f>
        <v>#VALUE!</v>
      </c>
      <c r="IT89" t="e">
        <f>Nodes!A700+"'E4!%tq"</f>
        <v>#VALUE!</v>
      </c>
      <c r="IU89" t="e">
        <f>Nodes!B700+"'E4!%tr"</f>
        <v>#VALUE!</v>
      </c>
      <c r="IV89" t="e">
        <f>Nodes!C700+"'E4!%ts"</f>
        <v>#VALUE!</v>
      </c>
    </row>
    <row r="90" spans="6:256">
      <c r="F90" t="e">
        <f>Nodes!D700+"'E4!%tt"</f>
        <v>#VALUE!</v>
      </c>
      <c r="G90" t="e">
        <f>Nodes!E700+"'E4!%tu"</f>
        <v>#VALUE!</v>
      </c>
      <c r="H90" t="e">
        <f>Nodes!F700+"'E4!%tv"</f>
        <v>#VALUE!</v>
      </c>
      <c r="I90" t="e">
        <f>Nodes!G700+"'E4!%tw"</f>
        <v>#VALUE!</v>
      </c>
      <c r="J90" t="e">
        <f>Nodes!H700+"'E4!%tx"</f>
        <v>#VALUE!</v>
      </c>
      <c r="K90" t="e">
        <f>Nodes!I700+"'E4!%ty"</f>
        <v>#VALUE!</v>
      </c>
      <c r="L90" t="e">
        <f>Nodes!J700+"'E4!%tz"</f>
        <v>#VALUE!</v>
      </c>
      <c r="M90" t="e">
        <f>Nodes!K700+"'E4!%t{"</f>
        <v>#VALUE!</v>
      </c>
      <c r="N90" t="e">
        <f>Nodes!L700+"'E4!%t|"</f>
        <v>#VALUE!</v>
      </c>
      <c r="O90" t="e">
        <f>Nodes!M700+"'E4!%t}"</f>
        <v>#VALUE!</v>
      </c>
      <c r="P90" t="e">
        <f>Nodes!N700+"'E4!%t~"</f>
        <v>#VALUE!</v>
      </c>
      <c r="Q90" t="e">
        <f>Nodes!O700+"'E4!%u#"</f>
        <v>#VALUE!</v>
      </c>
      <c r="R90" t="e">
        <f>Nodes!P700+"'E4!%u$"</f>
        <v>#VALUE!</v>
      </c>
      <c r="S90" t="e">
        <f>Nodes!Q700+"'E4!%u%"</f>
        <v>#VALUE!</v>
      </c>
      <c r="T90" t="e">
        <f>Nodes!R700+"'E4!%u&amp;"</f>
        <v>#VALUE!</v>
      </c>
      <c r="U90" t="e">
        <f>Nodes!S700+"'E4!%u'"</f>
        <v>#VALUE!</v>
      </c>
      <c r="V90" s="547" t="e">
        <f>Nodes!T700+"'E4!%u("</f>
        <v>#VALUE!</v>
      </c>
      <c r="W90" t="e">
        <f>Nodes!U700+"'E4!%u)"</f>
        <v>#VALUE!</v>
      </c>
      <c r="X90" t="e">
        <f>Nodes!V700+"'E4!%u."</f>
        <v>#VALUE!</v>
      </c>
      <c r="Y90" s="547" t="e">
        <f>Nodes!W700+"'E4!%u/"</f>
        <v>#VALUE!</v>
      </c>
      <c r="Z90" t="e">
        <f>Nodes!X700+"'E4!%u0"</f>
        <v>#VALUE!</v>
      </c>
      <c r="AA90" t="e">
        <f>Nodes!Y700+"'E4!%u1"</f>
        <v>#VALUE!</v>
      </c>
      <c r="AB90" t="e">
        <f>Nodes!Z700+"'E4!%u2"</f>
        <v>#VALUE!</v>
      </c>
      <c r="AC90" t="e">
        <f>Nodes!AA700+"'E4!%u3"</f>
        <v>#VALUE!</v>
      </c>
      <c r="AD90" t="e">
        <f>Nodes!AB700+"'E4!%u4"</f>
        <v>#VALUE!</v>
      </c>
      <c r="AE90" t="e">
        <f>Nodes!AC700+"'E4!%u5"</f>
        <v>#VALUE!</v>
      </c>
      <c r="AF90" t="e">
        <f>Nodes!A701+"'E4!%u6"</f>
        <v>#VALUE!</v>
      </c>
      <c r="AG90" t="e">
        <f>Nodes!B701+"'E4!%u7"</f>
        <v>#VALUE!</v>
      </c>
      <c r="AH90" t="e">
        <f>Nodes!C701+"'E4!%u8"</f>
        <v>#VALUE!</v>
      </c>
      <c r="AI90" t="e">
        <f>Nodes!D701+"'E4!%u9"</f>
        <v>#VALUE!</v>
      </c>
      <c r="AJ90" t="e">
        <f>Nodes!E701+"'E4!%u:"</f>
        <v>#VALUE!</v>
      </c>
      <c r="AK90" t="e">
        <f>Nodes!F701+"'E4!%u;"</f>
        <v>#VALUE!</v>
      </c>
      <c r="AL90" t="e">
        <f>Nodes!G701+"'E4!%u&lt;"</f>
        <v>#VALUE!</v>
      </c>
      <c r="AM90" t="e">
        <f>Nodes!H701+"'E4!%u="</f>
        <v>#VALUE!</v>
      </c>
      <c r="AN90" t="e">
        <f>Nodes!I701+"'E4!%u&gt;"</f>
        <v>#VALUE!</v>
      </c>
      <c r="AO90" t="e">
        <f>Nodes!J701+"'E4!%u?"</f>
        <v>#VALUE!</v>
      </c>
      <c r="AP90" t="e">
        <f>Nodes!K701+"'E4!%u@"</f>
        <v>#VALUE!</v>
      </c>
      <c r="AQ90" t="e">
        <f>Nodes!L701+"'E4!%uA"</f>
        <v>#VALUE!</v>
      </c>
      <c r="AR90" t="e">
        <f>Nodes!M701+"'E4!%uB"</f>
        <v>#VALUE!</v>
      </c>
      <c r="AS90" t="e">
        <f>Nodes!N701+"'E4!%uC"</f>
        <v>#VALUE!</v>
      </c>
      <c r="AT90" t="e">
        <f>Nodes!O701+"'E4!%uD"</f>
        <v>#VALUE!</v>
      </c>
      <c r="AU90" t="e">
        <f>Nodes!P701+"'E4!%uE"</f>
        <v>#VALUE!</v>
      </c>
      <c r="AV90" t="e">
        <f>Nodes!Q701+"'E4!%uF"</f>
        <v>#VALUE!</v>
      </c>
      <c r="AW90" t="e">
        <f>Nodes!R701+"'E4!%uG"</f>
        <v>#VALUE!</v>
      </c>
      <c r="AX90" t="e">
        <f>Nodes!S701+"'E4!%uH"</f>
        <v>#VALUE!</v>
      </c>
      <c r="AY90" s="547" t="e">
        <f>Nodes!T701+"'E4!%uI"</f>
        <v>#VALUE!</v>
      </c>
      <c r="AZ90" t="e">
        <f>Nodes!U701+"'E4!%uJ"</f>
        <v>#VALUE!</v>
      </c>
      <c r="BA90" t="e">
        <f>Nodes!V701+"'E4!%uK"</f>
        <v>#VALUE!</v>
      </c>
      <c r="BB90" s="547" t="e">
        <f>Nodes!W701+"'E4!%uL"</f>
        <v>#VALUE!</v>
      </c>
      <c r="BC90" t="e">
        <f>Nodes!X701+"'E4!%uM"</f>
        <v>#VALUE!</v>
      </c>
      <c r="BD90" t="e">
        <f>Nodes!Y701+"'E4!%uN"</f>
        <v>#VALUE!</v>
      </c>
      <c r="BE90" t="e">
        <f>Nodes!Z701+"'E4!%uO"</f>
        <v>#VALUE!</v>
      </c>
      <c r="BF90" t="e">
        <f>Nodes!AA701+"'E4!%uP"</f>
        <v>#VALUE!</v>
      </c>
      <c r="BG90" t="e">
        <f>Nodes!AB701+"'E4!%uQ"</f>
        <v>#VALUE!</v>
      </c>
      <c r="BH90" t="e">
        <f>Nodes!AC701+"'E4!%uR"</f>
        <v>#VALUE!</v>
      </c>
      <c r="BI90" t="e">
        <f>Nodes!A702+"'E4!%uS"</f>
        <v>#VALUE!</v>
      </c>
      <c r="BJ90" t="e">
        <f>Nodes!B702+"'E4!%uT"</f>
        <v>#VALUE!</v>
      </c>
      <c r="BK90" t="e">
        <f>Nodes!C702+"'E4!%uU"</f>
        <v>#VALUE!</v>
      </c>
      <c r="BL90" t="e">
        <f>Nodes!D702+"'E4!%uV"</f>
        <v>#VALUE!</v>
      </c>
      <c r="BM90" t="e">
        <f>Nodes!E702+"'E4!%uW"</f>
        <v>#VALUE!</v>
      </c>
      <c r="BN90" t="e">
        <f>Nodes!F702+"'E4!%uX"</f>
        <v>#VALUE!</v>
      </c>
      <c r="BO90" t="e">
        <f>Nodes!G702+"'E4!%uY"</f>
        <v>#VALUE!</v>
      </c>
      <c r="BP90" t="e">
        <f>Nodes!H702+"'E4!%uZ"</f>
        <v>#VALUE!</v>
      </c>
      <c r="BQ90" t="e">
        <f>Nodes!I702+"'E4!%u["</f>
        <v>#VALUE!</v>
      </c>
      <c r="BR90" t="e">
        <f>Nodes!J702+"'E4!%u\"</f>
        <v>#VALUE!</v>
      </c>
      <c r="BS90" t="e">
        <f>Nodes!K702+"'E4!%u]"</f>
        <v>#VALUE!</v>
      </c>
      <c r="BT90" t="e">
        <f>Nodes!L702+"'E4!%u^"</f>
        <v>#VALUE!</v>
      </c>
      <c r="BU90" t="e">
        <f>Nodes!M702+"'E4!%u_"</f>
        <v>#VALUE!</v>
      </c>
      <c r="BV90" t="e">
        <f>Nodes!N702+"'E4!%u`"</f>
        <v>#VALUE!</v>
      </c>
      <c r="BW90" t="e">
        <f>Nodes!O702+"'E4!%ua"</f>
        <v>#VALUE!</v>
      </c>
      <c r="BX90" t="e">
        <f>Nodes!P702+"'E4!%ub"</f>
        <v>#VALUE!</v>
      </c>
      <c r="BY90" t="e">
        <f>Nodes!Q702+"'E4!%uc"</f>
        <v>#VALUE!</v>
      </c>
      <c r="BZ90" t="e">
        <f>Nodes!R702+"'E4!%ud"</f>
        <v>#VALUE!</v>
      </c>
      <c r="CA90" t="e">
        <f>Nodes!S702+"'E4!%ue"</f>
        <v>#VALUE!</v>
      </c>
      <c r="CB90" s="547" t="e">
        <f>Nodes!T702+"'E4!%uf"</f>
        <v>#VALUE!</v>
      </c>
      <c r="CC90" t="e">
        <f>Nodes!U702+"'E4!%ug"</f>
        <v>#VALUE!</v>
      </c>
      <c r="CD90" t="e">
        <f>Nodes!V702+"'E4!%uh"</f>
        <v>#VALUE!</v>
      </c>
      <c r="CE90" s="547" t="e">
        <f>Nodes!W702+"'E4!%ui"</f>
        <v>#VALUE!</v>
      </c>
      <c r="CF90" t="e">
        <f>Nodes!X702+"'E4!%uj"</f>
        <v>#VALUE!</v>
      </c>
      <c r="CG90" t="e">
        <f>Nodes!Y702+"'E4!%uk"</f>
        <v>#VALUE!</v>
      </c>
      <c r="CH90" t="e">
        <f>Nodes!Z702+"'E4!%ul"</f>
        <v>#VALUE!</v>
      </c>
      <c r="CI90" t="e">
        <f>Nodes!AA702+"'E4!%um"</f>
        <v>#VALUE!</v>
      </c>
      <c r="CJ90" t="e">
        <f>Nodes!AB702+"'E4!%un"</f>
        <v>#VALUE!</v>
      </c>
      <c r="CK90" t="e">
        <f>Nodes!AC702+"'E4!%uo"</f>
        <v>#VALUE!</v>
      </c>
      <c r="CL90" t="e">
        <f>Nodes!A703+"'E4!%up"</f>
        <v>#VALUE!</v>
      </c>
      <c r="CM90" t="e">
        <f>Nodes!B703+"'E4!%uq"</f>
        <v>#VALUE!</v>
      </c>
      <c r="CN90" t="e">
        <f>Nodes!C703+"'E4!%ur"</f>
        <v>#VALUE!</v>
      </c>
      <c r="CO90" t="e">
        <f>Nodes!D703+"'E4!%us"</f>
        <v>#VALUE!</v>
      </c>
      <c r="CP90" t="e">
        <f>Nodes!E703+"'E4!%ut"</f>
        <v>#VALUE!</v>
      </c>
      <c r="CQ90" t="e">
        <f>Nodes!F703+"'E4!%uu"</f>
        <v>#VALUE!</v>
      </c>
      <c r="CR90" t="e">
        <f>Nodes!G703+"'E4!%uv"</f>
        <v>#VALUE!</v>
      </c>
      <c r="CS90" t="e">
        <f>Nodes!H703+"'E4!%uw"</f>
        <v>#VALUE!</v>
      </c>
      <c r="CT90" t="e">
        <f>Nodes!I703+"'E4!%ux"</f>
        <v>#VALUE!</v>
      </c>
      <c r="CU90" t="e">
        <f>Nodes!J703+"'E4!%uy"</f>
        <v>#VALUE!</v>
      </c>
      <c r="CV90" t="e">
        <f>Nodes!K703+"'E4!%uz"</f>
        <v>#VALUE!</v>
      </c>
      <c r="CW90" t="e">
        <f>Nodes!L703+"'E4!%u{"</f>
        <v>#VALUE!</v>
      </c>
      <c r="CX90" t="e">
        <f>Nodes!M703+"'E4!%u|"</f>
        <v>#VALUE!</v>
      </c>
      <c r="CY90" t="e">
        <f>Nodes!N703+"'E4!%u}"</f>
        <v>#VALUE!</v>
      </c>
      <c r="CZ90" t="e">
        <f>Nodes!O703+"'E4!%u~"</f>
        <v>#VALUE!</v>
      </c>
      <c r="DA90" t="e">
        <f>Nodes!P703+"'E4!%v#"</f>
        <v>#VALUE!</v>
      </c>
      <c r="DB90" t="e">
        <f>Nodes!Q703+"'E4!%v$"</f>
        <v>#VALUE!</v>
      </c>
      <c r="DC90" t="e">
        <f>Nodes!R703+"'E4!%v%"</f>
        <v>#VALUE!</v>
      </c>
      <c r="DD90" t="e">
        <f>Nodes!S703+"'E4!%v&amp;"</f>
        <v>#VALUE!</v>
      </c>
      <c r="DE90" s="547" t="e">
        <f>Nodes!T703+"'E4!%v'"</f>
        <v>#VALUE!</v>
      </c>
      <c r="DF90" t="e">
        <f>Nodes!U703+"'E4!%v("</f>
        <v>#VALUE!</v>
      </c>
      <c r="DG90" t="e">
        <f>Nodes!V703+"'E4!%v)"</f>
        <v>#VALUE!</v>
      </c>
      <c r="DH90" s="547" t="e">
        <f>Nodes!W703+"'E4!%v."</f>
        <v>#VALUE!</v>
      </c>
      <c r="DI90" t="e">
        <f>Nodes!X703+"'E4!%v/"</f>
        <v>#VALUE!</v>
      </c>
      <c r="DJ90" t="e">
        <f>Nodes!Y703+"'E4!%v0"</f>
        <v>#VALUE!</v>
      </c>
      <c r="DK90" t="e">
        <f>Nodes!Z703+"'E4!%v1"</f>
        <v>#VALUE!</v>
      </c>
      <c r="DL90" t="e">
        <f>Nodes!AA703+"'E4!%v2"</f>
        <v>#VALUE!</v>
      </c>
      <c r="DM90" t="e">
        <f>Nodes!AB703+"'E4!%v3"</f>
        <v>#VALUE!</v>
      </c>
      <c r="DN90" t="e">
        <f>Nodes!AC703+"'E4!%v4"</f>
        <v>#VALUE!</v>
      </c>
      <c r="DO90" t="e">
        <f>Nodes!A704+"'E4!%v5"</f>
        <v>#VALUE!</v>
      </c>
      <c r="DP90" t="e">
        <f>Nodes!B704+"'E4!%v6"</f>
        <v>#VALUE!</v>
      </c>
      <c r="DQ90" t="e">
        <f>Nodes!C704+"'E4!%v7"</f>
        <v>#VALUE!</v>
      </c>
      <c r="DR90" t="e">
        <f>Nodes!D704+"'E4!%v8"</f>
        <v>#VALUE!</v>
      </c>
      <c r="DS90" t="e">
        <f>Nodes!E704+"'E4!%v9"</f>
        <v>#VALUE!</v>
      </c>
      <c r="DT90" t="e">
        <f>Nodes!F704+"'E4!%v:"</f>
        <v>#VALUE!</v>
      </c>
      <c r="DU90" t="e">
        <f>Nodes!G704+"'E4!%v;"</f>
        <v>#VALUE!</v>
      </c>
      <c r="DV90" t="e">
        <f>Nodes!H704+"'E4!%v&lt;"</f>
        <v>#VALUE!</v>
      </c>
      <c r="DW90" t="e">
        <f>Nodes!I704+"'E4!%v="</f>
        <v>#VALUE!</v>
      </c>
      <c r="DX90" t="e">
        <f>Nodes!J704+"'E4!%v&gt;"</f>
        <v>#VALUE!</v>
      </c>
      <c r="DY90" t="e">
        <f>Nodes!K704+"'E4!%v?"</f>
        <v>#VALUE!</v>
      </c>
      <c r="DZ90" t="e">
        <f>Nodes!L704+"'E4!%v@"</f>
        <v>#VALUE!</v>
      </c>
      <c r="EA90" t="e">
        <f>Nodes!M704+"'E4!%vA"</f>
        <v>#VALUE!</v>
      </c>
      <c r="EB90" t="e">
        <f>Nodes!N704+"'E4!%vB"</f>
        <v>#VALUE!</v>
      </c>
      <c r="EC90" t="e">
        <f>Nodes!O704+"'E4!%vC"</f>
        <v>#VALUE!</v>
      </c>
      <c r="ED90" t="e">
        <f>Nodes!P704+"'E4!%vD"</f>
        <v>#VALUE!</v>
      </c>
      <c r="EE90" t="e">
        <f>Nodes!Q704+"'E4!%vE"</f>
        <v>#VALUE!</v>
      </c>
      <c r="EF90" t="e">
        <f>Nodes!R704+"'E4!%vF"</f>
        <v>#VALUE!</v>
      </c>
      <c r="EG90" t="e">
        <f>Nodes!S704+"'E4!%vG"</f>
        <v>#VALUE!</v>
      </c>
      <c r="EH90" s="547" t="e">
        <f>Nodes!T704+"'E4!%vH"</f>
        <v>#VALUE!</v>
      </c>
      <c r="EI90" t="e">
        <f>Nodes!U704+"'E4!%vI"</f>
        <v>#VALUE!</v>
      </c>
      <c r="EJ90" t="e">
        <f>Nodes!V704+"'E4!%vJ"</f>
        <v>#VALUE!</v>
      </c>
      <c r="EK90" s="547" t="e">
        <f>Nodes!W704+"'E4!%vK"</f>
        <v>#VALUE!</v>
      </c>
      <c r="EL90" t="e">
        <f>Nodes!X704+"'E4!%vL"</f>
        <v>#VALUE!</v>
      </c>
      <c r="EM90" t="e">
        <f>Nodes!Y704+"'E4!%vM"</f>
        <v>#VALUE!</v>
      </c>
      <c r="EN90" t="e">
        <f>Nodes!Z704+"'E4!%vN"</f>
        <v>#VALUE!</v>
      </c>
      <c r="EO90" t="e">
        <f>Nodes!AA704+"'E4!%vO"</f>
        <v>#VALUE!</v>
      </c>
      <c r="EP90" t="e">
        <f>Nodes!AB704+"'E4!%vP"</f>
        <v>#VALUE!</v>
      </c>
      <c r="EQ90" t="e">
        <f>Nodes!AC704+"'E4!%vQ"</f>
        <v>#VALUE!</v>
      </c>
      <c r="ER90" t="e">
        <f>Nodes!A705+"'E4!%vR"</f>
        <v>#VALUE!</v>
      </c>
      <c r="ES90" t="e">
        <f>Nodes!B705+"'E4!%vS"</f>
        <v>#VALUE!</v>
      </c>
      <c r="ET90" t="e">
        <f>Nodes!C705+"'E4!%vT"</f>
        <v>#VALUE!</v>
      </c>
      <c r="EU90" t="e">
        <f>Nodes!D705+"'E4!%vU"</f>
        <v>#VALUE!</v>
      </c>
      <c r="EV90" t="e">
        <f>Nodes!E705+"'E4!%vV"</f>
        <v>#VALUE!</v>
      </c>
      <c r="EW90" t="e">
        <f>Nodes!F705+"'E4!%vW"</f>
        <v>#VALUE!</v>
      </c>
      <c r="EX90" t="e">
        <f>Nodes!G705+"'E4!%vX"</f>
        <v>#VALUE!</v>
      </c>
      <c r="EY90" t="e">
        <f>Nodes!H705+"'E4!%vY"</f>
        <v>#VALUE!</v>
      </c>
      <c r="EZ90" t="e">
        <f>Nodes!I705+"'E4!%vZ"</f>
        <v>#VALUE!</v>
      </c>
      <c r="FA90" t="e">
        <f>Nodes!J705+"'E4!%v["</f>
        <v>#VALUE!</v>
      </c>
      <c r="FB90" t="e">
        <f>Nodes!K705+"'E4!%v\"</f>
        <v>#VALUE!</v>
      </c>
      <c r="FC90" t="e">
        <f>Nodes!L705+"'E4!%v]"</f>
        <v>#VALUE!</v>
      </c>
      <c r="FD90" t="e">
        <f>Nodes!M705+"'E4!%v^"</f>
        <v>#VALUE!</v>
      </c>
      <c r="FE90" t="e">
        <f>Nodes!N705+"'E4!%v_"</f>
        <v>#VALUE!</v>
      </c>
      <c r="FF90" t="e">
        <f>Nodes!O705+"'E4!%v`"</f>
        <v>#VALUE!</v>
      </c>
      <c r="FG90" t="e">
        <f>Nodes!P705+"'E4!%va"</f>
        <v>#VALUE!</v>
      </c>
      <c r="FH90" t="e">
        <f>Nodes!Q705+"'E4!%vb"</f>
        <v>#VALUE!</v>
      </c>
      <c r="FI90" t="e">
        <f>Nodes!R705+"'E4!%vc"</f>
        <v>#VALUE!</v>
      </c>
      <c r="FJ90" t="e">
        <f>Nodes!S705+"'E4!%vd"</f>
        <v>#VALUE!</v>
      </c>
      <c r="FK90" s="547" t="e">
        <f>Nodes!T705+"'E4!%ve"</f>
        <v>#VALUE!</v>
      </c>
      <c r="FL90" t="e">
        <f>Nodes!U705+"'E4!%vf"</f>
        <v>#VALUE!</v>
      </c>
      <c r="FM90" t="e">
        <f>Nodes!V705+"'E4!%vg"</f>
        <v>#VALUE!</v>
      </c>
      <c r="FN90" s="547" t="e">
        <f>Nodes!W705+"'E4!%vh"</f>
        <v>#VALUE!</v>
      </c>
      <c r="FO90" t="e">
        <f>Nodes!X705+"'E4!%vi"</f>
        <v>#VALUE!</v>
      </c>
      <c r="FP90" t="e">
        <f>Nodes!Y705+"'E4!%vj"</f>
        <v>#VALUE!</v>
      </c>
      <c r="FQ90" t="e">
        <f>Nodes!Z705+"'E4!%vk"</f>
        <v>#VALUE!</v>
      </c>
      <c r="FR90" t="e">
        <f>Nodes!AA705+"'E4!%vl"</f>
        <v>#VALUE!</v>
      </c>
      <c r="FS90" t="e">
        <f>Nodes!AB705+"'E4!%vm"</f>
        <v>#VALUE!</v>
      </c>
      <c r="FT90" t="e">
        <f>Nodes!AC705+"'E4!%vn"</f>
        <v>#VALUE!</v>
      </c>
      <c r="FU90" t="e">
        <f>Nodes!A706+"'E4!%vo"</f>
        <v>#VALUE!</v>
      </c>
      <c r="FV90" t="e">
        <f>Nodes!B706+"'E4!%vp"</f>
        <v>#VALUE!</v>
      </c>
      <c r="FW90" t="e">
        <f>Nodes!C706+"'E4!%vq"</f>
        <v>#VALUE!</v>
      </c>
      <c r="FX90" t="e">
        <f>Nodes!D706+"'E4!%vr"</f>
        <v>#VALUE!</v>
      </c>
      <c r="FY90" t="e">
        <f>Nodes!E706+"'E4!%vs"</f>
        <v>#VALUE!</v>
      </c>
      <c r="FZ90" t="e">
        <f>Nodes!F706+"'E4!%vt"</f>
        <v>#VALUE!</v>
      </c>
      <c r="GA90" t="e">
        <f>Nodes!G706+"'E4!%vu"</f>
        <v>#VALUE!</v>
      </c>
      <c r="GB90" t="e">
        <f>Nodes!H706+"'E4!%vv"</f>
        <v>#VALUE!</v>
      </c>
      <c r="GC90" t="e">
        <f>Nodes!I706+"'E4!%vw"</f>
        <v>#VALUE!</v>
      </c>
      <c r="GD90" t="e">
        <f>Nodes!J706+"'E4!%vx"</f>
        <v>#VALUE!</v>
      </c>
      <c r="GE90" t="e">
        <f>Nodes!K706+"'E4!%vy"</f>
        <v>#VALUE!</v>
      </c>
      <c r="GF90" t="e">
        <f>Nodes!L706+"'E4!%vz"</f>
        <v>#VALUE!</v>
      </c>
      <c r="GG90" t="e">
        <f>Nodes!M706+"'E4!%v{"</f>
        <v>#VALUE!</v>
      </c>
      <c r="GH90" t="e">
        <f>Nodes!N706+"'E4!%v|"</f>
        <v>#VALUE!</v>
      </c>
      <c r="GI90" t="e">
        <f>Nodes!O706+"'E4!%v}"</f>
        <v>#VALUE!</v>
      </c>
      <c r="GJ90" t="e">
        <f>Nodes!P706+"'E4!%v~"</f>
        <v>#VALUE!</v>
      </c>
      <c r="GK90" t="e">
        <f>Nodes!Q706+"'E4!%w#"</f>
        <v>#VALUE!</v>
      </c>
      <c r="GL90" t="e">
        <f>Nodes!R706+"'E4!%w$"</f>
        <v>#VALUE!</v>
      </c>
      <c r="GM90" t="e">
        <f>Nodes!S706+"'E4!%w%"</f>
        <v>#VALUE!</v>
      </c>
      <c r="GN90" s="547" t="e">
        <f>Nodes!T706+"'E4!%w&amp;"</f>
        <v>#VALUE!</v>
      </c>
      <c r="GO90" t="e">
        <f>Nodes!U706+"'E4!%w'"</f>
        <v>#VALUE!</v>
      </c>
      <c r="GP90" t="e">
        <f>Nodes!V706+"'E4!%w("</f>
        <v>#VALUE!</v>
      </c>
      <c r="GQ90" s="547" t="e">
        <f>Nodes!W706+"'E4!%w)"</f>
        <v>#VALUE!</v>
      </c>
      <c r="GR90" t="e">
        <f>Nodes!X706+"'E4!%w."</f>
        <v>#VALUE!</v>
      </c>
      <c r="GS90" t="e">
        <f>Nodes!Y706+"'E4!%w/"</f>
        <v>#VALUE!</v>
      </c>
      <c r="GT90" t="e">
        <f>Nodes!Z706+"'E4!%w0"</f>
        <v>#VALUE!</v>
      </c>
      <c r="GU90" t="e">
        <f>Nodes!AA706+"'E4!%w1"</f>
        <v>#VALUE!</v>
      </c>
      <c r="GV90" t="e">
        <f>Nodes!AB706+"'E4!%w2"</f>
        <v>#VALUE!</v>
      </c>
      <c r="GW90" t="e">
        <f>Nodes!AC706+"'E4!%w3"</f>
        <v>#VALUE!</v>
      </c>
      <c r="GX90" t="e">
        <f>Nodes!A707+"'E4!%w4"</f>
        <v>#VALUE!</v>
      </c>
      <c r="GY90" t="e">
        <f>Nodes!B707+"'E4!%w5"</f>
        <v>#VALUE!</v>
      </c>
      <c r="GZ90" t="e">
        <f>Nodes!C707+"'E4!%w6"</f>
        <v>#VALUE!</v>
      </c>
      <c r="HA90" t="e">
        <f>Nodes!D707+"'E4!%w7"</f>
        <v>#VALUE!</v>
      </c>
      <c r="HB90" t="e">
        <f>Nodes!E707+"'E4!%w8"</f>
        <v>#VALUE!</v>
      </c>
      <c r="HC90" t="e">
        <f>Nodes!F707+"'E4!%w9"</f>
        <v>#VALUE!</v>
      </c>
      <c r="HD90" t="e">
        <f>Nodes!G707+"'E4!%w:"</f>
        <v>#VALUE!</v>
      </c>
      <c r="HE90" t="e">
        <f>Nodes!H707+"'E4!%w;"</f>
        <v>#VALUE!</v>
      </c>
      <c r="HF90" t="e">
        <f>Nodes!I707+"'E4!%w&lt;"</f>
        <v>#VALUE!</v>
      </c>
      <c r="HG90" t="e">
        <f>Nodes!J707+"'E4!%w="</f>
        <v>#VALUE!</v>
      </c>
      <c r="HH90" t="e">
        <f>Nodes!K707+"'E4!%w&gt;"</f>
        <v>#VALUE!</v>
      </c>
      <c r="HI90" t="e">
        <f>Nodes!L707+"'E4!%w?"</f>
        <v>#VALUE!</v>
      </c>
      <c r="HJ90" t="e">
        <f>Nodes!M707+"'E4!%w@"</f>
        <v>#VALUE!</v>
      </c>
      <c r="HK90" t="e">
        <f>Nodes!N707+"'E4!%wA"</f>
        <v>#VALUE!</v>
      </c>
      <c r="HL90" t="e">
        <f>Nodes!O707+"'E4!%wB"</f>
        <v>#VALUE!</v>
      </c>
      <c r="HM90" t="e">
        <f>Nodes!P707+"'E4!%wC"</f>
        <v>#VALUE!</v>
      </c>
      <c r="HN90" t="e">
        <f>Nodes!Q707+"'E4!%wD"</f>
        <v>#VALUE!</v>
      </c>
      <c r="HO90" t="e">
        <f>Nodes!R707+"'E4!%wE"</f>
        <v>#VALUE!</v>
      </c>
      <c r="HP90" t="e">
        <f>Nodes!S707+"'E4!%wF"</f>
        <v>#VALUE!</v>
      </c>
      <c r="HQ90" s="547" t="e">
        <f>Nodes!T707+"'E4!%wG"</f>
        <v>#VALUE!</v>
      </c>
      <c r="HR90" t="e">
        <f>Nodes!U707+"'E4!%wH"</f>
        <v>#VALUE!</v>
      </c>
      <c r="HS90" t="e">
        <f>Nodes!V707+"'E4!%wI"</f>
        <v>#VALUE!</v>
      </c>
      <c r="HT90" s="547" t="e">
        <f>Nodes!W707+"'E4!%wJ"</f>
        <v>#VALUE!</v>
      </c>
      <c r="HU90" t="e">
        <f>Nodes!X707+"'E4!%wK"</f>
        <v>#VALUE!</v>
      </c>
      <c r="HV90" t="e">
        <f>Nodes!Y707+"'E4!%wL"</f>
        <v>#VALUE!</v>
      </c>
      <c r="HW90" t="e">
        <f>Nodes!Z707+"'E4!%wM"</f>
        <v>#VALUE!</v>
      </c>
      <c r="HX90" t="e">
        <f>Nodes!AA707+"'E4!%wN"</f>
        <v>#VALUE!</v>
      </c>
      <c r="HY90" t="e">
        <f>Nodes!AB707+"'E4!%wO"</f>
        <v>#VALUE!</v>
      </c>
      <c r="HZ90" t="e">
        <f>Nodes!AC707+"'E4!%wP"</f>
        <v>#VALUE!</v>
      </c>
      <c r="IA90" t="e">
        <f>Nodes!A708+"'E4!%wQ"</f>
        <v>#VALUE!</v>
      </c>
      <c r="IB90" t="e">
        <f>Nodes!B708+"'E4!%wR"</f>
        <v>#VALUE!</v>
      </c>
      <c r="IC90" t="e">
        <f>Nodes!C708+"'E4!%wS"</f>
        <v>#VALUE!</v>
      </c>
      <c r="ID90" t="e">
        <f>Nodes!D708+"'E4!%wT"</f>
        <v>#VALUE!</v>
      </c>
      <c r="IE90" t="e">
        <f>Nodes!E708+"'E4!%wU"</f>
        <v>#VALUE!</v>
      </c>
      <c r="IF90" t="e">
        <f>Nodes!F708+"'E4!%wV"</f>
        <v>#VALUE!</v>
      </c>
      <c r="IG90" t="e">
        <f>Nodes!G708+"'E4!%wW"</f>
        <v>#VALUE!</v>
      </c>
      <c r="IH90" t="e">
        <f>Nodes!H708+"'E4!%wX"</f>
        <v>#VALUE!</v>
      </c>
      <c r="II90" t="e">
        <f>Nodes!I708+"'E4!%wY"</f>
        <v>#VALUE!</v>
      </c>
      <c r="IJ90" t="e">
        <f>Nodes!J708+"'E4!%wZ"</f>
        <v>#VALUE!</v>
      </c>
      <c r="IK90" t="e">
        <f>Nodes!K708+"'E4!%w["</f>
        <v>#VALUE!</v>
      </c>
      <c r="IL90" t="e">
        <f>Nodes!L708+"'E4!%w\"</f>
        <v>#VALUE!</v>
      </c>
      <c r="IM90" t="e">
        <f>Nodes!M708+"'E4!%w]"</f>
        <v>#VALUE!</v>
      </c>
      <c r="IN90" t="e">
        <f>Nodes!N708+"'E4!%w^"</f>
        <v>#VALUE!</v>
      </c>
      <c r="IO90" t="e">
        <f>Nodes!O708+"'E4!%w_"</f>
        <v>#VALUE!</v>
      </c>
      <c r="IP90" t="e">
        <f>Nodes!P708+"'E4!%w`"</f>
        <v>#VALUE!</v>
      </c>
      <c r="IQ90" t="e">
        <f>Nodes!Q708+"'E4!%wa"</f>
        <v>#VALUE!</v>
      </c>
      <c r="IR90" t="e">
        <f>Nodes!R708+"'E4!%wb"</f>
        <v>#VALUE!</v>
      </c>
      <c r="IS90" t="e">
        <f>Nodes!S708+"'E4!%wc"</f>
        <v>#VALUE!</v>
      </c>
      <c r="IT90" s="547" t="e">
        <f>Nodes!T708+"'E4!%wd"</f>
        <v>#VALUE!</v>
      </c>
      <c r="IU90" t="e">
        <f>Nodes!U708+"'E4!%we"</f>
        <v>#VALUE!</v>
      </c>
      <c r="IV90" t="e">
        <f>Nodes!V708+"'E4!%wf"</f>
        <v>#VALUE!</v>
      </c>
    </row>
    <row r="91" spans="6:256">
      <c r="F91" s="547" t="e">
        <f>Nodes!W708+"'E4!%wg"</f>
        <v>#VALUE!</v>
      </c>
      <c r="G91" t="e">
        <f>Nodes!X708+"'E4!%wh"</f>
        <v>#VALUE!</v>
      </c>
      <c r="H91" t="e">
        <f>Nodes!Y708+"'E4!%wi"</f>
        <v>#VALUE!</v>
      </c>
      <c r="I91" t="e">
        <f>Nodes!Z708+"'E4!%wj"</f>
        <v>#VALUE!</v>
      </c>
      <c r="J91" t="e">
        <f>Nodes!AA708+"'E4!%wk"</f>
        <v>#VALUE!</v>
      </c>
      <c r="K91" t="e">
        <f>Nodes!AB708+"'E4!%wl"</f>
        <v>#VALUE!</v>
      </c>
      <c r="L91" t="e">
        <f>Nodes!AC708+"'E4!%wm"</f>
        <v>#VALUE!</v>
      </c>
      <c r="M91" t="e">
        <f>Nodes!A709+"'E4!%wn"</f>
        <v>#VALUE!</v>
      </c>
      <c r="N91" t="e">
        <f>Nodes!B709+"'E4!%wo"</f>
        <v>#VALUE!</v>
      </c>
      <c r="O91" t="e">
        <f>Nodes!C709+"'E4!%wp"</f>
        <v>#VALUE!</v>
      </c>
      <c r="P91" t="e">
        <f>Nodes!D709+"'E4!%wq"</f>
        <v>#VALUE!</v>
      </c>
      <c r="Q91" t="e">
        <f>Nodes!E709+"'E4!%wr"</f>
        <v>#VALUE!</v>
      </c>
      <c r="R91" t="e">
        <f>Nodes!F709+"'E4!%ws"</f>
        <v>#VALUE!</v>
      </c>
      <c r="S91" t="e">
        <f>Nodes!G709+"'E4!%wt"</f>
        <v>#VALUE!</v>
      </c>
      <c r="T91" t="e">
        <f>Nodes!H709+"'E4!%wu"</f>
        <v>#VALUE!</v>
      </c>
      <c r="U91" t="e">
        <f>Nodes!I709+"'E4!%wv"</f>
        <v>#VALUE!</v>
      </c>
      <c r="V91" t="e">
        <f>Nodes!J709+"'E4!%ww"</f>
        <v>#VALUE!</v>
      </c>
      <c r="W91" t="e">
        <f>Nodes!K709+"'E4!%wx"</f>
        <v>#VALUE!</v>
      </c>
      <c r="X91" t="e">
        <f>Nodes!L709+"'E4!%wy"</f>
        <v>#VALUE!</v>
      </c>
      <c r="Y91" t="e">
        <f>Nodes!M709+"'E4!%wz"</f>
        <v>#VALUE!</v>
      </c>
      <c r="Z91" t="e">
        <f>Nodes!N709+"'E4!%w{"</f>
        <v>#VALUE!</v>
      </c>
      <c r="AA91" t="e">
        <f>Nodes!O709+"'E4!%w|"</f>
        <v>#VALUE!</v>
      </c>
      <c r="AB91" t="e">
        <f>Nodes!P709+"'E4!%w}"</f>
        <v>#VALUE!</v>
      </c>
      <c r="AC91" t="e">
        <f>Nodes!Q709+"'E4!%w~"</f>
        <v>#VALUE!</v>
      </c>
      <c r="AD91" t="e">
        <f>Nodes!R709+"'E4!%x#"</f>
        <v>#VALUE!</v>
      </c>
      <c r="AE91" t="e">
        <f>Nodes!S709+"'E4!%x$"</f>
        <v>#VALUE!</v>
      </c>
      <c r="AF91" s="547" t="e">
        <f>Nodes!T709+"'E4!%x%"</f>
        <v>#VALUE!</v>
      </c>
      <c r="AG91" t="e">
        <f>Nodes!U709+"'E4!%x&amp;"</f>
        <v>#VALUE!</v>
      </c>
      <c r="AH91" t="e">
        <f>Nodes!V709+"'E4!%x'"</f>
        <v>#VALUE!</v>
      </c>
      <c r="AI91" s="547" t="e">
        <f>Nodes!W709+"'E4!%x("</f>
        <v>#VALUE!</v>
      </c>
      <c r="AJ91" t="e">
        <f>Nodes!X709+"'E4!%x)"</f>
        <v>#VALUE!</v>
      </c>
      <c r="AK91" t="e">
        <f>Nodes!Y709+"'E4!%x."</f>
        <v>#VALUE!</v>
      </c>
      <c r="AL91" t="e">
        <f>Nodes!Z709+"'E4!%x/"</f>
        <v>#VALUE!</v>
      </c>
      <c r="AM91" t="e">
        <f>Nodes!AA709+"'E4!%x0"</f>
        <v>#VALUE!</v>
      </c>
      <c r="AN91" t="e">
        <f>Nodes!AB709+"'E4!%x1"</f>
        <v>#VALUE!</v>
      </c>
      <c r="AO91" t="e">
        <f>Nodes!AC709+"'E4!%x2"</f>
        <v>#VALUE!</v>
      </c>
      <c r="AP91" t="e">
        <f>Nodes!A710+"'E4!%x3"</f>
        <v>#VALUE!</v>
      </c>
      <c r="AQ91" t="e">
        <f>Nodes!B710+"'E4!%x4"</f>
        <v>#VALUE!</v>
      </c>
      <c r="AR91" t="e">
        <f>Nodes!C710+"'E4!%x5"</f>
        <v>#VALUE!</v>
      </c>
      <c r="AS91" t="e">
        <f>Nodes!D710+"'E4!%x6"</f>
        <v>#VALUE!</v>
      </c>
      <c r="AT91" t="e">
        <f>Nodes!E710+"'E4!%x7"</f>
        <v>#VALUE!</v>
      </c>
      <c r="AU91" t="e">
        <f>Nodes!F710+"'E4!%x8"</f>
        <v>#VALUE!</v>
      </c>
      <c r="AV91" t="e">
        <f>Nodes!G710+"'E4!%x9"</f>
        <v>#VALUE!</v>
      </c>
      <c r="AW91" t="e">
        <f>Nodes!H710+"'E4!%x:"</f>
        <v>#VALUE!</v>
      </c>
      <c r="AX91" t="e">
        <f>Nodes!I710+"'E4!%x;"</f>
        <v>#VALUE!</v>
      </c>
      <c r="AY91" t="e">
        <f>Nodes!J710+"'E4!%x&lt;"</f>
        <v>#VALUE!</v>
      </c>
      <c r="AZ91" t="e">
        <f>Nodes!K710+"'E4!%x="</f>
        <v>#VALUE!</v>
      </c>
      <c r="BA91" t="e">
        <f>Nodes!L710+"'E4!%x&gt;"</f>
        <v>#VALUE!</v>
      </c>
      <c r="BB91" t="e">
        <f>Nodes!M710+"'E4!%x?"</f>
        <v>#VALUE!</v>
      </c>
      <c r="BC91" t="e">
        <f>Nodes!N710+"'E4!%x@"</f>
        <v>#VALUE!</v>
      </c>
      <c r="BD91" t="e">
        <f>Nodes!O710+"'E4!%xA"</f>
        <v>#VALUE!</v>
      </c>
      <c r="BE91" t="e">
        <f>Nodes!P710+"'E4!%xB"</f>
        <v>#VALUE!</v>
      </c>
      <c r="BF91" t="e">
        <f>Nodes!Q710+"'E4!%xC"</f>
        <v>#VALUE!</v>
      </c>
      <c r="BG91" t="e">
        <f>Nodes!R710+"'E4!%xD"</f>
        <v>#VALUE!</v>
      </c>
      <c r="BH91" t="e">
        <f>Nodes!S710+"'E4!%xE"</f>
        <v>#VALUE!</v>
      </c>
      <c r="BI91" s="547" t="e">
        <f>Nodes!T710+"'E4!%xF"</f>
        <v>#VALUE!</v>
      </c>
      <c r="BJ91" t="e">
        <f>Nodes!U710+"'E4!%xG"</f>
        <v>#VALUE!</v>
      </c>
      <c r="BK91" t="e">
        <f>Nodes!V710+"'E4!%xH"</f>
        <v>#VALUE!</v>
      </c>
      <c r="BL91" s="547" t="e">
        <f>Nodes!W710+"'E4!%xI"</f>
        <v>#VALUE!</v>
      </c>
      <c r="BM91" t="e">
        <f>Nodes!X710+"'E4!%xJ"</f>
        <v>#VALUE!</v>
      </c>
      <c r="BN91" t="e">
        <f>Nodes!Y710+"'E4!%xK"</f>
        <v>#VALUE!</v>
      </c>
      <c r="BO91" t="e">
        <f>Nodes!Z710+"'E4!%xL"</f>
        <v>#VALUE!</v>
      </c>
      <c r="BP91" t="e">
        <f>Nodes!AA710+"'E4!%xM"</f>
        <v>#VALUE!</v>
      </c>
      <c r="BQ91" t="e">
        <f>Nodes!AB710+"'E4!%xN"</f>
        <v>#VALUE!</v>
      </c>
      <c r="BR91" t="e">
        <f>Nodes!AC710+"'E4!%xO"</f>
        <v>#VALUE!</v>
      </c>
      <c r="BS91" t="e">
        <f>Nodes!A711+"'E4!%xP"</f>
        <v>#VALUE!</v>
      </c>
      <c r="BT91" t="e">
        <f>Nodes!B711+"'E4!%xQ"</f>
        <v>#VALUE!</v>
      </c>
      <c r="BU91" t="e">
        <f>Nodes!C711+"'E4!%xR"</f>
        <v>#VALUE!</v>
      </c>
      <c r="BV91" t="e">
        <f>Nodes!D711+"'E4!%xS"</f>
        <v>#VALUE!</v>
      </c>
      <c r="BW91" t="e">
        <f>Nodes!E711+"'E4!%xT"</f>
        <v>#VALUE!</v>
      </c>
      <c r="BX91" t="e">
        <f>Nodes!F711+"'E4!%xU"</f>
        <v>#VALUE!</v>
      </c>
      <c r="BY91" t="e">
        <f>Nodes!G711+"'E4!%xV"</f>
        <v>#VALUE!</v>
      </c>
      <c r="BZ91" t="e">
        <f>Nodes!H711+"'E4!%xW"</f>
        <v>#VALUE!</v>
      </c>
      <c r="CA91" t="e">
        <f>Nodes!I711+"'E4!%xX"</f>
        <v>#VALUE!</v>
      </c>
      <c r="CB91" t="e">
        <f>Nodes!J711+"'E4!%xY"</f>
        <v>#VALUE!</v>
      </c>
      <c r="CC91" t="e">
        <f>Nodes!K711+"'E4!%xZ"</f>
        <v>#VALUE!</v>
      </c>
      <c r="CD91" t="e">
        <f>Nodes!L711+"'E4!%x["</f>
        <v>#VALUE!</v>
      </c>
      <c r="CE91" t="e">
        <f>Nodes!M711+"'E4!%x\"</f>
        <v>#VALUE!</v>
      </c>
      <c r="CF91" t="e">
        <f>Nodes!N711+"'E4!%x]"</f>
        <v>#VALUE!</v>
      </c>
      <c r="CG91" t="e">
        <f>Nodes!O711+"'E4!%x^"</f>
        <v>#VALUE!</v>
      </c>
      <c r="CH91" t="e">
        <f>Nodes!P711+"'E4!%x_"</f>
        <v>#VALUE!</v>
      </c>
      <c r="CI91" t="e">
        <f>Nodes!Q711+"'E4!%x`"</f>
        <v>#VALUE!</v>
      </c>
      <c r="CJ91" t="e">
        <f>Nodes!R711+"'E4!%xa"</f>
        <v>#VALUE!</v>
      </c>
      <c r="CK91" t="e">
        <f>Nodes!S711+"'E4!%xb"</f>
        <v>#VALUE!</v>
      </c>
      <c r="CL91" s="547" t="e">
        <f>Nodes!T711+"'E4!%xc"</f>
        <v>#VALUE!</v>
      </c>
      <c r="CM91" t="e">
        <f>Nodes!U711+"'E4!%xd"</f>
        <v>#VALUE!</v>
      </c>
      <c r="CN91" t="e">
        <f>Nodes!V711+"'E4!%xe"</f>
        <v>#VALUE!</v>
      </c>
      <c r="CO91" s="547" t="e">
        <f>Nodes!W711+"'E4!%xf"</f>
        <v>#VALUE!</v>
      </c>
      <c r="CP91" t="e">
        <f>Nodes!X711+"'E4!%xg"</f>
        <v>#VALUE!</v>
      </c>
      <c r="CQ91" t="e">
        <f>Nodes!Y711+"'E4!%xh"</f>
        <v>#VALUE!</v>
      </c>
      <c r="CR91" t="e">
        <f>Nodes!Z711+"'E4!%xi"</f>
        <v>#VALUE!</v>
      </c>
      <c r="CS91" t="e">
        <f>Nodes!AA711+"'E4!%xj"</f>
        <v>#VALUE!</v>
      </c>
      <c r="CT91" t="e">
        <f>Nodes!AB711+"'E4!%xk"</f>
        <v>#VALUE!</v>
      </c>
      <c r="CU91" t="e">
        <f>Nodes!AC711+"'E4!%xl"</f>
        <v>#VALUE!</v>
      </c>
      <c r="CV91" t="e">
        <f>Nodes!A712+"'E4!%xm"</f>
        <v>#VALUE!</v>
      </c>
      <c r="CW91" t="e">
        <f>Nodes!B712+"'E4!%xn"</f>
        <v>#VALUE!</v>
      </c>
      <c r="CX91" t="e">
        <f>Nodes!C712+"'E4!%xo"</f>
        <v>#VALUE!</v>
      </c>
      <c r="CY91" t="e">
        <f>Nodes!D712+"'E4!%xp"</f>
        <v>#VALUE!</v>
      </c>
      <c r="CZ91" t="e">
        <f>Nodes!E712+"'E4!%xq"</f>
        <v>#VALUE!</v>
      </c>
      <c r="DA91" t="e">
        <f>Nodes!F712+"'E4!%xr"</f>
        <v>#VALUE!</v>
      </c>
      <c r="DB91" t="e">
        <f>Nodes!G712+"'E4!%xs"</f>
        <v>#VALUE!</v>
      </c>
      <c r="DC91" t="e">
        <f>Nodes!H712+"'E4!%xt"</f>
        <v>#VALUE!</v>
      </c>
      <c r="DD91" t="e">
        <f>Nodes!I712+"'E4!%xu"</f>
        <v>#VALUE!</v>
      </c>
      <c r="DE91" t="e">
        <f>Nodes!J712+"'E4!%xv"</f>
        <v>#VALUE!</v>
      </c>
      <c r="DF91" t="e">
        <f>Nodes!K712+"'E4!%xw"</f>
        <v>#VALUE!</v>
      </c>
      <c r="DG91" t="e">
        <f>Nodes!L712+"'E4!%xx"</f>
        <v>#VALUE!</v>
      </c>
      <c r="DH91" t="e">
        <f>Nodes!M712+"'E4!%xy"</f>
        <v>#VALUE!</v>
      </c>
      <c r="DI91" t="e">
        <f>Nodes!N712+"'E4!%xz"</f>
        <v>#VALUE!</v>
      </c>
      <c r="DJ91" t="e">
        <f>Nodes!O712+"'E4!%x{"</f>
        <v>#VALUE!</v>
      </c>
      <c r="DK91" t="e">
        <f>Nodes!P712+"'E4!%x|"</f>
        <v>#VALUE!</v>
      </c>
      <c r="DL91" t="e">
        <f>Nodes!Q712+"'E4!%x}"</f>
        <v>#VALUE!</v>
      </c>
      <c r="DM91" t="e">
        <f>Nodes!R712+"'E4!%x~"</f>
        <v>#VALUE!</v>
      </c>
      <c r="DN91" t="e">
        <f>Nodes!S712+"'E4!%y#"</f>
        <v>#VALUE!</v>
      </c>
      <c r="DO91" s="547" t="e">
        <f>Nodes!T712+"'E4!%y$"</f>
        <v>#VALUE!</v>
      </c>
      <c r="DP91" t="e">
        <f>Nodes!U712+"'E4!%y%"</f>
        <v>#VALUE!</v>
      </c>
      <c r="DQ91" t="e">
        <f>Nodes!V712+"'E4!%y&amp;"</f>
        <v>#VALUE!</v>
      </c>
      <c r="DR91" s="547" t="e">
        <f>Nodes!W712+"'E4!%y'"</f>
        <v>#VALUE!</v>
      </c>
      <c r="DS91" t="e">
        <f>Nodes!X712+"'E4!%y("</f>
        <v>#VALUE!</v>
      </c>
      <c r="DT91" t="e">
        <f>Nodes!Y712+"'E4!%y)"</f>
        <v>#VALUE!</v>
      </c>
      <c r="DU91" t="e">
        <f>Nodes!Z712+"'E4!%y."</f>
        <v>#VALUE!</v>
      </c>
      <c r="DV91" t="e">
        <f>Nodes!AA712+"'E4!%y/"</f>
        <v>#VALUE!</v>
      </c>
      <c r="DW91" t="e">
        <f>Nodes!AB712+"'E4!%y0"</f>
        <v>#VALUE!</v>
      </c>
      <c r="DX91" t="e">
        <f>Nodes!AC712+"'E4!%y1"</f>
        <v>#VALUE!</v>
      </c>
      <c r="DY91" t="e">
        <f>Nodes!A713+"'E4!%y2"</f>
        <v>#VALUE!</v>
      </c>
      <c r="DZ91" t="e">
        <f>Nodes!B713+"'E4!%y3"</f>
        <v>#VALUE!</v>
      </c>
      <c r="EA91" t="e">
        <f>Nodes!C713+"'E4!%y4"</f>
        <v>#VALUE!</v>
      </c>
      <c r="EB91" t="e">
        <f>Nodes!D713+"'E4!%y5"</f>
        <v>#VALUE!</v>
      </c>
      <c r="EC91" t="e">
        <f>Nodes!E713+"'E4!%y6"</f>
        <v>#VALUE!</v>
      </c>
      <c r="ED91" t="e">
        <f>Nodes!F713+"'E4!%y7"</f>
        <v>#VALUE!</v>
      </c>
      <c r="EE91" t="e">
        <f>Nodes!G713+"'E4!%y8"</f>
        <v>#VALUE!</v>
      </c>
      <c r="EF91" t="e">
        <f>Nodes!H713+"'E4!%y9"</f>
        <v>#VALUE!</v>
      </c>
      <c r="EG91" t="e">
        <f>Nodes!I713+"'E4!%y:"</f>
        <v>#VALUE!</v>
      </c>
      <c r="EH91" t="e">
        <f>Nodes!J713+"'E4!%y;"</f>
        <v>#VALUE!</v>
      </c>
      <c r="EI91" t="e">
        <f>Nodes!K713+"'E4!%y&lt;"</f>
        <v>#VALUE!</v>
      </c>
      <c r="EJ91" t="e">
        <f>Nodes!L713+"'E4!%y="</f>
        <v>#VALUE!</v>
      </c>
      <c r="EK91" t="e">
        <f>Nodes!M713+"'E4!%y&gt;"</f>
        <v>#VALUE!</v>
      </c>
      <c r="EL91" t="e">
        <f>Nodes!N713+"'E4!%y?"</f>
        <v>#VALUE!</v>
      </c>
      <c r="EM91" t="e">
        <f>Nodes!O713+"'E4!%y@"</f>
        <v>#VALUE!</v>
      </c>
      <c r="EN91" t="e">
        <f>Nodes!P713+"'E4!%yA"</f>
        <v>#VALUE!</v>
      </c>
      <c r="EO91" t="e">
        <f>Nodes!Q713+"'E4!%yB"</f>
        <v>#VALUE!</v>
      </c>
      <c r="EP91" t="e">
        <f>Nodes!R713+"'E4!%yC"</f>
        <v>#VALUE!</v>
      </c>
      <c r="EQ91" t="e">
        <f>Nodes!S713+"'E4!%yD"</f>
        <v>#VALUE!</v>
      </c>
      <c r="ER91" s="547" t="e">
        <f>Nodes!T713+"'E4!%yE"</f>
        <v>#VALUE!</v>
      </c>
      <c r="ES91" t="e">
        <f>Nodes!U713+"'E4!%yF"</f>
        <v>#VALUE!</v>
      </c>
      <c r="ET91" t="e">
        <f>Nodes!V713+"'E4!%yG"</f>
        <v>#VALUE!</v>
      </c>
      <c r="EU91" s="547" t="e">
        <f>Nodes!W713+"'E4!%yH"</f>
        <v>#VALUE!</v>
      </c>
      <c r="EV91" t="e">
        <f>Nodes!X713+"'E4!%yI"</f>
        <v>#VALUE!</v>
      </c>
      <c r="EW91" t="e">
        <f>Nodes!Y713+"'E4!%yJ"</f>
        <v>#VALUE!</v>
      </c>
      <c r="EX91" t="e">
        <f>Nodes!Z713+"'E4!%yK"</f>
        <v>#VALUE!</v>
      </c>
      <c r="EY91" t="e">
        <f>Nodes!AA713+"'E4!%yL"</f>
        <v>#VALUE!</v>
      </c>
      <c r="EZ91" t="e">
        <f>Nodes!AB713+"'E4!%yM"</f>
        <v>#VALUE!</v>
      </c>
      <c r="FA91" t="e">
        <f>Nodes!AC713+"'E4!%yN"</f>
        <v>#VALUE!</v>
      </c>
      <c r="FB91" t="e">
        <f>Nodes!A714+"'E4!%yO"</f>
        <v>#VALUE!</v>
      </c>
      <c r="FC91" t="e">
        <f>Nodes!B714+"'E4!%yP"</f>
        <v>#VALUE!</v>
      </c>
      <c r="FD91" t="e">
        <f>Nodes!C714+"'E4!%yQ"</f>
        <v>#VALUE!</v>
      </c>
      <c r="FE91" t="e">
        <f>Nodes!D714+"'E4!%yR"</f>
        <v>#VALUE!</v>
      </c>
      <c r="FF91" t="e">
        <f>Nodes!E714+"'E4!%yS"</f>
        <v>#VALUE!</v>
      </c>
      <c r="FG91" t="e">
        <f>Nodes!F714+"'E4!%yT"</f>
        <v>#VALUE!</v>
      </c>
      <c r="FH91" t="e">
        <f>Nodes!G714+"'E4!%yU"</f>
        <v>#VALUE!</v>
      </c>
      <c r="FI91" t="e">
        <f>Nodes!H714+"'E4!%yV"</f>
        <v>#VALUE!</v>
      </c>
      <c r="FJ91" t="e">
        <f>Nodes!I714+"'E4!%yW"</f>
        <v>#VALUE!</v>
      </c>
      <c r="FK91" t="e">
        <f>Nodes!J714+"'E4!%yX"</f>
        <v>#VALUE!</v>
      </c>
      <c r="FL91" t="e">
        <f>Nodes!K714+"'E4!%yY"</f>
        <v>#VALUE!</v>
      </c>
      <c r="FM91" t="e">
        <f>Nodes!L714+"'E4!%yZ"</f>
        <v>#VALUE!</v>
      </c>
      <c r="FN91" t="e">
        <f>Nodes!M714+"'E4!%y["</f>
        <v>#VALUE!</v>
      </c>
      <c r="FO91" t="e">
        <f>Nodes!N714+"'E4!%y\"</f>
        <v>#VALUE!</v>
      </c>
      <c r="FP91" t="e">
        <f>Nodes!O714+"'E4!%y]"</f>
        <v>#VALUE!</v>
      </c>
      <c r="FQ91" t="e">
        <f>Nodes!P714+"'E4!%y^"</f>
        <v>#VALUE!</v>
      </c>
      <c r="FR91" t="e">
        <f>Nodes!Q714+"'E4!%y_"</f>
        <v>#VALUE!</v>
      </c>
      <c r="FS91" t="e">
        <f>Nodes!R714+"'E4!%y`"</f>
        <v>#VALUE!</v>
      </c>
      <c r="FT91" t="e">
        <f>Nodes!S714+"'E4!%ya"</f>
        <v>#VALUE!</v>
      </c>
      <c r="FU91" s="547" t="e">
        <f>Nodes!T714+"'E4!%yb"</f>
        <v>#VALUE!</v>
      </c>
      <c r="FV91" t="e">
        <f>Nodes!U714+"'E4!%yc"</f>
        <v>#VALUE!</v>
      </c>
      <c r="FW91" t="e">
        <f>Nodes!V714+"'E4!%yd"</f>
        <v>#VALUE!</v>
      </c>
      <c r="FX91" s="547" t="e">
        <f>Nodes!W714+"'E4!%ye"</f>
        <v>#VALUE!</v>
      </c>
      <c r="FY91" t="e">
        <f>Nodes!X714+"'E4!%yf"</f>
        <v>#VALUE!</v>
      </c>
      <c r="FZ91" t="e">
        <f>Nodes!Y714+"'E4!%yg"</f>
        <v>#VALUE!</v>
      </c>
      <c r="GA91" t="e">
        <f>Nodes!Z714+"'E4!%yh"</f>
        <v>#VALUE!</v>
      </c>
      <c r="GB91" t="e">
        <f>Nodes!AA714+"'E4!%yi"</f>
        <v>#VALUE!</v>
      </c>
      <c r="GC91" t="e">
        <f>Nodes!AB714+"'E4!%yj"</f>
        <v>#VALUE!</v>
      </c>
      <c r="GD91" t="e">
        <f>Nodes!AC714+"'E4!%yk"</f>
        <v>#VALUE!</v>
      </c>
      <c r="GE91" t="e">
        <f>Nodes!A715+"'E4!%yl"</f>
        <v>#VALUE!</v>
      </c>
      <c r="GF91" t="e">
        <f>Nodes!B715+"'E4!%ym"</f>
        <v>#VALUE!</v>
      </c>
      <c r="GG91" t="e">
        <f>Nodes!C715+"'E4!%yn"</f>
        <v>#VALUE!</v>
      </c>
      <c r="GH91" t="e">
        <f>Nodes!D715+"'E4!%yo"</f>
        <v>#VALUE!</v>
      </c>
      <c r="GI91" t="e">
        <f>Nodes!E715+"'E4!%yp"</f>
        <v>#VALUE!</v>
      </c>
      <c r="GJ91" t="e">
        <f>Nodes!F715+"'E4!%yq"</f>
        <v>#VALUE!</v>
      </c>
      <c r="GK91" t="e">
        <f>Nodes!G715+"'E4!%yr"</f>
        <v>#VALUE!</v>
      </c>
      <c r="GL91" t="e">
        <f>Nodes!H715+"'E4!%ys"</f>
        <v>#VALUE!</v>
      </c>
      <c r="GM91" t="e">
        <f>Nodes!I715+"'E4!%yt"</f>
        <v>#VALUE!</v>
      </c>
      <c r="GN91" t="e">
        <f>Nodes!J715+"'E4!%yu"</f>
        <v>#VALUE!</v>
      </c>
      <c r="GO91" t="e">
        <f>Nodes!K715+"'E4!%yv"</f>
        <v>#VALUE!</v>
      </c>
      <c r="GP91" t="e">
        <f>Nodes!L715+"'E4!%yw"</f>
        <v>#VALUE!</v>
      </c>
      <c r="GQ91" t="e">
        <f>Nodes!M715+"'E4!%yx"</f>
        <v>#VALUE!</v>
      </c>
      <c r="GR91" t="e">
        <f>Nodes!N715+"'E4!%yy"</f>
        <v>#VALUE!</v>
      </c>
      <c r="GS91" t="e">
        <f>Nodes!O715+"'E4!%yz"</f>
        <v>#VALUE!</v>
      </c>
      <c r="GT91" t="e">
        <f>Nodes!P715+"'E4!%y{"</f>
        <v>#VALUE!</v>
      </c>
      <c r="GU91" t="e">
        <f>Nodes!Q715+"'E4!%y|"</f>
        <v>#VALUE!</v>
      </c>
      <c r="GV91" t="e">
        <f>Nodes!R715+"'E4!%y}"</f>
        <v>#VALUE!</v>
      </c>
      <c r="GW91" t="e">
        <f>Nodes!S715+"'E4!%y~"</f>
        <v>#VALUE!</v>
      </c>
      <c r="GX91" s="547" t="e">
        <f>Nodes!T715+"'E4!%z#"</f>
        <v>#VALUE!</v>
      </c>
      <c r="GY91" t="e">
        <f>Nodes!U715+"'E4!%z$"</f>
        <v>#VALUE!</v>
      </c>
      <c r="GZ91" t="e">
        <f>Nodes!V715+"'E4!%z%"</f>
        <v>#VALUE!</v>
      </c>
      <c r="HA91" s="547" t="e">
        <f>Nodes!W715+"'E4!%z&amp;"</f>
        <v>#VALUE!</v>
      </c>
      <c r="HB91" t="e">
        <f>Nodes!X715+"'E4!%z'"</f>
        <v>#VALUE!</v>
      </c>
      <c r="HC91" t="e">
        <f>Nodes!Y715+"'E4!%z("</f>
        <v>#VALUE!</v>
      </c>
      <c r="HD91" t="e">
        <f>Nodes!Z715+"'E4!%z)"</f>
        <v>#VALUE!</v>
      </c>
      <c r="HE91" t="e">
        <f>Nodes!AA715+"'E4!%z."</f>
        <v>#VALUE!</v>
      </c>
      <c r="HF91" t="e">
        <f>Nodes!AB715+"'E4!%z/"</f>
        <v>#VALUE!</v>
      </c>
      <c r="HG91" t="e">
        <f>Nodes!AC715+"'E4!%z0"</f>
        <v>#VALUE!</v>
      </c>
      <c r="HH91" t="e">
        <f>Nodes!A716+"'E4!%z1"</f>
        <v>#VALUE!</v>
      </c>
      <c r="HI91" t="e">
        <f>Nodes!B716+"'E4!%z2"</f>
        <v>#VALUE!</v>
      </c>
      <c r="HJ91" t="e">
        <f>Nodes!C716+"'E4!%z3"</f>
        <v>#VALUE!</v>
      </c>
      <c r="HK91" t="e">
        <f>Nodes!D716+"'E4!%z4"</f>
        <v>#VALUE!</v>
      </c>
      <c r="HL91" t="e">
        <f>Nodes!E716+"'E4!%z5"</f>
        <v>#VALUE!</v>
      </c>
      <c r="HM91" t="e">
        <f>Nodes!F716+"'E4!%z6"</f>
        <v>#VALUE!</v>
      </c>
      <c r="HN91" t="e">
        <f>Nodes!G716+"'E4!%z7"</f>
        <v>#VALUE!</v>
      </c>
      <c r="HO91" t="e">
        <f>Nodes!H716+"'E4!%z8"</f>
        <v>#VALUE!</v>
      </c>
      <c r="HP91" t="e">
        <f>Nodes!I716+"'E4!%z9"</f>
        <v>#VALUE!</v>
      </c>
      <c r="HQ91" t="e">
        <f>Nodes!J716+"'E4!%z:"</f>
        <v>#VALUE!</v>
      </c>
      <c r="HR91" t="e">
        <f>Nodes!K716+"'E4!%z;"</f>
        <v>#VALUE!</v>
      </c>
      <c r="HS91" t="e">
        <f>Nodes!L716+"'E4!%z&lt;"</f>
        <v>#VALUE!</v>
      </c>
      <c r="HT91" t="e">
        <f>Nodes!M716+"'E4!%z="</f>
        <v>#VALUE!</v>
      </c>
      <c r="HU91" t="e">
        <f>Nodes!N716+"'E4!%z&gt;"</f>
        <v>#VALUE!</v>
      </c>
      <c r="HV91" t="e">
        <f>Nodes!O716+"'E4!%z?"</f>
        <v>#VALUE!</v>
      </c>
      <c r="HW91" t="e">
        <f>Nodes!P716+"'E4!%z@"</f>
        <v>#VALUE!</v>
      </c>
      <c r="HX91" t="e">
        <f>Nodes!Q716+"'E4!%zA"</f>
        <v>#VALUE!</v>
      </c>
      <c r="HY91" t="e">
        <f>Nodes!R716+"'E4!%zB"</f>
        <v>#VALUE!</v>
      </c>
      <c r="HZ91" t="e">
        <f>Nodes!S716+"'E4!%zC"</f>
        <v>#VALUE!</v>
      </c>
      <c r="IA91" s="547" t="e">
        <f>Nodes!T716+"'E4!%zD"</f>
        <v>#VALUE!</v>
      </c>
      <c r="IB91" t="e">
        <f>Nodes!U716+"'E4!%zE"</f>
        <v>#VALUE!</v>
      </c>
      <c r="IC91" t="e">
        <f>Nodes!V716+"'E4!%zF"</f>
        <v>#VALUE!</v>
      </c>
      <c r="ID91" s="547" t="e">
        <f>Nodes!W716+"'E4!%zG"</f>
        <v>#VALUE!</v>
      </c>
      <c r="IE91" t="e">
        <f>Nodes!X716+"'E4!%zH"</f>
        <v>#VALUE!</v>
      </c>
      <c r="IF91" t="e">
        <f>Nodes!Y716+"'E4!%zI"</f>
        <v>#VALUE!</v>
      </c>
      <c r="IG91" t="e">
        <f>Nodes!Z716+"'E4!%zJ"</f>
        <v>#VALUE!</v>
      </c>
      <c r="IH91" t="e">
        <f>Nodes!AA716+"'E4!%zK"</f>
        <v>#VALUE!</v>
      </c>
      <c r="II91" t="e">
        <f>Nodes!AB716+"'E4!%zL"</f>
        <v>#VALUE!</v>
      </c>
      <c r="IJ91" t="e">
        <f>Nodes!AC716+"'E4!%zM"</f>
        <v>#VALUE!</v>
      </c>
      <c r="IK91" t="e">
        <f>Nodes!A717+"'E4!%zN"</f>
        <v>#VALUE!</v>
      </c>
      <c r="IL91" t="e">
        <f>Nodes!B717+"'E4!%zO"</f>
        <v>#VALUE!</v>
      </c>
      <c r="IM91" t="e">
        <f>Nodes!C717+"'E4!%zP"</f>
        <v>#VALUE!</v>
      </c>
      <c r="IN91" t="e">
        <f>Nodes!D717+"'E4!%zQ"</f>
        <v>#VALUE!</v>
      </c>
      <c r="IO91" t="e">
        <f>Nodes!E717+"'E4!%zR"</f>
        <v>#VALUE!</v>
      </c>
      <c r="IP91" t="e">
        <f>Nodes!F717+"'E4!%zS"</f>
        <v>#VALUE!</v>
      </c>
      <c r="IQ91" t="e">
        <f>Nodes!G717+"'E4!%zT"</f>
        <v>#VALUE!</v>
      </c>
      <c r="IR91" t="e">
        <f>Nodes!H717+"'E4!%zU"</f>
        <v>#VALUE!</v>
      </c>
      <c r="IS91" t="e">
        <f>Nodes!I717+"'E4!%zV"</f>
        <v>#VALUE!</v>
      </c>
      <c r="IT91" t="e">
        <f>Nodes!J717+"'E4!%zW"</f>
        <v>#VALUE!</v>
      </c>
      <c r="IU91" t="e">
        <f>Nodes!K717+"'E4!%zX"</f>
        <v>#VALUE!</v>
      </c>
      <c r="IV91" t="e">
        <f>Nodes!L717+"'E4!%zY"</f>
        <v>#VALUE!</v>
      </c>
    </row>
    <row r="92" spans="6:256">
      <c r="F92" t="e">
        <f>Nodes!M717+"'E4!%zZ"</f>
        <v>#VALUE!</v>
      </c>
      <c r="G92" t="e">
        <f>Nodes!N717+"'E4!%z["</f>
        <v>#VALUE!</v>
      </c>
      <c r="H92" t="e">
        <f>Nodes!O717+"'E4!%z\"</f>
        <v>#VALUE!</v>
      </c>
      <c r="I92" t="e">
        <f>Nodes!P717+"'E4!%z]"</f>
        <v>#VALUE!</v>
      </c>
      <c r="J92" t="e">
        <f>Nodes!Q717+"'E4!%z^"</f>
        <v>#VALUE!</v>
      </c>
      <c r="K92" t="e">
        <f>Nodes!R717+"'E4!%z_"</f>
        <v>#VALUE!</v>
      </c>
      <c r="L92" t="e">
        <f>Nodes!S717+"'E4!%z`"</f>
        <v>#VALUE!</v>
      </c>
      <c r="M92" s="547" t="e">
        <f>Nodes!T717+"'E4!%za"</f>
        <v>#VALUE!</v>
      </c>
      <c r="N92" t="e">
        <f>Nodes!U717+"'E4!%zb"</f>
        <v>#VALUE!</v>
      </c>
      <c r="O92" t="e">
        <f>Nodes!V717+"'E4!%zc"</f>
        <v>#VALUE!</v>
      </c>
      <c r="P92" s="547" t="e">
        <f>Nodes!W717+"'E4!%zd"</f>
        <v>#VALUE!</v>
      </c>
      <c r="Q92" t="e">
        <f>Nodes!X717+"'E4!%ze"</f>
        <v>#VALUE!</v>
      </c>
      <c r="R92" t="e">
        <f>Nodes!Y717+"'E4!%zf"</f>
        <v>#VALUE!</v>
      </c>
      <c r="S92" t="e">
        <f>Nodes!Z717+"'E4!%zg"</f>
        <v>#VALUE!</v>
      </c>
      <c r="T92" t="e">
        <f>Nodes!AA717+"'E4!%zh"</f>
        <v>#VALUE!</v>
      </c>
      <c r="U92" t="e">
        <f>Nodes!AB717+"'E4!%zi"</f>
        <v>#VALUE!</v>
      </c>
      <c r="V92" t="e">
        <f>Nodes!AC717+"'E4!%zj"</f>
        <v>#VALUE!</v>
      </c>
      <c r="W92" t="e">
        <f>Nodes!A718+"'E4!%zk"</f>
        <v>#VALUE!</v>
      </c>
      <c r="X92" t="e">
        <f>Nodes!B718+"'E4!%zl"</f>
        <v>#VALUE!</v>
      </c>
      <c r="Y92" t="e">
        <f>Nodes!C718+"'E4!%zm"</f>
        <v>#VALUE!</v>
      </c>
      <c r="Z92" t="e">
        <f>Nodes!D718+"'E4!%zn"</f>
        <v>#VALUE!</v>
      </c>
      <c r="AA92" t="e">
        <f>Nodes!E718+"'E4!%zo"</f>
        <v>#VALUE!</v>
      </c>
      <c r="AB92" t="e">
        <f>Nodes!F718+"'E4!%zp"</f>
        <v>#VALUE!</v>
      </c>
      <c r="AC92" t="e">
        <f>Nodes!G718+"'E4!%zq"</f>
        <v>#VALUE!</v>
      </c>
      <c r="AD92" t="e">
        <f>Nodes!H718+"'E4!%zr"</f>
        <v>#VALUE!</v>
      </c>
      <c r="AE92" t="e">
        <f>Nodes!I718+"'E4!%zs"</f>
        <v>#VALUE!</v>
      </c>
      <c r="AF92" t="e">
        <f>Nodes!J718+"'E4!%zt"</f>
        <v>#VALUE!</v>
      </c>
      <c r="AG92" t="e">
        <f>Nodes!K718+"'E4!%zu"</f>
        <v>#VALUE!</v>
      </c>
      <c r="AH92" t="e">
        <f>Nodes!L718+"'E4!%zv"</f>
        <v>#VALUE!</v>
      </c>
      <c r="AI92" t="e">
        <f>Nodes!M718+"'E4!%zw"</f>
        <v>#VALUE!</v>
      </c>
      <c r="AJ92" t="e">
        <f>Nodes!N718+"'E4!%zx"</f>
        <v>#VALUE!</v>
      </c>
      <c r="AK92" t="e">
        <f>Nodes!O718+"'E4!%zy"</f>
        <v>#VALUE!</v>
      </c>
      <c r="AL92" t="e">
        <f>Nodes!P718+"'E4!%zz"</f>
        <v>#VALUE!</v>
      </c>
      <c r="AM92" t="e">
        <f>Nodes!Q718+"'E4!%z{"</f>
        <v>#VALUE!</v>
      </c>
      <c r="AN92" t="e">
        <f>Nodes!R718+"'E4!%z|"</f>
        <v>#VALUE!</v>
      </c>
      <c r="AO92" t="e">
        <f>Nodes!S718+"'E4!%z}"</f>
        <v>#VALUE!</v>
      </c>
      <c r="AP92" s="547" t="e">
        <f>Nodes!T718+"'E4!%z~"</f>
        <v>#VALUE!</v>
      </c>
      <c r="AQ92" t="e">
        <f>Nodes!U718+"'E4!%{#"</f>
        <v>#VALUE!</v>
      </c>
      <c r="AR92" t="e">
        <f>Nodes!V718+"'E4!%{$"</f>
        <v>#VALUE!</v>
      </c>
      <c r="AS92" s="547" t="e">
        <f>Nodes!W718+"'E4!%{%"</f>
        <v>#VALUE!</v>
      </c>
      <c r="AT92" t="e">
        <f>Nodes!X718+"'E4!%{&amp;"</f>
        <v>#VALUE!</v>
      </c>
      <c r="AU92" t="e">
        <f>Nodes!Y718+"'E4!%{'"</f>
        <v>#VALUE!</v>
      </c>
      <c r="AV92" t="e">
        <f>Nodes!Z718+"'E4!%{("</f>
        <v>#VALUE!</v>
      </c>
      <c r="AW92" t="e">
        <f>Nodes!AA718+"'E4!%{)"</f>
        <v>#VALUE!</v>
      </c>
      <c r="AX92" t="e">
        <f>Nodes!AB718+"'E4!%{."</f>
        <v>#VALUE!</v>
      </c>
      <c r="AY92" t="e">
        <f>Nodes!AC718+"'E4!%{/"</f>
        <v>#VALUE!</v>
      </c>
      <c r="AZ92" t="e">
        <f>Nodes!A719+"'E4!%{0"</f>
        <v>#VALUE!</v>
      </c>
      <c r="BA92" t="e">
        <f>Nodes!B719+"'E4!%{1"</f>
        <v>#VALUE!</v>
      </c>
      <c r="BB92" t="e">
        <f>Nodes!C719+"'E4!%{2"</f>
        <v>#VALUE!</v>
      </c>
      <c r="BC92" t="e">
        <f>Nodes!D719+"'E4!%{3"</f>
        <v>#VALUE!</v>
      </c>
      <c r="BD92" t="e">
        <f>Nodes!E719+"'E4!%{4"</f>
        <v>#VALUE!</v>
      </c>
      <c r="BE92" t="e">
        <f>Nodes!F719+"'E4!%{5"</f>
        <v>#VALUE!</v>
      </c>
      <c r="BF92" t="e">
        <f>Nodes!G719+"'E4!%{6"</f>
        <v>#VALUE!</v>
      </c>
      <c r="BG92" t="e">
        <f>Nodes!H719+"'E4!%{7"</f>
        <v>#VALUE!</v>
      </c>
      <c r="BH92" t="e">
        <f>Nodes!I719+"'E4!%{8"</f>
        <v>#VALUE!</v>
      </c>
      <c r="BI92" t="e">
        <f>Nodes!J719+"'E4!%{9"</f>
        <v>#VALUE!</v>
      </c>
      <c r="BJ92" t="e">
        <f>Nodes!K719+"'E4!%{:"</f>
        <v>#VALUE!</v>
      </c>
      <c r="BK92" t="e">
        <f>Nodes!L719+"'E4!%{;"</f>
        <v>#VALUE!</v>
      </c>
      <c r="BL92" t="e">
        <f>Nodes!M719+"'E4!%{&lt;"</f>
        <v>#VALUE!</v>
      </c>
      <c r="BM92" t="e">
        <f>Nodes!N719+"'E4!%{="</f>
        <v>#VALUE!</v>
      </c>
      <c r="BN92" t="e">
        <f>Nodes!O719+"'E4!%{&gt;"</f>
        <v>#VALUE!</v>
      </c>
      <c r="BO92" t="e">
        <f>Nodes!P719+"'E4!%{?"</f>
        <v>#VALUE!</v>
      </c>
      <c r="BP92" t="e">
        <f>Nodes!Q719+"'E4!%{@"</f>
        <v>#VALUE!</v>
      </c>
      <c r="BQ92" t="e">
        <f>Nodes!R719+"'E4!%{A"</f>
        <v>#VALUE!</v>
      </c>
      <c r="BR92" t="e">
        <f>Nodes!S719+"'E4!%{B"</f>
        <v>#VALUE!</v>
      </c>
      <c r="BS92" s="547" t="e">
        <f>Nodes!T719+"'E4!%{C"</f>
        <v>#VALUE!</v>
      </c>
      <c r="BT92" t="e">
        <f>Nodes!U719+"'E4!%{D"</f>
        <v>#VALUE!</v>
      </c>
      <c r="BU92" t="e">
        <f>Nodes!V719+"'E4!%{E"</f>
        <v>#VALUE!</v>
      </c>
      <c r="BV92" s="547" t="e">
        <f>Nodes!W719+"'E4!%{F"</f>
        <v>#VALUE!</v>
      </c>
      <c r="BW92" t="e">
        <f>Nodes!X719+"'E4!%{G"</f>
        <v>#VALUE!</v>
      </c>
      <c r="BX92" t="e">
        <f>Nodes!Y719+"'E4!%{H"</f>
        <v>#VALUE!</v>
      </c>
      <c r="BY92" t="e">
        <f>Nodes!Z719+"'E4!%{I"</f>
        <v>#VALUE!</v>
      </c>
      <c r="BZ92" t="e">
        <f>Nodes!AA719+"'E4!%{J"</f>
        <v>#VALUE!</v>
      </c>
      <c r="CA92" t="e">
        <f>Nodes!AB719+"'E4!%{K"</f>
        <v>#VALUE!</v>
      </c>
      <c r="CB92" t="e">
        <f>Nodes!AC719+"'E4!%{L"</f>
        <v>#VALUE!</v>
      </c>
      <c r="CC92" t="e">
        <f>Nodes!A720+"'E4!%{M"</f>
        <v>#VALUE!</v>
      </c>
      <c r="CD92" t="e">
        <f>Nodes!B720+"'E4!%{N"</f>
        <v>#VALUE!</v>
      </c>
      <c r="CE92" t="e">
        <f>Nodes!C720+"'E4!%{O"</f>
        <v>#VALUE!</v>
      </c>
      <c r="CF92" t="e">
        <f>Nodes!D720+"'E4!%{P"</f>
        <v>#VALUE!</v>
      </c>
      <c r="CG92" t="e">
        <f>Nodes!E720+"'E4!%{Q"</f>
        <v>#VALUE!</v>
      </c>
      <c r="CH92" t="e">
        <f>Nodes!F720+"'E4!%{R"</f>
        <v>#VALUE!</v>
      </c>
      <c r="CI92" t="e">
        <f>Nodes!G720+"'E4!%{S"</f>
        <v>#VALUE!</v>
      </c>
      <c r="CJ92" t="e">
        <f>Nodes!H720+"'E4!%{T"</f>
        <v>#VALUE!</v>
      </c>
      <c r="CK92" t="e">
        <f>Nodes!I720+"'E4!%{U"</f>
        <v>#VALUE!</v>
      </c>
      <c r="CL92" t="e">
        <f>Nodes!J720+"'E4!%{V"</f>
        <v>#VALUE!</v>
      </c>
      <c r="CM92" t="e">
        <f>Nodes!K720+"'E4!%{W"</f>
        <v>#VALUE!</v>
      </c>
      <c r="CN92" t="e">
        <f>Nodes!L720+"'E4!%{X"</f>
        <v>#VALUE!</v>
      </c>
      <c r="CO92" t="e">
        <f>Nodes!M720+"'E4!%{Y"</f>
        <v>#VALUE!</v>
      </c>
      <c r="CP92" t="e">
        <f>Nodes!N720+"'E4!%{Z"</f>
        <v>#VALUE!</v>
      </c>
      <c r="CQ92" t="e">
        <f>Nodes!O720+"'E4!%{["</f>
        <v>#VALUE!</v>
      </c>
      <c r="CR92" t="e">
        <f>Nodes!P720+"'E4!%{\"</f>
        <v>#VALUE!</v>
      </c>
      <c r="CS92" t="e">
        <f>Nodes!Q720+"'E4!%{]"</f>
        <v>#VALUE!</v>
      </c>
      <c r="CT92" t="e">
        <f>Nodes!R720+"'E4!%{^"</f>
        <v>#VALUE!</v>
      </c>
      <c r="CU92" t="e">
        <f>Nodes!S720+"'E4!%{_"</f>
        <v>#VALUE!</v>
      </c>
      <c r="CV92" s="547" t="e">
        <f>Nodes!T720+"'E4!%{`"</f>
        <v>#VALUE!</v>
      </c>
      <c r="CW92" t="e">
        <f>Nodes!U720+"'E4!%{a"</f>
        <v>#VALUE!</v>
      </c>
      <c r="CX92" t="e">
        <f>Nodes!V720+"'E4!%{b"</f>
        <v>#VALUE!</v>
      </c>
      <c r="CY92" s="547" t="e">
        <f>Nodes!W720+"'E4!%{c"</f>
        <v>#VALUE!</v>
      </c>
      <c r="CZ92" t="e">
        <f>Nodes!X720+"'E4!%{d"</f>
        <v>#VALUE!</v>
      </c>
      <c r="DA92" t="e">
        <f>Nodes!Y720+"'E4!%{e"</f>
        <v>#VALUE!</v>
      </c>
      <c r="DB92" t="e">
        <f>Nodes!Z720+"'E4!%{f"</f>
        <v>#VALUE!</v>
      </c>
      <c r="DC92" t="e">
        <f>Nodes!AA720+"'E4!%{g"</f>
        <v>#VALUE!</v>
      </c>
      <c r="DD92" t="e">
        <f>Nodes!AB720+"'E4!%{h"</f>
        <v>#VALUE!</v>
      </c>
      <c r="DE92" t="e">
        <f>Nodes!AC720+"'E4!%{i"</f>
        <v>#VALUE!</v>
      </c>
      <c r="DF92" t="e">
        <f>Nodes!A721+"'E4!%{j"</f>
        <v>#VALUE!</v>
      </c>
      <c r="DG92" t="e">
        <f>Nodes!B721+"'E4!%{k"</f>
        <v>#VALUE!</v>
      </c>
      <c r="DH92" t="e">
        <f>Nodes!C721+"'E4!%{l"</f>
        <v>#VALUE!</v>
      </c>
      <c r="DI92" t="e">
        <f>Nodes!D721+"'E4!%{m"</f>
        <v>#VALUE!</v>
      </c>
      <c r="DJ92" t="e">
        <f>Nodes!E721+"'E4!%{n"</f>
        <v>#VALUE!</v>
      </c>
      <c r="DK92" t="e">
        <f>Nodes!F721+"'E4!%{o"</f>
        <v>#VALUE!</v>
      </c>
      <c r="DL92" t="e">
        <f>Nodes!G721+"'E4!%{p"</f>
        <v>#VALUE!</v>
      </c>
      <c r="DM92" t="e">
        <f>Nodes!H721+"'E4!%{q"</f>
        <v>#VALUE!</v>
      </c>
      <c r="DN92" t="e">
        <f>Nodes!I721+"'E4!%{r"</f>
        <v>#VALUE!</v>
      </c>
      <c r="DO92" t="e">
        <f>Nodes!J721+"'E4!%{s"</f>
        <v>#VALUE!</v>
      </c>
      <c r="DP92" t="e">
        <f>Nodes!K721+"'E4!%{t"</f>
        <v>#VALUE!</v>
      </c>
      <c r="DQ92" t="e">
        <f>Nodes!L721+"'E4!%{u"</f>
        <v>#VALUE!</v>
      </c>
      <c r="DR92" t="e">
        <f>Nodes!M721+"'E4!%{v"</f>
        <v>#VALUE!</v>
      </c>
      <c r="DS92" t="e">
        <f>Nodes!N721+"'E4!%{w"</f>
        <v>#VALUE!</v>
      </c>
      <c r="DT92" t="e">
        <f>Nodes!O721+"'E4!%{x"</f>
        <v>#VALUE!</v>
      </c>
      <c r="DU92" t="e">
        <f>Nodes!P721+"'E4!%{y"</f>
        <v>#VALUE!</v>
      </c>
      <c r="DV92" t="e">
        <f>Nodes!Q721+"'E4!%{z"</f>
        <v>#VALUE!</v>
      </c>
      <c r="DW92" t="e">
        <f>Nodes!R721+"'E4!%{{"</f>
        <v>#VALUE!</v>
      </c>
      <c r="DX92" t="e">
        <f>Nodes!S721+"'E4!%{|"</f>
        <v>#VALUE!</v>
      </c>
      <c r="DY92" s="547" t="e">
        <f>Nodes!T721+"'E4!%{}"</f>
        <v>#VALUE!</v>
      </c>
      <c r="DZ92" t="e">
        <f>Nodes!U721+"'E4!%{~"</f>
        <v>#VALUE!</v>
      </c>
      <c r="EA92" t="e">
        <f>Nodes!V721+"'E4!%|#"</f>
        <v>#VALUE!</v>
      </c>
      <c r="EB92" s="547" t="e">
        <f>Nodes!W721+"'E4!%|$"</f>
        <v>#VALUE!</v>
      </c>
      <c r="EC92" t="e">
        <f>Nodes!X721+"'E4!%|%"</f>
        <v>#VALUE!</v>
      </c>
      <c r="ED92" t="e">
        <f>Nodes!Y721+"'E4!%|&amp;"</f>
        <v>#VALUE!</v>
      </c>
      <c r="EE92" t="e">
        <f>Nodes!Z721+"'E4!%|'"</f>
        <v>#VALUE!</v>
      </c>
      <c r="EF92" t="e">
        <f>Nodes!AA721+"'E4!%|("</f>
        <v>#VALUE!</v>
      </c>
      <c r="EG92" t="e">
        <f>Nodes!AB721+"'E4!%|)"</f>
        <v>#VALUE!</v>
      </c>
      <c r="EH92" t="e">
        <f>Nodes!AC721+"'E4!%|."</f>
        <v>#VALUE!</v>
      </c>
      <c r="EI92" t="e">
        <f>Nodes!A722+"'E4!%|/"</f>
        <v>#VALUE!</v>
      </c>
      <c r="EJ92" t="e">
        <f>Nodes!B722+"'E4!%|0"</f>
        <v>#VALUE!</v>
      </c>
      <c r="EK92" t="e">
        <f>Nodes!C722+"'E4!%|1"</f>
        <v>#VALUE!</v>
      </c>
      <c r="EL92" t="e">
        <f>Nodes!D722+"'E4!%|2"</f>
        <v>#VALUE!</v>
      </c>
      <c r="EM92" t="e">
        <f>Nodes!E722+"'E4!%|3"</f>
        <v>#VALUE!</v>
      </c>
      <c r="EN92" t="e">
        <f>Nodes!F722+"'E4!%|4"</f>
        <v>#VALUE!</v>
      </c>
      <c r="EO92" t="e">
        <f>Nodes!G722+"'E4!%|5"</f>
        <v>#VALUE!</v>
      </c>
      <c r="EP92" t="e">
        <f>Nodes!H722+"'E4!%|6"</f>
        <v>#VALUE!</v>
      </c>
      <c r="EQ92" t="e">
        <f>Nodes!I722+"'E4!%|7"</f>
        <v>#VALUE!</v>
      </c>
      <c r="ER92" t="e">
        <f>Nodes!J722+"'E4!%|8"</f>
        <v>#VALUE!</v>
      </c>
      <c r="ES92" t="e">
        <f>Nodes!K722+"'E4!%|9"</f>
        <v>#VALUE!</v>
      </c>
      <c r="ET92" t="e">
        <f>Nodes!L722+"'E4!%|:"</f>
        <v>#VALUE!</v>
      </c>
      <c r="EU92" t="e">
        <f>Nodes!M722+"'E4!%|;"</f>
        <v>#VALUE!</v>
      </c>
      <c r="EV92" t="e">
        <f>Nodes!N722+"'E4!%|&lt;"</f>
        <v>#VALUE!</v>
      </c>
      <c r="EW92" t="e">
        <f>Nodes!O722+"'E4!%|="</f>
        <v>#VALUE!</v>
      </c>
      <c r="EX92" t="e">
        <f>Nodes!P722+"'E4!%|&gt;"</f>
        <v>#VALUE!</v>
      </c>
      <c r="EY92" t="e">
        <f>Nodes!Q722+"'E4!%|?"</f>
        <v>#VALUE!</v>
      </c>
      <c r="EZ92" t="e">
        <f>Nodes!R722+"'E4!%|@"</f>
        <v>#VALUE!</v>
      </c>
      <c r="FA92" t="e">
        <f>Nodes!S722+"'E4!%|A"</f>
        <v>#VALUE!</v>
      </c>
      <c r="FB92" s="547" t="e">
        <f>Nodes!T722+"'E4!%|B"</f>
        <v>#VALUE!</v>
      </c>
      <c r="FC92" t="e">
        <f>Nodes!U722+"'E4!%|C"</f>
        <v>#VALUE!</v>
      </c>
      <c r="FD92" t="e">
        <f>Nodes!V722+"'E4!%|D"</f>
        <v>#VALUE!</v>
      </c>
      <c r="FE92" s="547" t="e">
        <f>Nodes!W722+"'E4!%|E"</f>
        <v>#VALUE!</v>
      </c>
      <c r="FF92" t="e">
        <f>Nodes!X722+"'E4!%|F"</f>
        <v>#VALUE!</v>
      </c>
      <c r="FG92" t="e">
        <f>Nodes!Y722+"'E4!%|G"</f>
        <v>#VALUE!</v>
      </c>
      <c r="FH92" t="e">
        <f>Nodes!Z722+"'E4!%|H"</f>
        <v>#VALUE!</v>
      </c>
      <c r="FI92" t="e">
        <f>Nodes!AA722+"'E4!%|I"</f>
        <v>#VALUE!</v>
      </c>
      <c r="FJ92" t="e">
        <f>Nodes!AB722+"'E4!%|J"</f>
        <v>#VALUE!</v>
      </c>
      <c r="FK92" t="e">
        <f>Nodes!AC722+"'E4!%|K"</f>
        <v>#VALUE!</v>
      </c>
      <c r="FL92" t="e">
        <f>Nodes!A723+"'E4!%|L"</f>
        <v>#VALUE!</v>
      </c>
      <c r="FM92" t="e">
        <f>Nodes!B723+"'E4!%|M"</f>
        <v>#VALUE!</v>
      </c>
      <c r="FN92" t="e">
        <f>Nodes!C723+"'E4!%|N"</f>
        <v>#VALUE!</v>
      </c>
      <c r="FO92" t="e">
        <f>Nodes!D723+"'E4!%|O"</f>
        <v>#VALUE!</v>
      </c>
      <c r="FP92" t="e">
        <f>Nodes!E723+"'E4!%|P"</f>
        <v>#VALUE!</v>
      </c>
      <c r="FQ92" t="e">
        <f>Nodes!F723+"'E4!%|Q"</f>
        <v>#VALUE!</v>
      </c>
      <c r="FR92" t="e">
        <f>Nodes!G723+"'E4!%|R"</f>
        <v>#VALUE!</v>
      </c>
      <c r="FS92" t="e">
        <f>Nodes!H723+"'E4!%|S"</f>
        <v>#VALUE!</v>
      </c>
      <c r="FT92" t="e">
        <f>Nodes!I723+"'E4!%|T"</f>
        <v>#VALUE!</v>
      </c>
      <c r="FU92" t="e">
        <f>Nodes!J723+"'E4!%|U"</f>
        <v>#VALUE!</v>
      </c>
      <c r="FV92" t="e">
        <f>Nodes!K723+"'E4!%|V"</f>
        <v>#VALUE!</v>
      </c>
      <c r="FW92" t="e">
        <f>Nodes!L723+"'E4!%|W"</f>
        <v>#VALUE!</v>
      </c>
      <c r="FX92" t="e">
        <f>Nodes!M723+"'E4!%|X"</f>
        <v>#VALUE!</v>
      </c>
      <c r="FY92" t="e">
        <f>Nodes!N723+"'E4!%|Y"</f>
        <v>#VALUE!</v>
      </c>
      <c r="FZ92" t="e">
        <f>Nodes!O723+"'E4!%|Z"</f>
        <v>#VALUE!</v>
      </c>
      <c r="GA92" t="e">
        <f>Nodes!P723+"'E4!%|["</f>
        <v>#VALUE!</v>
      </c>
      <c r="GB92" t="e">
        <f>Nodes!Q723+"'E4!%|\"</f>
        <v>#VALUE!</v>
      </c>
      <c r="GC92" t="e">
        <f>Nodes!R723+"'E4!%|]"</f>
        <v>#VALUE!</v>
      </c>
      <c r="GD92" t="e">
        <f>Nodes!S723+"'E4!%|^"</f>
        <v>#VALUE!</v>
      </c>
      <c r="GE92" s="547" t="e">
        <f>Nodes!T723+"'E4!%|_"</f>
        <v>#VALUE!</v>
      </c>
      <c r="GF92" t="e">
        <f>Nodes!U723+"'E4!%|`"</f>
        <v>#VALUE!</v>
      </c>
      <c r="GG92" t="e">
        <f>Nodes!V723+"'E4!%|a"</f>
        <v>#VALUE!</v>
      </c>
      <c r="GH92" s="547" t="e">
        <f>Nodes!W723+"'E4!%|b"</f>
        <v>#VALUE!</v>
      </c>
      <c r="GI92" t="e">
        <f>Nodes!X723+"'E4!%|c"</f>
        <v>#VALUE!</v>
      </c>
      <c r="GJ92" t="e">
        <f>Nodes!Y723+"'E4!%|d"</f>
        <v>#VALUE!</v>
      </c>
      <c r="GK92" t="e">
        <f>Nodes!Z723+"'E4!%|e"</f>
        <v>#VALUE!</v>
      </c>
      <c r="GL92" t="e">
        <f>Nodes!AA723+"'E4!%|f"</f>
        <v>#VALUE!</v>
      </c>
      <c r="GM92" t="e">
        <f>Nodes!AB723+"'E4!%|g"</f>
        <v>#VALUE!</v>
      </c>
      <c r="GN92" t="e">
        <f>Nodes!AC723+"'E4!%|h"</f>
        <v>#VALUE!</v>
      </c>
      <c r="GO92" t="e">
        <f>Nodes!A724+"'E4!%|i"</f>
        <v>#VALUE!</v>
      </c>
      <c r="GP92" t="e">
        <f>Nodes!B724+"'E4!%|j"</f>
        <v>#VALUE!</v>
      </c>
      <c r="GQ92" t="e">
        <f>Nodes!C724+"'E4!%|k"</f>
        <v>#VALUE!</v>
      </c>
      <c r="GR92" t="e">
        <f>Nodes!D724+"'E4!%|l"</f>
        <v>#VALUE!</v>
      </c>
      <c r="GS92" t="e">
        <f>Nodes!E724+"'E4!%|m"</f>
        <v>#VALUE!</v>
      </c>
      <c r="GT92" t="e">
        <f>Nodes!F724+"'E4!%|n"</f>
        <v>#VALUE!</v>
      </c>
      <c r="GU92" t="e">
        <f>Nodes!G724+"'E4!%|o"</f>
        <v>#VALUE!</v>
      </c>
      <c r="GV92" t="e">
        <f>Nodes!H724+"'E4!%|p"</f>
        <v>#VALUE!</v>
      </c>
      <c r="GW92" t="e">
        <f>Nodes!I724+"'E4!%|q"</f>
        <v>#VALUE!</v>
      </c>
      <c r="GX92" t="e">
        <f>Nodes!J724+"'E4!%|r"</f>
        <v>#VALUE!</v>
      </c>
      <c r="GY92" t="e">
        <f>Nodes!K724+"'E4!%|s"</f>
        <v>#VALUE!</v>
      </c>
      <c r="GZ92" t="e">
        <f>Nodes!L724+"'E4!%|t"</f>
        <v>#VALUE!</v>
      </c>
      <c r="HA92" t="e">
        <f>Nodes!M724+"'E4!%|u"</f>
        <v>#VALUE!</v>
      </c>
      <c r="HB92" t="e">
        <f>Nodes!N724+"'E4!%|v"</f>
        <v>#VALUE!</v>
      </c>
      <c r="HC92" t="e">
        <f>Nodes!O724+"'E4!%|w"</f>
        <v>#VALUE!</v>
      </c>
      <c r="HD92" t="e">
        <f>Nodes!P724+"'E4!%|x"</f>
        <v>#VALUE!</v>
      </c>
      <c r="HE92" t="e">
        <f>Nodes!Q724+"'E4!%|y"</f>
        <v>#VALUE!</v>
      </c>
      <c r="HF92" t="e">
        <f>Nodes!R724+"'E4!%|z"</f>
        <v>#VALUE!</v>
      </c>
      <c r="HG92" t="e">
        <f>Nodes!S724+"'E4!%|{"</f>
        <v>#VALUE!</v>
      </c>
      <c r="HH92" s="547" t="e">
        <f>Nodes!T724+"'E4!%||"</f>
        <v>#VALUE!</v>
      </c>
      <c r="HI92" t="e">
        <f>Nodes!U724+"'E4!%|}"</f>
        <v>#VALUE!</v>
      </c>
      <c r="HJ92" t="e">
        <f>Nodes!V724+"'E4!%|~"</f>
        <v>#VALUE!</v>
      </c>
      <c r="HK92" s="547" t="e">
        <f>Nodes!W724+"'E4!%}#"</f>
        <v>#VALUE!</v>
      </c>
      <c r="HL92" t="e">
        <f>Nodes!X724+"'E4!%}$"</f>
        <v>#VALUE!</v>
      </c>
      <c r="HM92" t="e">
        <f>Nodes!Y724+"'E4!%}%"</f>
        <v>#VALUE!</v>
      </c>
      <c r="HN92" t="e">
        <f>Nodes!Z724+"'E4!%}&amp;"</f>
        <v>#VALUE!</v>
      </c>
      <c r="HO92" t="e">
        <f>Nodes!AA724+"'E4!%}'"</f>
        <v>#VALUE!</v>
      </c>
      <c r="HP92" t="e">
        <f>Nodes!AB724+"'E4!%}("</f>
        <v>#VALUE!</v>
      </c>
      <c r="HQ92" t="e">
        <f>Nodes!AC724+"'E4!%})"</f>
        <v>#VALUE!</v>
      </c>
      <c r="HR92" t="e">
        <f>Nodes!A725+"'E4!%}."</f>
        <v>#VALUE!</v>
      </c>
      <c r="HS92" t="e">
        <f>Nodes!B725+"'E4!%}/"</f>
        <v>#VALUE!</v>
      </c>
      <c r="HT92" t="e">
        <f>Nodes!C725+"'E4!%}0"</f>
        <v>#VALUE!</v>
      </c>
      <c r="HU92" t="e">
        <f>Nodes!D725+"'E4!%}1"</f>
        <v>#VALUE!</v>
      </c>
      <c r="HV92" t="e">
        <f>Nodes!E725+"'E4!%}2"</f>
        <v>#VALUE!</v>
      </c>
      <c r="HW92" t="e">
        <f>Nodes!F725+"'E4!%}3"</f>
        <v>#VALUE!</v>
      </c>
      <c r="HX92" t="e">
        <f>Nodes!G725+"'E4!%}4"</f>
        <v>#VALUE!</v>
      </c>
      <c r="HY92" t="e">
        <f>Nodes!H725+"'E4!%}5"</f>
        <v>#VALUE!</v>
      </c>
      <c r="HZ92" t="e">
        <f>Nodes!I725+"'E4!%}6"</f>
        <v>#VALUE!</v>
      </c>
      <c r="IA92" t="e">
        <f>Nodes!J725+"'E4!%}7"</f>
        <v>#VALUE!</v>
      </c>
      <c r="IB92" t="e">
        <f>Nodes!K725+"'E4!%}8"</f>
        <v>#VALUE!</v>
      </c>
      <c r="IC92" t="e">
        <f>Nodes!L725+"'E4!%}9"</f>
        <v>#VALUE!</v>
      </c>
      <c r="ID92" t="e">
        <f>Nodes!M725+"'E4!%}:"</f>
        <v>#VALUE!</v>
      </c>
      <c r="IE92" t="e">
        <f>Nodes!N725+"'E4!%};"</f>
        <v>#VALUE!</v>
      </c>
      <c r="IF92" t="e">
        <f>Nodes!O725+"'E4!%}&lt;"</f>
        <v>#VALUE!</v>
      </c>
      <c r="IG92" t="e">
        <f>Nodes!P725+"'E4!%}="</f>
        <v>#VALUE!</v>
      </c>
      <c r="IH92" t="e">
        <f>Nodes!Q725+"'E4!%}&gt;"</f>
        <v>#VALUE!</v>
      </c>
      <c r="II92" t="e">
        <f>Nodes!R725+"'E4!%}?"</f>
        <v>#VALUE!</v>
      </c>
      <c r="IJ92" t="e">
        <f>Nodes!S725+"'E4!%}@"</f>
        <v>#VALUE!</v>
      </c>
      <c r="IK92" s="547" t="e">
        <f>Nodes!T725+"'E4!%}A"</f>
        <v>#VALUE!</v>
      </c>
      <c r="IL92" t="e">
        <f>Nodes!U725+"'E4!%}B"</f>
        <v>#VALUE!</v>
      </c>
      <c r="IM92" t="e">
        <f>Nodes!V725+"'E4!%}C"</f>
        <v>#VALUE!</v>
      </c>
      <c r="IN92" s="547" t="e">
        <f>Nodes!W725+"'E4!%}D"</f>
        <v>#VALUE!</v>
      </c>
      <c r="IO92" t="e">
        <f>Nodes!X725+"'E4!%}E"</f>
        <v>#VALUE!</v>
      </c>
      <c r="IP92" t="e">
        <f>Nodes!Y725+"'E4!%}F"</f>
        <v>#VALUE!</v>
      </c>
      <c r="IQ92" t="e">
        <f>Nodes!Z725+"'E4!%}G"</f>
        <v>#VALUE!</v>
      </c>
      <c r="IR92" t="e">
        <f>Nodes!AA725+"'E4!%}H"</f>
        <v>#VALUE!</v>
      </c>
      <c r="IS92" t="e">
        <f>Nodes!AB725+"'E4!%}I"</f>
        <v>#VALUE!</v>
      </c>
      <c r="IT92" t="e">
        <f>Nodes!AC725+"'E4!%}J"</f>
        <v>#VALUE!</v>
      </c>
      <c r="IU92" t="e">
        <f>Nodes!A726+"'E4!%}K"</f>
        <v>#VALUE!</v>
      </c>
      <c r="IV92" t="e">
        <f>Nodes!B726+"'E4!%}L"</f>
        <v>#VALUE!</v>
      </c>
    </row>
    <row r="93" spans="6:256">
      <c r="F93" t="e">
        <f>Nodes!C726+"'E4!%}M"</f>
        <v>#VALUE!</v>
      </c>
      <c r="G93" t="e">
        <f>Nodes!D726+"'E4!%}N"</f>
        <v>#VALUE!</v>
      </c>
      <c r="H93" t="e">
        <f>Nodes!E726+"'E4!%}O"</f>
        <v>#VALUE!</v>
      </c>
      <c r="I93" t="e">
        <f>Nodes!F726+"'E4!%}P"</f>
        <v>#VALUE!</v>
      </c>
      <c r="J93" t="e">
        <f>Nodes!G726+"'E4!%}Q"</f>
        <v>#VALUE!</v>
      </c>
      <c r="K93" t="e">
        <f>Nodes!H726+"'E4!%}R"</f>
        <v>#VALUE!</v>
      </c>
      <c r="L93" t="e">
        <f>Nodes!I726+"'E4!%}S"</f>
        <v>#VALUE!</v>
      </c>
      <c r="M93" t="e">
        <f>Nodes!J726+"'E4!%}T"</f>
        <v>#VALUE!</v>
      </c>
      <c r="N93" t="e">
        <f>Nodes!K726+"'E4!%}U"</f>
        <v>#VALUE!</v>
      </c>
      <c r="O93" t="e">
        <f>Nodes!L726+"'E4!%}V"</f>
        <v>#VALUE!</v>
      </c>
      <c r="P93" t="e">
        <f>Nodes!M726+"'E4!%}W"</f>
        <v>#VALUE!</v>
      </c>
      <c r="Q93" t="e">
        <f>Nodes!N726+"'E4!%}X"</f>
        <v>#VALUE!</v>
      </c>
      <c r="R93" t="e">
        <f>Nodes!O726+"'E4!%}Y"</f>
        <v>#VALUE!</v>
      </c>
      <c r="S93" t="e">
        <f>Nodes!P726+"'E4!%}Z"</f>
        <v>#VALUE!</v>
      </c>
      <c r="T93" t="e">
        <f>Nodes!Q726+"'E4!%}["</f>
        <v>#VALUE!</v>
      </c>
      <c r="U93" t="e">
        <f>Nodes!R726+"'E4!%}\"</f>
        <v>#VALUE!</v>
      </c>
      <c r="V93" t="e">
        <f>Nodes!S726+"'E4!%}]"</f>
        <v>#VALUE!</v>
      </c>
      <c r="W93" s="547" t="e">
        <f>Nodes!T726+"'E4!%}^"</f>
        <v>#VALUE!</v>
      </c>
      <c r="X93" t="e">
        <f>Nodes!U726+"'E4!%}_"</f>
        <v>#VALUE!</v>
      </c>
      <c r="Y93" t="e">
        <f>Nodes!V726+"'E4!%}`"</f>
        <v>#VALUE!</v>
      </c>
      <c r="Z93" s="547" t="e">
        <f>Nodes!W726+"'E4!%}a"</f>
        <v>#VALUE!</v>
      </c>
      <c r="AA93" t="e">
        <f>Nodes!X726+"'E4!%}b"</f>
        <v>#VALUE!</v>
      </c>
      <c r="AB93" t="e">
        <f>Nodes!Y726+"'E4!%}c"</f>
        <v>#VALUE!</v>
      </c>
      <c r="AC93" t="e">
        <f>Nodes!Z726+"'E4!%}d"</f>
        <v>#VALUE!</v>
      </c>
      <c r="AD93" t="e">
        <f>Nodes!AA726+"'E4!%}e"</f>
        <v>#VALUE!</v>
      </c>
      <c r="AE93" t="e">
        <f>Nodes!AB726+"'E4!%}f"</f>
        <v>#VALUE!</v>
      </c>
      <c r="AF93" t="e">
        <f>Nodes!AC726+"'E4!%}g"</f>
        <v>#VALUE!</v>
      </c>
      <c r="AG93" t="e">
        <f>Nodes!A727+"'E4!%}h"</f>
        <v>#VALUE!</v>
      </c>
      <c r="AH93" t="e">
        <f>Nodes!B727+"'E4!%}i"</f>
        <v>#VALUE!</v>
      </c>
      <c r="AI93" t="e">
        <f>Nodes!C727+"'E4!%}j"</f>
        <v>#VALUE!</v>
      </c>
      <c r="AJ93" t="e">
        <f>Nodes!D727+"'E4!%}k"</f>
        <v>#VALUE!</v>
      </c>
      <c r="AK93" t="e">
        <f>Nodes!E727+"'E4!%}l"</f>
        <v>#VALUE!</v>
      </c>
      <c r="AL93" t="e">
        <f>Nodes!F727+"'E4!%}m"</f>
        <v>#VALUE!</v>
      </c>
      <c r="AM93" t="e">
        <f>Nodes!G727+"'E4!%}n"</f>
        <v>#VALUE!</v>
      </c>
      <c r="AN93" t="e">
        <f>Nodes!H727+"'E4!%}o"</f>
        <v>#VALUE!</v>
      </c>
      <c r="AO93" t="e">
        <f>Nodes!I727+"'E4!%}p"</f>
        <v>#VALUE!</v>
      </c>
      <c r="AP93" t="e">
        <f>Nodes!J727+"'E4!%}q"</f>
        <v>#VALUE!</v>
      </c>
      <c r="AQ93" t="e">
        <f>Nodes!K727+"'E4!%}r"</f>
        <v>#VALUE!</v>
      </c>
      <c r="AR93" t="e">
        <f>Nodes!L727+"'E4!%}s"</f>
        <v>#VALUE!</v>
      </c>
      <c r="AS93" t="e">
        <f>Nodes!M727+"'E4!%}t"</f>
        <v>#VALUE!</v>
      </c>
      <c r="AT93" t="e">
        <f>Nodes!N727+"'E4!%}u"</f>
        <v>#VALUE!</v>
      </c>
      <c r="AU93" t="e">
        <f>Nodes!O727+"'E4!%}v"</f>
        <v>#VALUE!</v>
      </c>
      <c r="AV93" t="e">
        <f>Nodes!P727+"'E4!%}w"</f>
        <v>#VALUE!</v>
      </c>
      <c r="AW93" t="e">
        <f>Nodes!Q727+"'E4!%}x"</f>
        <v>#VALUE!</v>
      </c>
      <c r="AX93" t="e">
        <f>Nodes!R727+"'E4!%}y"</f>
        <v>#VALUE!</v>
      </c>
      <c r="AY93" t="e">
        <f>Nodes!S727+"'E4!%}z"</f>
        <v>#VALUE!</v>
      </c>
      <c r="AZ93" s="547" t="e">
        <f>Nodes!T727+"'E4!%}{"</f>
        <v>#VALUE!</v>
      </c>
      <c r="BA93" t="e">
        <f>Nodes!U727+"'E4!%}|"</f>
        <v>#VALUE!</v>
      </c>
      <c r="BB93" t="e">
        <f>Nodes!V727+"'E4!%}}"</f>
        <v>#VALUE!</v>
      </c>
      <c r="BC93" s="547" t="e">
        <f>Nodes!W727+"'E4!%}~"</f>
        <v>#VALUE!</v>
      </c>
      <c r="BD93" t="e">
        <f>Nodes!X727+"'E4!%~#"</f>
        <v>#VALUE!</v>
      </c>
      <c r="BE93" t="e">
        <f>Nodes!Y727+"'E4!%~$"</f>
        <v>#VALUE!</v>
      </c>
      <c r="BF93" t="e">
        <f>Nodes!Z727+"'E4!%~%"</f>
        <v>#VALUE!</v>
      </c>
      <c r="BG93" t="e">
        <f>Nodes!AA727+"'E4!%~&amp;"</f>
        <v>#VALUE!</v>
      </c>
      <c r="BH93" t="e">
        <f>Nodes!AB727+"'E4!%~'"</f>
        <v>#VALUE!</v>
      </c>
      <c r="BI93" t="e">
        <f>Nodes!AC727+"'E4!%~("</f>
        <v>#VALUE!</v>
      </c>
      <c r="BJ93" t="e">
        <f>Nodes!A728+"'E4!%~)"</f>
        <v>#VALUE!</v>
      </c>
      <c r="BK93" t="e">
        <f>Nodes!B728+"'E4!%~."</f>
        <v>#VALUE!</v>
      </c>
      <c r="BL93" t="e">
        <f>Nodes!C728+"'E4!%~/"</f>
        <v>#VALUE!</v>
      </c>
      <c r="BM93" t="e">
        <f>Nodes!D728+"'E4!%~0"</f>
        <v>#VALUE!</v>
      </c>
      <c r="BN93" t="e">
        <f>Nodes!E728+"'E4!%~1"</f>
        <v>#VALUE!</v>
      </c>
      <c r="BO93" t="e">
        <f>Nodes!F728+"'E4!%~2"</f>
        <v>#VALUE!</v>
      </c>
      <c r="BP93" t="e">
        <f>Nodes!G728+"'E4!%~3"</f>
        <v>#VALUE!</v>
      </c>
      <c r="BQ93" t="e">
        <f>Nodes!H728+"'E4!%~4"</f>
        <v>#VALUE!</v>
      </c>
      <c r="BR93" t="e">
        <f>Nodes!I728+"'E4!%~5"</f>
        <v>#VALUE!</v>
      </c>
      <c r="BS93" t="e">
        <f>Nodes!J728+"'E4!%~6"</f>
        <v>#VALUE!</v>
      </c>
      <c r="BT93" t="e">
        <f>Nodes!K728+"'E4!%~7"</f>
        <v>#VALUE!</v>
      </c>
      <c r="BU93" t="e">
        <f>Nodes!L728+"'E4!%~8"</f>
        <v>#VALUE!</v>
      </c>
      <c r="BV93" t="e">
        <f>Nodes!M728+"'E4!%~9"</f>
        <v>#VALUE!</v>
      </c>
      <c r="BW93" t="e">
        <f>Nodes!N728+"'E4!%~:"</f>
        <v>#VALUE!</v>
      </c>
      <c r="BX93" t="e">
        <f>Nodes!O728+"'E4!%~;"</f>
        <v>#VALUE!</v>
      </c>
      <c r="BY93" t="e">
        <f>Nodes!P728+"'E4!%~&lt;"</f>
        <v>#VALUE!</v>
      </c>
      <c r="BZ93" t="e">
        <f>Nodes!Q728+"'E4!%~="</f>
        <v>#VALUE!</v>
      </c>
      <c r="CA93" t="e">
        <f>Nodes!R728+"'E4!%~&gt;"</f>
        <v>#VALUE!</v>
      </c>
      <c r="CB93" t="e">
        <f>Nodes!S728+"'E4!%~?"</f>
        <v>#VALUE!</v>
      </c>
      <c r="CC93" s="547" t="e">
        <f>Nodes!T728+"'E4!%~@"</f>
        <v>#VALUE!</v>
      </c>
      <c r="CD93" t="e">
        <f>Nodes!U728+"'E4!%~A"</f>
        <v>#VALUE!</v>
      </c>
      <c r="CE93" t="e">
        <f>Nodes!V728+"'E4!%~B"</f>
        <v>#VALUE!</v>
      </c>
      <c r="CF93" s="547" t="e">
        <f>Nodes!W728+"'E4!%~C"</f>
        <v>#VALUE!</v>
      </c>
      <c r="CG93" t="e">
        <f>Nodes!X728+"'E4!%~D"</f>
        <v>#VALUE!</v>
      </c>
      <c r="CH93" t="e">
        <f>Nodes!Y728+"'E4!%~E"</f>
        <v>#VALUE!</v>
      </c>
      <c r="CI93" t="e">
        <f>Nodes!Z728+"'E4!%~F"</f>
        <v>#VALUE!</v>
      </c>
      <c r="CJ93" t="e">
        <f>Nodes!AA728+"'E4!%~G"</f>
        <v>#VALUE!</v>
      </c>
      <c r="CK93" t="e">
        <f>Nodes!AB728+"'E4!%~H"</f>
        <v>#VALUE!</v>
      </c>
      <c r="CL93" t="e">
        <f>Nodes!AC728+"'E4!%~I"</f>
        <v>#VALUE!</v>
      </c>
      <c r="CM93" t="e">
        <f>Nodes!A729+"'E4!%~J"</f>
        <v>#VALUE!</v>
      </c>
      <c r="CN93" t="e">
        <f>Nodes!B729+"'E4!%~K"</f>
        <v>#VALUE!</v>
      </c>
      <c r="CO93" t="e">
        <f>Nodes!C729+"'E4!%~L"</f>
        <v>#VALUE!</v>
      </c>
      <c r="CP93" t="e">
        <f>Nodes!D729+"'E4!%~M"</f>
        <v>#VALUE!</v>
      </c>
      <c r="CQ93" t="e">
        <f>Nodes!E729+"'E4!%~N"</f>
        <v>#VALUE!</v>
      </c>
      <c r="CR93" t="e">
        <f>Nodes!F729+"'E4!%~O"</f>
        <v>#VALUE!</v>
      </c>
      <c r="CS93" t="e">
        <f>Nodes!G729+"'E4!%~P"</f>
        <v>#VALUE!</v>
      </c>
      <c r="CT93" t="e">
        <f>Nodes!H729+"'E4!%~Q"</f>
        <v>#VALUE!</v>
      </c>
      <c r="CU93" t="e">
        <f>Nodes!I729+"'E4!%~R"</f>
        <v>#VALUE!</v>
      </c>
      <c r="CV93" t="e">
        <f>Nodes!J729+"'E4!%~S"</f>
        <v>#VALUE!</v>
      </c>
      <c r="CW93" t="e">
        <f>Nodes!K729+"'E4!%~T"</f>
        <v>#VALUE!</v>
      </c>
      <c r="CX93" t="e">
        <f>Nodes!L729+"'E4!%~U"</f>
        <v>#VALUE!</v>
      </c>
      <c r="CY93" t="e">
        <f>Nodes!M729+"'E4!%~V"</f>
        <v>#VALUE!</v>
      </c>
      <c r="CZ93" t="e">
        <f>Nodes!N729+"'E4!%~W"</f>
        <v>#VALUE!</v>
      </c>
      <c r="DA93" t="e">
        <f>Nodes!O729+"'E4!%~X"</f>
        <v>#VALUE!</v>
      </c>
      <c r="DB93" t="e">
        <f>Nodes!P729+"'E4!%~Y"</f>
        <v>#VALUE!</v>
      </c>
      <c r="DC93" t="e">
        <f>Nodes!Q729+"'E4!%~Z"</f>
        <v>#VALUE!</v>
      </c>
      <c r="DD93" t="e">
        <f>Nodes!R729+"'E4!%~["</f>
        <v>#VALUE!</v>
      </c>
      <c r="DE93" t="e">
        <f>Nodes!S729+"'E4!%~\"</f>
        <v>#VALUE!</v>
      </c>
      <c r="DF93" s="547" t="e">
        <f>Nodes!T729+"'E4!%~]"</f>
        <v>#VALUE!</v>
      </c>
      <c r="DG93" t="e">
        <f>Nodes!U729+"'E4!%~^"</f>
        <v>#VALUE!</v>
      </c>
      <c r="DH93" t="e">
        <f>Nodes!V729+"'E4!%~_"</f>
        <v>#VALUE!</v>
      </c>
      <c r="DI93" s="547" t="e">
        <f>Nodes!W729+"'E4!%~`"</f>
        <v>#VALUE!</v>
      </c>
      <c r="DJ93" t="e">
        <f>Nodes!X729+"'E4!%~a"</f>
        <v>#VALUE!</v>
      </c>
      <c r="DK93" t="e">
        <f>Nodes!Y729+"'E4!%~b"</f>
        <v>#VALUE!</v>
      </c>
      <c r="DL93" t="e">
        <f>Nodes!Z729+"'E4!%~c"</f>
        <v>#VALUE!</v>
      </c>
      <c r="DM93" t="e">
        <f>Nodes!AA729+"'E4!%~d"</f>
        <v>#VALUE!</v>
      </c>
      <c r="DN93" t="e">
        <f>Nodes!AB729+"'E4!%~e"</f>
        <v>#VALUE!</v>
      </c>
      <c r="DO93" t="e">
        <f>Nodes!AC729+"'E4!%~f"</f>
        <v>#VALUE!</v>
      </c>
      <c r="DP93" t="e">
        <f>Nodes!A730+"'E4!%~g"</f>
        <v>#VALUE!</v>
      </c>
      <c r="DQ93" t="e">
        <f>Nodes!B730+"'E4!%~h"</f>
        <v>#VALUE!</v>
      </c>
      <c r="DR93" t="e">
        <f>Nodes!C730+"'E4!%~i"</f>
        <v>#VALUE!</v>
      </c>
      <c r="DS93" t="e">
        <f>Nodes!D730+"'E4!%~j"</f>
        <v>#VALUE!</v>
      </c>
      <c r="DT93" t="e">
        <f>Nodes!E730+"'E4!%~k"</f>
        <v>#VALUE!</v>
      </c>
      <c r="DU93" t="e">
        <f>Nodes!F730+"'E4!%~l"</f>
        <v>#VALUE!</v>
      </c>
      <c r="DV93" t="e">
        <f>Nodes!G730+"'E4!%~m"</f>
        <v>#VALUE!</v>
      </c>
      <c r="DW93" t="e">
        <f>Nodes!H730+"'E4!%~n"</f>
        <v>#VALUE!</v>
      </c>
      <c r="DX93" t="e">
        <f>Nodes!I730+"'E4!%~o"</f>
        <v>#VALUE!</v>
      </c>
      <c r="DY93" t="e">
        <f>Nodes!J730+"'E4!%~p"</f>
        <v>#VALUE!</v>
      </c>
      <c r="DZ93" t="e">
        <f>Nodes!K730+"'E4!%~q"</f>
        <v>#VALUE!</v>
      </c>
      <c r="EA93" t="e">
        <f>Nodes!L730+"'E4!%~r"</f>
        <v>#VALUE!</v>
      </c>
      <c r="EB93" t="e">
        <f>Nodes!M730+"'E4!%~s"</f>
        <v>#VALUE!</v>
      </c>
      <c r="EC93" t="e">
        <f>Nodes!N730+"'E4!%~t"</f>
        <v>#VALUE!</v>
      </c>
      <c r="ED93" t="e">
        <f>Nodes!O730+"'E4!%~u"</f>
        <v>#VALUE!</v>
      </c>
      <c r="EE93" t="e">
        <f>Nodes!P730+"'E4!%~v"</f>
        <v>#VALUE!</v>
      </c>
      <c r="EF93" t="e">
        <f>Nodes!Q730+"'E4!%~w"</f>
        <v>#VALUE!</v>
      </c>
      <c r="EG93" t="e">
        <f>Nodes!R730+"'E4!%~x"</f>
        <v>#VALUE!</v>
      </c>
      <c r="EH93" t="e">
        <f>Nodes!S730+"'E4!%~y"</f>
        <v>#VALUE!</v>
      </c>
      <c r="EI93" s="547" t="e">
        <f>Nodes!T730+"'E4!%~z"</f>
        <v>#VALUE!</v>
      </c>
      <c r="EJ93" t="e">
        <f>Nodes!U730+"'E4!%~{"</f>
        <v>#VALUE!</v>
      </c>
      <c r="EK93" t="e">
        <f>Nodes!V730+"'E4!%~|"</f>
        <v>#VALUE!</v>
      </c>
      <c r="EL93" s="547" t="e">
        <f>Nodes!W730+"'E4!%~}"</f>
        <v>#VALUE!</v>
      </c>
      <c r="EM93" t="e">
        <f>Nodes!X730+"'E4!%~~"</f>
        <v>#VALUE!</v>
      </c>
      <c r="EN93" t="e">
        <f>Nodes!Y730+"'E4!&amp;##"</f>
        <v>#VALUE!</v>
      </c>
      <c r="EO93" t="e">
        <f>Nodes!Z730+"'E4!&amp;#$"</f>
        <v>#VALUE!</v>
      </c>
      <c r="EP93" t="e">
        <f>Nodes!AA730+"'E4!&amp;#%"</f>
        <v>#VALUE!</v>
      </c>
      <c r="EQ93" t="e">
        <f>Nodes!AB730+"'E4!&amp;#&amp;"</f>
        <v>#VALUE!</v>
      </c>
      <c r="ER93" t="e">
        <f>Nodes!AC730+"'E4!&amp;#'"</f>
        <v>#VALUE!</v>
      </c>
      <c r="ES93" t="e">
        <f>Nodes!A731+"'E4!&amp;#("</f>
        <v>#VALUE!</v>
      </c>
      <c r="ET93" t="e">
        <f>Nodes!B731+"'E4!&amp;#)"</f>
        <v>#VALUE!</v>
      </c>
      <c r="EU93" t="e">
        <f>Nodes!C731+"'E4!&amp;#."</f>
        <v>#VALUE!</v>
      </c>
      <c r="EV93" t="e">
        <f>Nodes!D731+"'E4!&amp;#/"</f>
        <v>#VALUE!</v>
      </c>
      <c r="EW93" t="e">
        <f>Nodes!E731+"'E4!&amp;#0"</f>
        <v>#VALUE!</v>
      </c>
      <c r="EX93" t="e">
        <f>Nodes!F731+"'E4!&amp;#1"</f>
        <v>#VALUE!</v>
      </c>
      <c r="EY93" t="e">
        <f>Nodes!G731+"'E4!&amp;#2"</f>
        <v>#VALUE!</v>
      </c>
      <c r="EZ93" t="e">
        <f>Nodes!H731+"'E4!&amp;#3"</f>
        <v>#VALUE!</v>
      </c>
      <c r="FA93" t="e">
        <f>Nodes!I731+"'E4!&amp;#4"</f>
        <v>#VALUE!</v>
      </c>
      <c r="FB93" t="e">
        <f>Nodes!J731+"'E4!&amp;#5"</f>
        <v>#VALUE!</v>
      </c>
      <c r="FC93" t="e">
        <f>Nodes!K731+"'E4!&amp;#6"</f>
        <v>#VALUE!</v>
      </c>
      <c r="FD93" t="e">
        <f>Nodes!L731+"'E4!&amp;#7"</f>
        <v>#VALUE!</v>
      </c>
      <c r="FE93" t="e">
        <f>Nodes!M731+"'E4!&amp;#8"</f>
        <v>#VALUE!</v>
      </c>
      <c r="FF93" t="e">
        <f>Nodes!N731+"'E4!&amp;#9"</f>
        <v>#VALUE!</v>
      </c>
      <c r="FG93" t="e">
        <f>Nodes!O731+"'E4!&amp;#:"</f>
        <v>#VALUE!</v>
      </c>
      <c r="FH93" t="e">
        <f>Nodes!P731+"'E4!&amp;#;"</f>
        <v>#VALUE!</v>
      </c>
      <c r="FI93" t="e">
        <f>Nodes!Q731+"'E4!&amp;#&lt;"</f>
        <v>#VALUE!</v>
      </c>
      <c r="FJ93" t="e">
        <f>Nodes!R731+"'E4!&amp;#="</f>
        <v>#VALUE!</v>
      </c>
      <c r="FK93" t="e">
        <f>Nodes!S731+"'E4!&amp;#&gt;"</f>
        <v>#VALUE!</v>
      </c>
      <c r="FL93" s="547" t="e">
        <f>Nodes!T731+"'E4!&amp;#?"</f>
        <v>#VALUE!</v>
      </c>
      <c r="FM93" t="e">
        <f>Nodes!U731+"'E4!&amp;#@"</f>
        <v>#VALUE!</v>
      </c>
      <c r="FN93" t="e">
        <f>Nodes!V731+"'E4!&amp;#A"</f>
        <v>#VALUE!</v>
      </c>
      <c r="FO93" s="547" t="e">
        <f>Nodes!W731+"'E4!&amp;#B"</f>
        <v>#VALUE!</v>
      </c>
      <c r="FP93" t="e">
        <f>Nodes!X731+"'E4!&amp;#C"</f>
        <v>#VALUE!</v>
      </c>
      <c r="FQ93" t="e">
        <f>Nodes!Y731+"'E4!&amp;#D"</f>
        <v>#VALUE!</v>
      </c>
      <c r="FR93" t="e">
        <f>Nodes!Z731+"'E4!&amp;#E"</f>
        <v>#VALUE!</v>
      </c>
      <c r="FS93" t="e">
        <f>Nodes!AA731+"'E4!&amp;#F"</f>
        <v>#VALUE!</v>
      </c>
      <c r="FT93" t="e">
        <f>Nodes!AB731+"'E4!&amp;#G"</f>
        <v>#VALUE!</v>
      </c>
      <c r="FU93" t="e">
        <f>Nodes!AC731+"'E4!&amp;#H"</f>
        <v>#VALUE!</v>
      </c>
      <c r="FV93" t="e">
        <f>Nodes!A732+"'E4!&amp;#I"</f>
        <v>#VALUE!</v>
      </c>
      <c r="FW93" t="e">
        <f>Nodes!B732+"'E4!&amp;#J"</f>
        <v>#VALUE!</v>
      </c>
      <c r="FX93" t="e">
        <f>Nodes!C732+"'E4!&amp;#K"</f>
        <v>#VALUE!</v>
      </c>
      <c r="FY93" t="e">
        <f>Nodes!D732+"'E4!&amp;#L"</f>
        <v>#VALUE!</v>
      </c>
      <c r="FZ93" t="e">
        <f>Nodes!E732+"'E4!&amp;#M"</f>
        <v>#VALUE!</v>
      </c>
      <c r="GA93" t="e">
        <f>Nodes!F732+"'E4!&amp;#N"</f>
        <v>#VALUE!</v>
      </c>
      <c r="GB93" t="e">
        <f>Nodes!G732+"'E4!&amp;#O"</f>
        <v>#VALUE!</v>
      </c>
      <c r="GC93" t="e">
        <f>Nodes!H732+"'E4!&amp;#P"</f>
        <v>#VALUE!</v>
      </c>
      <c r="GD93" t="e">
        <f>Nodes!I732+"'E4!&amp;#Q"</f>
        <v>#VALUE!</v>
      </c>
      <c r="GE93" t="e">
        <f>Nodes!J732+"'E4!&amp;#R"</f>
        <v>#VALUE!</v>
      </c>
      <c r="GF93" t="e">
        <f>Nodes!K732+"'E4!&amp;#S"</f>
        <v>#VALUE!</v>
      </c>
      <c r="GG93" t="e">
        <f>Nodes!L732+"'E4!&amp;#T"</f>
        <v>#VALUE!</v>
      </c>
      <c r="GH93" t="e">
        <f>Nodes!M732+"'E4!&amp;#U"</f>
        <v>#VALUE!</v>
      </c>
      <c r="GI93" t="e">
        <f>Nodes!N732+"'E4!&amp;#V"</f>
        <v>#VALUE!</v>
      </c>
      <c r="GJ93" t="e">
        <f>Nodes!O732+"'E4!&amp;#W"</f>
        <v>#VALUE!</v>
      </c>
      <c r="GK93" t="e">
        <f>Nodes!P732+"'E4!&amp;#X"</f>
        <v>#VALUE!</v>
      </c>
      <c r="GL93" t="e">
        <f>Nodes!Q732+"'E4!&amp;#Y"</f>
        <v>#VALUE!</v>
      </c>
      <c r="GM93" t="e">
        <f>Nodes!R732+"'E4!&amp;#Z"</f>
        <v>#VALUE!</v>
      </c>
      <c r="GN93" t="e">
        <f>Nodes!S732+"'E4!&amp;#["</f>
        <v>#VALUE!</v>
      </c>
      <c r="GO93" s="547" t="e">
        <f>Nodes!T732+"'E4!&amp;#\"</f>
        <v>#VALUE!</v>
      </c>
      <c r="GP93" t="e">
        <f>Nodes!U732+"'E4!&amp;#]"</f>
        <v>#VALUE!</v>
      </c>
      <c r="GQ93" t="e">
        <f>Nodes!V732+"'E4!&amp;#^"</f>
        <v>#VALUE!</v>
      </c>
      <c r="GR93" s="547" t="e">
        <f>Nodes!W732+"'E4!&amp;#_"</f>
        <v>#VALUE!</v>
      </c>
      <c r="GS93" t="e">
        <f>Nodes!X732+"'E4!&amp;#`"</f>
        <v>#VALUE!</v>
      </c>
      <c r="GT93" t="e">
        <f>Nodes!Y732+"'E4!&amp;#a"</f>
        <v>#VALUE!</v>
      </c>
      <c r="GU93" t="e">
        <f>Nodes!Z732+"'E4!&amp;#b"</f>
        <v>#VALUE!</v>
      </c>
      <c r="GV93" t="e">
        <f>Nodes!AA732+"'E4!&amp;#c"</f>
        <v>#VALUE!</v>
      </c>
      <c r="GW93" t="e">
        <f>Nodes!AB732+"'E4!&amp;#d"</f>
        <v>#VALUE!</v>
      </c>
      <c r="GX93" t="e">
        <f>Nodes!AC732+"'E4!&amp;#e"</f>
        <v>#VALUE!</v>
      </c>
      <c r="GY93" t="e">
        <f>Nodes!A733+"'E4!&amp;#f"</f>
        <v>#VALUE!</v>
      </c>
      <c r="GZ93" t="e">
        <f>Nodes!B733+"'E4!&amp;#g"</f>
        <v>#VALUE!</v>
      </c>
      <c r="HA93" t="e">
        <f>Nodes!C733+"'E4!&amp;#h"</f>
        <v>#VALUE!</v>
      </c>
      <c r="HB93" t="e">
        <f>Nodes!D733+"'E4!&amp;#i"</f>
        <v>#VALUE!</v>
      </c>
      <c r="HC93" t="e">
        <f>Nodes!E733+"'E4!&amp;#j"</f>
        <v>#VALUE!</v>
      </c>
      <c r="HD93" t="e">
        <f>Nodes!F733+"'E4!&amp;#k"</f>
        <v>#VALUE!</v>
      </c>
      <c r="HE93" t="e">
        <f>Nodes!G733+"'E4!&amp;#l"</f>
        <v>#VALUE!</v>
      </c>
      <c r="HF93" t="e">
        <f>Nodes!H733+"'E4!&amp;#m"</f>
        <v>#VALUE!</v>
      </c>
      <c r="HG93" t="e">
        <f>Nodes!I733+"'E4!&amp;#n"</f>
        <v>#VALUE!</v>
      </c>
      <c r="HH93" t="e">
        <f>Nodes!J733+"'E4!&amp;#o"</f>
        <v>#VALUE!</v>
      </c>
      <c r="HI93" t="e">
        <f>Nodes!K733+"'E4!&amp;#p"</f>
        <v>#VALUE!</v>
      </c>
      <c r="HJ93" t="e">
        <f>Nodes!L733+"'E4!&amp;#q"</f>
        <v>#VALUE!</v>
      </c>
      <c r="HK93" t="e">
        <f>Nodes!M733+"'E4!&amp;#r"</f>
        <v>#VALUE!</v>
      </c>
      <c r="HL93" t="e">
        <f>Nodes!N733+"'E4!&amp;#s"</f>
        <v>#VALUE!</v>
      </c>
      <c r="HM93" t="e">
        <f>Nodes!O733+"'E4!&amp;#t"</f>
        <v>#VALUE!</v>
      </c>
      <c r="HN93" t="e">
        <f>Nodes!P733+"'E4!&amp;#u"</f>
        <v>#VALUE!</v>
      </c>
      <c r="HO93" t="e">
        <f>Nodes!Q733+"'E4!&amp;#v"</f>
        <v>#VALUE!</v>
      </c>
      <c r="HP93" t="e">
        <f>Nodes!R733+"'E4!&amp;#w"</f>
        <v>#VALUE!</v>
      </c>
      <c r="HQ93" t="e">
        <f>Nodes!S733+"'E4!&amp;#x"</f>
        <v>#VALUE!</v>
      </c>
      <c r="HR93" s="547" t="e">
        <f>Nodes!T733+"'E4!&amp;#y"</f>
        <v>#VALUE!</v>
      </c>
      <c r="HS93" t="e">
        <f>Nodes!U733+"'E4!&amp;#z"</f>
        <v>#VALUE!</v>
      </c>
      <c r="HT93" t="e">
        <f>Nodes!V733+"'E4!&amp;#{"</f>
        <v>#VALUE!</v>
      </c>
      <c r="HU93" s="547" t="e">
        <f>Nodes!W733+"'E4!&amp;#|"</f>
        <v>#VALUE!</v>
      </c>
      <c r="HV93" t="e">
        <f>Nodes!X733+"'E4!&amp;#}"</f>
        <v>#VALUE!</v>
      </c>
      <c r="HW93" t="e">
        <f>Nodes!Y733+"'E4!&amp;#~"</f>
        <v>#VALUE!</v>
      </c>
      <c r="HX93" t="e">
        <f>Nodes!Z733+"'E4!&amp;$#"</f>
        <v>#VALUE!</v>
      </c>
      <c r="HY93" t="e">
        <f>Nodes!AA733+"'E4!&amp;$$"</f>
        <v>#VALUE!</v>
      </c>
      <c r="HZ93" t="e">
        <f>Nodes!AB733+"'E4!&amp;$%"</f>
        <v>#VALUE!</v>
      </c>
      <c r="IA93" t="e">
        <f>Nodes!AC733+"'E4!&amp;$&amp;"</f>
        <v>#VALUE!</v>
      </c>
      <c r="IB93" t="e">
        <f>Nodes!A734+"'E4!&amp;$'"</f>
        <v>#VALUE!</v>
      </c>
      <c r="IC93" t="e">
        <f>Nodes!B734+"'E4!&amp;$("</f>
        <v>#VALUE!</v>
      </c>
      <c r="ID93" t="e">
        <f>Nodes!C734+"'E4!&amp;$)"</f>
        <v>#VALUE!</v>
      </c>
      <c r="IE93" t="e">
        <f>Nodes!D734+"'E4!&amp;$."</f>
        <v>#VALUE!</v>
      </c>
      <c r="IF93" t="e">
        <f>Nodes!E734+"'E4!&amp;$/"</f>
        <v>#VALUE!</v>
      </c>
      <c r="IG93" t="e">
        <f>Nodes!F734+"'E4!&amp;$0"</f>
        <v>#VALUE!</v>
      </c>
      <c r="IH93" t="e">
        <f>Nodes!G734+"'E4!&amp;$1"</f>
        <v>#VALUE!</v>
      </c>
      <c r="II93" t="e">
        <f>Nodes!H734+"'E4!&amp;$2"</f>
        <v>#VALUE!</v>
      </c>
      <c r="IJ93" t="e">
        <f>Nodes!I734+"'E4!&amp;$3"</f>
        <v>#VALUE!</v>
      </c>
      <c r="IK93" t="e">
        <f>Nodes!J734+"'E4!&amp;$4"</f>
        <v>#VALUE!</v>
      </c>
      <c r="IL93" t="e">
        <f>Nodes!K734+"'E4!&amp;$5"</f>
        <v>#VALUE!</v>
      </c>
      <c r="IM93" t="e">
        <f>Nodes!L734+"'E4!&amp;$6"</f>
        <v>#VALUE!</v>
      </c>
      <c r="IN93" t="e">
        <f>Nodes!M734+"'E4!&amp;$7"</f>
        <v>#VALUE!</v>
      </c>
      <c r="IO93" t="e">
        <f>Nodes!N734+"'E4!&amp;$8"</f>
        <v>#VALUE!</v>
      </c>
      <c r="IP93" t="e">
        <f>Nodes!O734+"'E4!&amp;$9"</f>
        <v>#VALUE!</v>
      </c>
      <c r="IQ93" t="e">
        <f>Nodes!P734+"'E4!&amp;$:"</f>
        <v>#VALUE!</v>
      </c>
      <c r="IR93" t="e">
        <f>Nodes!Q734+"'E4!&amp;$;"</f>
        <v>#VALUE!</v>
      </c>
      <c r="IS93" t="e">
        <f>Nodes!R734+"'E4!&amp;$&lt;"</f>
        <v>#VALUE!</v>
      </c>
      <c r="IT93" t="e">
        <f>Nodes!S734+"'E4!&amp;$="</f>
        <v>#VALUE!</v>
      </c>
      <c r="IU93" s="547" t="e">
        <f>Nodes!T734+"'E4!&amp;$&gt;"</f>
        <v>#VALUE!</v>
      </c>
      <c r="IV93" t="e">
        <f>Nodes!U734+"'E4!&amp;$?"</f>
        <v>#VALUE!</v>
      </c>
    </row>
    <row r="94" spans="6:256">
      <c r="F94" t="e">
        <f>Nodes!V734+"'E4!&amp;$@"</f>
        <v>#VALUE!</v>
      </c>
      <c r="G94" s="547" t="e">
        <f>Nodes!W734+"'E4!&amp;$A"</f>
        <v>#VALUE!</v>
      </c>
      <c r="H94" t="e">
        <f>Nodes!X734+"'E4!&amp;$B"</f>
        <v>#VALUE!</v>
      </c>
      <c r="I94" t="e">
        <f>Nodes!Y734+"'E4!&amp;$C"</f>
        <v>#VALUE!</v>
      </c>
      <c r="J94" t="e">
        <f>Nodes!Z734+"'E4!&amp;$D"</f>
        <v>#VALUE!</v>
      </c>
      <c r="K94" t="e">
        <f>Nodes!AA734+"'E4!&amp;$E"</f>
        <v>#VALUE!</v>
      </c>
      <c r="L94" t="e">
        <f>Nodes!AB734+"'E4!&amp;$F"</f>
        <v>#VALUE!</v>
      </c>
      <c r="M94" t="e">
        <f>Nodes!AC734+"'E4!&amp;$G"</f>
        <v>#VALUE!</v>
      </c>
      <c r="N94" t="e">
        <f>Nodes!A735+"'E4!&amp;$H"</f>
        <v>#VALUE!</v>
      </c>
      <c r="O94" t="e">
        <f>Nodes!B735+"'E4!&amp;$I"</f>
        <v>#VALUE!</v>
      </c>
      <c r="P94" t="e">
        <f>Nodes!C735+"'E4!&amp;$J"</f>
        <v>#VALUE!</v>
      </c>
      <c r="Q94" t="e">
        <f>Nodes!D735+"'E4!&amp;$K"</f>
        <v>#VALUE!</v>
      </c>
      <c r="R94" t="e">
        <f>Nodes!E735+"'E4!&amp;$L"</f>
        <v>#VALUE!</v>
      </c>
      <c r="S94" t="e">
        <f>Nodes!F735+"'E4!&amp;$M"</f>
        <v>#VALUE!</v>
      </c>
      <c r="T94" t="e">
        <f>Nodes!G735+"'E4!&amp;$N"</f>
        <v>#VALUE!</v>
      </c>
      <c r="U94" t="e">
        <f>Nodes!H735+"'E4!&amp;$O"</f>
        <v>#VALUE!</v>
      </c>
      <c r="V94" t="e">
        <f>Nodes!I735+"'E4!&amp;$P"</f>
        <v>#VALUE!</v>
      </c>
      <c r="W94" t="e">
        <f>Nodes!J735+"'E4!&amp;$Q"</f>
        <v>#VALUE!</v>
      </c>
      <c r="X94" t="e">
        <f>Nodes!K735+"'E4!&amp;$R"</f>
        <v>#VALUE!</v>
      </c>
      <c r="Y94" t="e">
        <f>Nodes!L735+"'E4!&amp;$S"</f>
        <v>#VALUE!</v>
      </c>
      <c r="Z94" t="e">
        <f>Nodes!M735+"'E4!&amp;$T"</f>
        <v>#VALUE!</v>
      </c>
      <c r="AA94" t="e">
        <f>Nodes!N735+"'E4!&amp;$U"</f>
        <v>#VALUE!</v>
      </c>
      <c r="AB94" t="e">
        <f>Nodes!O735+"'E4!&amp;$V"</f>
        <v>#VALUE!</v>
      </c>
      <c r="AC94" t="e">
        <f>Nodes!P735+"'E4!&amp;$W"</f>
        <v>#VALUE!</v>
      </c>
      <c r="AD94" t="e">
        <f>Nodes!Q735+"'E4!&amp;$X"</f>
        <v>#VALUE!</v>
      </c>
      <c r="AE94" t="e">
        <f>Nodes!R735+"'E4!&amp;$Y"</f>
        <v>#VALUE!</v>
      </c>
      <c r="AF94" t="e">
        <f>Nodes!S735+"'E4!&amp;$Z"</f>
        <v>#VALUE!</v>
      </c>
      <c r="AG94" s="547" t="e">
        <f>Nodes!T735+"'E4!&amp;$["</f>
        <v>#VALUE!</v>
      </c>
      <c r="AH94" t="e">
        <f>Nodes!U735+"'E4!&amp;$\"</f>
        <v>#VALUE!</v>
      </c>
      <c r="AI94" t="e">
        <f>Nodes!V735+"'E4!&amp;$]"</f>
        <v>#VALUE!</v>
      </c>
      <c r="AJ94" s="547" t="e">
        <f>Nodes!W735+"'E4!&amp;$^"</f>
        <v>#VALUE!</v>
      </c>
      <c r="AK94" t="e">
        <f>Nodes!X735+"'E4!&amp;$_"</f>
        <v>#VALUE!</v>
      </c>
      <c r="AL94" t="e">
        <f>Nodes!Y735+"'E4!&amp;$`"</f>
        <v>#VALUE!</v>
      </c>
      <c r="AM94" t="e">
        <f>Nodes!Z735+"'E4!&amp;$a"</f>
        <v>#VALUE!</v>
      </c>
      <c r="AN94" t="e">
        <f>Nodes!AA735+"'E4!&amp;$b"</f>
        <v>#VALUE!</v>
      </c>
      <c r="AO94" t="e">
        <f>Nodes!AB735+"'E4!&amp;$c"</f>
        <v>#VALUE!</v>
      </c>
      <c r="AP94" t="e">
        <f>Nodes!AC735+"'E4!&amp;$d"</f>
        <v>#VALUE!</v>
      </c>
      <c r="AQ94" t="e">
        <f>Nodes!A736+"'E4!&amp;$e"</f>
        <v>#VALUE!</v>
      </c>
      <c r="AR94" t="e">
        <f>Nodes!B736+"'E4!&amp;$f"</f>
        <v>#VALUE!</v>
      </c>
      <c r="AS94" t="e">
        <f>Nodes!C736+"'E4!&amp;$g"</f>
        <v>#VALUE!</v>
      </c>
      <c r="AT94" t="e">
        <f>Nodes!D736+"'E4!&amp;$h"</f>
        <v>#VALUE!</v>
      </c>
      <c r="AU94" t="e">
        <f>Nodes!E736+"'E4!&amp;$i"</f>
        <v>#VALUE!</v>
      </c>
      <c r="AV94" t="e">
        <f>Nodes!F736+"'E4!&amp;$j"</f>
        <v>#VALUE!</v>
      </c>
      <c r="AW94" t="e">
        <f>Nodes!G736+"'E4!&amp;$k"</f>
        <v>#VALUE!</v>
      </c>
      <c r="AX94" t="e">
        <f>Nodes!H736+"'E4!&amp;$l"</f>
        <v>#VALUE!</v>
      </c>
      <c r="AY94" t="e">
        <f>Nodes!I736+"'E4!&amp;$m"</f>
        <v>#VALUE!</v>
      </c>
      <c r="AZ94" t="e">
        <f>Nodes!J736+"'E4!&amp;$n"</f>
        <v>#VALUE!</v>
      </c>
      <c r="BA94" t="e">
        <f>Nodes!K736+"'E4!&amp;$o"</f>
        <v>#VALUE!</v>
      </c>
      <c r="BB94" t="e">
        <f>Nodes!L736+"'E4!&amp;$p"</f>
        <v>#VALUE!</v>
      </c>
      <c r="BC94" t="e">
        <f>Nodes!M736+"'E4!&amp;$q"</f>
        <v>#VALUE!</v>
      </c>
      <c r="BD94" t="e">
        <f>Nodes!N736+"'E4!&amp;$r"</f>
        <v>#VALUE!</v>
      </c>
      <c r="BE94" t="e">
        <f>Nodes!O736+"'E4!&amp;$s"</f>
        <v>#VALUE!</v>
      </c>
      <c r="BF94" t="e">
        <f>Nodes!P736+"'E4!&amp;$t"</f>
        <v>#VALUE!</v>
      </c>
      <c r="BG94" t="e">
        <f>Nodes!Q736+"'E4!&amp;$u"</f>
        <v>#VALUE!</v>
      </c>
      <c r="BH94" t="e">
        <f>Nodes!R736+"'E4!&amp;$v"</f>
        <v>#VALUE!</v>
      </c>
      <c r="BI94" t="e">
        <f>Nodes!S736+"'E4!&amp;$w"</f>
        <v>#VALUE!</v>
      </c>
      <c r="BJ94" s="547" t="e">
        <f>Nodes!T736+"'E4!&amp;$x"</f>
        <v>#VALUE!</v>
      </c>
      <c r="BK94" t="e">
        <f>Nodes!U736+"'E4!&amp;$y"</f>
        <v>#VALUE!</v>
      </c>
      <c r="BL94" t="e">
        <f>Nodes!V736+"'E4!&amp;$z"</f>
        <v>#VALUE!</v>
      </c>
      <c r="BM94" s="547" t="e">
        <f>Nodes!W736+"'E4!&amp;${"</f>
        <v>#VALUE!</v>
      </c>
      <c r="BN94" t="e">
        <f>Nodes!X736+"'E4!&amp;$|"</f>
        <v>#VALUE!</v>
      </c>
      <c r="BO94" t="e">
        <f>Nodes!Y736+"'E4!&amp;$}"</f>
        <v>#VALUE!</v>
      </c>
      <c r="BP94" t="e">
        <f>Nodes!Z736+"'E4!&amp;$~"</f>
        <v>#VALUE!</v>
      </c>
      <c r="BQ94" t="e">
        <f>Nodes!AA736+"'E4!&amp;%#"</f>
        <v>#VALUE!</v>
      </c>
      <c r="BR94" t="e">
        <f>Nodes!AB736+"'E4!&amp;%$"</f>
        <v>#VALUE!</v>
      </c>
      <c r="BS94" t="e">
        <f>Nodes!AC736+"'E4!&amp;%%"</f>
        <v>#VALUE!</v>
      </c>
      <c r="BT94" t="e">
        <f>Nodes!A737+"'E4!&amp;%&amp;"</f>
        <v>#VALUE!</v>
      </c>
      <c r="BU94" t="e">
        <f>Nodes!B737+"'E4!&amp;%'"</f>
        <v>#VALUE!</v>
      </c>
      <c r="BV94" t="e">
        <f>Nodes!C737+"'E4!&amp;%("</f>
        <v>#VALUE!</v>
      </c>
      <c r="BW94" t="e">
        <f>Nodes!D737+"'E4!&amp;%)"</f>
        <v>#VALUE!</v>
      </c>
      <c r="BX94" t="e">
        <f>Nodes!E737+"'E4!&amp;%."</f>
        <v>#VALUE!</v>
      </c>
      <c r="BY94" t="e">
        <f>Nodes!F737+"'E4!&amp;%/"</f>
        <v>#VALUE!</v>
      </c>
      <c r="BZ94" t="e">
        <f>Nodes!G737+"'E4!&amp;%0"</f>
        <v>#VALUE!</v>
      </c>
      <c r="CA94" t="e">
        <f>Nodes!H737+"'E4!&amp;%1"</f>
        <v>#VALUE!</v>
      </c>
      <c r="CB94" t="e">
        <f>Nodes!I737+"'E4!&amp;%2"</f>
        <v>#VALUE!</v>
      </c>
      <c r="CC94" t="e">
        <f>Nodes!J737+"'E4!&amp;%3"</f>
        <v>#VALUE!</v>
      </c>
      <c r="CD94" t="e">
        <f>Nodes!K737+"'E4!&amp;%4"</f>
        <v>#VALUE!</v>
      </c>
      <c r="CE94" t="e">
        <f>Nodes!L737+"'E4!&amp;%5"</f>
        <v>#VALUE!</v>
      </c>
      <c r="CF94" t="e">
        <f>Nodes!M737+"'E4!&amp;%6"</f>
        <v>#VALUE!</v>
      </c>
      <c r="CG94" t="e">
        <f>Nodes!N737+"'E4!&amp;%7"</f>
        <v>#VALUE!</v>
      </c>
      <c r="CH94" t="e">
        <f>Nodes!O737+"'E4!&amp;%8"</f>
        <v>#VALUE!</v>
      </c>
      <c r="CI94" t="e">
        <f>Nodes!P737+"'E4!&amp;%9"</f>
        <v>#VALUE!</v>
      </c>
      <c r="CJ94" t="e">
        <f>Nodes!Q737+"'E4!&amp;%:"</f>
        <v>#VALUE!</v>
      </c>
      <c r="CK94" t="e">
        <f>Nodes!R737+"'E4!&amp;%;"</f>
        <v>#VALUE!</v>
      </c>
      <c r="CL94" t="e">
        <f>Nodes!S737+"'E4!&amp;%&lt;"</f>
        <v>#VALUE!</v>
      </c>
      <c r="CM94" s="547" t="e">
        <f>Nodes!T737+"'E4!&amp;%="</f>
        <v>#VALUE!</v>
      </c>
      <c r="CN94" t="e">
        <f>Nodes!U737+"'E4!&amp;%&gt;"</f>
        <v>#VALUE!</v>
      </c>
      <c r="CO94" t="e">
        <f>Nodes!V737+"'E4!&amp;%?"</f>
        <v>#VALUE!</v>
      </c>
      <c r="CP94" s="547" t="e">
        <f>Nodes!W737+"'E4!&amp;%@"</f>
        <v>#VALUE!</v>
      </c>
      <c r="CQ94" t="e">
        <f>Nodes!X737+"'E4!&amp;%A"</f>
        <v>#VALUE!</v>
      </c>
      <c r="CR94" t="e">
        <f>Nodes!Y737+"'E4!&amp;%B"</f>
        <v>#VALUE!</v>
      </c>
      <c r="CS94" t="e">
        <f>Nodes!Z737+"'E4!&amp;%C"</f>
        <v>#VALUE!</v>
      </c>
      <c r="CT94" t="e">
        <f>Nodes!AA737+"'E4!&amp;%D"</f>
        <v>#VALUE!</v>
      </c>
      <c r="CU94" t="e">
        <f>Nodes!AB737+"'E4!&amp;%E"</f>
        <v>#VALUE!</v>
      </c>
      <c r="CV94" t="e">
        <f>Nodes!AC737+"'E4!&amp;%F"</f>
        <v>#VALUE!</v>
      </c>
      <c r="CW94" t="e">
        <f>Nodes!A738+"'E4!&amp;%G"</f>
        <v>#VALUE!</v>
      </c>
      <c r="CX94" t="e">
        <f>Nodes!B738+"'E4!&amp;%H"</f>
        <v>#VALUE!</v>
      </c>
      <c r="CY94" t="e">
        <f>Nodes!C738+"'E4!&amp;%I"</f>
        <v>#VALUE!</v>
      </c>
      <c r="CZ94" t="e">
        <f>Nodes!D738+"'E4!&amp;%J"</f>
        <v>#VALUE!</v>
      </c>
      <c r="DA94" t="e">
        <f>Nodes!E738+"'E4!&amp;%K"</f>
        <v>#VALUE!</v>
      </c>
      <c r="DB94" t="e">
        <f>Nodes!F738+"'E4!&amp;%L"</f>
        <v>#VALUE!</v>
      </c>
      <c r="DC94" t="e">
        <f>Nodes!G738+"'E4!&amp;%M"</f>
        <v>#VALUE!</v>
      </c>
      <c r="DD94" t="e">
        <f>Nodes!H738+"'E4!&amp;%N"</f>
        <v>#VALUE!</v>
      </c>
      <c r="DE94" t="e">
        <f>Nodes!I738+"'E4!&amp;%O"</f>
        <v>#VALUE!</v>
      </c>
      <c r="DF94" t="e">
        <f>Nodes!J738+"'E4!&amp;%P"</f>
        <v>#VALUE!</v>
      </c>
      <c r="DG94" t="e">
        <f>Nodes!K738+"'E4!&amp;%Q"</f>
        <v>#VALUE!</v>
      </c>
      <c r="DH94" t="e">
        <f>Nodes!L738+"'E4!&amp;%R"</f>
        <v>#VALUE!</v>
      </c>
      <c r="DI94" t="e">
        <f>Nodes!M738+"'E4!&amp;%S"</f>
        <v>#VALUE!</v>
      </c>
      <c r="DJ94" t="e">
        <f>Nodes!N738+"'E4!&amp;%T"</f>
        <v>#VALUE!</v>
      </c>
      <c r="DK94" t="e">
        <f>Nodes!O738+"'E4!&amp;%U"</f>
        <v>#VALUE!</v>
      </c>
      <c r="DL94" t="e">
        <f>Nodes!P738+"'E4!&amp;%V"</f>
        <v>#VALUE!</v>
      </c>
      <c r="DM94" t="e">
        <f>Nodes!Q738+"'E4!&amp;%W"</f>
        <v>#VALUE!</v>
      </c>
      <c r="DN94" t="e">
        <f>Nodes!R738+"'E4!&amp;%X"</f>
        <v>#VALUE!</v>
      </c>
      <c r="DO94" t="e">
        <f>Nodes!S738+"'E4!&amp;%Y"</f>
        <v>#VALUE!</v>
      </c>
      <c r="DP94" s="547" t="e">
        <f>Nodes!T738+"'E4!&amp;%Z"</f>
        <v>#VALUE!</v>
      </c>
      <c r="DQ94" t="e">
        <f>Nodes!U738+"'E4!&amp;%["</f>
        <v>#VALUE!</v>
      </c>
      <c r="DR94" t="e">
        <f>Nodes!V738+"'E4!&amp;%\"</f>
        <v>#VALUE!</v>
      </c>
      <c r="DS94" s="547" t="e">
        <f>Nodes!W738+"'E4!&amp;%]"</f>
        <v>#VALUE!</v>
      </c>
      <c r="DT94" t="e">
        <f>Nodes!X738+"'E4!&amp;%^"</f>
        <v>#VALUE!</v>
      </c>
      <c r="DU94" t="e">
        <f>Nodes!Y738+"'E4!&amp;%_"</f>
        <v>#VALUE!</v>
      </c>
      <c r="DV94" t="e">
        <f>Nodes!Z738+"'E4!&amp;%`"</f>
        <v>#VALUE!</v>
      </c>
      <c r="DW94" t="e">
        <f>Nodes!AA738+"'E4!&amp;%a"</f>
        <v>#VALUE!</v>
      </c>
      <c r="DX94" t="e">
        <f>Nodes!AB738+"'E4!&amp;%b"</f>
        <v>#VALUE!</v>
      </c>
      <c r="DY94" t="e">
        <f>Nodes!AC738+"'E4!&amp;%c"</f>
        <v>#VALUE!</v>
      </c>
      <c r="DZ94" t="e">
        <f>Nodes!A739+"'E4!&amp;%d"</f>
        <v>#VALUE!</v>
      </c>
      <c r="EA94" t="e">
        <f>Nodes!B739+"'E4!&amp;%e"</f>
        <v>#VALUE!</v>
      </c>
      <c r="EB94" t="e">
        <f>Nodes!C739+"'E4!&amp;%f"</f>
        <v>#VALUE!</v>
      </c>
      <c r="EC94" t="e">
        <f>Nodes!D739+"'E4!&amp;%g"</f>
        <v>#VALUE!</v>
      </c>
      <c r="ED94" t="e">
        <f>Nodes!E739+"'E4!&amp;%h"</f>
        <v>#VALUE!</v>
      </c>
      <c r="EE94" t="e">
        <f>Nodes!F739+"'E4!&amp;%i"</f>
        <v>#VALUE!</v>
      </c>
      <c r="EF94" t="e">
        <f>Nodes!G739+"'E4!&amp;%j"</f>
        <v>#VALUE!</v>
      </c>
      <c r="EG94" t="e">
        <f>Nodes!H739+"'E4!&amp;%k"</f>
        <v>#VALUE!</v>
      </c>
      <c r="EH94" t="e">
        <f>Nodes!I739+"'E4!&amp;%l"</f>
        <v>#VALUE!</v>
      </c>
      <c r="EI94" t="e">
        <f>Nodes!J739+"'E4!&amp;%m"</f>
        <v>#VALUE!</v>
      </c>
      <c r="EJ94" t="e">
        <f>Nodes!K739+"'E4!&amp;%n"</f>
        <v>#VALUE!</v>
      </c>
      <c r="EK94" t="e">
        <f>Nodes!L739+"'E4!&amp;%o"</f>
        <v>#VALUE!</v>
      </c>
      <c r="EL94" t="e">
        <f>Nodes!M739+"'E4!&amp;%p"</f>
        <v>#VALUE!</v>
      </c>
      <c r="EM94" t="e">
        <f>Nodes!N739+"'E4!&amp;%q"</f>
        <v>#VALUE!</v>
      </c>
      <c r="EN94" t="e">
        <f>Nodes!O739+"'E4!&amp;%r"</f>
        <v>#VALUE!</v>
      </c>
      <c r="EO94" t="e">
        <f>Nodes!P739+"'E4!&amp;%s"</f>
        <v>#VALUE!</v>
      </c>
      <c r="EP94" t="e">
        <f>Nodes!Q739+"'E4!&amp;%t"</f>
        <v>#VALUE!</v>
      </c>
      <c r="EQ94" t="e">
        <f>Nodes!R739+"'E4!&amp;%u"</f>
        <v>#VALUE!</v>
      </c>
      <c r="ER94" t="e">
        <f>Nodes!S739+"'E4!&amp;%v"</f>
        <v>#VALUE!</v>
      </c>
      <c r="ES94" s="547" t="e">
        <f>Nodes!T739+"'E4!&amp;%w"</f>
        <v>#VALUE!</v>
      </c>
      <c r="ET94" t="e">
        <f>Nodes!U739+"'E4!&amp;%x"</f>
        <v>#VALUE!</v>
      </c>
      <c r="EU94" t="e">
        <f>Nodes!V739+"'E4!&amp;%y"</f>
        <v>#VALUE!</v>
      </c>
      <c r="EV94" s="547" t="e">
        <f>Nodes!W739+"'E4!&amp;%z"</f>
        <v>#VALUE!</v>
      </c>
      <c r="EW94" t="e">
        <f>Nodes!X739+"'E4!&amp;%{"</f>
        <v>#VALUE!</v>
      </c>
      <c r="EX94" t="e">
        <f>Nodes!Y739+"'E4!&amp;%|"</f>
        <v>#VALUE!</v>
      </c>
      <c r="EY94" t="e">
        <f>Nodes!Z739+"'E4!&amp;%}"</f>
        <v>#VALUE!</v>
      </c>
      <c r="EZ94" t="e">
        <f>Nodes!AA739+"'E4!&amp;%~"</f>
        <v>#VALUE!</v>
      </c>
      <c r="FA94" t="e">
        <f>Nodes!AB739+"'E4!&amp;&amp;#"</f>
        <v>#VALUE!</v>
      </c>
      <c r="FB94" t="e">
        <f>Nodes!AC739+"'E4!&amp;&amp;$"</f>
        <v>#VALUE!</v>
      </c>
      <c r="FC94" t="e">
        <f>Nodes!A740+"'E4!&amp;&amp;%"</f>
        <v>#VALUE!</v>
      </c>
      <c r="FD94" t="e">
        <f>Nodes!B740+"'E4!&amp;&amp;&amp;"</f>
        <v>#VALUE!</v>
      </c>
      <c r="FE94" t="e">
        <f>Nodes!C740+"'E4!&amp;&amp;'"</f>
        <v>#VALUE!</v>
      </c>
      <c r="FF94" t="e">
        <f>Nodes!D740+"'E4!&amp;&amp;("</f>
        <v>#VALUE!</v>
      </c>
      <c r="FG94" t="e">
        <f>Nodes!E740+"'E4!&amp;&amp;)"</f>
        <v>#VALUE!</v>
      </c>
      <c r="FH94" t="e">
        <f>Nodes!F740+"'E4!&amp;&amp;."</f>
        <v>#VALUE!</v>
      </c>
      <c r="FI94" t="e">
        <f>Nodes!G740+"'E4!&amp;&amp;/"</f>
        <v>#VALUE!</v>
      </c>
      <c r="FJ94" t="e">
        <f>Nodes!H740+"'E4!&amp;&amp;0"</f>
        <v>#VALUE!</v>
      </c>
      <c r="FK94" t="e">
        <f>Nodes!I740+"'E4!&amp;&amp;1"</f>
        <v>#VALUE!</v>
      </c>
      <c r="FL94" t="e">
        <f>Nodes!J740+"'E4!&amp;&amp;2"</f>
        <v>#VALUE!</v>
      </c>
      <c r="FM94" t="e">
        <f>Nodes!K740+"'E4!&amp;&amp;3"</f>
        <v>#VALUE!</v>
      </c>
      <c r="FN94" t="e">
        <f>Nodes!L740+"'E4!&amp;&amp;4"</f>
        <v>#VALUE!</v>
      </c>
      <c r="FO94" t="e">
        <f>Nodes!M740+"'E4!&amp;&amp;5"</f>
        <v>#VALUE!</v>
      </c>
      <c r="FP94" t="e">
        <f>Nodes!N740+"'E4!&amp;&amp;6"</f>
        <v>#VALUE!</v>
      </c>
      <c r="FQ94" t="e">
        <f>Nodes!O740+"'E4!&amp;&amp;7"</f>
        <v>#VALUE!</v>
      </c>
      <c r="FR94" t="e">
        <f>Nodes!P740+"'E4!&amp;&amp;8"</f>
        <v>#VALUE!</v>
      </c>
      <c r="FS94" t="e">
        <f>Nodes!Q740+"'E4!&amp;&amp;9"</f>
        <v>#VALUE!</v>
      </c>
      <c r="FT94" t="e">
        <f>Nodes!R740+"'E4!&amp;&amp;:"</f>
        <v>#VALUE!</v>
      </c>
      <c r="FU94" t="e">
        <f>Nodes!S740+"'E4!&amp;&amp;;"</f>
        <v>#VALUE!</v>
      </c>
      <c r="FV94" s="547" t="e">
        <f>Nodes!T740+"'E4!&amp;&amp;&lt;"</f>
        <v>#VALUE!</v>
      </c>
      <c r="FW94" t="e">
        <f>Nodes!U740+"'E4!&amp;&amp;="</f>
        <v>#VALUE!</v>
      </c>
      <c r="FX94" t="e">
        <f>Nodes!V740+"'E4!&amp;&amp;&gt;"</f>
        <v>#VALUE!</v>
      </c>
      <c r="FY94" s="547" t="e">
        <f>Nodes!W740+"'E4!&amp;&amp;?"</f>
        <v>#VALUE!</v>
      </c>
      <c r="FZ94" t="e">
        <f>Nodes!X740+"'E4!&amp;&amp;@"</f>
        <v>#VALUE!</v>
      </c>
      <c r="GA94" t="e">
        <f>Nodes!Y740+"'E4!&amp;&amp;A"</f>
        <v>#VALUE!</v>
      </c>
      <c r="GB94" t="e">
        <f>Nodes!Z740+"'E4!&amp;&amp;B"</f>
        <v>#VALUE!</v>
      </c>
      <c r="GC94" t="e">
        <f>Nodes!AA740+"'E4!&amp;&amp;C"</f>
        <v>#VALUE!</v>
      </c>
      <c r="GD94" t="e">
        <f>Nodes!AB740+"'E4!&amp;&amp;D"</f>
        <v>#VALUE!</v>
      </c>
      <c r="GE94" t="e">
        <f>Nodes!AC740+"'E4!&amp;&amp;E"</f>
        <v>#VALUE!</v>
      </c>
      <c r="GF94" t="e">
        <f>Nodes!A741+"'E4!&amp;&amp;F"</f>
        <v>#VALUE!</v>
      </c>
      <c r="GG94" t="e">
        <f>Nodes!B741+"'E4!&amp;&amp;G"</f>
        <v>#VALUE!</v>
      </c>
      <c r="GH94" t="e">
        <f>Nodes!C741+"'E4!&amp;&amp;H"</f>
        <v>#VALUE!</v>
      </c>
      <c r="GI94" t="e">
        <f>Nodes!D741+"'E4!&amp;&amp;I"</f>
        <v>#VALUE!</v>
      </c>
      <c r="GJ94" t="e">
        <f>Nodes!E741+"'E4!&amp;&amp;J"</f>
        <v>#VALUE!</v>
      </c>
      <c r="GK94" t="e">
        <f>Nodes!F741+"'E4!&amp;&amp;K"</f>
        <v>#VALUE!</v>
      </c>
      <c r="GL94" t="e">
        <f>Nodes!G741+"'E4!&amp;&amp;L"</f>
        <v>#VALUE!</v>
      </c>
      <c r="GM94" t="e">
        <f>Nodes!H741+"'E4!&amp;&amp;M"</f>
        <v>#VALUE!</v>
      </c>
      <c r="GN94" t="e">
        <f>Nodes!I741+"'E4!&amp;&amp;N"</f>
        <v>#VALUE!</v>
      </c>
      <c r="GO94" t="e">
        <f>Nodes!J741+"'E4!&amp;&amp;O"</f>
        <v>#VALUE!</v>
      </c>
      <c r="GP94" t="e">
        <f>Nodes!K741+"'E4!&amp;&amp;P"</f>
        <v>#VALUE!</v>
      </c>
      <c r="GQ94" t="e">
        <f>Nodes!L741+"'E4!&amp;&amp;Q"</f>
        <v>#VALUE!</v>
      </c>
      <c r="GR94" t="e">
        <f>Nodes!M741+"'E4!&amp;&amp;R"</f>
        <v>#VALUE!</v>
      </c>
      <c r="GS94" t="e">
        <f>Nodes!N741+"'E4!&amp;&amp;S"</f>
        <v>#VALUE!</v>
      </c>
      <c r="GT94" t="e">
        <f>Nodes!O741+"'E4!&amp;&amp;T"</f>
        <v>#VALUE!</v>
      </c>
      <c r="GU94" t="e">
        <f>Nodes!P741+"'E4!&amp;&amp;U"</f>
        <v>#VALUE!</v>
      </c>
      <c r="GV94" t="e">
        <f>Nodes!Q741+"'E4!&amp;&amp;V"</f>
        <v>#VALUE!</v>
      </c>
      <c r="GW94" t="e">
        <f>Nodes!R741+"'E4!&amp;&amp;W"</f>
        <v>#VALUE!</v>
      </c>
      <c r="GX94" t="e">
        <f>Nodes!S741+"'E4!&amp;&amp;X"</f>
        <v>#VALUE!</v>
      </c>
      <c r="GY94" s="547" t="e">
        <f>Nodes!T741+"'E4!&amp;&amp;Y"</f>
        <v>#VALUE!</v>
      </c>
      <c r="GZ94" t="e">
        <f>Nodes!U741+"'E4!&amp;&amp;Z"</f>
        <v>#VALUE!</v>
      </c>
      <c r="HA94" t="e">
        <f>Nodes!V741+"'E4!&amp;&amp;["</f>
        <v>#VALUE!</v>
      </c>
      <c r="HB94" s="547" t="e">
        <f>Nodes!W741+"'E4!&amp;&amp;\"</f>
        <v>#VALUE!</v>
      </c>
      <c r="HC94" t="e">
        <f>Nodes!X741+"'E4!&amp;&amp;]"</f>
        <v>#VALUE!</v>
      </c>
      <c r="HD94" t="e">
        <f>Nodes!Y741+"'E4!&amp;&amp;^"</f>
        <v>#VALUE!</v>
      </c>
      <c r="HE94" t="e">
        <f>Nodes!Z741+"'E4!&amp;&amp;_"</f>
        <v>#VALUE!</v>
      </c>
      <c r="HF94" t="e">
        <f>Nodes!AA741+"'E4!&amp;&amp;`"</f>
        <v>#VALUE!</v>
      </c>
      <c r="HG94" t="e">
        <f>Nodes!AB741+"'E4!&amp;&amp;a"</f>
        <v>#VALUE!</v>
      </c>
      <c r="HH94" t="e">
        <f>Nodes!AC741+"'E4!&amp;&amp;b"</f>
        <v>#VALUE!</v>
      </c>
      <c r="HI94" t="e">
        <f>Nodes!A742+"'E4!&amp;&amp;c"</f>
        <v>#VALUE!</v>
      </c>
      <c r="HJ94" t="e">
        <f>Nodes!B742+"'E4!&amp;&amp;d"</f>
        <v>#VALUE!</v>
      </c>
      <c r="HK94" t="e">
        <f>Nodes!C742+"'E4!&amp;&amp;e"</f>
        <v>#VALUE!</v>
      </c>
      <c r="HL94" t="e">
        <f>Nodes!D742+"'E4!&amp;&amp;f"</f>
        <v>#VALUE!</v>
      </c>
      <c r="HM94" t="e">
        <f>Nodes!E742+"'E4!&amp;&amp;g"</f>
        <v>#VALUE!</v>
      </c>
      <c r="HN94" t="e">
        <f>Nodes!F742+"'E4!&amp;&amp;h"</f>
        <v>#VALUE!</v>
      </c>
      <c r="HO94" t="e">
        <f>Nodes!G742+"'E4!&amp;&amp;i"</f>
        <v>#VALUE!</v>
      </c>
      <c r="HP94" t="e">
        <f>Nodes!H742+"'E4!&amp;&amp;j"</f>
        <v>#VALUE!</v>
      </c>
      <c r="HQ94" t="e">
        <f>Nodes!I742+"'E4!&amp;&amp;k"</f>
        <v>#VALUE!</v>
      </c>
      <c r="HR94" t="e">
        <f>Nodes!J742+"'E4!&amp;&amp;l"</f>
        <v>#VALUE!</v>
      </c>
      <c r="HS94" t="e">
        <f>Nodes!K742+"'E4!&amp;&amp;m"</f>
        <v>#VALUE!</v>
      </c>
      <c r="HT94" t="e">
        <f>Nodes!L742+"'E4!&amp;&amp;n"</f>
        <v>#VALUE!</v>
      </c>
      <c r="HU94" t="e">
        <f>Nodes!M742+"'E4!&amp;&amp;o"</f>
        <v>#VALUE!</v>
      </c>
      <c r="HV94" t="e">
        <f>Nodes!N742+"'E4!&amp;&amp;p"</f>
        <v>#VALUE!</v>
      </c>
      <c r="HW94" t="e">
        <f>Nodes!O742+"'E4!&amp;&amp;q"</f>
        <v>#VALUE!</v>
      </c>
      <c r="HX94" t="e">
        <f>Nodes!P742+"'E4!&amp;&amp;r"</f>
        <v>#VALUE!</v>
      </c>
      <c r="HY94" t="e">
        <f>Nodes!Q742+"'E4!&amp;&amp;s"</f>
        <v>#VALUE!</v>
      </c>
      <c r="HZ94" t="e">
        <f>Nodes!R742+"'E4!&amp;&amp;t"</f>
        <v>#VALUE!</v>
      </c>
      <c r="IA94" t="e">
        <f>Nodes!S742+"'E4!&amp;&amp;u"</f>
        <v>#VALUE!</v>
      </c>
      <c r="IB94" s="547" t="e">
        <f>Nodes!T742+"'E4!&amp;&amp;v"</f>
        <v>#VALUE!</v>
      </c>
      <c r="IC94" t="e">
        <f>Nodes!U742+"'E4!&amp;&amp;w"</f>
        <v>#VALUE!</v>
      </c>
      <c r="ID94" t="e">
        <f>Nodes!V742+"'E4!&amp;&amp;x"</f>
        <v>#VALUE!</v>
      </c>
      <c r="IE94" s="547" t="e">
        <f>Nodes!W742+"'E4!&amp;&amp;y"</f>
        <v>#VALUE!</v>
      </c>
      <c r="IF94" t="e">
        <f>Nodes!X742+"'E4!&amp;&amp;z"</f>
        <v>#VALUE!</v>
      </c>
      <c r="IG94" t="e">
        <f>Nodes!Y742+"'E4!&amp;&amp;{"</f>
        <v>#VALUE!</v>
      </c>
      <c r="IH94" t="e">
        <f>Nodes!Z742+"'E4!&amp;&amp;|"</f>
        <v>#VALUE!</v>
      </c>
      <c r="II94" t="e">
        <f>Nodes!AA742+"'E4!&amp;&amp;}"</f>
        <v>#VALUE!</v>
      </c>
      <c r="IJ94" t="e">
        <f>Nodes!AB742+"'E4!&amp;&amp;~"</f>
        <v>#VALUE!</v>
      </c>
      <c r="IK94" t="e">
        <f>Nodes!AC742+"'E4!&amp;'#"</f>
        <v>#VALUE!</v>
      </c>
      <c r="IL94" t="e">
        <f>Nodes!A743+"'E4!&amp;'$"</f>
        <v>#VALUE!</v>
      </c>
      <c r="IM94" t="e">
        <f>Nodes!B743+"'E4!&amp;'%"</f>
        <v>#VALUE!</v>
      </c>
      <c r="IN94" t="e">
        <f>Nodes!C743+"'E4!&amp;'&amp;"</f>
        <v>#VALUE!</v>
      </c>
      <c r="IO94" t="e">
        <f>Nodes!D743+"'E4!&amp;''"</f>
        <v>#VALUE!</v>
      </c>
      <c r="IP94" t="e">
        <f>Nodes!E743+"'E4!&amp;'("</f>
        <v>#VALUE!</v>
      </c>
      <c r="IQ94" t="e">
        <f>Nodes!F743+"'E4!&amp;')"</f>
        <v>#VALUE!</v>
      </c>
      <c r="IR94" t="e">
        <f>Nodes!G743+"'E4!&amp;'."</f>
        <v>#VALUE!</v>
      </c>
      <c r="IS94" t="e">
        <f>Nodes!H743+"'E4!&amp;'/"</f>
        <v>#VALUE!</v>
      </c>
      <c r="IT94" t="e">
        <f>Nodes!I743+"'E4!&amp;'0"</f>
        <v>#VALUE!</v>
      </c>
      <c r="IU94" t="e">
        <f>Nodes!J743+"'E4!&amp;'1"</f>
        <v>#VALUE!</v>
      </c>
      <c r="IV94" t="e">
        <f>Nodes!K743+"'E4!&amp;'2"</f>
        <v>#VALUE!</v>
      </c>
    </row>
    <row r="95" spans="6:256">
      <c r="F95" t="e">
        <f>Nodes!L743+"'E4!&amp;'3"</f>
        <v>#VALUE!</v>
      </c>
      <c r="G95" t="e">
        <f>Nodes!M743+"'E4!&amp;'4"</f>
        <v>#VALUE!</v>
      </c>
      <c r="H95" t="e">
        <f>Nodes!N743+"'E4!&amp;'5"</f>
        <v>#VALUE!</v>
      </c>
      <c r="I95" t="e">
        <f>Nodes!O743+"'E4!&amp;'6"</f>
        <v>#VALUE!</v>
      </c>
      <c r="J95" t="e">
        <f>Nodes!P743+"'E4!&amp;'7"</f>
        <v>#VALUE!</v>
      </c>
      <c r="K95" t="e">
        <f>Nodes!Q743+"'E4!&amp;'8"</f>
        <v>#VALUE!</v>
      </c>
      <c r="L95" t="e">
        <f>Nodes!R743+"'E4!&amp;'9"</f>
        <v>#VALUE!</v>
      </c>
      <c r="M95" t="e">
        <f>Nodes!S743+"'E4!&amp;':"</f>
        <v>#VALUE!</v>
      </c>
      <c r="N95" s="547" t="e">
        <f>Nodes!T743+"'E4!&amp;';"</f>
        <v>#VALUE!</v>
      </c>
      <c r="O95" t="e">
        <f>Nodes!U743+"'E4!&amp;'&lt;"</f>
        <v>#VALUE!</v>
      </c>
      <c r="P95" t="e">
        <f>Nodes!V743+"'E4!&amp;'="</f>
        <v>#VALUE!</v>
      </c>
      <c r="Q95" s="547" t="e">
        <f>Nodes!W743+"'E4!&amp;'&gt;"</f>
        <v>#VALUE!</v>
      </c>
      <c r="R95" t="e">
        <f>Nodes!X743+"'E4!&amp;'?"</f>
        <v>#VALUE!</v>
      </c>
      <c r="S95" t="e">
        <f>Nodes!Y743+"'E4!&amp;'@"</f>
        <v>#VALUE!</v>
      </c>
      <c r="T95" t="e">
        <f>Nodes!Z743+"'E4!&amp;'A"</f>
        <v>#VALUE!</v>
      </c>
      <c r="U95" t="e">
        <f>Nodes!AA743+"'E4!&amp;'B"</f>
        <v>#VALUE!</v>
      </c>
      <c r="V95" t="e">
        <f>Nodes!AB743+"'E4!&amp;'C"</f>
        <v>#VALUE!</v>
      </c>
      <c r="W95" t="e">
        <f>Nodes!AC743+"'E4!&amp;'D"</f>
        <v>#VALUE!</v>
      </c>
      <c r="X95" t="e">
        <f>Nodes!A744+"'E4!&amp;'E"</f>
        <v>#VALUE!</v>
      </c>
      <c r="Y95" t="e">
        <f>Nodes!B744+"'E4!&amp;'F"</f>
        <v>#VALUE!</v>
      </c>
      <c r="Z95" t="e">
        <f>Nodes!C744+"'E4!&amp;'G"</f>
        <v>#VALUE!</v>
      </c>
      <c r="AA95" t="e">
        <f>Nodes!D744+"'E4!&amp;'H"</f>
        <v>#VALUE!</v>
      </c>
      <c r="AB95" t="e">
        <f>Nodes!E744+"'E4!&amp;'I"</f>
        <v>#VALUE!</v>
      </c>
      <c r="AC95" t="e">
        <f>Nodes!F744+"'E4!&amp;'J"</f>
        <v>#VALUE!</v>
      </c>
      <c r="AD95" t="e">
        <f>Nodes!G744+"'E4!&amp;'K"</f>
        <v>#VALUE!</v>
      </c>
      <c r="AE95" t="e">
        <f>Nodes!H744+"'E4!&amp;'L"</f>
        <v>#VALUE!</v>
      </c>
      <c r="AF95" t="e">
        <f>Nodes!I744+"'E4!&amp;'M"</f>
        <v>#VALUE!</v>
      </c>
      <c r="AG95" t="e">
        <f>Nodes!J744+"'E4!&amp;'N"</f>
        <v>#VALUE!</v>
      </c>
      <c r="AH95" t="e">
        <f>Nodes!K744+"'E4!&amp;'O"</f>
        <v>#VALUE!</v>
      </c>
      <c r="AI95" t="e">
        <f>Nodes!L744+"'E4!&amp;'P"</f>
        <v>#VALUE!</v>
      </c>
      <c r="AJ95" t="e">
        <f>Nodes!M744+"'E4!&amp;'Q"</f>
        <v>#VALUE!</v>
      </c>
      <c r="AK95" t="e">
        <f>Nodes!N744+"'E4!&amp;'R"</f>
        <v>#VALUE!</v>
      </c>
      <c r="AL95" t="e">
        <f>Nodes!O744+"'E4!&amp;'S"</f>
        <v>#VALUE!</v>
      </c>
      <c r="AM95" t="e">
        <f>Nodes!P744+"'E4!&amp;'T"</f>
        <v>#VALUE!</v>
      </c>
      <c r="AN95" t="e">
        <f>Nodes!Q744+"'E4!&amp;'U"</f>
        <v>#VALUE!</v>
      </c>
      <c r="AO95" t="e">
        <f>Nodes!R744+"'E4!&amp;'V"</f>
        <v>#VALUE!</v>
      </c>
      <c r="AP95" t="e">
        <f>Nodes!S744+"'E4!&amp;'W"</f>
        <v>#VALUE!</v>
      </c>
      <c r="AQ95" s="547" t="e">
        <f>Nodes!T744+"'E4!&amp;'X"</f>
        <v>#VALUE!</v>
      </c>
      <c r="AR95" t="e">
        <f>Nodes!U744+"'E4!&amp;'Y"</f>
        <v>#VALUE!</v>
      </c>
      <c r="AS95" t="e">
        <f>Nodes!V744+"'E4!&amp;'Z"</f>
        <v>#VALUE!</v>
      </c>
      <c r="AT95" s="547" t="e">
        <f>Nodes!W744+"'E4!&amp;'["</f>
        <v>#VALUE!</v>
      </c>
      <c r="AU95" t="e">
        <f>Nodes!X744+"'E4!&amp;'\"</f>
        <v>#VALUE!</v>
      </c>
      <c r="AV95" t="e">
        <f>Nodes!Y744+"'E4!&amp;']"</f>
        <v>#VALUE!</v>
      </c>
      <c r="AW95" t="e">
        <f>Nodes!Z744+"'E4!&amp;'^"</f>
        <v>#VALUE!</v>
      </c>
      <c r="AX95" t="e">
        <f>Nodes!AA744+"'E4!&amp;'_"</f>
        <v>#VALUE!</v>
      </c>
      <c r="AY95" t="e">
        <f>Nodes!AB744+"'E4!&amp;'`"</f>
        <v>#VALUE!</v>
      </c>
      <c r="AZ95" t="e">
        <f>Nodes!AC744+"'E4!&amp;'a"</f>
        <v>#VALUE!</v>
      </c>
      <c r="BA95" t="e">
        <f>Nodes!A745+"'E4!&amp;'b"</f>
        <v>#VALUE!</v>
      </c>
      <c r="BB95" t="e">
        <f>Nodes!B745+"'E4!&amp;'c"</f>
        <v>#VALUE!</v>
      </c>
      <c r="BC95" t="e">
        <f>Nodes!C745+"'E4!&amp;'d"</f>
        <v>#VALUE!</v>
      </c>
      <c r="BD95" t="e">
        <f>Nodes!D745+"'E4!&amp;'e"</f>
        <v>#VALUE!</v>
      </c>
      <c r="BE95" t="e">
        <f>Nodes!E745+"'E4!&amp;'f"</f>
        <v>#VALUE!</v>
      </c>
      <c r="BF95" t="e">
        <f>Nodes!F745+"'E4!&amp;'g"</f>
        <v>#VALUE!</v>
      </c>
      <c r="BG95" t="e">
        <f>Nodes!G745+"'E4!&amp;'h"</f>
        <v>#VALUE!</v>
      </c>
      <c r="BH95" t="e">
        <f>Nodes!H745+"'E4!&amp;'i"</f>
        <v>#VALUE!</v>
      </c>
      <c r="BI95" t="e">
        <f>Nodes!I745+"'E4!&amp;'j"</f>
        <v>#VALUE!</v>
      </c>
      <c r="BJ95" t="e">
        <f>Nodes!J745+"'E4!&amp;'k"</f>
        <v>#VALUE!</v>
      </c>
      <c r="BK95" t="e">
        <f>Nodes!K745+"'E4!&amp;'l"</f>
        <v>#VALUE!</v>
      </c>
      <c r="BL95" t="e">
        <f>Nodes!L745+"'E4!&amp;'m"</f>
        <v>#VALUE!</v>
      </c>
      <c r="BM95" t="e">
        <f>Nodes!M745+"'E4!&amp;'n"</f>
        <v>#VALUE!</v>
      </c>
      <c r="BN95" t="e">
        <f>Nodes!N745+"'E4!&amp;'o"</f>
        <v>#VALUE!</v>
      </c>
      <c r="BO95" t="e">
        <f>Nodes!O745+"'E4!&amp;'p"</f>
        <v>#VALUE!</v>
      </c>
      <c r="BP95" t="e">
        <f>Nodes!P745+"'E4!&amp;'q"</f>
        <v>#VALUE!</v>
      </c>
      <c r="BQ95" t="e">
        <f>Nodes!Q745+"'E4!&amp;'r"</f>
        <v>#VALUE!</v>
      </c>
      <c r="BR95" t="e">
        <f>Nodes!R745+"'E4!&amp;'s"</f>
        <v>#VALUE!</v>
      </c>
      <c r="BS95" t="e">
        <f>Nodes!S745+"'E4!&amp;'t"</f>
        <v>#VALUE!</v>
      </c>
      <c r="BT95" s="547" t="e">
        <f>Nodes!T745+"'E4!&amp;'u"</f>
        <v>#VALUE!</v>
      </c>
      <c r="BU95" t="e">
        <f>Nodes!U745+"'E4!&amp;'v"</f>
        <v>#VALUE!</v>
      </c>
      <c r="BV95" t="e">
        <f>Nodes!V745+"'E4!&amp;'w"</f>
        <v>#VALUE!</v>
      </c>
      <c r="BW95" s="547" t="e">
        <f>Nodes!W745+"'E4!&amp;'x"</f>
        <v>#VALUE!</v>
      </c>
      <c r="BX95" t="e">
        <f>Nodes!X745+"'E4!&amp;'y"</f>
        <v>#VALUE!</v>
      </c>
      <c r="BY95" t="e">
        <f>Nodes!Y745+"'E4!&amp;'z"</f>
        <v>#VALUE!</v>
      </c>
      <c r="BZ95" t="e">
        <f>Nodes!Z745+"'E4!&amp;'{"</f>
        <v>#VALUE!</v>
      </c>
      <c r="CA95" t="e">
        <f>Nodes!AA745+"'E4!&amp;'|"</f>
        <v>#VALUE!</v>
      </c>
      <c r="CB95" t="e">
        <f>Nodes!AB745+"'E4!&amp;'}"</f>
        <v>#VALUE!</v>
      </c>
      <c r="CC95" t="e">
        <f>Nodes!AC745+"'E4!&amp;'~"</f>
        <v>#VALUE!</v>
      </c>
      <c r="CD95" t="e">
        <f>Nodes!A746+"'E4!&amp;(#"</f>
        <v>#VALUE!</v>
      </c>
      <c r="CE95" t="e">
        <f>Nodes!B746+"'E4!&amp;($"</f>
        <v>#VALUE!</v>
      </c>
      <c r="CF95" t="e">
        <f>Nodes!C746+"'E4!&amp;(%"</f>
        <v>#VALUE!</v>
      </c>
      <c r="CG95" t="e">
        <f>Nodes!D746+"'E4!&amp;(&amp;"</f>
        <v>#VALUE!</v>
      </c>
      <c r="CH95" t="e">
        <f>Nodes!E746+"'E4!&amp;('"</f>
        <v>#VALUE!</v>
      </c>
      <c r="CI95" t="e">
        <f>Nodes!F746+"'E4!&amp;(("</f>
        <v>#VALUE!</v>
      </c>
      <c r="CJ95" t="e">
        <f>Nodes!G746+"'E4!&amp;()"</f>
        <v>#VALUE!</v>
      </c>
      <c r="CK95" t="e">
        <f>Nodes!H746+"'E4!&amp;(."</f>
        <v>#VALUE!</v>
      </c>
      <c r="CL95" t="e">
        <f>Nodes!I746+"'E4!&amp;(/"</f>
        <v>#VALUE!</v>
      </c>
      <c r="CM95" t="e">
        <f>Nodes!J746+"'E4!&amp;(0"</f>
        <v>#VALUE!</v>
      </c>
      <c r="CN95" t="e">
        <f>Nodes!K746+"'E4!&amp;(1"</f>
        <v>#VALUE!</v>
      </c>
      <c r="CO95" t="e">
        <f>Nodes!L746+"'E4!&amp;(2"</f>
        <v>#VALUE!</v>
      </c>
      <c r="CP95" t="e">
        <f>Nodes!M746+"'E4!&amp;(3"</f>
        <v>#VALUE!</v>
      </c>
      <c r="CQ95" t="e">
        <f>Nodes!N746+"'E4!&amp;(4"</f>
        <v>#VALUE!</v>
      </c>
      <c r="CR95" t="e">
        <f>Nodes!O746+"'E4!&amp;(5"</f>
        <v>#VALUE!</v>
      </c>
      <c r="CS95" t="e">
        <f>Nodes!P746+"'E4!&amp;(6"</f>
        <v>#VALUE!</v>
      </c>
      <c r="CT95" t="e">
        <f>Nodes!Q746+"'E4!&amp;(7"</f>
        <v>#VALUE!</v>
      </c>
      <c r="CU95" t="e">
        <f>Nodes!R746+"'E4!&amp;(8"</f>
        <v>#VALUE!</v>
      </c>
      <c r="CV95" t="e">
        <f>Nodes!S746+"'E4!&amp;(9"</f>
        <v>#VALUE!</v>
      </c>
      <c r="CW95" s="547" t="e">
        <f>Nodes!T746+"'E4!&amp;(:"</f>
        <v>#VALUE!</v>
      </c>
      <c r="CX95" t="e">
        <f>Nodes!U746+"'E4!&amp;(;"</f>
        <v>#VALUE!</v>
      </c>
      <c r="CY95" t="e">
        <f>Nodes!V746+"'E4!&amp;(&lt;"</f>
        <v>#VALUE!</v>
      </c>
      <c r="CZ95" s="547" t="e">
        <f>Nodes!W746+"'E4!&amp;(="</f>
        <v>#VALUE!</v>
      </c>
      <c r="DA95" t="e">
        <f>Nodes!X746+"'E4!&amp;(&gt;"</f>
        <v>#VALUE!</v>
      </c>
      <c r="DB95" t="e">
        <f>Nodes!Y746+"'E4!&amp;(?"</f>
        <v>#VALUE!</v>
      </c>
      <c r="DC95" t="e">
        <f>Nodes!Z746+"'E4!&amp;(@"</f>
        <v>#VALUE!</v>
      </c>
      <c r="DD95" t="e">
        <f>Nodes!AA746+"'E4!&amp;(A"</f>
        <v>#VALUE!</v>
      </c>
      <c r="DE95" t="e">
        <f>Nodes!AB746+"'E4!&amp;(B"</f>
        <v>#VALUE!</v>
      </c>
      <c r="DF95" t="e">
        <f>Nodes!AC746+"'E4!&amp;(C"</f>
        <v>#VALUE!</v>
      </c>
      <c r="DG95" t="e">
        <f>Nodes!A747+"'E4!&amp;(D"</f>
        <v>#VALUE!</v>
      </c>
      <c r="DH95" t="e">
        <f>Nodes!B747+"'E4!&amp;(E"</f>
        <v>#VALUE!</v>
      </c>
      <c r="DI95" t="e">
        <f>Nodes!C747+"'E4!&amp;(F"</f>
        <v>#VALUE!</v>
      </c>
      <c r="DJ95" t="e">
        <f>Nodes!D747+"'E4!&amp;(G"</f>
        <v>#VALUE!</v>
      </c>
      <c r="DK95" t="e">
        <f>Nodes!E747+"'E4!&amp;(H"</f>
        <v>#VALUE!</v>
      </c>
      <c r="DL95" t="e">
        <f>Nodes!F747+"'E4!&amp;(I"</f>
        <v>#VALUE!</v>
      </c>
      <c r="DM95" t="e">
        <f>Nodes!G747+"'E4!&amp;(J"</f>
        <v>#VALUE!</v>
      </c>
      <c r="DN95" t="e">
        <f>Nodes!H747+"'E4!&amp;(K"</f>
        <v>#VALUE!</v>
      </c>
      <c r="DO95" t="e">
        <f>Nodes!I747+"'E4!&amp;(L"</f>
        <v>#VALUE!</v>
      </c>
      <c r="DP95" t="e">
        <f>Nodes!J747+"'E4!&amp;(M"</f>
        <v>#VALUE!</v>
      </c>
      <c r="DQ95" t="e">
        <f>Nodes!K747+"'E4!&amp;(N"</f>
        <v>#VALUE!</v>
      </c>
      <c r="DR95" t="e">
        <f>Nodes!L747+"'E4!&amp;(O"</f>
        <v>#VALUE!</v>
      </c>
      <c r="DS95" t="e">
        <f>Nodes!M747+"'E4!&amp;(P"</f>
        <v>#VALUE!</v>
      </c>
      <c r="DT95" t="e">
        <f>Nodes!N747+"'E4!&amp;(Q"</f>
        <v>#VALUE!</v>
      </c>
      <c r="DU95" t="e">
        <f>Nodes!O747+"'E4!&amp;(R"</f>
        <v>#VALUE!</v>
      </c>
      <c r="DV95" t="e">
        <f>Nodes!P747+"'E4!&amp;(S"</f>
        <v>#VALUE!</v>
      </c>
      <c r="DW95" t="e">
        <f>Nodes!Q747+"'E4!&amp;(T"</f>
        <v>#VALUE!</v>
      </c>
      <c r="DX95" t="e">
        <f>Nodes!R747+"'E4!&amp;(U"</f>
        <v>#VALUE!</v>
      </c>
      <c r="DY95" t="e">
        <f>Nodes!S747+"'E4!&amp;(V"</f>
        <v>#VALUE!</v>
      </c>
      <c r="DZ95" s="547" t="e">
        <f>Nodes!T747+"'E4!&amp;(W"</f>
        <v>#VALUE!</v>
      </c>
      <c r="EA95" t="e">
        <f>Nodes!U747+"'E4!&amp;(X"</f>
        <v>#VALUE!</v>
      </c>
      <c r="EB95" t="e">
        <f>Nodes!V747+"'E4!&amp;(Y"</f>
        <v>#VALUE!</v>
      </c>
      <c r="EC95" s="547" t="e">
        <f>Nodes!W747+"'E4!&amp;(Z"</f>
        <v>#VALUE!</v>
      </c>
      <c r="ED95" t="e">
        <f>Nodes!X747+"'E4!&amp;(["</f>
        <v>#VALUE!</v>
      </c>
      <c r="EE95" t="e">
        <f>Nodes!Y747+"'E4!&amp;(\"</f>
        <v>#VALUE!</v>
      </c>
      <c r="EF95" t="e">
        <f>Nodes!Z747+"'E4!&amp;(]"</f>
        <v>#VALUE!</v>
      </c>
      <c r="EG95" t="e">
        <f>Nodes!AA747+"'E4!&amp;(^"</f>
        <v>#VALUE!</v>
      </c>
      <c r="EH95" t="e">
        <f>Nodes!AB747+"'E4!&amp;(_"</f>
        <v>#VALUE!</v>
      </c>
      <c r="EI95" t="e">
        <f>Nodes!AC747+"'E4!&amp;(`"</f>
        <v>#VALUE!</v>
      </c>
      <c r="EJ95" t="e">
        <f>Nodes!A748+"'E4!&amp;(a"</f>
        <v>#VALUE!</v>
      </c>
      <c r="EK95" t="e">
        <f>Nodes!B748+"'E4!&amp;(b"</f>
        <v>#VALUE!</v>
      </c>
      <c r="EL95" t="e">
        <f>Nodes!C748+"'E4!&amp;(c"</f>
        <v>#VALUE!</v>
      </c>
      <c r="EM95" t="e">
        <f>Nodes!D748+"'E4!&amp;(d"</f>
        <v>#VALUE!</v>
      </c>
      <c r="EN95" t="e">
        <f>Nodes!E748+"'E4!&amp;(e"</f>
        <v>#VALUE!</v>
      </c>
      <c r="EO95" t="e">
        <f>Nodes!F748+"'E4!&amp;(f"</f>
        <v>#VALUE!</v>
      </c>
      <c r="EP95" t="e">
        <f>Nodes!G748+"'E4!&amp;(g"</f>
        <v>#VALUE!</v>
      </c>
      <c r="EQ95" t="e">
        <f>Nodes!H748+"'E4!&amp;(h"</f>
        <v>#VALUE!</v>
      </c>
      <c r="ER95" t="e">
        <f>Nodes!I748+"'E4!&amp;(i"</f>
        <v>#VALUE!</v>
      </c>
      <c r="ES95" t="e">
        <f>Nodes!J748+"'E4!&amp;(j"</f>
        <v>#VALUE!</v>
      </c>
      <c r="ET95" t="e">
        <f>Nodes!K748+"'E4!&amp;(k"</f>
        <v>#VALUE!</v>
      </c>
      <c r="EU95" t="e">
        <f>Nodes!L748+"'E4!&amp;(l"</f>
        <v>#VALUE!</v>
      </c>
      <c r="EV95" t="e">
        <f>Nodes!M748+"'E4!&amp;(m"</f>
        <v>#VALUE!</v>
      </c>
      <c r="EW95" t="e">
        <f>Nodes!N748+"'E4!&amp;(n"</f>
        <v>#VALUE!</v>
      </c>
      <c r="EX95" t="e">
        <f>Nodes!O748+"'E4!&amp;(o"</f>
        <v>#VALUE!</v>
      </c>
      <c r="EY95" t="e">
        <f>Nodes!P748+"'E4!&amp;(p"</f>
        <v>#VALUE!</v>
      </c>
      <c r="EZ95" t="e">
        <f>Nodes!Q748+"'E4!&amp;(q"</f>
        <v>#VALUE!</v>
      </c>
      <c r="FA95" t="e">
        <f>Nodes!R748+"'E4!&amp;(r"</f>
        <v>#VALUE!</v>
      </c>
      <c r="FB95" t="e">
        <f>Nodes!S748+"'E4!&amp;(s"</f>
        <v>#VALUE!</v>
      </c>
      <c r="FC95" s="547" t="e">
        <f>Nodes!T748+"'E4!&amp;(t"</f>
        <v>#VALUE!</v>
      </c>
      <c r="FD95" t="e">
        <f>Nodes!U748+"'E4!&amp;(u"</f>
        <v>#VALUE!</v>
      </c>
      <c r="FE95" t="e">
        <f>Nodes!V748+"'E4!&amp;(v"</f>
        <v>#VALUE!</v>
      </c>
      <c r="FF95" s="547" t="e">
        <f>Nodes!W748+"'E4!&amp;(w"</f>
        <v>#VALUE!</v>
      </c>
      <c r="FG95" t="e">
        <f>Nodes!X748+"'E4!&amp;(x"</f>
        <v>#VALUE!</v>
      </c>
      <c r="FH95" t="e">
        <f>Nodes!Y748+"'E4!&amp;(y"</f>
        <v>#VALUE!</v>
      </c>
      <c r="FI95" t="e">
        <f>Nodes!Z748+"'E4!&amp;(z"</f>
        <v>#VALUE!</v>
      </c>
      <c r="FJ95" t="e">
        <f>Nodes!AA748+"'E4!&amp;({"</f>
        <v>#VALUE!</v>
      </c>
      <c r="FK95" t="e">
        <f>Nodes!AB748+"'E4!&amp;(|"</f>
        <v>#VALUE!</v>
      </c>
      <c r="FL95" t="e">
        <f>Nodes!AC748+"'E4!&amp;(}"</f>
        <v>#VALUE!</v>
      </c>
      <c r="FM95" t="e">
        <f>Nodes!A749+"'E4!&amp;(~"</f>
        <v>#VALUE!</v>
      </c>
      <c r="FN95" t="e">
        <f>Nodes!B749+"'E4!&amp;)#"</f>
        <v>#VALUE!</v>
      </c>
      <c r="FO95" t="e">
        <f>Nodes!C749+"'E4!&amp;)$"</f>
        <v>#VALUE!</v>
      </c>
      <c r="FP95" t="e">
        <f>Nodes!D749+"'E4!&amp;)%"</f>
        <v>#VALUE!</v>
      </c>
      <c r="FQ95" t="e">
        <f>Nodes!E749+"'E4!&amp;)&amp;"</f>
        <v>#VALUE!</v>
      </c>
      <c r="FR95" t="e">
        <f>Nodes!F749+"'E4!&amp;)'"</f>
        <v>#VALUE!</v>
      </c>
      <c r="FS95" t="e">
        <f>Nodes!G749+"'E4!&amp;)("</f>
        <v>#VALUE!</v>
      </c>
      <c r="FT95" t="e">
        <f>Nodes!H749+"'E4!&amp;))"</f>
        <v>#VALUE!</v>
      </c>
      <c r="FU95" t="e">
        <f>Nodes!I749+"'E4!&amp;)."</f>
        <v>#VALUE!</v>
      </c>
      <c r="FV95" t="e">
        <f>Nodes!J749+"'E4!&amp;)/"</f>
        <v>#VALUE!</v>
      </c>
      <c r="FW95" t="e">
        <f>Nodes!K749+"'E4!&amp;)0"</f>
        <v>#VALUE!</v>
      </c>
      <c r="FX95" t="e">
        <f>Nodes!L749+"'E4!&amp;)1"</f>
        <v>#VALUE!</v>
      </c>
      <c r="FY95" t="e">
        <f>Nodes!M749+"'E4!&amp;)2"</f>
        <v>#VALUE!</v>
      </c>
      <c r="FZ95" t="e">
        <f>Nodes!N749+"'E4!&amp;)3"</f>
        <v>#VALUE!</v>
      </c>
      <c r="GA95" t="e">
        <f>Nodes!O749+"'E4!&amp;)4"</f>
        <v>#VALUE!</v>
      </c>
      <c r="GB95" t="e">
        <f>Nodes!P749+"'E4!&amp;)5"</f>
        <v>#VALUE!</v>
      </c>
      <c r="GC95" t="e">
        <f>Nodes!Q749+"'E4!&amp;)6"</f>
        <v>#VALUE!</v>
      </c>
      <c r="GD95" t="e">
        <f>Nodes!R749+"'E4!&amp;)7"</f>
        <v>#VALUE!</v>
      </c>
      <c r="GE95" t="e">
        <f>Nodes!S749+"'E4!&amp;)8"</f>
        <v>#VALUE!</v>
      </c>
      <c r="GF95" s="547" t="e">
        <f>Nodes!T749+"'E4!&amp;)9"</f>
        <v>#VALUE!</v>
      </c>
      <c r="GG95" t="e">
        <f>Nodes!U749+"'E4!&amp;):"</f>
        <v>#VALUE!</v>
      </c>
      <c r="GH95" t="e">
        <f>Nodes!V749+"'E4!&amp;);"</f>
        <v>#VALUE!</v>
      </c>
      <c r="GI95" s="547" t="e">
        <f>Nodes!W749+"'E4!&amp;)&lt;"</f>
        <v>#VALUE!</v>
      </c>
      <c r="GJ95" t="e">
        <f>Nodes!X749+"'E4!&amp;)="</f>
        <v>#VALUE!</v>
      </c>
      <c r="GK95" t="e">
        <f>Nodes!Y749+"'E4!&amp;)&gt;"</f>
        <v>#VALUE!</v>
      </c>
      <c r="GL95" t="e">
        <f>Nodes!Z749+"'E4!&amp;)?"</f>
        <v>#VALUE!</v>
      </c>
      <c r="GM95" t="e">
        <f>Nodes!AA749+"'E4!&amp;)@"</f>
        <v>#VALUE!</v>
      </c>
      <c r="GN95" t="e">
        <f>Nodes!AB749+"'E4!&amp;)A"</f>
        <v>#VALUE!</v>
      </c>
      <c r="GO95" t="e">
        <f>Nodes!AC749+"'E4!&amp;)B"</f>
        <v>#VALUE!</v>
      </c>
      <c r="GP95" t="e">
        <f>Nodes!A750+"'E4!&amp;)C"</f>
        <v>#VALUE!</v>
      </c>
      <c r="GQ95" t="e">
        <f>Nodes!B750+"'E4!&amp;)D"</f>
        <v>#VALUE!</v>
      </c>
      <c r="GR95" t="e">
        <f>Nodes!C750+"'E4!&amp;)E"</f>
        <v>#VALUE!</v>
      </c>
      <c r="GS95" t="e">
        <f>Nodes!D750+"'E4!&amp;)F"</f>
        <v>#VALUE!</v>
      </c>
      <c r="GT95" t="e">
        <f>Nodes!E750+"'E4!&amp;)G"</f>
        <v>#VALUE!</v>
      </c>
      <c r="GU95" t="e">
        <f>Nodes!F750+"'E4!&amp;)H"</f>
        <v>#VALUE!</v>
      </c>
      <c r="GV95" t="e">
        <f>Nodes!G750+"'E4!&amp;)I"</f>
        <v>#VALUE!</v>
      </c>
      <c r="GW95" t="e">
        <f>Nodes!H750+"'E4!&amp;)J"</f>
        <v>#VALUE!</v>
      </c>
      <c r="GX95" t="e">
        <f>Nodes!I750+"'E4!&amp;)K"</f>
        <v>#VALUE!</v>
      </c>
      <c r="GY95" t="e">
        <f>Nodes!J750+"'E4!&amp;)L"</f>
        <v>#VALUE!</v>
      </c>
      <c r="GZ95" t="e">
        <f>Nodes!K750+"'E4!&amp;)M"</f>
        <v>#VALUE!</v>
      </c>
      <c r="HA95" t="e">
        <f>Nodes!L750+"'E4!&amp;)N"</f>
        <v>#VALUE!</v>
      </c>
      <c r="HB95" t="e">
        <f>Nodes!M750+"'E4!&amp;)O"</f>
        <v>#VALUE!</v>
      </c>
      <c r="HC95" t="e">
        <f>Nodes!N750+"'E4!&amp;)P"</f>
        <v>#VALUE!</v>
      </c>
      <c r="HD95" t="e">
        <f>Nodes!O750+"'E4!&amp;)Q"</f>
        <v>#VALUE!</v>
      </c>
      <c r="HE95" t="e">
        <f>Nodes!P750+"'E4!&amp;)R"</f>
        <v>#VALUE!</v>
      </c>
      <c r="HF95" t="e">
        <f>Nodes!Q750+"'E4!&amp;)S"</f>
        <v>#VALUE!</v>
      </c>
      <c r="HG95" t="e">
        <f>Nodes!R750+"'E4!&amp;)T"</f>
        <v>#VALUE!</v>
      </c>
      <c r="HH95" t="e">
        <f>Nodes!S750+"'E4!&amp;)U"</f>
        <v>#VALUE!</v>
      </c>
      <c r="HI95" s="547" t="e">
        <f>Nodes!T750+"'E4!&amp;)V"</f>
        <v>#VALUE!</v>
      </c>
      <c r="HJ95" t="e">
        <f>Nodes!U750+"'E4!&amp;)W"</f>
        <v>#VALUE!</v>
      </c>
      <c r="HK95" t="e">
        <f>Nodes!V750+"'E4!&amp;)X"</f>
        <v>#VALUE!</v>
      </c>
      <c r="HL95" s="547" t="e">
        <f>Nodes!W750+"'E4!&amp;)Y"</f>
        <v>#VALUE!</v>
      </c>
      <c r="HM95" t="e">
        <f>Nodes!X750+"'E4!&amp;)Z"</f>
        <v>#VALUE!</v>
      </c>
      <c r="HN95" t="e">
        <f>Nodes!Y750+"'E4!&amp;)["</f>
        <v>#VALUE!</v>
      </c>
      <c r="HO95" t="e">
        <f>Nodes!Z750+"'E4!&amp;)\"</f>
        <v>#VALUE!</v>
      </c>
      <c r="HP95" t="e">
        <f>Nodes!AA750+"'E4!&amp;)]"</f>
        <v>#VALUE!</v>
      </c>
      <c r="HQ95" t="e">
        <f>Nodes!AB750+"'E4!&amp;)^"</f>
        <v>#VALUE!</v>
      </c>
      <c r="HR95" t="e">
        <f>Nodes!AC750+"'E4!&amp;)_"</f>
        <v>#VALUE!</v>
      </c>
      <c r="HS95" t="e">
        <f>Nodes!A751+"'E4!&amp;)`"</f>
        <v>#VALUE!</v>
      </c>
      <c r="HT95" t="e">
        <f>Nodes!B751+"'E4!&amp;)a"</f>
        <v>#VALUE!</v>
      </c>
      <c r="HU95" t="e">
        <f>Nodes!C751+"'E4!&amp;)b"</f>
        <v>#VALUE!</v>
      </c>
      <c r="HV95" t="e">
        <f>Nodes!D751+"'E4!&amp;)c"</f>
        <v>#VALUE!</v>
      </c>
      <c r="HW95" t="e">
        <f>Nodes!E751+"'E4!&amp;)d"</f>
        <v>#VALUE!</v>
      </c>
      <c r="HX95" t="e">
        <f>Nodes!F751+"'E4!&amp;)e"</f>
        <v>#VALUE!</v>
      </c>
      <c r="HY95" t="e">
        <f>Nodes!G751+"'E4!&amp;)f"</f>
        <v>#VALUE!</v>
      </c>
      <c r="HZ95" t="e">
        <f>Nodes!H751+"'E4!&amp;)g"</f>
        <v>#VALUE!</v>
      </c>
      <c r="IA95" t="e">
        <f>Nodes!I751+"'E4!&amp;)h"</f>
        <v>#VALUE!</v>
      </c>
      <c r="IB95" t="e">
        <f>Nodes!J751+"'E4!&amp;)i"</f>
        <v>#VALUE!</v>
      </c>
      <c r="IC95" t="e">
        <f>Nodes!K751+"'E4!&amp;)j"</f>
        <v>#VALUE!</v>
      </c>
      <c r="ID95" t="e">
        <f>Nodes!L751+"'E4!&amp;)k"</f>
        <v>#VALUE!</v>
      </c>
      <c r="IE95" t="e">
        <f>Nodes!M751+"'E4!&amp;)l"</f>
        <v>#VALUE!</v>
      </c>
      <c r="IF95" t="e">
        <f>Nodes!N751+"'E4!&amp;)m"</f>
        <v>#VALUE!</v>
      </c>
      <c r="IG95" t="e">
        <f>Nodes!O751+"'E4!&amp;)n"</f>
        <v>#VALUE!</v>
      </c>
      <c r="IH95" t="e">
        <f>Nodes!P751+"'E4!&amp;)o"</f>
        <v>#VALUE!</v>
      </c>
      <c r="II95" t="e">
        <f>Nodes!Q751+"'E4!&amp;)p"</f>
        <v>#VALUE!</v>
      </c>
      <c r="IJ95" t="e">
        <f>Nodes!R751+"'E4!&amp;)q"</f>
        <v>#VALUE!</v>
      </c>
      <c r="IK95" t="e">
        <f>Nodes!S751+"'E4!&amp;)r"</f>
        <v>#VALUE!</v>
      </c>
      <c r="IL95" s="547" t="e">
        <f>Nodes!T751+"'E4!&amp;)s"</f>
        <v>#VALUE!</v>
      </c>
      <c r="IM95" t="e">
        <f>Nodes!U751+"'E4!&amp;)t"</f>
        <v>#VALUE!</v>
      </c>
      <c r="IN95" t="e">
        <f>Nodes!V751+"'E4!&amp;)u"</f>
        <v>#VALUE!</v>
      </c>
      <c r="IO95" s="547" t="e">
        <f>Nodes!W751+"'E4!&amp;)v"</f>
        <v>#VALUE!</v>
      </c>
      <c r="IP95" t="e">
        <f>Nodes!X751+"'E4!&amp;)w"</f>
        <v>#VALUE!</v>
      </c>
      <c r="IQ95" t="e">
        <f>Nodes!Y751+"'E4!&amp;)x"</f>
        <v>#VALUE!</v>
      </c>
      <c r="IR95" t="e">
        <f>Nodes!Z751+"'E4!&amp;)y"</f>
        <v>#VALUE!</v>
      </c>
      <c r="IS95" t="e">
        <f>Nodes!AA751+"'E4!&amp;)z"</f>
        <v>#VALUE!</v>
      </c>
      <c r="IT95" t="e">
        <f>Nodes!AB751+"'E4!&amp;){"</f>
        <v>#VALUE!</v>
      </c>
      <c r="IU95" t="e">
        <f>Nodes!AC751+"'E4!&amp;)|"</f>
        <v>#VALUE!</v>
      </c>
      <c r="IV95" t="e">
        <f>Nodes!A752+"'E4!&amp;)}"</f>
        <v>#VALUE!</v>
      </c>
    </row>
    <row r="96" spans="6:256">
      <c r="F96" t="e">
        <f>Nodes!B752+"'E4!&amp;)~"</f>
        <v>#VALUE!</v>
      </c>
      <c r="G96" t="e">
        <f>Nodes!C752+"'E4!&amp;.#"</f>
        <v>#VALUE!</v>
      </c>
      <c r="H96" t="e">
        <f>Nodes!D752+"'E4!&amp;.$"</f>
        <v>#VALUE!</v>
      </c>
      <c r="I96" t="e">
        <f>Nodes!E752+"'E4!&amp;.%"</f>
        <v>#VALUE!</v>
      </c>
      <c r="J96" t="e">
        <f>Nodes!F752+"'E4!&amp;.&amp;"</f>
        <v>#VALUE!</v>
      </c>
      <c r="K96" t="e">
        <f>Nodes!G752+"'E4!&amp;.'"</f>
        <v>#VALUE!</v>
      </c>
      <c r="L96" t="e">
        <f>Nodes!H752+"'E4!&amp;.("</f>
        <v>#VALUE!</v>
      </c>
      <c r="M96" t="e">
        <f>Nodes!I752+"'E4!&amp;.)"</f>
        <v>#VALUE!</v>
      </c>
      <c r="N96" t="e">
        <f>Nodes!J752+"'E4!&amp;.."</f>
        <v>#VALUE!</v>
      </c>
      <c r="O96" t="e">
        <f>Nodes!K752+"'E4!&amp;./"</f>
        <v>#VALUE!</v>
      </c>
      <c r="P96" t="e">
        <f>Nodes!L752+"'E4!&amp;.0"</f>
        <v>#VALUE!</v>
      </c>
      <c r="Q96" t="e">
        <f>Nodes!M752+"'E4!&amp;.1"</f>
        <v>#VALUE!</v>
      </c>
      <c r="R96" t="e">
        <f>Nodes!N752+"'E4!&amp;.2"</f>
        <v>#VALUE!</v>
      </c>
      <c r="S96" t="e">
        <f>Nodes!O752+"'E4!&amp;.3"</f>
        <v>#VALUE!</v>
      </c>
      <c r="T96" t="e">
        <f>Nodes!P752+"'E4!&amp;.4"</f>
        <v>#VALUE!</v>
      </c>
      <c r="U96" t="e">
        <f>Nodes!Q752+"'E4!&amp;.5"</f>
        <v>#VALUE!</v>
      </c>
      <c r="V96" t="e">
        <f>Nodes!R752+"'E4!&amp;.6"</f>
        <v>#VALUE!</v>
      </c>
      <c r="W96" t="e">
        <f>Nodes!S752+"'E4!&amp;.7"</f>
        <v>#VALUE!</v>
      </c>
      <c r="X96" s="547" t="e">
        <f>Nodes!T752+"'E4!&amp;.8"</f>
        <v>#VALUE!</v>
      </c>
      <c r="Y96" t="e">
        <f>Nodes!U752+"'E4!&amp;.9"</f>
        <v>#VALUE!</v>
      </c>
      <c r="Z96" t="e">
        <f>Nodes!V752+"'E4!&amp;.:"</f>
        <v>#VALUE!</v>
      </c>
      <c r="AA96" s="547" t="e">
        <f>Nodes!W752+"'E4!&amp;.;"</f>
        <v>#VALUE!</v>
      </c>
      <c r="AB96" t="e">
        <f>Nodes!X752+"'E4!&amp;.&lt;"</f>
        <v>#VALUE!</v>
      </c>
      <c r="AC96" t="e">
        <f>Nodes!Y752+"'E4!&amp;.="</f>
        <v>#VALUE!</v>
      </c>
      <c r="AD96" t="e">
        <f>Nodes!Z752+"'E4!&amp;.&gt;"</f>
        <v>#VALUE!</v>
      </c>
      <c r="AE96" t="e">
        <f>Nodes!AA752+"'E4!&amp;.?"</f>
        <v>#VALUE!</v>
      </c>
      <c r="AF96" t="e">
        <f>Nodes!AB752+"'E4!&amp;.@"</f>
        <v>#VALUE!</v>
      </c>
      <c r="AG96" t="e">
        <f>Nodes!AC752+"'E4!&amp;.A"</f>
        <v>#VALUE!</v>
      </c>
      <c r="AH96" t="e">
        <f>Nodes!A753+"'E4!&amp;.B"</f>
        <v>#VALUE!</v>
      </c>
      <c r="AI96" t="e">
        <f>Nodes!B753+"'E4!&amp;.C"</f>
        <v>#VALUE!</v>
      </c>
      <c r="AJ96" t="e">
        <f>Nodes!C753+"'E4!&amp;.D"</f>
        <v>#VALUE!</v>
      </c>
      <c r="AK96" t="e">
        <f>Nodes!D753+"'E4!&amp;.E"</f>
        <v>#VALUE!</v>
      </c>
      <c r="AL96" t="e">
        <f>Nodes!E753+"'E4!&amp;.F"</f>
        <v>#VALUE!</v>
      </c>
      <c r="AM96" t="e">
        <f>Nodes!F753+"'E4!&amp;.G"</f>
        <v>#VALUE!</v>
      </c>
      <c r="AN96" t="e">
        <f>Nodes!G753+"'E4!&amp;.H"</f>
        <v>#VALUE!</v>
      </c>
      <c r="AO96" t="e">
        <f>Nodes!H753+"'E4!&amp;.I"</f>
        <v>#VALUE!</v>
      </c>
      <c r="AP96" t="e">
        <f>Nodes!I753+"'E4!&amp;.J"</f>
        <v>#VALUE!</v>
      </c>
      <c r="AQ96" t="e">
        <f>Nodes!J753+"'E4!&amp;.K"</f>
        <v>#VALUE!</v>
      </c>
      <c r="AR96" t="e">
        <f>Nodes!K753+"'E4!&amp;.L"</f>
        <v>#VALUE!</v>
      </c>
      <c r="AS96" t="e">
        <f>Nodes!L753+"'E4!&amp;.M"</f>
        <v>#VALUE!</v>
      </c>
      <c r="AT96" t="e">
        <f>Nodes!M753+"'E4!&amp;.N"</f>
        <v>#VALUE!</v>
      </c>
      <c r="AU96" t="e">
        <f>Nodes!N753+"'E4!&amp;.O"</f>
        <v>#VALUE!</v>
      </c>
      <c r="AV96" t="e">
        <f>Nodes!O753+"'E4!&amp;.P"</f>
        <v>#VALUE!</v>
      </c>
      <c r="AW96" t="e">
        <f>Nodes!P753+"'E4!&amp;.Q"</f>
        <v>#VALUE!</v>
      </c>
      <c r="AX96" t="e">
        <f>Nodes!Q753+"'E4!&amp;.R"</f>
        <v>#VALUE!</v>
      </c>
      <c r="AY96" t="e">
        <f>Nodes!R753+"'E4!&amp;.S"</f>
        <v>#VALUE!</v>
      </c>
      <c r="AZ96" t="e">
        <f>Nodes!S753+"'E4!&amp;.T"</f>
        <v>#VALUE!</v>
      </c>
      <c r="BA96" s="547" t="e">
        <f>Nodes!T753+"'E4!&amp;.U"</f>
        <v>#VALUE!</v>
      </c>
      <c r="BB96" t="e">
        <f>Nodes!U753+"'E4!&amp;.V"</f>
        <v>#VALUE!</v>
      </c>
      <c r="BC96" t="e">
        <f>Nodes!V753+"'E4!&amp;.W"</f>
        <v>#VALUE!</v>
      </c>
      <c r="BD96" s="547" t="e">
        <f>Nodes!W753+"'E4!&amp;.X"</f>
        <v>#VALUE!</v>
      </c>
      <c r="BE96" t="e">
        <f>Nodes!X753+"'E4!&amp;.Y"</f>
        <v>#VALUE!</v>
      </c>
      <c r="BF96" t="e">
        <f>Nodes!Y753+"'E4!&amp;.Z"</f>
        <v>#VALUE!</v>
      </c>
      <c r="BG96" t="e">
        <f>Nodes!Z753+"'E4!&amp;.["</f>
        <v>#VALUE!</v>
      </c>
      <c r="BH96" t="e">
        <f>Nodes!AA753+"'E4!&amp;.\"</f>
        <v>#VALUE!</v>
      </c>
      <c r="BI96" t="e">
        <f>Nodes!AB753+"'E4!&amp;.]"</f>
        <v>#VALUE!</v>
      </c>
      <c r="BJ96" t="e">
        <f>Nodes!AC753+"'E4!&amp;.^"</f>
        <v>#VALUE!</v>
      </c>
      <c r="BK96" t="e">
        <f>Nodes!A754+"'E4!&amp;._"</f>
        <v>#VALUE!</v>
      </c>
      <c r="BL96" t="e">
        <f>Nodes!B754+"'E4!&amp;.`"</f>
        <v>#VALUE!</v>
      </c>
      <c r="BM96" t="e">
        <f>Nodes!C754+"'E4!&amp;.a"</f>
        <v>#VALUE!</v>
      </c>
      <c r="BN96" t="e">
        <f>Nodes!D754+"'E4!&amp;.b"</f>
        <v>#VALUE!</v>
      </c>
      <c r="BO96" t="e">
        <f>Nodes!E754+"'E4!&amp;.c"</f>
        <v>#VALUE!</v>
      </c>
      <c r="BP96" t="e">
        <f>Nodes!F754+"'E4!&amp;.d"</f>
        <v>#VALUE!</v>
      </c>
      <c r="BQ96" t="e">
        <f>Nodes!G754+"'E4!&amp;.e"</f>
        <v>#VALUE!</v>
      </c>
      <c r="BR96" t="e">
        <f>Nodes!H754+"'E4!&amp;.f"</f>
        <v>#VALUE!</v>
      </c>
      <c r="BS96" t="e">
        <f>Nodes!I754+"'E4!&amp;.g"</f>
        <v>#VALUE!</v>
      </c>
      <c r="BT96" t="e">
        <f>Nodes!J754+"'E4!&amp;.h"</f>
        <v>#VALUE!</v>
      </c>
      <c r="BU96" t="e">
        <f>Nodes!K754+"'E4!&amp;.i"</f>
        <v>#VALUE!</v>
      </c>
      <c r="BV96" t="e">
        <f>Nodes!L754+"'E4!&amp;.j"</f>
        <v>#VALUE!</v>
      </c>
      <c r="BW96" t="e">
        <f>Nodes!M754+"'E4!&amp;.k"</f>
        <v>#VALUE!</v>
      </c>
      <c r="BX96" t="e">
        <f>Nodes!N754+"'E4!&amp;.l"</f>
        <v>#VALUE!</v>
      </c>
      <c r="BY96" t="e">
        <f>Nodes!O754+"'E4!&amp;.m"</f>
        <v>#VALUE!</v>
      </c>
      <c r="BZ96" t="e">
        <f>Nodes!P754+"'E4!&amp;.n"</f>
        <v>#VALUE!</v>
      </c>
      <c r="CA96" t="e">
        <f>Nodes!Q754+"'E4!&amp;.o"</f>
        <v>#VALUE!</v>
      </c>
      <c r="CB96" t="e">
        <f>Nodes!R754+"'E4!&amp;.p"</f>
        <v>#VALUE!</v>
      </c>
      <c r="CC96" t="e">
        <f>Nodes!S754+"'E4!&amp;.q"</f>
        <v>#VALUE!</v>
      </c>
      <c r="CD96" s="547" t="e">
        <f>Nodes!T754+"'E4!&amp;.r"</f>
        <v>#VALUE!</v>
      </c>
      <c r="CE96" t="e">
        <f>Nodes!U754+"'E4!&amp;.s"</f>
        <v>#VALUE!</v>
      </c>
      <c r="CF96" t="e">
        <f>Nodes!V754+"'E4!&amp;.t"</f>
        <v>#VALUE!</v>
      </c>
      <c r="CG96" s="547" t="e">
        <f>Nodes!W754+"'E4!&amp;.u"</f>
        <v>#VALUE!</v>
      </c>
      <c r="CH96" t="e">
        <f>Nodes!X754+"'E4!&amp;.v"</f>
        <v>#VALUE!</v>
      </c>
      <c r="CI96" t="e">
        <f>Nodes!Y754+"'E4!&amp;.w"</f>
        <v>#VALUE!</v>
      </c>
      <c r="CJ96" t="e">
        <f>Nodes!Z754+"'E4!&amp;.x"</f>
        <v>#VALUE!</v>
      </c>
      <c r="CK96" t="e">
        <f>Nodes!AA754+"'E4!&amp;.y"</f>
        <v>#VALUE!</v>
      </c>
      <c r="CL96" t="e">
        <f>Nodes!AB754+"'E4!&amp;.z"</f>
        <v>#VALUE!</v>
      </c>
      <c r="CM96" t="e">
        <f>Nodes!AC754+"'E4!&amp;.{"</f>
        <v>#VALUE!</v>
      </c>
      <c r="CN96" t="e">
        <f>Nodes!A755+"'E4!&amp;.|"</f>
        <v>#VALUE!</v>
      </c>
      <c r="CO96" t="e">
        <f>Nodes!B755+"'E4!&amp;.}"</f>
        <v>#VALUE!</v>
      </c>
      <c r="CP96" t="e">
        <f>Nodes!C755+"'E4!&amp;.~"</f>
        <v>#VALUE!</v>
      </c>
      <c r="CQ96" t="e">
        <f>Nodes!D755+"'E4!&amp;/#"</f>
        <v>#VALUE!</v>
      </c>
      <c r="CR96" t="e">
        <f>Nodes!E755+"'E4!&amp;/$"</f>
        <v>#VALUE!</v>
      </c>
      <c r="CS96" t="e">
        <f>Nodes!F755+"'E4!&amp;/%"</f>
        <v>#VALUE!</v>
      </c>
      <c r="CT96" t="e">
        <f>Nodes!G755+"'E4!&amp;/&amp;"</f>
        <v>#VALUE!</v>
      </c>
      <c r="CU96" t="e">
        <f>Nodes!H755+"'E4!&amp;/'"</f>
        <v>#VALUE!</v>
      </c>
      <c r="CV96" t="e">
        <f>Nodes!I755+"'E4!&amp;/("</f>
        <v>#VALUE!</v>
      </c>
      <c r="CW96" t="e">
        <f>Nodes!J755+"'E4!&amp;/)"</f>
        <v>#VALUE!</v>
      </c>
      <c r="CX96" t="e">
        <f>Nodes!K755+"'E4!&amp;/."</f>
        <v>#VALUE!</v>
      </c>
      <c r="CY96" t="e">
        <f>Nodes!L755+"'E4!&amp;//"</f>
        <v>#VALUE!</v>
      </c>
      <c r="CZ96" t="e">
        <f>Nodes!M755+"'E4!&amp;/0"</f>
        <v>#VALUE!</v>
      </c>
      <c r="DA96" t="e">
        <f>Nodes!N755+"'E4!&amp;/1"</f>
        <v>#VALUE!</v>
      </c>
      <c r="DB96" t="e">
        <f>Nodes!O755+"'E4!&amp;/2"</f>
        <v>#VALUE!</v>
      </c>
      <c r="DC96" t="e">
        <f>Nodes!P755+"'E4!&amp;/3"</f>
        <v>#VALUE!</v>
      </c>
      <c r="DD96" t="e">
        <f>Nodes!Q755+"'E4!&amp;/4"</f>
        <v>#VALUE!</v>
      </c>
      <c r="DE96" t="e">
        <f>Nodes!R755+"'E4!&amp;/5"</f>
        <v>#VALUE!</v>
      </c>
      <c r="DF96" t="e">
        <f>Nodes!S755+"'E4!&amp;/6"</f>
        <v>#VALUE!</v>
      </c>
      <c r="DG96" s="547" t="e">
        <f>Nodes!T755+"'E4!&amp;/7"</f>
        <v>#VALUE!</v>
      </c>
      <c r="DH96" t="e">
        <f>Nodes!U755+"'E4!&amp;/8"</f>
        <v>#VALUE!</v>
      </c>
      <c r="DI96" t="e">
        <f>Nodes!V755+"'E4!&amp;/9"</f>
        <v>#VALUE!</v>
      </c>
      <c r="DJ96" s="547" t="e">
        <f>Nodes!W755+"'E4!&amp;/:"</f>
        <v>#VALUE!</v>
      </c>
      <c r="DK96" t="e">
        <f>Nodes!X755+"'E4!&amp;/;"</f>
        <v>#VALUE!</v>
      </c>
      <c r="DL96" t="e">
        <f>Nodes!Y755+"'E4!&amp;/&lt;"</f>
        <v>#VALUE!</v>
      </c>
      <c r="DM96" t="e">
        <f>Nodes!Z755+"'E4!&amp;/="</f>
        <v>#VALUE!</v>
      </c>
      <c r="DN96" t="e">
        <f>Nodes!AA755+"'E4!&amp;/&gt;"</f>
        <v>#VALUE!</v>
      </c>
      <c r="DO96" t="e">
        <f>Nodes!AB755+"'E4!&amp;/?"</f>
        <v>#VALUE!</v>
      </c>
      <c r="DP96" t="e">
        <f>Nodes!AC755+"'E4!&amp;/@"</f>
        <v>#VALUE!</v>
      </c>
      <c r="DQ96" t="e">
        <f>Nodes!A756+"'E4!&amp;/A"</f>
        <v>#VALUE!</v>
      </c>
      <c r="DR96" t="e">
        <f>Nodes!B756+"'E4!&amp;/B"</f>
        <v>#VALUE!</v>
      </c>
      <c r="DS96" t="e">
        <f>Nodes!C756+"'E4!&amp;/C"</f>
        <v>#VALUE!</v>
      </c>
      <c r="DT96" t="e">
        <f>Nodes!D756+"'E4!&amp;/D"</f>
        <v>#VALUE!</v>
      </c>
      <c r="DU96" t="e">
        <f>Nodes!E756+"'E4!&amp;/E"</f>
        <v>#VALUE!</v>
      </c>
      <c r="DV96" t="e">
        <f>Nodes!F756+"'E4!&amp;/F"</f>
        <v>#VALUE!</v>
      </c>
      <c r="DW96" t="e">
        <f>Nodes!G756+"'E4!&amp;/G"</f>
        <v>#VALUE!</v>
      </c>
      <c r="DX96" t="e">
        <f>Nodes!H756+"'E4!&amp;/H"</f>
        <v>#VALUE!</v>
      </c>
      <c r="DY96" t="e">
        <f>Nodes!I756+"'E4!&amp;/I"</f>
        <v>#VALUE!</v>
      </c>
      <c r="DZ96" t="e">
        <f>Nodes!J756+"'E4!&amp;/J"</f>
        <v>#VALUE!</v>
      </c>
      <c r="EA96" t="e">
        <f>Nodes!K756+"'E4!&amp;/K"</f>
        <v>#VALUE!</v>
      </c>
      <c r="EB96" t="e">
        <f>Nodes!L756+"'E4!&amp;/L"</f>
        <v>#VALUE!</v>
      </c>
      <c r="EC96" t="e">
        <f>Nodes!M756+"'E4!&amp;/M"</f>
        <v>#VALUE!</v>
      </c>
      <c r="ED96" t="e">
        <f>Nodes!N756+"'E4!&amp;/N"</f>
        <v>#VALUE!</v>
      </c>
      <c r="EE96" t="e">
        <f>Nodes!O756+"'E4!&amp;/O"</f>
        <v>#VALUE!</v>
      </c>
      <c r="EF96" t="e">
        <f>Nodes!P756+"'E4!&amp;/P"</f>
        <v>#N/A</v>
      </c>
      <c r="EG96" t="e">
        <f>Nodes!Q756+"'E4!&amp;/Q"</f>
        <v>#VALUE!</v>
      </c>
      <c r="EH96" t="e">
        <f>Nodes!R756+"'E4!&amp;/R"</f>
        <v>#VALUE!</v>
      </c>
      <c r="EI96" t="e">
        <f>Nodes!S756+"'E4!&amp;/S"</f>
        <v>#VALUE!</v>
      </c>
      <c r="EJ96" s="547" t="e">
        <f>Nodes!T756+"'E4!&amp;/T"</f>
        <v>#VALUE!</v>
      </c>
      <c r="EK96" t="e">
        <f>Nodes!U756+"'E4!&amp;/U"</f>
        <v>#VALUE!</v>
      </c>
      <c r="EL96" t="e">
        <f>Nodes!V756+"'E4!&amp;/V"</f>
        <v>#VALUE!</v>
      </c>
      <c r="EM96" s="547" t="e">
        <f>Nodes!W756+"'E4!&amp;/W"</f>
        <v>#VALUE!</v>
      </c>
      <c r="EN96" t="e">
        <f>Nodes!X756+"'E4!&amp;/X"</f>
        <v>#VALUE!</v>
      </c>
      <c r="EO96" t="e">
        <f>Nodes!Y756+"'E4!&amp;/Y"</f>
        <v>#VALUE!</v>
      </c>
      <c r="EP96" t="e">
        <f>Nodes!Z756+"'E4!&amp;/Z"</f>
        <v>#VALUE!</v>
      </c>
      <c r="EQ96" t="e">
        <f>Nodes!AA756+"'E4!&amp;/["</f>
        <v>#VALUE!</v>
      </c>
      <c r="ER96" t="e">
        <f>Nodes!AB756+"'E4!&amp;/\"</f>
        <v>#VALUE!</v>
      </c>
      <c r="ES96" t="e">
        <f>Nodes!AC756+"'E4!&amp;/]"</f>
        <v>#VALUE!</v>
      </c>
      <c r="ET96" t="e">
        <f>Nodes!A757+"'E4!&amp;/^"</f>
        <v>#VALUE!</v>
      </c>
      <c r="EU96" t="e">
        <f>Nodes!B757+"'E4!&amp;/_"</f>
        <v>#VALUE!</v>
      </c>
      <c r="EV96" t="e">
        <f>Nodes!C757+"'E4!&amp;/`"</f>
        <v>#VALUE!</v>
      </c>
      <c r="EW96" t="e">
        <f>Nodes!D757+"'E4!&amp;/a"</f>
        <v>#VALUE!</v>
      </c>
      <c r="EX96" t="e">
        <f>Nodes!E757+"'E4!&amp;/b"</f>
        <v>#VALUE!</v>
      </c>
      <c r="EY96" t="e">
        <f>Nodes!F757+"'E4!&amp;/c"</f>
        <v>#VALUE!</v>
      </c>
      <c r="EZ96" t="e">
        <f>Nodes!G757+"'E4!&amp;/d"</f>
        <v>#VALUE!</v>
      </c>
      <c r="FA96" t="e">
        <f>Nodes!H757+"'E4!&amp;/e"</f>
        <v>#VALUE!</v>
      </c>
      <c r="FB96" t="e">
        <f>Nodes!I757+"'E4!&amp;/f"</f>
        <v>#VALUE!</v>
      </c>
      <c r="FC96" t="e">
        <f>Nodes!J757+"'E4!&amp;/g"</f>
        <v>#VALUE!</v>
      </c>
      <c r="FD96" t="e">
        <f>Nodes!K757+"'E4!&amp;/h"</f>
        <v>#VALUE!</v>
      </c>
      <c r="FE96" t="e">
        <f>Nodes!L757+"'E4!&amp;/i"</f>
        <v>#VALUE!</v>
      </c>
      <c r="FF96" t="e">
        <f>Nodes!M757+"'E4!&amp;/j"</f>
        <v>#VALUE!</v>
      </c>
      <c r="FG96" t="e">
        <f>Nodes!N757+"'E4!&amp;/k"</f>
        <v>#VALUE!</v>
      </c>
      <c r="FH96" t="e">
        <f>Nodes!O757+"'E4!&amp;/l"</f>
        <v>#VALUE!</v>
      </c>
      <c r="FI96" t="e">
        <f>Nodes!P757+"'E4!&amp;/m"</f>
        <v>#VALUE!</v>
      </c>
      <c r="FJ96" t="e">
        <f>Nodes!Q757+"'E4!&amp;/n"</f>
        <v>#VALUE!</v>
      </c>
      <c r="FK96" t="e">
        <f>Nodes!R757+"'E4!&amp;/o"</f>
        <v>#VALUE!</v>
      </c>
      <c r="FL96" t="e">
        <f>Nodes!S757+"'E4!&amp;/p"</f>
        <v>#VALUE!</v>
      </c>
      <c r="FM96" s="547" t="e">
        <f>Nodes!T757+"'E4!&amp;/q"</f>
        <v>#VALUE!</v>
      </c>
      <c r="FN96" t="e">
        <f>Nodes!U757+"'E4!&amp;/r"</f>
        <v>#VALUE!</v>
      </c>
      <c r="FO96" t="e">
        <f>Nodes!V757+"'E4!&amp;/s"</f>
        <v>#VALUE!</v>
      </c>
      <c r="FP96" s="547" t="e">
        <f>Nodes!W757+"'E4!&amp;/t"</f>
        <v>#VALUE!</v>
      </c>
      <c r="FQ96" t="e">
        <f>Nodes!X757+"'E4!&amp;/u"</f>
        <v>#VALUE!</v>
      </c>
      <c r="FR96" t="e">
        <f>Nodes!Y757+"'E4!&amp;/v"</f>
        <v>#VALUE!</v>
      </c>
      <c r="FS96" t="e">
        <f>Nodes!Z757+"'E4!&amp;/w"</f>
        <v>#VALUE!</v>
      </c>
      <c r="FT96" t="e">
        <f>Nodes!AA757+"'E4!&amp;/x"</f>
        <v>#VALUE!</v>
      </c>
      <c r="FU96" t="e">
        <f>Nodes!AB757+"'E4!&amp;/y"</f>
        <v>#VALUE!</v>
      </c>
      <c r="FV96" t="e">
        <f>Nodes!AC757+"'E4!&amp;/z"</f>
        <v>#VALUE!</v>
      </c>
      <c r="FW96" t="e">
        <f>Nodes!A758+"'E4!&amp;/{"</f>
        <v>#VALUE!</v>
      </c>
      <c r="FX96" t="e">
        <f>Nodes!B758+"'E4!&amp;/|"</f>
        <v>#VALUE!</v>
      </c>
      <c r="FY96" t="e">
        <f>Nodes!C758+"'E4!&amp;/}"</f>
        <v>#VALUE!</v>
      </c>
      <c r="FZ96" t="e">
        <f>Nodes!D758+"'E4!&amp;/~"</f>
        <v>#VALUE!</v>
      </c>
      <c r="GA96" t="e">
        <f>Nodes!E758+"'E4!&amp;0#"</f>
        <v>#VALUE!</v>
      </c>
      <c r="GB96" t="e">
        <f>Nodes!F758+"'E4!&amp;0$"</f>
        <v>#VALUE!</v>
      </c>
      <c r="GC96" t="e">
        <f>Nodes!G758+"'E4!&amp;0%"</f>
        <v>#VALUE!</v>
      </c>
      <c r="GD96" t="e">
        <f>Nodes!H758+"'E4!&amp;0&amp;"</f>
        <v>#VALUE!</v>
      </c>
      <c r="GE96" t="e">
        <f>Nodes!I758+"'E4!&amp;0'"</f>
        <v>#VALUE!</v>
      </c>
      <c r="GF96" t="e">
        <f>Nodes!J758+"'E4!&amp;0("</f>
        <v>#VALUE!</v>
      </c>
      <c r="GG96" t="e">
        <f>Nodes!K758+"'E4!&amp;0)"</f>
        <v>#VALUE!</v>
      </c>
      <c r="GH96" t="e">
        <f>Nodes!L758+"'E4!&amp;0."</f>
        <v>#VALUE!</v>
      </c>
      <c r="GI96" t="e">
        <f>Nodes!M758+"'E4!&amp;0/"</f>
        <v>#VALUE!</v>
      </c>
      <c r="GJ96" t="e">
        <f>Nodes!N758+"'E4!&amp;00"</f>
        <v>#VALUE!</v>
      </c>
      <c r="GK96" t="e">
        <f>Nodes!O758+"'E4!&amp;01"</f>
        <v>#VALUE!</v>
      </c>
      <c r="GL96" t="e">
        <f>Nodes!P758+"'E4!&amp;02"</f>
        <v>#VALUE!</v>
      </c>
      <c r="GM96" t="e">
        <f>Nodes!Q758+"'E4!&amp;03"</f>
        <v>#VALUE!</v>
      </c>
      <c r="GN96" t="e">
        <f>Nodes!R758+"'E4!&amp;04"</f>
        <v>#VALUE!</v>
      </c>
      <c r="GO96" t="e">
        <f>Nodes!S758+"'E4!&amp;05"</f>
        <v>#VALUE!</v>
      </c>
      <c r="GP96" s="547" t="e">
        <f>Nodes!T758+"'E4!&amp;06"</f>
        <v>#VALUE!</v>
      </c>
      <c r="GQ96" t="e">
        <f>Nodes!U758+"'E4!&amp;07"</f>
        <v>#VALUE!</v>
      </c>
      <c r="GR96" t="e">
        <f>Nodes!V758+"'E4!&amp;08"</f>
        <v>#VALUE!</v>
      </c>
      <c r="GS96" s="547" t="e">
        <f>Nodes!W758+"'E4!&amp;09"</f>
        <v>#VALUE!</v>
      </c>
      <c r="GT96" t="e">
        <f>Nodes!X758+"'E4!&amp;0:"</f>
        <v>#VALUE!</v>
      </c>
      <c r="GU96" t="e">
        <f>Nodes!Y758+"'E4!&amp;0;"</f>
        <v>#VALUE!</v>
      </c>
      <c r="GV96" t="e">
        <f>Nodes!Z758+"'E4!&amp;0&lt;"</f>
        <v>#VALUE!</v>
      </c>
      <c r="GW96" t="e">
        <f>Nodes!AA758+"'E4!&amp;0="</f>
        <v>#VALUE!</v>
      </c>
      <c r="GX96" t="e">
        <f>Nodes!AB758+"'E4!&amp;0&gt;"</f>
        <v>#VALUE!</v>
      </c>
      <c r="GY96" t="e">
        <f>Nodes!AC758+"'E4!&amp;0?"</f>
        <v>#VALUE!</v>
      </c>
      <c r="GZ96" t="e">
        <f>Nodes!A759+"'E4!&amp;0@"</f>
        <v>#VALUE!</v>
      </c>
      <c r="HA96" t="e">
        <f>Nodes!B759+"'E4!&amp;0A"</f>
        <v>#VALUE!</v>
      </c>
      <c r="HB96" t="e">
        <f>Nodes!C759+"'E4!&amp;0B"</f>
        <v>#VALUE!</v>
      </c>
      <c r="HC96" t="e">
        <f>Nodes!D759+"'E4!&amp;0C"</f>
        <v>#VALUE!</v>
      </c>
      <c r="HD96" t="e">
        <f>Nodes!E759+"'E4!&amp;0D"</f>
        <v>#VALUE!</v>
      </c>
      <c r="HE96" t="e">
        <f>Nodes!F759+"'E4!&amp;0E"</f>
        <v>#VALUE!</v>
      </c>
      <c r="HF96" t="e">
        <f>Nodes!G759+"'E4!&amp;0F"</f>
        <v>#VALUE!</v>
      </c>
      <c r="HG96" t="e">
        <f>Nodes!H759+"'E4!&amp;0G"</f>
        <v>#VALUE!</v>
      </c>
      <c r="HH96" t="e">
        <f>Nodes!I759+"'E4!&amp;0H"</f>
        <v>#VALUE!</v>
      </c>
      <c r="HI96" t="e">
        <f>Nodes!J759+"'E4!&amp;0I"</f>
        <v>#VALUE!</v>
      </c>
      <c r="HJ96" t="e">
        <f>Nodes!K759+"'E4!&amp;0J"</f>
        <v>#VALUE!</v>
      </c>
      <c r="HK96" t="e">
        <f>Nodes!L759+"'E4!&amp;0K"</f>
        <v>#VALUE!</v>
      </c>
      <c r="HL96" t="e">
        <f>Nodes!M759+"'E4!&amp;0L"</f>
        <v>#VALUE!</v>
      </c>
      <c r="HM96" t="e">
        <f>Nodes!N759+"'E4!&amp;0M"</f>
        <v>#VALUE!</v>
      </c>
      <c r="HN96" t="e">
        <f>Nodes!O759+"'E4!&amp;0N"</f>
        <v>#VALUE!</v>
      </c>
      <c r="HO96" t="e">
        <f>Nodes!P759+"'E4!&amp;0O"</f>
        <v>#VALUE!</v>
      </c>
      <c r="HP96" t="e">
        <f>Nodes!Q759+"'E4!&amp;0P"</f>
        <v>#VALUE!</v>
      </c>
      <c r="HQ96" t="e">
        <f>Nodes!R759+"'E4!&amp;0Q"</f>
        <v>#VALUE!</v>
      </c>
      <c r="HR96" t="e">
        <f>Nodes!S759+"'E4!&amp;0R"</f>
        <v>#VALUE!</v>
      </c>
      <c r="HS96" s="547" t="e">
        <f>Nodes!T759+"'E4!&amp;0S"</f>
        <v>#VALUE!</v>
      </c>
      <c r="HT96" t="e">
        <f>Nodes!U759+"'E4!&amp;0T"</f>
        <v>#VALUE!</v>
      </c>
      <c r="HU96" t="e">
        <f>Nodes!V759+"'E4!&amp;0U"</f>
        <v>#VALUE!</v>
      </c>
      <c r="HV96" s="547" t="e">
        <f>Nodes!W759+"'E4!&amp;0V"</f>
        <v>#VALUE!</v>
      </c>
      <c r="HW96" t="e">
        <f>Nodes!X759+"'E4!&amp;0W"</f>
        <v>#VALUE!</v>
      </c>
      <c r="HX96" t="e">
        <f>Nodes!Y759+"'E4!&amp;0X"</f>
        <v>#VALUE!</v>
      </c>
      <c r="HY96" t="e">
        <f>Nodes!Z759+"'E4!&amp;0Y"</f>
        <v>#VALUE!</v>
      </c>
      <c r="HZ96" t="e">
        <f>Nodes!AA759+"'E4!&amp;0Z"</f>
        <v>#VALUE!</v>
      </c>
      <c r="IA96" t="e">
        <f>Nodes!AB759+"'E4!&amp;0["</f>
        <v>#VALUE!</v>
      </c>
      <c r="IB96" t="e">
        <f>Nodes!AC759+"'E4!&amp;0\"</f>
        <v>#VALUE!</v>
      </c>
      <c r="IC96" t="e">
        <f>Nodes!A760+"'E4!&amp;0]"</f>
        <v>#VALUE!</v>
      </c>
      <c r="ID96" t="e">
        <f>Nodes!B760+"'E4!&amp;0^"</f>
        <v>#VALUE!</v>
      </c>
      <c r="IE96" t="e">
        <f>Nodes!C760+"'E4!&amp;0_"</f>
        <v>#VALUE!</v>
      </c>
      <c r="IF96" t="e">
        <f>Nodes!D760+"'E4!&amp;0`"</f>
        <v>#VALUE!</v>
      </c>
      <c r="IG96" t="e">
        <f>Nodes!E760+"'E4!&amp;0a"</f>
        <v>#VALUE!</v>
      </c>
      <c r="IH96" t="e">
        <f>Nodes!F760+"'E4!&amp;0b"</f>
        <v>#VALUE!</v>
      </c>
      <c r="II96" t="e">
        <f>Nodes!G760+"'E4!&amp;0c"</f>
        <v>#VALUE!</v>
      </c>
      <c r="IJ96" t="e">
        <f>Nodes!H760+"'E4!&amp;0d"</f>
        <v>#VALUE!</v>
      </c>
      <c r="IK96" t="e">
        <f>Nodes!I760+"'E4!&amp;0e"</f>
        <v>#VALUE!</v>
      </c>
      <c r="IL96" t="e">
        <f>Nodes!J760+"'E4!&amp;0f"</f>
        <v>#VALUE!</v>
      </c>
      <c r="IM96" t="e">
        <f>Nodes!K760+"'E4!&amp;0g"</f>
        <v>#VALUE!</v>
      </c>
      <c r="IN96" t="e">
        <f>Nodes!L760+"'E4!&amp;0h"</f>
        <v>#VALUE!</v>
      </c>
      <c r="IO96" t="e">
        <f>Nodes!M760+"'E4!&amp;0i"</f>
        <v>#VALUE!</v>
      </c>
      <c r="IP96" t="e">
        <f>Nodes!N760+"'E4!&amp;0j"</f>
        <v>#VALUE!</v>
      </c>
      <c r="IQ96" t="e">
        <f>Nodes!O760+"'E4!&amp;0k"</f>
        <v>#VALUE!</v>
      </c>
      <c r="IR96" t="e">
        <f>Nodes!P760+"'E4!&amp;0l"</f>
        <v>#VALUE!</v>
      </c>
      <c r="IS96" t="e">
        <f>Nodes!Q760+"'E4!&amp;0m"</f>
        <v>#VALUE!</v>
      </c>
      <c r="IT96" t="e">
        <f>Nodes!R760+"'E4!&amp;0n"</f>
        <v>#VALUE!</v>
      </c>
      <c r="IU96" t="e">
        <f>Nodes!S760+"'E4!&amp;0o"</f>
        <v>#VALUE!</v>
      </c>
      <c r="IV96" s="547" t="e">
        <f>Nodes!T760+"'E4!&amp;0p"</f>
        <v>#VALUE!</v>
      </c>
    </row>
    <row r="97" spans="6:256">
      <c r="F97" t="e">
        <f>Nodes!U760+"'E4!&amp;0q"</f>
        <v>#VALUE!</v>
      </c>
      <c r="G97" t="e">
        <f>Nodes!V760+"'E4!&amp;0r"</f>
        <v>#VALUE!</v>
      </c>
      <c r="H97" s="547" t="e">
        <f>Nodes!W760+"'E4!&amp;0s"</f>
        <v>#VALUE!</v>
      </c>
      <c r="I97" t="e">
        <f>Nodes!X760+"'E4!&amp;0t"</f>
        <v>#VALUE!</v>
      </c>
      <c r="J97" t="e">
        <f>Nodes!Y760+"'E4!&amp;0u"</f>
        <v>#VALUE!</v>
      </c>
      <c r="K97" t="e">
        <f>Nodes!Z760+"'E4!&amp;0v"</f>
        <v>#VALUE!</v>
      </c>
      <c r="L97" t="e">
        <f>Nodes!AA760+"'E4!&amp;0w"</f>
        <v>#VALUE!</v>
      </c>
      <c r="M97" t="e">
        <f>Nodes!AB760+"'E4!&amp;0x"</f>
        <v>#VALUE!</v>
      </c>
      <c r="N97" t="e">
        <f>Nodes!AC760+"'E4!&amp;0y"</f>
        <v>#VALUE!</v>
      </c>
      <c r="O97" t="e">
        <f>Nodes!A761+"'E4!&amp;0z"</f>
        <v>#VALUE!</v>
      </c>
      <c r="P97" t="e">
        <f>Nodes!B761+"'E4!&amp;0{"</f>
        <v>#VALUE!</v>
      </c>
      <c r="Q97" t="e">
        <f>Nodes!C761+"'E4!&amp;0|"</f>
        <v>#VALUE!</v>
      </c>
      <c r="R97" t="e">
        <f>Nodes!D761+"'E4!&amp;0}"</f>
        <v>#VALUE!</v>
      </c>
      <c r="S97" t="e">
        <f>Nodes!E761+"'E4!&amp;0~"</f>
        <v>#VALUE!</v>
      </c>
      <c r="T97" t="e">
        <f>Nodes!F761+"'E4!&amp;1#"</f>
        <v>#VALUE!</v>
      </c>
      <c r="U97" t="e">
        <f>Nodes!G761+"'E4!&amp;1$"</f>
        <v>#VALUE!</v>
      </c>
      <c r="V97" t="e">
        <f>Nodes!H761+"'E4!&amp;1%"</f>
        <v>#VALUE!</v>
      </c>
      <c r="W97" t="e">
        <f>Nodes!I761+"'E4!&amp;1&amp;"</f>
        <v>#VALUE!</v>
      </c>
      <c r="X97" t="e">
        <f>Nodes!J761+"'E4!&amp;1'"</f>
        <v>#VALUE!</v>
      </c>
      <c r="Y97" t="e">
        <f>Nodes!K761+"'E4!&amp;1("</f>
        <v>#VALUE!</v>
      </c>
      <c r="Z97" t="e">
        <f>Nodes!L761+"'E4!&amp;1)"</f>
        <v>#VALUE!</v>
      </c>
      <c r="AA97" t="e">
        <f>Nodes!M761+"'E4!&amp;1."</f>
        <v>#VALUE!</v>
      </c>
      <c r="AB97" t="e">
        <f>Nodes!N761+"'E4!&amp;1/"</f>
        <v>#VALUE!</v>
      </c>
      <c r="AC97" t="e">
        <f>Nodes!O761+"'E4!&amp;10"</f>
        <v>#VALUE!</v>
      </c>
      <c r="AD97" t="e">
        <f>Nodes!P761+"'E4!&amp;11"</f>
        <v>#VALUE!</v>
      </c>
      <c r="AE97" t="e">
        <f>Nodes!Q761+"'E4!&amp;12"</f>
        <v>#VALUE!</v>
      </c>
      <c r="AF97" t="e">
        <f>Nodes!R761+"'E4!&amp;13"</f>
        <v>#VALUE!</v>
      </c>
      <c r="AG97" t="e">
        <f>Nodes!S761+"'E4!&amp;14"</f>
        <v>#VALUE!</v>
      </c>
      <c r="AH97" s="547" t="e">
        <f>Nodes!T761+"'E4!&amp;15"</f>
        <v>#VALUE!</v>
      </c>
      <c r="AI97" t="e">
        <f>Nodes!U761+"'E4!&amp;16"</f>
        <v>#VALUE!</v>
      </c>
      <c r="AJ97" t="e">
        <f>Nodes!V761+"'E4!&amp;17"</f>
        <v>#VALUE!</v>
      </c>
      <c r="AK97" s="547" t="e">
        <f>Nodes!W761+"'E4!&amp;18"</f>
        <v>#VALUE!</v>
      </c>
      <c r="AL97" t="e">
        <f>Nodes!X761+"'E4!&amp;19"</f>
        <v>#VALUE!</v>
      </c>
      <c r="AM97" t="e">
        <f>Nodes!Y761+"'E4!&amp;1:"</f>
        <v>#VALUE!</v>
      </c>
      <c r="AN97" t="e">
        <f>Nodes!Z761+"'E4!&amp;1;"</f>
        <v>#VALUE!</v>
      </c>
      <c r="AO97" t="e">
        <f>Nodes!AA761+"'E4!&amp;1&lt;"</f>
        <v>#VALUE!</v>
      </c>
      <c r="AP97" t="e">
        <f>Nodes!AB761+"'E4!&amp;1="</f>
        <v>#VALUE!</v>
      </c>
      <c r="AQ97" t="e">
        <f>Nodes!AC761+"'E4!&amp;1&gt;"</f>
        <v>#VALUE!</v>
      </c>
      <c r="AR97" t="e">
        <f>Nodes!A762+"'E4!&amp;1?"</f>
        <v>#VALUE!</v>
      </c>
      <c r="AS97" t="e">
        <f>Nodes!B762+"'E4!&amp;1@"</f>
        <v>#VALUE!</v>
      </c>
      <c r="AT97" t="e">
        <f>Nodes!C762+"'E4!&amp;1A"</f>
        <v>#VALUE!</v>
      </c>
      <c r="AU97" t="e">
        <f>Nodes!D762+"'E4!&amp;1B"</f>
        <v>#VALUE!</v>
      </c>
      <c r="AV97" t="e">
        <f>Nodes!E762+"'E4!&amp;1C"</f>
        <v>#VALUE!</v>
      </c>
      <c r="AW97" t="e">
        <f>Nodes!F762+"'E4!&amp;1D"</f>
        <v>#VALUE!</v>
      </c>
      <c r="AX97" t="e">
        <f>Nodes!G762+"'E4!&amp;1E"</f>
        <v>#VALUE!</v>
      </c>
      <c r="AY97" t="e">
        <f>Nodes!H762+"'E4!&amp;1F"</f>
        <v>#VALUE!</v>
      </c>
      <c r="AZ97" t="e">
        <f>Nodes!I762+"'E4!&amp;1G"</f>
        <v>#VALUE!</v>
      </c>
      <c r="BA97" t="e">
        <f>Nodes!J762+"'E4!&amp;1H"</f>
        <v>#VALUE!</v>
      </c>
      <c r="BB97" t="e">
        <f>Nodes!K762+"'E4!&amp;1I"</f>
        <v>#VALUE!</v>
      </c>
      <c r="BC97" t="e">
        <f>Nodes!L762+"'E4!&amp;1J"</f>
        <v>#VALUE!</v>
      </c>
      <c r="BD97" t="e">
        <f>Nodes!M762+"'E4!&amp;1K"</f>
        <v>#VALUE!</v>
      </c>
      <c r="BE97" t="e">
        <f>Nodes!N762+"'E4!&amp;1L"</f>
        <v>#VALUE!</v>
      </c>
      <c r="BF97" t="e">
        <f>Nodes!O762+"'E4!&amp;1M"</f>
        <v>#VALUE!</v>
      </c>
      <c r="BG97" t="e">
        <f>Nodes!P762+"'E4!&amp;1N"</f>
        <v>#VALUE!</v>
      </c>
      <c r="BH97" t="e">
        <f>Nodes!Q762+"'E4!&amp;1O"</f>
        <v>#VALUE!</v>
      </c>
      <c r="BI97" t="e">
        <f>Nodes!R762+"'E4!&amp;1P"</f>
        <v>#VALUE!</v>
      </c>
      <c r="BJ97" t="e">
        <f>Nodes!S762+"'E4!&amp;1Q"</f>
        <v>#VALUE!</v>
      </c>
      <c r="BK97" s="547" t="e">
        <f>Nodes!T762+"'E4!&amp;1R"</f>
        <v>#VALUE!</v>
      </c>
      <c r="BL97" t="e">
        <f>Nodes!U762+"'E4!&amp;1S"</f>
        <v>#VALUE!</v>
      </c>
      <c r="BM97" t="e">
        <f>Nodes!V762+"'E4!&amp;1T"</f>
        <v>#VALUE!</v>
      </c>
      <c r="BN97" s="547" t="e">
        <f>Nodes!W762+"'E4!&amp;1U"</f>
        <v>#VALUE!</v>
      </c>
      <c r="BO97" t="e">
        <f>Nodes!X762+"'E4!&amp;1V"</f>
        <v>#VALUE!</v>
      </c>
      <c r="BP97" t="e">
        <f>Nodes!Y762+"'E4!&amp;1W"</f>
        <v>#VALUE!</v>
      </c>
      <c r="BQ97" t="e">
        <f>Nodes!Z762+"'E4!&amp;1X"</f>
        <v>#VALUE!</v>
      </c>
      <c r="BR97" t="e">
        <f>Nodes!AA762+"'E4!&amp;1Y"</f>
        <v>#VALUE!</v>
      </c>
      <c r="BS97" t="e">
        <f>Nodes!AB762+"'E4!&amp;1Z"</f>
        <v>#VALUE!</v>
      </c>
      <c r="BT97" t="e">
        <f>Nodes!AC762+"'E4!&amp;1["</f>
        <v>#VALUE!</v>
      </c>
      <c r="BU97" t="e">
        <f>Nodes!A763+"'E4!&amp;1\"</f>
        <v>#VALUE!</v>
      </c>
      <c r="BV97" t="e">
        <f>Nodes!B763+"'E4!&amp;1]"</f>
        <v>#VALUE!</v>
      </c>
      <c r="BW97" t="e">
        <f>Nodes!C763+"'E4!&amp;1^"</f>
        <v>#VALUE!</v>
      </c>
      <c r="BX97" t="e">
        <f>Nodes!D763+"'E4!&amp;1_"</f>
        <v>#VALUE!</v>
      </c>
      <c r="BY97" t="e">
        <f>Nodes!E763+"'E4!&amp;1`"</f>
        <v>#VALUE!</v>
      </c>
      <c r="BZ97" t="e">
        <f>Nodes!F763+"'E4!&amp;1a"</f>
        <v>#VALUE!</v>
      </c>
      <c r="CA97" t="e">
        <f>Nodes!G763+"'E4!&amp;1b"</f>
        <v>#VALUE!</v>
      </c>
      <c r="CB97" t="e">
        <f>Nodes!H763+"'E4!&amp;1c"</f>
        <v>#VALUE!</v>
      </c>
      <c r="CC97" t="e">
        <f>Nodes!I763+"'E4!&amp;1d"</f>
        <v>#VALUE!</v>
      </c>
      <c r="CD97" t="e">
        <f>Nodes!J763+"'E4!&amp;1e"</f>
        <v>#VALUE!</v>
      </c>
      <c r="CE97" t="e">
        <f>Nodes!K763+"'E4!&amp;1f"</f>
        <v>#VALUE!</v>
      </c>
      <c r="CF97" t="e">
        <f>Nodes!L763+"'E4!&amp;1g"</f>
        <v>#VALUE!</v>
      </c>
      <c r="CG97" t="e">
        <f>Nodes!M763+"'E4!&amp;1h"</f>
        <v>#VALUE!</v>
      </c>
      <c r="CH97" t="e">
        <f>Nodes!N763+"'E4!&amp;1i"</f>
        <v>#VALUE!</v>
      </c>
      <c r="CI97" t="e">
        <f>Nodes!O763+"'E4!&amp;1j"</f>
        <v>#VALUE!</v>
      </c>
      <c r="CJ97" t="e">
        <f>Nodes!P763+"'E4!&amp;1k"</f>
        <v>#VALUE!</v>
      </c>
      <c r="CK97" t="e">
        <f>Nodes!Q763+"'E4!&amp;1l"</f>
        <v>#VALUE!</v>
      </c>
      <c r="CL97" t="e">
        <f>Nodes!R763+"'E4!&amp;1m"</f>
        <v>#VALUE!</v>
      </c>
      <c r="CM97" t="e">
        <f>Nodes!S763+"'E4!&amp;1n"</f>
        <v>#VALUE!</v>
      </c>
      <c r="CN97" s="547" t="e">
        <f>Nodes!T763+"'E4!&amp;1o"</f>
        <v>#VALUE!</v>
      </c>
      <c r="CO97" t="e">
        <f>Nodes!U763+"'E4!&amp;1p"</f>
        <v>#VALUE!</v>
      </c>
      <c r="CP97" t="e">
        <f>Nodes!V763+"'E4!&amp;1q"</f>
        <v>#VALUE!</v>
      </c>
      <c r="CQ97" s="547" t="e">
        <f>Nodes!W763+"'E4!&amp;1r"</f>
        <v>#VALUE!</v>
      </c>
      <c r="CR97" t="e">
        <f>Nodes!X763+"'E4!&amp;1s"</f>
        <v>#VALUE!</v>
      </c>
      <c r="CS97" t="e">
        <f>Nodes!Y763+"'E4!&amp;1t"</f>
        <v>#VALUE!</v>
      </c>
      <c r="CT97" t="e">
        <f>Nodes!Z763+"'E4!&amp;1u"</f>
        <v>#VALUE!</v>
      </c>
      <c r="CU97" t="e">
        <f>Nodes!AA763+"'E4!&amp;1v"</f>
        <v>#VALUE!</v>
      </c>
      <c r="CV97" t="e">
        <f>Nodes!AB763+"'E4!&amp;1w"</f>
        <v>#VALUE!</v>
      </c>
      <c r="CW97" t="e">
        <f>Nodes!AC763+"'E4!&amp;1x"</f>
        <v>#VALUE!</v>
      </c>
      <c r="CX97" t="e">
        <f>Nodes!A764+"'E4!&amp;1y"</f>
        <v>#VALUE!</v>
      </c>
      <c r="CY97" t="e">
        <f>Nodes!B764+"'E4!&amp;1z"</f>
        <v>#VALUE!</v>
      </c>
      <c r="CZ97" t="e">
        <f>Nodes!C764+"'E4!&amp;1{"</f>
        <v>#VALUE!</v>
      </c>
      <c r="DA97" t="e">
        <f>Nodes!D764+"'E4!&amp;1|"</f>
        <v>#VALUE!</v>
      </c>
      <c r="DB97" t="e">
        <f>Nodes!E764+"'E4!&amp;1}"</f>
        <v>#VALUE!</v>
      </c>
      <c r="DC97" t="e">
        <f>Nodes!F764+"'E4!&amp;1~"</f>
        <v>#VALUE!</v>
      </c>
      <c r="DD97" t="e">
        <f>Nodes!G764+"'E4!&amp;2#"</f>
        <v>#VALUE!</v>
      </c>
      <c r="DE97" t="e">
        <f>Nodes!H764+"'E4!&amp;2$"</f>
        <v>#VALUE!</v>
      </c>
      <c r="DF97" t="e">
        <f>Nodes!I764+"'E4!&amp;2%"</f>
        <v>#VALUE!</v>
      </c>
      <c r="DG97" t="e">
        <f>Nodes!J764+"'E4!&amp;2&amp;"</f>
        <v>#VALUE!</v>
      </c>
      <c r="DH97" t="e">
        <f>Nodes!K764+"'E4!&amp;2'"</f>
        <v>#VALUE!</v>
      </c>
      <c r="DI97" t="e">
        <f>Nodes!L764+"'E4!&amp;2("</f>
        <v>#VALUE!</v>
      </c>
      <c r="DJ97" t="e">
        <f>Nodes!M764+"'E4!&amp;2)"</f>
        <v>#VALUE!</v>
      </c>
      <c r="DK97" t="e">
        <f>Nodes!N764+"'E4!&amp;2."</f>
        <v>#VALUE!</v>
      </c>
      <c r="DL97" t="e">
        <f>Nodes!O764+"'E4!&amp;2/"</f>
        <v>#VALUE!</v>
      </c>
      <c r="DM97" t="e">
        <f>Nodes!P764+"'E4!&amp;20"</f>
        <v>#VALUE!</v>
      </c>
      <c r="DN97" t="e">
        <f>Nodes!Q764+"'E4!&amp;21"</f>
        <v>#VALUE!</v>
      </c>
      <c r="DO97" t="e">
        <f>Nodes!R764+"'E4!&amp;22"</f>
        <v>#VALUE!</v>
      </c>
      <c r="DP97" t="e">
        <f>Nodes!S764+"'E4!&amp;23"</f>
        <v>#VALUE!</v>
      </c>
      <c r="DQ97" s="547" t="e">
        <f>Nodes!T764+"'E4!&amp;24"</f>
        <v>#VALUE!</v>
      </c>
      <c r="DR97" t="e">
        <f>Nodes!U764+"'E4!&amp;25"</f>
        <v>#VALUE!</v>
      </c>
      <c r="DS97" t="e">
        <f>Nodes!V764+"'E4!&amp;26"</f>
        <v>#VALUE!</v>
      </c>
      <c r="DT97" s="547" t="e">
        <f>Nodes!W764+"'E4!&amp;27"</f>
        <v>#VALUE!</v>
      </c>
      <c r="DU97" t="e">
        <f>Nodes!X764+"'E4!&amp;28"</f>
        <v>#VALUE!</v>
      </c>
      <c r="DV97" t="e">
        <f>Nodes!Y764+"'E4!&amp;29"</f>
        <v>#VALUE!</v>
      </c>
      <c r="DW97" t="e">
        <f>Nodes!Z764+"'E4!&amp;2:"</f>
        <v>#VALUE!</v>
      </c>
      <c r="DX97" t="e">
        <f>Nodes!AA764+"'E4!&amp;2;"</f>
        <v>#VALUE!</v>
      </c>
      <c r="DY97" t="e">
        <f>Nodes!AB764+"'E4!&amp;2&lt;"</f>
        <v>#VALUE!</v>
      </c>
      <c r="DZ97" t="e">
        <f>Nodes!AC764+"'E4!&amp;2="</f>
        <v>#VALUE!</v>
      </c>
      <c r="EA97" t="e">
        <f>Nodes!A765+"'E4!&amp;2&gt;"</f>
        <v>#VALUE!</v>
      </c>
      <c r="EB97" t="e">
        <f>Nodes!B765+"'E4!&amp;2?"</f>
        <v>#VALUE!</v>
      </c>
      <c r="EC97" t="e">
        <f>Nodes!C765+"'E4!&amp;2@"</f>
        <v>#VALUE!</v>
      </c>
      <c r="ED97" t="e">
        <f>Nodes!D765+"'E4!&amp;2A"</f>
        <v>#VALUE!</v>
      </c>
      <c r="EE97" t="e">
        <f>Nodes!E765+"'E4!&amp;2B"</f>
        <v>#VALUE!</v>
      </c>
      <c r="EF97" t="e">
        <f>Nodes!F765+"'E4!&amp;2C"</f>
        <v>#VALUE!</v>
      </c>
      <c r="EG97" t="e">
        <f>Nodes!G765+"'E4!&amp;2D"</f>
        <v>#VALUE!</v>
      </c>
      <c r="EH97" t="e">
        <f>Nodes!H765+"'E4!&amp;2E"</f>
        <v>#VALUE!</v>
      </c>
      <c r="EI97" t="e">
        <f>Nodes!I765+"'E4!&amp;2F"</f>
        <v>#VALUE!</v>
      </c>
      <c r="EJ97" t="e">
        <f>Nodes!J765+"'E4!&amp;2G"</f>
        <v>#VALUE!</v>
      </c>
      <c r="EK97" t="e">
        <f>Nodes!K765+"'E4!&amp;2H"</f>
        <v>#VALUE!</v>
      </c>
      <c r="EL97" t="e">
        <f>Nodes!L765+"'E4!&amp;2I"</f>
        <v>#VALUE!</v>
      </c>
      <c r="EM97" t="e">
        <f>Nodes!M765+"'E4!&amp;2J"</f>
        <v>#VALUE!</v>
      </c>
      <c r="EN97" t="e">
        <f>Nodes!N765+"'E4!&amp;2K"</f>
        <v>#VALUE!</v>
      </c>
      <c r="EO97" t="e">
        <f>Nodes!O765+"'E4!&amp;2L"</f>
        <v>#VALUE!</v>
      </c>
      <c r="EP97" t="e">
        <f>Nodes!P765+"'E4!&amp;2M"</f>
        <v>#N/A</v>
      </c>
      <c r="EQ97" t="e">
        <f>Nodes!Q765+"'E4!&amp;2N"</f>
        <v>#VALUE!</v>
      </c>
      <c r="ER97" t="e">
        <f>Nodes!R765+"'E4!&amp;2O"</f>
        <v>#VALUE!</v>
      </c>
      <c r="ES97" t="e">
        <f>Nodes!S765+"'E4!&amp;2P"</f>
        <v>#VALUE!</v>
      </c>
      <c r="ET97" s="547" t="e">
        <f>Nodes!T765+"'E4!&amp;2Q"</f>
        <v>#VALUE!</v>
      </c>
      <c r="EU97" t="e">
        <f>Nodes!U765+"'E4!&amp;2R"</f>
        <v>#VALUE!</v>
      </c>
      <c r="EV97" t="e">
        <f>Nodes!V765+"'E4!&amp;2S"</f>
        <v>#VALUE!</v>
      </c>
      <c r="EW97" s="547" t="e">
        <f>Nodes!W765+"'E4!&amp;2T"</f>
        <v>#VALUE!</v>
      </c>
      <c r="EX97" t="e">
        <f>Nodes!X765+"'E4!&amp;2U"</f>
        <v>#VALUE!</v>
      </c>
      <c r="EY97" t="e">
        <f>Nodes!Y765+"'E4!&amp;2V"</f>
        <v>#VALUE!</v>
      </c>
      <c r="EZ97" t="e">
        <f>Nodes!Z765+"'E4!&amp;2W"</f>
        <v>#VALUE!</v>
      </c>
      <c r="FA97" t="e">
        <f>Nodes!AA765+"'E4!&amp;2X"</f>
        <v>#VALUE!</v>
      </c>
      <c r="FB97" t="e">
        <f>Nodes!AB765+"'E4!&amp;2Y"</f>
        <v>#VALUE!</v>
      </c>
      <c r="FC97" t="e">
        <f>Nodes!AC765+"'E4!&amp;2Z"</f>
        <v>#VALUE!</v>
      </c>
      <c r="FD97" t="e">
        <f>Nodes!A766+"'E4!&amp;2["</f>
        <v>#VALUE!</v>
      </c>
      <c r="FE97" t="e">
        <f>Nodes!B766+"'E4!&amp;2\"</f>
        <v>#VALUE!</v>
      </c>
      <c r="FF97" t="e">
        <f>Nodes!C766+"'E4!&amp;2]"</f>
        <v>#VALUE!</v>
      </c>
      <c r="FG97" t="e">
        <f>Nodes!D766+"'E4!&amp;2^"</f>
        <v>#VALUE!</v>
      </c>
      <c r="FH97" t="e">
        <f>Nodes!E766+"'E4!&amp;2_"</f>
        <v>#VALUE!</v>
      </c>
      <c r="FI97" t="e">
        <f>Nodes!F766+"'E4!&amp;2`"</f>
        <v>#VALUE!</v>
      </c>
      <c r="FJ97" t="e">
        <f>Nodes!G766+"'E4!&amp;2a"</f>
        <v>#VALUE!</v>
      </c>
      <c r="FK97" t="e">
        <f>Nodes!H766+"'E4!&amp;2b"</f>
        <v>#VALUE!</v>
      </c>
      <c r="FL97" t="e">
        <f>Nodes!I766+"'E4!&amp;2c"</f>
        <v>#VALUE!</v>
      </c>
      <c r="FM97" t="e">
        <f>Nodes!J766+"'E4!&amp;2d"</f>
        <v>#VALUE!</v>
      </c>
      <c r="FN97" t="e">
        <f>Nodes!K766+"'E4!&amp;2e"</f>
        <v>#VALUE!</v>
      </c>
      <c r="FO97" t="e">
        <f>Nodes!L766+"'E4!&amp;2f"</f>
        <v>#VALUE!</v>
      </c>
      <c r="FP97" t="e">
        <f>Nodes!M766+"'E4!&amp;2g"</f>
        <v>#VALUE!</v>
      </c>
      <c r="FQ97" t="e">
        <f>Nodes!N766+"'E4!&amp;2h"</f>
        <v>#VALUE!</v>
      </c>
      <c r="FR97" t="e">
        <f>Nodes!O766+"'E4!&amp;2i"</f>
        <v>#VALUE!</v>
      </c>
      <c r="FS97" t="e">
        <f>Nodes!P766+"'E4!&amp;2j"</f>
        <v>#VALUE!</v>
      </c>
      <c r="FT97" t="e">
        <f>Nodes!Q766+"'E4!&amp;2k"</f>
        <v>#VALUE!</v>
      </c>
      <c r="FU97" t="e">
        <f>Nodes!R766+"'E4!&amp;2l"</f>
        <v>#VALUE!</v>
      </c>
      <c r="FV97" t="e">
        <f>Nodes!S766+"'E4!&amp;2m"</f>
        <v>#VALUE!</v>
      </c>
      <c r="FW97" s="547" t="e">
        <f>Nodes!T766+"'E4!&amp;2n"</f>
        <v>#VALUE!</v>
      </c>
      <c r="FX97" t="e">
        <f>Nodes!U766+"'E4!&amp;2o"</f>
        <v>#VALUE!</v>
      </c>
      <c r="FY97" t="e">
        <f>Nodes!V766+"'E4!&amp;2p"</f>
        <v>#VALUE!</v>
      </c>
      <c r="FZ97" s="547" t="e">
        <f>Nodes!W766+"'E4!&amp;2q"</f>
        <v>#VALUE!</v>
      </c>
      <c r="GA97" t="e">
        <f>Nodes!X766+"'E4!&amp;2r"</f>
        <v>#VALUE!</v>
      </c>
      <c r="GB97" t="e">
        <f>Nodes!Y766+"'E4!&amp;2s"</f>
        <v>#VALUE!</v>
      </c>
      <c r="GC97" t="e">
        <f>Nodes!Z766+"'E4!&amp;2t"</f>
        <v>#VALUE!</v>
      </c>
      <c r="GD97" t="e">
        <f>Nodes!AA766+"'E4!&amp;2u"</f>
        <v>#VALUE!</v>
      </c>
      <c r="GE97" t="e">
        <f>Nodes!AB766+"'E4!&amp;2v"</f>
        <v>#VALUE!</v>
      </c>
      <c r="GF97" t="e">
        <f>Nodes!AC766+"'E4!&amp;2w"</f>
        <v>#VALUE!</v>
      </c>
      <c r="GG97" t="e">
        <f>Nodes!A767+"'E4!&amp;2x"</f>
        <v>#VALUE!</v>
      </c>
      <c r="GH97" t="e">
        <f>Nodes!B767+"'E4!&amp;2y"</f>
        <v>#VALUE!</v>
      </c>
      <c r="GI97" t="e">
        <f>Nodes!C767+"'E4!&amp;2z"</f>
        <v>#VALUE!</v>
      </c>
      <c r="GJ97" t="e">
        <f>Nodes!D767+"'E4!&amp;2{"</f>
        <v>#VALUE!</v>
      </c>
      <c r="GK97" t="e">
        <f>Nodes!E767+"'E4!&amp;2|"</f>
        <v>#VALUE!</v>
      </c>
      <c r="GL97" t="e">
        <f>Nodes!F767+"'E4!&amp;2}"</f>
        <v>#VALUE!</v>
      </c>
      <c r="GM97" t="e">
        <f>Nodes!G767+"'E4!&amp;2~"</f>
        <v>#VALUE!</v>
      </c>
      <c r="GN97" t="e">
        <f>Nodes!H767+"'E4!&amp;3#"</f>
        <v>#VALUE!</v>
      </c>
      <c r="GO97" t="e">
        <f>Nodes!I767+"'E4!&amp;3$"</f>
        <v>#VALUE!</v>
      </c>
      <c r="GP97" t="e">
        <f>Nodes!J767+"'E4!&amp;3%"</f>
        <v>#VALUE!</v>
      </c>
      <c r="GQ97" t="e">
        <f>Nodes!K767+"'E4!&amp;3&amp;"</f>
        <v>#VALUE!</v>
      </c>
      <c r="GR97" t="e">
        <f>Nodes!L767+"'E4!&amp;3'"</f>
        <v>#VALUE!</v>
      </c>
      <c r="GS97" t="e">
        <f>Nodes!M767+"'E4!&amp;3("</f>
        <v>#VALUE!</v>
      </c>
      <c r="GT97" t="e">
        <f>Nodes!N767+"'E4!&amp;3)"</f>
        <v>#VALUE!</v>
      </c>
      <c r="GU97" t="e">
        <f>Nodes!O767+"'E4!&amp;3."</f>
        <v>#VALUE!</v>
      </c>
      <c r="GV97" t="e">
        <f>Nodes!P767+"'E4!&amp;3/"</f>
        <v>#VALUE!</v>
      </c>
      <c r="GW97" t="e">
        <f>Nodes!Q767+"'E4!&amp;30"</f>
        <v>#VALUE!</v>
      </c>
      <c r="GX97" t="e">
        <f>Nodes!R767+"'E4!&amp;31"</f>
        <v>#VALUE!</v>
      </c>
      <c r="GY97" t="e">
        <f>Nodes!S767+"'E4!&amp;32"</f>
        <v>#VALUE!</v>
      </c>
      <c r="GZ97" s="547" t="e">
        <f>Nodes!T767+"'E4!&amp;33"</f>
        <v>#VALUE!</v>
      </c>
      <c r="HA97" t="e">
        <f>Nodes!U767+"'E4!&amp;34"</f>
        <v>#VALUE!</v>
      </c>
      <c r="HB97" t="e">
        <f>Nodes!V767+"'E4!&amp;35"</f>
        <v>#VALUE!</v>
      </c>
      <c r="HC97" s="547" t="e">
        <f>Nodes!W767+"'E4!&amp;36"</f>
        <v>#VALUE!</v>
      </c>
      <c r="HD97" t="e">
        <f>Nodes!X767+"'E4!&amp;37"</f>
        <v>#VALUE!</v>
      </c>
      <c r="HE97" t="e">
        <f>Nodes!Y767+"'E4!&amp;38"</f>
        <v>#VALUE!</v>
      </c>
      <c r="HF97" t="e">
        <f>Nodes!Z767+"'E4!&amp;39"</f>
        <v>#VALUE!</v>
      </c>
      <c r="HG97" t="e">
        <f>Nodes!AA767+"'E4!&amp;3:"</f>
        <v>#VALUE!</v>
      </c>
      <c r="HH97" t="e">
        <f>Nodes!AB767+"'E4!&amp;3;"</f>
        <v>#VALUE!</v>
      </c>
      <c r="HI97" t="e">
        <f>Nodes!AC767+"'E4!&amp;3&lt;"</f>
        <v>#VALUE!</v>
      </c>
      <c r="HJ97" t="e">
        <f>Nodes!A768+"'E4!&amp;3="</f>
        <v>#VALUE!</v>
      </c>
      <c r="HK97" t="e">
        <f>Nodes!B768+"'E4!&amp;3&gt;"</f>
        <v>#VALUE!</v>
      </c>
      <c r="HL97" t="e">
        <f>Nodes!C768+"'E4!&amp;3?"</f>
        <v>#VALUE!</v>
      </c>
      <c r="HM97" t="e">
        <f>Nodes!D768+"'E4!&amp;3@"</f>
        <v>#VALUE!</v>
      </c>
      <c r="HN97" t="e">
        <f>Nodes!E768+"'E4!&amp;3A"</f>
        <v>#VALUE!</v>
      </c>
      <c r="HO97" t="e">
        <f>Nodes!F768+"'E4!&amp;3B"</f>
        <v>#VALUE!</v>
      </c>
      <c r="HP97" t="e">
        <f>Nodes!G768+"'E4!&amp;3C"</f>
        <v>#VALUE!</v>
      </c>
      <c r="HQ97" t="e">
        <f>Nodes!H768+"'E4!&amp;3D"</f>
        <v>#VALUE!</v>
      </c>
      <c r="HR97" t="e">
        <f>Nodes!I768+"'E4!&amp;3E"</f>
        <v>#VALUE!</v>
      </c>
      <c r="HS97" t="e">
        <f>Nodes!J768+"'E4!&amp;3F"</f>
        <v>#VALUE!</v>
      </c>
      <c r="HT97" t="e">
        <f>Nodes!K768+"'E4!&amp;3G"</f>
        <v>#VALUE!</v>
      </c>
      <c r="HU97" t="e">
        <f>Nodes!L768+"'E4!&amp;3H"</f>
        <v>#VALUE!</v>
      </c>
      <c r="HV97" t="e">
        <f>Nodes!M768+"'E4!&amp;3I"</f>
        <v>#VALUE!</v>
      </c>
      <c r="HW97" t="e">
        <f>Nodes!N768+"'E4!&amp;3J"</f>
        <v>#VALUE!</v>
      </c>
      <c r="HX97" t="e">
        <f>Nodes!O768+"'E4!&amp;3K"</f>
        <v>#VALUE!</v>
      </c>
      <c r="HY97" t="e">
        <f>Nodes!P768+"'E4!&amp;3L"</f>
        <v>#VALUE!</v>
      </c>
      <c r="HZ97" t="e">
        <f>Nodes!Q768+"'E4!&amp;3M"</f>
        <v>#VALUE!</v>
      </c>
      <c r="IA97" t="e">
        <f>Nodes!R768+"'E4!&amp;3N"</f>
        <v>#VALUE!</v>
      </c>
      <c r="IB97" t="e">
        <f>Nodes!S768+"'E4!&amp;3O"</f>
        <v>#VALUE!</v>
      </c>
      <c r="IC97" s="547" t="e">
        <f>Nodes!T768+"'E4!&amp;3P"</f>
        <v>#VALUE!</v>
      </c>
      <c r="ID97" t="e">
        <f>Nodes!U768+"'E4!&amp;3Q"</f>
        <v>#VALUE!</v>
      </c>
      <c r="IE97" t="e">
        <f>Nodes!V768+"'E4!&amp;3R"</f>
        <v>#VALUE!</v>
      </c>
      <c r="IF97" s="547" t="e">
        <f>Nodes!W768+"'E4!&amp;3S"</f>
        <v>#VALUE!</v>
      </c>
      <c r="IG97" t="e">
        <f>Nodes!X768+"'E4!&amp;3T"</f>
        <v>#VALUE!</v>
      </c>
      <c r="IH97" t="e">
        <f>Nodes!Y768+"'E4!&amp;3U"</f>
        <v>#VALUE!</v>
      </c>
      <c r="II97" t="e">
        <f>Nodes!Z768+"'E4!&amp;3V"</f>
        <v>#VALUE!</v>
      </c>
      <c r="IJ97" t="e">
        <f>Nodes!AA768+"'E4!&amp;3W"</f>
        <v>#VALUE!</v>
      </c>
      <c r="IK97" t="e">
        <f>Nodes!AB768+"'E4!&amp;3X"</f>
        <v>#VALUE!</v>
      </c>
      <c r="IL97" t="e">
        <f>Nodes!AC768+"'E4!&amp;3Y"</f>
        <v>#VALUE!</v>
      </c>
      <c r="IM97" t="e">
        <f>Nodes!A769+"'E4!&amp;3Z"</f>
        <v>#VALUE!</v>
      </c>
      <c r="IN97" t="e">
        <f>Nodes!B769+"'E4!&amp;3["</f>
        <v>#VALUE!</v>
      </c>
      <c r="IO97" t="e">
        <f>Nodes!C769+"'E4!&amp;3\"</f>
        <v>#VALUE!</v>
      </c>
      <c r="IP97" t="e">
        <f>Nodes!D769+"'E4!&amp;3]"</f>
        <v>#VALUE!</v>
      </c>
      <c r="IQ97" t="e">
        <f>Nodes!E769+"'E4!&amp;3^"</f>
        <v>#VALUE!</v>
      </c>
      <c r="IR97" t="e">
        <f>Nodes!F769+"'E4!&amp;3_"</f>
        <v>#VALUE!</v>
      </c>
      <c r="IS97" t="e">
        <f>Nodes!G769+"'E4!&amp;3`"</f>
        <v>#VALUE!</v>
      </c>
      <c r="IT97" t="e">
        <f>Nodes!H769+"'E4!&amp;3a"</f>
        <v>#VALUE!</v>
      </c>
      <c r="IU97" t="e">
        <f>Nodes!I769+"'E4!&amp;3b"</f>
        <v>#VALUE!</v>
      </c>
      <c r="IV97" t="e">
        <f>Nodes!J769+"'E4!&amp;3c"</f>
        <v>#VALUE!</v>
      </c>
    </row>
    <row r="98" spans="6:256">
      <c r="F98" t="e">
        <f>Nodes!K769+"'E4!&amp;3d"</f>
        <v>#VALUE!</v>
      </c>
      <c r="G98" t="e">
        <f>Nodes!L769+"'E4!&amp;3e"</f>
        <v>#VALUE!</v>
      </c>
      <c r="H98" t="e">
        <f>Nodes!M769+"'E4!&amp;3f"</f>
        <v>#VALUE!</v>
      </c>
      <c r="I98" t="e">
        <f>Nodes!N769+"'E4!&amp;3g"</f>
        <v>#VALUE!</v>
      </c>
      <c r="J98" t="e">
        <f>Nodes!O769+"'E4!&amp;3h"</f>
        <v>#VALUE!</v>
      </c>
      <c r="K98" t="e">
        <f>Nodes!P769+"'E4!&amp;3i"</f>
        <v>#VALUE!</v>
      </c>
      <c r="L98" t="e">
        <f>Nodes!Q769+"'E4!&amp;3j"</f>
        <v>#VALUE!</v>
      </c>
      <c r="M98" t="e">
        <f>Nodes!R769+"'E4!&amp;3k"</f>
        <v>#VALUE!</v>
      </c>
      <c r="N98" t="e">
        <f>Nodes!S769+"'E4!&amp;3l"</f>
        <v>#VALUE!</v>
      </c>
      <c r="O98" s="547" t="e">
        <f>Nodes!T769+"'E4!&amp;3m"</f>
        <v>#VALUE!</v>
      </c>
      <c r="P98" t="e">
        <f>Nodes!U769+"'E4!&amp;3n"</f>
        <v>#VALUE!</v>
      </c>
      <c r="Q98" t="e">
        <f>Nodes!V769+"'E4!&amp;3o"</f>
        <v>#VALUE!</v>
      </c>
      <c r="R98" s="547" t="e">
        <f>Nodes!W769+"'E4!&amp;3p"</f>
        <v>#VALUE!</v>
      </c>
      <c r="S98" t="e">
        <f>Nodes!X769+"'E4!&amp;3q"</f>
        <v>#VALUE!</v>
      </c>
      <c r="T98" t="e">
        <f>Nodes!Y769+"'E4!&amp;3r"</f>
        <v>#VALUE!</v>
      </c>
      <c r="U98" t="e">
        <f>Nodes!Z769+"'E4!&amp;3s"</f>
        <v>#VALUE!</v>
      </c>
      <c r="V98" t="e">
        <f>Nodes!AA769+"'E4!&amp;3t"</f>
        <v>#VALUE!</v>
      </c>
      <c r="W98" t="e">
        <f>Nodes!AB769+"'E4!&amp;3u"</f>
        <v>#VALUE!</v>
      </c>
      <c r="X98" t="e">
        <f>Nodes!AC769+"'E4!&amp;3v"</f>
        <v>#VALUE!</v>
      </c>
      <c r="Y98" t="e">
        <f>Nodes!A770+"'E4!&amp;3w"</f>
        <v>#VALUE!</v>
      </c>
      <c r="Z98" t="e">
        <f>Nodes!B770+"'E4!&amp;3x"</f>
        <v>#VALUE!</v>
      </c>
      <c r="AA98" t="e">
        <f>Nodes!C770+"'E4!&amp;3y"</f>
        <v>#VALUE!</v>
      </c>
      <c r="AB98" t="e">
        <f>Nodes!D770+"'E4!&amp;3z"</f>
        <v>#VALUE!</v>
      </c>
      <c r="AC98" t="e">
        <f>Nodes!E770+"'E4!&amp;3{"</f>
        <v>#VALUE!</v>
      </c>
      <c r="AD98" t="e">
        <f>Nodes!F770+"'E4!&amp;3|"</f>
        <v>#VALUE!</v>
      </c>
      <c r="AE98" t="e">
        <f>Nodes!G770+"'E4!&amp;3}"</f>
        <v>#VALUE!</v>
      </c>
      <c r="AF98" t="e">
        <f>Nodes!H770+"'E4!&amp;3~"</f>
        <v>#VALUE!</v>
      </c>
      <c r="AG98" t="e">
        <f>Nodes!I770+"'E4!&amp;4#"</f>
        <v>#VALUE!</v>
      </c>
      <c r="AH98" t="e">
        <f>Nodes!J770+"'E4!&amp;4$"</f>
        <v>#VALUE!</v>
      </c>
      <c r="AI98" t="e">
        <f>Nodes!K770+"'E4!&amp;4%"</f>
        <v>#VALUE!</v>
      </c>
      <c r="AJ98" t="e">
        <f>Nodes!L770+"'E4!&amp;4&amp;"</f>
        <v>#VALUE!</v>
      </c>
      <c r="AK98" t="e">
        <f>Nodes!M770+"'E4!&amp;4'"</f>
        <v>#VALUE!</v>
      </c>
      <c r="AL98" t="e">
        <f>Nodes!N770+"'E4!&amp;4("</f>
        <v>#VALUE!</v>
      </c>
      <c r="AM98" t="e">
        <f>Nodes!O770+"'E4!&amp;4)"</f>
        <v>#VALUE!</v>
      </c>
      <c r="AN98" t="e">
        <f>Nodes!P770+"'E4!&amp;4."</f>
        <v>#VALUE!</v>
      </c>
      <c r="AO98" t="e">
        <f>Nodes!Q770+"'E4!&amp;4/"</f>
        <v>#VALUE!</v>
      </c>
      <c r="AP98" t="e">
        <f>Nodes!R770+"'E4!&amp;40"</f>
        <v>#VALUE!</v>
      </c>
      <c r="AQ98" t="e">
        <f>Nodes!S770+"'E4!&amp;41"</f>
        <v>#VALUE!</v>
      </c>
      <c r="AR98" s="547" t="e">
        <f>Nodes!T770+"'E4!&amp;42"</f>
        <v>#VALUE!</v>
      </c>
      <c r="AS98" t="e">
        <f>Nodes!U770+"'E4!&amp;43"</f>
        <v>#VALUE!</v>
      </c>
      <c r="AT98" t="e">
        <f>Nodes!V770+"'E4!&amp;44"</f>
        <v>#VALUE!</v>
      </c>
      <c r="AU98" s="547" t="e">
        <f>Nodes!W770+"'E4!&amp;45"</f>
        <v>#VALUE!</v>
      </c>
      <c r="AV98" t="e">
        <f>Nodes!X770+"'E4!&amp;46"</f>
        <v>#VALUE!</v>
      </c>
      <c r="AW98" t="e">
        <f>Nodes!Y770+"'E4!&amp;47"</f>
        <v>#VALUE!</v>
      </c>
      <c r="AX98" t="e">
        <f>Nodes!Z770+"'E4!&amp;48"</f>
        <v>#VALUE!</v>
      </c>
      <c r="AY98" t="e">
        <f>Nodes!AA770+"'E4!&amp;49"</f>
        <v>#VALUE!</v>
      </c>
      <c r="AZ98" t="e">
        <f>Nodes!AB770+"'E4!&amp;4:"</f>
        <v>#VALUE!</v>
      </c>
      <c r="BA98" t="e">
        <f>Nodes!AC770+"'E4!&amp;4;"</f>
        <v>#VALUE!</v>
      </c>
      <c r="BB98" t="e">
        <f>Nodes!A771+"'E4!&amp;4&lt;"</f>
        <v>#VALUE!</v>
      </c>
      <c r="BC98" t="e">
        <f>Nodes!B771+"'E4!&amp;4="</f>
        <v>#VALUE!</v>
      </c>
      <c r="BD98" t="e">
        <f>Nodes!C771+"'E4!&amp;4&gt;"</f>
        <v>#VALUE!</v>
      </c>
      <c r="BE98" t="e">
        <f>Nodes!D771+"'E4!&amp;4?"</f>
        <v>#VALUE!</v>
      </c>
      <c r="BF98" t="e">
        <f>Nodes!E771+"'E4!&amp;4@"</f>
        <v>#VALUE!</v>
      </c>
      <c r="BG98" t="e">
        <f>Nodes!F771+"'E4!&amp;4A"</f>
        <v>#VALUE!</v>
      </c>
      <c r="BH98" t="e">
        <f>Nodes!G771+"'E4!&amp;4B"</f>
        <v>#VALUE!</v>
      </c>
      <c r="BI98" t="e">
        <f>Nodes!H771+"'E4!&amp;4C"</f>
        <v>#VALUE!</v>
      </c>
      <c r="BJ98" t="e">
        <f>Nodes!I771+"'E4!&amp;4D"</f>
        <v>#VALUE!</v>
      </c>
      <c r="BK98" t="e">
        <f>Nodes!J771+"'E4!&amp;4E"</f>
        <v>#VALUE!</v>
      </c>
      <c r="BL98" t="e">
        <f>Nodes!K771+"'E4!&amp;4F"</f>
        <v>#VALUE!</v>
      </c>
      <c r="BM98" t="e">
        <f>Nodes!L771+"'E4!&amp;4G"</f>
        <v>#VALUE!</v>
      </c>
      <c r="BN98" t="e">
        <f>Nodes!M771+"'E4!&amp;4H"</f>
        <v>#VALUE!</v>
      </c>
      <c r="BO98" t="e">
        <f>Nodes!N771+"'E4!&amp;4I"</f>
        <v>#VALUE!</v>
      </c>
      <c r="BP98" t="e">
        <f>Nodes!O771+"'E4!&amp;4J"</f>
        <v>#VALUE!</v>
      </c>
      <c r="BQ98" t="e">
        <f>Nodes!P771+"'E4!&amp;4K"</f>
        <v>#VALUE!</v>
      </c>
      <c r="BR98" t="e">
        <f>Nodes!Q771+"'E4!&amp;4L"</f>
        <v>#VALUE!</v>
      </c>
      <c r="BS98" t="e">
        <f>Nodes!R771+"'E4!&amp;4M"</f>
        <v>#VALUE!</v>
      </c>
      <c r="BT98" t="e">
        <f>Nodes!S771+"'E4!&amp;4N"</f>
        <v>#VALUE!</v>
      </c>
      <c r="BU98" s="547" t="e">
        <f>Nodes!T771+"'E4!&amp;4O"</f>
        <v>#VALUE!</v>
      </c>
      <c r="BV98" t="e">
        <f>Nodes!U771+"'E4!&amp;4P"</f>
        <v>#VALUE!</v>
      </c>
      <c r="BW98" t="e">
        <f>Nodes!V771+"'E4!&amp;4Q"</f>
        <v>#VALUE!</v>
      </c>
      <c r="BX98" s="547" t="e">
        <f>Nodes!W771+"'E4!&amp;4R"</f>
        <v>#VALUE!</v>
      </c>
      <c r="BY98" t="e">
        <f>Nodes!X771+"'E4!&amp;4S"</f>
        <v>#VALUE!</v>
      </c>
      <c r="BZ98" t="e">
        <f>Nodes!Y771+"'E4!&amp;4T"</f>
        <v>#VALUE!</v>
      </c>
      <c r="CA98" t="e">
        <f>Nodes!Z771+"'E4!&amp;4U"</f>
        <v>#VALUE!</v>
      </c>
      <c r="CB98" t="e">
        <f>Nodes!AA771+"'E4!&amp;4V"</f>
        <v>#VALUE!</v>
      </c>
      <c r="CC98" t="e">
        <f>Nodes!AB771+"'E4!&amp;4W"</f>
        <v>#VALUE!</v>
      </c>
      <c r="CD98" t="e">
        <f>Nodes!AC771+"'E4!&amp;4X"</f>
        <v>#VALUE!</v>
      </c>
      <c r="CE98" t="e">
        <f>Nodes!A772+"'E4!&amp;4Y"</f>
        <v>#VALUE!</v>
      </c>
      <c r="CF98" t="e">
        <f>Nodes!B772+"'E4!&amp;4Z"</f>
        <v>#VALUE!</v>
      </c>
      <c r="CG98" t="e">
        <f>Nodes!C772+"'E4!&amp;4["</f>
        <v>#VALUE!</v>
      </c>
      <c r="CH98" t="e">
        <f>Nodes!D772+"'E4!&amp;4\"</f>
        <v>#VALUE!</v>
      </c>
      <c r="CI98" t="e">
        <f>Nodes!E772+"'E4!&amp;4]"</f>
        <v>#VALUE!</v>
      </c>
      <c r="CJ98" t="e">
        <f>Nodes!F772+"'E4!&amp;4^"</f>
        <v>#VALUE!</v>
      </c>
      <c r="CK98" t="e">
        <f>Nodes!G772+"'E4!&amp;4_"</f>
        <v>#VALUE!</v>
      </c>
      <c r="CL98" t="e">
        <f>Nodes!H772+"'E4!&amp;4`"</f>
        <v>#VALUE!</v>
      </c>
      <c r="CM98" t="e">
        <f>Nodes!I772+"'E4!&amp;4a"</f>
        <v>#VALUE!</v>
      </c>
      <c r="CN98" t="e">
        <f>Nodes!J772+"'E4!&amp;4b"</f>
        <v>#VALUE!</v>
      </c>
      <c r="CO98" t="e">
        <f>Nodes!K772+"'E4!&amp;4c"</f>
        <v>#VALUE!</v>
      </c>
      <c r="CP98" t="e">
        <f>Nodes!L772+"'E4!&amp;4d"</f>
        <v>#VALUE!</v>
      </c>
      <c r="CQ98" t="e">
        <f>Nodes!M772+"'E4!&amp;4e"</f>
        <v>#VALUE!</v>
      </c>
      <c r="CR98" t="e">
        <f>Nodes!N772+"'E4!&amp;4f"</f>
        <v>#VALUE!</v>
      </c>
      <c r="CS98" t="e">
        <f>Nodes!O772+"'E4!&amp;4g"</f>
        <v>#VALUE!</v>
      </c>
      <c r="CT98" t="e">
        <f>Nodes!P772+"'E4!&amp;4h"</f>
        <v>#VALUE!</v>
      </c>
      <c r="CU98" t="e">
        <f>Nodes!Q772+"'E4!&amp;4i"</f>
        <v>#VALUE!</v>
      </c>
      <c r="CV98" t="e">
        <f>Nodes!R772+"'E4!&amp;4j"</f>
        <v>#VALUE!</v>
      </c>
      <c r="CW98" t="e">
        <f>Nodes!S772+"'E4!&amp;4k"</f>
        <v>#VALUE!</v>
      </c>
      <c r="CX98" s="547" t="e">
        <f>Nodes!T772+"'E4!&amp;4l"</f>
        <v>#VALUE!</v>
      </c>
      <c r="CY98" t="e">
        <f>Nodes!U772+"'E4!&amp;4m"</f>
        <v>#VALUE!</v>
      </c>
      <c r="CZ98" t="e">
        <f>Nodes!V772+"'E4!&amp;4n"</f>
        <v>#VALUE!</v>
      </c>
      <c r="DA98" s="547" t="e">
        <f>Nodes!W772+"'E4!&amp;4o"</f>
        <v>#VALUE!</v>
      </c>
      <c r="DB98" t="e">
        <f>Nodes!X772+"'E4!&amp;4p"</f>
        <v>#VALUE!</v>
      </c>
      <c r="DC98" t="e">
        <f>Nodes!Y772+"'E4!&amp;4q"</f>
        <v>#VALUE!</v>
      </c>
      <c r="DD98" t="e">
        <f>Nodes!Z772+"'E4!&amp;4r"</f>
        <v>#VALUE!</v>
      </c>
      <c r="DE98" t="e">
        <f>Nodes!AA772+"'E4!&amp;4s"</f>
        <v>#VALUE!</v>
      </c>
      <c r="DF98" t="e">
        <f>Nodes!AB772+"'E4!&amp;4t"</f>
        <v>#VALUE!</v>
      </c>
      <c r="DG98" t="e">
        <f>Nodes!AC772+"'E4!&amp;4u"</f>
        <v>#VALUE!</v>
      </c>
      <c r="DH98" t="e">
        <f>Nodes!A773+"'E4!&amp;4v"</f>
        <v>#VALUE!</v>
      </c>
      <c r="DI98" t="e">
        <f>Nodes!B773+"'E4!&amp;4w"</f>
        <v>#VALUE!</v>
      </c>
      <c r="DJ98" t="e">
        <f>Nodes!C773+"'E4!&amp;4x"</f>
        <v>#VALUE!</v>
      </c>
      <c r="DK98" t="e">
        <f>Nodes!D773+"'E4!&amp;4y"</f>
        <v>#VALUE!</v>
      </c>
      <c r="DL98" t="e">
        <f>Nodes!E773+"'E4!&amp;4z"</f>
        <v>#VALUE!</v>
      </c>
      <c r="DM98" t="e">
        <f>Nodes!F773+"'E4!&amp;4{"</f>
        <v>#VALUE!</v>
      </c>
      <c r="DN98" t="e">
        <f>Nodes!G773+"'E4!&amp;4|"</f>
        <v>#VALUE!</v>
      </c>
      <c r="DO98" t="e">
        <f>Nodes!H773+"'E4!&amp;4}"</f>
        <v>#VALUE!</v>
      </c>
      <c r="DP98" t="e">
        <f>Nodes!I773+"'E4!&amp;4~"</f>
        <v>#VALUE!</v>
      </c>
      <c r="DQ98" t="e">
        <f>Nodes!J773+"'E4!&amp;5#"</f>
        <v>#VALUE!</v>
      </c>
      <c r="DR98" t="e">
        <f>Nodes!K773+"'E4!&amp;5$"</f>
        <v>#VALUE!</v>
      </c>
      <c r="DS98" t="e">
        <f>Nodes!L773+"'E4!&amp;5%"</f>
        <v>#VALUE!</v>
      </c>
      <c r="DT98" t="e">
        <f>Nodes!M773+"'E4!&amp;5&amp;"</f>
        <v>#VALUE!</v>
      </c>
      <c r="DU98" t="e">
        <f>Nodes!N773+"'E4!&amp;5'"</f>
        <v>#VALUE!</v>
      </c>
      <c r="DV98" t="e">
        <f>Nodes!O773+"'E4!&amp;5("</f>
        <v>#VALUE!</v>
      </c>
      <c r="DW98" t="e">
        <f>Nodes!P773+"'E4!&amp;5)"</f>
        <v>#VALUE!</v>
      </c>
      <c r="DX98" t="e">
        <f>Nodes!Q773+"'E4!&amp;5."</f>
        <v>#VALUE!</v>
      </c>
      <c r="DY98" t="e">
        <f>Nodes!R773+"'E4!&amp;5/"</f>
        <v>#VALUE!</v>
      </c>
      <c r="DZ98" t="e">
        <f>Nodes!S773+"'E4!&amp;50"</f>
        <v>#VALUE!</v>
      </c>
      <c r="EA98" s="547" t="e">
        <f>Nodes!T773+"'E4!&amp;51"</f>
        <v>#VALUE!</v>
      </c>
      <c r="EB98" t="e">
        <f>Nodes!U773+"'E4!&amp;52"</f>
        <v>#VALUE!</v>
      </c>
      <c r="EC98" t="e">
        <f>Nodes!V773+"'E4!&amp;53"</f>
        <v>#VALUE!</v>
      </c>
      <c r="ED98" s="547" t="e">
        <f>Nodes!W773+"'E4!&amp;54"</f>
        <v>#VALUE!</v>
      </c>
      <c r="EE98" t="e">
        <f>Nodes!X773+"'E4!&amp;55"</f>
        <v>#VALUE!</v>
      </c>
      <c r="EF98" t="e">
        <f>Nodes!Y773+"'E4!&amp;56"</f>
        <v>#VALUE!</v>
      </c>
      <c r="EG98" t="e">
        <f>Nodes!Z773+"'E4!&amp;57"</f>
        <v>#VALUE!</v>
      </c>
      <c r="EH98" t="e">
        <f>Nodes!AA773+"'E4!&amp;58"</f>
        <v>#VALUE!</v>
      </c>
      <c r="EI98" t="e">
        <f>Nodes!AB773+"'E4!&amp;59"</f>
        <v>#VALUE!</v>
      </c>
      <c r="EJ98" t="e">
        <f>Nodes!AC773+"'E4!&amp;5:"</f>
        <v>#VALUE!</v>
      </c>
      <c r="EK98" t="e">
        <f>Nodes!A774+"'E4!&amp;5;"</f>
        <v>#VALUE!</v>
      </c>
      <c r="EL98" t="e">
        <f>Nodes!B774+"'E4!&amp;5&lt;"</f>
        <v>#VALUE!</v>
      </c>
      <c r="EM98" t="e">
        <f>Nodes!C774+"'E4!&amp;5="</f>
        <v>#VALUE!</v>
      </c>
      <c r="EN98" t="e">
        <f>Nodes!D774+"'E4!&amp;5&gt;"</f>
        <v>#VALUE!</v>
      </c>
      <c r="EO98" t="e">
        <f>Nodes!E774+"'E4!&amp;5?"</f>
        <v>#VALUE!</v>
      </c>
      <c r="EP98" t="e">
        <f>Nodes!F774+"'E4!&amp;5@"</f>
        <v>#VALUE!</v>
      </c>
      <c r="EQ98" t="e">
        <f>Nodes!G774+"'E4!&amp;5A"</f>
        <v>#VALUE!</v>
      </c>
      <c r="ER98" t="e">
        <f>Nodes!H774+"'E4!&amp;5B"</f>
        <v>#VALUE!</v>
      </c>
      <c r="ES98" t="e">
        <f>Nodes!I774+"'E4!&amp;5C"</f>
        <v>#VALUE!</v>
      </c>
      <c r="ET98" t="e">
        <f>Nodes!J774+"'E4!&amp;5D"</f>
        <v>#VALUE!</v>
      </c>
      <c r="EU98" t="e">
        <f>Nodes!K774+"'E4!&amp;5E"</f>
        <v>#VALUE!</v>
      </c>
      <c r="EV98" t="e">
        <f>Nodes!L774+"'E4!&amp;5F"</f>
        <v>#VALUE!</v>
      </c>
      <c r="EW98" t="e">
        <f>Nodes!M774+"'E4!&amp;5G"</f>
        <v>#VALUE!</v>
      </c>
      <c r="EX98" t="e">
        <f>Nodes!N774+"'E4!&amp;5H"</f>
        <v>#VALUE!</v>
      </c>
      <c r="EY98" t="e">
        <f>Nodes!O774+"'E4!&amp;5I"</f>
        <v>#VALUE!</v>
      </c>
      <c r="EZ98" t="e">
        <f>Nodes!P774+"'E4!&amp;5J"</f>
        <v>#VALUE!</v>
      </c>
      <c r="FA98" t="e">
        <f>Nodes!Q774+"'E4!&amp;5K"</f>
        <v>#VALUE!</v>
      </c>
      <c r="FB98" t="e">
        <f>Nodes!R774+"'E4!&amp;5L"</f>
        <v>#VALUE!</v>
      </c>
      <c r="FC98" t="e">
        <f>Nodes!S774+"'E4!&amp;5M"</f>
        <v>#VALUE!</v>
      </c>
      <c r="FD98" s="547" t="e">
        <f>Nodes!T774+"'E4!&amp;5N"</f>
        <v>#VALUE!</v>
      </c>
      <c r="FE98" t="e">
        <f>Nodes!U774+"'E4!&amp;5O"</f>
        <v>#VALUE!</v>
      </c>
      <c r="FF98" t="e">
        <f>Nodes!V774+"'E4!&amp;5P"</f>
        <v>#VALUE!</v>
      </c>
      <c r="FG98" s="547" t="e">
        <f>Nodes!W774+"'E4!&amp;5Q"</f>
        <v>#VALUE!</v>
      </c>
      <c r="FH98" t="e">
        <f>Nodes!X774+"'E4!&amp;5R"</f>
        <v>#VALUE!</v>
      </c>
      <c r="FI98" t="e">
        <f>Nodes!Y774+"'E4!&amp;5S"</f>
        <v>#VALUE!</v>
      </c>
      <c r="FJ98" t="e">
        <f>Nodes!Z774+"'E4!&amp;5T"</f>
        <v>#VALUE!</v>
      </c>
      <c r="FK98" t="e">
        <f>Nodes!AA774+"'E4!&amp;5U"</f>
        <v>#VALUE!</v>
      </c>
      <c r="FL98" t="e">
        <f>Nodes!AB774+"'E4!&amp;5V"</f>
        <v>#VALUE!</v>
      </c>
      <c r="FM98" t="e">
        <f>Nodes!AC774+"'E4!&amp;5W"</f>
        <v>#VALUE!</v>
      </c>
      <c r="FN98" t="e">
        <f>Nodes!A775+"'E4!&amp;5X"</f>
        <v>#VALUE!</v>
      </c>
      <c r="FO98" t="e">
        <f>Nodes!B775+"'E4!&amp;5Y"</f>
        <v>#VALUE!</v>
      </c>
      <c r="FP98" t="e">
        <f>Nodes!C775+"'E4!&amp;5Z"</f>
        <v>#VALUE!</v>
      </c>
      <c r="FQ98" t="e">
        <f>Nodes!D775+"'E4!&amp;5["</f>
        <v>#VALUE!</v>
      </c>
      <c r="FR98" t="e">
        <f>Nodes!E775+"'E4!&amp;5\"</f>
        <v>#VALUE!</v>
      </c>
      <c r="FS98" t="e">
        <f>Nodes!F775+"'E4!&amp;5]"</f>
        <v>#VALUE!</v>
      </c>
      <c r="FT98" t="e">
        <f>Nodes!G775+"'E4!&amp;5^"</f>
        <v>#VALUE!</v>
      </c>
      <c r="FU98" t="e">
        <f>Nodes!H775+"'E4!&amp;5_"</f>
        <v>#VALUE!</v>
      </c>
      <c r="FV98" t="e">
        <f>Nodes!I775+"'E4!&amp;5`"</f>
        <v>#VALUE!</v>
      </c>
      <c r="FW98" t="e">
        <f>Nodes!J775+"'E4!&amp;5a"</f>
        <v>#VALUE!</v>
      </c>
      <c r="FX98" t="e">
        <f>Nodes!K775+"'E4!&amp;5b"</f>
        <v>#VALUE!</v>
      </c>
      <c r="FY98" t="e">
        <f>Nodes!L775+"'E4!&amp;5c"</f>
        <v>#VALUE!</v>
      </c>
      <c r="FZ98" t="e">
        <f>Nodes!M775+"'E4!&amp;5d"</f>
        <v>#VALUE!</v>
      </c>
      <c r="GA98" t="e">
        <f>Nodes!N775+"'E4!&amp;5e"</f>
        <v>#VALUE!</v>
      </c>
      <c r="GB98" t="e">
        <f>Nodes!O775+"'E4!&amp;5f"</f>
        <v>#VALUE!</v>
      </c>
      <c r="GC98" t="e">
        <f>Nodes!P775+"'E4!&amp;5g"</f>
        <v>#VALUE!</v>
      </c>
      <c r="GD98" t="e">
        <f>Nodes!Q775+"'E4!&amp;5h"</f>
        <v>#VALUE!</v>
      </c>
      <c r="GE98" t="e">
        <f>Nodes!R775+"'E4!&amp;5i"</f>
        <v>#VALUE!</v>
      </c>
      <c r="GF98" t="e">
        <f>Nodes!S775+"'E4!&amp;5j"</f>
        <v>#VALUE!</v>
      </c>
      <c r="GG98" s="547" t="e">
        <f>Nodes!T775+"'E4!&amp;5k"</f>
        <v>#VALUE!</v>
      </c>
      <c r="GH98" t="e">
        <f>Nodes!U775+"'E4!&amp;5l"</f>
        <v>#VALUE!</v>
      </c>
      <c r="GI98" t="e">
        <f>Nodes!V775+"'E4!&amp;5m"</f>
        <v>#VALUE!</v>
      </c>
      <c r="GJ98" s="547" t="e">
        <f>Nodes!W775+"'E4!&amp;5n"</f>
        <v>#VALUE!</v>
      </c>
      <c r="GK98" t="e">
        <f>Nodes!X775+"'E4!&amp;5o"</f>
        <v>#VALUE!</v>
      </c>
      <c r="GL98" t="e">
        <f>Nodes!Y775+"'E4!&amp;5p"</f>
        <v>#VALUE!</v>
      </c>
      <c r="GM98" t="e">
        <f>Nodes!Z775+"'E4!&amp;5q"</f>
        <v>#VALUE!</v>
      </c>
      <c r="GN98" t="e">
        <f>Nodes!AA775+"'E4!&amp;5r"</f>
        <v>#VALUE!</v>
      </c>
      <c r="GO98" t="e">
        <f>Nodes!AB775+"'E4!&amp;5s"</f>
        <v>#VALUE!</v>
      </c>
      <c r="GP98" t="e">
        <f>Nodes!AC775+"'E4!&amp;5t"</f>
        <v>#VALUE!</v>
      </c>
      <c r="GQ98" t="e">
        <f>Nodes!A776+"'E4!&amp;5u"</f>
        <v>#VALUE!</v>
      </c>
      <c r="GR98" t="e">
        <f>Nodes!B776+"'E4!&amp;5v"</f>
        <v>#VALUE!</v>
      </c>
      <c r="GS98" t="e">
        <f>Nodes!C776+"'E4!&amp;5w"</f>
        <v>#VALUE!</v>
      </c>
      <c r="GT98" t="e">
        <f>Nodes!D776+"'E4!&amp;5x"</f>
        <v>#VALUE!</v>
      </c>
      <c r="GU98" t="e">
        <f>Nodes!E776+"'E4!&amp;5y"</f>
        <v>#VALUE!</v>
      </c>
      <c r="GV98" t="e">
        <f>Nodes!F776+"'E4!&amp;5z"</f>
        <v>#VALUE!</v>
      </c>
      <c r="GW98" t="e">
        <f>Nodes!G776+"'E4!&amp;5{"</f>
        <v>#VALUE!</v>
      </c>
      <c r="GX98" t="e">
        <f>Nodes!H776+"'E4!&amp;5|"</f>
        <v>#VALUE!</v>
      </c>
      <c r="GY98" t="e">
        <f>Nodes!I776+"'E4!&amp;5}"</f>
        <v>#VALUE!</v>
      </c>
      <c r="GZ98" t="e">
        <f>Nodes!J776+"'E4!&amp;5~"</f>
        <v>#VALUE!</v>
      </c>
      <c r="HA98" t="e">
        <f>Nodes!K776+"'E4!&amp;6#"</f>
        <v>#VALUE!</v>
      </c>
      <c r="HB98" t="e">
        <f>Nodes!L776+"'E4!&amp;6$"</f>
        <v>#VALUE!</v>
      </c>
      <c r="HC98" t="e">
        <f>Nodes!M776+"'E4!&amp;6%"</f>
        <v>#VALUE!</v>
      </c>
      <c r="HD98" t="e">
        <f>Nodes!N776+"'E4!&amp;6&amp;"</f>
        <v>#VALUE!</v>
      </c>
      <c r="HE98" t="e">
        <f>Nodes!O776+"'E4!&amp;6'"</f>
        <v>#VALUE!</v>
      </c>
      <c r="HF98" t="e">
        <f>Nodes!P776+"'E4!&amp;6("</f>
        <v>#VALUE!</v>
      </c>
      <c r="HG98" t="e">
        <f>Nodes!Q776+"'E4!&amp;6)"</f>
        <v>#VALUE!</v>
      </c>
      <c r="HH98" t="e">
        <f>Nodes!R776+"'E4!&amp;6."</f>
        <v>#VALUE!</v>
      </c>
      <c r="HI98" t="e">
        <f>Nodes!S776+"'E4!&amp;6/"</f>
        <v>#VALUE!</v>
      </c>
      <c r="HJ98" s="547" t="e">
        <f>Nodes!T776+"'E4!&amp;60"</f>
        <v>#VALUE!</v>
      </c>
      <c r="HK98" t="e">
        <f>Nodes!U776+"'E4!&amp;61"</f>
        <v>#VALUE!</v>
      </c>
      <c r="HL98" t="e">
        <f>Nodes!V776+"'E4!&amp;62"</f>
        <v>#VALUE!</v>
      </c>
      <c r="HM98" s="547" t="e">
        <f>Nodes!W776+"'E4!&amp;63"</f>
        <v>#VALUE!</v>
      </c>
      <c r="HN98" t="e">
        <f>Nodes!X776+"'E4!&amp;64"</f>
        <v>#VALUE!</v>
      </c>
      <c r="HO98" t="e">
        <f>Nodes!Y776+"'E4!&amp;65"</f>
        <v>#VALUE!</v>
      </c>
      <c r="HP98" t="e">
        <f>Nodes!Z776+"'E4!&amp;66"</f>
        <v>#VALUE!</v>
      </c>
      <c r="HQ98" t="e">
        <f>Nodes!AA776+"'E4!&amp;67"</f>
        <v>#VALUE!</v>
      </c>
      <c r="HR98" t="e">
        <f>Nodes!AB776+"'E4!&amp;68"</f>
        <v>#VALUE!</v>
      </c>
      <c r="HS98" t="e">
        <f>Nodes!AC776+"'E4!&amp;69"</f>
        <v>#VALUE!</v>
      </c>
      <c r="HT98" t="e">
        <f>Nodes!A777+"'E4!&amp;6:"</f>
        <v>#VALUE!</v>
      </c>
      <c r="HU98" t="e">
        <f>Nodes!B777+"'E4!&amp;6;"</f>
        <v>#VALUE!</v>
      </c>
      <c r="HV98" t="e">
        <f>Nodes!C777+"'E4!&amp;6&lt;"</f>
        <v>#VALUE!</v>
      </c>
      <c r="HW98" t="e">
        <f>Nodes!D777+"'E4!&amp;6="</f>
        <v>#VALUE!</v>
      </c>
      <c r="HX98" t="e">
        <f>Nodes!E777+"'E4!&amp;6&gt;"</f>
        <v>#VALUE!</v>
      </c>
      <c r="HY98" t="e">
        <f>Nodes!F777+"'E4!&amp;6?"</f>
        <v>#VALUE!</v>
      </c>
      <c r="HZ98" t="e">
        <f>Nodes!G777+"'E4!&amp;6@"</f>
        <v>#VALUE!</v>
      </c>
      <c r="IA98" t="e">
        <f>Nodes!H777+"'E4!&amp;6A"</f>
        <v>#VALUE!</v>
      </c>
      <c r="IB98" t="e">
        <f>Nodes!I777+"'E4!&amp;6B"</f>
        <v>#VALUE!</v>
      </c>
      <c r="IC98" t="e">
        <f>Nodes!J777+"'E4!&amp;6C"</f>
        <v>#VALUE!</v>
      </c>
      <c r="ID98" t="e">
        <f>Nodes!K777+"'E4!&amp;6D"</f>
        <v>#VALUE!</v>
      </c>
      <c r="IE98" t="e">
        <f>Nodes!L777+"'E4!&amp;6E"</f>
        <v>#VALUE!</v>
      </c>
      <c r="IF98" t="e">
        <f>Nodes!M777+"'E4!&amp;6F"</f>
        <v>#VALUE!</v>
      </c>
      <c r="IG98" t="e">
        <f>Nodes!N777+"'E4!&amp;6G"</f>
        <v>#VALUE!</v>
      </c>
      <c r="IH98" t="e">
        <f>Nodes!O777+"'E4!&amp;6H"</f>
        <v>#VALUE!</v>
      </c>
      <c r="II98" t="e">
        <f>Nodes!P777+"'E4!&amp;6I"</f>
        <v>#VALUE!</v>
      </c>
      <c r="IJ98" t="e">
        <f>Nodes!Q777+"'E4!&amp;6J"</f>
        <v>#VALUE!</v>
      </c>
      <c r="IK98" t="e">
        <f>Nodes!R777+"'E4!&amp;6K"</f>
        <v>#VALUE!</v>
      </c>
      <c r="IL98" t="e">
        <f>Nodes!S777+"'E4!&amp;6L"</f>
        <v>#VALUE!</v>
      </c>
      <c r="IM98" s="547" t="e">
        <f>Nodes!T777+"'E4!&amp;6M"</f>
        <v>#VALUE!</v>
      </c>
      <c r="IN98" t="e">
        <f>Nodes!U777+"'E4!&amp;6N"</f>
        <v>#VALUE!</v>
      </c>
      <c r="IO98" t="e">
        <f>Nodes!V777+"'E4!&amp;6O"</f>
        <v>#VALUE!</v>
      </c>
      <c r="IP98" s="547" t="e">
        <f>Nodes!W777+"'E4!&amp;6P"</f>
        <v>#VALUE!</v>
      </c>
      <c r="IQ98" t="e">
        <f>Nodes!X777+"'E4!&amp;6Q"</f>
        <v>#VALUE!</v>
      </c>
      <c r="IR98" t="e">
        <f>Nodes!Y777+"'E4!&amp;6R"</f>
        <v>#VALUE!</v>
      </c>
      <c r="IS98" t="e">
        <f>Nodes!Z777+"'E4!&amp;6S"</f>
        <v>#VALUE!</v>
      </c>
      <c r="IT98" t="e">
        <f>Nodes!AA777+"'E4!&amp;6T"</f>
        <v>#VALUE!</v>
      </c>
      <c r="IU98" t="e">
        <f>Nodes!AB777+"'E4!&amp;6U"</f>
        <v>#VALUE!</v>
      </c>
      <c r="IV98" t="e">
        <f>Nodes!AC777+"'E4!&amp;6V"</f>
        <v>#VALUE!</v>
      </c>
    </row>
    <row r="99" spans="6:256">
      <c r="F99" t="e">
        <f>Nodes!A778+"'E4!&amp;6W"</f>
        <v>#VALUE!</v>
      </c>
      <c r="G99" t="e">
        <f>Nodes!B778+"'E4!&amp;6X"</f>
        <v>#VALUE!</v>
      </c>
      <c r="H99" t="e">
        <f>Nodes!C778+"'E4!&amp;6Y"</f>
        <v>#VALUE!</v>
      </c>
      <c r="I99" t="e">
        <f>Nodes!D778+"'E4!&amp;6Z"</f>
        <v>#VALUE!</v>
      </c>
      <c r="J99" t="e">
        <f>Nodes!E778+"'E4!&amp;6["</f>
        <v>#VALUE!</v>
      </c>
      <c r="K99" t="e">
        <f>Nodes!F778+"'E4!&amp;6\"</f>
        <v>#VALUE!</v>
      </c>
      <c r="L99" t="e">
        <f>Nodes!G778+"'E4!&amp;6]"</f>
        <v>#VALUE!</v>
      </c>
      <c r="M99" t="e">
        <f>Nodes!H778+"'E4!&amp;6^"</f>
        <v>#VALUE!</v>
      </c>
      <c r="N99" t="e">
        <f>Nodes!I778+"'E4!&amp;6_"</f>
        <v>#VALUE!</v>
      </c>
      <c r="O99" t="e">
        <f>Nodes!J778+"'E4!&amp;6`"</f>
        <v>#VALUE!</v>
      </c>
      <c r="P99" t="e">
        <f>Nodes!K778+"'E4!&amp;6a"</f>
        <v>#VALUE!</v>
      </c>
      <c r="Q99" t="e">
        <f>Nodes!L778+"'E4!&amp;6b"</f>
        <v>#VALUE!</v>
      </c>
      <c r="R99" t="e">
        <f>Nodes!M778+"'E4!&amp;6c"</f>
        <v>#VALUE!</v>
      </c>
      <c r="S99" t="e">
        <f>Nodes!N778+"'E4!&amp;6d"</f>
        <v>#VALUE!</v>
      </c>
      <c r="T99" t="e">
        <f>Nodes!O778+"'E4!&amp;6e"</f>
        <v>#VALUE!</v>
      </c>
      <c r="U99" t="e">
        <f>Nodes!P778+"'E4!&amp;6f"</f>
        <v>#VALUE!</v>
      </c>
      <c r="V99" t="e">
        <f>Nodes!Q778+"'E4!&amp;6g"</f>
        <v>#VALUE!</v>
      </c>
      <c r="W99" t="e">
        <f>Nodes!R778+"'E4!&amp;6h"</f>
        <v>#VALUE!</v>
      </c>
      <c r="X99" t="e">
        <f>Nodes!S778+"'E4!&amp;6i"</f>
        <v>#VALUE!</v>
      </c>
      <c r="Y99" s="547" t="e">
        <f>Nodes!T778+"'E4!&amp;6j"</f>
        <v>#VALUE!</v>
      </c>
      <c r="Z99" t="e">
        <f>Nodes!U778+"'E4!&amp;6k"</f>
        <v>#VALUE!</v>
      </c>
      <c r="AA99" t="e">
        <f>Nodes!V778+"'E4!&amp;6l"</f>
        <v>#VALUE!</v>
      </c>
      <c r="AB99" s="547" t="e">
        <f>Nodes!W778+"'E4!&amp;6m"</f>
        <v>#VALUE!</v>
      </c>
      <c r="AC99" t="e">
        <f>Nodes!X778+"'E4!&amp;6n"</f>
        <v>#VALUE!</v>
      </c>
      <c r="AD99" t="e">
        <f>Nodes!Y778+"'E4!&amp;6o"</f>
        <v>#VALUE!</v>
      </c>
      <c r="AE99" t="e">
        <f>Nodes!Z778+"'E4!&amp;6p"</f>
        <v>#VALUE!</v>
      </c>
      <c r="AF99" t="e">
        <f>Nodes!AA778+"'E4!&amp;6q"</f>
        <v>#VALUE!</v>
      </c>
      <c r="AG99" t="e">
        <f>Nodes!AB778+"'E4!&amp;6r"</f>
        <v>#VALUE!</v>
      </c>
      <c r="AH99" t="e">
        <f>Nodes!AC778+"'E4!&amp;6s"</f>
        <v>#VALUE!</v>
      </c>
      <c r="AI99" t="e">
        <f>Nodes!A779+"'E4!&amp;6t"</f>
        <v>#VALUE!</v>
      </c>
      <c r="AJ99" t="e">
        <f>Nodes!B779+"'E4!&amp;6u"</f>
        <v>#VALUE!</v>
      </c>
      <c r="AK99" t="e">
        <f>Nodes!C779+"'E4!&amp;6v"</f>
        <v>#VALUE!</v>
      </c>
      <c r="AL99" t="e">
        <f>Nodes!D779+"'E4!&amp;6w"</f>
        <v>#VALUE!</v>
      </c>
      <c r="AM99" t="e">
        <f>Nodes!E779+"'E4!&amp;6x"</f>
        <v>#VALUE!</v>
      </c>
      <c r="AN99" t="e">
        <f>Nodes!F779+"'E4!&amp;6y"</f>
        <v>#VALUE!</v>
      </c>
      <c r="AO99" t="e">
        <f>Nodes!G779+"'E4!&amp;6z"</f>
        <v>#VALUE!</v>
      </c>
      <c r="AP99" t="e">
        <f>Nodes!H779+"'E4!&amp;6{"</f>
        <v>#VALUE!</v>
      </c>
      <c r="AQ99" t="e">
        <f>Nodes!I779+"'E4!&amp;6|"</f>
        <v>#VALUE!</v>
      </c>
      <c r="AR99" t="e">
        <f>Nodes!J779+"'E4!&amp;6}"</f>
        <v>#VALUE!</v>
      </c>
      <c r="AS99" t="e">
        <f>Nodes!K779+"'E4!&amp;6~"</f>
        <v>#VALUE!</v>
      </c>
      <c r="AT99" t="e">
        <f>Nodes!L779+"'E4!&amp;7#"</f>
        <v>#VALUE!</v>
      </c>
      <c r="AU99" t="e">
        <f>Nodes!M779+"'E4!&amp;7$"</f>
        <v>#VALUE!</v>
      </c>
      <c r="AV99" t="e">
        <f>Nodes!N779+"'E4!&amp;7%"</f>
        <v>#VALUE!</v>
      </c>
      <c r="AW99" t="e">
        <f>Nodes!O779+"'E4!&amp;7&amp;"</f>
        <v>#VALUE!</v>
      </c>
      <c r="AX99" t="e">
        <f>Nodes!P779+"'E4!&amp;7'"</f>
        <v>#VALUE!</v>
      </c>
      <c r="AY99" t="e">
        <f>Nodes!Q779+"'E4!&amp;7("</f>
        <v>#VALUE!</v>
      </c>
      <c r="AZ99" t="e">
        <f>Nodes!R779+"'E4!&amp;7)"</f>
        <v>#VALUE!</v>
      </c>
      <c r="BA99" t="e">
        <f>Nodes!S779+"'E4!&amp;7."</f>
        <v>#VALUE!</v>
      </c>
      <c r="BB99" s="547" t="e">
        <f>Nodes!T779+"'E4!&amp;7/"</f>
        <v>#VALUE!</v>
      </c>
      <c r="BC99" t="e">
        <f>Nodes!U779+"'E4!&amp;70"</f>
        <v>#VALUE!</v>
      </c>
      <c r="BD99" t="e">
        <f>Nodes!V779+"'E4!&amp;71"</f>
        <v>#VALUE!</v>
      </c>
      <c r="BE99" s="547" t="e">
        <f>Nodes!W779+"'E4!&amp;72"</f>
        <v>#VALUE!</v>
      </c>
      <c r="BF99" t="e">
        <f>Nodes!X779+"'E4!&amp;73"</f>
        <v>#VALUE!</v>
      </c>
      <c r="BG99" t="e">
        <f>Nodes!Y779+"'E4!&amp;74"</f>
        <v>#VALUE!</v>
      </c>
      <c r="BH99" t="e">
        <f>Nodes!Z779+"'E4!&amp;75"</f>
        <v>#VALUE!</v>
      </c>
      <c r="BI99" t="e">
        <f>Nodes!AA779+"'E4!&amp;76"</f>
        <v>#VALUE!</v>
      </c>
      <c r="BJ99" t="e">
        <f>Nodes!AB779+"'E4!&amp;77"</f>
        <v>#VALUE!</v>
      </c>
      <c r="BK99" t="e">
        <f>Nodes!AC779+"'E4!&amp;78"</f>
        <v>#VALUE!</v>
      </c>
      <c r="BL99" t="e">
        <f>Nodes!A780+"'E4!&amp;79"</f>
        <v>#VALUE!</v>
      </c>
      <c r="BM99" t="e">
        <f>Nodes!B780+"'E4!&amp;7:"</f>
        <v>#VALUE!</v>
      </c>
      <c r="BN99" t="e">
        <f>Nodes!C780+"'E4!&amp;7;"</f>
        <v>#VALUE!</v>
      </c>
      <c r="BO99" t="e">
        <f>Nodes!D780+"'E4!&amp;7&lt;"</f>
        <v>#VALUE!</v>
      </c>
      <c r="BP99" t="e">
        <f>Nodes!E780+"'E4!&amp;7="</f>
        <v>#VALUE!</v>
      </c>
      <c r="BQ99" t="e">
        <f>Nodes!F780+"'E4!&amp;7&gt;"</f>
        <v>#VALUE!</v>
      </c>
      <c r="BR99" t="e">
        <f>Nodes!G780+"'E4!&amp;7?"</f>
        <v>#VALUE!</v>
      </c>
      <c r="BS99" t="e">
        <f>Nodes!H780+"'E4!&amp;7@"</f>
        <v>#VALUE!</v>
      </c>
      <c r="BT99" t="e">
        <f>Nodes!I780+"'E4!&amp;7A"</f>
        <v>#VALUE!</v>
      </c>
      <c r="BU99" t="e">
        <f>Nodes!J780+"'E4!&amp;7B"</f>
        <v>#VALUE!</v>
      </c>
      <c r="BV99" t="e">
        <f>Nodes!K780+"'E4!&amp;7C"</f>
        <v>#VALUE!</v>
      </c>
      <c r="BW99" t="e">
        <f>Nodes!L780+"'E4!&amp;7D"</f>
        <v>#VALUE!</v>
      </c>
      <c r="BX99" t="e">
        <f>Nodes!M780+"'E4!&amp;7E"</f>
        <v>#VALUE!</v>
      </c>
      <c r="BY99" t="e">
        <f>Nodes!N780+"'E4!&amp;7F"</f>
        <v>#VALUE!</v>
      </c>
      <c r="BZ99" t="e">
        <f>Nodes!O780+"'E4!&amp;7G"</f>
        <v>#VALUE!</v>
      </c>
      <c r="CA99" t="e">
        <f>Nodes!P780+"'E4!&amp;7H"</f>
        <v>#VALUE!</v>
      </c>
      <c r="CB99" t="e">
        <f>Nodes!Q780+"'E4!&amp;7I"</f>
        <v>#VALUE!</v>
      </c>
      <c r="CC99" t="e">
        <f>Nodes!R780+"'E4!&amp;7J"</f>
        <v>#VALUE!</v>
      </c>
      <c r="CD99" t="e">
        <f>Nodes!S780+"'E4!&amp;7K"</f>
        <v>#VALUE!</v>
      </c>
      <c r="CE99" s="547" t="e">
        <f>Nodes!T780+"'E4!&amp;7L"</f>
        <v>#VALUE!</v>
      </c>
      <c r="CF99" t="e">
        <f>Nodes!U780+"'E4!&amp;7M"</f>
        <v>#VALUE!</v>
      </c>
      <c r="CG99" t="e">
        <f>Nodes!V780+"'E4!&amp;7N"</f>
        <v>#VALUE!</v>
      </c>
      <c r="CH99" s="547" t="e">
        <f>Nodes!W780+"'E4!&amp;7O"</f>
        <v>#VALUE!</v>
      </c>
      <c r="CI99" t="e">
        <f>Nodes!X780+"'E4!&amp;7P"</f>
        <v>#VALUE!</v>
      </c>
      <c r="CJ99" t="e">
        <f>Nodes!Y780+"'E4!&amp;7Q"</f>
        <v>#VALUE!</v>
      </c>
      <c r="CK99" t="e">
        <f>Nodes!Z780+"'E4!&amp;7R"</f>
        <v>#VALUE!</v>
      </c>
      <c r="CL99" t="e">
        <f>Nodes!AA780+"'E4!&amp;7S"</f>
        <v>#VALUE!</v>
      </c>
      <c r="CM99" t="e">
        <f>Nodes!AB780+"'E4!&amp;7T"</f>
        <v>#VALUE!</v>
      </c>
      <c r="CN99" t="e">
        <f>Nodes!AC780+"'E4!&amp;7U"</f>
        <v>#VALUE!</v>
      </c>
      <c r="CO99" t="e">
        <f>Nodes!A781+"'E4!&amp;7V"</f>
        <v>#VALUE!</v>
      </c>
      <c r="CP99" t="e">
        <f>Nodes!B781+"'E4!&amp;7W"</f>
        <v>#VALUE!</v>
      </c>
      <c r="CQ99" t="e">
        <f>Nodes!C781+"'E4!&amp;7X"</f>
        <v>#VALUE!</v>
      </c>
      <c r="CR99" t="e">
        <f>Nodes!D781+"'E4!&amp;7Y"</f>
        <v>#VALUE!</v>
      </c>
      <c r="CS99" t="e">
        <f>Nodes!E781+"'E4!&amp;7Z"</f>
        <v>#VALUE!</v>
      </c>
      <c r="CT99" t="e">
        <f>Nodes!F781+"'E4!&amp;7["</f>
        <v>#VALUE!</v>
      </c>
      <c r="CU99" t="e">
        <f>Nodes!G781+"'E4!&amp;7\"</f>
        <v>#VALUE!</v>
      </c>
      <c r="CV99" t="e">
        <f>Nodes!H781+"'E4!&amp;7]"</f>
        <v>#VALUE!</v>
      </c>
      <c r="CW99" t="e">
        <f>Nodes!I781+"'E4!&amp;7^"</f>
        <v>#VALUE!</v>
      </c>
      <c r="CX99" t="e">
        <f>Nodes!J781+"'E4!&amp;7_"</f>
        <v>#VALUE!</v>
      </c>
      <c r="CY99" t="e">
        <f>Nodes!K781+"'E4!&amp;7`"</f>
        <v>#VALUE!</v>
      </c>
      <c r="CZ99" t="e">
        <f>Nodes!L781+"'E4!&amp;7a"</f>
        <v>#VALUE!</v>
      </c>
      <c r="DA99" t="e">
        <f>Nodes!M781+"'E4!&amp;7b"</f>
        <v>#VALUE!</v>
      </c>
      <c r="DB99" t="e">
        <f>Nodes!N781+"'E4!&amp;7c"</f>
        <v>#VALUE!</v>
      </c>
      <c r="DC99" t="e">
        <f>Nodes!O781+"'E4!&amp;7d"</f>
        <v>#VALUE!</v>
      </c>
      <c r="DD99" t="e">
        <f>Nodes!P781+"'E4!&amp;7e"</f>
        <v>#VALUE!</v>
      </c>
      <c r="DE99" t="e">
        <f>Nodes!Q781+"'E4!&amp;7f"</f>
        <v>#VALUE!</v>
      </c>
      <c r="DF99" t="e">
        <f>Nodes!R781+"'E4!&amp;7g"</f>
        <v>#VALUE!</v>
      </c>
      <c r="DG99" t="e">
        <f>Nodes!S781+"'E4!&amp;7h"</f>
        <v>#VALUE!</v>
      </c>
      <c r="DH99" s="547" t="e">
        <f>Nodes!T781+"'E4!&amp;7i"</f>
        <v>#VALUE!</v>
      </c>
      <c r="DI99" t="e">
        <f>Nodes!U781+"'E4!&amp;7j"</f>
        <v>#VALUE!</v>
      </c>
      <c r="DJ99" t="e">
        <f>Nodes!V781+"'E4!&amp;7k"</f>
        <v>#VALUE!</v>
      </c>
      <c r="DK99" s="547" t="e">
        <f>Nodes!W781+"'E4!&amp;7l"</f>
        <v>#VALUE!</v>
      </c>
      <c r="DL99" t="e">
        <f>Nodes!X781+"'E4!&amp;7m"</f>
        <v>#VALUE!</v>
      </c>
      <c r="DM99" t="e">
        <f>Nodes!Y781+"'E4!&amp;7n"</f>
        <v>#VALUE!</v>
      </c>
      <c r="DN99" t="e">
        <f>Nodes!Z781+"'E4!&amp;7o"</f>
        <v>#VALUE!</v>
      </c>
      <c r="DO99" t="e">
        <f>Nodes!AA781+"'E4!&amp;7p"</f>
        <v>#VALUE!</v>
      </c>
      <c r="DP99" t="e">
        <f>Nodes!AB781+"'E4!&amp;7q"</f>
        <v>#VALUE!</v>
      </c>
      <c r="DQ99" t="e">
        <f>Nodes!AC781+"'E4!&amp;7r"</f>
        <v>#VALUE!</v>
      </c>
      <c r="DR99" t="e">
        <f>Nodes!A782+"'E4!&amp;7s"</f>
        <v>#VALUE!</v>
      </c>
      <c r="DS99" t="e">
        <f>Nodes!B782+"'E4!&amp;7t"</f>
        <v>#VALUE!</v>
      </c>
      <c r="DT99" t="e">
        <f>Nodes!C782+"'E4!&amp;7u"</f>
        <v>#VALUE!</v>
      </c>
      <c r="DU99" t="e">
        <f>Nodes!D782+"'E4!&amp;7v"</f>
        <v>#VALUE!</v>
      </c>
      <c r="DV99" t="e">
        <f>Nodes!E782+"'E4!&amp;7w"</f>
        <v>#VALUE!</v>
      </c>
      <c r="DW99" t="e">
        <f>Nodes!F782+"'E4!&amp;7x"</f>
        <v>#VALUE!</v>
      </c>
      <c r="DX99" t="e">
        <f>Nodes!G782+"'E4!&amp;7y"</f>
        <v>#VALUE!</v>
      </c>
      <c r="DY99" t="e">
        <f>Nodes!H782+"'E4!&amp;7z"</f>
        <v>#VALUE!</v>
      </c>
      <c r="DZ99" t="e">
        <f>Nodes!I782+"'E4!&amp;7{"</f>
        <v>#VALUE!</v>
      </c>
      <c r="EA99" t="e">
        <f>Nodes!J782+"'E4!&amp;7|"</f>
        <v>#VALUE!</v>
      </c>
      <c r="EB99" t="e">
        <f>Nodes!K782+"'E4!&amp;7}"</f>
        <v>#VALUE!</v>
      </c>
      <c r="EC99" t="e">
        <f>Nodes!L782+"'E4!&amp;7~"</f>
        <v>#VALUE!</v>
      </c>
      <c r="ED99" t="e">
        <f>Nodes!M782+"'E4!&amp;8#"</f>
        <v>#VALUE!</v>
      </c>
      <c r="EE99" t="e">
        <f>Nodes!N782+"'E4!&amp;8$"</f>
        <v>#VALUE!</v>
      </c>
      <c r="EF99" t="e">
        <f>Nodes!O782+"'E4!&amp;8%"</f>
        <v>#VALUE!</v>
      </c>
      <c r="EG99" t="e">
        <f>Nodes!P782+"'E4!&amp;8&amp;"</f>
        <v>#VALUE!</v>
      </c>
      <c r="EH99" t="e">
        <f>Nodes!Q782+"'E4!&amp;8'"</f>
        <v>#VALUE!</v>
      </c>
      <c r="EI99" t="e">
        <f>Nodes!R782+"'E4!&amp;8("</f>
        <v>#VALUE!</v>
      </c>
      <c r="EJ99" t="e">
        <f>Nodes!S782+"'E4!&amp;8)"</f>
        <v>#VALUE!</v>
      </c>
      <c r="EK99" s="547" t="e">
        <f>Nodes!T782+"'E4!&amp;8."</f>
        <v>#VALUE!</v>
      </c>
      <c r="EL99" t="e">
        <f>Nodes!U782+"'E4!&amp;8/"</f>
        <v>#VALUE!</v>
      </c>
      <c r="EM99" t="e">
        <f>Nodes!V782+"'E4!&amp;80"</f>
        <v>#VALUE!</v>
      </c>
      <c r="EN99" s="547" t="e">
        <f>Nodes!W782+"'E4!&amp;81"</f>
        <v>#VALUE!</v>
      </c>
      <c r="EO99" t="e">
        <f>Nodes!X782+"'E4!&amp;82"</f>
        <v>#VALUE!</v>
      </c>
      <c r="EP99" t="e">
        <f>Nodes!Y782+"'E4!&amp;83"</f>
        <v>#VALUE!</v>
      </c>
      <c r="EQ99" t="e">
        <f>Nodes!Z782+"'E4!&amp;84"</f>
        <v>#VALUE!</v>
      </c>
      <c r="ER99" t="e">
        <f>Nodes!AA782+"'E4!&amp;85"</f>
        <v>#VALUE!</v>
      </c>
      <c r="ES99" t="e">
        <f>Nodes!AB782+"'E4!&amp;86"</f>
        <v>#VALUE!</v>
      </c>
      <c r="ET99" t="e">
        <f>Nodes!AC782+"'E4!&amp;87"</f>
        <v>#VALUE!</v>
      </c>
      <c r="EU99" t="e">
        <f>Nodes!A783+"'E4!&amp;88"</f>
        <v>#VALUE!</v>
      </c>
      <c r="EV99" t="e">
        <f>Nodes!B783+"'E4!&amp;89"</f>
        <v>#VALUE!</v>
      </c>
      <c r="EW99" t="e">
        <f>Nodes!C783+"'E4!&amp;8:"</f>
        <v>#VALUE!</v>
      </c>
      <c r="EX99" t="e">
        <f>Nodes!D783+"'E4!&amp;8;"</f>
        <v>#VALUE!</v>
      </c>
      <c r="EY99" t="e">
        <f>Nodes!E783+"'E4!&amp;8&lt;"</f>
        <v>#VALUE!</v>
      </c>
      <c r="EZ99" t="e">
        <f>Nodes!F783+"'E4!&amp;8="</f>
        <v>#VALUE!</v>
      </c>
      <c r="FA99" t="e">
        <f>Nodes!G783+"'E4!&amp;8&gt;"</f>
        <v>#VALUE!</v>
      </c>
      <c r="FB99" t="e">
        <f>Nodes!H783+"'E4!&amp;8?"</f>
        <v>#VALUE!</v>
      </c>
      <c r="FC99" t="e">
        <f>Nodes!I783+"'E4!&amp;8@"</f>
        <v>#VALUE!</v>
      </c>
      <c r="FD99" t="e">
        <f>Nodes!J783+"'E4!&amp;8A"</f>
        <v>#VALUE!</v>
      </c>
      <c r="FE99" t="e">
        <f>Nodes!K783+"'E4!&amp;8B"</f>
        <v>#VALUE!</v>
      </c>
      <c r="FF99" t="e">
        <f>Nodes!L783+"'E4!&amp;8C"</f>
        <v>#VALUE!</v>
      </c>
      <c r="FG99" t="e">
        <f>Nodes!M783+"'E4!&amp;8D"</f>
        <v>#VALUE!</v>
      </c>
      <c r="FH99" t="e">
        <f>Nodes!N783+"'E4!&amp;8E"</f>
        <v>#VALUE!</v>
      </c>
      <c r="FI99" t="e">
        <f>Nodes!O783+"'E4!&amp;8F"</f>
        <v>#VALUE!</v>
      </c>
      <c r="FJ99" t="e">
        <f>Nodes!P783+"'E4!&amp;8G"</f>
        <v>#VALUE!</v>
      </c>
      <c r="FK99" t="e">
        <f>Nodes!Q783+"'E4!&amp;8H"</f>
        <v>#VALUE!</v>
      </c>
      <c r="FL99" t="e">
        <f>Nodes!R783+"'E4!&amp;8I"</f>
        <v>#VALUE!</v>
      </c>
      <c r="FM99" t="e">
        <f>Nodes!S783+"'E4!&amp;8J"</f>
        <v>#VALUE!</v>
      </c>
      <c r="FN99" s="547" t="e">
        <f>Nodes!T783+"'E4!&amp;8K"</f>
        <v>#VALUE!</v>
      </c>
      <c r="FO99" t="e">
        <f>Nodes!U783+"'E4!&amp;8L"</f>
        <v>#VALUE!</v>
      </c>
      <c r="FP99" t="e">
        <f>Nodes!V783+"'E4!&amp;8M"</f>
        <v>#VALUE!</v>
      </c>
      <c r="FQ99" s="547" t="e">
        <f>Nodes!W783+"'E4!&amp;8N"</f>
        <v>#VALUE!</v>
      </c>
      <c r="FR99" t="e">
        <f>Nodes!X783+"'E4!&amp;8O"</f>
        <v>#VALUE!</v>
      </c>
      <c r="FS99" t="e">
        <f>Nodes!Y783+"'E4!&amp;8P"</f>
        <v>#VALUE!</v>
      </c>
      <c r="FT99" t="e">
        <f>Nodes!Z783+"'E4!&amp;8Q"</f>
        <v>#VALUE!</v>
      </c>
      <c r="FU99" t="e">
        <f>Nodes!AA783+"'E4!&amp;8R"</f>
        <v>#VALUE!</v>
      </c>
      <c r="FV99" t="e">
        <f>Nodes!AB783+"'E4!&amp;8S"</f>
        <v>#VALUE!</v>
      </c>
      <c r="FW99" t="e">
        <f>Nodes!AC783+"'E4!&amp;8T"</f>
        <v>#VALUE!</v>
      </c>
      <c r="FX99" t="e">
        <f>Nodes!A784+"'E4!&amp;8U"</f>
        <v>#VALUE!</v>
      </c>
      <c r="FY99" t="e">
        <f>Nodes!B784+"'E4!&amp;8V"</f>
        <v>#VALUE!</v>
      </c>
      <c r="FZ99" t="e">
        <f>Nodes!C784+"'E4!&amp;8W"</f>
        <v>#VALUE!</v>
      </c>
      <c r="GA99" t="e">
        <f>Nodes!D784+"'E4!&amp;8X"</f>
        <v>#VALUE!</v>
      </c>
      <c r="GB99" t="e">
        <f>Nodes!E784+"'E4!&amp;8Y"</f>
        <v>#VALUE!</v>
      </c>
      <c r="GC99" t="e">
        <f>Nodes!F784+"'E4!&amp;8Z"</f>
        <v>#VALUE!</v>
      </c>
      <c r="GD99" t="e">
        <f>Nodes!G784+"'E4!&amp;8["</f>
        <v>#VALUE!</v>
      </c>
      <c r="GE99" t="e">
        <f>Nodes!H784+"'E4!&amp;8\"</f>
        <v>#VALUE!</v>
      </c>
      <c r="GF99" t="e">
        <f>Nodes!I784+"'E4!&amp;8]"</f>
        <v>#VALUE!</v>
      </c>
      <c r="GG99" t="e">
        <f>Nodes!J784+"'E4!&amp;8^"</f>
        <v>#VALUE!</v>
      </c>
      <c r="GH99" t="e">
        <f>Nodes!K784+"'E4!&amp;8_"</f>
        <v>#VALUE!</v>
      </c>
      <c r="GI99" t="e">
        <f>Nodes!L784+"'E4!&amp;8`"</f>
        <v>#VALUE!</v>
      </c>
      <c r="GJ99" t="e">
        <f>Nodes!M784+"'E4!&amp;8a"</f>
        <v>#VALUE!</v>
      </c>
      <c r="GK99" t="e">
        <f>Nodes!N784+"'E4!&amp;8b"</f>
        <v>#VALUE!</v>
      </c>
      <c r="GL99" t="e">
        <f>Nodes!O784+"'E4!&amp;8c"</f>
        <v>#VALUE!</v>
      </c>
      <c r="GM99" t="e">
        <f>Nodes!P784+"'E4!&amp;8d"</f>
        <v>#VALUE!</v>
      </c>
      <c r="GN99" t="e">
        <f>Nodes!Q784+"'E4!&amp;8e"</f>
        <v>#VALUE!</v>
      </c>
      <c r="GO99" t="e">
        <f>Nodes!R784+"'E4!&amp;8f"</f>
        <v>#VALUE!</v>
      </c>
      <c r="GP99" t="e">
        <f>Nodes!S784+"'E4!&amp;8g"</f>
        <v>#VALUE!</v>
      </c>
      <c r="GQ99" s="547" t="e">
        <f>Nodes!T784+"'E4!&amp;8h"</f>
        <v>#VALUE!</v>
      </c>
      <c r="GR99" t="e">
        <f>Nodes!U784+"'E4!&amp;8i"</f>
        <v>#VALUE!</v>
      </c>
      <c r="GS99" t="e">
        <f>Nodes!V784+"'E4!&amp;8j"</f>
        <v>#VALUE!</v>
      </c>
      <c r="GT99" s="547" t="e">
        <f>Nodes!W784+"'E4!&amp;8k"</f>
        <v>#VALUE!</v>
      </c>
      <c r="GU99" t="e">
        <f>Nodes!X784+"'E4!&amp;8l"</f>
        <v>#VALUE!</v>
      </c>
      <c r="GV99" t="e">
        <f>Nodes!Y784+"'E4!&amp;8m"</f>
        <v>#VALUE!</v>
      </c>
      <c r="GW99" t="e">
        <f>Nodes!Z784+"'E4!&amp;8n"</f>
        <v>#VALUE!</v>
      </c>
      <c r="GX99" t="e">
        <f>Nodes!AA784+"'E4!&amp;8o"</f>
        <v>#VALUE!</v>
      </c>
      <c r="GY99" t="e">
        <f>Nodes!AB784+"'E4!&amp;8p"</f>
        <v>#VALUE!</v>
      </c>
      <c r="GZ99" t="e">
        <f>Nodes!AC784+"'E4!&amp;8q"</f>
        <v>#VALUE!</v>
      </c>
      <c r="HA99" t="e">
        <f>Nodes!A785+"'E4!&amp;8r"</f>
        <v>#VALUE!</v>
      </c>
      <c r="HB99" t="e">
        <f>Nodes!B785+"'E4!&amp;8s"</f>
        <v>#VALUE!</v>
      </c>
      <c r="HC99" t="e">
        <f>Nodes!C785+"'E4!&amp;8t"</f>
        <v>#VALUE!</v>
      </c>
      <c r="HD99" t="e">
        <f>Nodes!D785+"'E4!&amp;8u"</f>
        <v>#VALUE!</v>
      </c>
      <c r="HE99" t="e">
        <f>Nodes!E785+"'E4!&amp;8v"</f>
        <v>#VALUE!</v>
      </c>
      <c r="HF99" t="e">
        <f>Nodes!F785+"'E4!&amp;8w"</f>
        <v>#VALUE!</v>
      </c>
      <c r="HG99" t="e">
        <f>Nodes!G785+"'E4!&amp;8x"</f>
        <v>#VALUE!</v>
      </c>
      <c r="HH99" t="e">
        <f>Nodes!H785+"'E4!&amp;8y"</f>
        <v>#VALUE!</v>
      </c>
      <c r="HI99" t="e">
        <f>Nodes!I785+"'E4!&amp;8z"</f>
        <v>#VALUE!</v>
      </c>
      <c r="HJ99" t="e">
        <f>Nodes!J785+"'E4!&amp;8{"</f>
        <v>#VALUE!</v>
      </c>
      <c r="HK99" t="e">
        <f>Nodes!K785+"'E4!&amp;8|"</f>
        <v>#VALUE!</v>
      </c>
      <c r="HL99" t="e">
        <f>Nodes!L785+"'E4!&amp;8}"</f>
        <v>#VALUE!</v>
      </c>
      <c r="HM99" t="e">
        <f>Nodes!M785+"'E4!&amp;8~"</f>
        <v>#VALUE!</v>
      </c>
      <c r="HN99" t="e">
        <f>Nodes!N785+"'E4!&amp;9#"</f>
        <v>#VALUE!</v>
      </c>
      <c r="HO99" t="e">
        <f>Nodes!O785+"'E4!&amp;9$"</f>
        <v>#VALUE!</v>
      </c>
      <c r="HP99" t="e">
        <f>Nodes!P785+"'E4!&amp;9%"</f>
        <v>#VALUE!</v>
      </c>
      <c r="HQ99" t="e">
        <f>Nodes!Q785+"'E4!&amp;9&amp;"</f>
        <v>#VALUE!</v>
      </c>
      <c r="HR99" t="e">
        <f>Nodes!R785+"'E4!&amp;9'"</f>
        <v>#VALUE!</v>
      </c>
      <c r="HS99" t="e">
        <f>Nodes!S785+"'E4!&amp;9("</f>
        <v>#VALUE!</v>
      </c>
      <c r="HT99" s="547" t="e">
        <f>Nodes!T785+"'E4!&amp;9)"</f>
        <v>#VALUE!</v>
      </c>
      <c r="HU99" t="e">
        <f>Nodes!U785+"'E4!&amp;9."</f>
        <v>#VALUE!</v>
      </c>
      <c r="HV99" t="e">
        <f>Nodes!V785+"'E4!&amp;9/"</f>
        <v>#VALUE!</v>
      </c>
      <c r="HW99" s="547" t="e">
        <f>Nodes!W785+"'E4!&amp;90"</f>
        <v>#VALUE!</v>
      </c>
      <c r="HX99" t="e">
        <f>Nodes!X785+"'E4!&amp;91"</f>
        <v>#VALUE!</v>
      </c>
      <c r="HY99" t="e">
        <f>Nodes!Y785+"'E4!&amp;92"</f>
        <v>#VALUE!</v>
      </c>
      <c r="HZ99" t="e">
        <f>Nodes!Z785+"'E4!&amp;93"</f>
        <v>#VALUE!</v>
      </c>
      <c r="IA99" t="e">
        <f>Nodes!AA785+"'E4!&amp;94"</f>
        <v>#VALUE!</v>
      </c>
      <c r="IB99" t="e">
        <f>Nodes!AB785+"'E4!&amp;95"</f>
        <v>#VALUE!</v>
      </c>
      <c r="IC99" t="e">
        <f>Nodes!AC785+"'E4!&amp;96"</f>
        <v>#VALUE!</v>
      </c>
      <c r="ID99" t="e">
        <f>Nodes!A786+"'E4!&amp;97"</f>
        <v>#VALUE!</v>
      </c>
      <c r="IE99" t="e">
        <f>Nodes!B786+"'E4!&amp;98"</f>
        <v>#VALUE!</v>
      </c>
      <c r="IF99" t="e">
        <f>Nodes!C786+"'E4!&amp;99"</f>
        <v>#VALUE!</v>
      </c>
      <c r="IG99" t="e">
        <f>Nodes!D786+"'E4!&amp;9:"</f>
        <v>#VALUE!</v>
      </c>
      <c r="IH99" t="e">
        <f>Nodes!E786+"'E4!&amp;9;"</f>
        <v>#VALUE!</v>
      </c>
      <c r="II99" t="e">
        <f>Nodes!F786+"'E4!&amp;9&lt;"</f>
        <v>#VALUE!</v>
      </c>
      <c r="IJ99" t="e">
        <f>Nodes!G786+"'E4!&amp;9="</f>
        <v>#VALUE!</v>
      </c>
      <c r="IK99" t="e">
        <f>Nodes!H786+"'E4!&amp;9&gt;"</f>
        <v>#VALUE!</v>
      </c>
      <c r="IL99" t="e">
        <f>Nodes!I786+"'E4!&amp;9?"</f>
        <v>#VALUE!</v>
      </c>
      <c r="IM99" t="e">
        <f>Nodes!J786+"'E4!&amp;9@"</f>
        <v>#VALUE!</v>
      </c>
      <c r="IN99" t="e">
        <f>Nodes!K786+"'E4!&amp;9A"</f>
        <v>#VALUE!</v>
      </c>
      <c r="IO99" t="e">
        <f>Nodes!L786+"'E4!&amp;9B"</f>
        <v>#VALUE!</v>
      </c>
      <c r="IP99" t="e">
        <f>Nodes!M786+"'E4!&amp;9C"</f>
        <v>#VALUE!</v>
      </c>
      <c r="IQ99" t="e">
        <f>Nodes!N786+"'E4!&amp;9D"</f>
        <v>#VALUE!</v>
      </c>
      <c r="IR99" t="e">
        <f>Nodes!O786+"'E4!&amp;9E"</f>
        <v>#VALUE!</v>
      </c>
      <c r="IS99" t="e">
        <f>Nodes!P786+"'E4!&amp;9F"</f>
        <v>#VALUE!</v>
      </c>
      <c r="IT99" t="e">
        <f>Nodes!Q786+"'E4!&amp;9G"</f>
        <v>#VALUE!</v>
      </c>
      <c r="IU99" t="e">
        <f>Nodes!R786+"'E4!&amp;9H"</f>
        <v>#VALUE!</v>
      </c>
      <c r="IV99" t="e">
        <f>Nodes!S786+"'E4!&amp;9I"</f>
        <v>#VALUE!</v>
      </c>
    </row>
    <row r="100" spans="6:256">
      <c r="F100" s="547" t="e">
        <f>Nodes!T786+"'E4!&amp;9J"</f>
        <v>#VALUE!</v>
      </c>
      <c r="G100" t="e">
        <f>Nodes!U786+"'E4!&amp;9K"</f>
        <v>#VALUE!</v>
      </c>
      <c r="H100" t="e">
        <f>Nodes!V786+"'E4!&amp;9L"</f>
        <v>#VALUE!</v>
      </c>
      <c r="I100" s="547" t="e">
        <f>Nodes!W786+"'E4!&amp;9M"</f>
        <v>#VALUE!</v>
      </c>
      <c r="J100" t="e">
        <f>Nodes!X786+"'E4!&amp;9N"</f>
        <v>#VALUE!</v>
      </c>
      <c r="K100" t="e">
        <f>Nodes!Y786+"'E4!&amp;9O"</f>
        <v>#VALUE!</v>
      </c>
      <c r="L100" t="e">
        <f>Nodes!Z786+"'E4!&amp;9P"</f>
        <v>#VALUE!</v>
      </c>
      <c r="M100" t="e">
        <f>Nodes!AA786+"'E4!&amp;9Q"</f>
        <v>#VALUE!</v>
      </c>
      <c r="N100" t="e">
        <f>Nodes!AB786+"'E4!&amp;9R"</f>
        <v>#VALUE!</v>
      </c>
      <c r="O100" t="e">
        <f>Nodes!AC786+"'E4!&amp;9S"</f>
        <v>#VALUE!</v>
      </c>
      <c r="P100" t="e">
        <f>Nodes!A787+"'E4!&amp;9T"</f>
        <v>#VALUE!</v>
      </c>
      <c r="Q100" t="e">
        <f>Nodes!B787+"'E4!&amp;9U"</f>
        <v>#VALUE!</v>
      </c>
      <c r="R100" t="e">
        <f>Nodes!C787+"'E4!&amp;9V"</f>
        <v>#VALUE!</v>
      </c>
      <c r="S100" t="e">
        <f>Nodes!D787+"'E4!&amp;9W"</f>
        <v>#VALUE!</v>
      </c>
      <c r="T100" t="e">
        <f>Nodes!E787+"'E4!&amp;9X"</f>
        <v>#VALUE!</v>
      </c>
      <c r="U100" t="e">
        <f>Nodes!F787+"'E4!&amp;9Y"</f>
        <v>#VALUE!</v>
      </c>
      <c r="V100" t="e">
        <f>Nodes!G787+"'E4!&amp;9Z"</f>
        <v>#VALUE!</v>
      </c>
      <c r="W100" t="e">
        <f>Nodes!H787+"'E4!&amp;9["</f>
        <v>#VALUE!</v>
      </c>
      <c r="X100" t="e">
        <f>Nodes!I787+"'E4!&amp;9\"</f>
        <v>#VALUE!</v>
      </c>
      <c r="Y100" t="e">
        <f>Nodes!J787+"'E4!&amp;9]"</f>
        <v>#VALUE!</v>
      </c>
      <c r="Z100" t="e">
        <f>Nodes!K787+"'E4!&amp;9^"</f>
        <v>#VALUE!</v>
      </c>
      <c r="AA100" t="e">
        <f>Nodes!L787+"'E4!&amp;9_"</f>
        <v>#VALUE!</v>
      </c>
      <c r="AB100" t="e">
        <f>Nodes!M787+"'E4!&amp;9`"</f>
        <v>#VALUE!</v>
      </c>
      <c r="AC100" t="e">
        <f>Nodes!N787+"'E4!&amp;9a"</f>
        <v>#VALUE!</v>
      </c>
      <c r="AD100" t="e">
        <f>Nodes!O787+"'E4!&amp;9b"</f>
        <v>#VALUE!</v>
      </c>
      <c r="AE100" t="e">
        <f>Nodes!P787+"'E4!&amp;9c"</f>
        <v>#VALUE!</v>
      </c>
      <c r="AF100" t="e">
        <f>Nodes!Q787+"'E4!&amp;9d"</f>
        <v>#VALUE!</v>
      </c>
      <c r="AG100" t="e">
        <f>Nodes!R787+"'E4!&amp;9e"</f>
        <v>#VALUE!</v>
      </c>
      <c r="AH100" t="e">
        <f>Nodes!S787+"'E4!&amp;9f"</f>
        <v>#VALUE!</v>
      </c>
      <c r="AI100" s="547" t="e">
        <f>Nodes!T787+"'E4!&amp;9g"</f>
        <v>#VALUE!</v>
      </c>
      <c r="AJ100" t="e">
        <f>Nodes!U787+"'E4!&amp;9h"</f>
        <v>#VALUE!</v>
      </c>
      <c r="AK100" t="e">
        <f>Nodes!V787+"'E4!&amp;9i"</f>
        <v>#VALUE!</v>
      </c>
      <c r="AL100" s="547" t="e">
        <f>Nodes!W787+"'E4!&amp;9j"</f>
        <v>#VALUE!</v>
      </c>
      <c r="AM100" t="e">
        <f>Nodes!X787+"'E4!&amp;9k"</f>
        <v>#VALUE!</v>
      </c>
      <c r="AN100" t="e">
        <f>Nodes!Y787+"'E4!&amp;9l"</f>
        <v>#VALUE!</v>
      </c>
      <c r="AO100" t="e">
        <f>Nodes!Z787+"'E4!&amp;9m"</f>
        <v>#VALUE!</v>
      </c>
      <c r="AP100" t="e">
        <f>Nodes!AA787+"'E4!&amp;9n"</f>
        <v>#VALUE!</v>
      </c>
      <c r="AQ100" t="e">
        <f>Nodes!AB787+"'E4!&amp;9o"</f>
        <v>#VALUE!</v>
      </c>
      <c r="AR100" t="e">
        <f>Nodes!AC787+"'E4!&amp;9p"</f>
        <v>#VALUE!</v>
      </c>
      <c r="AS100" t="e">
        <f>Nodes!A788+"'E4!&amp;9q"</f>
        <v>#VALUE!</v>
      </c>
      <c r="AT100" t="e">
        <f>Nodes!B788+"'E4!&amp;9r"</f>
        <v>#VALUE!</v>
      </c>
      <c r="AU100" t="e">
        <f>Nodes!C788+"'E4!&amp;9s"</f>
        <v>#VALUE!</v>
      </c>
      <c r="AV100" t="e">
        <f>Nodes!D788+"'E4!&amp;9t"</f>
        <v>#VALUE!</v>
      </c>
      <c r="AW100" t="e">
        <f>Nodes!E788+"'E4!&amp;9u"</f>
        <v>#VALUE!</v>
      </c>
      <c r="AX100" t="e">
        <f>Nodes!F788+"'E4!&amp;9v"</f>
        <v>#VALUE!</v>
      </c>
      <c r="AY100" t="e">
        <f>Nodes!G788+"'E4!&amp;9w"</f>
        <v>#VALUE!</v>
      </c>
      <c r="AZ100" t="e">
        <f>Nodes!H788+"'E4!&amp;9x"</f>
        <v>#VALUE!</v>
      </c>
      <c r="BA100" t="e">
        <f>Nodes!I788+"'E4!&amp;9y"</f>
        <v>#VALUE!</v>
      </c>
      <c r="BB100" t="e">
        <f>Nodes!J788+"'E4!&amp;9z"</f>
        <v>#VALUE!</v>
      </c>
      <c r="BC100" t="e">
        <f>Nodes!K788+"'E4!&amp;9{"</f>
        <v>#VALUE!</v>
      </c>
      <c r="BD100" t="e">
        <f>Nodes!L788+"'E4!&amp;9|"</f>
        <v>#VALUE!</v>
      </c>
      <c r="BE100" t="e">
        <f>Nodes!M788+"'E4!&amp;9}"</f>
        <v>#VALUE!</v>
      </c>
      <c r="BF100" t="e">
        <f>Nodes!N788+"'E4!&amp;9~"</f>
        <v>#VALUE!</v>
      </c>
      <c r="BG100" t="e">
        <f>Nodes!O788+"'E4!&amp;:#"</f>
        <v>#VALUE!</v>
      </c>
      <c r="BH100" t="e">
        <f>Nodes!P788+"'E4!&amp;:$"</f>
        <v>#VALUE!</v>
      </c>
      <c r="BI100" t="e">
        <f>Nodes!Q788+"'E4!&amp;:%"</f>
        <v>#VALUE!</v>
      </c>
      <c r="BJ100" t="e">
        <f>Nodes!R788+"'E4!&amp;:&amp;"</f>
        <v>#VALUE!</v>
      </c>
      <c r="BK100" t="e">
        <f>Nodes!S788+"'E4!&amp;:'"</f>
        <v>#VALUE!</v>
      </c>
      <c r="BL100" s="547" t="e">
        <f>Nodes!T788+"'E4!&amp;:("</f>
        <v>#VALUE!</v>
      </c>
      <c r="BM100" t="e">
        <f>Nodes!U788+"'E4!&amp;:)"</f>
        <v>#VALUE!</v>
      </c>
      <c r="BN100" t="e">
        <f>Nodes!V788+"'E4!&amp;:."</f>
        <v>#VALUE!</v>
      </c>
      <c r="BO100" s="547" t="e">
        <f>Nodes!W788+"'E4!&amp;:/"</f>
        <v>#VALUE!</v>
      </c>
      <c r="BP100" t="e">
        <f>Nodes!X788+"'E4!&amp;:0"</f>
        <v>#VALUE!</v>
      </c>
      <c r="BQ100" t="e">
        <f>Nodes!Y788+"'E4!&amp;:1"</f>
        <v>#VALUE!</v>
      </c>
      <c r="BR100" t="e">
        <f>Nodes!Z788+"'E4!&amp;:2"</f>
        <v>#VALUE!</v>
      </c>
      <c r="BS100" t="e">
        <f>Nodes!AA788+"'E4!&amp;:3"</f>
        <v>#VALUE!</v>
      </c>
      <c r="BT100" t="e">
        <f>Nodes!AB788+"'E4!&amp;:4"</f>
        <v>#VALUE!</v>
      </c>
      <c r="BU100" t="e">
        <f>Nodes!AC788+"'E4!&amp;:5"</f>
        <v>#VALUE!</v>
      </c>
      <c r="BV100" t="e">
        <f>Nodes!A789+"'E4!&amp;:6"</f>
        <v>#VALUE!</v>
      </c>
      <c r="BW100" t="e">
        <f>Nodes!B789+"'E4!&amp;:7"</f>
        <v>#VALUE!</v>
      </c>
      <c r="BX100" t="e">
        <f>Nodes!C789+"'E4!&amp;:8"</f>
        <v>#VALUE!</v>
      </c>
      <c r="BY100" t="e">
        <f>Nodes!D789+"'E4!&amp;:9"</f>
        <v>#VALUE!</v>
      </c>
      <c r="BZ100" t="e">
        <f>Nodes!E789+"'E4!&amp;::"</f>
        <v>#VALUE!</v>
      </c>
      <c r="CA100" t="e">
        <f>Nodes!F789+"'E4!&amp;:;"</f>
        <v>#VALUE!</v>
      </c>
      <c r="CB100" t="e">
        <f>Nodes!G789+"'E4!&amp;:&lt;"</f>
        <v>#VALUE!</v>
      </c>
      <c r="CC100" t="e">
        <f>Nodes!H789+"'E4!&amp;:="</f>
        <v>#VALUE!</v>
      </c>
      <c r="CD100" t="e">
        <f>Nodes!I789+"'E4!&amp;:&gt;"</f>
        <v>#VALUE!</v>
      </c>
      <c r="CE100" t="e">
        <f>Nodes!J789+"'E4!&amp;:?"</f>
        <v>#VALUE!</v>
      </c>
      <c r="CF100" t="e">
        <f>Nodes!K789+"'E4!&amp;:@"</f>
        <v>#VALUE!</v>
      </c>
      <c r="CG100" t="e">
        <f>Nodes!L789+"'E4!&amp;:A"</f>
        <v>#VALUE!</v>
      </c>
      <c r="CH100" t="e">
        <f>Nodes!M789+"'E4!&amp;:B"</f>
        <v>#VALUE!</v>
      </c>
      <c r="CI100" t="e">
        <f>Nodes!N789+"'E4!&amp;:C"</f>
        <v>#VALUE!</v>
      </c>
      <c r="CJ100" t="e">
        <f>Nodes!O789+"'E4!&amp;:D"</f>
        <v>#VALUE!</v>
      </c>
      <c r="CK100" t="e">
        <f>Nodes!P789+"'E4!&amp;:E"</f>
        <v>#VALUE!</v>
      </c>
      <c r="CL100" t="e">
        <f>Nodes!Q789+"'E4!&amp;:F"</f>
        <v>#VALUE!</v>
      </c>
      <c r="CM100" t="e">
        <f>Nodes!R789+"'E4!&amp;:G"</f>
        <v>#VALUE!</v>
      </c>
      <c r="CN100" t="e">
        <f>Nodes!S789+"'E4!&amp;:H"</f>
        <v>#VALUE!</v>
      </c>
      <c r="CO100" s="547" t="e">
        <f>Nodes!T789+"'E4!&amp;:I"</f>
        <v>#VALUE!</v>
      </c>
      <c r="CP100" t="e">
        <f>Nodes!U789+"'E4!&amp;:J"</f>
        <v>#VALUE!</v>
      </c>
      <c r="CQ100" t="e">
        <f>Nodes!V789+"'E4!&amp;:K"</f>
        <v>#VALUE!</v>
      </c>
      <c r="CR100" s="547" t="e">
        <f>Nodes!W789+"'E4!&amp;:L"</f>
        <v>#VALUE!</v>
      </c>
      <c r="CS100" t="e">
        <f>Nodes!X789+"'E4!&amp;:M"</f>
        <v>#VALUE!</v>
      </c>
      <c r="CT100" t="e">
        <f>Nodes!Y789+"'E4!&amp;:N"</f>
        <v>#VALUE!</v>
      </c>
      <c r="CU100" t="e">
        <f>Nodes!Z789+"'E4!&amp;:O"</f>
        <v>#VALUE!</v>
      </c>
      <c r="CV100" t="e">
        <f>Nodes!AA789+"'E4!&amp;:P"</f>
        <v>#VALUE!</v>
      </c>
      <c r="CW100" t="e">
        <f>Nodes!AB789+"'E4!&amp;:Q"</f>
        <v>#VALUE!</v>
      </c>
      <c r="CX100" t="e">
        <f>Nodes!AC789+"'E4!&amp;:R"</f>
        <v>#VALUE!</v>
      </c>
      <c r="CY100" t="e">
        <f>Nodes!A790+"'E4!&amp;:S"</f>
        <v>#VALUE!</v>
      </c>
      <c r="CZ100" t="e">
        <f>Nodes!B790+"'E4!&amp;:T"</f>
        <v>#VALUE!</v>
      </c>
      <c r="DA100" t="e">
        <f>Nodes!C790+"'E4!&amp;:U"</f>
        <v>#VALUE!</v>
      </c>
      <c r="DB100" t="e">
        <f>Nodes!D790+"'E4!&amp;:V"</f>
        <v>#VALUE!</v>
      </c>
      <c r="DC100" t="e">
        <f>Nodes!E790+"'E4!&amp;:W"</f>
        <v>#VALUE!</v>
      </c>
      <c r="DD100" t="e">
        <f>Nodes!F790+"'E4!&amp;:X"</f>
        <v>#VALUE!</v>
      </c>
      <c r="DE100" t="e">
        <f>Nodes!G790+"'E4!&amp;:Y"</f>
        <v>#VALUE!</v>
      </c>
      <c r="DF100" t="e">
        <f>Nodes!H790+"'E4!&amp;:Z"</f>
        <v>#VALUE!</v>
      </c>
      <c r="DG100" t="e">
        <f>Nodes!I790+"'E4!&amp;:["</f>
        <v>#VALUE!</v>
      </c>
      <c r="DH100" t="e">
        <f>Nodes!J790+"'E4!&amp;:\"</f>
        <v>#VALUE!</v>
      </c>
      <c r="DI100" t="e">
        <f>Nodes!K790+"'E4!&amp;:]"</f>
        <v>#VALUE!</v>
      </c>
      <c r="DJ100" t="e">
        <f>Nodes!L790+"'E4!&amp;:^"</f>
        <v>#VALUE!</v>
      </c>
      <c r="DK100" t="e">
        <f>Nodes!M790+"'E4!&amp;:_"</f>
        <v>#VALUE!</v>
      </c>
      <c r="DL100" t="e">
        <f>Nodes!N790+"'E4!&amp;:`"</f>
        <v>#VALUE!</v>
      </c>
      <c r="DM100" t="e">
        <f>Nodes!O790+"'E4!&amp;:a"</f>
        <v>#VALUE!</v>
      </c>
      <c r="DN100" t="e">
        <f>Nodes!P790+"'E4!&amp;:b"</f>
        <v>#VALUE!</v>
      </c>
      <c r="DO100" t="e">
        <f>Nodes!Q790+"'E4!&amp;:c"</f>
        <v>#VALUE!</v>
      </c>
      <c r="DP100" t="e">
        <f>Nodes!R790+"'E4!&amp;:d"</f>
        <v>#VALUE!</v>
      </c>
      <c r="DQ100" t="e">
        <f>Nodes!S790+"'E4!&amp;:e"</f>
        <v>#VALUE!</v>
      </c>
      <c r="DR100" s="547" t="e">
        <f>Nodes!T790+"'E4!&amp;:f"</f>
        <v>#VALUE!</v>
      </c>
      <c r="DS100" t="e">
        <f>Nodes!U790+"'E4!&amp;:g"</f>
        <v>#VALUE!</v>
      </c>
      <c r="DT100" t="e">
        <f>Nodes!V790+"'E4!&amp;:h"</f>
        <v>#VALUE!</v>
      </c>
      <c r="DU100" s="547" t="e">
        <f>Nodes!W790+"'E4!&amp;:i"</f>
        <v>#VALUE!</v>
      </c>
      <c r="DV100" t="e">
        <f>Nodes!X790+"'E4!&amp;:j"</f>
        <v>#VALUE!</v>
      </c>
      <c r="DW100" t="e">
        <f>Nodes!Y790+"'E4!&amp;:k"</f>
        <v>#VALUE!</v>
      </c>
      <c r="DX100" t="e">
        <f>Nodes!Z790+"'E4!&amp;:l"</f>
        <v>#VALUE!</v>
      </c>
      <c r="DY100" t="e">
        <f>Nodes!AA790+"'E4!&amp;:m"</f>
        <v>#VALUE!</v>
      </c>
      <c r="DZ100" t="e">
        <f>Nodes!AB790+"'E4!&amp;:n"</f>
        <v>#VALUE!</v>
      </c>
      <c r="EA100" t="e">
        <f>Nodes!AC790+"'E4!&amp;:o"</f>
        <v>#VALUE!</v>
      </c>
      <c r="EB100" t="e">
        <f>Nodes!A791+"'E4!&amp;:p"</f>
        <v>#VALUE!</v>
      </c>
      <c r="EC100" t="e">
        <f>Nodes!B791+"'E4!&amp;:q"</f>
        <v>#VALUE!</v>
      </c>
      <c r="ED100" t="e">
        <f>Nodes!C791+"'E4!&amp;:r"</f>
        <v>#VALUE!</v>
      </c>
      <c r="EE100" t="e">
        <f>Nodes!D791+"'E4!&amp;:s"</f>
        <v>#VALUE!</v>
      </c>
      <c r="EF100" t="e">
        <f>Nodes!E791+"'E4!&amp;:t"</f>
        <v>#VALUE!</v>
      </c>
      <c r="EG100" t="e">
        <f>Nodes!F791+"'E4!&amp;:u"</f>
        <v>#VALUE!</v>
      </c>
      <c r="EH100" t="e">
        <f>Nodes!G791+"'E4!&amp;:v"</f>
        <v>#VALUE!</v>
      </c>
      <c r="EI100" t="e">
        <f>Nodes!H791+"'E4!&amp;:w"</f>
        <v>#VALUE!</v>
      </c>
      <c r="EJ100" t="e">
        <f>Nodes!I791+"'E4!&amp;:x"</f>
        <v>#VALUE!</v>
      </c>
      <c r="EK100" t="e">
        <f>Nodes!J791+"'E4!&amp;:y"</f>
        <v>#VALUE!</v>
      </c>
      <c r="EL100" t="e">
        <f>Nodes!K791+"'E4!&amp;:z"</f>
        <v>#VALUE!</v>
      </c>
      <c r="EM100" t="e">
        <f>Nodes!L791+"'E4!&amp;:{"</f>
        <v>#VALUE!</v>
      </c>
      <c r="EN100" t="e">
        <f>Nodes!M791+"'E4!&amp;:|"</f>
        <v>#VALUE!</v>
      </c>
      <c r="EO100" t="e">
        <f>Nodes!N791+"'E4!&amp;:}"</f>
        <v>#VALUE!</v>
      </c>
      <c r="EP100" t="e">
        <f>Nodes!O791+"'E4!&amp;:~"</f>
        <v>#VALUE!</v>
      </c>
      <c r="EQ100" t="e">
        <f>Nodes!P791+"'E4!&amp;;#"</f>
        <v>#VALUE!</v>
      </c>
      <c r="ER100" t="e">
        <f>Nodes!Q791+"'E4!&amp;;$"</f>
        <v>#VALUE!</v>
      </c>
      <c r="ES100" t="e">
        <f>Nodes!R791+"'E4!&amp;;%"</f>
        <v>#VALUE!</v>
      </c>
      <c r="ET100" t="e">
        <f>Nodes!S791+"'E4!&amp;;&amp;"</f>
        <v>#VALUE!</v>
      </c>
      <c r="EU100" s="547" t="e">
        <f>Nodes!T791+"'E4!&amp;;'"</f>
        <v>#VALUE!</v>
      </c>
      <c r="EV100" t="e">
        <f>Nodes!U791+"'E4!&amp;;("</f>
        <v>#VALUE!</v>
      </c>
      <c r="EW100" t="e">
        <f>Nodes!V791+"'E4!&amp;;)"</f>
        <v>#VALUE!</v>
      </c>
      <c r="EX100" s="547" t="e">
        <f>Nodes!W791+"'E4!&amp;;."</f>
        <v>#VALUE!</v>
      </c>
      <c r="EY100" t="e">
        <f>Nodes!X791+"'E4!&amp;;/"</f>
        <v>#VALUE!</v>
      </c>
      <c r="EZ100" t="e">
        <f>Nodes!Y791+"'E4!&amp;;0"</f>
        <v>#VALUE!</v>
      </c>
      <c r="FA100" t="e">
        <f>Nodes!Z791+"'E4!&amp;;1"</f>
        <v>#VALUE!</v>
      </c>
      <c r="FB100" t="e">
        <f>Nodes!AA791+"'E4!&amp;;2"</f>
        <v>#VALUE!</v>
      </c>
      <c r="FC100" t="e">
        <f>Nodes!AB791+"'E4!&amp;;3"</f>
        <v>#VALUE!</v>
      </c>
      <c r="FD100" t="e">
        <f>Nodes!AC791+"'E4!&amp;;4"</f>
        <v>#VALUE!</v>
      </c>
      <c r="FE100" t="e">
        <f>Nodes!A792+"'E4!&amp;;5"</f>
        <v>#VALUE!</v>
      </c>
      <c r="FF100" t="e">
        <f>Nodes!B792+"'E4!&amp;;6"</f>
        <v>#VALUE!</v>
      </c>
      <c r="FG100" t="e">
        <f>Nodes!C792+"'E4!&amp;;7"</f>
        <v>#VALUE!</v>
      </c>
      <c r="FH100" t="e">
        <f>Nodes!D792+"'E4!&amp;;8"</f>
        <v>#VALUE!</v>
      </c>
      <c r="FI100" t="e">
        <f>Nodes!E792+"'E4!&amp;;9"</f>
        <v>#VALUE!</v>
      </c>
      <c r="FJ100" t="e">
        <f>Nodes!F792+"'E4!&amp;;:"</f>
        <v>#VALUE!</v>
      </c>
      <c r="FK100" t="e">
        <f>Nodes!G792+"'E4!&amp;;;"</f>
        <v>#VALUE!</v>
      </c>
      <c r="FL100" t="e">
        <f>Nodes!H792+"'E4!&amp;;&lt;"</f>
        <v>#VALUE!</v>
      </c>
      <c r="FM100" t="e">
        <f>Nodes!I792+"'E4!&amp;;="</f>
        <v>#VALUE!</v>
      </c>
      <c r="FN100" t="e">
        <f>Nodes!J792+"'E4!&amp;;&gt;"</f>
        <v>#VALUE!</v>
      </c>
      <c r="FO100" t="e">
        <f>Nodes!K792+"'E4!&amp;;?"</f>
        <v>#VALUE!</v>
      </c>
      <c r="FP100" t="e">
        <f>Nodes!L792+"'E4!&amp;;@"</f>
        <v>#VALUE!</v>
      </c>
      <c r="FQ100" t="e">
        <f>Nodes!M792+"'E4!&amp;;A"</f>
        <v>#VALUE!</v>
      </c>
      <c r="FR100" t="e">
        <f>Nodes!N792+"'E4!&amp;;B"</f>
        <v>#VALUE!</v>
      </c>
      <c r="FS100" t="e">
        <f>Nodes!O792+"'E4!&amp;;C"</f>
        <v>#VALUE!</v>
      </c>
      <c r="FT100" t="e">
        <f>Nodes!P792+"'E4!&amp;;D"</f>
        <v>#VALUE!</v>
      </c>
      <c r="FU100" t="e">
        <f>Nodes!Q792+"'E4!&amp;;E"</f>
        <v>#VALUE!</v>
      </c>
      <c r="FV100" t="e">
        <f>Nodes!R792+"'E4!&amp;;F"</f>
        <v>#VALUE!</v>
      </c>
      <c r="FW100" t="e">
        <f>Nodes!S792+"'E4!&amp;;G"</f>
        <v>#VALUE!</v>
      </c>
      <c r="FX100" s="547" t="e">
        <f>Nodes!T792+"'E4!&amp;;H"</f>
        <v>#VALUE!</v>
      </c>
      <c r="FY100" t="e">
        <f>Nodes!U792+"'E4!&amp;;I"</f>
        <v>#VALUE!</v>
      </c>
      <c r="FZ100" t="e">
        <f>Nodes!V792+"'E4!&amp;;J"</f>
        <v>#VALUE!</v>
      </c>
      <c r="GA100" s="547" t="e">
        <f>Nodes!W792+"'E4!&amp;;K"</f>
        <v>#VALUE!</v>
      </c>
      <c r="GB100" t="e">
        <f>Nodes!X792+"'E4!&amp;;L"</f>
        <v>#VALUE!</v>
      </c>
      <c r="GC100" t="e">
        <f>Nodes!Y792+"'E4!&amp;;M"</f>
        <v>#VALUE!</v>
      </c>
      <c r="GD100" t="e">
        <f>Nodes!Z792+"'E4!&amp;;N"</f>
        <v>#VALUE!</v>
      </c>
      <c r="GE100" t="e">
        <f>Nodes!AA792+"'E4!&amp;;O"</f>
        <v>#VALUE!</v>
      </c>
      <c r="GF100" t="e">
        <f>Nodes!AB792+"'E4!&amp;;P"</f>
        <v>#VALUE!</v>
      </c>
      <c r="GG100" t="e">
        <f>Nodes!AC792+"'E4!&amp;;Q"</f>
        <v>#VALUE!</v>
      </c>
      <c r="GH100" t="e">
        <f>Nodes!A793+"'E4!&amp;;R"</f>
        <v>#VALUE!</v>
      </c>
      <c r="GI100" t="e">
        <f>Nodes!B793+"'E4!&amp;;S"</f>
        <v>#VALUE!</v>
      </c>
      <c r="GJ100" t="e">
        <f>Nodes!C793+"'E4!&amp;;T"</f>
        <v>#VALUE!</v>
      </c>
      <c r="GK100" t="e">
        <f>Nodes!D793+"'E4!&amp;;U"</f>
        <v>#VALUE!</v>
      </c>
      <c r="GL100" t="e">
        <f>Nodes!E793+"'E4!&amp;;V"</f>
        <v>#VALUE!</v>
      </c>
      <c r="GM100" t="e">
        <f>Nodes!F793+"'E4!&amp;;W"</f>
        <v>#VALUE!</v>
      </c>
      <c r="GN100" t="e">
        <f>Nodes!G793+"'E4!&amp;;X"</f>
        <v>#VALUE!</v>
      </c>
      <c r="GO100" t="e">
        <f>Nodes!H793+"'E4!&amp;;Y"</f>
        <v>#VALUE!</v>
      </c>
      <c r="GP100" t="e">
        <f>Nodes!I793+"'E4!&amp;;Z"</f>
        <v>#VALUE!</v>
      </c>
      <c r="GQ100" t="e">
        <f>Nodes!J793+"'E4!&amp;;["</f>
        <v>#VALUE!</v>
      </c>
      <c r="GR100" t="e">
        <f>Nodes!K793+"'E4!&amp;;\"</f>
        <v>#VALUE!</v>
      </c>
      <c r="GS100" t="e">
        <f>Nodes!L793+"'E4!&amp;;]"</f>
        <v>#VALUE!</v>
      </c>
      <c r="GT100" t="e">
        <f>Nodes!M793+"'E4!&amp;;^"</f>
        <v>#VALUE!</v>
      </c>
      <c r="GU100" t="e">
        <f>Nodes!N793+"'E4!&amp;;_"</f>
        <v>#VALUE!</v>
      </c>
      <c r="GV100" t="e">
        <f>Nodes!O793+"'E4!&amp;;`"</f>
        <v>#VALUE!</v>
      </c>
      <c r="GW100" t="e">
        <f>Nodes!P793+"'E4!&amp;;a"</f>
        <v>#VALUE!</v>
      </c>
      <c r="GX100" t="e">
        <f>Nodes!Q793+"'E4!&amp;;b"</f>
        <v>#VALUE!</v>
      </c>
      <c r="GY100" t="e">
        <f>Nodes!R793+"'E4!&amp;;c"</f>
        <v>#VALUE!</v>
      </c>
      <c r="GZ100" t="e">
        <f>Nodes!S793+"'E4!&amp;;d"</f>
        <v>#VALUE!</v>
      </c>
      <c r="HA100" s="547" t="e">
        <f>Nodes!T793+"'E4!&amp;;e"</f>
        <v>#VALUE!</v>
      </c>
      <c r="HB100" t="e">
        <f>Nodes!U793+"'E4!&amp;;f"</f>
        <v>#VALUE!</v>
      </c>
      <c r="HC100" t="e">
        <f>Nodes!V793+"'E4!&amp;;g"</f>
        <v>#VALUE!</v>
      </c>
      <c r="HD100" s="547" t="e">
        <f>Nodes!W793+"'E4!&amp;;h"</f>
        <v>#VALUE!</v>
      </c>
      <c r="HE100" t="e">
        <f>Nodes!X793+"'E4!&amp;;i"</f>
        <v>#VALUE!</v>
      </c>
      <c r="HF100" t="e">
        <f>Nodes!Y793+"'E4!&amp;;j"</f>
        <v>#VALUE!</v>
      </c>
      <c r="HG100" t="e">
        <f>Nodes!Z793+"'E4!&amp;;k"</f>
        <v>#VALUE!</v>
      </c>
      <c r="HH100" t="e">
        <f>Nodes!AA793+"'E4!&amp;;l"</f>
        <v>#VALUE!</v>
      </c>
      <c r="HI100" t="e">
        <f>Nodes!AB793+"'E4!&amp;;m"</f>
        <v>#VALUE!</v>
      </c>
      <c r="HJ100" t="e">
        <f>Nodes!AC793+"'E4!&amp;;n"</f>
        <v>#VALUE!</v>
      </c>
      <c r="HK100" t="e">
        <f>Nodes!A794+"'E4!&amp;;o"</f>
        <v>#VALUE!</v>
      </c>
      <c r="HL100" t="e">
        <f>Nodes!B794+"'E4!&amp;;p"</f>
        <v>#VALUE!</v>
      </c>
      <c r="HM100" t="e">
        <f>Nodes!C794+"'E4!&amp;;q"</f>
        <v>#VALUE!</v>
      </c>
      <c r="HN100" t="e">
        <f>Nodes!D794+"'E4!&amp;;r"</f>
        <v>#VALUE!</v>
      </c>
      <c r="HO100" t="e">
        <f>Nodes!E794+"'E4!&amp;;s"</f>
        <v>#VALUE!</v>
      </c>
      <c r="HP100" t="e">
        <f>Nodes!F794+"'E4!&amp;;t"</f>
        <v>#VALUE!</v>
      </c>
      <c r="HQ100" t="e">
        <f>Nodes!G794+"'E4!&amp;;u"</f>
        <v>#VALUE!</v>
      </c>
      <c r="HR100" t="e">
        <f>Nodes!H794+"'E4!&amp;;v"</f>
        <v>#VALUE!</v>
      </c>
      <c r="HS100" t="e">
        <f>Nodes!I794+"'E4!&amp;;w"</f>
        <v>#VALUE!</v>
      </c>
      <c r="HT100" t="e">
        <f>Nodes!J794+"'E4!&amp;;x"</f>
        <v>#VALUE!</v>
      </c>
      <c r="HU100" t="e">
        <f>Nodes!K794+"'E4!&amp;;y"</f>
        <v>#VALUE!</v>
      </c>
      <c r="HV100" t="e">
        <f>Nodes!L794+"'E4!&amp;;z"</f>
        <v>#VALUE!</v>
      </c>
      <c r="HW100" t="e">
        <f>Nodes!M794+"'E4!&amp;;{"</f>
        <v>#VALUE!</v>
      </c>
      <c r="HX100" t="e">
        <f>Nodes!N794+"'E4!&amp;;|"</f>
        <v>#VALUE!</v>
      </c>
      <c r="HY100" t="e">
        <f>Nodes!O794+"'E4!&amp;;}"</f>
        <v>#VALUE!</v>
      </c>
      <c r="HZ100" t="e">
        <f>Nodes!P794+"'E4!&amp;;~"</f>
        <v>#VALUE!</v>
      </c>
      <c r="IA100" t="e">
        <f>Nodes!Q794+"'E4!&amp;&lt;#"</f>
        <v>#VALUE!</v>
      </c>
      <c r="IB100" t="e">
        <f>Nodes!R794+"'E4!&amp;&lt;$"</f>
        <v>#VALUE!</v>
      </c>
      <c r="IC100" t="e">
        <f>Nodes!S794+"'E4!&amp;&lt;%"</f>
        <v>#VALUE!</v>
      </c>
      <c r="ID100" s="547" t="e">
        <f>Nodes!T794+"'E4!&amp;&lt;&amp;"</f>
        <v>#VALUE!</v>
      </c>
      <c r="IE100" t="e">
        <f>Nodes!U794+"'E4!&amp;&lt;'"</f>
        <v>#VALUE!</v>
      </c>
      <c r="IF100" t="e">
        <f>Nodes!V794+"'E4!&amp;&lt;("</f>
        <v>#VALUE!</v>
      </c>
      <c r="IG100" s="547" t="e">
        <f>Nodes!W794+"'E4!&amp;&lt;)"</f>
        <v>#VALUE!</v>
      </c>
      <c r="IH100" t="e">
        <f>Nodes!X794+"'E4!&amp;&lt;."</f>
        <v>#VALUE!</v>
      </c>
      <c r="II100" t="e">
        <f>Nodes!Y794+"'E4!&amp;&lt;/"</f>
        <v>#VALUE!</v>
      </c>
      <c r="IJ100" t="e">
        <f>Nodes!Z794+"'E4!&amp;&lt;0"</f>
        <v>#VALUE!</v>
      </c>
      <c r="IK100" t="e">
        <f>Nodes!AA794+"'E4!&amp;&lt;1"</f>
        <v>#VALUE!</v>
      </c>
      <c r="IL100" t="e">
        <f>Nodes!AB794+"'E4!&amp;&lt;2"</f>
        <v>#VALUE!</v>
      </c>
      <c r="IM100" t="e">
        <f>Nodes!AC794+"'E4!&amp;&lt;3"</f>
        <v>#VALUE!</v>
      </c>
      <c r="IN100" t="e">
        <f>Nodes!A795+"'E4!&amp;&lt;4"</f>
        <v>#VALUE!</v>
      </c>
      <c r="IO100" t="e">
        <f>Nodes!B795+"'E4!&amp;&lt;5"</f>
        <v>#VALUE!</v>
      </c>
      <c r="IP100" t="e">
        <f>Nodes!C795+"'E4!&amp;&lt;6"</f>
        <v>#VALUE!</v>
      </c>
      <c r="IQ100" t="e">
        <f>Nodes!D795+"'E4!&amp;&lt;7"</f>
        <v>#VALUE!</v>
      </c>
      <c r="IR100" t="e">
        <f>Nodes!E795+"'E4!&amp;&lt;8"</f>
        <v>#VALUE!</v>
      </c>
      <c r="IS100" t="e">
        <f>Nodes!F795+"'E4!&amp;&lt;9"</f>
        <v>#VALUE!</v>
      </c>
      <c r="IT100" t="e">
        <f>Nodes!G795+"'E4!&amp;&lt;:"</f>
        <v>#VALUE!</v>
      </c>
      <c r="IU100" t="e">
        <f>Nodes!H795+"'E4!&amp;&lt;;"</f>
        <v>#VALUE!</v>
      </c>
      <c r="IV100" t="e">
        <f>Nodes!I795+"'E4!&amp;&lt;&lt;"</f>
        <v>#VALUE!</v>
      </c>
    </row>
    <row r="101" spans="6:256">
      <c r="F101" t="e">
        <f>Nodes!J795+"'E4!&amp;&lt;="</f>
        <v>#VALUE!</v>
      </c>
      <c r="G101" t="e">
        <f>Nodes!K795+"'E4!&amp;&lt;&gt;"</f>
        <v>#VALUE!</v>
      </c>
      <c r="H101" t="e">
        <f>Nodes!L795+"'E4!&amp;&lt;?"</f>
        <v>#VALUE!</v>
      </c>
      <c r="I101" t="e">
        <f>Nodes!M795+"'E4!&amp;&lt;@"</f>
        <v>#VALUE!</v>
      </c>
      <c r="J101" t="e">
        <f>Nodes!N795+"'E4!&amp;&lt;A"</f>
        <v>#VALUE!</v>
      </c>
      <c r="K101" t="e">
        <f>Nodes!O795+"'E4!&amp;&lt;B"</f>
        <v>#VALUE!</v>
      </c>
      <c r="L101" t="e">
        <f>Nodes!P795+"'E4!&amp;&lt;C"</f>
        <v>#VALUE!</v>
      </c>
      <c r="M101" t="e">
        <f>Nodes!Q795+"'E4!&amp;&lt;D"</f>
        <v>#VALUE!</v>
      </c>
      <c r="N101" t="e">
        <f>Nodes!R795+"'E4!&amp;&lt;E"</f>
        <v>#VALUE!</v>
      </c>
      <c r="O101" t="e">
        <f>Nodes!S795+"'E4!&amp;&lt;F"</f>
        <v>#VALUE!</v>
      </c>
      <c r="P101" s="547" t="e">
        <f>Nodes!T795+"'E4!&amp;&lt;G"</f>
        <v>#VALUE!</v>
      </c>
      <c r="Q101" t="e">
        <f>Nodes!U795+"'E4!&amp;&lt;H"</f>
        <v>#VALUE!</v>
      </c>
      <c r="R101" t="e">
        <f>Nodes!V795+"'E4!&amp;&lt;I"</f>
        <v>#VALUE!</v>
      </c>
      <c r="S101" s="547" t="e">
        <f>Nodes!W795+"'E4!&amp;&lt;J"</f>
        <v>#VALUE!</v>
      </c>
      <c r="T101" t="e">
        <f>Nodes!X795+"'E4!&amp;&lt;K"</f>
        <v>#VALUE!</v>
      </c>
      <c r="U101" t="e">
        <f>Nodes!Y795+"'E4!&amp;&lt;L"</f>
        <v>#VALUE!</v>
      </c>
      <c r="V101" t="e">
        <f>Nodes!Z795+"'E4!&amp;&lt;M"</f>
        <v>#VALUE!</v>
      </c>
      <c r="W101" t="e">
        <f>Nodes!AA795+"'E4!&amp;&lt;N"</f>
        <v>#VALUE!</v>
      </c>
      <c r="X101" t="e">
        <f>Nodes!AB795+"'E4!&amp;&lt;O"</f>
        <v>#VALUE!</v>
      </c>
      <c r="Y101" t="e">
        <f>Nodes!AC795+"'E4!&amp;&lt;P"</f>
        <v>#VALUE!</v>
      </c>
      <c r="Z101" t="e">
        <f>Nodes!A796+"'E4!&amp;&lt;Q"</f>
        <v>#VALUE!</v>
      </c>
      <c r="AA101" t="e">
        <f>Nodes!B796+"'E4!&amp;&lt;R"</f>
        <v>#VALUE!</v>
      </c>
      <c r="AB101" t="e">
        <f>Nodes!C796+"'E4!&amp;&lt;S"</f>
        <v>#VALUE!</v>
      </c>
      <c r="AC101" t="e">
        <f>Nodes!D796+"'E4!&amp;&lt;T"</f>
        <v>#VALUE!</v>
      </c>
      <c r="AD101" t="e">
        <f>Nodes!E796+"'E4!&amp;&lt;U"</f>
        <v>#VALUE!</v>
      </c>
      <c r="AE101" t="e">
        <f>Nodes!F796+"'E4!&amp;&lt;V"</f>
        <v>#VALUE!</v>
      </c>
      <c r="AF101" t="e">
        <f>Nodes!G796+"'E4!&amp;&lt;W"</f>
        <v>#VALUE!</v>
      </c>
      <c r="AG101" t="e">
        <f>Nodes!H796+"'E4!&amp;&lt;X"</f>
        <v>#VALUE!</v>
      </c>
      <c r="AH101" t="e">
        <f>Nodes!I796+"'E4!&amp;&lt;Y"</f>
        <v>#VALUE!</v>
      </c>
      <c r="AI101" t="e">
        <f>Nodes!J796+"'E4!&amp;&lt;Z"</f>
        <v>#VALUE!</v>
      </c>
      <c r="AJ101" t="e">
        <f>Nodes!K796+"'E4!&amp;&lt;["</f>
        <v>#VALUE!</v>
      </c>
      <c r="AK101" t="e">
        <f>Nodes!L796+"'E4!&amp;&lt;\"</f>
        <v>#VALUE!</v>
      </c>
      <c r="AL101" t="e">
        <f>Nodes!M796+"'E4!&amp;&lt;]"</f>
        <v>#VALUE!</v>
      </c>
      <c r="AM101" t="e">
        <f>Nodes!N796+"'E4!&amp;&lt;^"</f>
        <v>#VALUE!</v>
      </c>
      <c r="AN101" t="e">
        <f>Nodes!O796+"'E4!&amp;&lt;_"</f>
        <v>#VALUE!</v>
      </c>
      <c r="AO101" t="e">
        <f>Nodes!P796+"'E4!&amp;&lt;`"</f>
        <v>#VALUE!</v>
      </c>
      <c r="AP101" t="e">
        <f>Nodes!Q796+"'E4!&amp;&lt;a"</f>
        <v>#VALUE!</v>
      </c>
      <c r="AQ101" t="e">
        <f>Nodes!R796+"'E4!&amp;&lt;b"</f>
        <v>#VALUE!</v>
      </c>
      <c r="AR101" t="e">
        <f>Nodes!S796+"'E4!&amp;&lt;c"</f>
        <v>#VALUE!</v>
      </c>
      <c r="AS101" s="547" t="e">
        <f>Nodes!T796+"'E4!&amp;&lt;d"</f>
        <v>#VALUE!</v>
      </c>
      <c r="AT101" t="e">
        <f>Nodes!U796+"'E4!&amp;&lt;e"</f>
        <v>#VALUE!</v>
      </c>
      <c r="AU101" t="e">
        <f>Nodes!V796+"'E4!&amp;&lt;f"</f>
        <v>#VALUE!</v>
      </c>
      <c r="AV101" s="547" t="e">
        <f>Nodes!W796+"'E4!&amp;&lt;g"</f>
        <v>#VALUE!</v>
      </c>
      <c r="AW101" t="e">
        <f>Nodes!X796+"'E4!&amp;&lt;h"</f>
        <v>#VALUE!</v>
      </c>
      <c r="AX101" t="e">
        <f>Nodes!Y796+"'E4!&amp;&lt;i"</f>
        <v>#VALUE!</v>
      </c>
      <c r="AY101" t="e">
        <f>Nodes!Z796+"'E4!&amp;&lt;j"</f>
        <v>#VALUE!</v>
      </c>
      <c r="AZ101" t="e">
        <f>Nodes!AA796+"'E4!&amp;&lt;k"</f>
        <v>#VALUE!</v>
      </c>
      <c r="BA101" t="e">
        <f>Nodes!AB796+"'E4!&amp;&lt;l"</f>
        <v>#VALUE!</v>
      </c>
      <c r="BB101" t="e">
        <f>Nodes!AC796+"'E4!&amp;&lt;m"</f>
        <v>#VALUE!</v>
      </c>
      <c r="BC101" t="e">
        <f>Nodes!A797+"'E4!&amp;&lt;n"</f>
        <v>#VALUE!</v>
      </c>
      <c r="BD101" t="e">
        <f>Nodes!B797+"'E4!&amp;&lt;o"</f>
        <v>#VALUE!</v>
      </c>
      <c r="BE101" t="e">
        <f>Nodes!C797+"'E4!&amp;&lt;p"</f>
        <v>#VALUE!</v>
      </c>
      <c r="BF101" t="e">
        <f>Nodes!D797+"'E4!&amp;&lt;q"</f>
        <v>#VALUE!</v>
      </c>
      <c r="BG101" t="e">
        <f>Nodes!E797+"'E4!&amp;&lt;r"</f>
        <v>#VALUE!</v>
      </c>
      <c r="BH101" t="e">
        <f>Nodes!F797+"'E4!&amp;&lt;s"</f>
        <v>#VALUE!</v>
      </c>
      <c r="BI101" t="e">
        <f>Nodes!G797+"'E4!&amp;&lt;t"</f>
        <v>#VALUE!</v>
      </c>
      <c r="BJ101" t="e">
        <f>Nodes!H797+"'E4!&amp;&lt;u"</f>
        <v>#VALUE!</v>
      </c>
      <c r="BK101" t="e">
        <f>Nodes!I797+"'E4!&amp;&lt;v"</f>
        <v>#VALUE!</v>
      </c>
      <c r="BL101" t="e">
        <f>Nodes!J797+"'E4!&amp;&lt;w"</f>
        <v>#VALUE!</v>
      </c>
      <c r="BM101" t="e">
        <f>Nodes!K797+"'E4!&amp;&lt;x"</f>
        <v>#VALUE!</v>
      </c>
      <c r="BN101" t="e">
        <f>Nodes!L797+"'E4!&amp;&lt;y"</f>
        <v>#VALUE!</v>
      </c>
      <c r="BO101" t="e">
        <f>Nodes!M797+"'E4!&amp;&lt;z"</f>
        <v>#VALUE!</v>
      </c>
      <c r="BP101" t="e">
        <f>Nodes!N797+"'E4!&amp;&lt;{"</f>
        <v>#VALUE!</v>
      </c>
      <c r="BQ101" t="e">
        <f>Nodes!O797+"'E4!&amp;&lt;|"</f>
        <v>#VALUE!</v>
      </c>
      <c r="BR101" t="e">
        <f>Nodes!P797+"'E4!&amp;&lt;}"</f>
        <v>#VALUE!</v>
      </c>
      <c r="BS101" t="e">
        <f>Nodes!Q797+"'E4!&amp;&lt;~"</f>
        <v>#VALUE!</v>
      </c>
      <c r="BT101" t="e">
        <f>Nodes!R797+"'E4!&amp;=#"</f>
        <v>#VALUE!</v>
      </c>
      <c r="BU101" t="e">
        <f>Nodes!S797+"'E4!&amp;=$"</f>
        <v>#VALUE!</v>
      </c>
      <c r="BV101" s="547" t="e">
        <f>Nodes!T797+"'E4!&amp;=%"</f>
        <v>#VALUE!</v>
      </c>
      <c r="BW101" t="e">
        <f>Nodes!U797+"'E4!&amp;=&amp;"</f>
        <v>#VALUE!</v>
      </c>
      <c r="BX101" t="e">
        <f>Nodes!V797+"'E4!&amp;='"</f>
        <v>#VALUE!</v>
      </c>
      <c r="BY101" s="547" t="e">
        <f>Nodes!W797+"'E4!&amp;=("</f>
        <v>#VALUE!</v>
      </c>
      <c r="BZ101" t="e">
        <f>Nodes!X797+"'E4!&amp;=)"</f>
        <v>#VALUE!</v>
      </c>
      <c r="CA101" t="e">
        <f>Nodes!Y797+"'E4!&amp;=."</f>
        <v>#VALUE!</v>
      </c>
      <c r="CB101" t="e">
        <f>Nodes!Z797+"'E4!&amp;=/"</f>
        <v>#VALUE!</v>
      </c>
      <c r="CC101" t="e">
        <f>Nodes!AA797+"'E4!&amp;=0"</f>
        <v>#VALUE!</v>
      </c>
      <c r="CD101" t="e">
        <f>Nodes!AB797+"'E4!&amp;=1"</f>
        <v>#VALUE!</v>
      </c>
      <c r="CE101" t="e">
        <f>Nodes!AC797+"'E4!&amp;=2"</f>
        <v>#VALUE!</v>
      </c>
      <c r="CF101" t="e">
        <f>Nodes!A798+"'E4!&amp;=3"</f>
        <v>#VALUE!</v>
      </c>
      <c r="CG101" t="e">
        <f>Nodes!B798+"'E4!&amp;=4"</f>
        <v>#VALUE!</v>
      </c>
      <c r="CH101" t="e">
        <f>Nodes!C798+"'E4!&amp;=5"</f>
        <v>#VALUE!</v>
      </c>
      <c r="CI101" t="e">
        <f>Nodes!D798+"'E4!&amp;=6"</f>
        <v>#VALUE!</v>
      </c>
      <c r="CJ101" t="e">
        <f>Nodes!E798+"'E4!&amp;=7"</f>
        <v>#VALUE!</v>
      </c>
      <c r="CK101" t="e">
        <f>Nodes!F798+"'E4!&amp;=8"</f>
        <v>#VALUE!</v>
      </c>
      <c r="CL101" t="e">
        <f>Nodes!G798+"'E4!&amp;=9"</f>
        <v>#VALUE!</v>
      </c>
      <c r="CM101" t="e">
        <f>Nodes!H798+"'E4!&amp;=:"</f>
        <v>#VALUE!</v>
      </c>
      <c r="CN101" t="e">
        <f>Nodes!I798+"'E4!&amp;=;"</f>
        <v>#VALUE!</v>
      </c>
      <c r="CO101" t="e">
        <f>Nodes!J798+"'E4!&amp;=&lt;"</f>
        <v>#VALUE!</v>
      </c>
      <c r="CP101" t="e">
        <f>Nodes!K798+"'E4!&amp;=="</f>
        <v>#VALUE!</v>
      </c>
      <c r="CQ101" t="e">
        <f>Nodes!L798+"'E4!&amp;=&gt;"</f>
        <v>#VALUE!</v>
      </c>
      <c r="CR101" t="e">
        <f>Nodes!M798+"'E4!&amp;=?"</f>
        <v>#VALUE!</v>
      </c>
      <c r="CS101" t="e">
        <f>Nodes!N798+"'E4!&amp;=@"</f>
        <v>#VALUE!</v>
      </c>
      <c r="CT101" t="e">
        <f>Nodes!O798+"'E4!&amp;=A"</f>
        <v>#VALUE!</v>
      </c>
      <c r="CU101" t="e">
        <f>Nodes!P798+"'E4!&amp;=B"</f>
        <v>#VALUE!</v>
      </c>
      <c r="CV101" t="e">
        <f>Nodes!Q798+"'E4!&amp;=C"</f>
        <v>#VALUE!</v>
      </c>
      <c r="CW101" t="e">
        <f>Nodes!R798+"'E4!&amp;=D"</f>
        <v>#VALUE!</v>
      </c>
      <c r="CX101" t="e">
        <f>Nodes!S798+"'E4!&amp;=E"</f>
        <v>#VALUE!</v>
      </c>
      <c r="CY101" s="547" t="e">
        <f>Nodes!T798+"'E4!&amp;=F"</f>
        <v>#VALUE!</v>
      </c>
      <c r="CZ101" t="e">
        <f>Nodes!U798+"'E4!&amp;=G"</f>
        <v>#VALUE!</v>
      </c>
      <c r="DA101" t="e">
        <f>Nodes!V798+"'E4!&amp;=H"</f>
        <v>#VALUE!</v>
      </c>
      <c r="DB101" s="547" t="e">
        <f>Nodes!W798+"'E4!&amp;=I"</f>
        <v>#VALUE!</v>
      </c>
      <c r="DC101" t="e">
        <f>Nodes!X798+"'E4!&amp;=J"</f>
        <v>#VALUE!</v>
      </c>
      <c r="DD101" t="e">
        <f>Nodes!Y798+"'E4!&amp;=K"</f>
        <v>#VALUE!</v>
      </c>
      <c r="DE101" t="e">
        <f>Nodes!Z798+"'E4!&amp;=L"</f>
        <v>#VALUE!</v>
      </c>
      <c r="DF101" t="e">
        <f>Nodes!AA798+"'E4!&amp;=M"</f>
        <v>#VALUE!</v>
      </c>
      <c r="DG101" t="e">
        <f>Nodes!AB798+"'E4!&amp;=N"</f>
        <v>#VALUE!</v>
      </c>
      <c r="DH101" t="e">
        <f>Nodes!AC798+"'E4!&amp;=O"</f>
        <v>#VALUE!</v>
      </c>
      <c r="DI101" t="e">
        <f>Nodes!A799+"'E4!&amp;=P"</f>
        <v>#VALUE!</v>
      </c>
      <c r="DJ101" t="e">
        <f>Nodes!B799+"'E4!&amp;=Q"</f>
        <v>#VALUE!</v>
      </c>
      <c r="DK101" t="e">
        <f>Nodes!C799+"'E4!&amp;=R"</f>
        <v>#VALUE!</v>
      </c>
      <c r="DL101" t="e">
        <f>Nodes!D799+"'E4!&amp;=S"</f>
        <v>#VALUE!</v>
      </c>
      <c r="DM101" t="e">
        <f>Nodes!E799+"'E4!&amp;=T"</f>
        <v>#VALUE!</v>
      </c>
      <c r="DN101" t="e">
        <f>Nodes!F799+"'E4!&amp;=U"</f>
        <v>#VALUE!</v>
      </c>
      <c r="DO101" t="e">
        <f>Nodes!G799+"'E4!&amp;=V"</f>
        <v>#VALUE!</v>
      </c>
      <c r="DP101" t="e">
        <f>Nodes!H799+"'E4!&amp;=W"</f>
        <v>#VALUE!</v>
      </c>
      <c r="DQ101" t="e">
        <f>Nodes!I799+"'E4!&amp;=X"</f>
        <v>#VALUE!</v>
      </c>
      <c r="DR101" t="e">
        <f>Nodes!J799+"'E4!&amp;=Y"</f>
        <v>#VALUE!</v>
      </c>
      <c r="DS101" t="e">
        <f>Nodes!K799+"'E4!&amp;=Z"</f>
        <v>#VALUE!</v>
      </c>
      <c r="DT101" t="e">
        <f>Nodes!L799+"'E4!&amp;=["</f>
        <v>#VALUE!</v>
      </c>
      <c r="DU101" t="e">
        <f>Nodes!M799+"'E4!&amp;=\"</f>
        <v>#VALUE!</v>
      </c>
      <c r="DV101" t="e">
        <f>Nodes!N799+"'E4!&amp;=]"</f>
        <v>#VALUE!</v>
      </c>
      <c r="DW101" t="e">
        <f>Nodes!O799+"'E4!&amp;=^"</f>
        <v>#VALUE!</v>
      </c>
      <c r="DX101" t="e">
        <f>Nodes!P799+"'E4!&amp;=_"</f>
        <v>#VALUE!</v>
      </c>
      <c r="DY101" t="e">
        <f>Nodes!Q799+"'E4!&amp;=`"</f>
        <v>#VALUE!</v>
      </c>
      <c r="DZ101" t="e">
        <f>Nodes!R799+"'E4!&amp;=a"</f>
        <v>#VALUE!</v>
      </c>
      <c r="EA101" t="e">
        <f>Nodes!S799+"'E4!&amp;=b"</f>
        <v>#VALUE!</v>
      </c>
      <c r="EB101" s="547" t="e">
        <f>Nodes!T799+"'E4!&amp;=c"</f>
        <v>#VALUE!</v>
      </c>
      <c r="EC101" t="e">
        <f>Nodes!U799+"'E4!&amp;=d"</f>
        <v>#VALUE!</v>
      </c>
      <c r="ED101" t="e">
        <f>Nodes!V799+"'E4!&amp;=e"</f>
        <v>#VALUE!</v>
      </c>
      <c r="EE101" s="547" t="e">
        <f>Nodes!W799+"'E4!&amp;=f"</f>
        <v>#VALUE!</v>
      </c>
      <c r="EF101" t="e">
        <f>Nodes!X799+"'E4!&amp;=g"</f>
        <v>#VALUE!</v>
      </c>
      <c r="EG101" t="e">
        <f>Nodes!Y799+"'E4!&amp;=h"</f>
        <v>#VALUE!</v>
      </c>
      <c r="EH101" t="e">
        <f>Nodes!Z799+"'E4!&amp;=i"</f>
        <v>#VALUE!</v>
      </c>
      <c r="EI101" t="e">
        <f>Nodes!AA799+"'E4!&amp;=j"</f>
        <v>#VALUE!</v>
      </c>
      <c r="EJ101" t="e">
        <f>Nodes!AB799+"'E4!&amp;=k"</f>
        <v>#VALUE!</v>
      </c>
      <c r="EK101" t="e">
        <f>Nodes!AC799+"'E4!&amp;=l"</f>
        <v>#VALUE!</v>
      </c>
      <c r="EL101" t="e">
        <f>Nodes!A800+"'E4!&amp;=m"</f>
        <v>#VALUE!</v>
      </c>
      <c r="EM101" t="e">
        <f>Nodes!B800+"'E4!&amp;=n"</f>
        <v>#VALUE!</v>
      </c>
      <c r="EN101" t="e">
        <f>Nodes!C800+"'E4!&amp;=o"</f>
        <v>#VALUE!</v>
      </c>
      <c r="EO101" t="e">
        <f>Nodes!D800+"'E4!&amp;=p"</f>
        <v>#VALUE!</v>
      </c>
      <c r="EP101" t="e">
        <f>Nodes!E800+"'E4!&amp;=q"</f>
        <v>#VALUE!</v>
      </c>
      <c r="EQ101" t="e">
        <f>Nodes!F800+"'E4!&amp;=r"</f>
        <v>#VALUE!</v>
      </c>
      <c r="ER101" t="e">
        <f>Nodes!G800+"'E4!&amp;=s"</f>
        <v>#VALUE!</v>
      </c>
      <c r="ES101" t="e">
        <f>Nodes!H800+"'E4!&amp;=t"</f>
        <v>#VALUE!</v>
      </c>
      <c r="ET101" t="e">
        <f>Nodes!I800+"'E4!&amp;=u"</f>
        <v>#VALUE!</v>
      </c>
      <c r="EU101" t="e">
        <f>Nodes!J800+"'E4!&amp;=v"</f>
        <v>#VALUE!</v>
      </c>
      <c r="EV101" t="e">
        <f>Nodes!K800+"'E4!&amp;=w"</f>
        <v>#VALUE!</v>
      </c>
      <c r="EW101" t="e">
        <f>Nodes!L800+"'E4!&amp;=x"</f>
        <v>#VALUE!</v>
      </c>
      <c r="EX101" t="e">
        <f>Nodes!M800+"'E4!&amp;=y"</f>
        <v>#VALUE!</v>
      </c>
      <c r="EY101" t="e">
        <f>Nodes!N800+"'E4!&amp;=z"</f>
        <v>#VALUE!</v>
      </c>
      <c r="EZ101" t="e">
        <f>Nodes!O800+"'E4!&amp;={"</f>
        <v>#VALUE!</v>
      </c>
      <c r="FA101" t="e">
        <f>Nodes!P800+"'E4!&amp;=|"</f>
        <v>#N/A</v>
      </c>
      <c r="FB101" t="e">
        <f>Nodes!Q800+"'E4!&amp;=}"</f>
        <v>#VALUE!</v>
      </c>
      <c r="FC101" t="e">
        <f>Nodes!R800+"'E4!&amp;=~"</f>
        <v>#VALUE!</v>
      </c>
      <c r="FD101" t="e">
        <f>Nodes!S800+"'E4!&amp;&gt;#"</f>
        <v>#VALUE!</v>
      </c>
      <c r="FE101" s="547" t="e">
        <f>Nodes!T800+"'E4!&amp;&gt;$"</f>
        <v>#VALUE!</v>
      </c>
      <c r="FF101" t="e">
        <f>Nodes!U800+"'E4!&amp;&gt;%"</f>
        <v>#VALUE!</v>
      </c>
      <c r="FG101" t="e">
        <f>Nodes!V800+"'E4!&amp;&gt;&amp;"</f>
        <v>#VALUE!</v>
      </c>
      <c r="FH101" s="547" t="e">
        <f>Nodes!W800+"'E4!&amp;&gt;'"</f>
        <v>#VALUE!</v>
      </c>
      <c r="FI101" t="e">
        <f>Nodes!X800+"'E4!&amp;&gt;("</f>
        <v>#VALUE!</v>
      </c>
      <c r="FJ101" t="e">
        <f>Nodes!Y800+"'E4!&amp;&gt;)"</f>
        <v>#VALUE!</v>
      </c>
      <c r="FK101" t="e">
        <f>Nodes!Z800+"'E4!&amp;&gt;."</f>
        <v>#VALUE!</v>
      </c>
      <c r="FL101" t="e">
        <f>Nodes!AA800+"'E4!&amp;&gt;/"</f>
        <v>#VALUE!</v>
      </c>
      <c r="FM101" t="e">
        <f>Nodes!AB800+"'E4!&amp;&gt;0"</f>
        <v>#VALUE!</v>
      </c>
      <c r="FN101" t="e">
        <f>Nodes!AC800+"'E4!&amp;&gt;1"</f>
        <v>#VALUE!</v>
      </c>
      <c r="FO101" t="e">
        <f>Nodes!AF800+"'E4!&amp;&gt;2"</f>
        <v>#VALUE!</v>
      </c>
      <c r="FP101" t="e">
        <f>Nodes!A801+"'E4!&amp;&gt;3"</f>
        <v>#VALUE!</v>
      </c>
      <c r="FQ101" t="e">
        <f>Nodes!B801+"'E4!&amp;&gt;4"</f>
        <v>#VALUE!</v>
      </c>
      <c r="FR101" t="e">
        <f>Nodes!C801+"'E4!&amp;&gt;5"</f>
        <v>#VALUE!</v>
      </c>
      <c r="FS101" t="e">
        <f>Nodes!D801+"'E4!&amp;&gt;6"</f>
        <v>#VALUE!</v>
      </c>
      <c r="FT101" t="e">
        <f>Nodes!E801+"'E4!&amp;&gt;7"</f>
        <v>#VALUE!</v>
      </c>
      <c r="FU101" t="e">
        <f>Nodes!F801+"'E4!&amp;&gt;8"</f>
        <v>#VALUE!</v>
      </c>
      <c r="FV101" t="e">
        <f>Nodes!G801+"'E4!&amp;&gt;9"</f>
        <v>#VALUE!</v>
      </c>
      <c r="FW101" t="e">
        <f>Nodes!H801+"'E4!&amp;&gt;:"</f>
        <v>#VALUE!</v>
      </c>
      <c r="FX101" t="e">
        <f>Nodes!I801+"'E4!&amp;&gt;;"</f>
        <v>#VALUE!</v>
      </c>
      <c r="FY101" t="e">
        <f>Nodes!J801+"'E4!&amp;&gt;&lt;"</f>
        <v>#VALUE!</v>
      </c>
      <c r="FZ101" t="e">
        <f>Nodes!K801+"'E4!&amp;&gt;="</f>
        <v>#VALUE!</v>
      </c>
      <c r="GA101" t="e">
        <f>Nodes!L801+"'E4!&amp;&gt;&gt;"</f>
        <v>#VALUE!</v>
      </c>
      <c r="GB101" t="e">
        <f>Nodes!M801+"'E4!&amp;&gt;?"</f>
        <v>#VALUE!</v>
      </c>
      <c r="GC101" t="e">
        <f>Nodes!N801+"'E4!&amp;&gt;@"</f>
        <v>#VALUE!</v>
      </c>
      <c r="GD101" t="e">
        <f>Nodes!O801+"'E4!&amp;&gt;A"</f>
        <v>#VALUE!</v>
      </c>
      <c r="GE101" t="e">
        <f>Nodes!P801+"'E4!&amp;&gt;B"</f>
        <v>#VALUE!</v>
      </c>
      <c r="GF101" t="e">
        <f>Nodes!Q801+"'E4!&amp;&gt;C"</f>
        <v>#VALUE!</v>
      </c>
      <c r="GG101" t="e">
        <f>Nodes!R801+"'E4!&amp;&gt;D"</f>
        <v>#VALUE!</v>
      </c>
      <c r="GH101" t="e">
        <f>Nodes!S801+"'E4!&amp;&gt;E"</f>
        <v>#VALUE!</v>
      </c>
      <c r="GI101" s="547" t="e">
        <f>Nodes!T801+"'E4!&amp;&gt;F"</f>
        <v>#VALUE!</v>
      </c>
      <c r="GJ101" t="e">
        <f>Nodes!U801+"'E4!&amp;&gt;G"</f>
        <v>#VALUE!</v>
      </c>
      <c r="GK101" t="e">
        <f>Nodes!V801+"'E4!&amp;&gt;H"</f>
        <v>#VALUE!</v>
      </c>
      <c r="GL101" s="547" t="e">
        <f>Nodes!W801+"'E4!&amp;&gt;I"</f>
        <v>#VALUE!</v>
      </c>
      <c r="GM101" t="e">
        <f>Nodes!X801+"'E4!&amp;&gt;J"</f>
        <v>#VALUE!</v>
      </c>
      <c r="GN101" t="e">
        <f>Nodes!Y801+"'E4!&amp;&gt;K"</f>
        <v>#VALUE!</v>
      </c>
      <c r="GO101" t="e">
        <f>Nodes!Z801+"'E4!&amp;&gt;L"</f>
        <v>#VALUE!</v>
      </c>
      <c r="GP101" t="e">
        <f>Nodes!AA801+"'E4!&amp;&gt;M"</f>
        <v>#VALUE!</v>
      </c>
      <c r="GQ101" t="e">
        <f>Nodes!AB801+"'E4!&amp;&gt;N"</f>
        <v>#VALUE!</v>
      </c>
      <c r="GR101" t="e">
        <f>Nodes!AC801+"'E4!&amp;&gt;O"</f>
        <v>#VALUE!</v>
      </c>
      <c r="GS101" t="e">
        <f>Nodes!A802+"'E4!&amp;&gt;P"</f>
        <v>#VALUE!</v>
      </c>
      <c r="GT101" t="e">
        <f>Nodes!B802+"'E4!&amp;&gt;Q"</f>
        <v>#VALUE!</v>
      </c>
      <c r="GU101" t="e">
        <f>Nodes!C802+"'E4!&amp;&gt;R"</f>
        <v>#VALUE!</v>
      </c>
      <c r="GV101" t="e">
        <f>Nodes!D802+"'E4!&amp;&gt;S"</f>
        <v>#VALUE!</v>
      </c>
      <c r="GW101" t="e">
        <f>Nodes!E802+"'E4!&amp;&gt;T"</f>
        <v>#VALUE!</v>
      </c>
      <c r="GX101" t="e">
        <f>Nodes!F802+"'E4!&amp;&gt;U"</f>
        <v>#VALUE!</v>
      </c>
      <c r="GY101" t="e">
        <f>Nodes!G802+"'E4!&amp;&gt;V"</f>
        <v>#VALUE!</v>
      </c>
      <c r="GZ101" t="e">
        <f>Nodes!H802+"'E4!&amp;&gt;W"</f>
        <v>#VALUE!</v>
      </c>
      <c r="HA101" t="e">
        <f>Nodes!I802+"'E4!&amp;&gt;X"</f>
        <v>#VALUE!</v>
      </c>
      <c r="HB101" t="e">
        <f>Nodes!J802+"'E4!&amp;&gt;Y"</f>
        <v>#VALUE!</v>
      </c>
      <c r="HC101" t="e">
        <f>Nodes!K802+"'E4!&amp;&gt;Z"</f>
        <v>#VALUE!</v>
      </c>
      <c r="HD101" t="e">
        <f>Nodes!L802+"'E4!&amp;&gt;["</f>
        <v>#VALUE!</v>
      </c>
      <c r="HE101" t="e">
        <f>Nodes!M802+"'E4!&amp;&gt;\"</f>
        <v>#VALUE!</v>
      </c>
      <c r="HF101" t="e">
        <f>Nodes!N802+"'E4!&amp;&gt;]"</f>
        <v>#VALUE!</v>
      </c>
      <c r="HG101" t="e">
        <f>Nodes!O802+"'E4!&amp;&gt;^"</f>
        <v>#VALUE!</v>
      </c>
      <c r="HH101" t="e">
        <f>Nodes!P802+"'E4!&amp;&gt;_"</f>
        <v>#VALUE!</v>
      </c>
      <c r="HI101" t="e">
        <f>Nodes!Q802+"'E4!&amp;&gt;`"</f>
        <v>#VALUE!</v>
      </c>
      <c r="HJ101" t="e">
        <f>Nodes!R802+"'E4!&amp;&gt;a"</f>
        <v>#VALUE!</v>
      </c>
      <c r="HK101" t="e">
        <f>Nodes!S802+"'E4!&amp;&gt;b"</f>
        <v>#VALUE!</v>
      </c>
      <c r="HL101" s="547" t="e">
        <f>Nodes!T802+"'E4!&amp;&gt;c"</f>
        <v>#VALUE!</v>
      </c>
      <c r="HM101" t="e">
        <f>Nodes!U802+"'E4!&amp;&gt;d"</f>
        <v>#VALUE!</v>
      </c>
      <c r="HN101" t="e">
        <f>Nodes!V802+"'E4!&amp;&gt;e"</f>
        <v>#VALUE!</v>
      </c>
      <c r="HO101" s="547" t="e">
        <f>Nodes!W802+"'E4!&amp;&gt;f"</f>
        <v>#VALUE!</v>
      </c>
      <c r="HP101" t="e">
        <f>Nodes!X802+"'E4!&amp;&gt;g"</f>
        <v>#VALUE!</v>
      </c>
      <c r="HQ101" t="e">
        <f>Nodes!Y802+"'E4!&amp;&gt;h"</f>
        <v>#VALUE!</v>
      </c>
      <c r="HR101" t="e">
        <f>Nodes!Z802+"'E4!&amp;&gt;i"</f>
        <v>#VALUE!</v>
      </c>
      <c r="HS101" t="e">
        <f>Nodes!AA802+"'E4!&amp;&gt;j"</f>
        <v>#VALUE!</v>
      </c>
      <c r="HT101" t="e">
        <f>Nodes!AB802+"'E4!&amp;&gt;k"</f>
        <v>#VALUE!</v>
      </c>
      <c r="HU101" t="e">
        <f>Nodes!AC802+"'E4!&amp;&gt;l"</f>
        <v>#VALUE!</v>
      </c>
      <c r="HV101" t="e">
        <f>Nodes!A803+"'E4!&amp;&gt;m"</f>
        <v>#VALUE!</v>
      </c>
      <c r="HW101" t="e">
        <f>Nodes!B803+"'E4!&amp;&gt;n"</f>
        <v>#VALUE!</v>
      </c>
      <c r="HX101" t="e">
        <f>Nodes!C803+"'E4!&amp;&gt;o"</f>
        <v>#VALUE!</v>
      </c>
      <c r="HY101" t="e">
        <f>Nodes!D803+"'E4!&amp;&gt;p"</f>
        <v>#VALUE!</v>
      </c>
      <c r="HZ101" t="e">
        <f>Nodes!E803+"'E4!&amp;&gt;q"</f>
        <v>#VALUE!</v>
      </c>
      <c r="IA101" t="e">
        <f>Nodes!F803+"'E4!&amp;&gt;r"</f>
        <v>#VALUE!</v>
      </c>
      <c r="IB101" t="e">
        <f>Nodes!G803+"'E4!&amp;&gt;s"</f>
        <v>#VALUE!</v>
      </c>
      <c r="IC101" t="e">
        <f>Nodes!H803+"'E4!&amp;&gt;t"</f>
        <v>#VALUE!</v>
      </c>
      <c r="ID101" t="e">
        <f>Nodes!I803+"'E4!&amp;&gt;u"</f>
        <v>#VALUE!</v>
      </c>
      <c r="IE101" t="e">
        <f>Nodes!J803+"'E4!&amp;&gt;v"</f>
        <v>#VALUE!</v>
      </c>
      <c r="IF101" t="e">
        <f>Nodes!K803+"'E4!&amp;&gt;w"</f>
        <v>#VALUE!</v>
      </c>
      <c r="IG101" t="e">
        <f>Nodes!L803+"'E4!&amp;&gt;x"</f>
        <v>#VALUE!</v>
      </c>
      <c r="IH101" t="e">
        <f>Nodes!M803+"'E4!&amp;&gt;y"</f>
        <v>#VALUE!</v>
      </c>
      <c r="II101" t="e">
        <f>Nodes!N803+"'E4!&amp;&gt;z"</f>
        <v>#VALUE!</v>
      </c>
      <c r="IJ101" t="e">
        <f>Nodes!O803+"'E4!&amp;&gt;{"</f>
        <v>#VALUE!</v>
      </c>
      <c r="IK101" t="e">
        <f>Nodes!P803+"'E4!&amp;&gt;|"</f>
        <v>#VALUE!</v>
      </c>
      <c r="IL101" t="e">
        <f>Nodes!Q803+"'E4!&amp;&gt;}"</f>
        <v>#VALUE!</v>
      </c>
      <c r="IM101" t="e">
        <f>Nodes!R803+"'E4!&amp;&gt;~"</f>
        <v>#VALUE!</v>
      </c>
      <c r="IN101" t="e">
        <f>Nodes!S803+"'E4!&amp;?#"</f>
        <v>#VALUE!</v>
      </c>
      <c r="IO101" s="547" t="e">
        <f>Nodes!T803+"'E4!&amp;?$"</f>
        <v>#VALUE!</v>
      </c>
      <c r="IP101" t="e">
        <f>Nodes!U803+"'E4!&amp;?%"</f>
        <v>#VALUE!</v>
      </c>
      <c r="IQ101" t="e">
        <f>Nodes!V803+"'E4!&amp;?&amp;"</f>
        <v>#VALUE!</v>
      </c>
      <c r="IR101" s="547" t="e">
        <f>Nodes!W803+"'E4!&amp;?'"</f>
        <v>#VALUE!</v>
      </c>
      <c r="IS101" t="e">
        <f>Nodes!X803+"'E4!&amp;?("</f>
        <v>#VALUE!</v>
      </c>
      <c r="IT101" t="e">
        <f>Nodes!Y803+"'E4!&amp;?)"</f>
        <v>#VALUE!</v>
      </c>
      <c r="IU101" t="e">
        <f>Nodes!Z803+"'E4!&amp;?."</f>
        <v>#VALUE!</v>
      </c>
      <c r="IV101" t="e">
        <f>Nodes!AA803+"'E4!&amp;?/"</f>
        <v>#VALUE!</v>
      </c>
    </row>
    <row r="102" spans="6:256">
      <c r="F102" t="e">
        <f>Nodes!AB803+"'E4!&amp;?0"</f>
        <v>#VALUE!</v>
      </c>
      <c r="G102" t="e">
        <f>Nodes!AC803+"'E4!&amp;?1"</f>
        <v>#VALUE!</v>
      </c>
      <c r="H102" t="e">
        <f>Nodes!A804+"'E4!&amp;?2"</f>
        <v>#VALUE!</v>
      </c>
      <c r="I102" t="e">
        <f>Nodes!B804+"'E4!&amp;?3"</f>
        <v>#VALUE!</v>
      </c>
      <c r="J102" t="e">
        <f>Nodes!C804+"'E4!&amp;?4"</f>
        <v>#VALUE!</v>
      </c>
      <c r="K102" t="e">
        <f>Nodes!D804+"'E4!&amp;?5"</f>
        <v>#VALUE!</v>
      </c>
      <c r="L102" t="e">
        <f>Nodes!E804+"'E4!&amp;?6"</f>
        <v>#VALUE!</v>
      </c>
      <c r="M102" t="e">
        <f>Nodes!F804+"'E4!&amp;?7"</f>
        <v>#VALUE!</v>
      </c>
      <c r="N102" t="e">
        <f>Nodes!G804+"'E4!&amp;?8"</f>
        <v>#VALUE!</v>
      </c>
      <c r="O102" t="e">
        <f>Nodes!H804+"'E4!&amp;?9"</f>
        <v>#VALUE!</v>
      </c>
      <c r="P102" t="e">
        <f>Nodes!I804+"'E4!&amp;?:"</f>
        <v>#VALUE!</v>
      </c>
      <c r="Q102" t="e">
        <f>Nodes!J804+"'E4!&amp;?;"</f>
        <v>#VALUE!</v>
      </c>
      <c r="R102" t="e">
        <f>Nodes!K804+"'E4!&amp;?&lt;"</f>
        <v>#VALUE!</v>
      </c>
      <c r="S102" t="e">
        <f>Nodes!L804+"'E4!&amp;?="</f>
        <v>#VALUE!</v>
      </c>
      <c r="T102" t="e">
        <f>Nodes!M804+"'E4!&amp;?&gt;"</f>
        <v>#VALUE!</v>
      </c>
      <c r="U102" t="e">
        <f>Nodes!N804+"'E4!&amp;??"</f>
        <v>#VALUE!</v>
      </c>
      <c r="V102" t="e">
        <f>Nodes!O804+"'E4!&amp;?@"</f>
        <v>#VALUE!</v>
      </c>
      <c r="W102" t="e">
        <f>Nodes!P804+"'E4!&amp;?A"</f>
        <v>#VALUE!</v>
      </c>
      <c r="X102" t="e">
        <f>Nodes!Q804+"'E4!&amp;?B"</f>
        <v>#VALUE!</v>
      </c>
      <c r="Y102" t="e">
        <f>Nodes!R804+"'E4!&amp;?C"</f>
        <v>#VALUE!</v>
      </c>
      <c r="Z102" t="e">
        <f>Nodes!S804+"'E4!&amp;?D"</f>
        <v>#VALUE!</v>
      </c>
      <c r="AA102" s="547" t="e">
        <f>Nodes!T804+"'E4!&amp;?E"</f>
        <v>#VALUE!</v>
      </c>
      <c r="AB102" t="e">
        <f>Nodes!U804+"'E4!&amp;?F"</f>
        <v>#VALUE!</v>
      </c>
      <c r="AC102" t="e">
        <f>Nodes!V804+"'E4!&amp;?G"</f>
        <v>#VALUE!</v>
      </c>
      <c r="AD102" s="547" t="e">
        <f>Nodes!W804+"'E4!&amp;?H"</f>
        <v>#VALUE!</v>
      </c>
      <c r="AE102" t="e">
        <f>Nodes!X804+"'E4!&amp;?I"</f>
        <v>#VALUE!</v>
      </c>
      <c r="AF102" t="e">
        <f>Nodes!Y804+"'E4!&amp;?J"</f>
        <v>#VALUE!</v>
      </c>
      <c r="AG102" t="e">
        <f>Nodes!Z804+"'E4!&amp;?K"</f>
        <v>#VALUE!</v>
      </c>
      <c r="AH102" t="e">
        <f>Nodes!AA804+"'E4!&amp;?L"</f>
        <v>#VALUE!</v>
      </c>
      <c r="AI102" t="e">
        <f>Nodes!AB804+"'E4!&amp;?M"</f>
        <v>#VALUE!</v>
      </c>
      <c r="AJ102" t="e">
        <f>Nodes!AC804+"'E4!&amp;?N"</f>
        <v>#VALUE!</v>
      </c>
      <c r="AK102" t="e">
        <f>Nodes!A805+"'E4!&amp;?O"</f>
        <v>#VALUE!</v>
      </c>
      <c r="AL102" t="e">
        <f>Nodes!B805+"'E4!&amp;?P"</f>
        <v>#VALUE!</v>
      </c>
      <c r="AM102" t="e">
        <f>Nodes!C805+"'E4!&amp;?Q"</f>
        <v>#VALUE!</v>
      </c>
      <c r="AN102" t="e">
        <f>Nodes!D805+"'E4!&amp;?R"</f>
        <v>#VALUE!</v>
      </c>
      <c r="AO102" t="e">
        <f>Nodes!E805+"'E4!&amp;?S"</f>
        <v>#VALUE!</v>
      </c>
      <c r="AP102" t="e">
        <f>Nodes!F805+"'E4!&amp;?T"</f>
        <v>#VALUE!</v>
      </c>
      <c r="AQ102" t="e">
        <f>Nodes!G805+"'E4!&amp;?U"</f>
        <v>#VALUE!</v>
      </c>
      <c r="AR102" t="e">
        <f>Nodes!H805+"'E4!&amp;?V"</f>
        <v>#VALUE!</v>
      </c>
      <c r="AS102" t="e">
        <f>Nodes!I805+"'E4!&amp;?W"</f>
        <v>#VALUE!</v>
      </c>
      <c r="AT102" t="e">
        <f>Nodes!J805+"'E4!&amp;?X"</f>
        <v>#VALUE!</v>
      </c>
      <c r="AU102" t="e">
        <f>Nodes!K805+"'E4!&amp;?Y"</f>
        <v>#VALUE!</v>
      </c>
      <c r="AV102" t="e">
        <f>Nodes!L805+"'E4!&amp;?Z"</f>
        <v>#VALUE!</v>
      </c>
      <c r="AW102" t="e">
        <f>Nodes!M805+"'E4!&amp;?["</f>
        <v>#VALUE!</v>
      </c>
      <c r="AX102" t="e">
        <f>Nodes!N805+"'E4!&amp;?\"</f>
        <v>#VALUE!</v>
      </c>
      <c r="AY102" t="e">
        <f>Nodes!O805+"'E4!&amp;?]"</f>
        <v>#VALUE!</v>
      </c>
      <c r="AZ102" t="e">
        <f>Nodes!P805+"'E4!&amp;?^"</f>
        <v>#VALUE!</v>
      </c>
      <c r="BA102" t="e">
        <f>Nodes!Q805+"'E4!&amp;?_"</f>
        <v>#VALUE!</v>
      </c>
      <c r="BB102" t="e">
        <f>Nodes!R805+"'E4!&amp;?`"</f>
        <v>#VALUE!</v>
      </c>
      <c r="BC102" t="e">
        <f>Nodes!S805+"'E4!&amp;?a"</f>
        <v>#VALUE!</v>
      </c>
      <c r="BD102" s="547" t="e">
        <f>Nodes!T805+"'E4!&amp;?b"</f>
        <v>#VALUE!</v>
      </c>
      <c r="BE102" t="e">
        <f>Nodes!U805+"'E4!&amp;?c"</f>
        <v>#VALUE!</v>
      </c>
      <c r="BF102" t="e">
        <f>Nodes!V805+"'E4!&amp;?d"</f>
        <v>#VALUE!</v>
      </c>
      <c r="BG102" s="547" t="e">
        <f>Nodes!W805+"'E4!&amp;?e"</f>
        <v>#VALUE!</v>
      </c>
      <c r="BH102" t="e">
        <f>Nodes!X805+"'E4!&amp;?f"</f>
        <v>#VALUE!</v>
      </c>
      <c r="BI102" t="e">
        <f>Nodes!Y805+"'E4!&amp;?g"</f>
        <v>#VALUE!</v>
      </c>
      <c r="BJ102" t="e">
        <f>Nodes!Z805+"'E4!&amp;?h"</f>
        <v>#VALUE!</v>
      </c>
      <c r="BK102" t="e">
        <f>Nodes!AA805+"'E4!&amp;?i"</f>
        <v>#VALUE!</v>
      </c>
      <c r="BL102" t="e">
        <f>Nodes!AB805+"'E4!&amp;?j"</f>
        <v>#VALUE!</v>
      </c>
      <c r="BM102" t="e">
        <f>Nodes!AC805+"'E4!&amp;?k"</f>
        <v>#VALUE!</v>
      </c>
      <c r="BN102" t="e">
        <f>Nodes!A806+"'E4!&amp;?l"</f>
        <v>#VALUE!</v>
      </c>
      <c r="BO102" t="e">
        <f>Nodes!B806+"'E4!&amp;?m"</f>
        <v>#VALUE!</v>
      </c>
      <c r="BP102" t="e">
        <f>Nodes!C806+"'E4!&amp;?n"</f>
        <v>#VALUE!</v>
      </c>
      <c r="BQ102" t="e">
        <f>Nodes!D806+"'E4!&amp;?o"</f>
        <v>#VALUE!</v>
      </c>
      <c r="BR102" t="e">
        <f>Nodes!E806+"'E4!&amp;?p"</f>
        <v>#VALUE!</v>
      </c>
      <c r="BS102" t="e">
        <f>Nodes!F806+"'E4!&amp;?q"</f>
        <v>#VALUE!</v>
      </c>
      <c r="BT102" t="e">
        <f>Nodes!G806+"'E4!&amp;?r"</f>
        <v>#VALUE!</v>
      </c>
      <c r="BU102" t="e">
        <f>Nodes!H806+"'E4!&amp;?s"</f>
        <v>#VALUE!</v>
      </c>
      <c r="BV102" t="e">
        <f>Nodes!I806+"'E4!&amp;?t"</f>
        <v>#VALUE!</v>
      </c>
      <c r="BW102" t="e">
        <f>Nodes!J806+"'E4!&amp;?u"</f>
        <v>#VALUE!</v>
      </c>
      <c r="BX102" t="e">
        <f>Nodes!K806+"'E4!&amp;?v"</f>
        <v>#VALUE!</v>
      </c>
      <c r="BY102" t="e">
        <f>Nodes!L806+"'E4!&amp;?w"</f>
        <v>#VALUE!</v>
      </c>
      <c r="BZ102" t="e">
        <f>Nodes!M806+"'E4!&amp;?x"</f>
        <v>#VALUE!</v>
      </c>
      <c r="CA102" t="e">
        <f>Nodes!N806+"'E4!&amp;?y"</f>
        <v>#VALUE!</v>
      </c>
      <c r="CB102" t="e">
        <f>Nodes!O806+"'E4!&amp;?z"</f>
        <v>#VALUE!</v>
      </c>
      <c r="CC102" t="e">
        <f>Nodes!P806+"'E4!&amp;?{"</f>
        <v>#VALUE!</v>
      </c>
      <c r="CD102" t="e">
        <f>Nodes!Q806+"'E4!&amp;?|"</f>
        <v>#VALUE!</v>
      </c>
      <c r="CE102" t="e">
        <f>Nodes!R806+"'E4!&amp;?}"</f>
        <v>#VALUE!</v>
      </c>
      <c r="CF102" t="e">
        <f>Nodes!S806+"'E4!&amp;?~"</f>
        <v>#VALUE!</v>
      </c>
      <c r="CG102" s="547" t="e">
        <f>Nodes!T806+"'E4!&amp;@#"</f>
        <v>#VALUE!</v>
      </c>
      <c r="CH102" t="e">
        <f>Nodes!U806+"'E4!&amp;@$"</f>
        <v>#VALUE!</v>
      </c>
      <c r="CI102" t="e">
        <f>Nodes!V806+"'E4!&amp;@%"</f>
        <v>#VALUE!</v>
      </c>
      <c r="CJ102" s="547" t="e">
        <f>Nodes!W806+"'E4!&amp;@&amp;"</f>
        <v>#VALUE!</v>
      </c>
      <c r="CK102" t="e">
        <f>Nodes!X806+"'E4!&amp;@'"</f>
        <v>#VALUE!</v>
      </c>
      <c r="CL102" t="e">
        <f>Nodes!Y806+"'E4!&amp;@("</f>
        <v>#VALUE!</v>
      </c>
      <c r="CM102" t="e">
        <f>Nodes!Z806+"'E4!&amp;@)"</f>
        <v>#VALUE!</v>
      </c>
      <c r="CN102" t="e">
        <f>Nodes!AA806+"'E4!&amp;@."</f>
        <v>#VALUE!</v>
      </c>
      <c r="CO102" t="e">
        <f>Nodes!AB806+"'E4!&amp;@/"</f>
        <v>#VALUE!</v>
      </c>
      <c r="CP102" t="e">
        <f>Nodes!AC806+"'E4!&amp;@0"</f>
        <v>#VALUE!</v>
      </c>
      <c r="CQ102" t="e">
        <f>Nodes!A807+"'E4!&amp;@1"</f>
        <v>#VALUE!</v>
      </c>
      <c r="CR102" t="e">
        <f>Nodes!B807+"'E4!&amp;@2"</f>
        <v>#VALUE!</v>
      </c>
      <c r="CS102" t="e">
        <f>Nodes!C807+"'E4!&amp;@3"</f>
        <v>#VALUE!</v>
      </c>
      <c r="CT102" t="e">
        <f>Nodes!D807+"'E4!&amp;@4"</f>
        <v>#VALUE!</v>
      </c>
      <c r="CU102" t="e">
        <f>Nodes!E807+"'E4!&amp;@5"</f>
        <v>#VALUE!</v>
      </c>
      <c r="CV102" t="e">
        <f>Nodes!F807+"'E4!&amp;@6"</f>
        <v>#VALUE!</v>
      </c>
      <c r="CW102" t="e">
        <f>Nodes!G807+"'E4!&amp;@7"</f>
        <v>#VALUE!</v>
      </c>
      <c r="CX102" t="e">
        <f>Nodes!H807+"'E4!&amp;@8"</f>
        <v>#VALUE!</v>
      </c>
      <c r="CY102" t="e">
        <f>Nodes!I807+"'E4!&amp;@9"</f>
        <v>#VALUE!</v>
      </c>
      <c r="CZ102" t="e">
        <f>Nodes!J807+"'E4!&amp;@:"</f>
        <v>#VALUE!</v>
      </c>
      <c r="DA102" t="e">
        <f>Nodes!K807+"'E4!&amp;@;"</f>
        <v>#VALUE!</v>
      </c>
      <c r="DB102" t="e">
        <f>Nodes!L807+"'E4!&amp;@&lt;"</f>
        <v>#VALUE!</v>
      </c>
      <c r="DC102" t="e">
        <f>Nodes!M807+"'E4!&amp;@="</f>
        <v>#VALUE!</v>
      </c>
      <c r="DD102" t="e">
        <f>Nodes!N807+"'E4!&amp;@&gt;"</f>
        <v>#VALUE!</v>
      </c>
      <c r="DE102" t="e">
        <f>Nodes!O807+"'E4!&amp;@?"</f>
        <v>#VALUE!</v>
      </c>
      <c r="DF102" t="e">
        <f>Nodes!P807+"'E4!&amp;@@"</f>
        <v>#VALUE!</v>
      </c>
      <c r="DG102" t="e">
        <f>Nodes!Q807+"'E4!&amp;@A"</f>
        <v>#VALUE!</v>
      </c>
      <c r="DH102" t="e">
        <f>Nodes!R807+"'E4!&amp;@B"</f>
        <v>#VALUE!</v>
      </c>
      <c r="DI102" t="e">
        <f>Nodes!S807+"'E4!&amp;@C"</f>
        <v>#VALUE!</v>
      </c>
      <c r="DJ102" s="547" t="e">
        <f>Nodes!T807+"'E4!&amp;@D"</f>
        <v>#VALUE!</v>
      </c>
      <c r="DK102" t="e">
        <f>Nodes!U807+"'E4!&amp;@E"</f>
        <v>#VALUE!</v>
      </c>
      <c r="DL102" t="e">
        <f>Nodes!V807+"'E4!&amp;@F"</f>
        <v>#VALUE!</v>
      </c>
      <c r="DM102" s="547" t="e">
        <f>Nodes!W807+"'E4!&amp;@G"</f>
        <v>#VALUE!</v>
      </c>
      <c r="DN102" t="e">
        <f>Nodes!X807+"'E4!&amp;@H"</f>
        <v>#VALUE!</v>
      </c>
      <c r="DO102" t="e">
        <f>Nodes!Y807+"'E4!&amp;@I"</f>
        <v>#VALUE!</v>
      </c>
      <c r="DP102" t="e">
        <f>Nodes!Z807+"'E4!&amp;@J"</f>
        <v>#VALUE!</v>
      </c>
      <c r="DQ102" t="e">
        <f>Nodes!AA807+"'E4!&amp;@K"</f>
        <v>#VALUE!</v>
      </c>
      <c r="DR102" t="e">
        <f>Nodes!AB807+"'E4!&amp;@L"</f>
        <v>#VALUE!</v>
      </c>
      <c r="DS102" t="e">
        <f>Nodes!AC807+"'E4!&amp;@M"</f>
        <v>#VALUE!</v>
      </c>
      <c r="DT102" t="e">
        <f>Nodes!A808+"'E4!&amp;@N"</f>
        <v>#VALUE!</v>
      </c>
      <c r="DU102" t="e">
        <f>Nodes!B808+"'E4!&amp;@O"</f>
        <v>#VALUE!</v>
      </c>
      <c r="DV102" t="e">
        <f>Nodes!C808+"'E4!&amp;@P"</f>
        <v>#VALUE!</v>
      </c>
      <c r="DW102" t="e">
        <f>Nodes!D808+"'E4!&amp;@Q"</f>
        <v>#VALUE!</v>
      </c>
      <c r="DX102" t="e">
        <f>Nodes!E808+"'E4!&amp;@R"</f>
        <v>#VALUE!</v>
      </c>
      <c r="DY102" t="e">
        <f>Nodes!F808+"'E4!&amp;@S"</f>
        <v>#VALUE!</v>
      </c>
      <c r="DZ102" t="e">
        <f>Nodes!G808+"'E4!&amp;@T"</f>
        <v>#VALUE!</v>
      </c>
      <c r="EA102" t="e">
        <f>Nodes!H808+"'E4!&amp;@U"</f>
        <v>#VALUE!</v>
      </c>
      <c r="EB102" t="e">
        <f>Nodes!I808+"'E4!&amp;@V"</f>
        <v>#VALUE!</v>
      </c>
      <c r="EC102" t="e">
        <f>Nodes!J808+"'E4!&amp;@W"</f>
        <v>#VALUE!</v>
      </c>
      <c r="ED102" t="e">
        <f>Nodes!K808+"'E4!&amp;@X"</f>
        <v>#VALUE!</v>
      </c>
      <c r="EE102" t="e">
        <f>Nodes!L808+"'E4!&amp;@Y"</f>
        <v>#VALUE!</v>
      </c>
      <c r="EF102" t="e">
        <f>Nodes!M808+"'E4!&amp;@Z"</f>
        <v>#VALUE!</v>
      </c>
      <c r="EG102" t="e">
        <f>Nodes!N808+"'E4!&amp;@["</f>
        <v>#VALUE!</v>
      </c>
      <c r="EH102" t="e">
        <f>Nodes!O808+"'E4!&amp;@\"</f>
        <v>#VALUE!</v>
      </c>
      <c r="EI102" t="e">
        <f>Nodes!P808+"'E4!&amp;@]"</f>
        <v>#VALUE!</v>
      </c>
      <c r="EJ102" t="e">
        <f>Nodes!Q808+"'E4!&amp;@^"</f>
        <v>#VALUE!</v>
      </c>
      <c r="EK102" t="e">
        <f>Nodes!R808+"'E4!&amp;@_"</f>
        <v>#VALUE!</v>
      </c>
      <c r="EL102" t="e">
        <f>Nodes!S808+"'E4!&amp;@`"</f>
        <v>#VALUE!</v>
      </c>
      <c r="EM102" s="547" t="e">
        <f>Nodes!T808+"'E4!&amp;@a"</f>
        <v>#VALUE!</v>
      </c>
      <c r="EN102" t="e">
        <f>Nodes!U808+"'E4!&amp;@b"</f>
        <v>#VALUE!</v>
      </c>
      <c r="EO102" t="e">
        <f>Nodes!V808+"'E4!&amp;@c"</f>
        <v>#VALUE!</v>
      </c>
      <c r="EP102" s="547" t="e">
        <f>Nodes!W808+"'E4!&amp;@d"</f>
        <v>#VALUE!</v>
      </c>
      <c r="EQ102" t="e">
        <f>Nodes!X808+"'E4!&amp;@e"</f>
        <v>#VALUE!</v>
      </c>
      <c r="ER102" t="e">
        <f>Nodes!Y808+"'E4!&amp;@f"</f>
        <v>#VALUE!</v>
      </c>
      <c r="ES102" t="e">
        <f>Nodes!Z808+"'E4!&amp;@g"</f>
        <v>#VALUE!</v>
      </c>
      <c r="ET102" t="e">
        <f>Nodes!AA808+"'E4!&amp;@h"</f>
        <v>#VALUE!</v>
      </c>
      <c r="EU102" t="e">
        <f>Nodes!AB808+"'E4!&amp;@i"</f>
        <v>#VALUE!</v>
      </c>
      <c r="EV102" t="e">
        <f>Nodes!AC808+"'E4!&amp;@j"</f>
        <v>#VALUE!</v>
      </c>
      <c r="EW102" t="e">
        <f>Nodes!A809+"'E4!&amp;@k"</f>
        <v>#VALUE!</v>
      </c>
      <c r="EX102" t="e">
        <f>Nodes!B809+"'E4!&amp;@l"</f>
        <v>#VALUE!</v>
      </c>
      <c r="EY102" t="e">
        <f>Nodes!C809+"'E4!&amp;@m"</f>
        <v>#VALUE!</v>
      </c>
      <c r="EZ102" t="e">
        <f>Nodes!D809+"'E4!&amp;@n"</f>
        <v>#VALUE!</v>
      </c>
      <c r="FA102" t="e">
        <f>Nodes!E809+"'E4!&amp;@o"</f>
        <v>#VALUE!</v>
      </c>
      <c r="FB102" t="e">
        <f>Nodes!F809+"'E4!&amp;@p"</f>
        <v>#VALUE!</v>
      </c>
      <c r="FC102" t="e">
        <f>Nodes!G809+"'E4!&amp;@q"</f>
        <v>#VALUE!</v>
      </c>
      <c r="FD102" t="e">
        <f>Nodes!H809+"'E4!&amp;@r"</f>
        <v>#VALUE!</v>
      </c>
      <c r="FE102" t="e">
        <f>Nodes!I809+"'E4!&amp;@s"</f>
        <v>#VALUE!</v>
      </c>
      <c r="FF102" t="e">
        <f>Nodes!J809+"'E4!&amp;@t"</f>
        <v>#VALUE!</v>
      </c>
      <c r="FG102" t="e">
        <f>Nodes!K809+"'E4!&amp;@u"</f>
        <v>#VALUE!</v>
      </c>
      <c r="FH102" t="e">
        <f>Nodes!L809+"'E4!&amp;@v"</f>
        <v>#VALUE!</v>
      </c>
      <c r="FI102" t="e">
        <f>Nodes!M809+"'E4!&amp;@w"</f>
        <v>#VALUE!</v>
      </c>
      <c r="FJ102" t="e">
        <f>Nodes!N809+"'E4!&amp;@x"</f>
        <v>#VALUE!</v>
      </c>
      <c r="FK102" t="e">
        <f>Nodes!O809+"'E4!&amp;@y"</f>
        <v>#VALUE!</v>
      </c>
      <c r="FL102" t="e">
        <f>Nodes!P809+"'E4!&amp;@z"</f>
        <v>#VALUE!</v>
      </c>
      <c r="FM102" t="e">
        <f>Nodes!Q809+"'E4!&amp;@{"</f>
        <v>#VALUE!</v>
      </c>
      <c r="FN102" t="e">
        <f>Nodes!R809+"'E4!&amp;@|"</f>
        <v>#VALUE!</v>
      </c>
      <c r="FO102" t="e">
        <f>Nodes!S809+"'E4!&amp;@}"</f>
        <v>#VALUE!</v>
      </c>
      <c r="FP102" s="547" t="e">
        <f>Nodes!T809+"'E4!&amp;@~"</f>
        <v>#VALUE!</v>
      </c>
      <c r="FQ102" t="e">
        <f>Nodes!U809+"'E4!&amp;A#"</f>
        <v>#VALUE!</v>
      </c>
      <c r="FR102" t="e">
        <f>Nodes!V809+"'E4!&amp;A$"</f>
        <v>#VALUE!</v>
      </c>
      <c r="FS102" s="547" t="e">
        <f>Nodes!W809+"'E4!&amp;A%"</f>
        <v>#VALUE!</v>
      </c>
      <c r="FT102" t="e">
        <f>Nodes!X809+"'E4!&amp;A&amp;"</f>
        <v>#VALUE!</v>
      </c>
      <c r="FU102" t="e">
        <f>Nodes!Y809+"'E4!&amp;A'"</f>
        <v>#VALUE!</v>
      </c>
      <c r="FV102" t="e">
        <f>Nodes!Z809+"'E4!&amp;A("</f>
        <v>#VALUE!</v>
      </c>
      <c r="FW102" t="e">
        <f>Nodes!AA809+"'E4!&amp;A)"</f>
        <v>#VALUE!</v>
      </c>
      <c r="FX102" t="e">
        <f>Nodes!AB809+"'E4!&amp;A."</f>
        <v>#VALUE!</v>
      </c>
      <c r="FY102" t="e">
        <f>Nodes!AC809+"'E4!&amp;A/"</f>
        <v>#VALUE!</v>
      </c>
      <c r="FZ102" t="e">
        <f>Nodes!A810+"'E4!&amp;A0"</f>
        <v>#VALUE!</v>
      </c>
      <c r="GA102" t="e">
        <f>Nodes!B810+"'E4!&amp;A1"</f>
        <v>#VALUE!</v>
      </c>
      <c r="GB102" t="e">
        <f>Nodes!C810+"'E4!&amp;A2"</f>
        <v>#VALUE!</v>
      </c>
      <c r="GC102" t="e">
        <f>Nodes!D810+"'E4!&amp;A3"</f>
        <v>#VALUE!</v>
      </c>
      <c r="GD102" t="e">
        <f>Nodes!E810+"'E4!&amp;A4"</f>
        <v>#VALUE!</v>
      </c>
      <c r="GE102" t="e">
        <f>Nodes!F810+"'E4!&amp;A5"</f>
        <v>#VALUE!</v>
      </c>
      <c r="GF102" t="e">
        <f>Nodes!G810+"'E4!&amp;A6"</f>
        <v>#VALUE!</v>
      </c>
      <c r="GG102" t="e">
        <f>Nodes!H810+"'E4!&amp;A7"</f>
        <v>#VALUE!</v>
      </c>
      <c r="GH102" t="e">
        <f>Nodes!I810+"'E4!&amp;A8"</f>
        <v>#VALUE!</v>
      </c>
      <c r="GI102" t="e">
        <f>Nodes!J810+"'E4!&amp;A9"</f>
        <v>#VALUE!</v>
      </c>
      <c r="GJ102" t="e">
        <f>Nodes!K810+"'E4!&amp;A:"</f>
        <v>#VALUE!</v>
      </c>
      <c r="GK102" t="e">
        <f>Nodes!L810+"'E4!&amp;A;"</f>
        <v>#VALUE!</v>
      </c>
      <c r="GL102" t="e">
        <f>Nodes!M810+"'E4!&amp;A&lt;"</f>
        <v>#VALUE!</v>
      </c>
      <c r="GM102" t="e">
        <f>Nodes!N810+"'E4!&amp;A="</f>
        <v>#VALUE!</v>
      </c>
      <c r="GN102" t="e">
        <f>Nodes!O810+"'E4!&amp;A&gt;"</f>
        <v>#VALUE!</v>
      </c>
      <c r="GO102" t="e">
        <f>Nodes!P810+"'E4!&amp;A?"</f>
        <v>#VALUE!</v>
      </c>
      <c r="GP102" t="e">
        <f>Nodes!Q810+"'E4!&amp;A@"</f>
        <v>#VALUE!</v>
      </c>
      <c r="GQ102" t="e">
        <f>Nodes!R810+"'E4!&amp;AA"</f>
        <v>#VALUE!</v>
      </c>
      <c r="GR102" t="e">
        <f>Nodes!S810+"'E4!&amp;AB"</f>
        <v>#VALUE!</v>
      </c>
      <c r="GS102" s="547" t="e">
        <f>Nodes!T810+"'E4!&amp;AC"</f>
        <v>#VALUE!</v>
      </c>
      <c r="GT102" t="e">
        <f>Nodes!U810+"'E4!&amp;AD"</f>
        <v>#VALUE!</v>
      </c>
      <c r="GU102" t="e">
        <f>Nodes!V810+"'E4!&amp;AE"</f>
        <v>#VALUE!</v>
      </c>
      <c r="GV102" s="547" t="e">
        <f>Nodes!W810+"'E4!&amp;AF"</f>
        <v>#VALUE!</v>
      </c>
      <c r="GW102" t="e">
        <f>Nodes!X810+"'E4!&amp;AG"</f>
        <v>#VALUE!</v>
      </c>
      <c r="GX102" t="e">
        <f>Nodes!Y810+"'E4!&amp;AH"</f>
        <v>#VALUE!</v>
      </c>
      <c r="GY102" t="e">
        <f>Nodes!Z810+"'E4!&amp;AI"</f>
        <v>#VALUE!</v>
      </c>
      <c r="GZ102" t="e">
        <f>Nodes!AA810+"'E4!&amp;AJ"</f>
        <v>#VALUE!</v>
      </c>
      <c r="HA102" t="e">
        <f>Nodes!AB810+"'E4!&amp;AK"</f>
        <v>#VALUE!</v>
      </c>
      <c r="HB102" t="e">
        <f>Nodes!AC810+"'E4!&amp;AL"</f>
        <v>#VALUE!</v>
      </c>
      <c r="HC102" t="e">
        <f>Nodes!A811+"'E4!&amp;AM"</f>
        <v>#VALUE!</v>
      </c>
      <c r="HD102" t="e">
        <f>Nodes!B811+"'E4!&amp;AN"</f>
        <v>#VALUE!</v>
      </c>
      <c r="HE102" t="e">
        <f>Nodes!C811+"'E4!&amp;AO"</f>
        <v>#VALUE!</v>
      </c>
      <c r="HF102" t="e">
        <f>Nodes!D811+"'E4!&amp;AP"</f>
        <v>#VALUE!</v>
      </c>
      <c r="HG102" t="e">
        <f>Nodes!E811+"'E4!&amp;AQ"</f>
        <v>#VALUE!</v>
      </c>
      <c r="HH102" t="e">
        <f>Nodes!F811+"'E4!&amp;AR"</f>
        <v>#VALUE!</v>
      </c>
      <c r="HI102" t="e">
        <f>Nodes!G811+"'E4!&amp;AS"</f>
        <v>#VALUE!</v>
      </c>
      <c r="HJ102" t="e">
        <f>Nodes!H811+"'E4!&amp;AT"</f>
        <v>#VALUE!</v>
      </c>
      <c r="HK102" t="e">
        <f>Nodes!I811+"'E4!&amp;AU"</f>
        <v>#VALUE!</v>
      </c>
      <c r="HL102" t="e">
        <f>Nodes!J811+"'E4!&amp;AV"</f>
        <v>#VALUE!</v>
      </c>
      <c r="HM102" t="e">
        <f>Nodes!K811+"'E4!&amp;AW"</f>
        <v>#VALUE!</v>
      </c>
      <c r="HN102" t="e">
        <f>Nodes!L811+"'E4!&amp;AX"</f>
        <v>#VALUE!</v>
      </c>
      <c r="HO102" t="e">
        <f>Nodes!M811+"'E4!&amp;AY"</f>
        <v>#VALUE!</v>
      </c>
      <c r="HP102" t="e">
        <f>Nodes!N811+"'E4!&amp;AZ"</f>
        <v>#VALUE!</v>
      </c>
      <c r="HQ102" t="e">
        <f>Nodes!O811+"'E4!&amp;A["</f>
        <v>#VALUE!</v>
      </c>
      <c r="HR102" t="e">
        <f>Nodes!P811+"'E4!&amp;A\"</f>
        <v>#VALUE!</v>
      </c>
      <c r="HS102" t="e">
        <f>Nodes!Q811+"'E4!&amp;A]"</f>
        <v>#VALUE!</v>
      </c>
      <c r="HT102" t="e">
        <f>Nodes!R811+"'E4!&amp;A^"</f>
        <v>#VALUE!</v>
      </c>
      <c r="HU102" t="e">
        <f>Nodes!S811+"'E4!&amp;A_"</f>
        <v>#VALUE!</v>
      </c>
      <c r="HV102" s="547" t="e">
        <f>Nodes!T811+"'E4!&amp;A`"</f>
        <v>#VALUE!</v>
      </c>
      <c r="HW102" t="e">
        <f>Nodes!U811+"'E4!&amp;Aa"</f>
        <v>#VALUE!</v>
      </c>
      <c r="HX102" t="e">
        <f>Nodes!V811+"'E4!&amp;Ab"</f>
        <v>#VALUE!</v>
      </c>
      <c r="HY102" s="547" t="e">
        <f>Nodes!W811+"'E4!&amp;Ac"</f>
        <v>#VALUE!</v>
      </c>
      <c r="HZ102" t="e">
        <f>Nodes!X811+"'E4!&amp;Ad"</f>
        <v>#VALUE!</v>
      </c>
      <c r="IA102" t="e">
        <f>Nodes!Y811+"'E4!&amp;Ae"</f>
        <v>#VALUE!</v>
      </c>
      <c r="IB102" t="e">
        <f>Nodes!Z811+"'E4!&amp;Af"</f>
        <v>#VALUE!</v>
      </c>
      <c r="IC102" t="e">
        <f>Nodes!AA811+"'E4!&amp;Ag"</f>
        <v>#VALUE!</v>
      </c>
      <c r="ID102" t="e">
        <f>Nodes!AB811+"'E4!&amp;Ah"</f>
        <v>#VALUE!</v>
      </c>
      <c r="IE102" t="e">
        <f>Nodes!AC811+"'E4!&amp;Ai"</f>
        <v>#VALUE!</v>
      </c>
      <c r="IF102" t="e">
        <f>Nodes!A812+"'E4!&amp;Aj"</f>
        <v>#VALUE!</v>
      </c>
      <c r="IG102" t="e">
        <f>Nodes!B812+"'E4!&amp;Ak"</f>
        <v>#VALUE!</v>
      </c>
      <c r="IH102" t="e">
        <f>Nodes!C812+"'E4!&amp;Al"</f>
        <v>#VALUE!</v>
      </c>
      <c r="II102" t="e">
        <f>Nodes!D812+"'E4!&amp;Am"</f>
        <v>#VALUE!</v>
      </c>
      <c r="IJ102" t="e">
        <f>Nodes!E812+"'E4!&amp;An"</f>
        <v>#VALUE!</v>
      </c>
      <c r="IK102" t="e">
        <f>Nodes!F812+"'E4!&amp;Ao"</f>
        <v>#VALUE!</v>
      </c>
      <c r="IL102" t="e">
        <f>Nodes!G812+"'E4!&amp;Ap"</f>
        <v>#VALUE!</v>
      </c>
      <c r="IM102" t="e">
        <f>Nodes!H812+"'E4!&amp;Aq"</f>
        <v>#VALUE!</v>
      </c>
      <c r="IN102" t="e">
        <f>Nodes!I812+"'E4!&amp;Ar"</f>
        <v>#VALUE!</v>
      </c>
      <c r="IO102" t="e">
        <f>Nodes!J812+"'E4!&amp;As"</f>
        <v>#VALUE!</v>
      </c>
      <c r="IP102" t="e">
        <f>Nodes!K812+"'E4!&amp;At"</f>
        <v>#VALUE!</v>
      </c>
      <c r="IQ102" t="e">
        <f>Nodes!L812+"'E4!&amp;Au"</f>
        <v>#VALUE!</v>
      </c>
      <c r="IR102" t="e">
        <f>Nodes!M812+"'E4!&amp;Av"</f>
        <v>#VALUE!</v>
      </c>
      <c r="IS102" t="e">
        <f>Nodes!N812+"'E4!&amp;Aw"</f>
        <v>#VALUE!</v>
      </c>
      <c r="IT102" t="e">
        <f>Nodes!O812+"'E4!&amp;Ax"</f>
        <v>#VALUE!</v>
      </c>
      <c r="IU102" t="e">
        <f>Nodes!P812+"'E4!&amp;Ay"</f>
        <v>#VALUE!</v>
      </c>
      <c r="IV102" t="e">
        <f>Nodes!Q812+"'E4!&amp;Az"</f>
        <v>#VALUE!</v>
      </c>
    </row>
    <row r="103" spans="6:256">
      <c r="F103" t="e">
        <f>Nodes!R812+"'E4!&amp;A{"</f>
        <v>#VALUE!</v>
      </c>
      <c r="G103" t="e">
        <f>Nodes!S812+"'E4!&amp;A|"</f>
        <v>#VALUE!</v>
      </c>
      <c r="H103" s="547" t="e">
        <f>Nodes!T812+"'E4!&amp;A}"</f>
        <v>#VALUE!</v>
      </c>
      <c r="I103" t="e">
        <f>Nodes!U812+"'E4!&amp;A~"</f>
        <v>#VALUE!</v>
      </c>
      <c r="J103" t="e">
        <f>Nodes!V812+"'E4!&amp;B#"</f>
        <v>#VALUE!</v>
      </c>
      <c r="K103" s="547" t="e">
        <f>Nodes!W812+"'E4!&amp;B$"</f>
        <v>#VALUE!</v>
      </c>
      <c r="L103" t="e">
        <f>Nodes!X812+"'E4!&amp;B%"</f>
        <v>#VALUE!</v>
      </c>
      <c r="M103" t="e">
        <f>Nodes!Y812+"'E4!&amp;B&amp;"</f>
        <v>#VALUE!</v>
      </c>
      <c r="N103" t="e">
        <f>Nodes!Z812+"'E4!&amp;B'"</f>
        <v>#VALUE!</v>
      </c>
      <c r="O103" t="e">
        <f>Nodes!AA812+"'E4!&amp;B("</f>
        <v>#VALUE!</v>
      </c>
      <c r="P103" t="e">
        <f>Nodes!AB812+"'E4!&amp;B)"</f>
        <v>#VALUE!</v>
      </c>
      <c r="Q103" t="e">
        <f>Nodes!AC812+"'E4!&amp;B."</f>
        <v>#VALUE!</v>
      </c>
      <c r="R103" t="e">
        <f>Nodes!A813+"'E4!&amp;B/"</f>
        <v>#VALUE!</v>
      </c>
      <c r="S103" t="e">
        <f>Nodes!B813+"'E4!&amp;B0"</f>
        <v>#VALUE!</v>
      </c>
      <c r="T103" t="e">
        <f>Nodes!C813+"'E4!&amp;B1"</f>
        <v>#VALUE!</v>
      </c>
      <c r="U103" t="e">
        <f>Nodes!D813+"'E4!&amp;B2"</f>
        <v>#VALUE!</v>
      </c>
      <c r="V103" t="e">
        <f>Nodes!E813+"'E4!&amp;B3"</f>
        <v>#VALUE!</v>
      </c>
      <c r="W103" t="e">
        <f>Nodes!F813+"'E4!&amp;B4"</f>
        <v>#VALUE!</v>
      </c>
      <c r="X103" t="e">
        <f>Nodes!G813+"'E4!&amp;B5"</f>
        <v>#VALUE!</v>
      </c>
      <c r="Y103" t="e">
        <f>Nodes!H813+"'E4!&amp;B6"</f>
        <v>#VALUE!</v>
      </c>
      <c r="Z103" t="e">
        <f>Nodes!I813+"'E4!&amp;B7"</f>
        <v>#VALUE!</v>
      </c>
      <c r="AA103" t="e">
        <f>Nodes!J813+"'E4!&amp;B8"</f>
        <v>#VALUE!</v>
      </c>
      <c r="AB103" t="e">
        <f>Nodes!K813+"'E4!&amp;B9"</f>
        <v>#VALUE!</v>
      </c>
      <c r="AC103" t="e">
        <f>Nodes!L813+"'E4!&amp;B:"</f>
        <v>#VALUE!</v>
      </c>
      <c r="AD103" t="e">
        <f>Nodes!M813+"'E4!&amp;B;"</f>
        <v>#VALUE!</v>
      </c>
      <c r="AE103" t="e">
        <f>Nodes!N813+"'E4!&amp;B&lt;"</f>
        <v>#VALUE!</v>
      </c>
      <c r="AF103" t="e">
        <f>Nodes!O813+"'E4!&amp;B="</f>
        <v>#VALUE!</v>
      </c>
      <c r="AG103" t="e">
        <f>Nodes!P813+"'E4!&amp;B&gt;"</f>
        <v>#VALUE!</v>
      </c>
      <c r="AH103" t="e">
        <f>Nodes!Q813+"'E4!&amp;B?"</f>
        <v>#VALUE!</v>
      </c>
      <c r="AI103" t="e">
        <f>Nodes!R813+"'E4!&amp;B@"</f>
        <v>#VALUE!</v>
      </c>
      <c r="AJ103" t="e">
        <f>Nodes!S813+"'E4!&amp;BA"</f>
        <v>#VALUE!</v>
      </c>
      <c r="AK103" s="547" t="e">
        <f>Nodes!T813+"'E4!&amp;BB"</f>
        <v>#VALUE!</v>
      </c>
      <c r="AL103" t="e">
        <f>Nodes!U813+"'E4!&amp;BC"</f>
        <v>#VALUE!</v>
      </c>
      <c r="AM103" t="e">
        <f>Nodes!V813+"'E4!&amp;BD"</f>
        <v>#VALUE!</v>
      </c>
      <c r="AN103" s="547" t="e">
        <f>Nodes!W813+"'E4!&amp;BE"</f>
        <v>#VALUE!</v>
      </c>
      <c r="AO103" t="e">
        <f>Nodes!X813+"'E4!&amp;BF"</f>
        <v>#VALUE!</v>
      </c>
      <c r="AP103" t="e">
        <f>Nodes!Y813+"'E4!&amp;BG"</f>
        <v>#VALUE!</v>
      </c>
      <c r="AQ103" t="e">
        <f>Nodes!Z813+"'E4!&amp;BH"</f>
        <v>#VALUE!</v>
      </c>
      <c r="AR103" t="e">
        <f>Nodes!AA813+"'E4!&amp;BI"</f>
        <v>#VALUE!</v>
      </c>
      <c r="AS103" t="e">
        <f>Nodes!AB813+"'E4!&amp;BJ"</f>
        <v>#VALUE!</v>
      </c>
      <c r="AT103" t="e">
        <f>Nodes!AC813+"'E4!&amp;BK"</f>
        <v>#VALUE!</v>
      </c>
      <c r="AU103" t="e">
        <f>Nodes!A814+"'E4!&amp;BL"</f>
        <v>#VALUE!</v>
      </c>
      <c r="AV103" t="e">
        <f>Nodes!B814+"'E4!&amp;BM"</f>
        <v>#VALUE!</v>
      </c>
      <c r="AW103" t="e">
        <f>Nodes!C814+"'E4!&amp;BN"</f>
        <v>#VALUE!</v>
      </c>
      <c r="AX103" t="e">
        <f>Nodes!D814+"'E4!&amp;BO"</f>
        <v>#VALUE!</v>
      </c>
      <c r="AY103" t="e">
        <f>Nodes!E814+"'E4!&amp;BP"</f>
        <v>#VALUE!</v>
      </c>
      <c r="AZ103" t="e">
        <f>Nodes!F814+"'E4!&amp;BQ"</f>
        <v>#VALUE!</v>
      </c>
      <c r="BA103" t="e">
        <f>Nodes!G814+"'E4!&amp;BR"</f>
        <v>#VALUE!</v>
      </c>
      <c r="BB103" t="e">
        <f>Nodes!H814+"'E4!&amp;BS"</f>
        <v>#VALUE!</v>
      </c>
      <c r="BC103" t="e">
        <f>Nodes!I814+"'E4!&amp;BT"</f>
        <v>#VALUE!</v>
      </c>
      <c r="BD103" t="e">
        <f>Nodes!J814+"'E4!&amp;BU"</f>
        <v>#VALUE!</v>
      </c>
      <c r="BE103" t="e">
        <f>Nodes!K814+"'E4!&amp;BV"</f>
        <v>#VALUE!</v>
      </c>
      <c r="BF103" t="e">
        <f>Nodes!L814+"'E4!&amp;BW"</f>
        <v>#VALUE!</v>
      </c>
      <c r="BG103" t="e">
        <f>Nodes!M814+"'E4!&amp;BX"</f>
        <v>#VALUE!</v>
      </c>
      <c r="BH103" t="e">
        <f>Nodes!N814+"'E4!&amp;BY"</f>
        <v>#VALUE!</v>
      </c>
      <c r="BI103" t="e">
        <f>Nodes!O814+"'E4!&amp;BZ"</f>
        <v>#VALUE!</v>
      </c>
      <c r="BJ103" t="e">
        <f>Nodes!P814+"'E4!&amp;B["</f>
        <v>#VALUE!</v>
      </c>
      <c r="BK103" t="e">
        <f>Nodes!Q814+"'E4!&amp;B\"</f>
        <v>#VALUE!</v>
      </c>
      <c r="BL103" t="e">
        <f>Nodes!R814+"'E4!&amp;B]"</f>
        <v>#VALUE!</v>
      </c>
      <c r="BM103" t="e">
        <f>Nodes!S814+"'E4!&amp;B^"</f>
        <v>#VALUE!</v>
      </c>
      <c r="BN103" s="547" t="e">
        <f>Nodes!T814+"'E4!&amp;B_"</f>
        <v>#VALUE!</v>
      </c>
      <c r="BO103" t="e">
        <f>Nodes!U814+"'E4!&amp;B`"</f>
        <v>#VALUE!</v>
      </c>
      <c r="BP103" t="e">
        <f>Nodes!V814+"'E4!&amp;Ba"</f>
        <v>#VALUE!</v>
      </c>
      <c r="BQ103" s="547" t="e">
        <f>Nodes!W814+"'E4!&amp;Bb"</f>
        <v>#VALUE!</v>
      </c>
      <c r="BR103" t="e">
        <f>Nodes!X814+"'E4!&amp;Bc"</f>
        <v>#VALUE!</v>
      </c>
      <c r="BS103" t="e">
        <f>Nodes!Y814+"'E4!&amp;Bd"</f>
        <v>#VALUE!</v>
      </c>
      <c r="BT103" t="e">
        <f>Nodes!Z814+"'E4!&amp;Be"</f>
        <v>#VALUE!</v>
      </c>
      <c r="BU103" t="e">
        <f>Nodes!AA814+"'E4!&amp;Bf"</f>
        <v>#VALUE!</v>
      </c>
      <c r="BV103" t="e">
        <f>Nodes!AB814+"'E4!&amp;Bg"</f>
        <v>#VALUE!</v>
      </c>
      <c r="BW103" t="e">
        <f>Nodes!AC814+"'E4!&amp;Bh"</f>
        <v>#VALUE!</v>
      </c>
      <c r="BX103" t="e">
        <f>Nodes!A815+"'E4!&amp;Bi"</f>
        <v>#VALUE!</v>
      </c>
      <c r="BY103" t="e">
        <f>Nodes!B815+"'E4!&amp;Bj"</f>
        <v>#VALUE!</v>
      </c>
      <c r="BZ103" t="e">
        <f>Nodes!C815+"'E4!&amp;Bk"</f>
        <v>#VALUE!</v>
      </c>
      <c r="CA103" t="e">
        <f>Nodes!D815+"'E4!&amp;Bl"</f>
        <v>#VALUE!</v>
      </c>
      <c r="CB103" t="e">
        <f>Nodes!E815+"'E4!&amp;Bm"</f>
        <v>#VALUE!</v>
      </c>
      <c r="CC103" t="e">
        <f>Nodes!F815+"'E4!&amp;Bn"</f>
        <v>#VALUE!</v>
      </c>
      <c r="CD103" t="e">
        <f>Nodes!G815+"'E4!&amp;Bo"</f>
        <v>#VALUE!</v>
      </c>
      <c r="CE103" t="e">
        <f>Nodes!H815+"'E4!&amp;Bp"</f>
        <v>#VALUE!</v>
      </c>
      <c r="CF103" t="e">
        <f>Nodes!I815+"'E4!&amp;Bq"</f>
        <v>#VALUE!</v>
      </c>
      <c r="CG103" t="e">
        <f>Nodes!J815+"'E4!&amp;Br"</f>
        <v>#VALUE!</v>
      </c>
      <c r="CH103" t="e">
        <f>Nodes!K815+"'E4!&amp;Bs"</f>
        <v>#VALUE!</v>
      </c>
      <c r="CI103" t="e">
        <f>Nodes!L815+"'E4!&amp;Bt"</f>
        <v>#VALUE!</v>
      </c>
      <c r="CJ103" t="e">
        <f>Nodes!M815+"'E4!&amp;Bu"</f>
        <v>#VALUE!</v>
      </c>
      <c r="CK103" t="e">
        <f>Nodes!N815+"'E4!&amp;Bv"</f>
        <v>#VALUE!</v>
      </c>
      <c r="CL103" t="e">
        <f>Nodes!O815+"'E4!&amp;Bw"</f>
        <v>#VALUE!</v>
      </c>
      <c r="CM103" t="e">
        <f>Nodes!P815+"'E4!&amp;Bx"</f>
        <v>#VALUE!</v>
      </c>
      <c r="CN103" t="e">
        <f>Nodes!Q815+"'E4!&amp;By"</f>
        <v>#VALUE!</v>
      </c>
      <c r="CO103" t="e">
        <f>Nodes!R815+"'E4!&amp;Bz"</f>
        <v>#VALUE!</v>
      </c>
      <c r="CP103" t="e">
        <f>Nodes!S815+"'E4!&amp;B{"</f>
        <v>#VALUE!</v>
      </c>
      <c r="CQ103" s="547" t="e">
        <f>Nodes!T815+"'E4!&amp;B|"</f>
        <v>#VALUE!</v>
      </c>
      <c r="CR103" t="e">
        <f>Nodes!U815+"'E4!&amp;B}"</f>
        <v>#VALUE!</v>
      </c>
      <c r="CS103" t="e">
        <f>Nodes!V815+"'E4!&amp;B~"</f>
        <v>#VALUE!</v>
      </c>
      <c r="CT103" s="547" t="e">
        <f>Nodes!W815+"'E4!&amp;C#"</f>
        <v>#VALUE!</v>
      </c>
      <c r="CU103" t="e">
        <f>Nodes!X815+"'E4!&amp;C$"</f>
        <v>#VALUE!</v>
      </c>
      <c r="CV103" t="e">
        <f>Nodes!Y815+"'E4!&amp;C%"</f>
        <v>#VALUE!</v>
      </c>
      <c r="CW103" t="e">
        <f>Nodes!Z815+"'E4!&amp;C&amp;"</f>
        <v>#VALUE!</v>
      </c>
      <c r="CX103" t="e">
        <f>Nodes!AA815+"'E4!&amp;C'"</f>
        <v>#VALUE!</v>
      </c>
      <c r="CY103" t="e">
        <f>Nodes!AB815+"'E4!&amp;C("</f>
        <v>#VALUE!</v>
      </c>
      <c r="CZ103" t="e">
        <f>Nodes!AC815+"'E4!&amp;C)"</f>
        <v>#VALUE!</v>
      </c>
      <c r="DA103" t="e">
        <f>Nodes!A816+"'E4!&amp;C."</f>
        <v>#VALUE!</v>
      </c>
      <c r="DB103" t="e">
        <f>Nodes!B816+"'E4!&amp;C/"</f>
        <v>#VALUE!</v>
      </c>
      <c r="DC103" t="e">
        <f>Nodes!C816+"'E4!&amp;C0"</f>
        <v>#VALUE!</v>
      </c>
      <c r="DD103" t="e">
        <f>Nodes!D816+"'E4!&amp;C1"</f>
        <v>#VALUE!</v>
      </c>
      <c r="DE103" t="e">
        <f>Nodes!E816+"'E4!&amp;C2"</f>
        <v>#VALUE!</v>
      </c>
      <c r="DF103" t="e">
        <f>Nodes!F816+"'E4!&amp;C3"</f>
        <v>#VALUE!</v>
      </c>
      <c r="DG103" t="e">
        <f>Nodes!G816+"'E4!&amp;C4"</f>
        <v>#VALUE!</v>
      </c>
      <c r="DH103" t="e">
        <f>Nodes!H816+"'E4!&amp;C5"</f>
        <v>#VALUE!</v>
      </c>
      <c r="DI103" t="e">
        <f>Nodes!I816+"'E4!&amp;C6"</f>
        <v>#VALUE!</v>
      </c>
      <c r="DJ103" t="e">
        <f>Nodes!J816+"'E4!&amp;C7"</f>
        <v>#VALUE!</v>
      </c>
      <c r="DK103" t="e">
        <f>Nodes!K816+"'E4!&amp;C8"</f>
        <v>#VALUE!</v>
      </c>
      <c r="DL103" t="e">
        <f>Nodes!L816+"'E4!&amp;C9"</f>
        <v>#VALUE!</v>
      </c>
      <c r="DM103" t="e">
        <f>Nodes!M816+"'E4!&amp;C:"</f>
        <v>#VALUE!</v>
      </c>
      <c r="DN103" t="e">
        <f>Nodes!N816+"'E4!&amp;C;"</f>
        <v>#VALUE!</v>
      </c>
      <c r="DO103" t="e">
        <f>Nodes!O816+"'E4!&amp;C&lt;"</f>
        <v>#VALUE!</v>
      </c>
      <c r="DP103" t="e">
        <f>Nodes!P816+"'E4!&amp;C="</f>
        <v>#VALUE!</v>
      </c>
      <c r="DQ103" t="e">
        <f>Nodes!Q816+"'E4!&amp;C&gt;"</f>
        <v>#VALUE!</v>
      </c>
      <c r="DR103" t="e">
        <f>Nodes!R816+"'E4!&amp;C?"</f>
        <v>#VALUE!</v>
      </c>
      <c r="DS103" t="e">
        <f>Nodes!S816+"'E4!&amp;C@"</f>
        <v>#VALUE!</v>
      </c>
      <c r="DT103" s="547" t="e">
        <f>Nodes!T816+"'E4!&amp;CA"</f>
        <v>#VALUE!</v>
      </c>
      <c r="DU103" t="e">
        <f>Nodes!U816+"'E4!&amp;CB"</f>
        <v>#VALUE!</v>
      </c>
      <c r="DV103" t="e">
        <f>Nodes!V816+"'E4!&amp;CC"</f>
        <v>#VALUE!</v>
      </c>
      <c r="DW103" s="547" t="e">
        <f>Nodes!W816+"'E4!&amp;CD"</f>
        <v>#VALUE!</v>
      </c>
      <c r="DX103" t="e">
        <f>Nodes!X816+"'E4!&amp;CE"</f>
        <v>#VALUE!</v>
      </c>
      <c r="DY103" t="e">
        <f>Nodes!Y816+"'E4!&amp;CF"</f>
        <v>#VALUE!</v>
      </c>
      <c r="DZ103" t="e">
        <f>Nodes!Z816+"'E4!&amp;CG"</f>
        <v>#VALUE!</v>
      </c>
      <c r="EA103" t="e">
        <f>Nodes!AA816+"'E4!&amp;CH"</f>
        <v>#VALUE!</v>
      </c>
      <c r="EB103" t="e">
        <f>Nodes!AB816+"'E4!&amp;CI"</f>
        <v>#VALUE!</v>
      </c>
      <c r="EC103" t="e">
        <f>Nodes!AC816+"'E4!&amp;CJ"</f>
        <v>#VALUE!</v>
      </c>
      <c r="ED103" t="e">
        <f>Nodes!A817+"'E4!&amp;CK"</f>
        <v>#VALUE!</v>
      </c>
      <c r="EE103" t="e">
        <f>Nodes!B817+"'E4!&amp;CL"</f>
        <v>#VALUE!</v>
      </c>
      <c r="EF103" t="e">
        <f>Nodes!C817+"'E4!&amp;CM"</f>
        <v>#VALUE!</v>
      </c>
      <c r="EG103" t="e">
        <f>Nodes!D817+"'E4!&amp;CN"</f>
        <v>#VALUE!</v>
      </c>
      <c r="EH103" t="e">
        <f>Nodes!E817+"'E4!&amp;CO"</f>
        <v>#VALUE!</v>
      </c>
      <c r="EI103" t="e">
        <f>Nodes!F817+"'E4!&amp;CP"</f>
        <v>#VALUE!</v>
      </c>
      <c r="EJ103" t="e">
        <f>Nodes!G817+"'E4!&amp;CQ"</f>
        <v>#VALUE!</v>
      </c>
      <c r="EK103" t="e">
        <f>Nodes!H817+"'E4!&amp;CR"</f>
        <v>#VALUE!</v>
      </c>
      <c r="EL103" t="e">
        <f>Nodes!I817+"'E4!&amp;CS"</f>
        <v>#VALUE!</v>
      </c>
      <c r="EM103" t="e">
        <f>Nodes!J817+"'E4!&amp;CT"</f>
        <v>#VALUE!</v>
      </c>
      <c r="EN103" t="e">
        <f>Nodes!K817+"'E4!&amp;CU"</f>
        <v>#VALUE!</v>
      </c>
      <c r="EO103" t="e">
        <f>Nodes!L817+"'E4!&amp;CV"</f>
        <v>#VALUE!</v>
      </c>
      <c r="EP103" t="e">
        <f>Nodes!M817+"'E4!&amp;CW"</f>
        <v>#VALUE!</v>
      </c>
      <c r="EQ103" t="e">
        <f>Nodes!N817+"'E4!&amp;CX"</f>
        <v>#VALUE!</v>
      </c>
      <c r="ER103" t="e">
        <f>Nodes!O817+"'E4!&amp;CY"</f>
        <v>#VALUE!</v>
      </c>
      <c r="ES103" t="e">
        <f>Nodes!P817+"'E4!&amp;CZ"</f>
        <v>#VALUE!</v>
      </c>
      <c r="ET103" t="e">
        <f>Nodes!Q817+"'E4!&amp;C["</f>
        <v>#VALUE!</v>
      </c>
      <c r="EU103" t="e">
        <f>Nodes!R817+"'E4!&amp;C\"</f>
        <v>#VALUE!</v>
      </c>
      <c r="EV103" t="e">
        <f>Nodes!S817+"'E4!&amp;C]"</f>
        <v>#VALUE!</v>
      </c>
      <c r="EW103" s="547" t="e">
        <f>Nodes!T817+"'E4!&amp;C^"</f>
        <v>#VALUE!</v>
      </c>
      <c r="EX103" t="e">
        <f>Nodes!U817+"'E4!&amp;C_"</f>
        <v>#VALUE!</v>
      </c>
      <c r="EY103" t="e">
        <f>Nodes!V817+"'E4!&amp;C`"</f>
        <v>#VALUE!</v>
      </c>
      <c r="EZ103" s="547" t="e">
        <f>Nodes!W817+"'E4!&amp;Ca"</f>
        <v>#VALUE!</v>
      </c>
      <c r="FA103" t="e">
        <f>Nodes!X817+"'E4!&amp;Cb"</f>
        <v>#VALUE!</v>
      </c>
      <c r="FB103" t="e">
        <f>Nodes!Y817+"'E4!&amp;Cc"</f>
        <v>#VALUE!</v>
      </c>
      <c r="FC103" t="e">
        <f>Nodes!Z817+"'E4!&amp;Cd"</f>
        <v>#VALUE!</v>
      </c>
      <c r="FD103" t="e">
        <f>Nodes!AA817+"'E4!&amp;Ce"</f>
        <v>#VALUE!</v>
      </c>
      <c r="FE103" t="e">
        <f>Nodes!AB817+"'E4!&amp;Cf"</f>
        <v>#VALUE!</v>
      </c>
      <c r="FF103" t="e">
        <f>Nodes!AC817+"'E4!&amp;Cg"</f>
        <v>#VALUE!</v>
      </c>
      <c r="FG103" t="e">
        <f>Nodes!A818+"'E4!&amp;Ch"</f>
        <v>#VALUE!</v>
      </c>
      <c r="FH103" t="e">
        <f>Nodes!B818+"'E4!&amp;Ci"</f>
        <v>#VALUE!</v>
      </c>
      <c r="FI103" t="e">
        <f>Nodes!C818+"'E4!&amp;Cj"</f>
        <v>#VALUE!</v>
      </c>
      <c r="FJ103" t="e">
        <f>Nodes!D818+"'E4!&amp;Ck"</f>
        <v>#VALUE!</v>
      </c>
      <c r="FK103" t="e">
        <f>Nodes!E818+"'E4!&amp;Cl"</f>
        <v>#VALUE!</v>
      </c>
      <c r="FL103" t="e">
        <f>Nodes!F818+"'E4!&amp;Cm"</f>
        <v>#VALUE!</v>
      </c>
      <c r="FM103" t="e">
        <f>Nodes!G818+"'E4!&amp;Cn"</f>
        <v>#VALUE!</v>
      </c>
      <c r="FN103" t="e">
        <f>Nodes!H818+"'E4!&amp;Co"</f>
        <v>#VALUE!</v>
      </c>
      <c r="FO103" t="e">
        <f>Nodes!I818+"'E4!&amp;Cp"</f>
        <v>#VALUE!</v>
      </c>
      <c r="FP103" t="e">
        <f>Nodes!J818+"'E4!&amp;Cq"</f>
        <v>#VALUE!</v>
      </c>
      <c r="FQ103" t="e">
        <f>Nodes!K818+"'E4!&amp;Cr"</f>
        <v>#VALUE!</v>
      </c>
      <c r="FR103" t="e">
        <f>Nodes!L818+"'E4!&amp;Cs"</f>
        <v>#VALUE!</v>
      </c>
      <c r="FS103" t="e">
        <f>Nodes!M818+"'E4!&amp;Ct"</f>
        <v>#VALUE!</v>
      </c>
      <c r="FT103" t="e">
        <f>Nodes!N818+"'E4!&amp;Cu"</f>
        <v>#VALUE!</v>
      </c>
      <c r="FU103" t="e">
        <f>Nodes!O818+"'E4!&amp;Cv"</f>
        <v>#VALUE!</v>
      </c>
      <c r="FV103" t="e">
        <f>Nodes!P818+"'E4!&amp;Cw"</f>
        <v>#VALUE!</v>
      </c>
      <c r="FW103" t="e">
        <f>Nodes!Q818+"'E4!&amp;Cx"</f>
        <v>#VALUE!</v>
      </c>
      <c r="FX103" t="e">
        <f>Nodes!R818+"'E4!&amp;Cy"</f>
        <v>#VALUE!</v>
      </c>
      <c r="FY103" t="e">
        <f>Nodes!S818+"'E4!&amp;Cz"</f>
        <v>#VALUE!</v>
      </c>
      <c r="FZ103" s="547" t="e">
        <f>Nodes!T818+"'E4!&amp;C{"</f>
        <v>#VALUE!</v>
      </c>
      <c r="GA103" t="e">
        <f>Nodes!U818+"'E4!&amp;C|"</f>
        <v>#VALUE!</v>
      </c>
      <c r="GB103" t="e">
        <f>Nodes!V818+"'E4!&amp;C}"</f>
        <v>#VALUE!</v>
      </c>
      <c r="GC103" s="547" t="e">
        <f>Nodes!W818+"'E4!&amp;C~"</f>
        <v>#VALUE!</v>
      </c>
      <c r="GD103" t="e">
        <f>Nodes!X818+"'E4!&amp;D#"</f>
        <v>#VALUE!</v>
      </c>
      <c r="GE103" t="e">
        <f>Nodes!Y818+"'E4!&amp;D$"</f>
        <v>#VALUE!</v>
      </c>
      <c r="GF103" t="e">
        <f>Nodes!Z818+"'E4!&amp;D%"</f>
        <v>#VALUE!</v>
      </c>
      <c r="GG103" t="e">
        <f>Nodes!AA818+"'E4!&amp;D&amp;"</f>
        <v>#VALUE!</v>
      </c>
      <c r="GH103" t="e">
        <f>Nodes!AB818+"'E4!&amp;D'"</f>
        <v>#VALUE!</v>
      </c>
      <c r="GI103" t="e">
        <f>Nodes!AC818+"'E4!&amp;D("</f>
        <v>#VALUE!</v>
      </c>
      <c r="GJ103" t="e">
        <f>Nodes!A819+"'E4!&amp;D)"</f>
        <v>#VALUE!</v>
      </c>
      <c r="GK103" t="e">
        <f>Nodes!B819+"'E4!&amp;D."</f>
        <v>#VALUE!</v>
      </c>
      <c r="GL103" t="e">
        <f>Nodes!C819+"'E4!&amp;D/"</f>
        <v>#VALUE!</v>
      </c>
      <c r="GM103" t="e">
        <f>Nodes!D819+"'E4!&amp;D0"</f>
        <v>#VALUE!</v>
      </c>
      <c r="GN103" t="e">
        <f>Nodes!E819+"'E4!&amp;D1"</f>
        <v>#VALUE!</v>
      </c>
      <c r="GO103" t="e">
        <f>Nodes!F819+"'E4!&amp;D2"</f>
        <v>#VALUE!</v>
      </c>
      <c r="GP103" t="e">
        <f>Nodes!G819+"'E4!&amp;D3"</f>
        <v>#VALUE!</v>
      </c>
      <c r="GQ103" t="e">
        <f>Nodes!H819+"'E4!&amp;D4"</f>
        <v>#VALUE!</v>
      </c>
      <c r="GR103" t="e">
        <f>Nodes!I819+"'E4!&amp;D5"</f>
        <v>#VALUE!</v>
      </c>
      <c r="GS103" t="e">
        <f>Nodes!J819+"'E4!&amp;D6"</f>
        <v>#VALUE!</v>
      </c>
      <c r="GT103" t="e">
        <f>Nodes!K819+"'E4!&amp;D7"</f>
        <v>#VALUE!</v>
      </c>
      <c r="GU103" t="e">
        <f>Nodes!L819+"'E4!&amp;D8"</f>
        <v>#VALUE!</v>
      </c>
      <c r="GV103" t="e">
        <f>Nodes!M819+"'E4!&amp;D9"</f>
        <v>#VALUE!</v>
      </c>
      <c r="GW103" t="e">
        <f>Nodes!N819+"'E4!&amp;D:"</f>
        <v>#VALUE!</v>
      </c>
      <c r="GX103" t="e">
        <f>Nodes!O819+"'E4!&amp;D;"</f>
        <v>#VALUE!</v>
      </c>
      <c r="GY103" t="e">
        <f>Nodes!P819+"'E4!&amp;D&lt;"</f>
        <v>#VALUE!</v>
      </c>
      <c r="GZ103" t="e">
        <f>Nodes!Q819+"'E4!&amp;D="</f>
        <v>#VALUE!</v>
      </c>
      <c r="HA103" t="e">
        <f>Nodes!R819+"'E4!&amp;D&gt;"</f>
        <v>#VALUE!</v>
      </c>
      <c r="HB103" t="e">
        <f>Nodes!S819+"'E4!&amp;D?"</f>
        <v>#VALUE!</v>
      </c>
      <c r="HC103" s="547" t="e">
        <f>Nodes!T819+"'E4!&amp;D@"</f>
        <v>#VALUE!</v>
      </c>
      <c r="HD103" t="e">
        <f>Nodes!U819+"'E4!&amp;DA"</f>
        <v>#VALUE!</v>
      </c>
      <c r="HE103" t="e">
        <f>Nodes!V819+"'E4!&amp;DB"</f>
        <v>#VALUE!</v>
      </c>
      <c r="HF103" s="547" t="e">
        <f>Nodes!W819+"'E4!&amp;DC"</f>
        <v>#VALUE!</v>
      </c>
      <c r="HG103" t="e">
        <f>Nodes!X819+"'E4!&amp;DD"</f>
        <v>#VALUE!</v>
      </c>
      <c r="HH103" t="e">
        <f>Nodes!Y819+"'E4!&amp;DE"</f>
        <v>#VALUE!</v>
      </c>
      <c r="HI103" t="e">
        <f>Nodes!Z819+"'E4!&amp;DF"</f>
        <v>#VALUE!</v>
      </c>
      <c r="HJ103" t="e">
        <f>Nodes!AA819+"'E4!&amp;DG"</f>
        <v>#VALUE!</v>
      </c>
      <c r="HK103" t="e">
        <f>Nodes!AB819+"'E4!&amp;DH"</f>
        <v>#VALUE!</v>
      </c>
      <c r="HL103" t="e">
        <f>Nodes!AC819+"'E4!&amp;DI"</f>
        <v>#VALUE!</v>
      </c>
      <c r="HM103" t="e">
        <f>Nodes!A820+"'E4!&amp;DJ"</f>
        <v>#VALUE!</v>
      </c>
      <c r="HN103" t="e">
        <f>Nodes!B820+"'E4!&amp;DK"</f>
        <v>#VALUE!</v>
      </c>
      <c r="HO103" t="e">
        <f>Nodes!C820+"'E4!&amp;DL"</f>
        <v>#VALUE!</v>
      </c>
      <c r="HP103" t="e">
        <f>Nodes!D820+"'E4!&amp;DM"</f>
        <v>#VALUE!</v>
      </c>
      <c r="HQ103" t="e">
        <f>Nodes!E820+"'E4!&amp;DN"</f>
        <v>#VALUE!</v>
      </c>
      <c r="HR103" t="e">
        <f>Nodes!F820+"'E4!&amp;DO"</f>
        <v>#VALUE!</v>
      </c>
      <c r="HS103" t="e">
        <f>Nodes!G820+"'E4!&amp;DP"</f>
        <v>#VALUE!</v>
      </c>
      <c r="HT103" t="e">
        <f>Nodes!H820+"'E4!&amp;DQ"</f>
        <v>#VALUE!</v>
      </c>
      <c r="HU103" t="e">
        <f>Nodes!I820+"'E4!&amp;DR"</f>
        <v>#VALUE!</v>
      </c>
      <c r="HV103" t="e">
        <f>Nodes!J820+"'E4!&amp;DS"</f>
        <v>#VALUE!</v>
      </c>
      <c r="HW103" t="e">
        <f>Nodes!K820+"'E4!&amp;DT"</f>
        <v>#VALUE!</v>
      </c>
      <c r="HX103" t="e">
        <f>Nodes!L820+"'E4!&amp;DU"</f>
        <v>#VALUE!</v>
      </c>
      <c r="HY103" t="e">
        <f>Nodes!M820+"'E4!&amp;DV"</f>
        <v>#VALUE!</v>
      </c>
      <c r="HZ103" t="e">
        <f>Nodes!N820+"'E4!&amp;DW"</f>
        <v>#VALUE!</v>
      </c>
      <c r="IA103" t="e">
        <f>Nodes!O820+"'E4!&amp;DX"</f>
        <v>#VALUE!</v>
      </c>
      <c r="IB103" t="e">
        <f>Nodes!P820+"'E4!&amp;DY"</f>
        <v>#VALUE!</v>
      </c>
      <c r="IC103" t="e">
        <f>Nodes!Q820+"'E4!&amp;DZ"</f>
        <v>#VALUE!</v>
      </c>
      <c r="ID103" t="e">
        <f>Nodes!R820+"'E4!&amp;D["</f>
        <v>#VALUE!</v>
      </c>
      <c r="IE103" t="e">
        <f>Nodes!S820+"'E4!&amp;D\"</f>
        <v>#VALUE!</v>
      </c>
      <c r="IF103" s="547" t="e">
        <f>Nodes!T820+"'E4!&amp;D]"</f>
        <v>#VALUE!</v>
      </c>
      <c r="IG103" t="e">
        <f>Nodes!U820+"'E4!&amp;D^"</f>
        <v>#VALUE!</v>
      </c>
      <c r="IH103" t="e">
        <f>Nodes!V820+"'E4!&amp;D_"</f>
        <v>#VALUE!</v>
      </c>
      <c r="II103" s="547" t="e">
        <f>Nodes!W820+"'E4!&amp;D`"</f>
        <v>#VALUE!</v>
      </c>
      <c r="IJ103" t="e">
        <f>Nodes!X820+"'E4!&amp;Da"</f>
        <v>#VALUE!</v>
      </c>
      <c r="IK103" t="e">
        <f>Nodes!Y820+"'E4!&amp;Db"</f>
        <v>#VALUE!</v>
      </c>
      <c r="IL103" t="e">
        <f>Nodes!Z820+"'E4!&amp;Dc"</f>
        <v>#VALUE!</v>
      </c>
      <c r="IM103" t="e">
        <f>Nodes!AA820+"'E4!&amp;Dd"</f>
        <v>#VALUE!</v>
      </c>
      <c r="IN103" t="e">
        <f>Nodes!AB820+"'E4!&amp;De"</f>
        <v>#VALUE!</v>
      </c>
      <c r="IO103" t="e">
        <f>Nodes!AC820+"'E4!&amp;Df"</f>
        <v>#VALUE!</v>
      </c>
      <c r="IP103" t="e">
        <f>Nodes!A821+"'E4!&amp;Dg"</f>
        <v>#VALUE!</v>
      </c>
      <c r="IQ103" t="e">
        <f>Nodes!B821+"'E4!&amp;Dh"</f>
        <v>#VALUE!</v>
      </c>
      <c r="IR103" t="e">
        <f>Nodes!C821+"'E4!&amp;Di"</f>
        <v>#VALUE!</v>
      </c>
      <c r="IS103" t="e">
        <f>Nodes!D821+"'E4!&amp;Dj"</f>
        <v>#VALUE!</v>
      </c>
      <c r="IT103" t="e">
        <f>Nodes!E821+"'E4!&amp;Dk"</f>
        <v>#VALUE!</v>
      </c>
      <c r="IU103" t="e">
        <f>Nodes!F821+"'E4!&amp;Dl"</f>
        <v>#VALUE!</v>
      </c>
      <c r="IV103" t="e">
        <f>Nodes!G821+"'E4!&amp;Dm"</f>
        <v>#VALUE!</v>
      </c>
    </row>
    <row r="104" spans="6:256">
      <c r="F104" t="e">
        <f>Nodes!H821+"'E4!&amp;Dn"</f>
        <v>#VALUE!</v>
      </c>
      <c r="G104" t="e">
        <f>Nodes!I821+"'E4!&amp;Do"</f>
        <v>#VALUE!</v>
      </c>
      <c r="H104" t="e">
        <f>Nodes!J821+"'E4!&amp;Dp"</f>
        <v>#VALUE!</v>
      </c>
      <c r="I104" t="e">
        <f>Nodes!K821+"'E4!&amp;Dq"</f>
        <v>#VALUE!</v>
      </c>
      <c r="J104" t="e">
        <f>Nodes!L821+"'E4!&amp;Dr"</f>
        <v>#VALUE!</v>
      </c>
      <c r="K104" t="e">
        <f>Nodes!M821+"'E4!&amp;Ds"</f>
        <v>#VALUE!</v>
      </c>
      <c r="L104" t="e">
        <f>Nodes!N821+"'E4!&amp;Dt"</f>
        <v>#VALUE!</v>
      </c>
      <c r="M104" t="e">
        <f>Nodes!O821+"'E4!&amp;Du"</f>
        <v>#VALUE!</v>
      </c>
      <c r="N104" t="e">
        <f>Nodes!P821+"'E4!&amp;Dv"</f>
        <v>#VALUE!</v>
      </c>
      <c r="O104" t="e">
        <f>Nodes!Q821+"'E4!&amp;Dw"</f>
        <v>#VALUE!</v>
      </c>
      <c r="P104" t="e">
        <f>Nodes!R821+"'E4!&amp;Dx"</f>
        <v>#VALUE!</v>
      </c>
      <c r="Q104" t="e">
        <f>Nodes!S821+"'E4!&amp;Dy"</f>
        <v>#VALUE!</v>
      </c>
      <c r="R104" s="547" t="e">
        <f>Nodes!T821+"'E4!&amp;Dz"</f>
        <v>#VALUE!</v>
      </c>
      <c r="S104" t="e">
        <f>Nodes!U821+"'E4!&amp;D{"</f>
        <v>#VALUE!</v>
      </c>
      <c r="T104" t="e">
        <f>Nodes!V821+"'E4!&amp;D|"</f>
        <v>#VALUE!</v>
      </c>
      <c r="U104" s="547" t="e">
        <f>Nodes!W821+"'E4!&amp;D}"</f>
        <v>#VALUE!</v>
      </c>
      <c r="V104" t="e">
        <f>Nodes!X821+"'E4!&amp;D~"</f>
        <v>#VALUE!</v>
      </c>
      <c r="W104" t="e">
        <f>Nodes!Y821+"'E4!&amp;E#"</f>
        <v>#VALUE!</v>
      </c>
      <c r="X104" t="e">
        <f>Nodes!Z821+"'E4!&amp;E$"</f>
        <v>#VALUE!</v>
      </c>
      <c r="Y104" t="e">
        <f>Nodes!AA821+"'E4!&amp;E%"</f>
        <v>#VALUE!</v>
      </c>
      <c r="Z104" t="e">
        <f>Nodes!AB821+"'E4!&amp;E&amp;"</f>
        <v>#VALUE!</v>
      </c>
      <c r="AA104" t="e">
        <f>Nodes!AC821+"'E4!&amp;E'"</f>
        <v>#VALUE!</v>
      </c>
      <c r="AB104" t="e">
        <f>Nodes!A822+"'E4!&amp;E("</f>
        <v>#VALUE!</v>
      </c>
      <c r="AC104" t="e">
        <f>Nodes!B822+"'E4!&amp;E)"</f>
        <v>#VALUE!</v>
      </c>
      <c r="AD104" t="e">
        <f>Nodes!C822+"'E4!&amp;E."</f>
        <v>#VALUE!</v>
      </c>
      <c r="AE104" t="e">
        <f>Nodes!D822+"'E4!&amp;E/"</f>
        <v>#VALUE!</v>
      </c>
      <c r="AF104" t="e">
        <f>Nodes!E822+"'E4!&amp;E0"</f>
        <v>#VALUE!</v>
      </c>
      <c r="AG104" t="e">
        <f>Nodes!F822+"'E4!&amp;E1"</f>
        <v>#VALUE!</v>
      </c>
      <c r="AH104" t="e">
        <f>Nodes!G822+"'E4!&amp;E2"</f>
        <v>#VALUE!</v>
      </c>
      <c r="AI104" t="e">
        <f>Nodes!H822+"'E4!&amp;E3"</f>
        <v>#VALUE!</v>
      </c>
      <c r="AJ104" t="e">
        <f>Nodes!I822+"'E4!&amp;E4"</f>
        <v>#VALUE!</v>
      </c>
      <c r="AK104" t="e">
        <f>Nodes!J822+"'E4!&amp;E5"</f>
        <v>#VALUE!</v>
      </c>
      <c r="AL104" t="e">
        <f>Nodes!K822+"'E4!&amp;E6"</f>
        <v>#VALUE!</v>
      </c>
      <c r="AM104" t="e">
        <f>Nodes!L822+"'E4!&amp;E7"</f>
        <v>#VALUE!</v>
      </c>
      <c r="AN104" t="e">
        <f>Nodes!M822+"'E4!&amp;E8"</f>
        <v>#VALUE!</v>
      </c>
      <c r="AO104" t="e">
        <f>Nodes!N822+"'E4!&amp;E9"</f>
        <v>#VALUE!</v>
      </c>
      <c r="AP104" t="e">
        <f>Nodes!O822+"'E4!&amp;E:"</f>
        <v>#VALUE!</v>
      </c>
      <c r="AQ104" t="e">
        <f>Nodes!P822+"'E4!&amp;E;"</f>
        <v>#VALUE!</v>
      </c>
      <c r="AR104" t="e">
        <f>Nodes!Q822+"'E4!&amp;E&lt;"</f>
        <v>#VALUE!</v>
      </c>
      <c r="AS104" t="e">
        <f>Nodes!R822+"'E4!&amp;E="</f>
        <v>#VALUE!</v>
      </c>
      <c r="AT104" t="e">
        <f>Nodes!S822+"'E4!&amp;E&gt;"</f>
        <v>#VALUE!</v>
      </c>
      <c r="AU104" s="547" t="e">
        <f>Nodes!T822+"'E4!&amp;E?"</f>
        <v>#VALUE!</v>
      </c>
      <c r="AV104" t="e">
        <f>Nodes!U822+"'E4!&amp;E@"</f>
        <v>#VALUE!</v>
      </c>
      <c r="AW104" t="e">
        <f>Nodes!V822+"'E4!&amp;EA"</f>
        <v>#VALUE!</v>
      </c>
      <c r="AX104" s="547" t="e">
        <f>Nodes!W822+"'E4!&amp;EB"</f>
        <v>#VALUE!</v>
      </c>
      <c r="AY104" t="e">
        <f>Nodes!X822+"'E4!&amp;EC"</f>
        <v>#VALUE!</v>
      </c>
      <c r="AZ104" t="e">
        <f>Nodes!Y822+"'E4!&amp;ED"</f>
        <v>#VALUE!</v>
      </c>
      <c r="BA104" t="e">
        <f>Nodes!Z822+"'E4!&amp;EE"</f>
        <v>#VALUE!</v>
      </c>
      <c r="BB104" t="e">
        <f>Nodes!AA822+"'E4!&amp;EF"</f>
        <v>#VALUE!</v>
      </c>
      <c r="BC104" t="e">
        <f>Nodes!AB822+"'E4!&amp;EG"</f>
        <v>#VALUE!</v>
      </c>
      <c r="BD104" t="e">
        <f>Nodes!AC822+"'E4!&amp;EH"</f>
        <v>#VALUE!</v>
      </c>
      <c r="BE104" t="e">
        <f>Nodes!A823+"'E4!&amp;EI"</f>
        <v>#VALUE!</v>
      </c>
      <c r="BF104" t="e">
        <f>Nodes!B823+"'E4!&amp;EJ"</f>
        <v>#VALUE!</v>
      </c>
      <c r="BG104" t="e">
        <f>Nodes!C823+"'E4!&amp;EK"</f>
        <v>#VALUE!</v>
      </c>
      <c r="BH104" t="e">
        <f>Nodes!D823+"'E4!&amp;EL"</f>
        <v>#VALUE!</v>
      </c>
      <c r="BI104" t="e">
        <f>Nodes!E823+"'E4!&amp;EM"</f>
        <v>#VALUE!</v>
      </c>
      <c r="BJ104" t="e">
        <f>Nodes!F823+"'E4!&amp;EN"</f>
        <v>#VALUE!</v>
      </c>
      <c r="BK104" t="e">
        <f>Nodes!G823+"'E4!&amp;EO"</f>
        <v>#VALUE!</v>
      </c>
      <c r="BL104" t="e">
        <f>Nodes!H823+"'E4!&amp;EP"</f>
        <v>#VALUE!</v>
      </c>
      <c r="BM104" t="e">
        <f>Nodes!I823+"'E4!&amp;EQ"</f>
        <v>#VALUE!</v>
      </c>
      <c r="BN104" t="e">
        <f>Nodes!J823+"'E4!&amp;ER"</f>
        <v>#VALUE!</v>
      </c>
      <c r="BO104" t="e">
        <f>Nodes!K823+"'E4!&amp;ES"</f>
        <v>#VALUE!</v>
      </c>
      <c r="BP104" t="e">
        <f>Nodes!L823+"'E4!&amp;ET"</f>
        <v>#VALUE!</v>
      </c>
      <c r="BQ104" t="e">
        <f>Nodes!M823+"'E4!&amp;EU"</f>
        <v>#VALUE!</v>
      </c>
      <c r="BR104" t="e">
        <f>Nodes!N823+"'E4!&amp;EV"</f>
        <v>#VALUE!</v>
      </c>
      <c r="BS104" t="e">
        <f>Nodes!O823+"'E4!&amp;EW"</f>
        <v>#VALUE!</v>
      </c>
      <c r="BT104" t="e">
        <f>Nodes!P823+"'E4!&amp;EX"</f>
        <v>#N/A</v>
      </c>
      <c r="BU104" t="e">
        <f>Nodes!Q823+"'E4!&amp;EY"</f>
        <v>#VALUE!</v>
      </c>
      <c r="BV104" t="e">
        <f>Nodes!R823+"'E4!&amp;EZ"</f>
        <v>#VALUE!</v>
      </c>
      <c r="BW104" t="e">
        <f>Nodes!S823+"'E4!&amp;E["</f>
        <v>#VALUE!</v>
      </c>
      <c r="BX104" s="547" t="e">
        <f>Nodes!T823+"'E4!&amp;E\"</f>
        <v>#VALUE!</v>
      </c>
      <c r="BY104" t="e">
        <f>Nodes!U823+"'E4!&amp;E]"</f>
        <v>#VALUE!</v>
      </c>
      <c r="BZ104" t="e">
        <f>Nodes!V823+"'E4!&amp;E^"</f>
        <v>#VALUE!</v>
      </c>
      <c r="CA104" s="547" t="e">
        <f>Nodes!W823+"'E4!&amp;E_"</f>
        <v>#VALUE!</v>
      </c>
      <c r="CB104" t="e">
        <f>Nodes!X823+"'E4!&amp;E`"</f>
        <v>#VALUE!</v>
      </c>
      <c r="CC104" t="e">
        <f>Nodes!Y823+"'E4!&amp;Ea"</f>
        <v>#VALUE!</v>
      </c>
      <c r="CD104" t="e">
        <f>Nodes!Z823+"'E4!&amp;Eb"</f>
        <v>#VALUE!</v>
      </c>
      <c r="CE104" t="e">
        <f>Nodes!AA823+"'E4!&amp;Ec"</f>
        <v>#VALUE!</v>
      </c>
      <c r="CF104" t="e">
        <f>Nodes!AB823+"'E4!&amp;Ed"</f>
        <v>#VALUE!</v>
      </c>
      <c r="CG104" t="e">
        <f>Nodes!AC823+"'E4!&amp;Ee"</f>
        <v>#VALUE!</v>
      </c>
      <c r="CH104" t="e">
        <f>Nodes!A824+"'E4!&amp;Ef"</f>
        <v>#VALUE!</v>
      </c>
      <c r="CI104" t="e">
        <f>Nodes!B824+"'E4!&amp;Eg"</f>
        <v>#VALUE!</v>
      </c>
      <c r="CJ104" t="e">
        <f>Nodes!C824+"'E4!&amp;Eh"</f>
        <v>#VALUE!</v>
      </c>
      <c r="CK104" t="e">
        <f>Nodes!D824+"'E4!&amp;Ei"</f>
        <v>#VALUE!</v>
      </c>
      <c r="CL104" t="e">
        <f>Nodes!E824+"'E4!&amp;Ej"</f>
        <v>#VALUE!</v>
      </c>
      <c r="CM104" t="e">
        <f>Nodes!F824+"'E4!&amp;Ek"</f>
        <v>#VALUE!</v>
      </c>
      <c r="CN104" t="e">
        <f>Nodes!G824+"'E4!&amp;El"</f>
        <v>#VALUE!</v>
      </c>
      <c r="CO104" t="e">
        <f>Nodes!H824+"'E4!&amp;Em"</f>
        <v>#VALUE!</v>
      </c>
      <c r="CP104" t="e">
        <f>Nodes!I824+"'E4!&amp;En"</f>
        <v>#VALUE!</v>
      </c>
      <c r="CQ104" t="e">
        <f>Nodes!J824+"'E4!&amp;Eo"</f>
        <v>#VALUE!</v>
      </c>
      <c r="CR104" t="e">
        <f>Nodes!K824+"'E4!&amp;Ep"</f>
        <v>#VALUE!</v>
      </c>
      <c r="CS104" t="e">
        <f>Nodes!L824+"'E4!&amp;Eq"</f>
        <v>#VALUE!</v>
      </c>
      <c r="CT104" t="e">
        <f>Nodes!M824+"'E4!&amp;Er"</f>
        <v>#VALUE!</v>
      </c>
      <c r="CU104" t="e">
        <f>Nodes!N824+"'E4!&amp;Es"</f>
        <v>#VALUE!</v>
      </c>
      <c r="CV104" t="e">
        <f>Nodes!O824+"'E4!&amp;Et"</f>
        <v>#VALUE!</v>
      </c>
      <c r="CW104" t="e">
        <f>Nodes!P824+"'E4!&amp;Eu"</f>
        <v>#VALUE!</v>
      </c>
      <c r="CX104" t="e">
        <f>Nodes!Q824+"'E4!&amp;Ev"</f>
        <v>#VALUE!</v>
      </c>
      <c r="CY104" t="e">
        <f>Nodes!R824+"'E4!&amp;Ew"</f>
        <v>#VALUE!</v>
      </c>
      <c r="CZ104" t="e">
        <f>Nodes!S824+"'E4!&amp;Ex"</f>
        <v>#VALUE!</v>
      </c>
      <c r="DA104" s="547" t="e">
        <f>Nodes!T824+"'E4!&amp;Ey"</f>
        <v>#VALUE!</v>
      </c>
      <c r="DB104" t="e">
        <f>Nodes!U824+"'E4!&amp;Ez"</f>
        <v>#VALUE!</v>
      </c>
      <c r="DC104" t="e">
        <f>Nodes!V824+"'E4!&amp;E{"</f>
        <v>#VALUE!</v>
      </c>
      <c r="DD104" s="547" t="e">
        <f>Nodes!W824+"'E4!&amp;E|"</f>
        <v>#VALUE!</v>
      </c>
      <c r="DE104" t="e">
        <f>Nodes!X824+"'E4!&amp;E}"</f>
        <v>#VALUE!</v>
      </c>
      <c r="DF104" t="e">
        <f>Nodes!Y824+"'E4!&amp;E~"</f>
        <v>#VALUE!</v>
      </c>
      <c r="DG104" t="e">
        <f>Nodes!Z824+"'E4!&amp;F#"</f>
        <v>#VALUE!</v>
      </c>
      <c r="DH104" t="e">
        <f>Nodes!AA824+"'E4!&amp;F$"</f>
        <v>#VALUE!</v>
      </c>
      <c r="DI104" t="e">
        <f>Nodes!AB824+"'E4!&amp;F%"</f>
        <v>#VALUE!</v>
      </c>
      <c r="DJ104" t="e">
        <f>Nodes!AC824+"'E4!&amp;F&amp;"</f>
        <v>#VALUE!</v>
      </c>
      <c r="DK104" t="e">
        <f>Nodes!A825+"'E4!&amp;F'"</f>
        <v>#VALUE!</v>
      </c>
      <c r="DL104" t="e">
        <f>Nodes!B825+"'E4!&amp;F("</f>
        <v>#VALUE!</v>
      </c>
      <c r="DM104" t="e">
        <f>Nodes!C825+"'E4!&amp;F)"</f>
        <v>#VALUE!</v>
      </c>
      <c r="DN104" t="e">
        <f>Nodes!D825+"'E4!&amp;F."</f>
        <v>#VALUE!</v>
      </c>
      <c r="DO104" t="e">
        <f>Nodes!E825+"'E4!&amp;F/"</f>
        <v>#VALUE!</v>
      </c>
      <c r="DP104" t="e">
        <f>Nodes!F825+"'E4!&amp;F0"</f>
        <v>#VALUE!</v>
      </c>
      <c r="DQ104" t="e">
        <f>Nodes!G825+"'E4!&amp;F1"</f>
        <v>#VALUE!</v>
      </c>
      <c r="DR104" t="e">
        <f>Nodes!H825+"'E4!&amp;F2"</f>
        <v>#VALUE!</v>
      </c>
      <c r="DS104" t="e">
        <f>Nodes!I825+"'E4!&amp;F3"</f>
        <v>#VALUE!</v>
      </c>
      <c r="DT104" t="e">
        <f>Nodes!J825+"'E4!&amp;F4"</f>
        <v>#VALUE!</v>
      </c>
      <c r="DU104" t="e">
        <f>Nodes!K825+"'E4!&amp;F5"</f>
        <v>#VALUE!</v>
      </c>
      <c r="DV104" t="e">
        <f>Nodes!L825+"'E4!&amp;F6"</f>
        <v>#VALUE!</v>
      </c>
      <c r="DW104" t="e">
        <f>Nodes!M825+"'E4!&amp;F7"</f>
        <v>#VALUE!</v>
      </c>
      <c r="DX104" t="e">
        <f>Nodes!N825+"'E4!&amp;F8"</f>
        <v>#VALUE!</v>
      </c>
      <c r="DY104" t="e">
        <f>Nodes!O825+"'E4!&amp;F9"</f>
        <v>#VALUE!</v>
      </c>
      <c r="DZ104" t="e">
        <f>Nodes!P825+"'E4!&amp;F:"</f>
        <v>#VALUE!</v>
      </c>
      <c r="EA104" t="e">
        <f>Nodes!Q825+"'E4!&amp;F;"</f>
        <v>#VALUE!</v>
      </c>
      <c r="EB104" t="e">
        <f>Nodes!R825+"'E4!&amp;F&lt;"</f>
        <v>#VALUE!</v>
      </c>
      <c r="EC104" t="e">
        <f>Nodes!S825+"'E4!&amp;F="</f>
        <v>#VALUE!</v>
      </c>
      <c r="ED104" s="547" t="e">
        <f>Nodes!T825+"'E4!&amp;F&gt;"</f>
        <v>#VALUE!</v>
      </c>
      <c r="EE104" t="e">
        <f>Nodes!U825+"'E4!&amp;F?"</f>
        <v>#VALUE!</v>
      </c>
      <c r="EF104" t="e">
        <f>Nodes!V825+"'E4!&amp;F@"</f>
        <v>#VALUE!</v>
      </c>
      <c r="EG104" s="547" t="e">
        <f>Nodes!W825+"'E4!&amp;FA"</f>
        <v>#VALUE!</v>
      </c>
      <c r="EH104" t="e">
        <f>Nodes!X825+"'E4!&amp;FB"</f>
        <v>#VALUE!</v>
      </c>
      <c r="EI104" t="e">
        <f>Nodes!Y825+"'E4!&amp;FC"</f>
        <v>#VALUE!</v>
      </c>
      <c r="EJ104" t="e">
        <f>Nodes!Z825+"'E4!&amp;FD"</f>
        <v>#VALUE!</v>
      </c>
      <c r="EK104" t="e">
        <f>Nodes!AA825+"'E4!&amp;FE"</f>
        <v>#VALUE!</v>
      </c>
      <c r="EL104" t="e">
        <f>Nodes!AB825+"'E4!&amp;FF"</f>
        <v>#VALUE!</v>
      </c>
      <c r="EM104" t="e">
        <f>Nodes!AC825+"'E4!&amp;FG"</f>
        <v>#VALUE!</v>
      </c>
      <c r="EN104" t="e">
        <f>Nodes!A826+"'E4!&amp;FH"</f>
        <v>#VALUE!</v>
      </c>
      <c r="EO104" t="e">
        <f>Nodes!B826+"'E4!&amp;FI"</f>
        <v>#VALUE!</v>
      </c>
      <c r="EP104" t="e">
        <f>Nodes!C826+"'E4!&amp;FJ"</f>
        <v>#VALUE!</v>
      </c>
      <c r="EQ104" t="e">
        <f>Nodes!D826+"'E4!&amp;FK"</f>
        <v>#VALUE!</v>
      </c>
      <c r="ER104" t="e">
        <f>Nodes!E826+"'E4!&amp;FL"</f>
        <v>#VALUE!</v>
      </c>
      <c r="ES104" t="e">
        <f>Nodes!F826+"'E4!&amp;FM"</f>
        <v>#VALUE!</v>
      </c>
      <c r="ET104" t="e">
        <f>Nodes!G826+"'E4!&amp;FN"</f>
        <v>#VALUE!</v>
      </c>
      <c r="EU104" t="e">
        <f>Nodes!H826+"'E4!&amp;FO"</f>
        <v>#VALUE!</v>
      </c>
      <c r="EV104" t="e">
        <f>Nodes!I826+"'E4!&amp;FP"</f>
        <v>#VALUE!</v>
      </c>
      <c r="EW104" t="e">
        <f>Nodes!J826+"'E4!&amp;FQ"</f>
        <v>#VALUE!</v>
      </c>
      <c r="EX104" t="e">
        <f>Nodes!K826+"'E4!&amp;FR"</f>
        <v>#VALUE!</v>
      </c>
      <c r="EY104" t="e">
        <f>Nodes!L826+"'E4!&amp;FS"</f>
        <v>#VALUE!</v>
      </c>
      <c r="EZ104" t="e">
        <f>Nodes!M826+"'E4!&amp;FT"</f>
        <v>#VALUE!</v>
      </c>
      <c r="FA104" t="e">
        <f>Nodes!N826+"'E4!&amp;FU"</f>
        <v>#VALUE!</v>
      </c>
      <c r="FB104" t="e">
        <f>Nodes!O826+"'E4!&amp;FV"</f>
        <v>#VALUE!</v>
      </c>
      <c r="FC104" t="e">
        <f>Nodes!P826+"'E4!&amp;FW"</f>
        <v>#VALUE!</v>
      </c>
      <c r="FD104" t="e">
        <f>Nodes!Q826+"'E4!&amp;FX"</f>
        <v>#VALUE!</v>
      </c>
      <c r="FE104" t="e">
        <f>Nodes!R826+"'E4!&amp;FY"</f>
        <v>#VALUE!</v>
      </c>
      <c r="FF104" t="e">
        <f>Nodes!S826+"'E4!&amp;FZ"</f>
        <v>#VALUE!</v>
      </c>
      <c r="FG104" s="547" t="e">
        <f>Nodes!T826+"'E4!&amp;F["</f>
        <v>#VALUE!</v>
      </c>
      <c r="FH104" t="e">
        <f>Nodes!U826+"'E4!&amp;F\"</f>
        <v>#VALUE!</v>
      </c>
      <c r="FI104" t="e">
        <f>Nodes!V826+"'E4!&amp;F]"</f>
        <v>#VALUE!</v>
      </c>
      <c r="FJ104" s="547" t="e">
        <f>Nodes!W826+"'E4!&amp;F^"</f>
        <v>#VALUE!</v>
      </c>
      <c r="FK104" t="e">
        <f>Nodes!X826+"'E4!&amp;F_"</f>
        <v>#VALUE!</v>
      </c>
      <c r="FL104" t="e">
        <f>Nodes!Y826+"'E4!&amp;F`"</f>
        <v>#VALUE!</v>
      </c>
      <c r="FM104" t="e">
        <f>Nodes!Z826+"'E4!&amp;Fa"</f>
        <v>#VALUE!</v>
      </c>
      <c r="FN104" t="e">
        <f>Nodes!AA826+"'E4!&amp;Fb"</f>
        <v>#VALUE!</v>
      </c>
      <c r="FO104" t="e">
        <f>Nodes!AB826+"'E4!&amp;Fc"</f>
        <v>#VALUE!</v>
      </c>
      <c r="FP104" t="e">
        <f>Nodes!AC826+"'E4!&amp;Fd"</f>
        <v>#VALUE!</v>
      </c>
      <c r="FQ104" t="e">
        <f>Nodes!A827+"'E4!&amp;Fe"</f>
        <v>#VALUE!</v>
      </c>
      <c r="FR104" t="e">
        <f>Nodes!B827+"'E4!&amp;Ff"</f>
        <v>#VALUE!</v>
      </c>
      <c r="FS104" t="e">
        <f>Nodes!C827+"'E4!&amp;Fg"</f>
        <v>#VALUE!</v>
      </c>
      <c r="FT104" t="e">
        <f>Nodes!D827+"'E4!&amp;Fh"</f>
        <v>#VALUE!</v>
      </c>
      <c r="FU104" t="e">
        <f>Nodes!E827+"'E4!&amp;Fi"</f>
        <v>#VALUE!</v>
      </c>
      <c r="FV104" t="e">
        <f>Nodes!F827+"'E4!&amp;Fj"</f>
        <v>#VALUE!</v>
      </c>
      <c r="FW104" t="e">
        <f>Nodes!G827+"'E4!&amp;Fk"</f>
        <v>#VALUE!</v>
      </c>
      <c r="FX104" t="e">
        <f>Nodes!H827+"'E4!&amp;Fl"</f>
        <v>#VALUE!</v>
      </c>
      <c r="FY104" t="e">
        <f>Nodes!I827+"'E4!&amp;Fm"</f>
        <v>#VALUE!</v>
      </c>
      <c r="FZ104" t="e">
        <f>Nodes!J827+"'E4!&amp;Fn"</f>
        <v>#VALUE!</v>
      </c>
      <c r="GA104" t="e">
        <f>Nodes!K827+"'E4!&amp;Fo"</f>
        <v>#VALUE!</v>
      </c>
      <c r="GB104" t="e">
        <f>Nodes!L827+"'E4!&amp;Fp"</f>
        <v>#VALUE!</v>
      </c>
      <c r="GC104" t="e">
        <f>Nodes!M827+"'E4!&amp;Fq"</f>
        <v>#VALUE!</v>
      </c>
      <c r="GD104" t="e">
        <f>Nodes!N827+"'E4!&amp;Fr"</f>
        <v>#VALUE!</v>
      </c>
      <c r="GE104" t="e">
        <f>Nodes!O827+"'E4!&amp;Fs"</f>
        <v>#VALUE!</v>
      </c>
      <c r="GF104" t="e">
        <f>Nodes!P827+"'E4!&amp;Ft"</f>
        <v>#VALUE!</v>
      </c>
      <c r="GG104" t="e">
        <f>Nodes!Q827+"'E4!&amp;Fu"</f>
        <v>#VALUE!</v>
      </c>
      <c r="GH104" t="e">
        <f>Nodes!R827+"'E4!&amp;Fv"</f>
        <v>#VALUE!</v>
      </c>
      <c r="GI104" t="e">
        <f>Nodes!S827+"'E4!&amp;Fw"</f>
        <v>#VALUE!</v>
      </c>
      <c r="GJ104" s="547" t="e">
        <f>Nodes!T827+"'E4!&amp;Fx"</f>
        <v>#VALUE!</v>
      </c>
      <c r="GK104" t="e">
        <f>Nodes!U827+"'E4!&amp;Fy"</f>
        <v>#VALUE!</v>
      </c>
      <c r="GL104" t="e">
        <f>Nodes!V827+"'E4!&amp;Fz"</f>
        <v>#VALUE!</v>
      </c>
      <c r="GM104" s="547" t="e">
        <f>Nodes!W827+"'E4!&amp;F{"</f>
        <v>#VALUE!</v>
      </c>
      <c r="GN104" t="e">
        <f>Nodes!X827+"'E4!&amp;F|"</f>
        <v>#VALUE!</v>
      </c>
      <c r="GO104" t="e">
        <f>Nodes!Y827+"'E4!&amp;F}"</f>
        <v>#VALUE!</v>
      </c>
      <c r="GP104" t="e">
        <f>Nodes!Z827+"'E4!&amp;F~"</f>
        <v>#VALUE!</v>
      </c>
      <c r="GQ104" t="e">
        <f>Nodes!AA827+"'E4!&amp;G#"</f>
        <v>#VALUE!</v>
      </c>
      <c r="GR104" t="e">
        <f>Nodes!AB827+"'E4!&amp;G$"</f>
        <v>#VALUE!</v>
      </c>
      <c r="GS104" t="e">
        <f>Nodes!AC827+"'E4!&amp;G%"</f>
        <v>#VALUE!</v>
      </c>
      <c r="GT104" t="e">
        <f>Nodes!A828+"'E4!&amp;G&amp;"</f>
        <v>#VALUE!</v>
      </c>
      <c r="GU104" t="e">
        <f>Nodes!B828+"'E4!&amp;G'"</f>
        <v>#VALUE!</v>
      </c>
      <c r="GV104" t="e">
        <f>Nodes!C828+"'E4!&amp;G("</f>
        <v>#VALUE!</v>
      </c>
      <c r="GW104" t="e">
        <f>Nodes!D828+"'E4!&amp;G)"</f>
        <v>#VALUE!</v>
      </c>
      <c r="GX104" t="e">
        <f>Nodes!E828+"'E4!&amp;G."</f>
        <v>#VALUE!</v>
      </c>
      <c r="GY104" t="e">
        <f>Nodes!F828+"'E4!&amp;G/"</f>
        <v>#VALUE!</v>
      </c>
      <c r="GZ104" t="e">
        <f>Nodes!G828+"'E4!&amp;G0"</f>
        <v>#VALUE!</v>
      </c>
      <c r="HA104" t="e">
        <f>Nodes!H828+"'E4!&amp;G1"</f>
        <v>#VALUE!</v>
      </c>
      <c r="HB104" t="e">
        <f>Nodes!I828+"'E4!&amp;G2"</f>
        <v>#VALUE!</v>
      </c>
      <c r="HC104" t="e">
        <f>Nodes!J828+"'E4!&amp;G3"</f>
        <v>#VALUE!</v>
      </c>
      <c r="HD104" t="e">
        <f>Nodes!K828+"'E4!&amp;G4"</f>
        <v>#VALUE!</v>
      </c>
      <c r="HE104" t="e">
        <f>Nodes!L828+"'E4!&amp;G5"</f>
        <v>#VALUE!</v>
      </c>
      <c r="HF104" t="e">
        <f>Nodes!M828+"'E4!&amp;G6"</f>
        <v>#VALUE!</v>
      </c>
      <c r="HG104" t="e">
        <f>Nodes!N828+"'E4!&amp;G7"</f>
        <v>#VALUE!</v>
      </c>
      <c r="HH104" t="e">
        <f>Nodes!O828+"'E4!&amp;G8"</f>
        <v>#VALUE!</v>
      </c>
      <c r="HI104" t="e">
        <f>Nodes!P828+"'E4!&amp;G9"</f>
        <v>#VALUE!</v>
      </c>
      <c r="HJ104" t="e">
        <f>Nodes!Q828+"'E4!&amp;G:"</f>
        <v>#VALUE!</v>
      </c>
      <c r="HK104" t="e">
        <f>Nodes!R828+"'E4!&amp;G;"</f>
        <v>#VALUE!</v>
      </c>
      <c r="HL104" t="e">
        <f>Nodes!S828+"'E4!&amp;G&lt;"</f>
        <v>#VALUE!</v>
      </c>
      <c r="HM104" s="547" t="e">
        <f>Nodes!T828+"'E4!&amp;G="</f>
        <v>#VALUE!</v>
      </c>
      <c r="HN104" t="e">
        <f>Nodes!U828+"'E4!&amp;G&gt;"</f>
        <v>#VALUE!</v>
      </c>
      <c r="HO104" t="e">
        <f>Nodes!V828+"'E4!&amp;G?"</f>
        <v>#VALUE!</v>
      </c>
      <c r="HP104" s="547" t="e">
        <f>Nodes!W828+"'E4!&amp;G@"</f>
        <v>#VALUE!</v>
      </c>
      <c r="HQ104" t="e">
        <f>Nodes!X828+"'E4!&amp;GA"</f>
        <v>#VALUE!</v>
      </c>
      <c r="HR104" t="e">
        <f>Nodes!Y828+"'E4!&amp;GB"</f>
        <v>#VALUE!</v>
      </c>
      <c r="HS104" t="e">
        <f>Nodes!Z828+"'E4!&amp;GC"</f>
        <v>#VALUE!</v>
      </c>
      <c r="HT104" t="e">
        <f>Nodes!AA828+"'E4!&amp;GD"</f>
        <v>#VALUE!</v>
      </c>
      <c r="HU104" t="e">
        <f>Nodes!AB828+"'E4!&amp;GE"</f>
        <v>#VALUE!</v>
      </c>
      <c r="HV104" t="e">
        <f>Nodes!AC828+"'E4!&amp;GF"</f>
        <v>#VALUE!</v>
      </c>
      <c r="HW104" t="e">
        <f>Nodes!A829+"'E4!&amp;GG"</f>
        <v>#VALUE!</v>
      </c>
      <c r="HX104" t="e">
        <f>Nodes!B829+"'E4!&amp;GH"</f>
        <v>#VALUE!</v>
      </c>
      <c r="HY104" t="e">
        <f>Nodes!C829+"'E4!&amp;GI"</f>
        <v>#VALUE!</v>
      </c>
      <c r="HZ104" t="e">
        <f>Nodes!D829+"'E4!&amp;GJ"</f>
        <v>#VALUE!</v>
      </c>
      <c r="IA104" t="e">
        <f>Nodes!E829+"'E4!&amp;GK"</f>
        <v>#VALUE!</v>
      </c>
      <c r="IB104" t="e">
        <f>Nodes!F829+"'E4!&amp;GL"</f>
        <v>#VALUE!</v>
      </c>
      <c r="IC104" t="e">
        <f>Nodes!G829+"'E4!&amp;GM"</f>
        <v>#VALUE!</v>
      </c>
      <c r="ID104" t="e">
        <f>Nodes!H829+"'E4!&amp;GN"</f>
        <v>#VALUE!</v>
      </c>
      <c r="IE104" t="e">
        <f>Nodes!I829+"'E4!&amp;GO"</f>
        <v>#VALUE!</v>
      </c>
      <c r="IF104" t="e">
        <f>Nodes!J829+"'E4!&amp;GP"</f>
        <v>#VALUE!</v>
      </c>
      <c r="IG104" t="e">
        <f>Nodes!K829+"'E4!&amp;GQ"</f>
        <v>#VALUE!</v>
      </c>
      <c r="IH104" t="e">
        <f>Nodes!L829+"'E4!&amp;GR"</f>
        <v>#VALUE!</v>
      </c>
      <c r="II104" t="e">
        <f>Nodes!M829+"'E4!&amp;GS"</f>
        <v>#VALUE!</v>
      </c>
      <c r="IJ104" t="e">
        <f>Nodes!N829+"'E4!&amp;GT"</f>
        <v>#VALUE!</v>
      </c>
      <c r="IK104" t="e">
        <f>Nodes!O829+"'E4!&amp;GU"</f>
        <v>#VALUE!</v>
      </c>
      <c r="IL104" t="e">
        <f>Nodes!P829+"'E4!&amp;GV"</f>
        <v>#VALUE!</v>
      </c>
      <c r="IM104" t="e">
        <f>Nodes!Q829+"'E4!&amp;GW"</f>
        <v>#VALUE!</v>
      </c>
      <c r="IN104" t="e">
        <f>Nodes!R829+"'E4!&amp;GX"</f>
        <v>#VALUE!</v>
      </c>
      <c r="IO104" t="e">
        <f>Nodes!S829+"'E4!&amp;GY"</f>
        <v>#VALUE!</v>
      </c>
      <c r="IP104" s="547" t="e">
        <f>Nodes!T829+"'E4!&amp;GZ"</f>
        <v>#VALUE!</v>
      </c>
      <c r="IQ104" t="e">
        <f>Nodes!U829+"'E4!&amp;G["</f>
        <v>#VALUE!</v>
      </c>
      <c r="IR104" t="e">
        <f>Nodes!V829+"'E4!&amp;G\"</f>
        <v>#VALUE!</v>
      </c>
      <c r="IS104" s="547" t="e">
        <f>Nodes!W829+"'E4!&amp;G]"</f>
        <v>#VALUE!</v>
      </c>
      <c r="IT104" t="e">
        <f>Nodes!X829+"'E4!&amp;G^"</f>
        <v>#VALUE!</v>
      </c>
      <c r="IU104" t="e">
        <f>Nodes!Y829+"'E4!&amp;G_"</f>
        <v>#VALUE!</v>
      </c>
      <c r="IV104" t="e">
        <f>Nodes!Z829+"'E4!&amp;G`"</f>
        <v>#VALUE!</v>
      </c>
    </row>
    <row r="105" spans="6:256">
      <c r="F105" t="e">
        <f>Nodes!AA829+"'E4!&amp;Ga"</f>
        <v>#VALUE!</v>
      </c>
      <c r="G105" t="e">
        <f>Nodes!AB829+"'E4!&amp;Gb"</f>
        <v>#VALUE!</v>
      </c>
      <c r="H105" t="e">
        <f>Nodes!AC829+"'E4!&amp;Gc"</f>
        <v>#VALUE!</v>
      </c>
      <c r="I105" t="e">
        <f>Nodes!A830+"'E4!&amp;Gd"</f>
        <v>#VALUE!</v>
      </c>
      <c r="J105" t="e">
        <f>Nodes!B830+"'E4!&amp;Ge"</f>
        <v>#VALUE!</v>
      </c>
      <c r="K105" t="e">
        <f>Nodes!C830+"'E4!&amp;Gf"</f>
        <v>#VALUE!</v>
      </c>
      <c r="L105" t="e">
        <f>Nodes!D830+"'E4!&amp;Gg"</f>
        <v>#VALUE!</v>
      </c>
      <c r="M105" t="e">
        <f>Nodes!E830+"'E4!&amp;Gh"</f>
        <v>#VALUE!</v>
      </c>
      <c r="N105" t="e">
        <f>Nodes!F830+"'E4!&amp;Gi"</f>
        <v>#VALUE!</v>
      </c>
      <c r="O105" t="e">
        <f>Nodes!G830+"'E4!&amp;Gj"</f>
        <v>#VALUE!</v>
      </c>
      <c r="P105" t="e">
        <f>Nodes!H830+"'E4!&amp;Gk"</f>
        <v>#VALUE!</v>
      </c>
      <c r="Q105" t="e">
        <f>Nodes!I830+"'E4!&amp;Gl"</f>
        <v>#VALUE!</v>
      </c>
      <c r="R105" t="e">
        <f>Nodes!J830+"'E4!&amp;Gm"</f>
        <v>#VALUE!</v>
      </c>
      <c r="S105" t="e">
        <f>Nodes!K830+"'E4!&amp;Gn"</f>
        <v>#VALUE!</v>
      </c>
      <c r="T105" t="e">
        <f>Nodes!L830+"'E4!&amp;Go"</f>
        <v>#VALUE!</v>
      </c>
      <c r="U105" t="e">
        <f>Nodes!M830+"'E4!&amp;Gp"</f>
        <v>#VALUE!</v>
      </c>
      <c r="V105" t="e">
        <f>Nodes!N830+"'E4!&amp;Gq"</f>
        <v>#VALUE!</v>
      </c>
      <c r="W105" t="e">
        <f>Nodes!O830+"'E4!&amp;Gr"</f>
        <v>#VALUE!</v>
      </c>
      <c r="X105" t="e">
        <f>Nodes!P830+"'E4!&amp;Gs"</f>
        <v>#VALUE!</v>
      </c>
      <c r="Y105" t="e">
        <f>Nodes!Q830+"'E4!&amp;Gt"</f>
        <v>#VALUE!</v>
      </c>
      <c r="Z105" t="e">
        <f>Nodes!R830+"'E4!&amp;Gu"</f>
        <v>#VALUE!</v>
      </c>
      <c r="AA105" t="e">
        <f>Nodes!S830+"'E4!&amp;Gv"</f>
        <v>#VALUE!</v>
      </c>
      <c r="AB105" s="547" t="e">
        <f>Nodes!T830+"'E4!&amp;Gw"</f>
        <v>#VALUE!</v>
      </c>
      <c r="AC105" t="e">
        <f>Nodes!U830+"'E4!&amp;Gx"</f>
        <v>#VALUE!</v>
      </c>
      <c r="AD105" t="e">
        <f>Nodes!V830+"'E4!&amp;Gy"</f>
        <v>#VALUE!</v>
      </c>
      <c r="AE105" s="547" t="e">
        <f>Nodes!W830+"'E4!&amp;Gz"</f>
        <v>#VALUE!</v>
      </c>
      <c r="AF105" t="e">
        <f>Nodes!X830+"'E4!&amp;G{"</f>
        <v>#VALUE!</v>
      </c>
      <c r="AG105" t="e">
        <f>Nodes!Y830+"'E4!&amp;G|"</f>
        <v>#VALUE!</v>
      </c>
      <c r="AH105" t="e">
        <f>Nodes!Z830+"'E4!&amp;G}"</f>
        <v>#VALUE!</v>
      </c>
      <c r="AI105" t="e">
        <f>Nodes!AA830+"'E4!&amp;G~"</f>
        <v>#VALUE!</v>
      </c>
      <c r="AJ105" t="e">
        <f>Nodes!AB830+"'E4!&amp;H#"</f>
        <v>#VALUE!</v>
      </c>
      <c r="AK105" t="e">
        <f>Nodes!AC830+"'E4!&amp;H$"</f>
        <v>#VALUE!</v>
      </c>
      <c r="AL105" t="e">
        <f>Nodes!A831+"'E4!&amp;H%"</f>
        <v>#VALUE!</v>
      </c>
      <c r="AM105" t="e">
        <f>Nodes!B831+"'E4!&amp;H&amp;"</f>
        <v>#VALUE!</v>
      </c>
      <c r="AN105" t="e">
        <f>Nodes!C831+"'E4!&amp;H'"</f>
        <v>#VALUE!</v>
      </c>
      <c r="AO105" t="e">
        <f>Nodes!D831+"'E4!&amp;H("</f>
        <v>#VALUE!</v>
      </c>
      <c r="AP105" t="e">
        <f>Nodes!E831+"'E4!&amp;H)"</f>
        <v>#VALUE!</v>
      </c>
      <c r="AQ105" t="e">
        <f>Nodes!F831+"'E4!&amp;H."</f>
        <v>#VALUE!</v>
      </c>
      <c r="AR105" t="e">
        <f>Nodes!G831+"'E4!&amp;H/"</f>
        <v>#VALUE!</v>
      </c>
      <c r="AS105" t="e">
        <f>Nodes!H831+"'E4!&amp;H0"</f>
        <v>#VALUE!</v>
      </c>
      <c r="AT105" t="e">
        <f>Nodes!I831+"'E4!&amp;H1"</f>
        <v>#VALUE!</v>
      </c>
      <c r="AU105" t="e">
        <f>Nodes!J831+"'E4!&amp;H2"</f>
        <v>#VALUE!</v>
      </c>
      <c r="AV105" t="e">
        <f>Nodes!K831+"'E4!&amp;H3"</f>
        <v>#VALUE!</v>
      </c>
      <c r="AW105" t="e">
        <f>Nodes!L831+"'E4!&amp;H4"</f>
        <v>#VALUE!</v>
      </c>
      <c r="AX105" t="e">
        <f>Nodes!M831+"'E4!&amp;H5"</f>
        <v>#VALUE!</v>
      </c>
      <c r="AY105" t="e">
        <f>Nodes!N831+"'E4!&amp;H6"</f>
        <v>#VALUE!</v>
      </c>
      <c r="AZ105" t="e">
        <f>Nodes!O831+"'E4!&amp;H7"</f>
        <v>#VALUE!</v>
      </c>
      <c r="BA105" t="e">
        <f>Nodes!P831+"'E4!&amp;H8"</f>
        <v>#VALUE!</v>
      </c>
      <c r="BB105" t="e">
        <f>Nodes!Q831+"'E4!&amp;H9"</f>
        <v>#VALUE!</v>
      </c>
      <c r="BC105" t="e">
        <f>Nodes!R831+"'E4!&amp;H:"</f>
        <v>#VALUE!</v>
      </c>
      <c r="BD105" t="e">
        <f>Nodes!S831+"'E4!&amp;H;"</f>
        <v>#VALUE!</v>
      </c>
      <c r="BE105" s="547" t="e">
        <f>Nodes!T831+"'E4!&amp;H&lt;"</f>
        <v>#VALUE!</v>
      </c>
      <c r="BF105" t="e">
        <f>Nodes!U831+"'E4!&amp;H="</f>
        <v>#VALUE!</v>
      </c>
      <c r="BG105" t="e">
        <f>Nodes!V831+"'E4!&amp;H&gt;"</f>
        <v>#VALUE!</v>
      </c>
      <c r="BH105" s="547" t="e">
        <f>Nodes!W831+"'E4!&amp;H?"</f>
        <v>#VALUE!</v>
      </c>
      <c r="BI105" t="e">
        <f>Nodes!X831+"'E4!&amp;H@"</f>
        <v>#VALUE!</v>
      </c>
      <c r="BJ105" t="e">
        <f>Nodes!Y831+"'E4!&amp;HA"</f>
        <v>#VALUE!</v>
      </c>
      <c r="BK105" t="e">
        <f>Nodes!Z831+"'E4!&amp;HB"</f>
        <v>#VALUE!</v>
      </c>
      <c r="BL105" t="e">
        <f>Nodes!AA831+"'E4!&amp;HC"</f>
        <v>#VALUE!</v>
      </c>
      <c r="BM105" t="e">
        <f>Nodes!AB831+"'E4!&amp;HD"</f>
        <v>#VALUE!</v>
      </c>
      <c r="BN105" t="e">
        <f>Nodes!AC831+"'E4!&amp;HE"</f>
        <v>#VALUE!</v>
      </c>
      <c r="BO105" t="e">
        <f>Nodes!A832+"'E4!&amp;HF"</f>
        <v>#VALUE!</v>
      </c>
      <c r="BP105" t="e">
        <f>Nodes!B832+"'E4!&amp;HG"</f>
        <v>#VALUE!</v>
      </c>
      <c r="BQ105" t="e">
        <f>Nodes!C832+"'E4!&amp;HH"</f>
        <v>#VALUE!</v>
      </c>
      <c r="BR105" t="e">
        <f>Nodes!D832+"'E4!&amp;HI"</f>
        <v>#VALUE!</v>
      </c>
      <c r="BS105" t="e">
        <f>Nodes!E832+"'E4!&amp;HJ"</f>
        <v>#VALUE!</v>
      </c>
      <c r="BT105" t="e">
        <f>Nodes!F832+"'E4!&amp;HK"</f>
        <v>#VALUE!</v>
      </c>
      <c r="BU105" t="e">
        <f>Nodes!G832+"'E4!&amp;HL"</f>
        <v>#VALUE!</v>
      </c>
      <c r="BV105" t="e">
        <f>Nodes!H832+"'E4!&amp;HM"</f>
        <v>#VALUE!</v>
      </c>
      <c r="BW105" t="e">
        <f>Nodes!I832+"'E4!&amp;HN"</f>
        <v>#VALUE!</v>
      </c>
      <c r="BX105" t="e">
        <f>Nodes!J832+"'E4!&amp;HO"</f>
        <v>#VALUE!</v>
      </c>
      <c r="BY105" t="e">
        <f>Nodes!K832+"'E4!&amp;HP"</f>
        <v>#VALUE!</v>
      </c>
      <c r="BZ105" t="e">
        <f>Nodes!L832+"'E4!&amp;HQ"</f>
        <v>#VALUE!</v>
      </c>
      <c r="CA105" t="e">
        <f>Nodes!M832+"'E4!&amp;HR"</f>
        <v>#VALUE!</v>
      </c>
      <c r="CB105" t="e">
        <f>Nodes!N832+"'E4!&amp;HS"</f>
        <v>#VALUE!</v>
      </c>
      <c r="CC105" t="e">
        <f>Nodes!O832+"'E4!&amp;HT"</f>
        <v>#VALUE!</v>
      </c>
      <c r="CD105" t="e">
        <f>Nodes!P832+"'E4!&amp;HU"</f>
        <v>#VALUE!</v>
      </c>
      <c r="CE105" t="e">
        <f>Nodes!Q832+"'E4!&amp;HV"</f>
        <v>#VALUE!</v>
      </c>
      <c r="CF105" t="e">
        <f>Nodes!R832+"'E4!&amp;HW"</f>
        <v>#VALUE!</v>
      </c>
      <c r="CG105" t="e">
        <f>Nodes!S832+"'E4!&amp;HX"</f>
        <v>#VALUE!</v>
      </c>
      <c r="CH105" s="547" t="e">
        <f>Nodes!T832+"'E4!&amp;HY"</f>
        <v>#VALUE!</v>
      </c>
      <c r="CI105" t="e">
        <f>Nodes!U832+"'E4!&amp;HZ"</f>
        <v>#VALUE!</v>
      </c>
      <c r="CJ105" t="e">
        <f>Nodes!V832+"'E4!&amp;H["</f>
        <v>#VALUE!</v>
      </c>
      <c r="CK105" s="547" t="e">
        <f>Nodes!W832+"'E4!&amp;H\"</f>
        <v>#VALUE!</v>
      </c>
      <c r="CL105" t="e">
        <f>Nodes!X832+"'E4!&amp;H]"</f>
        <v>#VALUE!</v>
      </c>
      <c r="CM105" t="e">
        <f>Nodes!Y832+"'E4!&amp;H^"</f>
        <v>#VALUE!</v>
      </c>
      <c r="CN105" t="e">
        <f>Nodes!Z832+"'E4!&amp;H_"</f>
        <v>#VALUE!</v>
      </c>
      <c r="CO105" t="e">
        <f>Nodes!AA832+"'E4!&amp;H`"</f>
        <v>#VALUE!</v>
      </c>
      <c r="CP105" t="e">
        <f>Nodes!AB832+"'E4!&amp;Ha"</f>
        <v>#VALUE!</v>
      </c>
      <c r="CQ105" t="e">
        <f>Nodes!AC832+"'E4!&amp;Hb"</f>
        <v>#VALUE!</v>
      </c>
      <c r="CR105" t="e">
        <f>Nodes!A833+"'E4!&amp;Hc"</f>
        <v>#VALUE!</v>
      </c>
      <c r="CS105" t="e">
        <f>Nodes!B833+"'E4!&amp;Hd"</f>
        <v>#VALUE!</v>
      </c>
      <c r="CT105" t="e">
        <f>Nodes!C833+"'E4!&amp;He"</f>
        <v>#VALUE!</v>
      </c>
      <c r="CU105" t="e">
        <f>Nodes!D833+"'E4!&amp;Hf"</f>
        <v>#VALUE!</v>
      </c>
      <c r="CV105" t="e">
        <f>Nodes!E833+"'E4!&amp;Hg"</f>
        <v>#VALUE!</v>
      </c>
      <c r="CW105" t="e">
        <f>Nodes!F833+"'E4!&amp;Hh"</f>
        <v>#VALUE!</v>
      </c>
      <c r="CX105" t="e">
        <f>Nodes!G833+"'E4!&amp;Hi"</f>
        <v>#VALUE!</v>
      </c>
      <c r="CY105" t="e">
        <f>Nodes!H833+"'E4!&amp;Hj"</f>
        <v>#VALUE!</v>
      </c>
      <c r="CZ105" t="e">
        <f>Nodes!I833+"'E4!&amp;Hk"</f>
        <v>#VALUE!</v>
      </c>
      <c r="DA105" t="e">
        <f>Nodes!J833+"'E4!&amp;Hl"</f>
        <v>#VALUE!</v>
      </c>
      <c r="DB105" t="e">
        <f>Nodes!K833+"'E4!&amp;Hm"</f>
        <v>#VALUE!</v>
      </c>
      <c r="DC105" t="e">
        <f>Nodes!L833+"'E4!&amp;Hn"</f>
        <v>#VALUE!</v>
      </c>
      <c r="DD105" t="e">
        <f>Nodes!M833+"'E4!&amp;Ho"</f>
        <v>#VALUE!</v>
      </c>
      <c r="DE105" t="e">
        <f>Nodes!N833+"'E4!&amp;Hp"</f>
        <v>#VALUE!</v>
      </c>
      <c r="DF105" t="e">
        <f>Nodes!O833+"'E4!&amp;Hq"</f>
        <v>#VALUE!</v>
      </c>
      <c r="DG105" t="e">
        <f>Nodes!P833+"'E4!&amp;Hr"</f>
        <v>#VALUE!</v>
      </c>
      <c r="DH105" t="e">
        <f>Nodes!Q833+"'E4!&amp;Hs"</f>
        <v>#VALUE!</v>
      </c>
      <c r="DI105" t="e">
        <f>Nodes!R833+"'E4!&amp;Ht"</f>
        <v>#VALUE!</v>
      </c>
      <c r="DJ105" t="e">
        <f>Nodes!S833+"'E4!&amp;Hu"</f>
        <v>#VALUE!</v>
      </c>
      <c r="DK105" s="547" t="e">
        <f>Nodes!T833+"'E4!&amp;Hv"</f>
        <v>#VALUE!</v>
      </c>
      <c r="DL105" t="e">
        <f>Nodes!U833+"'E4!&amp;Hw"</f>
        <v>#VALUE!</v>
      </c>
      <c r="DM105" t="e">
        <f>Nodes!V833+"'E4!&amp;Hx"</f>
        <v>#VALUE!</v>
      </c>
      <c r="DN105" s="547" t="e">
        <f>Nodes!W833+"'E4!&amp;Hy"</f>
        <v>#VALUE!</v>
      </c>
      <c r="DO105" t="e">
        <f>Nodes!X833+"'E4!&amp;Hz"</f>
        <v>#VALUE!</v>
      </c>
      <c r="DP105" t="e">
        <f>Nodes!Y833+"'E4!&amp;H{"</f>
        <v>#VALUE!</v>
      </c>
      <c r="DQ105" t="e">
        <f>Nodes!Z833+"'E4!&amp;H|"</f>
        <v>#VALUE!</v>
      </c>
      <c r="DR105" t="e">
        <f>Nodes!AA833+"'E4!&amp;H}"</f>
        <v>#VALUE!</v>
      </c>
      <c r="DS105" t="e">
        <f>Nodes!AB833+"'E4!&amp;H~"</f>
        <v>#VALUE!</v>
      </c>
      <c r="DT105" t="e">
        <f>Nodes!AC833+"'E4!&amp;I#"</f>
        <v>#VALUE!</v>
      </c>
      <c r="DU105" t="e">
        <f>Nodes!A834+"'E4!&amp;I$"</f>
        <v>#VALUE!</v>
      </c>
      <c r="DV105" t="e">
        <f>Nodes!B834+"'E4!&amp;I%"</f>
        <v>#VALUE!</v>
      </c>
      <c r="DW105" t="e">
        <f>Nodes!C834+"'E4!&amp;I&amp;"</f>
        <v>#VALUE!</v>
      </c>
      <c r="DX105" t="e">
        <f>Nodes!D834+"'E4!&amp;I'"</f>
        <v>#VALUE!</v>
      </c>
      <c r="DY105" t="e">
        <f>Nodes!E834+"'E4!&amp;I("</f>
        <v>#VALUE!</v>
      </c>
      <c r="DZ105" t="e">
        <f>Nodes!F834+"'E4!&amp;I)"</f>
        <v>#VALUE!</v>
      </c>
      <c r="EA105" t="e">
        <f>Nodes!G834+"'E4!&amp;I."</f>
        <v>#VALUE!</v>
      </c>
      <c r="EB105" t="e">
        <f>Nodes!H834+"'E4!&amp;I/"</f>
        <v>#VALUE!</v>
      </c>
      <c r="EC105" t="e">
        <f>Nodes!I834+"'E4!&amp;I0"</f>
        <v>#VALUE!</v>
      </c>
      <c r="ED105" t="e">
        <f>Nodes!J834+"'E4!&amp;I1"</f>
        <v>#VALUE!</v>
      </c>
      <c r="EE105" t="e">
        <f>Nodes!K834+"'E4!&amp;I2"</f>
        <v>#VALUE!</v>
      </c>
      <c r="EF105" t="e">
        <f>Nodes!L834+"'E4!&amp;I3"</f>
        <v>#VALUE!</v>
      </c>
      <c r="EG105" t="e">
        <f>Nodes!M834+"'E4!&amp;I4"</f>
        <v>#VALUE!</v>
      </c>
      <c r="EH105" t="e">
        <f>Nodes!N834+"'E4!&amp;I5"</f>
        <v>#VALUE!</v>
      </c>
      <c r="EI105" t="e">
        <f>Nodes!O834+"'E4!&amp;I6"</f>
        <v>#VALUE!</v>
      </c>
      <c r="EJ105" t="e">
        <f>Nodes!P834+"'E4!&amp;I7"</f>
        <v>#VALUE!</v>
      </c>
      <c r="EK105" t="e">
        <f>Nodes!Q834+"'E4!&amp;I8"</f>
        <v>#VALUE!</v>
      </c>
      <c r="EL105" t="e">
        <f>Nodes!R834+"'E4!&amp;I9"</f>
        <v>#VALUE!</v>
      </c>
      <c r="EM105" t="e">
        <f>Nodes!S834+"'E4!&amp;I:"</f>
        <v>#VALUE!</v>
      </c>
      <c r="EN105" s="547" t="e">
        <f>Nodes!T834+"'E4!&amp;I;"</f>
        <v>#VALUE!</v>
      </c>
      <c r="EO105" t="e">
        <f>Nodes!U834+"'E4!&amp;I&lt;"</f>
        <v>#VALUE!</v>
      </c>
      <c r="EP105" t="e">
        <f>Nodes!V834+"'E4!&amp;I="</f>
        <v>#VALUE!</v>
      </c>
      <c r="EQ105" s="547" t="e">
        <f>Nodes!W834+"'E4!&amp;I&gt;"</f>
        <v>#VALUE!</v>
      </c>
      <c r="ER105" t="e">
        <f>Nodes!X834+"'E4!&amp;I?"</f>
        <v>#VALUE!</v>
      </c>
      <c r="ES105" t="e">
        <f>Nodes!Y834+"'E4!&amp;I@"</f>
        <v>#VALUE!</v>
      </c>
      <c r="ET105" t="e">
        <f>Nodes!Z834+"'E4!&amp;IA"</f>
        <v>#VALUE!</v>
      </c>
      <c r="EU105" t="e">
        <f>Nodes!AA834+"'E4!&amp;IB"</f>
        <v>#VALUE!</v>
      </c>
      <c r="EV105" t="e">
        <f>Nodes!AB834+"'E4!&amp;IC"</f>
        <v>#VALUE!</v>
      </c>
      <c r="EW105" t="e">
        <f>Nodes!AC834+"'E4!&amp;ID"</f>
        <v>#VALUE!</v>
      </c>
      <c r="EX105" t="e">
        <f>Nodes!A835+"'E4!&amp;IE"</f>
        <v>#VALUE!</v>
      </c>
      <c r="EY105" t="e">
        <f>Nodes!B835+"'E4!&amp;IF"</f>
        <v>#VALUE!</v>
      </c>
      <c r="EZ105" t="e">
        <f>Nodes!C835+"'E4!&amp;IG"</f>
        <v>#VALUE!</v>
      </c>
      <c r="FA105" t="e">
        <f>Nodes!D835+"'E4!&amp;IH"</f>
        <v>#VALUE!</v>
      </c>
      <c r="FB105" t="e">
        <f>Nodes!E835+"'E4!&amp;II"</f>
        <v>#VALUE!</v>
      </c>
      <c r="FC105" t="e">
        <f>Nodes!F835+"'E4!&amp;IJ"</f>
        <v>#VALUE!</v>
      </c>
      <c r="FD105" t="e">
        <f>Nodes!G835+"'E4!&amp;IK"</f>
        <v>#VALUE!</v>
      </c>
      <c r="FE105" t="e">
        <f>Nodes!H835+"'E4!&amp;IL"</f>
        <v>#VALUE!</v>
      </c>
      <c r="FF105" t="e">
        <f>Nodes!I835+"'E4!&amp;IM"</f>
        <v>#VALUE!</v>
      </c>
      <c r="FG105" t="e">
        <f>Nodes!J835+"'E4!&amp;IN"</f>
        <v>#VALUE!</v>
      </c>
      <c r="FH105" t="e">
        <f>Nodes!K835+"'E4!&amp;IO"</f>
        <v>#VALUE!</v>
      </c>
      <c r="FI105" t="e">
        <f>Nodes!L835+"'E4!&amp;IP"</f>
        <v>#VALUE!</v>
      </c>
      <c r="FJ105" t="e">
        <f>Nodes!M835+"'E4!&amp;IQ"</f>
        <v>#VALUE!</v>
      </c>
      <c r="FK105" t="e">
        <f>Nodes!N835+"'E4!&amp;IR"</f>
        <v>#VALUE!</v>
      </c>
      <c r="FL105" t="e">
        <f>Nodes!O835+"'E4!&amp;IS"</f>
        <v>#VALUE!</v>
      </c>
      <c r="FM105" t="e">
        <f>Nodes!P835+"'E4!&amp;IT"</f>
        <v>#VALUE!</v>
      </c>
      <c r="FN105" t="e">
        <f>Nodes!Q835+"'E4!&amp;IU"</f>
        <v>#VALUE!</v>
      </c>
      <c r="FO105" t="e">
        <f>Nodes!R835+"'E4!&amp;IV"</f>
        <v>#VALUE!</v>
      </c>
      <c r="FP105" t="e">
        <f>Nodes!S835+"'E4!&amp;IW"</f>
        <v>#VALUE!</v>
      </c>
      <c r="FQ105" s="547" t="e">
        <f>Nodes!T835+"'E4!&amp;IX"</f>
        <v>#VALUE!</v>
      </c>
      <c r="FR105" t="e">
        <f>Nodes!U835+"'E4!&amp;IY"</f>
        <v>#VALUE!</v>
      </c>
      <c r="FS105" t="e">
        <f>Nodes!V835+"'E4!&amp;IZ"</f>
        <v>#VALUE!</v>
      </c>
      <c r="FT105" s="547" t="e">
        <f>Nodes!W835+"'E4!&amp;I["</f>
        <v>#VALUE!</v>
      </c>
      <c r="FU105" t="e">
        <f>Nodes!X835+"'E4!&amp;I\"</f>
        <v>#VALUE!</v>
      </c>
      <c r="FV105" t="e">
        <f>Nodes!Y835+"'E4!&amp;I]"</f>
        <v>#VALUE!</v>
      </c>
      <c r="FW105" t="e">
        <f>Nodes!Z835+"'E4!&amp;I^"</f>
        <v>#VALUE!</v>
      </c>
      <c r="FX105" t="e">
        <f>Nodes!AA835+"'E4!&amp;I_"</f>
        <v>#VALUE!</v>
      </c>
      <c r="FY105" t="e">
        <f>Nodes!AB835+"'E4!&amp;I`"</f>
        <v>#VALUE!</v>
      </c>
      <c r="FZ105" t="e">
        <f>Nodes!AC835+"'E4!&amp;Ia"</f>
        <v>#VALUE!</v>
      </c>
      <c r="GA105" t="e">
        <f>Nodes!A836+"'E4!&amp;Ib"</f>
        <v>#VALUE!</v>
      </c>
      <c r="GB105" t="e">
        <f>Nodes!B836+"'E4!&amp;Ic"</f>
        <v>#VALUE!</v>
      </c>
      <c r="GC105" t="e">
        <f>Nodes!C836+"'E4!&amp;Id"</f>
        <v>#VALUE!</v>
      </c>
      <c r="GD105" t="e">
        <f>Nodes!D836+"'E4!&amp;Ie"</f>
        <v>#VALUE!</v>
      </c>
      <c r="GE105" t="e">
        <f>Nodes!E836+"'E4!&amp;If"</f>
        <v>#VALUE!</v>
      </c>
      <c r="GF105" t="e">
        <f>Nodes!F836+"'E4!&amp;Ig"</f>
        <v>#VALUE!</v>
      </c>
      <c r="GG105" t="e">
        <f>Nodes!G836+"'E4!&amp;Ih"</f>
        <v>#VALUE!</v>
      </c>
      <c r="GH105" t="e">
        <f>Nodes!H836+"'E4!&amp;Ii"</f>
        <v>#VALUE!</v>
      </c>
      <c r="GI105" t="e">
        <f>Nodes!I836+"'E4!&amp;Ij"</f>
        <v>#VALUE!</v>
      </c>
      <c r="GJ105" t="e">
        <f>Nodes!J836+"'E4!&amp;Ik"</f>
        <v>#VALUE!</v>
      </c>
      <c r="GK105" t="e">
        <f>Nodes!K836+"'E4!&amp;Il"</f>
        <v>#VALUE!</v>
      </c>
      <c r="GL105" t="e">
        <f>Nodes!L836+"'E4!&amp;Im"</f>
        <v>#VALUE!</v>
      </c>
      <c r="GM105" t="e">
        <f>Nodes!M836+"'E4!&amp;In"</f>
        <v>#VALUE!</v>
      </c>
      <c r="GN105" t="e">
        <f>Nodes!N836+"'E4!&amp;Io"</f>
        <v>#VALUE!</v>
      </c>
      <c r="GO105" t="e">
        <f>Nodes!O836+"'E4!&amp;Ip"</f>
        <v>#VALUE!</v>
      </c>
      <c r="GP105" t="e">
        <f>Nodes!P836+"'E4!&amp;Iq"</f>
        <v>#VALUE!</v>
      </c>
      <c r="GQ105" t="e">
        <f>Nodes!Q836+"'E4!&amp;Ir"</f>
        <v>#VALUE!</v>
      </c>
      <c r="GR105" t="e">
        <f>Nodes!R836+"'E4!&amp;Is"</f>
        <v>#VALUE!</v>
      </c>
      <c r="GS105" t="e">
        <f>Nodes!S836+"'E4!&amp;It"</f>
        <v>#VALUE!</v>
      </c>
      <c r="GT105" s="547" t="e">
        <f>Nodes!T836+"'E4!&amp;Iu"</f>
        <v>#VALUE!</v>
      </c>
      <c r="GU105" t="e">
        <f>Nodes!U836+"'E4!&amp;Iv"</f>
        <v>#VALUE!</v>
      </c>
      <c r="GV105" t="e">
        <f>Nodes!V836+"'E4!&amp;Iw"</f>
        <v>#VALUE!</v>
      </c>
      <c r="GW105" s="547" t="e">
        <f>Nodes!W836+"'E4!&amp;Ix"</f>
        <v>#VALUE!</v>
      </c>
      <c r="GX105" t="e">
        <f>Nodes!X836+"'E4!&amp;Iy"</f>
        <v>#VALUE!</v>
      </c>
      <c r="GY105" t="e">
        <f>Nodes!Y836+"'E4!&amp;Iz"</f>
        <v>#VALUE!</v>
      </c>
      <c r="GZ105" t="e">
        <f>Nodes!Z836+"'E4!&amp;I{"</f>
        <v>#VALUE!</v>
      </c>
      <c r="HA105" t="e">
        <f>Nodes!AA836+"'E4!&amp;I|"</f>
        <v>#VALUE!</v>
      </c>
      <c r="HB105" t="e">
        <f>Nodes!AB836+"'E4!&amp;I}"</f>
        <v>#VALUE!</v>
      </c>
      <c r="HC105" t="e">
        <f>Nodes!AC836+"'E4!&amp;I~"</f>
        <v>#VALUE!</v>
      </c>
      <c r="HD105" t="e">
        <f>Nodes!A837+"'E4!&amp;J#"</f>
        <v>#VALUE!</v>
      </c>
      <c r="HE105" t="e">
        <f>Nodes!B837+"'E4!&amp;J$"</f>
        <v>#VALUE!</v>
      </c>
      <c r="HF105" t="e">
        <f>Nodes!C837+"'E4!&amp;J%"</f>
        <v>#VALUE!</v>
      </c>
      <c r="HG105" t="e">
        <f>Nodes!D837+"'E4!&amp;J&amp;"</f>
        <v>#VALUE!</v>
      </c>
      <c r="HH105" t="e">
        <f>Nodes!E837+"'E4!&amp;J'"</f>
        <v>#VALUE!</v>
      </c>
      <c r="HI105" t="e">
        <f>Nodes!F837+"'E4!&amp;J("</f>
        <v>#VALUE!</v>
      </c>
      <c r="HJ105" t="e">
        <f>Nodes!G837+"'E4!&amp;J)"</f>
        <v>#VALUE!</v>
      </c>
      <c r="HK105" t="e">
        <f>Nodes!H837+"'E4!&amp;J."</f>
        <v>#VALUE!</v>
      </c>
      <c r="HL105" t="e">
        <f>Nodes!I837+"'E4!&amp;J/"</f>
        <v>#VALUE!</v>
      </c>
      <c r="HM105" t="e">
        <f>Nodes!J837+"'E4!&amp;J0"</f>
        <v>#VALUE!</v>
      </c>
      <c r="HN105" t="e">
        <f>Nodes!K837+"'E4!&amp;J1"</f>
        <v>#VALUE!</v>
      </c>
      <c r="HO105" t="e">
        <f>Nodes!L837+"'E4!&amp;J2"</f>
        <v>#VALUE!</v>
      </c>
      <c r="HP105" t="e">
        <f>Nodes!M837+"'E4!&amp;J3"</f>
        <v>#VALUE!</v>
      </c>
      <c r="HQ105" t="e">
        <f>Nodes!N837+"'E4!&amp;J4"</f>
        <v>#VALUE!</v>
      </c>
      <c r="HR105" t="e">
        <f>Nodes!O837+"'E4!&amp;J5"</f>
        <v>#VALUE!</v>
      </c>
      <c r="HS105" t="e">
        <f>Nodes!P837+"'E4!&amp;J6"</f>
        <v>#VALUE!</v>
      </c>
      <c r="HT105" t="e">
        <f>Nodes!Q837+"'E4!&amp;J7"</f>
        <v>#VALUE!</v>
      </c>
      <c r="HU105" t="e">
        <f>Nodes!R837+"'E4!&amp;J8"</f>
        <v>#VALUE!</v>
      </c>
      <c r="HV105" t="e">
        <f>Nodes!S837+"'E4!&amp;J9"</f>
        <v>#VALUE!</v>
      </c>
      <c r="HW105" s="547" t="e">
        <f>Nodes!T837+"'E4!&amp;J:"</f>
        <v>#VALUE!</v>
      </c>
      <c r="HX105" t="e">
        <f>Nodes!U837+"'E4!&amp;J;"</f>
        <v>#VALUE!</v>
      </c>
      <c r="HY105" t="e">
        <f>Nodes!V837+"'E4!&amp;J&lt;"</f>
        <v>#VALUE!</v>
      </c>
      <c r="HZ105" s="547" t="e">
        <f>Nodes!W837+"'E4!&amp;J="</f>
        <v>#VALUE!</v>
      </c>
      <c r="IA105" t="e">
        <f>Nodes!X837+"'E4!&amp;J&gt;"</f>
        <v>#VALUE!</v>
      </c>
      <c r="IB105" t="e">
        <f>Nodes!Y837+"'E4!&amp;J?"</f>
        <v>#VALUE!</v>
      </c>
      <c r="IC105" t="e">
        <f>Nodes!Z837+"'E4!&amp;J@"</f>
        <v>#VALUE!</v>
      </c>
      <c r="ID105" t="e">
        <f>Nodes!AA837+"'E4!&amp;JA"</f>
        <v>#VALUE!</v>
      </c>
      <c r="IE105" t="e">
        <f>Nodes!AB837+"'E4!&amp;JB"</f>
        <v>#VALUE!</v>
      </c>
      <c r="IF105" t="e">
        <f>Nodes!AC837+"'E4!&amp;JC"</f>
        <v>#VALUE!</v>
      </c>
      <c r="IG105" t="e">
        <f>Nodes!A838+"'E4!&amp;JD"</f>
        <v>#VALUE!</v>
      </c>
      <c r="IH105" t="e">
        <f>Nodes!B838+"'E4!&amp;JE"</f>
        <v>#VALUE!</v>
      </c>
      <c r="II105" t="e">
        <f>Nodes!C838+"'E4!&amp;JF"</f>
        <v>#VALUE!</v>
      </c>
      <c r="IJ105" t="e">
        <f>Nodes!D838+"'E4!&amp;JG"</f>
        <v>#VALUE!</v>
      </c>
      <c r="IK105" t="e">
        <f>Nodes!E838+"'E4!&amp;JH"</f>
        <v>#VALUE!</v>
      </c>
      <c r="IL105" t="e">
        <f>Nodes!F838+"'E4!&amp;JI"</f>
        <v>#VALUE!</v>
      </c>
      <c r="IM105" t="e">
        <f>Nodes!G838+"'E4!&amp;JJ"</f>
        <v>#VALUE!</v>
      </c>
      <c r="IN105" t="e">
        <f>Nodes!H838+"'E4!&amp;JK"</f>
        <v>#VALUE!</v>
      </c>
      <c r="IO105" t="e">
        <f>Nodes!I838+"'E4!&amp;JL"</f>
        <v>#VALUE!</v>
      </c>
      <c r="IP105" t="e">
        <f>Nodes!J838+"'E4!&amp;JM"</f>
        <v>#VALUE!</v>
      </c>
      <c r="IQ105" t="e">
        <f>Nodes!K838+"'E4!&amp;JN"</f>
        <v>#VALUE!</v>
      </c>
      <c r="IR105" t="e">
        <f>Nodes!L838+"'E4!&amp;JO"</f>
        <v>#VALUE!</v>
      </c>
      <c r="IS105" t="e">
        <f>Nodes!M838+"'E4!&amp;JP"</f>
        <v>#VALUE!</v>
      </c>
      <c r="IT105" t="e">
        <f>Nodes!N838+"'E4!&amp;JQ"</f>
        <v>#VALUE!</v>
      </c>
      <c r="IU105" t="e">
        <f>Nodes!O838+"'E4!&amp;JR"</f>
        <v>#VALUE!</v>
      </c>
      <c r="IV105" t="e">
        <f>Nodes!P838+"'E4!&amp;JS"</f>
        <v>#VALUE!</v>
      </c>
    </row>
    <row r="106" spans="6:256">
      <c r="F106" t="e">
        <f>Nodes!Q838+"'E4!&amp;JT"</f>
        <v>#VALUE!</v>
      </c>
      <c r="G106" t="e">
        <f>Nodes!R838+"'E4!&amp;JU"</f>
        <v>#VALUE!</v>
      </c>
      <c r="H106" t="e">
        <f>Nodes!S838+"'E4!&amp;JV"</f>
        <v>#VALUE!</v>
      </c>
      <c r="I106" s="547" t="e">
        <f>Nodes!T838+"'E4!&amp;JW"</f>
        <v>#VALUE!</v>
      </c>
      <c r="J106" t="e">
        <f>Nodes!U838+"'E4!&amp;JX"</f>
        <v>#VALUE!</v>
      </c>
      <c r="K106" t="e">
        <f>Nodes!V838+"'E4!&amp;JY"</f>
        <v>#VALUE!</v>
      </c>
      <c r="L106" s="547" t="e">
        <f>Nodes!W838+"'E4!&amp;JZ"</f>
        <v>#VALUE!</v>
      </c>
      <c r="M106" t="e">
        <f>Nodes!X838+"'E4!&amp;J["</f>
        <v>#VALUE!</v>
      </c>
      <c r="N106" t="e">
        <f>Nodes!Y838+"'E4!&amp;J\"</f>
        <v>#VALUE!</v>
      </c>
      <c r="O106" t="e">
        <f>Nodes!Z838+"'E4!&amp;J]"</f>
        <v>#VALUE!</v>
      </c>
      <c r="P106" t="e">
        <f>Nodes!AA838+"'E4!&amp;J^"</f>
        <v>#VALUE!</v>
      </c>
      <c r="Q106" t="e">
        <f>Nodes!AB838+"'E4!&amp;J_"</f>
        <v>#VALUE!</v>
      </c>
      <c r="R106" t="e">
        <f>Nodes!AC838+"'E4!&amp;J`"</f>
        <v>#VALUE!</v>
      </c>
      <c r="S106" t="e">
        <f>Nodes!A839+"'E4!&amp;Ja"</f>
        <v>#VALUE!</v>
      </c>
      <c r="T106" t="e">
        <f>Nodes!B839+"'E4!&amp;Jb"</f>
        <v>#VALUE!</v>
      </c>
      <c r="U106" t="e">
        <f>Nodes!C839+"'E4!&amp;Jc"</f>
        <v>#VALUE!</v>
      </c>
      <c r="V106" t="e">
        <f>Nodes!D839+"'E4!&amp;Jd"</f>
        <v>#VALUE!</v>
      </c>
      <c r="W106" t="e">
        <f>Nodes!E839+"'E4!&amp;Je"</f>
        <v>#VALUE!</v>
      </c>
      <c r="X106" t="e">
        <f>Nodes!F839+"'E4!&amp;Jf"</f>
        <v>#VALUE!</v>
      </c>
      <c r="Y106" t="e">
        <f>Nodes!G839+"'E4!&amp;Jg"</f>
        <v>#VALUE!</v>
      </c>
      <c r="Z106" t="e">
        <f>Nodes!H839+"'E4!&amp;Jh"</f>
        <v>#VALUE!</v>
      </c>
      <c r="AA106" t="e">
        <f>Nodes!I839+"'E4!&amp;Ji"</f>
        <v>#VALUE!</v>
      </c>
      <c r="AB106" t="e">
        <f>Nodes!J839+"'E4!&amp;Jj"</f>
        <v>#VALUE!</v>
      </c>
      <c r="AC106" t="e">
        <f>Nodes!K839+"'E4!&amp;Jk"</f>
        <v>#VALUE!</v>
      </c>
      <c r="AD106" t="e">
        <f>Nodes!L839+"'E4!&amp;Jl"</f>
        <v>#VALUE!</v>
      </c>
      <c r="AE106" t="e">
        <f>Nodes!M839+"'E4!&amp;Jm"</f>
        <v>#VALUE!</v>
      </c>
      <c r="AF106" t="e">
        <f>Nodes!N839+"'E4!&amp;Jn"</f>
        <v>#VALUE!</v>
      </c>
      <c r="AG106" t="e">
        <f>Nodes!O839+"'E4!&amp;Jo"</f>
        <v>#VALUE!</v>
      </c>
      <c r="AH106" t="e">
        <f>Nodes!P839+"'E4!&amp;Jp"</f>
        <v>#VALUE!</v>
      </c>
      <c r="AI106" t="e">
        <f>Nodes!Q839+"'E4!&amp;Jq"</f>
        <v>#VALUE!</v>
      </c>
      <c r="AJ106" t="e">
        <f>Nodes!R839+"'E4!&amp;Jr"</f>
        <v>#VALUE!</v>
      </c>
      <c r="AK106" t="e">
        <f>Nodes!S839+"'E4!&amp;Js"</f>
        <v>#VALUE!</v>
      </c>
      <c r="AL106" s="547" t="e">
        <f>Nodes!T839+"'E4!&amp;Jt"</f>
        <v>#VALUE!</v>
      </c>
      <c r="AM106" t="e">
        <f>Nodes!U839+"'E4!&amp;Ju"</f>
        <v>#VALUE!</v>
      </c>
      <c r="AN106" t="e">
        <f>Nodes!V839+"'E4!&amp;Jv"</f>
        <v>#VALUE!</v>
      </c>
      <c r="AO106" s="547" t="e">
        <f>Nodes!W839+"'E4!&amp;Jw"</f>
        <v>#VALUE!</v>
      </c>
      <c r="AP106" t="e">
        <f>Nodes!X839+"'E4!&amp;Jx"</f>
        <v>#VALUE!</v>
      </c>
      <c r="AQ106" t="e">
        <f>Nodes!Y839+"'E4!&amp;Jy"</f>
        <v>#VALUE!</v>
      </c>
      <c r="AR106" t="e">
        <f>Nodes!Z839+"'E4!&amp;Jz"</f>
        <v>#VALUE!</v>
      </c>
      <c r="AS106" t="e">
        <f>Nodes!AA839+"'E4!&amp;J{"</f>
        <v>#VALUE!</v>
      </c>
      <c r="AT106" t="e">
        <f>Nodes!AB839+"'E4!&amp;J|"</f>
        <v>#VALUE!</v>
      </c>
      <c r="AU106" t="e">
        <f>Nodes!AC839+"'E4!&amp;J}"</f>
        <v>#VALUE!</v>
      </c>
      <c r="AV106" t="e">
        <f>Nodes!A840+"'E4!&amp;J~"</f>
        <v>#VALUE!</v>
      </c>
      <c r="AW106" t="e">
        <f>Nodes!B840+"'E4!&amp;K#"</f>
        <v>#VALUE!</v>
      </c>
      <c r="AX106" t="e">
        <f>Nodes!C840+"'E4!&amp;K$"</f>
        <v>#VALUE!</v>
      </c>
      <c r="AY106" t="e">
        <f>Nodes!D840+"'E4!&amp;K%"</f>
        <v>#VALUE!</v>
      </c>
      <c r="AZ106" t="e">
        <f>Nodes!E840+"'E4!&amp;K&amp;"</f>
        <v>#VALUE!</v>
      </c>
      <c r="BA106" t="e">
        <f>Nodes!F840+"'E4!&amp;K'"</f>
        <v>#VALUE!</v>
      </c>
      <c r="BB106" t="e">
        <f>Nodes!G840+"'E4!&amp;K("</f>
        <v>#VALUE!</v>
      </c>
      <c r="BC106" t="e">
        <f>Nodes!H840+"'E4!&amp;K)"</f>
        <v>#VALUE!</v>
      </c>
      <c r="BD106" t="e">
        <f>Nodes!I840+"'E4!&amp;K."</f>
        <v>#VALUE!</v>
      </c>
      <c r="BE106" t="e">
        <f>Nodes!J840+"'E4!&amp;K/"</f>
        <v>#VALUE!</v>
      </c>
      <c r="BF106" t="e">
        <f>Nodes!K840+"'E4!&amp;K0"</f>
        <v>#VALUE!</v>
      </c>
      <c r="BG106" t="e">
        <f>Nodes!L840+"'E4!&amp;K1"</f>
        <v>#VALUE!</v>
      </c>
      <c r="BH106" t="e">
        <f>Nodes!M840+"'E4!&amp;K2"</f>
        <v>#VALUE!</v>
      </c>
      <c r="BI106" t="e">
        <f>Nodes!N840+"'E4!&amp;K3"</f>
        <v>#VALUE!</v>
      </c>
      <c r="BJ106" t="e">
        <f>Nodes!O840+"'E4!&amp;K4"</f>
        <v>#VALUE!</v>
      </c>
      <c r="BK106" t="e">
        <f>Nodes!P840+"'E4!&amp;K5"</f>
        <v>#VALUE!</v>
      </c>
      <c r="BL106" t="e">
        <f>Nodes!Q840+"'E4!&amp;K6"</f>
        <v>#VALUE!</v>
      </c>
      <c r="BM106" t="e">
        <f>Nodes!R840+"'E4!&amp;K7"</f>
        <v>#VALUE!</v>
      </c>
      <c r="BN106" t="e">
        <f>Nodes!S840+"'E4!&amp;K8"</f>
        <v>#VALUE!</v>
      </c>
      <c r="BO106" s="547" t="e">
        <f>Nodes!T840+"'E4!&amp;K9"</f>
        <v>#VALUE!</v>
      </c>
      <c r="BP106" t="e">
        <f>Nodes!U840+"'E4!&amp;K:"</f>
        <v>#VALUE!</v>
      </c>
      <c r="BQ106" t="e">
        <f>Nodes!V840+"'E4!&amp;K;"</f>
        <v>#VALUE!</v>
      </c>
      <c r="BR106" s="547" t="e">
        <f>Nodes!W840+"'E4!&amp;K&lt;"</f>
        <v>#VALUE!</v>
      </c>
      <c r="BS106" t="e">
        <f>Nodes!X840+"'E4!&amp;K="</f>
        <v>#VALUE!</v>
      </c>
      <c r="BT106" t="e">
        <f>Nodes!Y840+"'E4!&amp;K&gt;"</f>
        <v>#VALUE!</v>
      </c>
      <c r="BU106" t="e">
        <f>Nodes!Z840+"'E4!&amp;K?"</f>
        <v>#VALUE!</v>
      </c>
      <c r="BV106" t="e">
        <f>Nodes!AA840+"'E4!&amp;K@"</f>
        <v>#VALUE!</v>
      </c>
      <c r="BW106" t="e">
        <f>Nodes!AB840+"'E4!&amp;KA"</f>
        <v>#VALUE!</v>
      </c>
      <c r="BX106" t="e">
        <f>Nodes!AC840+"'E4!&amp;KB"</f>
        <v>#VALUE!</v>
      </c>
      <c r="BY106" t="e">
        <f>Nodes!A841+"'E4!&amp;KC"</f>
        <v>#VALUE!</v>
      </c>
      <c r="BZ106" t="e">
        <f>Nodes!B841+"'E4!&amp;KD"</f>
        <v>#VALUE!</v>
      </c>
      <c r="CA106" t="e">
        <f>Nodes!C841+"'E4!&amp;KE"</f>
        <v>#VALUE!</v>
      </c>
      <c r="CB106" t="e">
        <f>Nodes!D841+"'E4!&amp;KF"</f>
        <v>#VALUE!</v>
      </c>
      <c r="CC106" t="e">
        <f>Nodes!E841+"'E4!&amp;KG"</f>
        <v>#VALUE!</v>
      </c>
      <c r="CD106" t="e">
        <f>Nodes!F841+"'E4!&amp;KH"</f>
        <v>#VALUE!</v>
      </c>
      <c r="CE106" t="e">
        <f>Nodes!G841+"'E4!&amp;KI"</f>
        <v>#VALUE!</v>
      </c>
      <c r="CF106" t="e">
        <f>Nodes!H841+"'E4!&amp;KJ"</f>
        <v>#VALUE!</v>
      </c>
      <c r="CG106" t="e">
        <f>Nodes!I841+"'E4!&amp;KK"</f>
        <v>#VALUE!</v>
      </c>
      <c r="CH106" t="e">
        <f>Nodes!J841+"'E4!&amp;KL"</f>
        <v>#VALUE!</v>
      </c>
      <c r="CI106" t="e">
        <f>Nodes!K841+"'E4!&amp;KM"</f>
        <v>#VALUE!</v>
      </c>
      <c r="CJ106" t="e">
        <f>Nodes!L841+"'E4!&amp;KN"</f>
        <v>#VALUE!</v>
      </c>
      <c r="CK106" t="e">
        <f>Nodes!M841+"'E4!&amp;KO"</f>
        <v>#VALUE!</v>
      </c>
      <c r="CL106" t="e">
        <f>Nodes!N841+"'E4!&amp;KP"</f>
        <v>#VALUE!</v>
      </c>
      <c r="CM106" t="e">
        <f>Nodes!O841+"'E4!&amp;KQ"</f>
        <v>#VALUE!</v>
      </c>
      <c r="CN106" t="e">
        <f>Nodes!P841+"'E4!&amp;KR"</f>
        <v>#VALUE!</v>
      </c>
      <c r="CO106" t="e">
        <f>Nodes!Q841+"'E4!&amp;KS"</f>
        <v>#VALUE!</v>
      </c>
      <c r="CP106" t="e">
        <f>Nodes!R841+"'E4!&amp;KT"</f>
        <v>#VALUE!</v>
      </c>
      <c r="CQ106" t="e">
        <f>Nodes!S841+"'E4!&amp;KU"</f>
        <v>#VALUE!</v>
      </c>
      <c r="CR106" s="547" t="e">
        <f>Nodes!T841+"'E4!&amp;KV"</f>
        <v>#VALUE!</v>
      </c>
      <c r="CS106" t="e">
        <f>Nodes!U841+"'E4!&amp;KW"</f>
        <v>#VALUE!</v>
      </c>
      <c r="CT106" t="e">
        <f>Nodes!V841+"'E4!&amp;KX"</f>
        <v>#VALUE!</v>
      </c>
      <c r="CU106" s="547" t="e">
        <f>Nodes!W841+"'E4!&amp;KY"</f>
        <v>#VALUE!</v>
      </c>
      <c r="CV106" t="e">
        <f>Nodes!X841+"'E4!&amp;KZ"</f>
        <v>#VALUE!</v>
      </c>
      <c r="CW106" t="e">
        <f>Nodes!Y841+"'E4!&amp;K["</f>
        <v>#VALUE!</v>
      </c>
      <c r="CX106" t="e">
        <f>Nodes!Z841+"'E4!&amp;K\"</f>
        <v>#VALUE!</v>
      </c>
      <c r="CY106" t="e">
        <f>Nodes!AA841+"'E4!&amp;K]"</f>
        <v>#VALUE!</v>
      </c>
      <c r="CZ106" t="e">
        <f>Nodes!AB841+"'E4!&amp;K^"</f>
        <v>#VALUE!</v>
      </c>
      <c r="DA106" t="e">
        <f>Nodes!AC841+"'E4!&amp;K_"</f>
        <v>#VALUE!</v>
      </c>
      <c r="DB106" t="e">
        <f>Nodes!A842+"'E4!&amp;K`"</f>
        <v>#VALUE!</v>
      </c>
      <c r="DC106" t="e">
        <f>Nodes!B842+"'E4!&amp;Ka"</f>
        <v>#VALUE!</v>
      </c>
      <c r="DD106" t="e">
        <f>Nodes!C842+"'E4!&amp;Kb"</f>
        <v>#VALUE!</v>
      </c>
      <c r="DE106" t="e">
        <f>Nodes!D842+"'E4!&amp;Kc"</f>
        <v>#VALUE!</v>
      </c>
      <c r="DF106" t="e">
        <f>Nodes!E842+"'E4!&amp;Kd"</f>
        <v>#VALUE!</v>
      </c>
      <c r="DG106" t="e">
        <f>Nodes!F842+"'E4!&amp;Ke"</f>
        <v>#VALUE!</v>
      </c>
      <c r="DH106" t="e">
        <f>Nodes!G842+"'E4!&amp;Kf"</f>
        <v>#VALUE!</v>
      </c>
      <c r="DI106" t="e">
        <f>Nodes!H842+"'E4!&amp;Kg"</f>
        <v>#VALUE!</v>
      </c>
      <c r="DJ106" t="e">
        <f>Nodes!I842+"'E4!&amp;Kh"</f>
        <v>#VALUE!</v>
      </c>
      <c r="DK106" t="e">
        <f>Nodes!J842+"'E4!&amp;Ki"</f>
        <v>#VALUE!</v>
      </c>
      <c r="DL106" t="e">
        <f>Nodes!K842+"'E4!&amp;Kj"</f>
        <v>#VALUE!</v>
      </c>
      <c r="DM106" t="e">
        <f>Nodes!L842+"'E4!&amp;Kk"</f>
        <v>#VALUE!</v>
      </c>
      <c r="DN106" t="e">
        <f>Nodes!M842+"'E4!&amp;Kl"</f>
        <v>#VALUE!</v>
      </c>
      <c r="DO106" t="e">
        <f>Nodes!N842+"'E4!&amp;Km"</f>
        <v>#VALUE!</v>
      </c>
      <c r="DP106" t="e">
        <f>Nodes!O842+"'E4!&amp;Kn"</f>
        <v>#VALUE!</v>
      </c>
      <c r="DQ106" t="e">
        <f>Nodes!P842+"'E4!&amp;Ko"</f>
        <v>#VALUE!</v>
      </c>
      <c r="DR106" t="e">
        <f>Nodes!Q842+"'E4!&amp;Kp"</f>
        <v>#VALUE!</v>
      </c>
      <c r="DS106" t="e">
        <f>Nodes!R842+"'E4!&amp;Kq"</f>
        <v>#VALUE!</v>
      </c>
      <c r="DT106" t="e">
        <f>Nodes!S842+"'E4!&amp;Kr"</f>
        <v>#VALUE!</v>
      </c>
      <c r="DU106" s="547" t="e">
        <f>Nodes!T842+"'E4!&amp;Ks"</f>
        <v>#VALUE!</v>
      </c>
      <c r="DV106" t="e">
        <f>Nodes!U842+"'E4!&amp;Kt"</f>
        <v>#VALUE!</v>
      </c>
      <c r="DW106" t="e">
        <f>Nodes!V842+"'E4!&amp;Ku"</f>
        <v>#VALUE!</v>
      </c>
      <c r="DX106" s="547" t="e">
        <f>Nodes!W842+"'E4!&amp;Kv"</f>
        <v>#VALUE!</v>
      </c>
      <c r="DY106" t="e">
        <f>Nodes!X842+"'E4!&amp;Kw"</f>
        <v>#VALUE!</v>
      </c>
      <c r="DZ106" t="e">
        <f>Nodes!Y842+"'E4!&amp;Kx"</f>
        <v>#VALUE!</v>
      </c>
      <c r="EA106" t="e">
        <f>Nodes!Z842+"'E4!&amp;Ky"</f>
        <v>#VALUE!</v>
      </c>
      <c r="EB106" t="e">
        <f>Nodes!AA842+"'E4!&amp;Kz"</f>
        <v>#VALUE!</v>
      </c>
      <c r="EC106" t="e">
        <f>Nodes!AB842+"'E4!&amp;K{"</f>
        <v>#VALUE!</v>
      </c>
      <c r="ED106" t="e">
        <f>Nodes!AC842+"'E4!&amp;K|"</f>
        <v>#VALUE!</v>
      </c>
      <c r="EE106" t="e">
        <f>Nodes!A843+"'E4!&amp;K}"</f>
        <v>#VALUE!</v>
      </c>
      <c r="EF106" t="e">
        <f>Nodes!B843+"'E4!&amp;K~"</f>
        <v>#VALUE!</v>
      </c>
      <c r="EG106" t="e">
        <f>Nodes!C843+"'E4!&amp;L#"</f>
        <v>#VALUE!</v>
      </c>
      <c r="EH106" t="e">
        <f>Nodes!D843+"'E4!&amp;L$"</f>
        <v>#VALUE!</v>
      </c>
      <c r="EI106" t="e">
        <f>Nodes!E843+"'E4!&amp;L%"</f>
        <v>#VALUE!</v>
      </c>
      <c r="EJ106" t="e">
        <f>Nodes!F843+"'E4!&amp;L&amp;"</f>
        <v>#VALUE!</v>
      </c>
      <c r="EK106" t="e">
        <f>Nodes!G843+"'E4!&amp;L'"</f>
        <v>#VALUE!</v>
      </c>
      <c r="EL106" t="e">
        <f>Nodes!H843+"'E4!&amp;L("</f>
        <v>#VALUE!</v>
      </c>
      <c r="EM106" t="e">
        <f>Nodes!I843+"'E4!&amp;L)"</f>
        <v>#VALUE!</v>
      </c>
      <c r="EN106" t="e">
        <f>Nodes!J843+"'E4!&amp;L."</f>
        <v>#VALUE!</v>
      </c>
      <c r="EO106" t="e">
        <f>Nodes!K843+"'E4!&amp;L/"</f>
        <v>#VALUE!</v>
      </c>
      <c r="EP106" t="e">
        <f>Nodes!L843+"'E4!&amp;L0"</f>
        <v>#VALUE!</v>
      </c>
      <c r="EQ106" t="e">
        <f>Nodes!M843+"'E4!&amp;L1"</f>
        <v>#VALUE!</v>
      </c>
      <c r="ER106" t="e">
        <f>Nodes!N843+"'E4!&amp;L2"</f>
        <v>#VALUE!</v>
      </c>
      <c r="ES106" t="e">
        <f>Nodes!O843+"'E4!&amp;L3"</f>
        <v>#VALUE!</v>
      </c>
      <c r="ET106" t="e">
        <f>Nodes!P843+"'E4!&amp;L4"</f>
        <v>#VALUE!</v>
      </c>
      <c r="EU106" t="e">
        <f>Nodes!Q843+"'E4!&amp;L5"</f>
        <v>#VALUE!</v>
      </c>
      <c r="EV106" t="e">
        <f>Nodes!R843+"'E4!&amp;L6"</f>
        <v>#VALUE!</v>
      </c>
      <c r="EW106" t="e">
        <f>Nodes!S843+"'E4!&amp;L7"</f>
        <v>#VALUE!</v>
      </c>
      <c r="EX106" s="547" t="e">
        <f>Nodes!T843+"'E4!&amp;L8"</f>
        <v>#VALUE!</v>
      </c>
      <c r="EY106" t="e">
        <f>Nodes!U843+"'E4!&amp;L9"</f>
        <v>#VALUE!</v>
      </c>
      <c r="EZ106" t="e">
        <f>Nodes!V843+"'E4!&amp;L:"</f>
        <v>#VALUE!</v>
      </c>
      <c r="FA106" s="547" t="e">
        <f>Nodes!W843+"'E4!&amp;L;"</f>
        <v>#VALUE!</v>
      </c>
      <c r="FB106" t="e">
        <f>Nodes!X843+"'E4!&amp;L&lt;"</f>
        <v>#VALUE!</v>
      </c>
      <c r="FC106" t="e">
        <f>Nodes!Y843+"'E4!&amp;L="</f>
        <v>#VALUE!</v>
      </c>
      <c r="FD106" t="e">
        <f>Nodes!Z843+"'E4!&amp;L&gt;"</f>
        <v>#VALUE!</v>
      </c>
      <c r="FE106" t="e">
        <f>Nodes!AA843+"'E4!&amp;L?"</f>
        <v>#VALUE!</v>
      </c>
      <c r="FF106" t="e">
        <f>Nodes!AB843+"'E4!&amp;L@"</f>
        <v>#VALUE!</v>
      </c>
      <c r="FG106" t="e">
        <f>Nodes!AC843+"'E4!&amp;LA"</f>
        <v>#VALUE!</v>
      </c>
      <c r="FH106" t="e">
        <f>Nodes!A844+"'E4!&amp;LB"</f>
        <v>#VALUE!</v>
      </c>
      <c r="FI106" t="e">
        <f>Nodes!B844+"'E4!&amp;LC"</f>
        <v>#VALUE!</v>
      </c>
      <c r="FJ106" t="e">
        <f>Nodes!C844+"'E4!&amp;LD"</f>
        <v>#VALUE!</v>
      </c>
      <c r="FK106" t="e">
        <f>Nodes!D844+"'E4!&amp;LE"</f>
        <v>#VALUE!</v>
      </c>
      <c r="FL106" t="e">
        <f>Nodes!E844+"'E4!&amp;LF"</f>
        <v>#VALUE!</v>
      </c>
      <c r="FM106" t="e">
        <f>Nodes!F844+"'E4!&amp;LG"</f>
        <v>#VALUE!</v>
      </c>
      <c r="FN106" t="e">
        <f>Nodes!G844+"'E4!&amp;LH"</f>
        <v>#VALUE!</v>
      </c>
      <c r="FO106" t="e">
        <f>Nodes!H844+"'E4!&amp;LI"</f>
        <v>#VALUE!</v>
      </c>
      <c r="FP106" t="e">
        <f>Nodes!I844+"'E4!&amp;LJ"</f>
        <v>#VALUE!</v>
      </c>
      <c r="FQ106" t="e">
        <f>Nodes!J844+"'E4!&amp;LK"</f>
        <v>#VALUE!</v>
      </c>
      <c r="FR106" t="e">
        <f>Nodes!K844+"'E4!&amp;LL"</f>
        <v>#VALUE!</v>
      </c>
      <c r="FS106" t="e">
        <f>Nodes!L844+"'E4!&amp;LM"</f>
        <v>#VALUE!</v>
      </c>
      <c r="FT106" t="e">
        <f>Nodes!M844+"'E4!&amp;LN"</f>
        <v>#VALUE!</v>
      </c>
      <c r="FU106" t="e">
        <f>Nodes!N844+"'E4!&amp;LO"</f>
        <v>#VALUE!</v>
      </c>
      <c r="FV106" t="e">
        <f>Nodes!O844+"'E4!&amp;LP"</f>
        <v>#VALUE!</v>
      </c>
      <c r="FW106" t="e">
        <f>Nodes!P844+"'E4!&amp;LQ"</f>
        <v>#VALUE!</v>
      </c>
      <c r="FX106" t="e">
        <f>Nodes!Q844+"'E4!&amp;LR"</f>
        <v>#VALUE!</v>
      </c>
      <c r="FY106" t="e">
        <f>Nodes!R844+"'E4!&amp;LS"</f>
        <v>#VALUE!</v>
      </c>
      <c r="FZ106" t="e">
        <f>Nodes!S844+"'E4!&amp;LT"</f>
        <v>#VALUE!</v>
      </c>
      <c r="GA106" s="547" t="e">
        <f>Nodes!T844+"'E4!&amp;LU"</f>
        <v>#VALUE!</v>
      </c>
      <c r="GB106" t="e">
        <f>Nodes!U844+"'E4!&amp;LV"</f>
        <v>#VALUE!</v>
      </c>
      <c r="GC106" t="e">
        <f>Nodes!V844+"'E4!&amp;LW"</f>
        <v>#VALUE!</v>
      </c>
      <c r="GD106" s="547" t="e">
        <f>Nodes!W844+"'E4!&amp;LX"</f>
        <v>#VALUE!</v>
      </c>
      <c r="GE106" t="e">
        <f>Nodes!X844+"'E4!&amp;LY"</f>
        <v>#VALUE!</v>
      </c>
      <c r="GF106" t="e">
        <f>Nodes!Y844+"'E4!&amp;LZ"</f>
        <v>#VALUE!</v>
      </c>
      <c r="GG106" t="e">
        <f>Nodes!Z844+"'E4!&amp;L["</f>
        <v>#VALUE!</v>
      </c>
      <c r="GH106" t="e">
        <f>Nodes!AA844+"'E4!&amp;L\"</f>
        <v>#VALUE!</v>
      </c>
      <c r="GI106" t="e">
        <f>Nodes!AB844+"'E4!&amp;L]"</f>
        <v>#VALUE!</v>
      </c>
      <c r="GJ106" t="e">
        <f>Nodes!AC844+"'E4!&amp;L^"</f>
        <v>#VALUE!</v>
      </c>
      <c r="GK106" t="e">
        <f>Nodes!A845+"'E4!&amp;L_"</f>
        <v>#VALUE!</v>
      </c>
      <c r="GL106" t="e">
        <f>Nodes!B845+"'E4!&amp;L`"</f>
        <v>#VALUE!</v>
      </c>
      <c r="GM106" t="e">
        <f>Nodes!C845+"'E4!&amp;La"</f>
        <v>#VALUE!</v>
      </c>
      <c r="GN106" t="e">
        <f>Nodes!D845+"'E4!&amp;Lb"</f>
        <v>#VALUE!</v>
      </c>
      <c r="GO106" t="e">
        <f>Nodes!E845+"'E4!&amp;Lc"</f>
        <v>#VALUE!</v>
      </c>
      <c r="GP106" t="e">
        <f>Nodes!F845+"'E4!&amp;Ld"</f>
        <v>#VALUE!</v>
      </c>
      <c r="GQ106" t="e">
        <f>Nodes!G845+"'E4!&amp;Le"</f>
        <v>#VALUE!</v>
      </c>
      <c r="GR106" t="e">
        <f>Nodes!H845+"'E4!&amp;Lf"</f>
        <v>#VALUE!</v>
      </c>
      <c r="GS106" t="e">
        <f>Nodes!I845+"'E4!&amp;Lg"</f>
        <v>#VALUE!</v>
      </c>
      <c r="GT106" t="e">
        <f>Nodes!J845+"'E4!&amp;Lh"</f>
        <v>#VALUE!</v>
      </c>
      <c r="GU106" t="e">
        <f>Nodes!K845+"'E4!&amp;Li"</f>
        <v>#VALUE!</v>
      </c>
      <c r="GV106" t="e">
        <f>Nodes!L845+"'E4!&amp;Lj"</f>
        <v>#VALUE!</v>
      </c>
      <c r="GW106" t="e">
        <f>Nodes!M845+"'E4!&amp;Lk"</f>
        <v>#VALUE!</v>
      </c>
      <c r="GX106" t="e">
        <f>Nodes!N845+"'E4!&amp;Ll"</f>
        <v>#VALUE!</v>
      </c>
      <c r="GY106" t="e">
        <f>Nodes!O845+"'E4!&amp;Lm"</f>
        <v>#VALUE!</v>
      </c>
      <c r="GZ106" t="e">
        <f>Nodes!P845+"'E4!&amp;Ln"</f>
        <v>#VALUE!</v>
      </c>
      <c r="HA106" t="e">
        <f>Nodes!Q845+"'E4!&amp;Lo"</f>
        <v>#VALUE!</v>
      </c>
      <c r="HB106" t="e">
        <f>Nodes!R845+"'E4!&amp;Lp"</f>
        <v>#VALUE!</v>
      </c>
      <c r="HC106" t="e">
        <f>Nodes!S845+"'E4!&amp;Lq"</f>
        <v>#VALUE!</v>
      </c>
      <c r="HD106" s="547" t="e">
        <f>Nodes!T845+"'E4!&amp;Lr"</f>
        <v>#VALUE!</v>
      </c>
      <c r="HE106" t="e">
        <f>Nodes!U845+"'E4!&amp;Ls"</f>
        <v>#VALUE!</v>
      </c>
      <c r="HF106" t="e">
        <f>Nodes!V845+"'E4!&amp;Lt"</f>
        <v>#VALUE!</v>
      </c>
      <c r="HG106" s="547" t="e">
        <f>Nodes!W845+"'E4!&amp;Lu"</f>
        <v>#VALUE!</v>
      </c>
      <c r="HH106" t="e">
        <f>Nodes!X845+"'E4!&amp;Lv"</f>
        <v>#VALUE!</v>
      </c>
      <c r="HI106" t="e">
        <f>Nodes!Y845+"'E4!&amp;Lw"</f>
        <v>#VALUE!</v>
      </c>
      <c r="HJ106" t="e">
        <f>Nodes!Z845+"'E4!&amp;Lx"</f>
        <v>#VALUE!</v>
      </c>
      <c r="HK106" t="e">
        <f>Nodes!AA845+"'E4!&amp;Ly"</f>
        <v>#VALUE!</v>
      </c>
      <c r="HL106" t="e">
        <f>Nodes!AB845+"'E4!&amp;Lz"</f>
        <v>#VALUE!</v>
      </c>
      <c r="HM106" t="e">
        <f>Nodes!AC845+"'E4!&amp;L{"</f>
        <v>#VALUE!</v>
      </c>
      <c r="HN106" t="e">
        <f>Nodes!A846+"'E4!&amp;L|"</f>
        <v>#VALUE!</v>
      </c>
      <c r="HO106" t="e">
        <f>Nodes!B846+"'E4!&amp;L}"</f>
        <v>#VALUE!</v>
      </c>
      <c r="HP106" t="e">
        <f>Nodes!C846+"'E4!&amp;L~"</f>
        <v>#VALUE!</v>
      </c>
      <c r="HQ106" t="e">
        <f>Nodes!D846+"'E4!&amp;M#"</f>
        <v>#VALUE!</v>
      </c>
      <c r="HR106" t="e">
        <f>Nodes!E846+"'E4!&amp;M$"</f>
        <v>#VALUE!</v>
      </c>
      <c r="HS106" t="e">
        <f>Nodes!F846+"'E4!&amp;M%"</f>
        <v>#VALUE!</v>
      </c>
      <c r="HT106" t="e">
        <f>Nodes!G846+"'E4!&amp;M&amp;"</f>
        <v>#VALUE!</v>
      </c>
      <c r="HU106" t="e">
        <f>Nodes!H846+"'E4!&amp;M'"</f>
        <v>#VALUE!</v>
      </c>
      <c r="HV106" t="e">
        <f>Nodes!I846+"'E4!&amp;M("</f>
        <v>#VALUE!</v>
      </c>
      <c r="HW106" t="e">
        <f>Nodes!J846+"'E4!&amp;M)"</f>
        <v>#VALUE!</v>
      </c>
      <c r="HX106" t="e">
        <f>Nodes!K846+"'E4!&amp;M."</f>
        <v>#VALUE!</v>
      </c>
      <c r="HY106" t="e">
        <f>Nodes!L846+"'E4!&amp;M/"</f>
        <v>#VALUE!</v>
      </c>
      <c r="HZ106" t="e">
        <f>Nodes!M846+"'E4!&amp;M0"</f>
        <v>#VALUE!</v>
      </c>
      <c r="IA106" t="e">
        <f>Nodes!N846+"'E4!&amp;M1"</f>
        <v>#VALUE!</v>
      </c>
      <c r="IB106" t="e">
        <f>Nodes!O846+"'E4!&amp;M2"</f>
        <v>#VALUE!</v>
      </c>
      <c r="IC106" t="e">
        <f>Nodes!P846+"'E4!&amp;M3"</f>
        <v>#VALUE!</v>
      </c>
      <c r="ID106" t="e">
        <f>Nodes!Q846+"'E4!&amp;M4"</f>
        <v>#VALUE!</v>
      </c>
      <c r="IE106" t="e">
        <f>Nodes!R846+"'E4!&amp;M5"</f>
        <v>#VALUE!</v>
      </c>
      <c r="IF106" t="e">
        <f>Nodes!S846+"'E4!&amp;M6"</f>
        <v>#VALUE!</v>
      </c>
      <c r="IG106" s="547" t="e">
        <f>Nodes!T846+"'E4!&amp;M7"</f>
        <v>#VALUE!</v>
      </c>
      <c r="IH106" t="e">
        <f>Nodes!U846+"'E4!&amp;M8"</f>
        <v>#VALUE!</v>
      </c>
      <c r="II106" t="e">
        <f>Nodes!V846+"'E4!&amp;M9"</f>
        <v>#VALUE!</v>
      </c>
      <c r="IJ106" s="547" t="e">
        <f>Nodes!W846+"'E4!&amp;M:"</f>
        <v>#VALUE!</v>
      </c>
      <c r="IK106" t="e">
        <f>Nodes!X846+"'E4!&amp;M;"</f>
        <v>#VALUE!</v>
      </c>
      <c r="IL106" t="e">
        <f>Nodes!Y846+"'E4!&amp;M&lt;"</f>
        <v>#VALUE!</v>
      </c>
      <c r="IM106" t="e">
        <f>Nodes!Z846+"'E4!&amp;M="</f>
        <v>#VALUE!</v>
      </c>
      <c r="IN106" t="e">
        <f>Nodes!AA846+"'E4!&amp;M&gt;"</f>
        <v>#VALUE!</v>
      </c>
      <c r="IO106" t="e">
        <f>Nodes!AB846+"'E4!&amp;M?"</f>
        <v>#VALUE!</v>
      </c>
      <c r="IP106" t="e">
        <f>Nodes!AC846+"'E4!&amp;M@"</f>
        <v>#VALUE!</v>
      </c>
      <c r="IQ106" t="e">
        <f>Nodes!A847+"'E4!&amp;MA"</f>
        <v>#VALUE!</v>
      </c>
      <c r="IR106" t="e">
        <f>Nodes!B847+"'E4!&amp;MB"</f>
        <v>#VALUE!</v>
      </c>
      <c r="IS106" t="e">
        <f>Nodes!C847+"'E4!&amp;MC"</f>
        <v>#VALUE!</v>
      </c>
      <c r="IT106" t="e">
        <f>Nodes!D847+"'E4!&amp;MD"</f>
        <v>#VALUE!</v>
      </c>
      <c r="IU106" t="e">
        <f>Nodes!E847+"'E4!&amp;ME"</f>
        <v>#VALUE!</v>
      </c>
      <c r="IV106" t="e">
        <f>Nodes!F847+"'E4!&amp;MF"</f>
        <v>#VALUE!</v>
      </c>
    </row>
    <row r="107" spans="6:256">
      <c r="F107" t="e">
        <f>Nodes!G847+"'E4!&amp;MG"</f>
        <v>#VALUE!</v>
      </c>
      <c r="G107" t="e">
        <f>Nodes!H847+"'E4!&amp;MH"</f>
        <v>#VALUE!</v>
      </c>
      <c r="H107" t="e">
        <f>Nodes!I847+"'E4!&amp;MI"</f>
        <v>#VALUE!</v>
      </c>
      <c r="I107" t="e">
        <f>Nodes!J847+"'E4!&amp;MJ"</f>
        <v>#VALUE!</v>
      </c>
      <c r="J107" t="e">
        <f>Nodes!K847+"'E4!&amp;MK"</f>
        <v>#VALUE!</v>
      </c>
      <c r="K107" t="e">
        <f>Nodes!L847+"'E4!&amp;ML"</f>
        <v>#VALUE!</v>
      </c>
      <c r="L107" t="e">
        <f>Nodes!M847+"'E4!&amp;MM"</f>
        <v>#VALUE!</v>
      </c>
      <c r="M107" t="e">
        <f>Nodes!N847+"'E4!&amp;MN"</f>
        <v>#VALUE!</v>
      </c>
      <c r="N107" t="e">
        <f>Nodes!O847+"'E4!&amp;MO"</f>
        <v>#VALUE!</v>
      </c>
      <c r="O107" t="e">
        <f>Nodes!P847+"'E4!&amp;MP"</f>
        <v>#VALUE!</v>
      </c>
      <c r="P107" t="e">
        <f>Nodes!Q847+"'E4!&amp;MQ"</f>
        <v>#VALUE!</v>
      </c>
      <c r="Q107" t="e">
        <f>Nodes!R847+"'E4!&amp;MR"</f>
        <v>#VALUE!</v>
      </c>
      <c r="R107" t="e">
        <f>Nodes!S847+"'E4!&amp;MS"</f>
        <v>#VALUE!</v>
      </c>
      <c r="S107" s="547" t="e">
        <f>Nodes!T847+"'E4!&amp;MT"</f>
        <v>#VALUE!</v>
      </c>
      <c r="T107" t="e">
        <f>Nodes!U847+"'E4!&amp;MU"</f>
        <v>#VALUE!</v>
      </c>
      <c r="U107" t="e">
        <f>Nodes!V847+"'E4!&amp;MV"</f>
        <v>#VALUE!</v>
      </c>
      <c r="V107" s="547" t="e">
        <f>Nodes!W847+"'E4!&amp;MW"</f>
        <v>#VALUE!</v>
      </c>
      <c r="W107" t="e">
        <f>Nodes!X847+"'E4!&amp;MX"</f>
        <v>#VALUE!</v>
      </c>
      <c r="X107" t="e">
        <f>Nodes!Y847+"'E4!&amp;MY"</f>
        <v>#VALUE!</v>
      </c>
      <c r="Y107" t="e">
        <f>Nodes!Z847+"'E4!&amp;MZ"</f>
        <v>#VALUE!</v>
      </c>
      <c r="Z107" t="e">
        <f>Nodes!AA847+"'E4!&amp;M["</f>
        <v>#VALUE!</v>
      </c>
      <c r="AA107" t="e">
        <f>Nodes!AB847+"'E4!&amp;M\"</f>
        <v>#VALUE!</v>
      </c>
      <c r="AB107" t="e">
        <f>Nodes!AC847+"'E4!&amp;M]"</f>
        <v>#VALUE!</v>
      </c>
      <c r="AC107" t="e">
        <f>Nodes!A848+"'E4!&amp;M^"</f>
        <v>#VALUE!</v>
      </c>
      <c r="AD107" t="e">
        <f>Nodes!B848+"'E4!&amp;M_"</f>
        <v>#VALUE!</v>
      </c>
      <c r="AE107" t="e">
        <f>Nodes!C848+"'E4!&amp;M`"</f>
        <v>#VALUE!</v>
      </c>
      <c r="AF107" t="e">
        <f>Nodes!D848+"'E4!&amp;Ma"</f>
        <v>#VALUE!</v>
      </c>
      <c r="AG107" t="e">
        <f>Nodes!E848+"'E4!&amp;Mb"</f>
        <v>#VALUE!</v>
      </c>
      <c r="AH107" t="e">
        <f>Nodes!F848+"'E4!&amp;Mc"</f>
        <v>#VALUE!</v>
      </c>
      <c r="AI107" t="e">
        <f>Nodes!G848+"'E4!&amp;Md"</f>
        <v>#VALUE!</v>
      </c>
      <c r="AJ107" t="e">
        <f>Nodes!H848+"'E4!&amp;Me"</f>
        <v>#VALUE!</v>
      </c>
      <c r="AK107" t="e">
        <f>Nodes!I848+"'E4!&amp;Mf"</f>
        <v>#VALUE!</v>
      </c>
      <c r="AL107" t="e">
        <f>Nodes!J848+"'E4!&amp;Mg"</f>
        <v>#VALUE!</v>
      </c>
      <c r="AM107" t="e">
        <f>Nodes!K848+"'E4!&amp;Mh"</f>
        <v>#VALUE!</v>
      </c>
      <c r="AN107" t="e">
        <f>Nodes!L848+"'E4!&amp;Mi"</f>
        <v>#VALUE!</v>
      </c>
      <c r="AO107" t="e">
        <f>Nodes!M848+"'E4!&amp;Mj"</f>
        <v>#VALUE!</v>
      </c>
      <c r="AP107" t="e">
        <f>Nodes!N848+"'E4!&amp;Mk"</f>
        <v>#VALUE!</v>
      </c>
      <c r="AQ107" t="e">
        <f>Nodes!O848+"'E4!&amp;Ml"</f>
        <v>#VALUE!</v>
      </c>
      <c r="AR107" t="e">
        <f>Nodes!P848+"'E4!&amp;Mm"</f>
        <v>#VALUE!</v>
      </c>
      <c r="AS107" t="e">
        <f>Nodes!Q848+"'E4!&amp;Mn"</f>
        <v>#VALUE!</v>
      </c>
      <c r="AT107" t="e">
        <f>Nodes!R848+"'E4!&amp;Mo"</f>
        <v>#VALUE!</v>
      </c>
      <c r="AU107" t="e">
        <f>Nodes!S848+"'E4!&amp;Mp"</f>
        <v>#VALUE!</v>
      </c>
      <c r="AV107" s="547" t="e">
        <f>Nodes!T848+"'E4!&amp;Mq"</f>
        <v>#VALUE!</v>
      </c>
      <c r="AW107" t="e">
        <f>Nodes!U848+"'E4!&amp;Mr"</f>
        <v>#VALUE!</v>
      </c>
      <c r="AX107" t="e">
        <f>Nodes!V848+"'E4!&amp;Ms"</f>
        <v>#VALUE!</v>
      </c>
      <c r="AY107" s="547" t="e">
        <f>Nodes!W848+"'E4!&amp;Mt"</f>
        <v>#VALUE!</v>
      </c>
      <c r="AZ107" t="e">
        <f>Nodes!X848+"'E4!&amp;Mu"</f>
        <v>#VALUE!</v>
      </c>
      <c r="BA107" t="e">
        <f>Nodes!Y848+"'E4!&amp;Mv"</f>
        <v>#VALUE!</v>
      </c>
      <c r="BB107" t="e">
        <f>Nodes!Z848+"'E4!&amp;Mw"</f>
        <v>#VALUE!</v>
      </c>
      <c r="BC107" t="e">
        <f>Nodes!AA848+"'E4!&amp;Mx"</f>
        <v>#VALUE!</v>
      </c>
      <c r="BD107" t="e">
        <f>Nodes!AB848+"'E4!&amp;My"</f>
        <v>#VALUE!</v>
      </c>
      <c r="BE107" t="e">
        <f>Nodes!AC848+"'E4!&amp;Mz"</f>
        <v>#VALUE!</v>
      </c>
      <c r="BF107" t="e">
        <f>Nodes!A849+"'E4!&amp;M{"</f>
        <v>#VALUE!</v>
      </c>
      <c r="BG107" t="e">
        <f>Nodes!B849+"'E4!&amp;M|"</f>
        <v>#VALUE!</v>
      </c>
      <c r="BH107" t="e">
        <f>Nodes!C849+"'E4!&amp;M}"</f>
        <v>#VALUE!</v>
      </c>
      <c r="BI107" t="e">
        <f>Nodes!D849+"'E4!&amp;M~"</f>
        <v>#VALUE!</v>
      </c>
      <c r="BJ107" t="e">
        <f>Nodes!E849+"'E4!&amp;N#"</f>
        <v>#VALUE!</v>
      </c>
      <c r="BK107" t="e">
        <f>Nodes!F849+"'E4!&amp;N$"</f>
        <v>#VALUE!</v>
      </c>
      <c r="BL107" t="e">
        <f>Nodes!G849+"'E4!&amp;N%"</f>
        <v>#VALUE!</v>
      </c>
      <c r="BM107" t="e">
        <f>Nodes!H849+"'E4!&amp;N&amp;"</f>
        <v>#VALUE!</v>
      </c>
      <c r="BN107" t="e">
        <f>Nodes!I849+"'E4!&amp;N'"</f>
        <v>#VALUE!</v>
      </c>
      <c r="BO107" t="e">
        <f>Nodes!J849+"'E4!&amp;N("</f>
        <v>#VALUE!</v>
      </c>
      <c r="BP107" t="e">
        <f>Nodes!K849+"'E4!&amp;N)"</f>
        <v>#VALUE!</v>
      </c>
      <c r="BQ107" t="e">
        <f>Nodes!L849+"'E4!&amp;N."</f>
        <v>#VALUE!</v>
      </c>
      <c r="BR107" t="e">
        <f>Nodes!M849+"'E4!&amp;N/"</f>
        <v>#VALUE!</v>
      </c>
      <c r="BS107" t="e">
        <f>Nodes!N849+"'E4!&amp;N0"</f>
        <v>#VALUE!</v>
      </c>
      <c r="BT107" t="e">
        <f>Nodes!O849+"'E4!&amp;N1"</f>
        <v>#VALUE!</v>
      </c>
      <c r="BU107" t="e">
        <f>Nodes!P849+"'E4!&amp;N2"</f>
        <v>#VALUE!</v>
      </c>
      <c r="BV107" t="e">
        <f>Nodes!Q849+"'E4!&amp;N3"</f>
        <v>#VALUE!</v>
      </c>
      <c r="BW107" t="e">
        <f>Nodes!R849+"'E4!&amp;N4"</f>
        <v>#VALUE!</v>
      </c>
      <c r="BX107" t="e">
        <f>Nodes!S849+"'E4!&amp;N5"</f>
        <v>#VALUE!</v>
      </c>
      <c r="BY107" s="547" t="e">
        <f>Nodes!T849+"'E4!&amp;N6"</f>
        <v>#VALUE!</v>
      </c>
      <c r="BZ107" t="e">
        <f>Nodes!U849+"'E4!&amp;N7"</f>
        <v>#VALUE!</v>
      </c>
      <c r="CA107" t="e">
        <f>Nodes!V849+"'E4!&amp;N8"</f>
        <v>#VALUE!</v>
      </c>
      <c r="CB107" s="547" t="e">
        <f>Nodes!W849+"'E4!&amp;N9"</f>
        <v>#VALUE!</v>
      </c>
      <c r="CC107" t="e">
        <f>Nodes!X849+"'E4!&amp;N:"</f>
        <v>#VALUE!</v>
      </c>
      <c r="CD107" t="e">
        <f>Nodes!Y849+"'E4!&amp;N;"</f>
        <v>#VALUE!</v>
      </c>
      <c r="CE107" t="e">
        <f>Nodes!Z849+"'E4!&amp;N&lt;"</f>
        <v>#VALUE!</v>
      </c>
      <c r="CF107" t="e">
        <f>Nodes!AA849+"'E4!&amp;N="</f>
        <v>#VALUE!</v>
      </c>
      <c r="CG107" t="e">
        <f>Nodes!AB849+"'E4!&amp;N&gt;"</f>
        <v>#VALUE!</v>
      </c>
      <c r="CH107" t="e">
        <f>Nodes!AC849+"'E4!&amp;N?"</f>
        <v>#VALUE!</v>
      </c>
      <c r="CI107" t="e">
        <f>Nodes!A850+"'E4!&amp;N@"</f>
        <v>#VALUE!</v>
      </c>
      <c r="CJ107" t="e">
        <f>Nodes!B850+"'E4!&amp;NA"</f>
        <v>#VALUE!</v>
      </c>
      <c r="CK107" t="e">
        <f>Nodes!C850+"'E4!&amp;NB"</f>
        <v>#VALUE!</v>
      </c>
      <c r="CL107" t="e">
        <f>Nodes!D850+"'E4!&amp;NC"</f>
        <v>#VALUE!</v>
      </c>
      <c r="CM107" t="e">
        <f>Nodes!E850+"'E4!&amp;ND"</f>
        <v>#VALUE!</v>
      </c>
      <c r="CN107" t="e">
        <f>Nodes!F850+"'E4!&amp;NE"</f>
        <v>#VALUE!</v>
      </c>
      <c r="CO107" t="e">
        <f>Nodes!G850+"'E4!&amp;NF"</f>
        <v>#VALUE!</v>
      </c>
      <c r="CP107" t="e">
        <f>Nodes!H850+"'E4!&amp;NG"</f>
        <v>#VALUE!</v>
      </c>
      <c r="CQ107" t="e">
        <f>Nodes!I850+"'E4!&amp;NH"</f>
        <v>#VALUE!</v>
      </c>
      <c r="CR107" t="e">
        <f>Nodes!J850+"'E4!&amp;NI"</f>
        <v>#VALUE!</v>
      </c>
      <c r="CS107" t="e">
        <f>Nodes!K850+"'E4!&amp;NJ"</f>
        <v>#VALUE!</v>
      </c>
      <c r="CT107" t="e">
        <f>Nodes!L850+"'E4!&amp;NK"</f>
        <v>#VALUE!</v>
      </c>
      <c r="CU107" t="e">
        <f>Nodes!M850+"'E4!&amp;NL"</f>
        <v>#VALUE!</v>
      </c>
      <c r="CV107" t="e">
        <f>Nodes!N850+"'E4!&amp;NM"</f>
        <v>#VALUE!</v>
      </c>
      <c r="CW107" t="e">
        <f>Nodes!O850+"'E4!&amp;NN"</f>
        <v>#VALUE!</v>
      </c>
      <c r="CX107" t="e">
        <f>Nodes!P850+"'E4!&amp;NO"</f>
        <v>#VALUE!</v>
      </c>
      <c r="CY107" t="e">
        <f>Nodes!Q850+"'E4!&amp;NP"</f>
        <v>#VALUE!</v>
      </c>
      <c r="CZ107" t="e">
        <f>Nodes!R850+"'E4!&amp;NQ"</f>
        <v>#VALUE!</v>
      </c>
      <c r="DA107" t="e">
        <f>Nodes!S850+"'E4!&amp;NR"</f>
        <v>#VALUE!</v>
      </c>
      <c r="DB107" s="547" t="e">
        <f>Nodes!T850+"'E4!&amp;NS"</f>
        <v>#VALUE!</v>
      </c>
      <c r="DC107" t="e">
        <f>Nodes!U850+"'E4!&amp;NT"</f>
        <v>#VALUE!</v>
      </c>
      <c r="DD107" t="e">
        <f>Nodes!V850+"'E4!&amp;NU"</f>
        <v>#VALUE!</v>
      </c>
      <c r="DE107" s="547" t="e">
        <f>Nodes!W850+"'E4!&amp;NV"</f>
        <v>#VALUE!</v>
      </c>
      <c r="DF107" t="e">
        <f>Nodes!X850+"'E4!&amp;NW"</f>
        <v>#VALUE!</v>
      </c>
      <c r="DG107" t="e">
        <f>Nodes!Y850+"'E4!&amp;NX"</f>
        <v>#VALUE!</v>
      </c>
      <c r="DH107" t="e">
        <f>Nodes!Z850+"'E4!&amp;NY"</f>
        <v>#VALUE!</v>
      </c>
      <c r="DI107" t="e">
        <f>Nodes!AA850+"'E4!&amp;NZ"</f>
        <v>#VALUE!</v>
      </c>
      <c r="DJ107" t="e">
        <f>Nodes!AB850+"'E4!&amp;N["</f>
        <v>#VALUE!</v>
      </c>
      <c r="DK107" t="e">
        <f>Nodes!AC850+"'E4!&amp;N\"</f>
        <v>#VALUE!</v>
      </c>
      <c r="DL107" t="e">
        <f>Nodes!A851+"'E4!&amp;N]"</f>
        <v>#VALUE!</v>
      </c>
      <c r="DM107" t="e">
        <f>Nodes!B851+"'E4!&amp;N^"</f>
        <v>#VALUE!</v>
      </c>
      <c r="DN107" t="e">
        <f>Nodes!C851+"'E4!&amp;N_"</f>
        <v>#VALUE!</v>
      </c>
      <c r="DO107" t="e">
        <f>Nodes!D851+"'E4!&amp;N`"</f>
        <v>#VALUE!</v>
      </c>
      <c r="DP107" t="e">
        <f>Nodes!E851+"'E4!&amp;Na"</f>
        <v>#VALUE!</v>
      </c>
      <c r="DQ107" t="e">
        <f>Nodes!F851+"'E4!&amp;Nb"</f>
        <v>#VALUE!</v>
      </c>
      <c r="DR107" t="e">
        <f>Nodes!G851+"'E4!&amp;Nc"</f>
        <v>#VALUE!</v>
      </c>
      <c r="DS107" t="e">
        <f>Nodes!H851+"'E4!&amp;Nd"</f>
        <v>#VALUE!</v>
      </c>
      <c r="DT107" t="e">
        <f>Nodes!I851+"'E4!&amp;Ne"</f>
        <v>#VALUE!</v>
      </c>
      <c r="DU107" t="e">
        <f>Nodes!J851+"'E4!&amp;Nf"</f>
        <v>#VALUE!</v>
      </c>
      <c r="DV107" t="e">
        <f>Nodes!K851+"'E4!&amp;Ng"</f>
        <v>#VALUE!</v>
      </c>
      <c r="DW107" t="e">
        <f>Nodes!L851+"'E4!&amp;Nh"</f>
        <v>#VALUE!</v>
      </c>
      <c r="DX107" t="e">
        <f>Nodes!M851+"'E4!&amp;Ni"</f>
        <v>#VALUE!</v>
      </c>
      <c r="DY107" t="e">
        <f>Nodes!N851+"'E4!&amp;Nj"</f>
        <v>#VALUE!</v>
      </c>
      <c r="DZ107" t="e">
        <f>Nodes!O851+"'E4!&amp;Nk"</f>
        <v>#VALUE!</v>
      </c>
      <c r="EA107" t="e">
        <f>Nodes!P851+"'E4!&amp;Nl"</f>
        <v>#VALUE!</v>
      </c>
      <c r="EB107" t="e">
        <f>Nodes!Q851+"'E4!&amp;Nm"</f>
        <v>#VALUE!</v>
      </c>
      <c r="EC107" t="e">
        <f>Nodes!R851+"'E4!&amp;Nn"</f>
        <v>#VALUE!</v>
      </c>
      <c r="ED107" t="e">
        <f>Nodes!S851+"'E4!&amp;No"</f>
        <v>#VALUE!</v>
      </c>
      <c r="EE107" s="547" t="e">
        <f>Nodes!T851+"'E4!&amp;Np"</f>
        <v>#VALUE!</v>
      </c>
      <c r="EF107" t="e">
        <f>Nodes!U851+"'E4!&amp;Nq"</f>
        <v>#VALUE!</v>
      </c>
      <c r="EG107" t="e">
        <f>Nodes!V851+"'E4!&amp;Nr"</f>
        <v>#VALUE!</v>
      </c>
      <c r="EH107" s="547" t="e">
        <f>Nodes!W851+"'E4!&amp;Ns"</f>
        <v>#VALUE!</v>
      </c>
      <c r="EI107" t="e">
        <f>Nodes!X851+"'E4!&amp;Nt"</f>
        <v>#VALUE!</v>
      </c>
      <c r="EJ107" t="e">
        <f>Nodes!Y851+"'E4!&amp;Nu"</f>
        <v>#VALUE!</v>
      </c>
      <c r="EK107" t="e">
        <f>Nodes!Z851+"'E4!&amp;Nv"</f>
        <v>#VALUE!</v>
      </c>
      <c r="EL107" t="e">
        <f>Nodes!AA851+"'E4!&amp;Nw"</f>
        <v>#VALUE!</v>
      </c>
      <c r="EM107" t="e">
        <f>Nodes!AB851+"'E4!&amp;Nx"</f>
        <v>#VALUE!</v>
      </c>
      <c r="EN107" t="e">
        <f>Nodes!AC851+"'E4!&amp;Ny"</f>
        <v>#VALUE!</v>
      </c>
      <c r="EO107" t="e">
        <f>Nodes!A852+"'E4!&amp;Nz"</f>
        <v>#VALUE!</v>
      </c>
      <c r="EP107" t="e">
        <f>Nodes!B852+"'E4!&amp;N{"</f>
        <v>#VALUE!</v>
      </c>
      <c r="EQ107" t="e">
        <f>Nodes!C852+"'E4!&amp;N|"</f>
        <v>#VALUE!</v>
      </c>
      <c r="ER107" t="e">
        <f>Nodes!D852+"'E4!&amp;N}"</f>
        <v>#VALUE!</v>
      </c>
      <c r="ES107" t="e">
        <f>Nodes!E852+"'E4!&amp;N~"</f>
        <v>#VALUE!</v>
      </c>
      <c r="ET107" t="e">
        <f>Nodes!F852+"'E4!&amp;O#"</f>
        <v>#VALUE!</v>
      </c>
      <c r="EU107" t="e">
        <f>Nodes!G852+"'E4!&amp;O$"</f>
        <v>#VALUE!</v>
      </c>
      <c r="EV107" t="e">
        <f>Nodes!H852+"'E4!&amp;O%"</f>
        <v>#VALUE!</v>
      </c>
      <c r="EW107" t="e">
        <f>Nodes!I852+"'E4!&amp;O&amp;"</f>
        <v>#VALUE!</v>
      </c>
      <c r="EX107" t="e">
        <f>Nodes!J852+"'E4!&amp;O'"</f>
        <v>#VALUE!</v>
      </c>
      <c r="EY107" t="e">
        <f>Nodes!K852+"'E4!&amp;O("</f>
        <v>#VALUE!</v>
      </c>
      <c r="EZ107" t="e">
        <f>Nodes!L852+"'E4!&amp;O)"</f>
        <v>#VALUE!</v>
      </c>
      <c r="FA107" t="e">
        <f>Nodes!M852+"'E4!&amp;O."</f>
        <v>#VALUE!</v>
      </c>
      <c r="FB107" t="e">
        <f>Nodes!N852+"'E4!&amp;O/"</f>
        <v>#VALUE!</v>
      </c>
      <c r="FC107" t="e">
        <f>Nodes!O852+"'E4!&amp;O0"</f>
        <v>#VALUE!</v>
      </c>
      <c r="FD107" t="e">
        <f>Nodes!P852+"'E4!&amp;O1"</f>
        <v>#VALUE!</v>
      </c>
      <c r="FE107" t="e">
        <f>Nodes!Q852+"'E4!&amp;O2"</f>
        <v>#VALUE!</v>
      </c>
      <c r="FF107" t="e">
        <f>Nodes!R852+"'E4!&amp;O3"</f>
        <v>#VALUE!</v>
      </c>
      <c r="FG107" t="e">
        <f>Nodes!S852+"'E4!&amp;O4"</f>
        <v>#VALUE!</v>
      </c>
      <c r="FH107" s="547" t="e">
        <f>Nodes!T852+"'E4!&amp;O5"</f>
        <v>#VALUE!</v>
      </c>
      <c r="FI107" t="e">
        <f>Nodes!U852+"'E4!&amp;O6"</f>
        <v>#VALUE!</v>
      </c>
      <c r="FJ107" t="e">
        <f>Nodes!V852+"'E4!&amp;O7"</f>
        <v>#VALUE!</v>
      </c>
      <c r="FK107" s="547" t="e">
        <f>Nodes!W852+"'E4!&amp;O8"</f>
        <v>#VALUE!</v>
      </c>
      <c r="FL107" t="e">
        <f>Nodes!X852+"'E4!&amp;O9"</f>
        <v>#VALUE!</v>
      </c>
      <c r="FM107" t="e">
        <f>Nodes!Y852+"'E4!&amp;O:"</f>
        <v>#VALUE!</v>
      </c>
      <c r="FN107" t="e">
        <f>Nodes!Z852+"'E4!&amp;O;"</f>
        <v>#VALUE!</v>
      </c>
      <c r="FO107" t="e">
        <f>Nodes!AA852+"'E4!&amp;O&lt;"</f>
        <v>#VALUE!</v>
      </c>
      <c r="FP107" t="e">
        <f>Nodes!AB852+"'E4!&amp;O="</f>
        <v>#VALUE!</v>
      </c>
      <c r="FQ107" t="e">
        <f>Nodes!AC852+"'E4!&amp;O&gt;"</f>
        <v>#VALUE!</v>
      </c>
      <c r="FR107" t="e">
        <f>Nodes!A853+"'E4!&amp;O?"</f>
        <v>#VALUE!</v>
      </c>
      <c r="FS107" t="e">
        <f>Nodes!B853+"'E4!&amp;O@"</f>
        <v>#VALUE!</v>
      </c>
      <c r="FT107" t="e">
        <f>Nodes!C853+"'E4!&amp;OA"</f>
        <v>#VALUE!</v>
      </c>
      <c r="FU107" t="e">
        <f>Nodes!D853+"'E4!&amp;OB"</f>
        <v>#VALUE!</v>
      </c>
      <c r="FV107" t="e">
        <f>Nodes!E853+"'E4!&amp;OC"</f>
        <v>#VALUE!</v>
      </c>
      <c r="FW107" t="e">
        <f>Nodes!F853+"'E4!&amp;OD"</f>
        <v>#VALUE!</v>
      </c>
      <c r="FX107" t="e">
        <f>Nodes!G853+"'E4!&amp;OE"</f>
        <v>#VALUE!</v>
      </c>
      <c r="FY107" t="e">
        <f>Nodes!H853+"'E4!&amp;OF"</f>
        <v>#VALUE!</v>
      </c>
      <c r="FZ107" t="e">
        <f>Nodes!I853+"'E4!&amp;OG"</f>
        <v>#VALUE!</v>
      </c>
      <c r="GA107" t="e">
        <f>Nodes!J853+"'E4!&amp;OH"</f>
        <v>#VALUE!</v>
      </c>
      <c r="GB107" t="e">
        <f>Nodes!K853+"'E4!&amp;OI"</f>
        <v>#VALUE!</v>
      </c>
      <c r="GC107" t="e">
        <f>Nodes!L853+"'E4!&amp;OJ"</f>
        <v>#VALUE!</v>
      </c>
      <c r="GD107" t="e">
        <f>Nodes!M853+"'E4!&amp;OK"</f>
        <v>#VALUE!</v>
      </c>
      <c r="GE107" t="e">
        <f>Nodes!N853+"'E4!&amp;OL"</f>
        <v>#VALUE!</v>
      </c>
      <c r="GF107" t="e">
        <f>Nodes!O853+"'E4!&amp;OM"</f>
        <v>#VALUE!</v>
      </c>
      <c r="GG107" t="e">
        <f>Nodes!P853+"'E4!&amp;ON"</f>
        <v>#VALUE!</v>
      </c>
      <c r="GH107" t="e">
        <f>Nodes!Q853+"'E4!&amp;OO"</f>
        <v>#VALUE!</v>
      </c>
      <c r="GI107" t="e">
        <f>Nodes!R853+"'E4!&amp;OP"</f>
        <v>#VALUE!</v>
      </c>
      <c r="GJ107" t="e">
        <f>Nodes!S853+"'E4!&amp;OQ"</f>
        <v>#VALUE!</v>
      </c>
      <c r="GK107" s="547" t="e">
        <f>Nodes!T853+"'E4!&amp;OR"</f>
        <v>#VALUE!</v>
      </c>
      <c r="GL107" t="e">
        <f>Nodes!U853+"'E4!&amp;OS"</f>
        <v>#VALUE!</v>
      </c>
      <c r="GM107" t="e">
        <f>Nodes!V853+"'E4!&amp;OT"</f>
        <v>#VALUE!</v>
      </c>
      <c r="GN107" s="547" t="e">
        <f>Nodes!W853+"'E4!&amp;OU"</f>
        <v>#VALUE!</v>
      </c>
      <c r="GO107" t="e">
        <f>Nodes!X853+"'E4!&amp;OV"</f>
        <v>#VALUE!</v>
      </c>
      <c r="GP107" t="e">
        <f>Nodes!Y853+"'E4!&amp;OW"</f>
        <v>#VALUE!</v>
      </c>
      <c r="GQ107" t="e">
        <f>Nodes!Z853+"'E4!&amp;OX"</f>
        <v>#VALUE!</v>
      </c>
      <c r="GR107" t="e">
        <f>Nodes!AA853+"'E4!&amp;OY"</f>
        <v>#VALUE!</v>
      </c>
      <c r="GS107" t="e">
        <f>Nodes!AB853+"'E4!&amp;OZ"</f>
        <v>#VALUE!</v>
      </c>
      <c r="GT107" t="e">
        <f>Nodes!AC853+"'E4!&amp;O["</f>
        <v>#VALUE!</v>
      </c>
      <c r="GU107" t="e">
        <f>Nodes!A854+"'E4!&amp;O\"</f>
        <v>#VALUE!</v>
      </c>
      <c r="GV107" t="e">
        <f>Nodes!B854+"'E4!&amp;O]"</f>
        <v>#VALUE!</v>
      </c>
      <c r="GW107" t="e">
        <f>Nodes!C854+"'E4!&amp;O^"</f>
        <v>#VALUE!</v>
      </c>
      <c r="GX107" t="e">
        <f>Nodes!D854+"'E4!&amp;O_"</f>
        <v>#VALUE!</v>
      </c>
      <c r="GY107" t="e">
        <f>Nodes!E854+"'E4!&amp;O`"</f>
        <v>#VALUE!</v>
      </c>
      <c r="GZ107" t="e">
        <f>Nodes!F854+"'E4!&amp;Oa"</f>
        <v>#VALUE!</v>
      </c>
      <c r="HA107" t="e">
        <f>Nodes!G854+"'E4!&amp;Ob"</f>
        <v>#VALUE!</v>
      </c>
      <c r="HB107" t="e">
        <f>Nodes!H854+"'E4!&amp;Oc"</f>
        <v>#VALUE!</v>
      </c>
      <c r="HC107" t="e">
        <f>Nodes!I854+"'E4!&amp;Od"</f>
        <v>#VALUE!</v>
      </c>
      <c r="HD107" t="e">
        <f>Nodes!J854+"'E4!&amp;Oe"</f>
        <v>#VALUE!</v>
      </c>
      <c r="HE107" t="e">
        <f>Nodes!K854+"'E4!&amp;Of"</f>
        <v>#VALUE!</v>
      </c>
      <c r="HF107" t="e">
        <f>Nodes!L854+"'E4!&amp;Og"</f>
        <v>#VALUE!</v>
      </c>
      <c r="HG107" t="e">
        <f>Nodes!M854+"'E4!&amp;Oh"</f>
        <v>#VALUE!</v>
      </c>
      <c r="HH107" t="e">
        <f>Nodes!N854+"'E4!&amp;Oi"</f>
        <v>#VALUE!</v>
      </c>
      <c r="HI107" t="e">
        <f>Nodes!O854+"'E4!&amp;Oj"</f>
        <v>#VALUE!</v>
      </c>
      <c r="HJ107" t="e">
        <f>Nodes!P854+"'E4!&amp;Ok"</f>
        <v>#VALUE!</v>
      </c>
      <c r="HK107" t="e">
        <f>Nodes!Q854+"'E4!&amp;Ol"</f>
        <v>#VALUE!</v>
      </c>
      <c r="HL107" t="e">
        <f>Nodes!R854+"'E4!&amp;Om"</f>
        <v>#VALUE!</v>
      </c>
      <c r="HM107" t="e">
        <f>Nodes!S854+"'E4!&amp;On"</f>
        <v>#VALUE!</v>
      </c>
      <c r="HN107" s="547" t="e">
        <f>Nodes!T854+"'E4!&amp;Oo"</f>
        <v>#VALUE!</v>
      </c>
      <c r="HO107" t="e">
        <f>Nodes!U854+"'E4!&amp;Op"</f>
        <v>#VALUE!</v>
      </c>
      <c r="HP107" t="e">
        <f>Nodes!V854+"'E4!&amp;Oq"</f>
        <v>#VALUE!</v>
      </c>
      <c r="HQ107" s="547" t="e">
        <f>Nodes!W854+"'E4!&amp;Or"</f>
        <v>#VALUE!</v>
      </c>
      <c r="HR107" t="e">
        <f>Nodes!X854+"'E4!&amp;Os"</f>
        <v>#VALUE!</v>
      </c>
      <c r="HS107" t="e">
        <f>Nodes!Y854+"'E4!&amp;Ot"</f>
        <v>#VALUE!</v>
      </c>
      <c r="HT107" t="e">
        <f>Nodes!Z854+"'E4!&amp;Ou"</f>
        <v>#VALUE!</v>
      </c>
      <c r="HU107" t="e">
        <f>Nodes!AA854+"'E4!&amp;Ov"</f>
        <v>#VALUE!</v>
      </c>
      <c r="HV107" t="e">
        <f>Nodes!AB854+"'E4!&amp;Ow"</f>
        <v>#VALUE!</v>
      </c>
      <c r="HW107" t="e">
        <f>Nodes!AC854+"'E4!&amp;Ox"</f>
        <v>#VALUE!</v>
      </c>
      <c r="HX107" t="e">
        <f>Nodes!A855+"'E4!&amp;Oy"</f>
        <v>#VALUE!</v>
      </c>
      <c r="HY107" t="e">
        <f>Nodes!B855+"'E4!&amp;Oz"</f>
        <v>#VALUE!</v>
      </c>
      <c r="HZ107" t="e">
        <f>Nodes!C855+"'E4!&amp;O{"</f>
        <v>#VALUE!</v>
      </c>
      <c r="IA107" t="e">
        <f>Nodes!D855+"'E4!&amp;O|"</f>
        <v>#VALUE!</v>
      </c>
      <c r="IB107" t="e">
        <f>Nodes!E855+"'E4!&amp;O}"</f>
        <v>#VALUE!</v>
      </c>
      <c r="IC107" t="e">
        <f>Nodes!F855+"'E4!&amp;O~"</f>
        <v>#VALUE!</v>
      </c>
      <c r="ID107" t="e">
        <f>Nodes!G855+"'E4!&amp;P#"</f>
        <v>#VALUE!</v>
      </c>
      <c r="IE107" t="e">
        <f>Nodes!H855+"'E4!&amp;P$"</f>
        <v>#VALUE!</v>
      </c>
      <c r="IF107" t="e">
        <f>Nodes!I855+"'E4!&amp;P%"</f>
        <v>#VALUE!</v>
      </c>
      <c r="IG107" t="e">
        <f>Nodes!J855+"'E4!&amp;P&amp;"</f>
        <v>#VALUE!</v>
      </c>
      <c r="IH107" t="e">
        <f>Nodes!K855+"'E4!&amp;P'"</f>
        <v>#VALUE!</v>
      </c>
      <c r="II107" t="e">
        <f>Nodes!L855+"'E4!&amp;P("</f>
        <v>#VALUE!</v>
      </c>
      <c r="IJ107" t="e">
        <f>Nodes!M855+"'E4!&amp;P)"</f>
        <v>#VALUE!</v>
      </c>
      <c r="IK107" t="e">
        <f>Nodes!N855+"'E4!&amp;P."</f>
        <v>#VALUE!</v>
      </c>
      <c r="IL107" t="e">
        <f>Nodes!O855+"'E4!&amp;P/"</f>
        <v>#VALUE!</v>
      </c>
      <c r="IM107" t="e">
        <f>Nodes!P855+"'E4!&amp;P0"</f>
        <v>#VALUE!</v>
      </c>
      <c r="IN107" t="e">
        <f>Nodes!Q855+"'E4!&amp;P1"</f>
        <v>#VALUE!</v>
      </c>
      <c r="IO107" t="e">
        <f>Nodes!R855+"'E4!&amp;P2"</f>
        <v>#VALUE!</v>
      </c>
      <c r="IP107" t="e">
        <f>Nodes!S855+"'E4!&amp;P3"</f>
        <v>#VALUE!</v>
      </c>
      <c r="IQ107" s="547" t="e">
        <f>Nodes!T855+"'E4!&amp;P4"</f>
        <v>#VALUE!</v>
      </c>
      <c r="IR107" t="e">
        <f>Nodes!U855+"'E4!&amp;P5"</f>
        <v>#VALUE!</v>
      </c>
      <c r="IS107" t="e">
        <f>Nodes!V855+"'E4!&amp;P6"</f>
        <v>#VALUE!</v>
      </c>
      <c r="IT107" s="547" t="e">
        <f>Nodes!W855+"'E4!&amp;P7"</f>
        <v>#VALUE!</v>
      </c>
      <c r="IU107" t="e">
        <f>Nodes!X855+"'E4!&amp;P8"</f>
        <v>#VALUE!</v>
      </c>
      <c r="IV107" t="e">
        <f>Nodes!Y855+"'E4!&amp;P9"</f>
        <v>#VALUE!</v>
      </c>
    </row>
    <row r="108" spans="6:256">
      <c r="F108" t="e">
        <f>Nodes!Z855+"'E4!&amp;P:"</f>
        <v>#VALUE!</v>
      </c>
      <c r="G108" t="e">
        <f>Nodes!AA855+"'E4!&amp;P;"</f>
        <v>#VALUE!</v>
      </c>
      <c r="H108" t="e">
        <f>Nodes!AB855+"'E4!&amp;P&lt;"</f>
        <v>#VALUE!</v>
      </c>
      <c r="I108" t="e">
        <f>Nodes!AC855+"'E4!&amp;P="</f>
        <v>#VALUE!</v>
      </c>
      <c r="J108" t="e">
        <f>Nodes!A856+"'E4!&amp;P&gt;"</f>
        <v>#VALUE!</v>
      </c>
      <c r="K108" t="e">
        <f>Nodes!B856+"'E4!&amp;P?"</f>
        <v>#VALUE!</v>
      </c>
      <c r="L108" t="e">
        <f>Nodes!C856+"'E4!&amp;P@"</f>
        <v>#VALUE!</v>
      </c>
      <c r="M108" t="e">
        <f>Nodes!D856+"'E4!&amp;PA"</f>
        <v>#VALUE!</v>
      </c>
      <c r="N108" t="e">
        <f>Nodes!E856+"'E4!&amp;PB"</f>
        <v>#VALUE!</v>
      </c>
      <c r="O108" t="e">
        <f>Nodes!F856+"'E4!&amp;PC"</f>
        <v>#VALUE!</v>
      </c>
      <c r="P108" t="e">
        <f>Nodes!G856+"'E4!&amp;PD"</f>
        <v>#VALUE!</v>
      </c>
      <c r="Q108" t="e">
        <f>Nodes!H856+"'E4!&amp;PE"</f>
        <v>#VALUE!</v>
      </c>
      <c r="R108" t="e">
        <f>Nodes!I856+"'E4!&amp;PF"</f>
        <v>#VALUE!</v>
      </c>
      <c r="S108" t="e">
        <f>Nodes!J856+"'E4!&amp;PG"</f>
        <v>#VALUE!</v>
      </c>
      <c r="T108" t="e">
        <f>Nodes!K856+"'E4!&amp;PH"</f>
        <v>#VALUE!</v>
      </c>
      <c r="U108" t="e">
        <f>Nodes!L856+"'E4!&amp;PI"</f>
        <v>#VALUE!</v>
      </c>
      <c r="V108" t="e">
        <f>Nodes!M856+"'E4!&amp;PJ"</f>
        <v>#VALUE!</v>
      </c>
      <c r="W108" t="e">
        <f>Nodes!N856+"'E4!&amp;PK"</f>
        <v>#VALUE!</v>
      </c>
      <c r="X108" t="e">
        <f>Nodes!O856+"'E4!&amp;PL"</f>
        <v>#VALUE!</v>
      </c>
      <c r="Y108" t="e">
        <f>Nodes!P856+"'E4!&amp;PM"</f>
        <v>#VALUE!</v>
      </c>
      <c r="Z108" t="e">
        <f>Nodes!Q856+"'E4!&amp;PN"</f>
        <v>#VALUE!</v>
      </c>
      <c r="AA108" t="e">
        <f>Nodes!R856+"'E4!&amp;PO"</f>
        <v>#VALUE!</v>
      </c>
      <c r="AB108" t="e">
        <f>Nodes!S856+"'E4!&amp;PP"</f>
        <v>#VALUE!</v>
      </c>
      <c r="AC108" s="547" t="e">
        <f>Nodes!T856+"'E4!&amp;PQ"</f>
        <v>#VALUE!</v>
      </c>
      <c r="AD108" t="e">
        <f>Nodes!U856+"'E4!&amp;PR"</f>
        <v>#VALUE!</v>
      </c>
      <c r="AE108" t="e">
        <f>Nodes!V856+"'E4!&amp;PS"</f>
        <v>#VALUE!</v>
      </c>
      <c r="AF108" s="547" t="e">
        <f>Nodes!W856+"'E4!&amp;PT"</f>
        <v>#VALUE!</v>
      </c>
      <c r="AG108" t="e">
        <f>Nodes!X856+"'E4!&amp;PU"</f>
        <v>#VALUE!</v>
      </c>
      <c r="AH108" t="e">
        <f>Nodes!Y856+"'E4!&amp;PV"</f>
        <v>#VALUE!</v>
      </c>
      <c r="AI108" t="e">
        <f>Nodes!Z856+"'E4!&amp;PW"</f>
        <v>#VALUE!</v>
      </c>
      <c r="AJ108" t="e">
        <f>Nodes!AA856+"'E4!&amp;PX"</f>
        <v>#VALUE!</v>
      </c>
      <c r="AK108" t="e">
        <f>Nodes!AB856+"'E4!&amp;PY"</f>
        <v>#VALUE!</v>
      </c>
      <c r="AL108" t="e">
        <f>Nodes!AC856+"'E4!&amp;PZ"</f>
        <v>#VALUE!</v>
      </c>
      <c r="AM108" t="e">
        <f>Nodes!A857+"'E4!&amp;P["</f>
        <v>#VALUE!</v>
      </c>
      <c r="AN108" t="e">
        <f>Nodes!B857+"'E4!&amp;P\"</f>
        <v>#VALUE!</v>
      </c>
      <c r="AO108" t="e">
        <f>Nodes!C857+"'E4!&amp;P]"</f>
        <v>#VALUE!</v>
      </c>
      <c r="AP108" t="e">
        <f>Nodes!D857+"'E4!&amp;P^"</f>
        <v>#VALUE!</v>
      </c>
      <c r="AQ108" t="e">
        <f>Nodes!E857+"'E4!&amp;P_"</f>
        <v>#VALUE!</v>
      </c>
      <c r="AR108" t="e">
        <f>Nodes!F857+"'E4!&amp;P`"</f>
        <v>#VALUE!</v>
      </c>
      <c r="AS108" t="e">
        <f>Nodes!G857+"'E4!&amp;Pa"</f>
        <v>#VALUE!</v>
      </c>
      <c r="AT108" t="e">
        <f>Nodes!H857+"'E4!&amp;Pb"</f>
        <v>#VALUE!</v>
      </c>
      <c r="AU108" t="e">
        <f>Nodes!I857+"'E4!&amp;Pc"</f>
        <v>#VALUE!</v>
      </c>
      <c r="AV108" t="e">
        <f>Nodes!J857+"'E4!&amp;Pd"</f>
        <v>#VALUE!</v>
      </c>
      <c r="AW108" t="e">
        <f>Nodes!K857+"'E4!&amp;Pe"</f>
        <v>#VALUE!</v>
      </c>
      <c r="AX108" t="e">
        <f>Nodes!L857+"'E4!&amp;Pf"</f>
        <v>#VALUE!</v>
      </c>
      <c r="AY108" t="e">
        <f>Nodes!M857+"'E4!&amp;Pg"</f>
        <v>#VALUE!</v>
      </c>
      <c r="AZ108" t="e">
        <f>Nodes!N857+"'E4!&amp;Ph"</f>
        <v>#VALUE!</v>
      </c>
      <c r="BA108" t="e">
        <f>Nodes!O857+"'E4!&amp;Pi"</f>
        <v>#VALUE!</v>
      </c>
      <c r="BB108" t="e">
        <f>Nodes!P857+"'E4!&amp;Pj"</f>
        <v>#VALUE!</v>
      </c>
      <c r="BC108" t="e">
        <f>Nodes!Q857+"'E4!&amp;Pk"</f>
        <v>#VALUE!</v>
      </c>
      <c r="BD108" t="e">
        <f>Nodes!R857+"'E4!&amp;Pl"</f>
        <v>#VALUE!</v>
      </c>
      <c r="BE108" t="e">
        <f>Nodes!S857+"'E4!&amp;Pm"</f>
        <v>#VALUE!</v>
      </c>
      <c r="BF108" s="547" t="e">
        <f>Nodes!T857+"'E4!&amp;Pn"</f>
        <v>#VALUE!</v>
      </c>
      <c r="BG108" t="e">
        <f>Nodes!U857+"'E4!&amp;Po"</f>
        <v>#VALUE!</v>
      </c>
      <c r="BH108" t="e">
        <f>Nodes!V857+"'E4!&amp;Pp"</f>
        <v>#VALUE!</v>
      </c>
      <c r="BI108" s="547" t="e">
        <f>Nodes!W857+"'E4!&amp;Pq"</f>
        <v>#VALUE!</v>
      </c>
      <c r="BJ108" t="e">
        <f>Nodes!X857+"'E4!&amp;Pr"</f>
        <v>#VALUE!</v>
      </c>
      <c r="BK108" t="e">
        <f>Nodes!Y857+"'E4!&amp;Ps"</f>
        <v>#VALUE!</v>
      </c>
      <c r="BL108" t="e">
        <f>Nodes!Z857+"'E4!&amp;Pt"</f>
        <v>#VALUE!</v>
      </c>
      <c r="BM108" t="e">
        <f>Nodes!AA857+"'E4!&amp;Pu"</f>
        <v>#VALUE!</v>
      </c>
      <c r="BN108" t="e">
        <f>Nodes!AB857+"'E4!&amp;Pv"</f>
        <v>#VALUE!</v>
      </c>
      <c r="BO108" t="e">
        <f>Nodes!AC857+"'E4!&amp;Pw"</f>
        <v>#VALUE!</v>
      </c>
      <c r="BP108" t="e">
        <f>Nodes!A858+"'E4!&amp;Px"</f>
        <v>#VALUE!</v>
      </c>
      <c r="BQ108" t="e">
        <f>Nodes!B858+"'E4!&amp;Py"</f>
        <v>#VALUE!</v>
      </c>
      <c r="BR108" t="e">
        <f>Nodes!C858+"'E4!&amp;Pz"</f>
        <v>#VALUE!</v>
      </c>
      <c r="BS108" t="e">
        <f>Nodes!D858+"'E4!&amp;P{"</f>
        <v>#VALUE!</v>
      </c>
      <c r="BT108" t="e">
        <f>Nodes!E858+"'E4!&amp;P|"</f>
        <v>#VALUE!</v>
      </c>
      <c r="BU108" t="e">
        <f>Nodes!F858+"'E4!&amp;P}"</f>
        <v>#VALUE!</v>
      </c>
      <c r="BV108" t="e">
        <f>Nodes!G858+"'E4!&amp;P~"</f>
        <v>#VALUE!</v>
      </c>
      <c r="BW108" t="e">
        <f>Nodes!H858+"'E4!&amp;Q#"</f>
        <v>#VALUE!</v>
      </c>
      <c r="BX108" t="e">
        <f>Nodes!I858+"'E4!&amp;Q$"</f>
        <v>#VALUE!</v>
      </c>
      <c r="BY108" t="e">
        <f>Nodes!J858+"'E4!&amp;Q%"</f>
        <v>#VALUE!</v>
      </c>
      <c r="BZ108" t="e">
        <f>Nodes!K858+"'E4!&amp;Q&amp;"</f>
        <v>#VALUE!</v>
      </c>
      <c r="CA108" t="e">
        <f>Nodes!L858+"'E4!&amp;Q'"</f>
        <v>#VALUE!</v>
      </c>
      <c r="CB108" t="e">
        <f>Nodes!M858+"'E4!&amp;Q("</f>
        <v>#VALUE!</v>
      </c>
      <c r="CC108" t="e">
        <f>Nodes!N858+"'E4!&amp;Q)"</f>
        <v>#VALUE!</v>
      </c>
      <c r="CD108" t="e">
        <f>Nodes!O858+"'E4!&amp;Q."</f>
        <v>#VALUE!</v>
      </c>
      <c r="CE108" t="e">
        <f>Nodes!P858+"'E4!&amp;Q/"</f>
        <v>#VALUE!</v>
      </c>
      <c r="CF108" t="e">
        <f>Nodes!Q858+"'E4!&amp;Q0"</f>
        <v>#VALUE!</v>
      </c>
      <c r="CG108" t="e">
        <f>Nodes!R858+"'E4!&amp;Q1"</f>
        <v>#VALUE!</v>
      </c>
      <c r="CH108" t="e">
        <f>Nodes!S858+"'E4!&amp;Q2"</f>
        <v>#VALUE!</v>
      </c>
      <c r="CI108" s="547" t="e">
        <f>Nodes!T858+"'E4!&amp;Q3"</f>
        <v>#VALUE!</v>
      </c>
      <c r="CJ108" t="e">
        <f>Nodes!U858+"'E4!&amp;Q4"</f>
        <v>#VALUE!</v>
      </c>
      <c r="CK108" t="e">
        <f>Nodes!V858+"'E4!&amp;Q5"</f>
        <v>#VALUE!</v>
      </c>
      <c r="CL108" s="547" t="e">
        <f>Nodes!W858+"'E4!&amp;Q6"</f>
        <v>#VALUE!</v>
      </c>
      <c r="CM108" t="e">
        <f>Nodes!X858+"'E4!&amp;Q7"</f>
        <v>#VALUE!</v>
      </c>
      <c r="CN108" t="e">
        <f>Nodes!Y858+"'E4!&amp;Q8"</f>
        <v>#VALUE!</v>
      </c>
      <c r="CO108" t="e">
        <f>Nodes!Z858+"'E4!&amp;Q9"</f>
        <v>#VALUE!</v>
      </c>
      <c r="CP108" t="e">
        <f>Nodes!AA858+"'E4!&amp;Q:"</f>
        <v>#VALUE!</v>
      </c>
      <c r="CQ108" t="e">
        <f>Nodes!AB858+"'E4!&amp;Q;"</f>
        <v>#VALUE!</v>
      </c>
      <c r="CR108" t="e">
        <f>Nodes!AC858+"'E4!&amp;Q&lt;"</f>
        <v>#VALUE!</v>
      </c>
      <c r="CS108" t="e">
        <f>Nodes!A859+"'E4!&amp;Q="</f>
        <v>#VALUE!</v>
      </c>
      <c r="CT108" t="e">
        <f>Nodes!B859+"'E4!&amp;Q&gt;"</f>
        <v>#VALUE!</v>
      </c>
      <c r="CU108" t="e">
        <f>Nodes!C859+"'E4!&amp;Q?"</f>
        <v>#VALUE!</v>
      </c>
      <c r="CV108" t="e">
        <f>Nodes!D859+"'E4!&amp;Q@"</f>
        <v>#VALUE!</v>
      </c>
      <c r="CW108" t="e">
        <f>Nodes!E859+"'E4!&amp;QA"</f>
        <v>#VALUE!</v>
      </c>
      <c r="CX108" t="e">
        <f>Nodes!F859+"'E4!&amp;QB"</f>
        <v>#VALUE!</v>
      </c>
      <c r="CY108" t="e">
        <f>Nodes!G859+"'E4!&amp;QC"</f>
        <v>#VALUE!</v>
      </c>
      <c r="CZ108" t="e">
        <f>Nodes!H859+"'E4!&amp;QD"</f>
        <v>#VALUE!</v>
      </c>
      <c r="DA108" t="e">
        <f>Nodes!I859+"'E4!&amp;QE"</f>
        <v>#VALUE!</v>
      </c>
      <c r="DB108" t="e">
        <f>Nodes!J859+"'E4!&amp;QF"</f>
        <v>#VALUE!</v>
      </c>
      <c r="DC108" t="e">
        <f>Nodes!K859+"'E4!&amp;QG"</f>
        <v>#VALUE!</v>
      </c>
      <c r="DD108" t="e">
        <f>Nodes!L859+"'E4!&amp;QH"</f>
        <v>#VALUE!</v>
      </c>
      <c r="DE108" t="e">
        <f>Nodes!M859+"'E4!&amp;QI"</f>
        <v>#VALUE!</v>
      </c>
      <c r="DF108" t="e">
        <f>Nodes!N859+"'E4!&amp;QJ"</f>
        <v>#VALUE!</v>
      </c>
      <c r="DG108" t="e">
        <f>Nodes!O859+"'E4!&amp;QK"</f>
        <v>#VALUE!</v>
      </c>
      <c r="DH108" t="e">
        <f>Nodes!P859+"'E4!&amp;QL"</f>
        <v>#VALUE!</v>
      </c>
      <c r="DI108" t="e">
        <f>Nodes!Q859+"'E4!&amp;QM"</f>
        <v>#VALUE!</v>
      </c>
      <c r="DJ108" t="e">
        <f>Nodes!R859+"'E4!&amp;QN"</f>
        <v>#VALUE!</v>
      </c>
      <c r="DK108" t="e">
        <f>Nodes!S859+"'E4!&amp;QO"</f>
        <v>#VALUE!</v>
      </c>
      <c r="DL108" s="547" t="e">
        <f>Nodes!T859+"'E4!&amp;QP"</f>
        <v>#VALUE!</v>
      </c>
      <c r="DM108" t="e">
        <f>Nodes!U859+"'E4!&amp;QQ"</f>
        <v>#VALUE!</v>
      </c>
      <c r="DN108" t="e">
        <f>Nodes!V859+"'E4!&amp;QR"</f>
        <v>#VALUE!</v>
      </c>
      <c r="DO108" s="547" t="e">
        <f>Nodes!W859+"'E4!&amp;QS"</f>
        <v>#VALUE!</v>
      </c>
      <c r="DP108" t="e">
        <f>Nodes!X859+"'E4!&amp;QT"</f>
        <v>#VALUE!</v>
      </c>
      <c r="DQ108" t="e">
        <f>Nodes!Y859+"'E4!&amp;QU"</f>
        <v>#VALUE!</v>
      </c>
      <c r="DR108" t="e">
        <f>Nodes!Z859+"'E4!&amp;QV"</f>
        <v>#VALUE!</v>
      </c>
      <c r="DS108" t="e">
        <f>Nodes!AA859+"'E4!&amp;QW"</f>
        <v>#VALUE!</v>
      </c>
      <c r="DT108" t="e">
        <f>Nodes!AB859+"'E4!&amp;QX"</f>
        <v>#VALUE!</v>
      </c>
      <c r="DU108" t="e">
        <f>Nodes!AC859+"'E4!&amp;QY"</f>
        <v>#VALUE!</v>
      </c>
      <c r="DV108" t="e">
        <f>Nodes!A860+"'E4!&amp;QZ"</f>
        <v>#VALUE!</v>
      </c>
      <c r="DW108" t="e">
        <f>Nodes!B860+"'E4!&amp;Q["</f>
        <v>#VALUE!</v>
      </c>
      <c r="DX108" t="e">
        <f>Nodes!C860+"'E4!&amp;Q\"</f>
        <v>#VALUE!</v>
      </c>
      <c r="DY108" t="e">
        <f>Nodes!D860+"'E4!&amp;Q]"</f>
        <v>#VALUE!</v>
      </c>
      <c r="DZ108" t="e">
        <f>Nodes!E860+"'E4!&amp;Q^"</f>
        <v>#VALUE!</v>
      </c>
      <c r="EA108" t="e">
        <f>Nodes!F860+"'E4!&amp;Q_"</f>
        <v>#VALUE!</v>
      </c>
      <c r="EB108" t="e">
        <f>Nodes!G860+"'E4!&amp;Q`"</f>
        <v>#VALUE!</v>
      </c>
      <c r="EC108" t="e">
        <f>Nodes!H860+"'E4!&amp;Qa"</f>
        <v>#VALUE!</v>
      </c>
      <c r="ED108" t="e">
        <f>Nodes!I860+"'E4!&amp;Qb"</f>
        <v>#VALUE!</v>
      </c>
      <c r="EE108" t="e">
        <f>Nodes!J860+"'E4!&amp;Qc"</f>
        <v>#VALUE!</v>
      </c>
      <c r="EF108" t="e">
        <f>Nodes!K860+"'E4!&amp;Qd"</f>
        <v>#VALUE!</v>
      </c>
      <c r="EG108" t="e">
        <f>Nodes!L860+"'E4!&amp;Qe"</f>
        <v>#VALUE!</v>
      </c>
      <c r="EH108" t="e">
        <f>Nodes!M860+"'E4!&amp;Qf"</f>
        <v>#VALUE!</v>
      </c>
      <c r="EI108" t="e">
        <f>Nodes!N860+"'E4!&amp;Qg"</f>
        <v>#VALUE!</v>
      </c>
      <c r="EJ108" t="e">
        <f>Nodes!O860+"'E4!&amp;Qh"</f>
        <v>#VALUE!</v>
      </c>
      <c r="EK108" t="e">
        <f>Nodes!P860+"'E4!&amp;Qi"</f>
        <v>#VALUE!</v>
      </c>
      <c r="EL108" t="e">
        <f>Nodes!Q860+"'E4!&amp;Qj"</f>
        <v>#VALUE!</v>
      </c>
      <c r="EM108" t="e">
        <f>Nodes!R860+"'E4!&amp;Qk"</f>
        <v>#VALUE!</v>
      </c>
      <c r="EN108" t="e">
        <f>Nodes!S860+"'E4!&amp;Ql"</f>
        <v>#VALUE!</v>
      </c>
      <c r="EO108" s="547" t="e">
        <f>Nodes!T860+"'E4!&amp;Qm"</f>
        <v>#VALUE!</v>
      </c>
      <c r="EP108" t="e">
        <f>Nodes!U860+"'E4!&amp;Qn"</f>
        <v>#VALUE!</v>
      </c>
      <c r="EQ108" t="e">
        <f>Nodes!V860+"'E4!&amp;Qo"</f>
        <v>#VALUE!</v>
      </c>
      <c r="ER108" s="547" t="e">
        <f>Nodes!W860+"'E4!&amp;Qp"</f>
        <v>#VALUE!</v>
      </c>
      <c r="ES108" t="e">
        <f>Nodes!X860+"'E4!&amp;Qq"</f>
        <v>#VALUE!</v>
      </c>
      <c r="ET108" t="e">
        <f>Nodes!Y860+"'E4!&amp;Qr"</f>
        <v>#VALUE!</v>
      </c>
      <c r="EU108" t="e">
        <f>Nodes!Z860+"'E4!&amp;Qs"</f>
        <v>#VALUE!</v>
      </c>
      <c r="EV108" t="e">
        <f>Nodes!AA860+"'E4!&amp;Qt"</f>
        <v>#VALUE!</v>
      </c>
      <c r="EW108" t="e">
        <f>Nodes!AB860+"'E4!&amp;Qu"</f>
        <v>#VALUE!</v>
      </c>
      <c r="EX108" t="e">
        <f>Nodes!AC860+"'E4!&amp;Qv"</f>
        <v>#VALUE!</v>
      </c>
      <c r="EY108" t="e">
        <f>Nodes!A861+"'E4!&amp;Qw"</f>
        <v>#VALUE!</v>
      </c>
      <c r="EZ108" t="e">
        <f>Nodes!B861+"'E4!&amp;Qx"</f>
        <v>#VALUE!</v>
      </c>
      <c r="FA108" t="e">
        <f>Nodes!C861+"'E4!&amp;Qy"</f>
        <v>#VALUE!</v>
      </c>
      <c r="FB108" t="e">
        <f>Nodes!D861+"'E4!&amp;Qz"</f>
        <v>#VALUE!</v>
      </c>
      <c r="FC108" t="e">
        <f>Nodes!E861+"'E4!&amp;Q{"</f>
        <v>#VALUE!</v>
      </c>
      <c r="FD108" t="e">
        <f>Nodes!F861+"'E4!&amp;Q|"</f>
        <v>#VALUE!</v>
      </c>
      <c r="FE108" t="e">
        <f>Nodes!G861+"'E4!&amp;Q}"</f>
        <v>#VALUE!</v>
      </c>
      <c r="FF108" t="e">
        <f>Nodes!H861+"'E4!&amp;Q~"</f>
        <v>#VALUE!</v>
      </c>
      <c r="FG108" t="e">
        <f>Nodes!I861+"'E4!&amp;R#"</f>
        <v>#VALUE!</v>
      </c>
      <c r="FH108" t="e">
        <f>Nodes!J861+"'E4!&amp;R$"</f>
        <v>#VALUE!</v>
      </c>
      <c r="FI108" t="e">
        <f>Nodes!K861+"'E4!&amp;R%"</f>
        <v>#VALUE!</v>
      </c>
      <c r="FJ108" t="e">
        <f>Nodes!L861+"'E4!&amp;R&amp;"</f>
        <v>#VALUE!</v>
      </c>
      <c r="FK108" t="e">
        <f>Nodes!M861+"'E4!&amp;R'"</f>
        <v>#VALUE!</v>
      </c>
      <c r="FL108" t="e">
        <f>Nodes!N861+"'E4!&amp;R("</f>
        <v>#VALUE!</v>
      </c>
      <c r="FM108" t="e">
        <f>Nodes!O861+"'E4!&amp;R)"</f>
        <v>#VALUE!</v>
      </c>
      <c r="FN108" t="e">
        <f>Nodes!P861+"'E4!&amp;R."</f>
        <v>#VALUE!</v>
      </c>
      <c r="FO108" t="e">
        <f>Nodes!Q861+"'E4!&amp;R/"</f>
        <v>#VALUE!</v>
      </c>
      <c r="FP108" t="e">
        <f>Nodes!R861+"'E4!&amp;R0"</f>
        <v>#VALUE!</v>
      </c>
      <c r="FQ108" t="e">
        <f>Nodes!S861+"'E4!&amp;R1"</f>
        <v>#VALUE!</v>
      </c>
      <c r="FR108" s="547" t="e">
        <f>Nodes!T861+"'E4!&amp;R2"</f>
        <v>#VALUE!</v>
      </c>
      <c r="FS108" t="e">
        <f>Nodes!U861+"'E4!&amp;R3"</f>
        <v>#VALUE!</v>
      </c>
      <c r="FT108" t="e">
        <f>Nodes!V861+"'E4!&amp;R4"</f>
        <v>#VALUE!</v>
      </c>
      <c r="FU108" s="547" t="e">
        <f>Nodes!W861+"'E4!&amp;R5"</f>
        <v>#VALUE!</v>
      </c>
      <c r="FV108" t="e">
        <f>Nodes!X861+"'E4!&amp;R6"</f>
        <v>#VALUE!</v>
      </c>
      <c r="FW108" t="e">
        <f>Nodes!Y861+"'E4!&amp;R7"</f>
        <v>#VALUE!</v>
      </c>
      <c r="FX108" t="e">
        <f>Nodes!Z861+"'E4!&amp;R8"</f>
        <v>#VALUE!</v>
      </c>
      <c r="FY108" t="e">
        <f>Nodes!AA861+"'E4!&amp;R9"</f>
        <v>#VALUE!</v>
      </c>
      <c r="FZ108" t="e">
        <f>Nodes!AB861+"'E4!&amp;R:"</f>
        <v>#VALUE!</v>
      </c>
      <c r="GA108" t="e">
        <f>Nodes!AC861+"'E4!&amp;R;"</f>
        <v>#VALUE!</v>
      </c>
      <c r="GB108" t="e">
        <f>Nodes!A862+"'E4!&amp;R&lt;"</f>
        <v>#VALUE!</v>
      </c>
      <c r="GC108" t="e">
        <f>Nodes!B862+"'E4!&amp;R="</f>
        <v>#VALUE!</v>
      </c>
      <c r="GD108" t="e">
        <f>Nodes!C862+"'E4!&amp;R&gt;"</f>
        <v>#VALUE!</v>
      </c>
      <c r="GE108" t="e">
        <f>Nodes!D862+"'E4!&amp;R?"</f>
        <v>#VALUE!</v>
      </c>
      <c r="GF108" t="e">
        <f>Nodes!E862+"'E4!&amp;R@"</f>
        <v>#VALUE!</v>
      </c>
      <c r="GG108" t="e">
        <f>Nodes!F862+"'E4!&amp;RA"</f>
        <v>#VALUE!</v>
      </c>
      <c r="GH108" t="e">
        <f>Nodes!G862+"'E4!&amp;RB"</f>
        <v>#VALUE!</v>
      </c>
      <c r="GI108" t="e">
        <f>Nodes!H862+"'E4!&amp;RC"</f>
        <v>#VALUE!</v>
      </c>
      <c r="GJ108" t="e">
        <f>Nodes!I862+"'E4!&amp;RD"</f>
        <v>#VALUE!</v>
      </c>
      <c r="GK108" t="e">
        <f>Nodes!J862+"'E4!&amp;RE"</f>
        <v>#VALUE!</v>
      </c>
      <c r="GL108" t="e">
        <f>Nodes!K862+"'E4!&amp;RF"</f>
        <v>#VALUE!</v>
      </c>
      <c r="GM108" t="e">
        <f>Nodes!L862+"'E4!&amp;RG"</f>
        <v>#VALUE!</v>
      </c>
      <c r="GN108" t="e">
        <f>Nodes!M862+"'E4!&amp;RH"</f>
        <v>#VALUE!</v>
      </c>
      <c r="GO108" t="e">
        <f>Nodes!N862+"'E4!&amp;RI"</f>
        <v>#VALUE!</v>
      </c>
      <c r="GP108" t="e">
        <f>Nodes!O862+"'E4!&amp;RJ"</f>
        <v>#VALUE!</v>
      </c>
      <c r="GQ108" t="e">
        <f>Nodes!P862+"'E4!&amp;RK"</f>
        <v>#VALUE!</v>
      </c>
      <c r="GR108" t="e">
        <f>Nodes!Q862+"'E4!&amp;RL"</f>
        <v>#VALUE!</v>
      </c>
      <c r="GS108" t="e">
        <f>Nodes!R862+"'E4!&amp;RM"</f>
        <v>#VALUE!</v>
      </c>
      <c r="GT108" t="e">
        <f>Nodes!S862+"'E4!&amp;RN"</f>
        <v>#VALUE!</v>
      </c>
      <c r="GU108" s="547" t="e">
        <f>Nodes!T862+"'E4!&amp;RO"</f>
        <v>#VALUE!</v>
      </c>
      <c r="GV108" t="e">
        <f>Nodes!U862+"'E4!&amp;RP"</f>
        <v>#VALUE!</v>
      </c>
      <c r="GW108" t="e">
        <f>Nodes!V862+"'E4!&amp;RQ"</f>
        <v>#VALUE!</v>
      </c>
      <c r="GX108" s="547" t="e">
        <f>Nodes!W862+"'E4!&amp;RR"</f>
        <v>#VALUE!</v>
      </c>
      <c r="GY108" t="e">
        <f>Nodes!X862+"'E4!&amp;RS"</f>
        <v>#VALUE!</v>
      </c>
      <c r="GZ108" t="e">
        <f>Nodes!Y862+"'E4!&amp;RT"</f>
        <v>#VALUE!</v>
      </c>
      <c r="HA108" t="e">
        <f>Nodes!Z862+"'E4!&amp;RU"</f>
        <v>#VALUE!</v>
      </c>
      <c r="HB108" t="e">
        <f>Nodes!AA862+"'E4!&amp;RV"</f>
        <v>#VALUE!</v>
      </c>
      <c r="HC108" t="e">
        <f>Nodes!AB862+"'E4!&amp;RW"</f>
        <v>#VALUE!</v>
      </c>
      <c r="HD108" t="e">
        <f>Nodes!AC862+"'E4!&amp;RX"</f>
        <v>#VALUE!</v>
      </c>
      <c r="HE108" t="e">
        <f>Nodes!A863+"'E4!&amp;RY"</f>
        <v>#VALUE!</v>
      </c>
      <c r="HF108" t="e">
        <f>Nodes!B863+"'E4!&amp;RZ"</f>
        <v>#VALUE!</v>
      </c>
      <c r="HG108" t="e">
        <f>Nodes!C863+"'E4!&amp;R["</f>
        <v>#VALUE!</v>
      </c>
      <c r="HH108" t="e">
        <f>Nodes!D863+"'E4!&amp;R\"</f>
        <v>#VALUE!</v>
      </c>
      <c r="HI108" t="e">
        <f>Nodes!E863+"'E4!&amp;R]"</f>
        <v>#VALUE!</v>
      </c>
      <c r="HJ108" t="e">
        <f>Nodes!F863+"'E4!&amp;R^"</f>
        <v>#VALUE!</v>
      </c>
      <c r="HK108" t="e">
        <f>Nodes!G863+"'E4!&amp;R_"</f>
        <v>#VALUE!</v>
      </c>
      <c r="HL108" t="e">
        <f>Nodes!H863+"'E4!&amp;R`"</f>
        <v>#VALUE!</v>
      </c>
      <c r="HM108" t="e">
        <f>Nodes!I863+"'E4!&amp;Ra"</f>
        <v>#VALUE!</v>
      </c>
      <c r="HN108" t="e">
        <f>Nodes!J863+"'E4!&amp;Rb"</f>
        <v>#VALUE!</v>
      </c>
      <c r="HO108" t="e">
        <f>Nodes!K863+"'E4!&amp;Rc"</f>
        <v>#VALUE!</v>
      </c>
      <c r="HP108" t="e">
        <f>Nodes!L863+"'E4!&amp;Rd"</f>
        <v>#VALUE!</v>
      </c>
      <c r="HQ108" t="e">
        <f>Nodes!M863+"'E4!&amp;Re"</f>
        <v>#VALUE!</v>
      </c>
      <c r="HR108" t="e">
        <f>Nodes!N863+"'E4!&amp;Rf"</f>
        <v>#VALUE!</v>
      </c>
      <c r="HS108" t="e">
        <f>Nodes!O863+"'E4!&amp;Rg"</f>
        <v>#VALUE!</v>
      </c>
      <c r="HT108" t="e">
        <f>Nodes!P863+"'E4!&amp;Rh"</f>
        <v>#VALUE!</v>
      </c>
      <c r="HU108" t="e">
        <f>Nodes!Q863+"'E4!&amp;Ri"</f>
        <v>#VALUE!</v>
      </c>
      <c r="HV108" t="e">
        <f>Nodes!R863+"'E4!&amp;Rj"</f>
        <v>#VALUE!</v>
      </c>
      <c r="HW108" t="e">
        <f>Nodes!S863+"'E4!&amp;Rk"</f>
        <v>#VALUE!</v>
      </c>
      <c r="HX108" s="547" t="e">
        <f>Nodes!T863+"'E4!&amp;Rl"</f>
        <v>#VALUE!</v>
      </c>
      <c r="HY108" t="e">
        <f>Nodes!U863+"'E4!&amp;Rm"</f>
        <v>#VALUE!</v>
      </c>
      <c r="HZ108" t="e">
        <f>Nodes!V863+"'E4!&amp;Rn"</f>
        <v>#VALUE!</v>
      </c>
      <c r="IA108" s="547" t="e">
        <f>Nodes!W863+"'E4!&amp;Ro"</f>
        <v>#VALUE!</v>
      </c>
      <c r="IB108" t="e">
        <f>Nodes!X863+"'E4!&amp;Rp"</f>
        <v>#VALUE!</v>
      </c>
      <c r="IC108" t="e">
        <f>Nodes!Y863+"'E4!&amp;Rq"</f>
        <v>#VALUE!</v>
      </c>
      <c r="ID108" t="e">
        <f>Nodes!Z863+"'E4!&amp;Rr"</f>
        <v>#VALUE!</v>
      </c>
      <c r="IE108" t="e">
        <f>Nodes!AA863+"'E4!&amp;Rs"</f>
        <v>#VALUE!</v>
      </c>
      <c r="IF108" t="e">
        <f>Nodes!AB863+"'E4!&amp;Rt"</f>
        <v>#VALUE!</v>
      </c>
      <c r="IG108" t="e">
        <f>Nodes!AC863+"'E4!&amp;Ru"</f>
        <v>#VALUE!</v>
      </c>
      <c r="IH108" t="e">
        <f>Nodes!A864+"'E4!&amp;Rv"</f>
        <v>#VALUE!</v>
      </c>
      <c r="II108" t="e">
        <f>Nodes!B864+"'E4!&amp;Rw"</f>
        <v>#VALUE!</v>
      </c>
      <c r="IJ108" t="e">
        <f>Nodes!C864+"'E4!&amp;Rx"</f>
        <v>#VALUE!</v>
      </c>
      <c r="IK108" t="e">
        <f>Nodes!D864+"'E4!&amp;Ry"</f>
        <v>#VALUE!</v>
      </c>
      <c r="IL108" t="e">
        <f>Nodes!E864+"'E4!&amp;Rz"</f>
        <v>#VALUE!</v>
      </c>
      <c r="IM108" t="e">
        <f>Nodes!F864+"'E4!&amp;R{"</f>
        <v>#VALUE!</v>
      </c>
      <c r="IN108" t="e">
        <f>Nodes!G864+"'E4!&amp;R|"</f>
        <v>#VALUE!</v>
      </c>
      <c r="IO108" t="e">
        <f>Nodes!H864+"'E4!&amp;R}"</f>
        <v>#VALUE!</v>
      </c>
      <c r="IP108" t="e">
        <f>Nodes!I864+"'E4!&amp;R~"</f>
        <v>#VALUE!</v>
      </c>
      <c r="IQ108" t="e">
        <f>Nodes!J864+"'E4!&amp;S#"</f>
        <v>#VALUE!</v>
      </c>
      <c r="IR108" t="e">
        <f>Nodes!K864+"'E4!&amp;S$"</f>
        <v>#VALUE!</v>
      </c>
      <c r="IS108" t="e">
        <f>Nodes!L864+"'E4!&amp;S%"</f>
        <v>#VALUE!</v>
      </c>
      <c r="IT108" t="e">
        <f>Nodes!M864+"'E4!&amp;S&amp;"</f>
        <v>#VALUE!</v>
      </c>
      <c r="IU108" t="e">
        <f>Nodes!N864+"'E4!&amp;S'"</f>
        <v>#VALUE!</v>
      </c>
      <c r="IV108" t="e">
        <f>Nodes!O864+"'E4!&amp;S("</f>
        <v>#VALUE!</v>
      </c>
    </row>
    <row r="109" spans="6:256">
      <c r="F109" t="e">
        <f>Nodes!P864+"'E4!&amp;S)"</f>
        <v>#VALUE!</v>
      </c>
      <c r="G109" t="e">
        <f>Nodes!Q864+"'E4!&amp;S."</f>
        <v>#VALUE!</v>
      </c>
      <c r="H109" t="e">
        <f>Nodes!R864+"'E4!&amp;S/"</f>
        <v>#VALUE!</v>
      </c>
      <c r="I109" t="e">
        <f>Nodes!S864+"'E4!&amp;S0"</f>
        <v>#VALUE!</v>
      </c>
      <c r="J109" s="547" t="e">
        <f>Nodes!T864+"'E4!&amp;S1"</f>
        <v>#VALUE!</v>
      </c>
      <c r="K109" s="548" t="e">
        <f>Nodes!U864+"'E4!&amp;S2"</f>
        <v>#VALUE!</v>
      </c>
      <c r="L109" s="548" t="e">
        <f>Nodes!V864+"'E4!&amp;S3"</f>
        <v>#VALUE!</v>
      </c>
      <c r="M109" s="547" t="e">
        <f>Nodes!W864+"'E4!&amp;S4"</f>
        <v>#VALUE!</v>
      </c>
      <c r="N109" t="e">
        <f>Nodes!X864+"'E4!&amp;S5"</f>
        <v>#VALUE!</v>
      </c>
      <c r="O109" t="e">
        <f>Nodes!Y864+"'E4!&amp;S6"</f>
        <v>#VALUE!</v>
      </c>
      <c r="P109" t="e">
        <f>Nodes!Z864+"'E4!&amp;S7"</f>
        <v>#VALUE!</v>
      </c>
      <c r="Q109" t="e">
        <f>Nodes!AA864+"'E4!&amp;S8"</f>
        <v>#VALUE!</v>
      </c>
      <c r="R109" t="e">
        <f>Nodes!AB864+"'E4!&amp;S9"</f>
        <v>#VALUE!</v>
      </c>
      <c r="S109" t="e">
        <f>Nodes!AC864+"'E4!&amp;S:"</f>
        <v>#VALUE!</v>
      </c>
      <c r="T109" t="e">
        <f>Nodes!A865+"'E4!&amp;S;"</f>
        <v>#VALUE!</v>
      </c>
      <c r="U109" t="e">
        <f>Nodes!B865+"'E4!&amp;S&lt;"</f>
        <v>#VALUE!</v>
      </c>
      <c r="V109" t="e">
        <f>Nodes!C865+"'E4!&amp;S="</f>
        <v>#VALUE!</v>
      </c>
      <c r="W109" t="e">
        <f>Nodes!D865+"'E4!&amp;S&gt;"</f>
        <v>#VALUE!</v>
      </c>
      <c r="X109" t="e">
        <f>Nodes!E865+"'E4!&amp;S?"</f>
        <v>#VALUE!</v>
      </c>
      <c r="Y109" t="e">
        <f>Nodes!F865+"'E4!&amp;S@"</f>
        <v>#VALUE!</v>
      </c>
      <c r="Z109" t="e">
        <f>Nodes!G865+"'E4!&amp;SA"</f>
        <v>#VALUE!</v>
      </c>
      <c r="AA109" t="e">
        <f>Nodes!H865+"'E4!&amp;SB"</f>
        <v>#VALUE!</v>
      </c>
      <c r="AB109" t="e">
        <f>Nodes!I865+"'E4!&amp;SC"</f>
        <v>#VALUE!</v>
      </c>
      <c r="AC109" t="e">
        <f>Nodes!J865+"'E4!&amp;SD"</f>
        <v>#VALUE!</v>
      </c>
      <c r="AD109" t="e">
        <f>Nodes!K865+"'E4!&amp;SE"</f>
        <v>#VALUE!</v>
      </c>
      <c r="AE109" t="e">
        <f>Nodes!L865+"'E4!&amp;SF"</f>
        <v>#VALUE!</v>
      </c>
      <c r="AF109" t="e">
        <f>Nodes!M865+"'E4!&amp;SG"</f>
        <v>#VALUE!</v>
      </c>
      <c r="AG109" t="e">
        <f>Nodes!N865+"'E4!&amp;SH"</f>
        <v>#VALUE!</v>
      </c>
      <c r="AH109" t="e">
        <f>Nodes!O865+"'E4!&amp;SI"</f>
        <v>#VALUE!</v>
      </c>
      <c r="AI109" t="e">
        <f>Nodes!P865+"'E4!&amp;SJ"</f>
        <v>#VALUE!</v>
      </c>
      <c r="AJ109" t="e">
        <f>Nodes!Q865+"'E4!&amp;SK"</f>
        <v>#VALUE!</v>
      </c>
      <c r="AK109" t="e">
        <f>Nodes!R865+"'E4!&amp;SL"</f>
        <v>#VALUE!</v>
      </c>
      <c r="AL109" t="e">
        <f>Nodes!S865+"'E4!&amp;SM"</f>
        <v>#VALUE!</v>
      </c>
      <c r="AM109" s="547" t="e">
        <f>Nodes!T865+"'E4!&amp;SN"</f>
        <v>#VALUE!</v>
      </c>
      <c r="AN109" s="548" t="e">
        <f>Nodes!U865+"'E4!&amp;SO"</f>
        <v>#VALUE!</v>
      </c>
      <c r="AO109" s="548" t="e">
        <f>Nodes!V865+"'E4!&amp;SP"</f>
        <v>#VALUE!</v>
      </c>
      <c r="AP109" s="547" t="e">
        <f>Nodes!W865+"'E4!&amp;SQ"</f>
        <v>#VALUE!</v>
      </c>
      <c r="AQ109" t="e">
        <f>Nodes!X865+"'E4!&amp;SR"</f>
        <v>#VALUE!</v>
      </c>
      <c r="AR109" t="e">
        <f>Nodes!Y865+"'E4!&amp;SS"</f>
        <v>#VALUE!</v>
      </c>
      <c r="AS109" t="e">
        <f>Nodes!Z865+"'E4!&amp;ST"</f>
        <v>#VALUE!</v>
      </c>
      <c r="AT109" t="e">
        <f>Nodes!AA865+"'E4!&amp;SU"</f>
        <v>#VALUE!</v>
      </c>
      <c r="AU109" t="e">
        <f>Nodes!AB865+"'E4!&amp;SV"</f>
        <v>#VALUE!</v>
      </c>
      <c r="AV109" t="e">
        <f>Nodes!AC865+"'E4!&amp;SW"</f>
        <v>#VALUE!</v>
      </c>
      <c r="AW109" t="e">
        <f>Nodes!A866+"'E4!&amp;SX"</f>
        <v>#VALUE!</v>
      </c>
      <c r="AX109" t="e">
        <f>Nodes!B866+"'E4!&amp;SY"</f>
        <v>#VALUE!</v>
      </c>
      <c r="AY109" t="e">
        <f>Nodes!C866+"'E4!&amp;SZ"</f>
        <v>#VALUE!</v>
      </c>
      <c r="AZ109" t="e">
        <f>Nodes!D866+"'E4!&amp;S["</f>
        <v>#VALUE!</v>
      </c>
      <c r="BA109" t="e">
        <f>Nodes!E866+"'E4!&amp;S\"</f>
        <v>#VALUE!</v>
      </c>
      <c r="BB109" t="e">
        <f>Nodes!F866+"'E4!&amp;S]"</f>
        <v>#VALUE!</v>
      </c>
      <c r="BC109" t="e">
        <f>Nodes!G866+"'E4!&amp;S^"</f>
        <v>#VALUE!</v>
      </c>
      <c r="BD109" t="e">
        <f>Nodes!H866+"'E4!&amp;S_"</f>
        <v>#VALUE!</v>
      </c>
      <c r="BE109" t="e">
        <f>Nodes!I866+"'E4!&amp;S`"</f>
        <v>#VALUE!</v>
      </c>
      <c r="BF109" t="e">
        <f>Nodes!J866+"'E4!&amp;Sa"</f>
        <v>#VALUE!</v>
      </c>
      <c r="BG109" t="e">
        <f>Nodes!K866+"'E4!&amp;Sb"</f>
        <v>#VALUE!</v>
      </c>
      <c r="BH109" t="e">
        <f>Nodes!L866+"'E4!&amp;Sc"</f>
        <v>#VALUE!</v>
      </c>
      <c r="BI109" t="e">
        <f>Nodes!M866+"'E4!&amp;Sd"</f>
        <v>#VALUE!</v>
      </c>
      <c r="BJ109" t="e">
        <f>Nodes!N866+"'E4!&amp;Se"</f>
        <v>#VALUE!</v>
      </c>
      <c r="BK109" t="e">
        <f>Nodes!O866+"'E4!&amp;Sf"</f>
        <v>#VALUE!</v>
      </c>
      <c r="BL109" t="e">
        <f>Nodes!P866+"'E4!&amp;Sg"</f>
        <v>#VALUE!</v>
      </c>
      <c r="BM109" t="e">
        <f>Nodes!Q866+"'E4!&amp;Sh"</f>
        <v>#VALUE!</v>
      </c>
      <c r="BN109" t="e">
        <f>Nodes!R866+"'E4!&amp;Si"</f>
        <v>#VALUE!</v>
      </c>
      <c r="BO109" t="e">
        <f>Nodes!S866+"'E4!&amp;Sj"</f>
        <v>#VALUE!</v>
      </c>
      <c r="BP109" s="547" t="e">
        <f>Nodes!T866+"'E4!&amp;Sk"</f>
        <v>#VALUE!</v>
      </c>
      <c r="BQ109" s="548" t="e">
        <f>Nodes!U866+"'E4!&amp;Sl"</f>
        <v>#VALUE!</v>
      </c>
      <c r="BR109" s="548" t="e">
        <f>Nodes!V866+"'E4!&amp;Sm"</f>
        <v>#VALUE!</v>
      </c>
      <c r="BS109" s="547" t="e">
        <f>Nodes!W866+"'E4!&amp;Sn"</f>
        <v>#VALUE!</v>
      </c>
      <c r="BT109" t="e">
        <f>Nodes!X866+"'E4!&amp;So"</f>
        <v>#VALUE!</v>
      </c>
      <c r="BU109" t="e">
        <f>Nodes!Y866+"'E4!&amp;Sp"</f>
        <v>#VALUE!</v>
      </c>
      <c r="BV109" t="e">
        <f>Nodes!Z866+"'E4!&amp;Sq"</f>
        <v>#VALUE!</v>
      </c>
      <c r="BW109" t="e">
        <f>Nodes!AA866+"'E4!&amp;Sr"</f>
        <v>#VALUE!</v>
      </c>
      <c r="BX109" t="e">
        <f>Nodes!AB866+"'E4!&amp;Ss"</f>
        <v>#VALUE!</v>
      </c>
      <c r="BY109" t="e">
        <f>Nodes!AC866+"'E4!&amp;St"</f>
        <v>#VALUE!</v>
      </c>
      <c r="BZ109" t="e">
        <f>Nodes!A867+"'E4!&amp;Su"</f>
        <v>#VALUE!</v>
      </c>
      <c r="CA109" t="e">
        <f>Nodes!B867+"'E4!&amp;Sv"</f>
        <v>#VALUE!</v>
      </c>
      <c r="CB109" t="e">
        <f>Nodes!C867+"'E4!&amp;Sw"</f>
        <v>#VALUE!</v>
      </c>
      <c r="CC109" t="e">
        <f>Nodes!D867+"'E4!&amp;Sx"</f>
        <v>#VALUE!</v>
      </c>
      <c r="CD109" t="e">
        <f>Nodes!E867+"'E4!&amp;Sy"</f>
        <v>#VALUE!</v>
      </c>
      <c r="CE109" t="e">
        <f>Nodes!F867+"'E4!&amp;Sz"</f>
        <v>#VALUE!</v>
      </c>
      <c r="CF109" t="e">
        <f>Nodes!G867+"'E4!&amp;S{"</f>
        <v>#VALUE!</v>
      </c>
      <c r="CG109" t="e">
        <f>Nodes!H867+"'E4!&amp;S|"</f>
        <v>#VALUE!</v>
      </c>
      <c r="CH109" t="e">
        <f>Nodes!I867+"'E4!&amp;S}"</f>
        <v>#VALUE!</v>
      </c>
      <c r="CI109" t="e">
        <f>Nodes!J867+"'E4!&amp;S~"</f>
        <v>#VALUE!</v>
      </c>
      <c r="CJ109" t="e">
        <f>Nodes!K867+"'E4!&amp;T#"</f>
        <v>#VALUE!</v>
      </c>
      <c r="CK109" t="e">
        <f>Nodes!L867+"'E4!&amp;T$"</f>
        <v>#VALUE!</v>
      </c>
      <c r="CL109" t="e">
        <f>Nodes!M867+"'E4!&amp;T%"</f>
        <v>#VALUE!</v>
      </c>
      <c r="CM109" t="e">
        <f>Nodes!N867+"'E4!&amp;T&amp;"</f>
        <v>#VALUE!</v>
      </c>
      <c r="CN109" t="e">
        <f>Nodes!O867+"'E4!&amp;T'"</f>
        <v>#VALUE!</v>
      </c>
      <c r="CO109" t="e">
        <f>Nodes!P867+"'E4!&amp;T("</f>
        <v>#VALUE!</v>
      </c>
      <c r="CP109" t="e">
        <f>Nodes!Q867+"'E4!&amp;T)"</f>
        <v>#VALUE!</v>
      </c>
      <c r="CQ109" t="e">
        <f>Nodes!R867+"'E4!&amp;T."</f>
        <v>#VALUE!</v>
      </c>
      <c r="CR109" t="e">
        <f>Nodes!S867+"'E4!&amp;T/"</f>
        <v>#VALUE!</v>
      </c>
      <c r="CS109" s="547" t="e">
        <f>Nodes!T867+"'E4!&amp;T0"</f>
        <v>#VALUE!</v>
      </c>
      <c r="CT109" s="548" t="e">
        <f>Nodes!U867+"'E4!&amp;T1"</f>
        <v>#VALUE!</v>
      </c>
      <c r="CU109" s="548" t="e">
        <f>Nodes!V867+"'E4!&amp;T2"</f>
        <v>#VALUE!</v>
      </c>
      <c r="CV109" s="547" t="e">
        <f>Nodes!W867+"'E4!&amp;T3"</f>
        <v>#VALUE!</v>
      </c>
      <c r="CW109" t="e">
        <f>Nodes!X867+"'E4!&amp;T4"</f>
        <v>#VALUE!</v>
      </c>
      <c r="CX109" t="e">
        <f>Nodes!Y867+"'E4!&amp;T5"</f>
        <v>#VALUE!</v>
      </c>
      <c r="CY109" t="e">
        <f>Nodes!Z867+"'E4!&amp;T6"</f>
        <v>#VALUE!</v>
      </c>
      <c r="CZ109" t="e">
        <f>Nodes!AA867+"'E4!&amp;T7"</f>
        <v>#VALUE!</v>
      </c>
      <c r="DA109" t="e">
        <f>Nodes!AB867+"'E4!&amp;T8"</f>
        <v>#VALUE!</v>
      </c>
      <c r="DB109" t="e">
        <f>Nodes!AC867+"'E4!&amp;T9"</f>
        <v>#VALUE!</v>
      </c>
      <c r="DC109" t="e">
        <f>Nodes!A868+"'E4!&amp;T:"</f>
        <v>#VALUE!</v>
      </c>
      <c r="DD109" t="e">
        <f>Nodes!B868+"'E4!&amp;T;"</f>
        <v>#VALUE!</v>
      </c>
      <c r="DE109" t="e">
        <f>Nodes!C868+"'E4!&amp;T&lt;"</f>
        <v>#VALUE!</v>
      </c>
      <c r="DF109" t="e">
        <f>Nodes!D868+"'E4!&amp;T="</f>
        <v>#VALUE!</v>
      </c>
      <c r="DG109" t="e">
        <f>Nodes!E868+"'E4!&amp;T&gt;"</f>
        <v>#VALUE!</v>
      </c>
      <c r="DH109" t="e">
        <f>Nodes!F868+"'E4!&amp;T?"</f>
        <v>#VALUE!</v>
      </c>
      <c r="DI109" t="e">
        <f>Nodes!G868+"'E4!&amp;T@"</f>
        <v>#VALUE!</v>
      </c>
      <c r="DJ109" t="e">
        <f>Nodes!H868+"'E4!&amp;TA"</f>
        <v>#VALUE!</v>
      </c>
      <c r="DK109" t="e">
        <f>Nodes!I868+"'E4!&amp;TB"</f>
        <v>#VALUE!</v>
      </c>
      <c r="DL109" t="e">
        <f>Nodes!J868+"'E4!&amp;TC"</f>
        <v>#VALUE!</v>
      </c>
      <c r="DM109" t="e">
        <f>Nodes!K868+"'E4!&amp;TD"</f>
        <v>#VALUE!</v>
      </c>
      <c r="DN109" t="e">
        <f>Nodes!L868+"'E4!&amp;TE"</f>
        <v>#VALUE!</v>
      </c>
      <c r="DO109" t="e">
        <f>Nodes!M868+"'E4!&amp;TF"</f>
        <v>#VALUE!</v>
      </c>
      <c r="DP109" t="e">
        <f>Nodes!N868+"'E4!&amp;TG"</f>
        <v>#VALUE!</v>
      </c>
      <c r="DQ109" t="e">
        <f>Nodes!O868+"'E4!&amp;TH"</f>
        <v>#VALUE!</v>
      </c>
      <c r="DR109" t="e">
        <f>Nodes!P868+"'E4!&amp;TI"</f>
        <v>#VALUE!</v>
      </c>
      <c r="DS109" t="e">
        <f>Nodes!Q868+"'E4!&amp;TJ"</f>
        <v>#VALUE!</v>
      </c>
      <c r="DT109" t="e">
        <f>Nodes!R868+"'E4!&amp;TK"</f>
        <v>#VALUE!</v>
      </c>
      <c r="DU109" t="e">
        <f>Nodes!S868+"'E4!&amp;TL"</f>
        <v>#VALUE!</v>
      </c>
      <c r="DV109" s="547" t="e">
        <f>Nodes!T868+"'E4!&amp;TM"</f>
        <v>#VALUE!</v>
      </c>
      <c r="DW109" s="548" t="e">
        <f>Nodes!U868+"'E4!&amp;TN"</f>
        <v>#VALUE!</v>
      </c>
      <c r="DX109" s="548" t="e">
        <f>Nodes!V868+"'E4!&amp;TO"</f>
        <v>#VALUE!</v>
      </c>
      <c r="DY109" s="547" t="e">
        <f>Nodes!W868+"'E4!&amp;TP"</f>
        <v>#VALUE!</v>
      </c>
      <c r="DZ109" t="e">
        <f>Nodes!X868+"'E4!&amp;TQ"</f>
        <v>#VALUE!</v>
      </c>
      <c r="EA109" t="e">
        <f>Nodes!Y868+"'E4!&amp;TR"</f>
        <v>#VALUE!</v>
      </c>
      <c r="EB109" t="e">
        <f>Nodes!Z868+"'E4!&amp;TS"</f>
        <v>#VALUE!</v>
      </c>
      <c r="EC109" t="e">
        <f>Nodes!AA868+"'E4!&amp;TT"</f>
        <v>#VALUE!</v>
      </c>
      <c r="ED109" t="e">
        <f>Nodes!AB868+"'E4!&amp;TU"</f>
        <v>#VALUE!</v>
      </c>
      <c r="EE109" t="e">
        <f>Nodes!AC868+"'E4!&amp;TV"</f>
        <v>#VALUE!</v>
      </c>
      <c r="EF109" t="e">
        <f>Nodes!A869+"'E4!&amp;TW"</f>
        <v>#VALUE!</v>
      </c>
      <c r="EG109" t="e">
        <f>Nodes!B869+"'E4!&amp;TX"</f>
        <v>#VALUE!</v>
      </c>
      <c r="EH109" t="e">
        <f>Nodes!C869+"'E4!&amp;TY"</f>
        <v>#VALUE!</v>
      </c>
      <c r="EI109" t="e">
        <f>Nodes!D869+"'E4!&amp;TZ"</f>
        <v>#VALUE!</v>
      </c>
      <c r="EJ109" t="e">
        <f>Nodes!E869+"'E4!&amp;T["</f>
        <v>#VALUE!</v>
      </c>
      <c r="EK109" t="e">
        <f>Nodes!F869+"'E4!&amp;T\"</f>
        <v>#VALUE!</v>
      </c>
      <c r="EL109" t="e">
        <f>Nodes!G869+"'E4!&amp;T]"</f>
        <v>#VALUE!</v>
      </c>
      <c r="EM109" t="e">
        <f>Nodes!H869+"'E4!&amp;T^"</f>
        <v>#VALUE!</v>
      </c>
      <c r="EN109" t="e">
        <f>Nodes!I869+"'E4!&amp;T_"</f>
        <v>#VALUE!</v>
      </c>
      <c r="EO109" t="e">
        <f>Nodes!J869+"'E4!&amp;T`"</f>
        <v>#VALUE!</v>
      </c>
      <c r="EP109" t="e">
        <f>Nodes!K869+"'E4!&amp;Ta"</f>
        <v>#VALUE!</v>
      </c>
      <c r="EQ109" t="e">
        <f>Nodes!L869+"'E4!&amp;Tb"</f>
        <v>#VALUE!</v>
      </c>
      <c r="ER109" t="e">
        <f>Nodes!M869+"'E4!&amp;Tc"</f>
        <v>#VALUE!</v>
      </c>
      <c r="ES109" t="e">
        <f>Nodes!N869+"'E4!&amp;Td"</f>
        <v>#VALUE!</v>
      </c>
      <c r="ET109" t="e">
        <f>Nodes!O869+"'E4!&amp;Te"</f>
        <v>#VALUE!</v>
      </c>
      <c r="EU109" t="e">
        <f>Nodes!P869+"'E4!&amp;Tf"</f>
        <v>#VALUE!</v>
      </c>
      <c r="EV109" t="e">
        <f>Nodes!Q869+"'E4!&amp;Tg"</f>
        <v>#VALUE!</v>
      </c>
      <c r="EW109" t="e">
        <f>Nodes!R869+"'E4!&amp;Th"</f>
        <v>#VALUE!</v>
      </c>
      <c r="EX109" t="e">
        <f>Nodes!S869+"'E4!&amp;Ti"</f>
        <v>#VALUE!</v>
      </c>
      <c r="EY109" s="547" t="e">
        <f>Nodes!T869+"'E4!&amp;Tj"</f>
        <v>#VALUE!</v>
      </c>
      <c r="EZ109" s="548" t="e">
        <f>Nodes!U869+"'E4!&amp;Tk"</f>
        <v>#VALUE!</v>
      </c>
      <c r="FA109" s="548" t="e">
        <f>Nodes!V869+"'E4!&amp;Tl"</f>
        <v>#VALUE!</v>
      </c>
      <c r="FB109" s="547" t="e">
        <f>Nodes!W869+"'E4!&amp;Tm"</f>
        <v>#VALUE!</v>
      </c>
      <c r="FC109" t="e">
        <f>Nodes!X869+"'E4!&amp;Tn"</f>
        <v>#VALUE!</v>
      </c>
      <c r="FD109" t="e">
        <f>Nodes!Y869+"'E4!&amp;To"</f>
        <v>#VALUE!</v>
      </c>
      <c r="FE109" t="e">
        <f>Nodes!Z869+"'E4!&amp;Tp"</f>
        <v>#VALUE!</v>
      </c>
      <c r="FF109" t="e">
        <f>Nodes!AA869+"'E4!&amp;Tq"</f>
        <v>#VALUE!</v>
      </c>
      <c r="FG109" t="e">
        <f>Nodes!AB869+"'E4!&amp;Tr"</f>
        <v>#VALUE!</v>
      </c>
      <c r="FH109" t="e">
        <f>Nodes!AC869+"'E4!&amp;Ts"</f>
        <v>#VALUE!</v>
      </c>
      <c r="FI109" t="e">
        <f>Nodes!A870+"'E4!&amp;Tt"</f>
        <v>#VALUE!</v>
      </c>
      <c r="FJ109" t="e">
        <f>Nodes!B870+"'E4!&amp;Tu"</f>
        <v>#VALUE!</v>
      </c>
      <c r="FK109" t="e">
        <f>Nodes!C870+"'E4!&amp;Tv"</f>
        <v>#VALUE!</v>
      </c>
      <c r="FL109" t="e">
        <f>Nodes!D870+"'E4!&amp;Tw"</f>
        <v>#VALUE!</v>
      </c>
      <c r="FM109" t="e">
        <f>Nodes!E870+"'E4!&amp;Tx"</f>
        <v>#VALUE!</v>
      </c>
      <c r="FN109" t="e">
        <f>Nodes!F870+"'E4!&amp;Ty"</f>
        <v>#VALUE!</v>
      </c>
      <c r="FO109" t="e">
        <f>Nodes!G870+"'E4!&amp;Tz"</f>
        <v>#VALUE!</v>
      </c>
      <c r="FP109" t="e">
        <f>Nodes!H870+"'E4!&amp;T{"</f>
        <v>#VALUE!</v>
      </c>
      <c r="FQ109" t="e">
        <f>Nodes!I870+"'E4!&amp;T|"</f>
        <v>#VALUE!</v>
      </c>
      <c r="FR109" t="e">
        <f>Nodes!J870+"'E4!&amp;T}"</f>
        <v>#VALUE!</v>
      </c>
      <c r="FS109" t="e">
        <f>Nodes!K870+"'E4!&amp;T~"</f>
        <v>#VALUE!</v>
      </c>
      <c r="FT109" t="e">
        <f>Nodes!L870+"'E4!&amp;U#"</f>
        <v>#VALUE!</v>
      </c>
      <c r="FU109" t="e">
        <f>Nodes!M870+"'E4!&amp;U$"</f>
        <v>#VALUE!</v>
      </c>
      <c r="FV109" t="e">
        <f>Nodes!N870+"'E4!&amp;U%"</f>
        <v>#VALUE!</v>
      </c>
      <c r="FW109" t="e">
        <f>Nodes!O870+"'E4!&amp;U&amp;"</f>
        <v>#VALUE!</v>
      </c>
      <c r="FX109" t="e">
        <f>Nodes!P870+"'E4!&amp;U'"</f>
        <v>#VALUE!</v>
      </c>
      <c r="FY109" t="e">
        <f>Nodes!Q870+"'E4!&amp;U("</f>
        <v>#VALUE!</v>
      </c>
      <c r="FZ109" t="e">
        <f>Nodes!R870+"'E4!&amp;U)"</f>
        <v>#VALUE!</v>
      </c>
      <c r="GA109" t="e">
        <f>Nodes!S870+"'E4!&amp;U."</f>
        <v>#VALUE!</v>
      </c>
      <c r="GB109" s="547" t="e">
        <f>Nodes!T870+"'E4!&amp;U/"</f>
        <v>#VALUE!</v>
      </c>
      <c r="GC109" s="548" t="e">
        <f>Nodes!U870+"'E4!&amp;U0"</f>
        <v>#VALUE!</v>
      </c>
      <c r="GD109" s="548" t="e">
        <f>Nodes!V870+"'E4!&amp;U1"</f>
        <v>#VALUE!</v>
      </c>
      <c r="GE109" s="547" t="e">
        <f>Nodes!W870+"'E4!&amp;U2"</f>
        <v>#VALUE!</v>
      </c>
      <c r="GF109" t="e">
        <f>Nodes!X870+"'E4!&amp;U3"</f>
        <v>#VALUE!</v>
      </c>
      <c r="GG109" t="e">
        <f>Nodes!Y870+"'E4!&amp;U4"</f>
        <v>#VALUE!</v>
      </c>
      <c r="GH109" t="e">
        <f>Nodes!Z870+"'E4!&amp;U5"</f>
        <v>#VALUE!</v>
      </c>
      <c r="GI109" t="e">
        <f>Nodes!AA870+"'E4!&amp;U6"</f>
        <v>#VALUE!</v>
      </c>
      <c r="GJ109" t="e">
        <f>Nodes!AB870+"'E4!&amp;U7"</f>
        <v>#VALUE!</v>
      </c>
      <c r="GK109" t="e">
        <f>Nodes!AC870+"'E4!&amp;U8"</f>
        <v>#VALUE!</v>
      </c>
      <c r="GL109" t="e">
        <f>Nodes!A871+"'E4!&amp;U9"</f>
        <v>#VALUE!</v>
      </c>
      <c r="GM109" t="e">
        <f>Nodes!B871+"'E4!&amp;U:"</f>
        <v>#VALUE!</v>
      </c>
      <c r="GN109" t="e">
        <f>Nodes!C871+"'E4!&amp;U;"</f>
        <v>#VALUE!</v>
      </c>
      <c r="GO109" t="e">
        <f>Nodes!D871+"'E4!&amp;U&lt;"</f>
        <v>#VALUE!</v>
      </c>
      <c r="GP109" t="e">
        <f>Nodes!E871+"'E4!&amp;U="</f>
        <v>#VALUE!</v>
      </c>
      <c r="GQ109" t="e">
        <f>Nodes!F871+"'E4!&amp;U&gt;"</f>
        <v>#VALUE!</v>
      </c>
      <c r="GR109" t="e">
        <f>Nodes!G871+"'E4!&amp;U?"</f>
        <v>#VALUE!</v>
      </c>
      <c r="GS109" t="e">
        <f>Nodes!H871+"'E4!&amp;U@"</f>
        <v>#VALUE!</v>
      </c>
      <c r="GT109" t="e">
        <f>Nodes!I871+"'E4!&amp;UA"</f>
        <v>#VALUE!</v>
      </c>
      <c r="GU109" t="e">
        <f>Nodes!J871+"'E4!&amp;UB"</f>
        <v>#VALUE!</v>
      </c>
      <c r="GV109" t="e">
        <f>Nodes!K871+"'E4!&amp;UC"</f>
        <v>#VALUE!</v>
      </c>
      <c r="GW109" t="e">
        <f>Nodes!L871+"'E4!&amp;UD"</f>
        <v>#VALUE!</v>
      </c>
      <c r="GX109" t="e">
        <f>Nodes!M871+"'E4!&amp;UE"</f>
        <v>#VALUE!</v>
      </c>
      <c r="GY109" t="e">
        <f>Nodes!N871+"'E4!&amp;UF"</f>
        <v>#VALUE!</v>
      </c>
      <c r="GZ109" t="e">
        <f>Nodes!O871+"'E4!&amp;UG"</f>
        <v>#VALUE!</v>
      </c>
      <c r="HA109" t="e">
        <f>Nodes!P871+"'E4!&amp;UH"</f>
        <v>#VALUE!</v>
      </c>
      <c r="HB109" t="e">
        <f>Nodes!Q871+"'E4!&amp;UI"</f>
        <v>#VALUE!</v>
      </c>
      <c r="HC109" t="e">
        <f>Nodes!R871+"'E4!&amp;UJ"</f>
        <v>#VALUE!</v>
      </c>
      <c r="HD109" t="e">
        <f>Nodes!S871+"'E4!&amp;UK"</f>
        <v>#VALUE!</v>
      </c>
      <c r="HE109" s="547" t="e">
        <f>Nodes!T871+"'E4!&amp;UL"</f>
        <v>#VALUE!</v>
      </c>
      <c r="HF109" s="548" t="e">
        <f>Nodes!U871+"'E4!&amp;UM"</f>
        <v>#VALUE!</v>
      </c>
      <c r="HG109" s="548" t="e">
        <f>Nodes!V871+"'E4!&amp;UN"</f>
        <v>#VALUE!</v>
      </c>
      <c r="HH109" s="547" t="e">
        <f>Nodes!W871+"'E4!&amp;UO"</f>
        <v>#VALUE!</v>
      </c>
      <c r="HI109" t="e">
        <f>Nodes!X871+"'E4!&amp;UP"</f>
        <v>#VALUE!</v>
      </c>
      <c r="HJ109" t="e">
        <f>Nodes!Y871+"'E4!&amp;UQ"</f>
        <v>#VALUE!</v>
      </c>
      <c r="HK109" t="e">
        <f>Nodes!Z871+"'E4!&amp;UR"</f>
        <v>#VALUE!</v>
      </c>
      <c r="HL109" t="e">
        <f>Nodes!AA871+"'E4!&amp;US"</f>
        <v>#VALUE!</v>
      </c>
      <c r="HM109" t="e">
        <f>Nodes!AB871+"'E4!&amp;UT"</f>
        <v>#VALUE!</v>
      </c>
      <c r="HN109" t="e">
        <f>Nodes!AC871+"'E4!&amp;UU"</f>
        <v>#VALUE!</v>
      </c>
      <c r="HO109" t="e">
        <f>Nodes!A872+"'E4!&amp;UV"</f>
        <v>#VALUE!</v>
      </c>
      <c r="HP109" t="e">
        <f>Nodes!B872+"'E4!&amp;UW"</f>
        <v>#VALUE!</v>
      </c>
      <c r="HQ109" t="e">
        <f>Nodes!C872+"'E4!&amp;UX"</f>
        <v>#VALUE!</v>
      </c>
      <c r="HR109" t="e">
        <f>Nodes!D872+"'E4!&amp;UY"</f>
        <v>#VALUE!</v>
      </c>
      <c r="HS109" t="e">
        <f>Nodes!E872+"'E4!&amp;UZ"</f>
        <v>#VALUE!</v>
      </c>
      <c r="HT109" t="e">
        <f>Nodes!F872+"'E4!&amp;U["</f>
        <v>#VALUE!</v>
      </c>
      <c r="HU109" t="e">
        <f>Nodes!G872+"'E4!&amp;U\"</f>
        <v>#VALUE!</v>
      </c>
      <c r="HV109" t="e">
        <f>Nodes!H872+"'E4!&amp;U]"</f>
        <v>#VALUE!</v>
      </c>
      <c r="HW109" t="e">
        <f>Nodes!I872+"'E4!&amp;U^"</f>
        <v>#VALUE!</v>
      </c>
      <c r="HX109" t="e">
        <f>Nodes!J872+"'E4!&amp;U_"</f>
        <v>#VALUE!</v>
      </c>
      <c r="HY109" t="e">
        <f>Nodes!K872+"'E4!&amp;U`"</f>
        <v>#VALUE!</v>
      </c>
      <c r="HZ109" t="e">
        <f>Nodes!L872+"'E4!&amp;Ua"</f>
        <v>#VALUE!</v>
      </c>
      <c r="IA109" t="e">
        <f>Nodes!M872+"'E4!&amp;Ub"</f>
        <v>#VALUE!</v>
      </c>
      <c r="IB109" t="e">
        <f>Nodes!N872+"'E4!&amp;Uc"</f>
        <v>#VALUE!</v>
      </c>
      <c r="IC109" t="e">
        <f>Nodes!O872+"'E4!&amp;Ud"</f>
        <v>#VALUE!</v>
      </c>
      <c r="ID109" t="e">
        <f>Nodes!P872+"'E4!&amp;Ue"</f>
        <v>#VALUE!</v>
      </c>
      <c r="IE109" t="e">
        <f>Nodes!Q872+"'E4!&amp;Uf"</f>
        <v>#VALUE!</v>
      </c>
      <c r="IF109" t="e">
        <f>Nodes!R872+"'E4!&amp;Ug"</f>
        <v>#VALUE!</v>
      </c>
      <c r="IG109" t="e">
        <f>Nodes!S872+"'E4!&amp;Uh"</f>
        <v>#VALUE!</v>
      </c>
      <c r="IH109" s="547" t="e">
        <f>Nodes!T872+"'E4!&amp;Ui"</f>
        <v>#VALUE!</v>
      </c>
      <c r="II109" s="548" t="e">
        <f>Nodes!U872+"'E4!&amp;Uj"</f>
        <v>#VALUE!</v>
      </c>
      <c r="IJ109" s="548" t="e">
        <f>Nodes!V872+"'E4!&amp;Uk"</f>
        <v>#VALUE!</v>
      </c>
      <c r="IK109" s="547" t="e">
        <f>Nodes!W872+"'E4!&amp;Ul"</f>
        <v>#VALUE!</v>
      </c>
      <c r="IL109" t="e">
        <f>Nodes!X872+"'E4!&amp;Um"</f>
        <v>#VALUE!</v>
      </c>
      <c r="IM109" t="e">
        <f>Nodes!Y872+"'E4!&amp;Un"</f>
        <v>#VALUE!</v>
      </c>
      <c r="IN109" t="e">
        <f>Nodes!Z872+"'E4!&amp;Uo"</f>
        <v>#VALUE!</v>
      </c>
      <c r="IO109" t="e">
        <f>Nodes!AA872+"'E4!&amp;Up"</f>
        <v>#VALUE!</v>
      </c>
      <c r="IP109" t="e">
        <f>Nodes!AB872+"'E4!&amp;Uq"</f>
        <v>#VALUE!</v>
      </c>
      <c r="IQ109" t="e">
        <f>Nodes!AC872+"'E4!&amp;Ur"</f>
        <v>#VALUE!</v>
      </c>
      <c r="IR109" t="e">
        <f>Nodes!A873+"'E4!&amp;Us"</f>
        <v>#VALUE!</v>
      </c>
      <c r="IS109" t="e">
        <f>Nodes!B873+"'E4!&amp;Ut"</f>
        <v>#VALUE!</v>
      </c>
      <c r="IT109" t="e">
        <f>Nodes!C873+"'E4!&amp;Uu"</f>
        <v>#VALUE!</v>
      </c>
      <c r="IU109" t="e">
        <f>Nodes!D873+"'E4!&amp;Uv"</f>
        <v>#VALUE!</v>
      </c>
      <c r="IV109" t="e">
        <f>Nodes!E873+"'E4!&amp;Uw"</f>
        <v>#VALUE!</v>
      </c>
    </row>
    <row r="110" spans="6:256">
      <c r="F110" t="e">
        <f>Nodes!F873+"'E4!&amp;Ux"</f>
        <v>#VALUE!</v>
      </c>
      <c r="G110" t="e">
        <f>Nodes!G873+"'E4!&amp;Uy"</f>
        <v>#VALUE!</v>
      </c>
      <c r="H110" t="e">
        <f>Nodes!H873+"'E4!&amp;Uz"</f>
        <v>#VALUE!</v>
      </c>
      <c r="I110" t="e">
        <f>Nodes!I873+"'E4!&amp;U{"</f>
        <v>#VALUE!</v>
      </c>
      <c r="J110" t="e">
        <f>Nodes!J873+"'E4!&amp;U|"</f>
        <v>#VALUE!</v>
      </c>
      <c r="K110" t="e">
        <f>Nodes!K873+"'E4!&amp;U}"</f>
        <v>#VALUE!</v>
      </c>
      <c r="L110" t="e">
        <f>Nodes!L873+"'E4!&amp;U~"</f>
        <v>#VALUE!</v>
      </c>
      <c r="M110" t="e">
        <f>Nodes!M873+"'E4!&amp;V#"</f>
        <v>#VALUE!</v>
      </c>
      <c r="N110" t="e">
        <f>Nodes!N873+"'E4!&amp;V$"</f>
        <v>#VALUE!</v>
      </c>
      <c r="O110" t="e">
        <f>Nodes!O873+"'E4!&amp;V%"</f>
        <v>#VALUE!</v>
      </c>
      <c r="P110" t="e">
        <f>Nodes!P873+"'E4!&amp;V&amp;"</f>
        <v>#VALUE!</v>
      </c>
      <c r="Q110" t="e">
        <f>Nodes!Q873+"'E4!&amp;V'"</f>
        <v>#VALUE!</v>
      </c>
      <c r="R110" t="e">
        <f>Nodes!R873+"'E4!&amp;V("</f>
        <v>#VALUE!</v>
      </c>
      <c r="S110" t="e">
        <f>Nodes!S873+"'E4!&amp;V)"</f>
        <v>#VALUE!</v>
      </c>
      <c r="T110" s="547" t="e">
        <f>Nodes!T873+"'E4!&amp;V."</f>
        <v>#VALUE!</v>
      </c>
      <c r="U110" s="548" t="e">
        <f>Nodes!U873+"'E4!&amp;V/"</f>
        <v>#VALUE!</v>
      </c>
      <c r="V110" s="548" t="e">
        <f>Nodes!V873+"'E4!&amp;V0"</f>
        <v>#VALUE!</v>
      </c>
      <c r="W110" s="547" t="e">
        <f>Nodes!W873+"'E4!&amp;V1"</f>
        <v>#VALUE!</v>
      </c>
      <c r="X110" t="e">
        <f>Nodes!X873+"'E4!&amp;V2"</f>
        <v>#VALUE!</v>
      </c>
      <c r="Y110" t="e">
        <f>Nodes!Y873+"'E4!&amp;V3"</f>
        <v>#VALUE!</v>
      </c>
      <c r="Z110" t="e">
        <f>Nodes!Z873+"'E4!&amp;V4"</f>
        <v>#VALUE!</v>
      </c>
      <c r="AA110" t="e">
        <f>Nodes!AA873+"'E4!&amp;V5"</f>
        <v>#VALUE!</v>
      </c>
      <c r="AB110" t="e">
        <f>Nodes!AB873+"'E4!&amp;V6"</f>
        <v>#VALUE!</v>
      </c>
      <c r="AC110" t="e">
        <f>Nodes!AC873+"'E4!&amp;V7"</f>
        <v>#VALUE!</v>
      </c>
      <c r="AD110" t="e">
        <f>Nodes!A874+"'E4!&amp;V8"</f>
        <v>#VALUE!</v>
      </c>
      <c r="AE110" t="e">
        <f>Nodes!B874+"'E4!&amp;V9"</f>
        <v>#VALUE!</v>
      </c>
      <c r="AF110" t="e">
        <f>Nodes!C874+"'E4!&amp;V:"</f>
        <v>#VALUE!</v>
      </c>
      <c r="AG110" t="e">
        <f>Nodes!D874+"'E4!&amp;V;"</f>
        <v>#VALUE!</v>
      </c>
      <c r="AH110" t="e">
        <f>Nodes!E874+"'E4!&amp;V&lt;"</f>
        <v>#VALUE!</v>
      </c>
      <c r="AI110" t="e">
        <f>Nodes!F874+"'E4!&amp;V="</f>
        <v>#VALUE!</v>
      </c>
      <c r="AJ110" t="e">
        <f>Nodes!G874+"'E4!&amp;V&gt;"</f>
        <v>#VALUE!</v>
      </c>
      <c r="AK110" t="e">
        <f>Nodes!H874+"'E4!&amp;V?"</f>
        <v>#VALUE!</v>
      </c>
      <c r="AL110" t="e">
        <f>Nodes!I874+"'E4!&amp;V@"</f>
        <v>#VALUE!</v>
      </c>
      <c r="AM110" t="e">
        <f>Nodes!J874+"'E4!&amp;VA"</f>
        <v>#VALUE!</v>
      </c>
      <c r="AN110" t="e">
        <f>Nodes!K874+"'E4!&amp;VB"</f>
        <v>#VALUE!</v>
      </c>
      <c r="AO110" t="e">
        <f>Nodes!L874+"'E4!&amp;VC"</f>
        <v>#VALUE!</v>
      </c>
      <c r="AP110" t="e">
        <f>Nodes!M874+"'E4!&amp;VD"</f>
        <v>#VALUE!</v>
      </c>
      <c r="AQ110" t="e">
        <f>Nodes!N874+"'E4!&amp;VE"</f>
        <v>#VALUE!</v>
      </c>
      <c r="AR110" t="e">
        <f>Nodes!O874+"'E4!&amp;VF"</f>
        <v>#VALUE!</v>
      </c>
      <c r="AS110" t="e">
        <f>Nodes!P874+"'E4!&amp;VG"</f>
        <v>#VALUE!</v>
      </c>
      <c r="AT110" t="e">
        <f>Nodes!Q874+"'E4!&amp;VH"</f>
        <v>#VALUE!</v>
      </c>
      <c r="AU110" t="e">
        <f>Nodes!R874+"'E4!&amp;VI"</f>
        <v>#VALUE!</v>
      </c>
      <c r="AV110" t="e">
        <f>Nodes!S874+"'E4!&amp;VJ"</f>
        <v>#VALUE!</v>
      </c>
      <c r="AW110" s="547" t="e">
        <f>Nodes!T874+"'E4!&amp;VK"</f>
        <v>#VALUE!</v>
      </c>
      <c r="AX110" s="548" t="e">
        <f>Nodes!U874+"'E4!&amp;VL"</f>
        <v>#VALUE!</v>
      </c>
      <c r="AY110" s="548" t="e">
        <f>Nodes!V874+"'E4!&amp;VM"</f>
        <v>#VALUE!</v>
      </c>
      <c r="AZ110" s="547" t="e">
        <f>Nodes!W874+"'E4!&amp;VN"</f>
        <v>#VALUE!</v>
      </c>
      <c r="BA110" t="e">
        <f>Nodes!X874+"'E4!&amp;VO"</f>
        <v>#VALUE!</v>
      </c>
      <c r="BB110" t="e">
        <f>Nodes!Y874+"'E4!&amp;VP"</f>
        <v>#VALUE!</v>
      </c>
      <c r="BC110" t="e">
        <f>Nodes!Z874+"'E4!&amp;VQ"</f>
        <v>#VALUE!</v>
      </c>
      <c r="BD110" t="e">
        <f>Nodes!AA874+"'E4!&amp;VR"</f>
        <v>#VALUE!</v>
      </c>
      <c r="BE110" t="e">
        <f>Nodes!AB874+"'E4!&amp;VS"</f>
        <v>#VALUE!</v>
      </c>
      <c r="BF110" t="e">
        <f>Nodes!AC874+"'E4!&amp;VT"</f>
        <v>#VALUE!</v>
      </c>
      <c r="BG110" t="e">
        <f>Nodes!A875+"'E4!&amp;VU"</f>
        <v>#VALUE!</v>
      </c>
      <c r="BH110" t="e">
        <f>Nodes!B875+"'E4!&amp;VV"</f>
        <v>#VALUE!</v>
      </c>
      <c r="BI110" t="e">
        <f>Nodes!C875+"'E4!&amp;VW"</f>
        <v>#VALUE!</v>
      </c>
      <c r="BJ110" t="e">
        <f>Nodes!D875+"'E4!&amp;VX"</f>
        <v>#VALUE!</v>
      </c>
      <c r="BK110" t="e">
        <f>Nodes!E875+"'E4!&amp;VY"</f>
        <v>#VALUE!</v>
      </c>
      <c r="BL110" t="e">
        <f>Nodes!F875+"'E4!&amp;VZ"</f>
        <v>#VALUE!</v>
      </c>
      <c r="BM110" t="e">
        <f>Nodes!G875+"'E4!&amp;V["</f>
        <v>#VALUE!</v>
      </c>
      <c r="BN110" t="e">
        <f>Nodes!H875+"'E4!&amp;V\"</f>
        <v>#VALUE!</v>
      </c>
      <c r="BO110" t="e">
        <f>Nodes!I875+"'E4!&amp;V]"</f>
        <v>#VALUE!</v>
      </c>
      <c r="BP110" t="e">
        <f>Nodes!J875+"'E4!&amp;V^"</f>
        <v>#VALUE!</v>
      </c>
      <c r="BQ110" t="e">
        <f>Nodes!K875+"'E4!&amp;V_"</f>
        <v>#VALUE!</v>
      </c>
      <c r="BR110" t="e">
        <f>Nodes!L875+"'E4!&amp;V`"</f>
        <v>#VALUE!</v>
      </c>
      <c r="BS110" t="e">
        <f>Nodes!M875+"'E4!&amp;Va"</f>
        <v>#VALUE!</v>
      </c>
      <c r="BT110" t="e">
        <f>Nodes!N875+"'E4!&amp;Vb"</f>
        <v>#VALUE!</v>
      </c>
      <c r="BU110" t="e">
        <f>Nodes!O875+"'E4!&amp;Vc"</f>
        <v>#VALUE!</v>
      </c>
      <c r="BV110" t="e">
        <f>Nodes!P875+"'E4!&amp;Vd"</f>
        <v>#VALUE!</v>
      </c>
      <c r="BW110" t="e">
        <f>Nodes!Q875+"'E4!&amp;Ve"</f>
        <v>#VALUE!</v>
      </c>
      <c r="BX110" t="e">
        <f>Nodes!R875+"'E4!&amp;Vf"</f>
        <v>#VALUE!</v>
      </c>
      <c r="BY110" t="e">
        <f>Nodes!S875+"'E4!&amp;Vg"</f>
        <v>#VALUE!</v>
      </c>
      <c r="BZ110" s="547" t="e">
        <f>Nodes!T875+"'E4!&amp;Vh"</f>
        <v>#VALUE!</v>
      </c>
      <c r="CA110" s="548" t="e">
        <f>Nodes!U875+"'E4!&amp;Vi"</f>
        <v>#VALUE!</v>
      </c>
      <c r="CB110" s="548" t="e">
        <f>Nodes!V875+"'E4!&amp;Vj"</f>
        <v>#VALUE!</v>
      </c>
      <c r="CC110" s="547" t="e">
        <f>Nodes!W875+"'E4!&amp;Vk"</f>
        <v>#VALUE!</v>
      </c>
      <c r="CD110" t="e">
        <f>Nodes!X875+"'E4!&amp;Vl"</f>
        <v>#VALUE!</v>
      </c>
      <c r="CE110" t="e">
        <f>Nodes!Y875+"'E4!&amp;Vm"</f>
        <v>#VALUE!</v>
      </c>
      <c r="CF110" t="e">
        <f>Nodes!Z875+"'E4!&amp;Vn"</f>
        <v>#VALUE!</v>
      </c>
      <c r="CG110" t="e">
        <f>Nodes!AA875+"'E4!&amp;Vo"</f>
        <v>#VALUE!</v>
      </c>
      <c r="CH110" t="e">
        <f>Nodes!AB875+"'E4!&amp;Vp"</f>
        <v>#VALUE!</v>
      </c>
      <c r="CI110" t="e">
        <f>Nodes!AC875+"'E4!&amp;Vq"</f>
        <v>#VALUE!</v>
      </c>
      <c r="CJ110" t="e">
        <f>Nodes!A876+"'E4!&amp;Vr"</f>
        <v>#VALUE!</v>
      </c>
      <c r="CK110" t="e">
        <f>Nodes!B876+"'E4!&amp;Vs"</f>
        <v>#VALUE!</v>
      </c>
      <c r="CL110" t="e">
        <f>Nodes!C876+"'E4!&amp;Vt"</f>
        <v>#VALUE!</v>
      </c>
      <c r="CM110" t="e">
        <f>Nodes!D876+"'E4!&amp;Vu"</f>
        <v>#VALUE!</v>
      </c>
      <c r="CN110" t="e">
        <f>Nodes!E876+"'E4!&amp;Vv"</f>
        <v>#VALUE!</v>
      </c>
      <c r="CO110" t="e">
        <f>Nodes!F876+"'E4!&amp;Vw"</f>
        <v>#VALUE!</v>
      </c>
      <c r="CP110" t="e">
        <f>Nodes!G876+"'E4!&amp;Vx"</f>
        <v>#VALUE!</v>
      </c>
      <c r="CQ110" t="e">
        <f>Nodes!H876+"'E4!&amp;Vy"</f>
        <v>#VALUE!</v>
      </c>
      <c r="CR110" t="e">
        <f>Nodes!I876+"'E4!&amp;Vz"</f>
        <v>#VALUE!</v>
      </c>
      <c r="CS110" t="e">
        <f>Nodes!J876+"'E4!&amp;V{"</f>
        <v>#VALUE!</v>
      </c>
      <c r="CT110" t="e">
        <f>Nodes!K876+"'E4!&amp;V|"</f>
        <v>#VALUE!</v>
      </c>
      <c r="CU110" t="e">
        <f>Nodes!L876+"'E4!&amp;V}"</f>
        <v>#VALUE!</v>
      </c>
      <c r="CV110" t="e">
        <f>Nodes!M876+"'E4!&amp;V~"</f>
        <v>#VALUE!</v>
      </c>
      <c r="CW110" t="e">
        <f>Nodes!N876+"'E4!&amp;W#"</f>
        <v>#VALUE!</v>
      </c>
      <c r="CX110" t="e">
        <f>Nodes!O876+"'E4!&amp;W$"</f>
        <v>#VALUE!</v>
      </c>
      <c r="CY110" t="e">
        <f>Nodes!P876+"'E4!&amp;W%"</f>
        <v>#VALUE!</v>
      </c>
      <c r="CZ110" t="e">
        <f>Nodes!Q876+"'E4!&amp;W&amp;"</f>
        <v>#VALUE!</v>
      </c>
      <c r="DA110" t="e">
        <f>Nodes!R876+"'E4!&amp;W'"</f>
        <v>#VALUE!</v>
      </c>
      <c r="DB110" t="e">
        <f>Nodes!S876+"'E4!&amp;W("</f>
        <v>#VALUE!</v>
      </c>
      <c r="DC110" s="547" t="e">
        <f>Nodes!T876+"'E4!&amp;W)"</f>
        <v>#VALUE!</v>
      </c>
      <c r="DD110" s="548" t="e">
        <f>Nodes!U876+"'E4!&amp;W."</f>
        <v>#VALUE!</v>
      </c>
      <c r="DE110" s="548" t="e">
        <f>Nodes!V876+"'E4!&amp;W/"</f>
        <v>#VALUE!</v>
      </c>
      <c r="DF110" s="547" t="e">
        <f>Nodes!W876+"'E4!&amp;W0"</f>
        <v>#VALUE!</v>
      </c>
      <c r="DG110" t="e">
        <f>Nodes!X876+"'E4!&amp;W1"</f>
        <v>#VALUE!</v>
      </c>
      <c r="DH110" t="e">
        <f>Nodes!Y876+"'E4!&amp;W2"</f>
        <v>#VALUE!</v>
      </c>
      <c r="DI110" t="e">
        <f>Nodes!Z876+"'E4!&amp;W3"</f>
        <v>#VALUE!</v>
      </c>
      <c r="DJ110" t="e">
        <f>Nodes!AA876+"'E4!&amp;W4"</f>
        <v>#VALUE!</v>
      </c>
      <c r="DK110" t="e">
        <f>Nodes!AB876+"'E4!&amp;W5"</f>
        <v>#VALUE!</v>
      </c>
      <c r="DL110" t="e">
        <f>Nodes!AC876+"'E4!&amp;W6"</f>
        <v>#VALUE!</v>
      </c>
      <c r="DM110" t="e">
        <f>Nodes!A877+"'E4!&amp;W7"</f>
        <v>#VALUE!</v>
      </c>
      <c r="DN110" t="e">
        <f>Nodes!B877+"'E4!&amp;W8"</f>
        <v>#VALUE!</v>
      </c>
      <c r="DO110" t="e">
        <f>Nodes!C877+"'E4!&amp;W9"</f>
        <v>#VALUE!</v>
      </c>
      <c r="DP110" t="e">
        <f>Nodes!D877+"'E4!&amp;W:"</f>
        <v>#VALUE!</v>
      </c>
      <c r="DQ110" t="e">
        <f>Nodes!E877+"'E4!&amp;W;"</f>
        <v>#VALUE!</v>
      </c>
      <c r="DR110" t="e">
        <f>Nodes!F877+"'E4!&amp;W&lt;"</f>
        <v>#VALUE!</v>
      </c>
      <c r="DS110" t="e">
        <f>Nodes!G877+"'E4!&amp;W="</f>
        <v>#VALUE!</v>
      </c>
      <c r="DT110" t="e">
        <f>Nodes!H877+"'E4!&amp;W&gt;"</f>
        <v>#VALUE!</v>
      </c>
      <c r="DU110" t="e">
        <f>Nodes!I877+"'E4!&amp;W?"</f>
        <v>#VALUE!</v>
      </c>
      <c r="DV110" t="e">
        <f>Nodes!J877+"'E4!&amp;W@"</f>
        <v>#VALUE!</v>
      </c>
      <c r="DW110" t="e">
        <f>Nodes!K877+"'E4!&amp;WA"</f>
        <v>#VALUE!</v>
      </c>
      <c r="DX110" t="e">
        <f>Nodes!L877+"'E4!&amp;WB"</f>
        <v>#VALUE!</v>
      </c>
      <c r="DY110" t="e">
        <f>Nodes!M877+"'E4!&amp;WC"</f>
        <v>#VALUE!</v>
      </c>
      <c r="DZ110" t="e">
        <f>Nodes!N877+"'E4!&amp;WD"</f>
        <v>#VALUE!</v>
      </c>
      <c r="EA110" t="e">
        <f>Nodes!O877+"'E4!&amp;WE"</f>
        <v>#VALUE!</v>
      </c>
      <c r="EB110" t="e">
        <f>Nodes!P877+"'E4!&amp;WF"</f>
        <v>#VALUE!</v>
      </c>
      <c r="EC110" t="e">
        <f>Nodes!Q877+"'E4!&amp;WG"</f>
        <v>#VALUE!</v>
      </c>
      <c r="ED110" t="e">
        <f>Nodes!R877+"'E4!&amp;WH"</f>
        <v>#VALUE!</v>
      </c>
      <c r="EE110" t="e">
        <f>Nodes!S877+"'E4!&amp;WI"</f>
        <v>#VALUE!</v>
      </c>
      <c r="EF110" s="547" t="e">
        <f>Nodes!T877+"'E4!&amp;WJ"</f>
        <v>#VALUE!</v>
      </c>
      <c r="EG110" s="548" t="e">
        <f>Nodes!U877+"'E4!&amp;WK"</f>
        <v>#VALUE!</v>
      </c>
      <c r="EH110" s="548" t="e">
        <f>Nodes!V877+"'E4!&amp;WL"</f>
        <v>#VALUE!</v>
      </c>
      <c r="EI110" s="547" t="e">
        <f>Nodes!W877+"'E4!&amp;WM"</f>
        <v>#VALUE!</v>
      </c>
      <c r="EJ110" t="e">
        <f>Nodes!X877+"'E4!&amp;WN"</f>
        <v>#VALUE!</v>
      </c>
      <c r="EK110" t="e">
        <f>Nodes!Y877+"'E4!&amp;WO"</f>
        <v>#VALUE!</v>
      </c>
      <c r="EL110" t="e">
        <f>Nodes!Z877+"'E4!&amp;WP"</f>
        <v>#VALUE!</v>
      </c>
      <c r="EM110" t="e">
        <f>Nodes!AA877+"'E4!&amp;WQ"</f>
        <v>#VALUE!</v>
      </c>
      <c r="EN110" t="e">
        <f>Nodes!AB877+"'E4!&amp;WR"</f>
        <v>#VALUE!</v>
      </c>
      <c r="EO110" t="e">
        <f>Nodes!AC877+"'E4!&amp;WS"</f>
        <v>#VALUE!</v>
      </c>
      <c r="EP110" t="e">
        <f>Nodes!A878+"'E4!&amp;WT"</f>
        <v>#VALUE!</v>
      </c>
      <c r="EQ110" t="e">
        <f>Nodes!B878+"'E4!&amp;WU"</f>
        <v>#VALUE!</v>
      </c>
      <c r="ER110" t="e">
        <f>Nodes!C878+"'E4!&amp;WV"</f>
        <v>#VALUE!</v>
      </c>
      <c r="ES110" t="e">
        <f>Nodes!D878+"'E4!&amp;WW"</f>
        <v>#VALUE!</v>
      </c>
      <c r="ET110" t="e">
        <f>Nodes!E878+"'E4!&amp;WX"</f>
        <v>#VALUE!</v>
      </c>
      <c r="EU110" t="e">
        <f>Nodes!F878+"'E4!&amp;WY"</f>
        <v>#VALUE!</v>
      </c>
      <c r="EV110" t="e">
        <f>Nodes!G878+"'E4!&amp;WZ"</f>
        <v>#VALUE!</v>
      </c>
      <c r="EW110" t="e">
        <f>Nodes!H878+"'E4!&amp;W["</f>
        <v>#VALUE!</v>
      </c>
      <c r="EX110" t="e">
        <f>Nodes!I878+"'E4!&amp;W\"</f>
        <v>#VALUE!</v>
      </c>
      <c r="EY110" t="e">
        <f>Nodes!J878+"'E4!&amp;W]"</f>
        <v>#VALUE!</v>
      </c>
      <c r="EZ110" t="e">
        <f>Nodes!K878+"'E4!&amp;W^"</f>
        <v>#VALUE!</v>
      </c>
      <c r="FA110" t="e">
        <f>Nodes!L878+"'E4!&amp;W_"</f>
        <v>#VALUE!</v>
      </c>
      <c r="FB110" t="e">
        <f>Nodes!M878+"'E4!&amp;W`"</f>
        <v>#VALUE!</v>
      </c>
      <c r="FC110" t="e">
        <f>Nodes!N878+"'E4!&amp;Wa"</f>
        <v>#VALUE!</v>
      </c>
      <c r="FD110" t="e">
        <f>Nodes!O878+"'E4!&amp;Wb"</f>
        <v>#VALUE!</v>
      </c>
      <c r="FE110" t="e">
        <f>Nodes!P878+"'E4!&amp;Wc"</f>
        <v>#VALUE!</v>
      </c>
      <c r="FF110" t="e">
        <f>Nodes!Q878+"'E4!&amp;Wd"</f>
        <v>#VALUE!</v>
      </c>
      <c r="FG110" t="e">
        <f>Nodes!R878+"'E4!&amp;We"</f>
        <v>#VALUE!</v>
      </c>
      <c r="FH110" t="e">
        <f>Nodes!S878+"'E4!&amp;Wf"</f>
        <v>#VALUE!</v>
      </c>
      <c r="FI110" s="547" t="e">
        <f>Nodes!T878+"'E4!&amp;Wg"</f>
        <v>#VALUE!</v>
      </c>
      <c r="FJ110" s="548" t="e">
        <f>Nodes!U878+"'E4!&amp;Wh"</f>
        <v>#VALUE!</v>
      </c>
      <c r="FK110" s="548" t="e">
        <f>Nodes!V878+"'E4!&amp;Wi"</f>
        <v>#VALUE!</v>
      </c>
      <c r="FL110" s="547" t="e">
        <f>Nodes!W878+"'E4!&amp;Wj"</f>
        <v>#VALUE!</v>
      </c>
      <c r="FM110" t="e">
        <f>Nodes!X878+"'E4!&amp;Wk"</f>
        <v>#VALUE!</v>
      </c>
      <c r="FN110" t="e">
        <f>Nodes!Y878+"'E4!&amp;Wl"</f>
        <v>#VALUE!</v>
      </c>
      <c r="FO110" t="e">
        <f>Nodes!Z878+"'E4!&amp;Wm"</f>
        <v>#VALUE!</v>
      </c>
      <c r="FP110" t="e">
        <f>Nodes!AA878+"'E4!&amp;Wn"</f>
        <v>#VALUE!</v>
      </c>
      <c r="FQ110" t="e">
        <f>Nodes!AB878+"'E4!&amp;Wo"</f>
        <v>#VALUE!</v>
      </c>
      <c r="FR110" t="e">
        <f>Nodes!AC878+"'E4!&amp;Wp"</f>
        <v>#VALUE!</v>
      </c>
      <c r="FS110" t="e">
        <f>Nodes!A879+"'E4!&amp;Wq"</f>
        <v>#VALUE!</v>
      </c>
      <c r="FT110" t="e">
        <f>Nodes!B879+"'E4!&amp;Wr"</f>
        <v>#VALUE!</v>
      </c>
      <c r="FU110" t="e">
        <f>Nodes!C879+"'E4!&amp;Ws"</f>
        <v>#VALUE!</v>
      </c>
      <c r="FV110" t="e">
        <f>Nodes!D879+"'E4!&amp;Wt"</f>
        <v>#VALUE!</v>
      </c>
      <c r="FW110" t="e">
        <f>Nodes!E879+"'E4!&amp;Wu"</f>
        <v>#VALUE!</v>
      </c>
      <c r="FX110" t="e">
        <f>Nodes!F879+"'E4!&amp;Wv"</f>
        <v>#VALUE!</v>
      </c>
      <c r="FY110" t="e">
        <f>Nodes!G879+"'E4!&amp;Ww"</f>
        <v>#VALUE!</v>
      </c>
      <c r="FZ110" t="e">
        <f>Nodes!H879+"'E4!&amp;Wx"</f>
        <v>#VALUE!</v>
      </c>
      <c r="GA110" t="e">
        <f>Nodes!I879+"'E4!&amp;Wy"</f>
        <v>#VALUE!</v>
      </c>
      <c r="GB110" t="e">
        <f>Nodes!J879+"'E4!&amp;Wz"</f>
        <v>#VALUE!</v>
      </c>
      <c r="GC110" t="e">
        <f>Nodes!K879+"'E4!&amp;W{"</f>
        <v>#VALUE!</v>
      </c>
      <c r="GD110" t="e">
        <f>Nodes!L879+"'E4!&amp;W|"</f>
        <v>#VALUE!</v>
      </c>
      <c r="GE110" t="e">
        <f>Nodes!M879+"'E4!&amp;W}"</f>
        <v>#VALUE!</v>
      </c>
      <c r="GF110" t="e">
        <f>Nodes!N879+"'E4!&amp;W~"</f>
        <v>#VALUE!</v>
      </c>
      <c r="GG110" t="e">
        <f>Nodes!O879+"'E4!&amp;X#"</f>
        <v>#VALUE!</v>
      </c>
      <c r="GH110" t="e">
        <f>Nodes!P879+"'E4!&amp;X$"</f>
        <v>#VALUE!</v>
      </c>
      <c r="GI110" t="e">
        <f>Nodes!Q879+"'E4!&amp;X%"</f>
        <v>#VALUE!</v>
      </c>
      <c r="GJ110" t="e">
        <f>Nodes!R879+"'E4!&amp;X&amp;"</f>
        <v>#VALUE!</v>
      </c>
      <c r="GK110" t="e">
        <f>Nodes!S879+"'E4!&amp;X'"</f>
        <v>#VALUE!</v>
      </c>
      <c r="GL110" s="547" t="e">
        <f>Nodes!T879+"'E4!&amp;X("</f>
        <v>#VALUE!</v>
      </c>
      <c r="GM110" s="548" t="e">
        <f>Nodes!U879+"'E4!&amp;X)"</f>
        <v>#VALUE!</v>
      </c>
      <c r="GN110" s="548" t="e">
        <f>Nodes!V879+"'E4!&amp;X."</f>
        <v>#VALUE!</v>
      </c>
      <c r="GO110" s="547" t="e">
        <f>Nodes!W879+"'E4!&amp;X/"</f>
        <v>#VALUE!</v>
      </c>
      <c r="GP110" t="e">
        <f>Nodes!X879+"'E4!&amp;X0"</f>
        <v>#VALUE!</v>
      </c>
      <c r="GQ110" t="e">
        <f>Nodes!Y879+"'E4!&amp;X1"</f>
        <v>#VALUE!</v>
      </c>
      <c r="GR110" t="e">
        <f>Nodes!Z879+"'E4!&amp;X2"</f>
        <v>#VALUE!</v>
      </c>
      <c r="GS110" t="e">
        <f>Nodes!AA879+"'E4!&amp;X3"</f>
        <v>#VALUE!</v>
      </c>
      <c r="GT110" t="e">
        <f>Nodes!AB879+"'E4!&amp;X4"</f>
        <v>#VALUE!</v>
      </c>
      <c r="GU110" t="e">
        <f>Nodes!AC879+"'E4!&amp;X5"</f>
        <v>#VALUE!</v>
      </c>
      <c r="GV110" t="e">
        <f>Nodes!A880+"'E4!&amp;X6"</f>
        <v>#VALUE!</v>
      </c>
      <c r="GW110" t="e">
        <f>Nodes!B880+"'E4!&amp;X7"</f>
        <v>#VALUE!</v>
      </c>
      <c r="GX110" t="e">
        <f>Nodes!C880+"'E4!&amp;X8"</f>
        <v>#VALUE!</v>
      </c>
      <c r="GY110" t="e">
        <f>Nodes!D880+"'E4!&amp;X9"</f>
        <v>#VALUE!</v>
      </c>
      <c r="GZ110" t="e">
        <f>Nodes!E880+"'E4!&amp;X:"</f>
        <v>#VALUE!</v>
      </c>
      <c r="HA110" t="e">
        <f>Nodes!F880+"'E4!&amp;X;"</f>
        <v>#VALUE!</v>
      </c>
      <c r="HB110" t="e">
        <f>Nodes!G880+"'E4!&amp;X&lt;"</f>
        <v>#VALUE!</v>
      </c>
      <c r="HC110" t="e">
        <f>Nodes!H880+"'E4!&amp;X="</f>
        <v>#VALUE!</v>
      </c>
      <c r="HD110" t="e">
        <f>Nodes!I880+"'E4!&amp;X&gt;"</f>
        <v>#VALUE!</v>
      </c>
      <c r="HE110" t="e">
        <f>Nodes!J880+"'E4!&amp;X?"</f>
        <v>#VALUE!</v>
      </c>
      <c r="HF110" t="e">
        <f>Nodes!K880+"'E4!&amp;X@"</f>
        <v>#VALUE!</v>
      </c>
      <c r="HG110" t="e">
        <f>Nodes!L880+"'E4!&amp;XA"</f>
        <v>#VALUE!</v>
      </c>
      <c r="HH110" t="e">
        <f>Nodes!M880+"'E4!&amp;XB"</f>
        <v>#VALUE!</v>
      </c>
      <c r="HI110" t="e">
        <f>Nodes!N880+"'E4!&amp;XC"</f>
        <v>#VALUE!</v>
      </c>
      <c r="HJ110" t="e">
        <f>Nodes!O880+"'E4!&amp;XD"</f>
        <v>#VALUE!</v>
      </c>
      <c r="HK110" t="e">
        <f>Nodes!P880+"'E4!&amp;XE"</f>
        <v>#VALUE!</v>
      </c>
      <c r="HL110" t="e">
        <f>Nodes!Q880+"'E4!&amp;XF"</f>
        <v>#VALUE!</v>
      </c>
      <c r="HM110" t="e">
        <f>Nodes!R880+"'E4!&amp;XG"</f>
        <v>#VALUE!</v>
      </c>
      <c r="HN110" t="e">
        <f>Nodes!S880+"'E4!&amp;XH"</f>
        <v>#VALUE!</v>
      </c>
      <c r="HO110" s="547" t="e">
        <f>Nodes!T880+"'E4!&amp;XI"</f>
        <v>#VALUE!</v>
      </c>
      <c r="HP110" s="548" t="e">
        <f>Nodes!U880+"'E4!&amp;XJ"</f>
        <v>#VALUE!</v>
      </c>
      <c r="HQ110" s="548" t="e">
        <f>Nodes!V880+"'E4!&amp;XK"</f>
        <v>#VALUE!</v>
      </c>
      <c r="HR110" s="547" t="e">
        <f>Nodes!W880+"'E4!&amp;XL"</f>
        <v>#VALUE!</v>
      </c>
      <c r="HS110" t="e">
        <f>Nodes!X880+"'E4!&amp;XM"</f>
        <v>#VALUE!</v>
      </c>
      <c r="HT110" t="e">
        <f>Nodes!Y880+"'E4!&amp;XN"</f>
        <v>#VALUE!</v>
      </c>
      <c r="HU110" t="e">
        <f>Nodes!Z880+"'E4!&amp;XO"</f>
        <v>#VALUE!</v>
      </c>
      <c r="HV110" t="e">
        <f>Nodes!AA880+"'E4!&amp;XP"</f>
        <v>#VALUE!</v>
      </c>
      <c r="HW110" t="e">
        <f>Nodes!AB880+"'E4!&amp;XQ"</f>
        <v>#VALUE!</v>
      </c>
      <c r="HX110" t="e">
        <f>Nodes!AC880+"'E4!&amp;XR"</f>
        <v>#VALUE!</v>
      </c>
      <c r="HY110" t="e">
        <f>Nodes!A881+"'E4!&amp;XS"</f>
        <v>#VALUE!</v>
      </c>
      <c r="HZ110" t="e">
        <f>Nodes!B881+"'E4!&amp;XT"</f>
        <v>#VALUE!</v>
      </c>
      <c r="IA110" t="e">
        <f>Nodes!C881+"'E4!&amp;XU"</f>
        <v>#VALUE!</v>
      </c>
      <c r="IB110" t="e">
        <f>Nodes!D881+"'E4!&amp;XV"</f>
        <v>#VALUE!</v>
      </c>
      <c r="IC110" t="e">
        <f>Nodes!E881+"'E4!&amp;XW"</f>
        <v>#VALUE!</v>
      </c>
      <c r="ID110" t="e">
        <f>Nodes!F881+"'E4!&amp;XX"</f>
        <v>#VALUE!</v>
      </c>
      <c r="IE110" t="e">
        <f>Nodes!G881+"'E4!&amp;XY"</f>
        <v>#VALUE!</v>
      </c>
      <c r="IF110" t="e">
        <f>Nodes!H881+"'E4!&amp;XZ"</f>
        <v>#VALUE!</v>
      </c>
      <c r="IG110" t="e">
        <f>Nodes!I881+"'E4!&amp;X["</f>
        <v>#VALUE!</v>
      </c>
      <c r="IH110" t="e">
        <f>Nodes!J881+"'E4!&amp;X\"</f>
        <v>#VALUE!</v>
      </c>
      <c r="II110" t="e">
        <f>Nodes!K881+"'E4!&amp;X]"</f>
        <v>#VALUE!</v>
      </c>
      <c r="IJ110" t="e">
        <f>Nodes!L881+"'E4!&amp;X^"</f>
        <v>#VALUE!</v>
      </c>
      <c r="IK110" t="e">
        <f>Nodes!M881+"'E4!&amp;X_"</f>
        <v>#VALUE!</v>
      </c>
      <c r="IL110" t="e">
        <f>Nodes!N881+"'E4!&amp;X`"</f>
        <v>#VALUE!</v>
      </c>
      <c r="IM110" t="e">
        <f>Nodes!O881+"'E4!&amp;Xa"</f>
        <v>#VALUE!</v>
      </c>
      <c r="IN110" t="e">
        <f>Nodes!P881+"'E4!&amp;Xb"</f>
        <v>#VALUE!</v>
      </c>
      <c r="IO110" t="e">
        <f>Nodes!Q881+"'E4!&amp;Xc"</f>
        <v>#VALUE!</v>
      </c>
      <c r="IP110" t="e">
        <f>Nodes!R881+"'E4!&amp;Xd"</f>
        <v>#VALUE!</v>
      </c>
      <c r="IQ110" t="e">
        <f>Nodes!S881+"'E4!&amp;Xe"</f>
        <v>#VALUE!</v>
      </c>
      <c r="IR110" s="547" t="e">
        <f>Nodes!T881+"'E4!&amp;Xf"</f>
        <v>#VALUE!</v>
      </c>
      <c r="IS110" s="548" t="e">
        <f>Nodes!U881+"'E4!&amp;Xg"</f>
        <v>#VALUE!</v>
      </c>
      <c r="IT110" t="e">
        <f>Nodes!V881+"'E4!&amp;Xh"</f>
        <v>#VALUE!</v>
      </c>
      <c r="IU110" s="547" t="e">
        <f>Nodes!W881+"'E4!&amp;Xi"</f>
        <v>#VALUE!</v>
      </c>
      <c r="IV110" t="e">
        <f>Nodes!X881+"'E4!&amp;Xj"</f>
        <v>#VALUE!</v>
      </c>
    </row>
    <row r="111" spans="6:256">
      <c r="F111" t="e">
        <f>Nodes!Y881+"'E4!&amp;Xk"</f>
        <v>#VALUE!</v>
      </c>
      <c r="G111" t="e">
        <f>Nodes!Z881+"'E4!&amp;Xl"</f>
        <v>#VALUE!</v>
      </c>
      <c r="H111" t="e">
        <f>Nodes!AA881+"'E4!&amp;Xm"</f>
        <v>#VALUE!</v>
      </c>
      <c r="I111" t="e">
        <f>Nodes!AB881+"'E4!&amp;Xn"</f>
        <v>#VALUE!</v>
      </c>
      <c r="J111" t="e">
        <f>Nodes!AC881+"'E4!&amp;Xo"</f>
        <v>#VALUE!</v>
      </c>
      <c r="K111" t="e">
        <f>Nodes!A882+"'E4!&amp;Xp"</f>
        <v>#VALUE!</v>
      </c>
      <c r="L111" t="e">
        <f>Nodes!B882+"'E4!&amp;Xq"</f>
        <v>#VALUE!</v>
      </c>
      <c r="M111" t="e">
        <f>Nodes!C882+"'E4!&amp;Xr"</f>
        <v>#VALUE!</v>
      </c>
      <c r="N111" t="e">
        <f>Nodes!D882+"'E4!&amp;Xs"</f>
        <v>#VALUE!</v>
      </c>
      <c r="O111" t="e">
        <f>Nodes!E882+"'E4!&amp;Xt"</f>
        <v>#VALUE!</v>
      </c>
      <c r="P111" t="e">
        <f>Nodes!F882+"'E4!&amp;Xu"</f>
        <v>#VALUE!</v>
      </c>
      <c r="Q111" t="e">
        <f>Nodes!G882+"'E4!&amp;Xv"</f>
        <v>#VALUE!</v>
      </c>
      <c r="R111" t="e">
        <f>Nodes!H882+"'E4!&amp;Xw"</f>
        <v>#VALUE!</v>
      </c>
      <c r="S111" t="e">
        <f>Nodes!I882+"'E4!&amp;Xx"</f>
        <v>#VALUE!</v>
      </c>
      <c r="T111" t="e">
        <f>Nodes!J882+"'E4!&amp;Xy"</f>
        <v>#VALUE!</v>
      </c>
      <c r="U111" t="e">
        <f>Nodes!K882+"'E4!&amp;Xz"</f>
        <v>#VALUE!</v>
      </c>
      <c r="V111" t="e">
        <f>Nodes!L882+"'E4!&amp;X{"</f>
        <v>#VALUE!</v>
      </c>
      <c r="W111" t="e">
        <f>Nodes!M882+"'E4!&amp;X|"</f>
        <v>#VALUE!</v>
      </c>
      <c r="X111" t="e">
        <f>Nodes!N882+"'E4!&amp;X}"</f>
        <v>#VALUE!</v>
      </c>
      <c r="Y111" t="e">
        <f>Nodes!O882+"'E4!&amp;X~"</f>
        <v>#VALUE!</v>
      </c>
      <c r="Z111" t="e">
        <f>Nodes!P882+"'E4!&amp;Y#"</f>
        <v>#VALUE!</v>
      </c>
      <c r="AA111" t="e">
        <f>Nodes!Q882+"'E4!&amp;Y$"</f>
        <v>#VALUE!</v>
      </c>
      <c r="AB111" t="e">
        <f>Nodes!R882+"'E4!&amp;Y%"</f>
        <v>#VALUE!</v>
      </c>
      <c r="AC111" t="e">
        <f>Nodes!S882+"'E4!&amp;Y&amp;"</f>
        <v>#VALUE!</v>
      </c>
      <c r="AD111" s="547" t="e">
        <f>Nodes!T882+"'E4!&amp;Y'"</f>
        <v>#VALUE!</v>
      </c>
      <c r="AE111" s="548" t="e">
        <f>Nodes!U882+"'E4!&amp;Y("</f>
        <v>#VALUE!</v>
      </c>
      <c r="AF111" t="e">
        <f>Nodes!V882+"'E4!&amp;Y)"</f>
        <v>#VALUE!</v>
      </c>
      <c r="AG111" s="547" t="e">
        <f>Nodes!W882+"'E4!&amp;Y."</f>
        <v>#VALUE!</v>
      </c>
      <c r="AH111" t="e">
        <f>Nodes!X882+"'E4!&amp;Y/"</f>
        <v>#VALUE!</v>
      </c>
      <c r="AI111" t="e">
        <f>Nodes!Y882+"'E4!&amp;Y0"</f>
        <v>#VALUE!</v>
      </c>
      <c r="AJ111" t="e">
        <f>Nodes!Z882+"'E4!&amp;Y1"</f>
        <v>#VALUE!</v>
      </c>
      <c r="AK111" t="e">
        <f>Nodes!AA882+"'E4!&amp;Y2"</f>
        <v>#VALUE!</v>
      </c>
      <c r="AL111" t="e">
        <f>Nodes!AB882+"'E4!&amp;Y3"</f>
        <v>#VALUE!</v>
      </c>
      <c r="AM111" t="e">
        <f>Nodes!AC882+"'E4!&amp;Y4"</f>
        <v>#VALUE!</v>
      </c>
      <c r="AN111" t="e">
        <f>Nodes!A883+"'E4!&amp;Y5"</f>
        <v>#VALUE!</v>
      </c>
      <c r="AO111" t="e">
        <f>Nodes!B883+"'E4!&amp;Y6"</f>
        <v>#VALUE!</v>
      </c>
      <c r="AP111" t="e">
        <f>Nodes!C883+"'E4!&amp;Y7"</f>
        <v>#VALUE!</v>
      </c>
      <c r="AQ111" t="e">
        <f>Nodes!D883+"'E4!&amp;Y8"</f>
        <v>#VALUE!</v>
      </c>
      <c r="AR111" t="e">
        <f>Nodes!E883+"'E4!&amp;Y9"</f>
        <v>#VALUE!</v>
      </c>
      <c r="AS111" t="e">
        <f>Nodes!F883+"'E4!&amp;Y:"</f>
        <v>#VALUE!</v>
      </c>
      <c r="AT111" t="e">
        <f>Nodes!G883+"'E4!&amp;Y;"</f>
        <v>#VALUE!</v>
      </c>
      <c r="AU111" t="e">
        <f>Nodes!H883+"'E4!&amp;Y&lt;"</f>
        <v>#VALUE!</v>
      </c>
      <c r="AV111" t="e">
        <f>Nodes!I883+"'E4!&amp;Y="</f>
        <v>#VALUE!</v>
      </c>
      <c r="AW111" t="e">
        <f>Nodes!J883+"'E4!&amp;Y&gt;"</f>
        <v>#VALUE!</v>
      </c>
      <c r="AX111" t="e">
        <f>Nodes!K883+"'E4!&amp;Y?"</f>
        <v>#VALUE!</v>
      </c>
      <c r="AY111" t="e">
        <f>Nodes!L883+"'E4!&amp;Y@"</f>
        <v>#VALUE!</v>
      </c>
      <c r="AZ111" t="e">
        <f>Nodes!M883+"'E4!&amp;YA"</f>
        <v>#VALUE!</v>
      </c>
      <c r="BA111" t="e">
        <f>Nodes!N883+"'E4!&amp;YB"</f>
        <v>#VALUE!</v>
      </c>
      <c r="BB111" t="e">
        <f>Nodes!O883+"'E4!&amp;YC"</f>
        <v>#VALUE!</v>
      </c>
      <c r="BC111" t="e">
        <f>Nodes!P883+"'E4!&amp;YD"</f>
        <v>#VALUE!</v>
      </c>
      <c r="BD111" t="e">
        <f>Nodes!Q883+"'E4!&amp;YE"</f>
        <v>#VALUE!</v>
      </c>
      <c r="BE111" t="e">
        <f>Nodes!R883+"'E4!&amp;YF"</f>
        <v>#VALUE!</v>
      </c>
      <c r="BF111" t="e">
        <f>Nodes!S883+"'E4!&amp;YG"</f>
        <v>#VALUE!</v>
      </c>
      <c r="BG111" s="547" t="e">
        <f>Nodes!T883+"'E4!&amp;YH"</f>
        <v>#VALUE!</v>
      </c>
      <c r="BH111" s="548" t="e">
        <f>Nodes!U883+"'E4!&amp;YI"</f>
        <v>#VALUE!</v>
      </c>
      <c r="BI111" t="e">
        <f>Nodes!V883+"'E4!&amp;YJ"</f>
        <v>#VALUE!</v>
      </c>
      <c r="BJ111" s="547" t="e">
        <f>Nodes!W883+"'E4!&amp;YK"</f>
        <v>#VALUE!</v>
      </c>
      <c r="BK111" t="e">
        <f>Nodes!X883+"'E4!&amp;YL"</f>
        <v>#VALUE!</v>
      </c>
      <c r="BL111" t="e">
        <f>Nodes!Y883+"'E4!&amp;YM"</f>
        <v>#VALUE!</v>
      </c>
      <c r="BM111" t="e">
        <f>Nodes!Z883+"'E4!&amp;YN"</f>
        <v>#VALUE!</v>
      </c>
      <c r="BN111" t="e">
        <f>Nodes!AA883+"'E4!&amp;YO"</f>
        <v>#VALUE!</v>
      </c>
      <c r="BO111" t="e">
        <f>Nodes!AB883+"'E4!&amp;YP"</f>
        <v>#VALUE!</v>
      </c>
      <c r="BP111" t="e">
        <f>Nodes!AC883+"'E4!&amp;YQ"</f>
        <v>#VALUE!</v>
      </c>
      <c r="BQ111" t="e">
        <f>Nodes!A884+"'E4!&amp;YR"</f>
        <v>#VALUE!</v>
      </c>
      <c r="BR111" t="e">
        <f>Nodes!B884+"'E4!&amp;YS"</f>
        <v>#VALUE!</v>
      </c>
      <c r="BS111" t="e">
        <f>Nodes!C884+"'E4!&amp;YT"</f>
        <v>#VALUE!</v>
      </c>
      <c r="BT111" t="e">
        <f>Nodes!D884+"'E4!&amp;YU"</f>
        <v>#VALUE!</v>
      </c>
      <c r="BU111" t="e">
        <f>Nodes!E884+"'E4!&amp;YV"</f>
        <v>#VALUE!</v>
      </c>
      <c r="BV111" t="e">
        <f>Nodes!F884+"'E4!&amp;YW"</f>
        <v>#VALUE!</v>
      </c>
      <c r="BW111" t="e">
        <f>Nodes!G884+"'E4!&amp;YX"</f>
        <v>#VALUE!</v>
      </c>
      <c r="BX111" t="e">
        <f>Nodes!H884+"'E4!&amp;YY"</f>
        <v>#VALUE!</v>
      </c>
      <c r="BY111" t="e">
        <f>Nodes!I884+"'E4!&amp;YZ"</f>
        <v>#VALUE!</v>
      </c>
      <c r="BZ111" t="e">
        <f>Nodes!J884+"'E4!&amp;Y["</f>
        <v>#VALUE!</v>
      </c>
      <c r="CA111" t="e">
        <f>Nodes!K884+"'E4!&amp;Y\"</f>
        <v>#VALUE!</v>
      </c>
      <c r="CB111" t="e">
        <f>Nodes!L884+"'E4!&amp;Y]"</f>
        <v>#VALUE!</v>
      </c>
      <c r="CC111" t="e">
        <f>Nodes!M884+"'E4!&amp;Y^"</f>
        <v>#VALUE!</v>
      </c>
      <c r="CD111" t="e">
        <f>Nodes!N884+"'E4!&amp;Y_"</f>
        <v>#VALUE!</v>
      </c>
      <c r="CE111" t="e">
        <f>Nodes!O884+"'E4!&amp;Y`"</f>
        <v>#VALUE!</v>
      </c>
      <c r="CF111" t="e">
        <f>Nodes!P884+"'E4!&amp;Ya"</f>
        <v>#VALUE!</v>
      </c>
      <c r="CG111" t="e">
        <f>Nodes!Q884+"'E4!&amp;Yb"</f>
        <v>#VALUE!</v>
      </c>
      <c r="CH111" t="e">
        <f>Nodes!R884+"'E4!&amp;Yc"</f>
        <v>#VALUE!</v>
      </c>
      <c r="CI111" t="e">
        <f>Nodes!S884+"'E4!&amp;Yd"</f>
        <v>#VALUE!</v>
      </c>
      <c r="CJ111" s="547" t="e">
        <f>Nodes!T884+"'E4!&amp;Ye"</f>
        <v>#VALUE!</v>
      </c>
      <c r="CK111" s="548" t="e">
        <f>Nodes!U884+"'E4!&amp;Yf"</f>
        <v>#VALUE!</v>
      </c>
      <c r="CL111" t="e">
        <f>Nodes!V884+"'E4!&amp;Yg"</f>
        <v>#VALUE!</v>
      </c>
      <c r="CM111" s="547" t="e">
        <f>Nodes!W884+"'E4!&amp;Yh"</f>
        <v>#VALUE!</v>
      </c>
      <c r="CN111" t="e">
        <f>Nodes!X884+"'E4!&amp;Yi"</f>
        <v>#VALUE!</v>
      </c>
      <c r="CO111" t="e">
        <f>Nodes!Y884+"'E4!&amp;Yj"</f>
        <v>#VALUE!</v>
      </c>
      <c r="CP111" t="e">
        <f>Nodes!Z884+"'E4!&amp;Yk"</f>
        <v>#VALUE!</v>
      </c>
      <c r="CQ111" t="e">
        <f>Nodes!AA884+"'E4!&amp;Yl"</f>
        <v>#VALUE!</v>
      </c>
      <c r="CR111" t="e">
        <f>Nodes!AB884+"'E4!&amp;Ym"</f>
        <v>#VALUE!</v>
      </c>
      <c r="CS111" t="e">
        <f>Nodes!AC884+"'E4!&amp;Yn"</f>
        <v>#VALUE!</v>
      </c>
      <c r="CT111" t="e">
        <f>Nodes!A885+"'E4!&amp;Yo"</f>
        <v>#VALUE!</v>
      </c>
      <c r="CU111" t="e">
        <f>Nodes!B885+"'E4!&amp;Yp"</f>
        <v>#VALUE!</v>
      </c>
      <c r="CV111" t="e">
        <f>Nodes!C885+"'E4!&amp;Yq"</f>
        <v>#VALUE!</v>
      </c>
      <c r="CW111" t="e">
        <f>Nodes!D885+"'E4!&amp;Yr"</f>
        <v>#VALUE!</v>
      </c>
      <c r="CX111" t="e">
        <f>Nodes!E885+"'E4!&amp;Ys"</f>
        <v>#VALUE!</v>
      </c>
      <c r="CY111" t="e">
        <f>Nodes!F885+"'E4!&amp;Yt"</f>
        <v>#VALUE!</v>
      </c>
      <c r="CZ111" t="e">
        <f>Nodes!G885+"'E4!&amp;Yu"</f>
        <v>#VALUE!</v>
      </c>
      <c r="DA111" t="e">
        <f>Nodes!H885+"'E4!&amp;Yv"</f>
        <v>#VALUE!</v>
      </c>
      <c r="DB111" t="e">
        <f>Nodes!I885+"'E4!&amp;Yw"</f>
        <v>#VALUE!</v>
      </c>
      <c r="DC111" t="e">
        <f>Nodes!J885+"'E4!&amp;Yx"</f>
        <v>#VALUE!</v>
      </c>
      <c r="DD111" t="e">
        <f>Nodes!K885+"'E4!&amp;Yy"</f>
        <v>#VALUE!</v>
      </c>
      <c r="DE111" t="e">
        <f>Nodes!L885+"'E4!&amp;Yz"</f>
        <v>#VALUE!</v>
      </c>
      <c r="DF111" t="e">
        <f>Nodes!M885+"'E4!&amp;Y{"</f>
        <v>#VALUE!</v>
      </c>
      <c r="DG111" t="e">
        <f>Nodes!N885+"'E4!&amp;Y|"</f>
        <v>#VALUE!</v>
      </c>
      <c r="DH111" t="e">
        <f>Nodes!O885+"'E4!&amp;Y}"</f>
        <v>#VALUE!</v>
      </c>
      <c r="DI111" t="e">
        <f>Nodes!P885+"'E4!&amp;Y~"</f>
        <v>#VALUE!</v>
      </c>
      <c r="DJ111" t="e">
        <f>Nodes!Q885+"'E4!&amp;Z#"</f>
        <v>#VALUE!</v>
      </c>
      <c r="DK111" t="e">
        <f>Nodes!R885+"'E4!&amp;Z$"</f>
        <v>#VALUE!</v>
      </c>
      <c r="DL111" t="e">
        <f>Nodes!S885+"'E4!&amp;Z%"</f>
        <v>#VALUE!</v>
      </c>
      <c r="DM111" s="547" t="e">
        <f>Nodes!T885+"'E4!&amp;Z&amp;"</f>
        <v>#VALUE!</v>
      </c>
      <c r="DN111" s="548" t="e">
        <f>Nodes!U885+"'E4!&amp;Z'"</f>
        <v>#VALUE!</v>
      </c>
      <c r="DO111" t="e">
        <f>Nodes!V885+"'E4!&amp;Z("</f>
        <v>#VALUE!</v>
      </c>
      <c r="DP111" s="547" t="e">
        <f>Nodes!W885+"'E4!&amp;Z)"</f>
        <v>#VALUE!</v>
      </c>
      <c r="DQ111" t="e">
        <f>Nodes!X885+"'E4!&amp;Z."</f>
        <v>#VALUE!</v>
      </c>
      <c r="DR111" t="e">
        <f>Nodes!Y885+"'E4!&amp;Z/"</f>
        <v>#VALUE!</v>
      </c>
      <c r="DS111" t="e">
        <f>Nodes!Z885+"'E4!&amp;Z0"</f>
        <v>#VALUE!</v>
      </c>
      <c r="DT111" t="e">
        <f>Nodes!AA885+"'E4!&amp;Z1"</f>
        <v>#VALUE!</v>
      </c>
      <c r="DU111" t="e">
        <f>Nodes!AB885+"'E4!&amp;Z2"</f>
        <v>#VALUE!</v>
      </c>
      <c r="DV111" t="e">
        <f>Nodes!AC885+"'E4!&amp;Z3"</f>
        <v>#VALUE!</v>
      </c>
      <c r="DW111" t="e">
        <f>Nodes!A886+"'E4!&amp;Z4"</f>
        <v>#VALUE!</v>
      </c>
      <c r="DX111" t="e">
        <f>Nodes!B886+"'E4!&amp;Z5"</f>
        <v>#VALUE!</v>
      </c>
      <c r="DY111" t="e">
        <f>Nodes!C886+"'E4!&amp;Z6"</f>
        <v>#VALUE!</v>
      </c>
      <c r="DZ111" t="e">
        <f>Nodes!D886+"'E4!&amp;Z7"</f>
        <v>#VALUE!</v>
      </c>
      <c r="EA111" t="e">
        <f>Nodes!E886+"'E4!&amp;Z8"</f>
        <v>#VALUE!</v>
      </c>
      <c r="EB111" t="e">
        <f>Nodes!F886+"'E4!&amp;Z9"</f>
        <v>#VALUE!</v>
      </c>
      <c r="EC111" t="e">
        <f>Nodes!G886+"'E4!&amp;Z:"</f>
        <v>#VALUE!</v>
      </c>
      <c r="ED111" t="e">
        <f>Nodes!H886+"'E4!&amp;Z;"</f>
        <v>#VALUE!</v>
      </c>
      <c r="EE111" t="e">
        <f>Nodes!I886+"'E4!&amp;Z&lt;"</f>
        <v>#VALUE!</v>
      </c>
      <c r="EF111" t="e">
        <f>Nodes!J886+"'E4!&amp;Z="</f>
        <v>#VALUE!</v>
      </c>
      <c r="EG111" t="e">
        <f>Nodes!K886+"'E4!&amp;Z&gt;"</f>
        <v>#VALUE!</v>
      </c>
      <c r="EH111" t="e">
        <f>Nodes!L886+"'E4!&amp;Z?"</f>
        <v>#VALUE!</v>
      </c>
      <c r="EI111" t="e">
        <f>Nodes!M886+"'E4!&amp;Z@"</f>
        <v>#VALUE!</v>
      </c>
      <c r="EJ111" t="e">
        <f>Nodes!N886+"'E4!&amp;ZA"</f>
        <v>#VALUE!</v>
      </c>
      <c r="EK111" t="e">
        <f>Nodes!O886+"'E4!&amp;ZB"</f>
        <v>#VALUE!</v>
      </c>
      <c r="EL111" t="e">
        <f>Nodes!P886+"'E4!&amp;ZC"</f>
        <v>#VALUE!</v>
      </c>
      <c r="EM111" t="e">
        <f>Nodes!Q886+"'E4!&amp;ZD"</f>
        <v>#VALUE!</v>
      </c>
      <c r="EN111" t="e">
        <f>Nodes!R886+"'E4!&amp;ZE"</f>
        <v>#VALUE!</v>
      </c>
      <c r="EO111" t="e">
        <f>Nodes!S886+"'E4!&amp;ZF"</f>
        <v>#VALUE!</v>
      </c>
      <c r="EP111" s="547" t="e">
        <f>Nodes!T886+"'E4!&amp;ZG"</f>
        <v>#VALUE!</v>
      </c>
      <c r="EQ111" s="548" t="e">
        <f>Nodes!U886+"'E4!&amp;ZH"</f>
        <v>#VALUE!</v>
      </c>
      <c r="ER111" t="e">
        <f>Nodes!V886+"'E4!&amp;ZI"</f>
        <v>#VALUE!</v>
      </c>
      <c r="ES111" s="547" t="e">
        <f>Nodes!W886+"'E4!&amp;ZJ"</f>
        <v>#VALUE!</v>
      </c>
      <c r="ET111" t="e">
        <f>Nodes!X886+"'E4!&amp;ZK"</f>
        <v>#VALUE!</v>
      </c>
      <c r="EU111" t="e">
        <f>Nodes!Y886+"'E4!&amp;ZL"</f>
        <v>#VALUE!</v>
      </c>
      <c r="EV111" t="e">
        <f>Nodes!Z886+"'E4!&amp;ZM"</f>
        <v>#VALUE!</v>
      </c>
      <c r="EW111" t="e">
        <f>Nodes!AA886+"'E4!&amp;ZN"</f>
        <v>#VALUE!</v>
      </c>
      <c r="EX111" t="e">
        <f>Nodes!AB886+"'E4!&amp;ZO"</f>
        <v>#VALUE!</v>
      </c>
      <c r="EY111" t="e">
        <f>Nodes!AC886+"'E4!&amp;ZP"</f>
        <v>#VALUE!</v>
      </c>
      <c r="EZ111" t="e">
        <f>Nodes!A887+"'E4!&amp;ZQ"</f>
        <v>#VALUE!</v>
      </c>
      <c r="FA111" t="e">
        <f>Nodes!B887+"'E4!&amp;ZR"</f>
        <v>#VALUE!</v>
      </c>
      <c r="FB111" t="e">
        <f>Nodes!C887+"'E4!&amp;ZS"</f>
        <v>#VALUE!</v>
      </c>
      <c r="FC111" t="e">
        <f>Nodes!D887+"'E4!&amp;ZT"</f>
        <v>#VALUE!</v>
      </c>
      <c r="FD111" t="e">
        <f>Nodes!E887+"'E4!&amp;ZU"</f>
        <v>#VALUE!</v>
      </c>
      <c r="FE111" t="e">
        <f>Nodes!F887+"'E4!&amp;ZV"</f>
        <v>#VALUE!</v>
      </c>
      <c r="FF111" t="e">
        <f>Nodes!G887+"'E4!&amp;ZW"</f>
        <v>#VALUE!</v>
      </c>
      <c r="FG111" t="e">
        <f>Nodes!H887+"'E4!&amp;ZX"</f>
        <v>#VALUE!</v>
      </c>
      <c r="FH111" t="e">
        <f>Nodes!I887+"'E4!&amp;ZY"</f>
        <v>#VALUE!</v>
      </c>
      <c r="FI111" t="e">
        <f>Nodes!J887+"'E4!&amp;ZZ"</f>
        <v>#VALUE!</v>
      </c>
      <c r="FJ111" t="e">
        <f>Nodes!K887+"'E4!&amp;Z["</f>
        <v>#VALUE!</v>
      </c>
      <c r="FK111" t="e">
        <f>Nodes!L887+"'E4!&amp;Z\"</f>
        <v>#VALUE!</v>
      </c>
      <c r="FL111" t="e">
        <f>Nodes!M887+"'E4!&amp;Z]"</f>
        <v>#VALUE!</v>
      </c>
      <c r="FM111" t="e">
        <f>Nodes!N887+"'E4!&amp;Z^"</f>
        <v>#VALUE!</v>
      </c>
      <c r="FN111" t="e">
        <f>Nodes!O887+"'E4!&amp;Z_"</f>
        <v>#VALUE!</v>
      </c>
      <c r="FO111" t="e">
        <f>Nodes!P887+"'E4!&amp;Z`"</f>
        <v>#VALUE!</v>
      </c>
      <c r="FP111" t="e">
        <f>Nodes!Q887+"'E4!&amp;Za"</f>
        <v>#VALUE!</v>
      </c>
      <c r="FQ111" t="e">
        <f>Nodes!R887+"'E4!&amp;Zb"</f>
        <v>#VALUE!</v>
      </c>
      <c r="FR111" t="e">
        <f>Nodes!S887+"'E4!&amp;Zc"</f>
        <v>#VALUE!</v>
      </c>
      <c r="FS111" s="547" t="e">
        <f>Nodes!T887+"'E4!&amp;Zd"</f>
        <v>#VALUE!</v>
      </c>
      <c r="FT111" s="548" t="e">
        <f>Nodes!U887+"'E4!&amp;Ze"</f>
        <v>#VALUE!</v>
      </c>
      <c r="FU111" t="e">
        <f>Nodes!V887+"'E4!&amp;Zf"</f>
        <v>#VALUE!</v>
      </c>
      <c r="FV111" s="547" t="e">
        <f>Nodes!W887+"'E4!&amp;Zg"</f>
        <v>#VALUE!</v>
      </c>
      <c r="FW111" t="e">
        <f>Nodes!X887+"'E4!&amp;Zh"</f>
        <v>#VALUE!</v>
      </c>
      <c r="FX111" t="e">
        <f>Nodes!Y887+"'E4!&amp;Zi"</f>
        <v>#VALUE!</v>
      </c>
      <c r="FY111" t="e">
        <f>Nodes!Z887+"'E4!&amp;Zj"</f>
        <v>#VALUE!</v>
      </c>
      <c r="FZ111" t="e">
        <f>Nodes!AA887+"'E4!&amp;Zk"</f>
        <v>#VALUE!</v>
      </c>
      <c r="GA111" t="e">
        <f>Nodes!AB887+"'E4!&amp;Zl"</f>
        <v>#VALUE!</v>
      </c>
      <c r="GB111" t="e">
        <f>Nodes!AC887+"'E4!&amp;Zm"</f>
        <v>#VALUE!</v>
      </c>
      <c r="GC111" t="e">
        <f>Nodes!A888+"'E4!&amp;Zn"</f>
        <v>#VALUE!</v>
      </c>
      <c r="GD111" t="e">
        <f>Nodes!B888+"'E4!&amp;Zo"</f>
        <v>#VALUE!</v>
      </c>
      <c r="GE111" t="e">
        <f>Nodes!C888+"'E4!&amp;Zp"</f>
        <v>#VALUE!</v>
      </c>
      <c r="GF111" t="e">
        <f>Nodes!D888+"'E4!&amp;Zq"</f>
        <v>#VALUE!</v>
      </c>
      <c r="GG111" t="e">
        <f>Nodes!E888+"'E4!&amp;Zr"</f>
        <v>#VALUE!</v>
      </c>
      <c r="GH111" t="e">
        <f>Nodes!F888+"'E4!&amp;Zs"</f>
        <v>#VALUE!</v>
      </c>
      <c r="GI111" t="e">
        <f>Nodes!G888+"'E4!&amp;Zt"</f>
        <v>#VALUE!</v>
      </c>
      <c r="GJ111" t="e">
        <f>Nodes!H888+"'E4!&amp;Zu"</f>
        <v>#VALUE!</v>
      </c>
      <c r="GK111" t="e">
        <f>Nodes!I888+"'E4!&amp;Zv"</f>
        <v>#VALUE!</v>
      </c>
      <c r="GL111" t="e">
        <f>Nodes!J888+"'E4!&amp;Zw"</f>
        <v>#VALUE!</v>
      </c>
      <c r="GM111" t="e">
        <f>Nodes!K888+"'E4!&amp;Zx"</f>
        <v>#VALUE!</v>
      </c>
      <c r="GN111" t="e">
        <f>Nodes!L888+"'E4!&amp;Zy"</f>
        <v>#VALUE!</v>
      </c>
      <c r="GO111" t="e">
        <f>Nodes!M888+"'E4!&amp;Zz"</f>
        <v>#VALUE!</v>
      </c>
      <c r="GP111" t="e">
        <f>Nodes!N888+"'E4!&amp;Z{"</f>
        <v>#VALUE!</v>
      </c>
      <c r="GQ111" t="e">
        <f>Nodes!O888+"'E4!&amp;Z|"</f>
        <v>#VALUE!</v>
      </c>
      <c r="GR111" t="e">
        <f>Nodes!P888+"'E4!&amp;Z}"</f>
        <v>#VALUE!</v>
      </c>
      <c r="GS111" t="e">
        <f>Nodes!Q888+"'E4!&amp;Z~"</f>
        <v>#VALUE!</v>
      </c>
      <c r="GT111" t="e">
        <f>Nodes!R888+"'E4!&amp;[#"</f>
        <v>#VALUE!</v>
      </c>
      <c r="GU111" t="e">
        <f>Nodes!S888+"'E4!&amp;[$"</f>
        <v>#VALUE!</v>
      </c>
      <c r="GV111" s="547" t="e">
        <f>Nodes!T888+"'E4!&amp;[%"</f>
        <v>#VALUE!</v>
      </c>
      <c r="GW111" s="548" t="e">
        <f>Nodes!U888+"'E4!&amp;[&amp;"</f>
        <v>#VALUE!</v>
      </c>
      <c r="GX111" t="e">
        <f>Nodes!V888+"'E4!&amp;['"</f>
        <v>#VALUE!</v>
      </c>
      <c r="GY111" s="547" t="e">
        <f>Nodes!W888+"'E4!&amp;[("</f>
        <v>#VALUE!</v>
      </c>
      <c r="GZ111" t="e">
        <f>Nodes!X888+"'E4!&amp;[)"</f>
        <v>#VALUE!</v>
      </c>
      <c r="HA111" t="e">
        <f>Nodes!Y888+"'E4!&amp;[."</f>
        <v>#VALUE!</v>
      </c>
      <c r="HB111" t="e">
        <f>Nodes!Z888+"'E4!&amp;[/"</f>
        <v>#VALUE!</v>
      </c>
      <c r="HC111" t="e">
        <f>Nodes!AA888+"'E4!&amp;[0"</f>
        <v>#VALUE!</v>
      </c>
      <c r="HD111" t="e">
        <f>Nodes!AB888+"'E4!&amp;[1"</f>
        <v>#VALUE!</v>
      </c>
      <c r="HE111" t="e">
        <f>Nodes!AC888+"'E4!&amp;[2"</f>
        <v>#VALUE!</v>
      </c>
      <c r="HF111" t="e">
        <f>Nodes!A889+"'E4!&amp;[3"</f>
        <v>#VALUE!</v>
      </c>
      <c r="HG111" t="e">
        <f>Nodes!B889+"'E4!&amp;[4"</f>
        <v>#VALUE!</v>
      </c>
      <c r="HH111" t="e">
        <f>Nodes!C889+"'E4!&amp;[5"</f>
        <v>#VALUE!</v>
      </c>
      <c r="HI111" t="e">
        <f>Nodes!D889+"'E4!&amp;[6"</f>
        <v>#VALUE!</v>
      </c>
      <c r="HJ111" t="e">
        <f>Nodes!E889+"'E4!&amp;[7"</f>
        <v>#VALUE!</v>
      </c>
      <c r="HK111" t="e">
        <f>Nodes!F889+"'E4!&amp;[8"</f>
        <v>#VALUE!</v>
      </c>
      <c r="HL111" t="e">
        <f>Nodes!G889+"'E4!&amp;[9"</f>
        <v>#VALUE!</v>
      </c>
      <c r="HM111" t="e">
        <f>Nodes!H889+"'E4!&amp;[:"</f>
        <v>#VALUE!</v>
      </c>
      <c r="HN111" t="e">
        <f>Nodes!I889+"'E4!&amp;[;"</f>
        <v>#VALUE!</v>
      </c>
      <c r="HO111" t="e">
        <f>Nodes!J889+"'E4!&amp;[&lt;"</f>
        <v>#VALUE!</v>
      </c>
      <c r="HP111" t="e">
        <f>Nodes!K889+"'E4!&amp;[="</f>
        <v>#VALUE!</v>
      </c>
      <c r="HQ111" t="e">
        <f>Nodes!L889+"'E4!&amp;[&gt;"</f>
        <v>#VALUE!</v>
      </c>
      <c r="HR111" t="e">
        <f>Nodes!M889+"'E4!&amp;[?"</f>
        <v>#VALUE!</v>
      </c>
      <c r="HS111" t="e">
        <f>Nodes!N889+"'E4!&amp;[@"</f>
        <v>#VALUE!</v>
      </c>
      <c r="HT111" t="e">
        <f>Nodes!O889+"'E4!&amp;[A"</f>
        <v>#VALUE!</v>
      </c>
      <c r="HU111" t="e">
        <f>Nodes!P889+"'E4!&amp;[B"</f>
        <v>#VALUE!</v>
      </c>
      <c r="HV111" t="e">
        <f>Nodes!Q889+"'E4!&amp;[C"</f>
        <v>#VALUE!</v>
      </c>
      <c r="HW111" t="e">
        <f>Nodes!R889+"'E4!&amp;[D"</f>
        <v>#VALUE!</v>
      </c>
      <c r="HX111" t="e">
        <f>Nodes!S889+"'E4!&amp;[E"</f>
        <v>#VALUE!</v>
      </c>
      <c r="HY111" s="547" t="e">
        <f>Nodes!T889+"'E4!&amp;[F"</f>
        <v>#VALUE!</v>
      </c>
      <c r="HZ111" s="548" t="e">
        <f>Nodes!U889+"'E4!&amp;[G"</f>
        <v>#VALUE!</v>
      </c>
      <c r="IA111" t="e">
        <f>Nodes!V889+"'E4!&amp;[H"</f>
        <v>#VALUE!</v>
      </c>
      <c r="IB111" s="547" t="e">
        <f>Nodes!W889+"'E4!&amp;[I"</f>
        <v>#VALUE!</v>
      </c>
      <c r="IC111" t="e">
        <f>Nodes!X889+"'E4!&amp;[J"</f>
        <v>#VALUE!</v>
      </c>
      <c r="ID111" t="e">
        <f>Nodes!Y889+"'E4!&amp;[K"</f>
        <v>#VALUE!</v>
      </c>
      <c r="IE111" t="e">
        <f>Nodes!Z889+"'E4!&amp;[L"</f>
        <v>#VALUE!</v>
      </c>
      <c r="IF111" t="e">
        <f>Nodes!AA889+"'E4!&amp;[M"</f>
        <v>#VALUE!</v>
      </c>
      <c r="IG111" t="e">
        <f>Nodes!AB889+"'E4!&amp;[N"</f>
        <v>#VALUE!</v>
      </c>
      <c r="IH111" t="e">
        <f>Nodes!AC889+"'E4!&amp;[O"</f>
        <v>#VALUE!</v>
      </c>
      <c r="II111" t="e">
        <f>Nodes!A890+"'E4!&amp;[P"</f>
        <v>#VALUE!</v>
      </c>
      <c r="IJ111" t="e">
        <f>Nodes!B890+"'E4!&amp;[Q"</f>
        <v>#VALUE!</v>
      </c>
      <c r="IK111" t="e">
        <f>Nodes!C890+"'E4!&amp;[R"</f>
        <v>#VALUE!</v>
      </c>
      <c r="IL111" t="e">
        <f>Nodes!D890+"'E4!&amp;[S"</f>
        <v>#VALUE!</v>
      </c>
      <c r="IM111" t="e">
        <f>Nodes!E890+"'E4!&amp;[T"</f>
        <v>#VALUE!</v>
      </c>
      <c r="IN111" t="e">
        <f>Nodes!F890+"'E4!&amp;[U"</f>
        <v>#VALUE!</v>
      </c>
      <c r="IO111" t="e">
        <f>Nodes!G890+"'E4!&amp;[V"</f>
        <v>#VALUE!</v>
      </c>
      <c r="IP111" t="e">
        <f>Nodes!H890+"'E4!&amp;[W"</f>
        <v>#VALUE!</v>
      </c>
      <c r="IQ111" t="e">
        <f>Nodes!I890+"'E4!&amp;[X"</f>
        <v>#VALUE!</v>
      </c>
      <c r="IR111" t="e">
        <f>Nodes!J890+"'E4!&amp;[Y"</f>
        <v>#VALUE!</v>
      </c>
      <c r="IS111" t="e">
        <f>Nodes!K890+"'E4!&amp;[Z"</f>
        <v>#VALUE!</v>
      </c>
      <c r="IT111" t="e">
        <f>Nodes!L890+"'E4!&amp;[["</f>
        <v>#VALUE!</v>
      </c>
      <c r="IU111" t="e">
        <f>Nodes!M890+"'E4!&amp;[\"</f>
        <v>#VALUE!</v>
      </c>
      <c r="IV111" t="e">
        <f>Nodes!N890+"'E4!&amp;[]"</f>
        <v>#VALUE!</v>
      </c>
    </row>
    <row r="112" spans="6:256">
      <c r="F112" t="e">
        <f>Nodes!O890+"'E4!&amp;[^"</f>
        <v>#VALUE!</v>
      </c>
      <c r="G112" t="e">
        <f>Nodes!P890+"'E4!&amp;[_"</f>
        <v>#VALUE!</v>
      </c>
      <c r="H112" t="e">
        <f>Nodes!Q890+"'E4!&amp;[`"</f>
        <v>#VALUE!</v>
      </c>
      <c r="I112" t="e">
        <f>Nodes!R890+"'E4!&amp;[a"</f>
        <v>#VALUE!</v>
      </c>
      <c r="J112" t="e">
        <f>Nodes!S890+"'E4!&amp;[b"</f>
        <v>#VALUE!</v>
      </c>
      <c r="K112" s="547" t="e">
        <f>Nodes!T890+"'E4!&amp;[c"</f>
        <v>#VALUE!</v>
      </c>
      <c r="L112" s="548" t="e">
        <f>Nodes!U890+"'E4!&amp;[d"</f>
        <v>#VALUE!</v>
      </c>
      <c r="M112" t="e">
        <f>Nodes!V890+"'E4!&amp;[e"</f>
        <v>#VALUE!</v>
      </c>
      <c r="N112" s="547" t="e">
        <f>Nodes!W890+"'E4!&amp;[f"</f>
        <v>#VALUE!</v>
      </c>
      <c r="O112" t="e">
        <f>Nodes!X890+"'E4!&amp;[g"</f>
        <v>#VALUE!</v>
      </c>
      <c r="P112" t="e">
        <f>Nodes!Y890+"'E4!&amp;[h"</f>
        <v>#VALUE!</v>
      </c>
      <c r="Q112" t="e">
        <f>Nodes!Z890+"'E4!&amp;[i"</f>
        <v>#VALUE!</v>
      </c>
      <c r="R112" t="e">
        <f>Nodes!AA890+"'E4!&amp;[j"</f>
        <v>#VALUE!</v>
      </c>
      <c r="S112" t="e">
        <f>Nodes!AB890+"'E4!&amp;[k"</f>
        <v>#VALUE!</v>
      </c>
      <c r="T112" t="e">
        <f>Nodes!AC890+"'E4!&amp;[l"</f>
        <v>#VALUE!</v>
      </c>
      <c r="U112" t="e">
        <f>Nodes!A891+"'E4!&amp;[m"</f>
        <v>#VALUE!</v>
      </c>
      <c r="V112" t="e">
        <f>Nodes!B891+"'E4!&amp;[n"</f>
        <v>#VALUE!</v>
      </c>
      <c r="W112" t="e">
        <f>Nodes!C891+"'E4!&amp;[o"</f>
        <v>#VALUE!</v>
      </c>
      <c r="X112" t="e">
        <f>Nodes!D891+"'E4!&amp;[p"</f>
        <v>#VALUE!</v>
      </c>
      <c r="Y112" t="e">
        <f>Nodes!E891+"'E4!&amp;[q"</f>
        <v>#VALUE!</v>
      </c>
      <c r="Z112" t="e">
        <f>Nodes!F891+"'E4!&amp;[r"</f>
        <v>#VALUE!</v>
      </c>
      <c r="AA112" t="e">
        <f>Nodes!G891+"'E4!&amp;[s"</f>
        <v>#VALUE!</v>
      </c>
      <c r="AB112" t="e">
        <f>Nodes!H891+"'E4!&amp;[t"</f>
        <v>#VALUE!</v>
      </c>
      <c r="AC112" t="e">
        <f>Nodes!I891+"'E4!&amp;[u"</f>
        <v>#VALUE!</v>
      </c>
      <c r="AD112" t="e">
        <f>Nodes!J891+"'E4!&amp;[v"</f>
        <v>#VALUE!</v>
      </c>
      <c r="AE112" t="e">
        <f>Nodes!K891+"'E4!&amp;[w"</f>
        <v>#VALUE!</v>
      </c>
      <c r="AF112" t="e">
        <f>Nodes!L891+"'E4!&amp;[x"</f>
        <v>#VALUE!</v>
      </c>
      <c r="AG112" t="e">
        <f>Nodes!M891+"'E4!&amp;[y"</f>
        <v>#VALUE!</v>
      </c>
      <c r="AH112" t="e">
        <f>Nodes!N891+"'E4!&amp;[z"</f>
        <v>#VALUE!</v>
      </c>
      <c r="AI112" t="e">
        <f>Nodes!O891+"'E4!&amp;[{"</f>
        <v>#VALUE!</v>
      </c>
      <c r="AJ112" t="e">
        <f>Nodes!P891+"'E4!&amp;[|"</f>
        <v>#VALUE!</v>
      </c>
      <c r="AK112" t="e">
        <f>Nodes!Q891+"'E4!&amp;[}"</f>
        <v>#VALUE!</v>
      </c>
      <c r="AL112" t="e">
        <f>Nodes!R891+"'E4!&amp;[~"</f>
        <v>#VALUE!</v>
      </c>
      <c r="AM112" t="e">
        <f>Nodes!S891+"'E4!&amp;\#"</f>
        <v>#VALUE!</v>
      </c>
      <c r="AN112" s="547" t="e">
        <f>Nodes!T891+"'E4!&amp;\$"</f>
        <v>#VALUE!</v>
      </c>
      <c r="AO112" s="548" t="e">
        <f>Nodes!U891+"'E4!&amp;\%"</f>
        <v>#VALUE!</v>
      </c>
      <c r="AP112" t="e">
        <f>Nodes!V891+"'E4!&amp;\&amp;"</f>
        <v>#VALUE!</v>
      </c>
      <c r="AQ112" s="547" t="e">
        <f>Nodes!W891+"'E4!&amp;\'"</f>
        <v>#VALUE!</v>
      </c>
      <c r="AR112" t="e">
        <f>Nodes!X891+"'E4!&amp;\("</f>
        <v>#VALUE!</v>
      </c>
      <c r="AS112" t="e">
        <f>Nodes!Y891+"'E4!&amp;\)"</f>
        <v>#VALUE!</v>
      </c>
      <c r="AT112" t="e">
        <f>Nodes!Z891+"'E4!&amp;\."</f>
        <v>#VALUE!</v>
      </c>
      <c r="AU112" t="e">
        <f>Nodes!AA891+"'E4!&amp;\/"</f>
        <v>#VALUE!</v>
      </c>
      <c r="AV112" t="e">
        <f>Nodes!AB891+"'E4!&amp;\0"</f>
        <v>#VALUE!</v>
      </c>
      <c r="AW112" t="e">
        <f>Nodes!AC891+"'E4!&amp;\1"</f>
        <v>#VALUE!</v>
      </c>
      <c r="AX112" t="e">
        <f>Nodes!A892+"'E4!&amp;\2"</f>
        <v>#VALUE!</v>
      </c>
      <c r="AY112" t="e">
        <f>Nodes!B892+"'E4!&amp;\3"</f>
        <v>#VALUE!</v>
      </c>
      <c r="AZ112" t="e">
        <f>Nodes!C892+"'E4!&amp;\4"</f>
        <v>#VALUE!</v>
      </c>
      <c r="BA112" t="e">
        <f>Nodes!D892+"'E4!&amp;\5"</f>
        <v>#VALUE!</v>
      </c>
      <c r="BB112" t="e">
        <f>Nodes!E892+"'E4!&amp;\6"</f>
        <v>#VALUE!</v>
      </c>
      <c r="BC112" t="e">
        <f>Nodes!F892+"'E4!&amp;\7"</f>
        <v>#VALUE!</v>
      </c>
      <c r="BD112" t="e">
        <f>Nodes!G892+"'E4!&amp;\8"</f>
        <v>#VALUE!</v>
      </c>
      <c r="BE112" t="e">
        <f>Nodes!H892+"'E4!&amp;\9"</f>
        <v>#VALUE!</v>
      </c>
      <c r="BF112" t="e">
        <f>Nodes!I892+"'E4!&amp;\:"</f>
        <v>#VALUE!</v>
      </c>
      <c r="BG112" t="e">
        <f>Nodes!J892+"'E4!&amp;\;"</f>
        <v>#VALUE!</v>
      </c>
      <c r="BH112" t="e">
        <f>Nodes!K892+"'E4!&amp;\&lt;"</f>
        <v>#VALUE!</v>
      </c>
      <c r="BI112" t="e">
        <f>Nodes!L892+"'E4!&amp;\="</f>
        <v>#VALUE!</v>
      </c>
      <c r="BJ112" t="e">
        <f>Nodes!M892+"'E4!&amp;\&gt;"</f>
        <v>#VALUE!</v>
      </c>
      <c r="BK112" t="e">
        <f>Nodes!N892+"'E4!&amp;\?"</f>
        <v>#VALUE!</v>
      </c>
      <c r="BL112" t="e">
        <f>Nodes!O892+"'E4!&amp;\@"</f>
        <v>#VALUE!</v>
      </c>
      <c r="BM112" t="e">
        <f>Nodes!P892+"'E4!&amp;\A"</f>
        <v>#VALUE!</v>
      </c>
      <c r="BN112" t="e">
        <f>Nodes!Q892+"'E4!&amp;\B"</f>
        <v>#VALUE!</v>
      </c>
      <c r="BO112" t="e">
        <f>Nodes!R892+"'E4!&amp;\C"</f>
        <v>#VALUE!</v>
      </c>
      <c r="BP112" t="e">
        <f>Nodes!S892+"'E4!&amp;\D"</f>
        <v>#VALUE!</v>
      </c>
      <c r="BQ112" s="547" t="e">
        <f>Nodes!T892+"'E4!&amp;\E"</f>
        <v>#VALUE!</v>
      </c>
      <c r="BR112" s="548" t="e">
        <f>Nodes!U892+"'E4!&amp;\F"</f>
        <v>#VALUE!</v>
      </c>
      <c r="BS112" t="e">
        <f>Nodes!V892+"'E4!&amp;\G"</f>
        <v>#VALUE!</v>
      </c>
      <c r="BT112" s="547" t="e">
        <f>Nodes!W892+"'E4!&amp;\H"</f>
        <v>#VALUE!</v>
      </c>
      <c r="BU112" t="e">
        <f>Nodes!X892+"'E4!&amp;\I"</f>
        <v>#VALUE!</v>
      </c>
      <c r="BV112" t="e">
        <f>Nodes!Y892+"'E4!&amp;\J"</f>
        <v>#VALUE!</v>
      </c>
      <c r="BW112" t="e">
        <f>Nodes!Z892+"'E4!&amp;\K"</f>
        <v>#VALUE!</v>
      </c>
      <c r="BX112" t="e">
        <f>Nodes!AA892+"'E4!&amp;\L"</f>
        <v>#VALUE!</v>
      </c>
      <c r="BY112" t="e">
        <f>Nodes!AB892+"'E4!&amp;\M"</f>
        <v>#VALUE!</v>
      </c>
      <c r="BZ112" t="e">
        <f>Nodes!AC892+"'E4!&amp;\N"</f>
        <v>#VALUE!</v>
      </c>
      <c r="CA112" t="e">
        <f>Nodes!A893+"'E4!&amp;\O"</f>
        <v>#VALUE!</v>
      </c>
      <c r="CB112" t="e">
        <f>Nodes!B893+"'E4!&amp;\P"</f>
        <v>#VALUE!</v>
      </c>
      <c r="CC112" t="e">
        <f>Nodes!C893+"'E4!&amp;\Q"</f>
        <v>#VALUE!</v>
      </c>
      <c r="CD112" t="e">
        <f>Nodes!D893+"'E4!&amp;\R"</f>
        <v>#VALUE!</v>
      </c>
      <c r="CE112" t="e">
        <f>Nodes!E893+"'E4!&amp;\S"</f>
        <v>#VALUE!</v>
      </c>
      <c r="CF112" t="e">
        <f>Nodes!F893+"'E4!&amp;\T"</f>
        <v>#VALUE!</v>
      </c>
      <c r="CG112" t="e">
        <f>Nodes!G893+"'E4!&amp;\U"</f>
        <v>#VALUE!</v>
      </c>
      <c r="CH112" t="e">
        <f>Nodes!H893+"'E4!&amp;\V"</f>
        <v>#VALUE!</v>
      </c>
      <c r="CI112" t="e">
        <f>Nodes!I893+"'E4!&amp;\W"</f>
        <v>#VALUE!</v>
      </c>
      <c r="CJ112" t="e">
        <f>Nodes!J893+"'E4!&amp;\X"</f>
        <v>#VALUE!</v>
      </c>
      <c r="CK112" t="e">
        <f>Nodes!K893+"'E4!&amp;\Y"</f>
        <v>#VALUE!</v>
      </c>
      <c r="CL112" t="e">
        <f>Nodes!L893+"'E4!&amp;\Z"</f>
        <v>#VALUE!</v>
      </c>
      <c r="CM112" t="e">
        <f>Nodes!M893+"'E4!&amp;\["</f>
        <v>#VALUE!</v>
      </c>
      <c r="CN112" t="e">
        <f>Nodes!N893+"'E4!&amp;\\"</f>
        <v>#VALUE!</v>
      </c>
      <c r="CO112" t="e">
        <f>Nodes!O893+"'E4!&amp;\]"</f>
        <v>#VALUE!</v>
      </c>
      <c r="CP112" t="e">
        <f>Nodes!P893+"'E4!&amp;\^"</f>
        <v>#VALUE!</v>
      </c>
      <c r="CQ112" t="e">
        <f>Nodes!Q893+"'E4!&amp;\_"</f>
        <v>#VALUE!</v>
      </c>
      <c r="CR112" t="e">
        <f>Nodes!R893+"'E4!&amp;\`"</f>
        <v>#VALUE!</v>
      </c>
      <c r="CS112" t="e">
        <f>Nodes!S893+"'E4!&amp;\a"</f>
        <v>#VALUE!</v>
      </c>
      <c r="CT112" s="547" t="e">
        <f>Nodes!T893+"'E4!&amp;\b"</f>
        <v>#VALUE!</v>
      </c>
      <c r="CU112" s="548" t="e">
        <f>Nodes!U893+"'E4!&amp;\c"</f>
        <v>#VALUE!</v>
      </c>
      <c r="CV112" t="e">
        <f>Nodes!V893+"'E4!&amp;\d"</f>
        <v>#VALUE!</v>
      </c>
      <c r="CW112" s="547" t="e">
        <f>Nodes!W893+"'E4!&amp;\e"</f>
        <v>#VALUE!</v>
      </c>
      <c r="CX112" t="e">
        <f>Nodes!X893+"'E4!&amp;\f"</f>
        <v>#VALUE!</v>
      </c>
      <c r="CY112" t="e">
        <f>Nodes!Y893+"'E4!&amp;\g"</f>
        <v>#VALUE!</v>
      </c>
      <c r="CZ112" t="e">
        <f>Nodes!Z893+"'E4!&amp;\h"</f>
        <v>#VALUE!</v>
      </c>
      <c r="DA112" t="e">
        <f>Nodes!AA893+"'E4!&amp;\i"</f>
        <v>#VALUE!</v>
      </c>
      <c r="DB112" t="e">
        <f>Nodes!AB893+"'E4!&amp;\j"</f>
        <v>#VALUE!</v>
      </c>
      <c r="DC112" t="e">
        <f>Nodes!AC893+"'E4!&amp;\k"</f>
        <v>#VALUE!</v>
      </c>
      <c r="DD112" t="e">
        <f>Nodes!A894+"'E4!&amp;\l"</f>
        <v>#VALUE!</v>
      </c>
      <c r="DE112" t="e">
        <f>Nodes!B894+"'E4!&amp;\m"</f>
        <v>#VALUE!</v>
      </c>
      <c r="DF112" t="e">
        <f>Nodes!C894+"'E4!&amp;\n"</f>
        <v>#VALUE!</v>
      </c>
      <c r="DG112" t="e">
        <f>Nodes!D894+"'E4!&amp;\o"</f>
        <v>#VALUE!</v>
      </c>
      <c r="DH112" t="e">
        <f>Nodes!E894+"'E4!&amp;\p"</f>
        <v>#VALUE!</v>
      </c>
      <c r="DI112" t="e">
        <f>Nodes!F894+"'E4!&amp;\q"</f>
        <v>#VALUE!</v>
      </c>
      <c r="DJ112" t="e">
        <f>Nodes!G894+"'E4!&amp;\r"</f>
        <v>#VALUE!</v>
      </c>
      <c r="DK112" t="e">
        <f>Nodes!H894+"'E4!&amp;\s"</f>
        <v>#VALUE!</v>
      </c>
      <c r="DL112" t="e">
        <f>Nodes!I894+"'E4!&amp;\t"</f>
        <v>#VALUE!</v>
      </c>
      <c r="DM112" t="e">
        <f>Nodes!J894+"'E4!&amp;\u"</f>
        <v>#VALUE!</v>
      </c>
      <c r="DN112" t="e">
        <f>Nodes!K894+"'E4!&amp;\v"</f>
        <v>#VALUE!</v>
      </c>
      <c r="DO112" t="e">
        <f>Nodes!L894+"'E4!&amp;\w"</f>
        <v>#VALUE!</v>
      </c>
      <c r="DP112" t="e">
        <f>Nodes!M894+"'E4!&amp;\x"</f>
        <v>#VALUE!</v>
      </c>
      <c r="DQ112" t="e">
        <f>Nodes!N894+"'E4!&amp;\y"</f>
        <v>#VALUE!</v>
      </c>
      <c r="DR112" t="e">
        <f>Nodes!O894+"'E4!&amp;\z"</f>
        <v>#VALUE!</v>
      </c>
      <c r="DS112" t="e">
        <f>Nodes!P894+"'E4!&amp;\{"</f>
        <v>#VALUE!</v>
      </c>
      <c r="DT112" t="e">
        <f>Nodes!Q894+"'E4!&amp;\|"</f>
        <v>#VALUE!</v>
      </c>
      <c r="DU112" t="e">
        <f>Nodes!R894+"'E4!&amp;\}"</f>
        <v>#VALUE!</v>
      </c>
      <c r="DV112" t="e">
        <f>Nodes!S894+"'E4!&amp;\~"</f>
        <v>#VALUE!</v>
      </c>
      <c r="DW112" s="547" t="e">
        <f>Nodes!T894+"'E4!&amp;]#"</f>
        <v>#VALUE!</v>
      </c>
      <c r="DX112" s="548" t="e">
        <f>Nodes!U894+"'E4!&amp;]$"</f>
        <v>#VALUE!</v>
      </c>
      <c r="DY112" t="e">
        <f>Nodes!V894+"'E4!&amp;]%"</f>
        <v>#VALUE!</v>
      </c>
      <c r="DZ112" s="547" t="e">
        <f>Nodes!W894+"'E4!&amp;]&amp;"</f>
        <v>#VALUE!</v>
      </c>
      <c r="EA112" t="e">
        <f>Nodes!X894+"'E4!&amp;]'"</f>
        <v>#VALUE!</v>
      </c>
      <c r="EB112" t="e">
        <f>Nodes!Y894+"'E4!&amp;]("</f>
        <v>#VALUE!</v>
      </c>
      <c r="EC112" t="e">
        <f>Nodes!Z894+"'E4!&amp;])"</f>
        <v>#VALUE!</v>
      </c>
      <c r="ED112" t="e">
        <f>Nodes!AA894+"'E4!&amp;]."</f>
        <v>#VALUE!</v>
      </c>
      <c r="EE112" t="e">
        <f>Nodes!AB894+"'E4!&amp;]/"</f>
        <v>#VALUE!</v>
      </c>
      <c r="EF112" t="e">
        <f>Nodes!AC894+"'E4!&amp;]0"</f>
        <v>#VALUE!</v>
      </c>
      <c r="EG112" t="e">
        <f>Nodes!A895+"'E4!&amp;]1"</f>
        <v>#VALUE!</v>
      </c>
      <c r="EH112" t="e">
        <f>Nodes!B895+"'E4!&amp;]2"</f>
        <v>#VALUE!</v>
      </c>
      <c r="EI112" t="e">
        <f>Nodes!C895+"'E4!&amp;]3"</f>
        <v>#VALUE!</v>
      </c>
      <c r="EJ112" t="e">
        <f>Nodes!D895+"'E4!&amp;]4"</f>
        <v>#VALUE!</v>
      </c>
      <c r="EK112" t="e">
        <f>Nodes!E895+"'E4!&amp;]5"</f>
        <v>#VALUE!</v>
      </c>
      <c r="EL112" t="e">
        <f>Nodes!F895+"'E4!&amp;]6"</f>
        <v>#VALUE!</v>
      </c>
      <c r="EM112" t="e">
        <f>Nodes!G895+"'E4!&amp;]7"</f>
        <v>#VALUE!</v>
      </c>
      <c r="EN112" t="e">
        <f>Nodes!H895+"'E4!&amp;]8"</f>
        <v>#VALUE!</v>
      </c>
      <c r="EO112" t="e">
        <f>Nodes!I895+"'E4!&amp;]9"</f>
        <v>#VALUE!</v>
      </c>
      <c r="EP112" t="e">
        <f>Nodes!J895+"'E4!&amp;]:"</f>
        <v>#VALUE!</v>
      </c>
      <c r="EQ112" t="e">
        <f>Nodes!K895+"'E4!&amp;];"</f>
        <v>#VALUE!</v>
      </c>
      <c r="ER112" t="e">
        <f>Nodes!L895+"'E4!&amp;]&lt;"</f>
        <v>#VALUE!</v>
      </c>
      <c r="ES112" t="e">
        <f>Nodes!M895+"'E4!&amp;]="</f>
        <v>#VALUE!</v>
      </c>
      <c r="ET112" t="e">
        <f>Nodes!N895+"'E4!&amp;]&gt;"</f>
        <v>#VALUE!</v>
      </c>
      <c r="EU112" t="e">
        <f>Nodes!O895+"'E4!&amp;]?"</f>
        <v>#VALUE!</v>
      </c>
      <c r="EV112" t="e">
        <f>Nodes!P895+"'E4!&amp;]@"</f>
        <v>#VALUE!</v>
      </c>
      <c r="EW112" t="e">
        <f>Nodes!Q895+"'E4!&amp;]A"</f>
        <v>#VALUE!</v>
      </c>
      <c r="EX112" t="e">
        <f>Nodes!R895+"'E4!&amp;]B"</f>
        <v>#VALUE!</v>
      </c>
      <c r="EY112" t="e">
        <f>Nodes!S895+"'E4!&amp;]C"</f>
        <v>#VALUE!</v>
      </c>
      <c r="EZ112" s="547" t="e">
        <f>Nodes!T895+"'E4!&amp;]D"</f>
        <v>#VALUE!</v>
      </c>
      <c r="FA112" s="548" t="e">
        <f>Nodes!U895+"'E4!&amp;]E"</f>
        <v>#VALUE!</v>
      </c>
      <c r="FB112" t="e">
        <f>Nodes!V895+"'E4!&amp;]F"</f>
        <v>#VALUE!</v>
      </c>
      <c r="FC112" s="547" t="e">
        <f>Nodes!W895+"'E4!&amp;]G"</f>
        <v>#VALUE!</v>
      </c>
      <c r="FD112" t="e">
        <f>Nodes!X895+"'E4!&amp;]H"</f>
        <v>#VALUE!</v>
      </c>
      <c r="FE112" t="e">
        <f>Nodes!Y895+"'E4!&amp;]I"</f>
        <v>#VALUE!</v>
      </c>
      <c r="FF112" t="e">
        <f>Nodes!Z895+"'E4!&amp;]J"</f>
        <v>#VALUE!</v>
      </c>
      <c r="FG112" t="e">
        <f>Nodes!AA895+"'E4!&amp;]K"</f>
        <v>#VALUE!</v>
      </c>
      <c r="FH112" t="e">
        <f>Nodes!AB895+"'E4!&amp;]L"</f>
        <v>#VALUE!</v>
      </c>
      <c r="FI112" t="e">
        <f>Nodes!AC895+"'E4!&amp;]M"</f>
        <v>#VALUE!</v>
      </c>
      <c r="FJ112" t="e">
        <f>Nodes!A896+"'E4!&amp;]N"</f>
        <v>#VALUE!</v>
      </c>
      <c r="FK112" t="e">
        <f>Nodes!B896+"'E4!&amp;]O"</f>
        <v>#VALUE!</v>
      </c>
      <c r="FL112" t="e">
        <f>Nodes!C896+"'E4!&amp;]P"</f>
        <v>#VALUE!</v>
      </c>
      <c r="FM112" t="e">
        <f>Nodes!D896+"'E4!&amp;]Q"</f>
        <v>#VALUE!</v>
      </c>
      <c r="FN112" t="e">
        <f>Nodes!E896+"'E4!&amp;]R"</f>
        <v>#VALUE!</v>
      </c>
      <c r="FO112" t="e">
        <f>Nodes!F896+"'E4!&amp;]S"</f>
        <v>#VALUE!</v>
      </c>
      <c r="FP112" t="e">
        <f>Nodes!G896+"'E4!&amp;]T"</f>
        <v>#VALUE!</v>
      </c>
      <c r="FQ112" t="e">
        <f>Nodes!H896+"'E4!&amp;]U"</f>
        <v>#VALUE!</v>
      </c>
      <c r="FR112" t="e">
        <f>Nodes!I896+"'E4!&amp;]V"</f>
        <v>#VALUE!</v>
      </c>
      <c r="FS112" t="e">
        <f>Nodes!J896+"'E4!&amp;]W"</f>
        <v>#VALUE!</v>
      </c>
      <c r="FT112" t="e">
        <f>Nodes!K896+"'E4!&amp;]X"</f>
        <v>#VALUE!</v>
      </c>
      <c r="FU112" t="e">
        <f>Nodes!L896+"'E4!&amp;]Y"</f>
        <v>#VALUE!</v>
      </c>
      <c r="FV112" t="e">
        <f>Nodes!M896+"'E4!&amp;]Z"</f>
        <v>#VALUE!</v>
      </c>
      <c r="FW112" t="e">
        <f>Nodes!N896+"'E4!&amp;]["</f>
        <v>#VALUE!</v>
      </c>
      <c r="FX112" t="e">
        <f>Nodes!O896+"'E4!&amp;]\"</f>
        <v>#VALUE!</v>
      </c>
      <c r="FY112" t="e">
        <f>Nodes!P896+"'E4!&amp;]]"</f>
        <v>#VALUE!</v>
      </c>
      <c r="FZ112" t="e">
        <f>Nodes!Q896+"'E4!&amp;]^"</f>
        <v>#VALUE!</v>
      </c>
      <c r="GA112" t="e">
        <f>Nodes!R896+"'E4!&amp;]_"</f>
        <v>#VALUE!</v>
      </c>
      <c r="GB112" t="e">
        <f>Nodes!S896+"'E4!&amp;]`"</f>
        <v>#VALUE!</v>
      </c>
      <c r="GC112" s="547" t="e">
        <f>Nodes!T896+"'E4!&amp;]a"</f>
        <v>#VALUE!</v>
      </c>
      <c r="GD112" s="548" t="e">
        <f>Nodes!U896+"'E4!&amp;]b"</f>
        <v>#VALUE!</v>
      </c>
      <c r="GE112" t="e">
        <f>Nodes!V896+"'E4!&amp;]c"</f>
        <v>#VALUE!</v>
      </c>
      <c r="GF112" s="547" t="e">
        <f>Nodes!W896+"'E4!&amp;]d"</f>
        <v>#VALUE!</v>
      </c>
      <c r="GG112" t="e">
        <f>Nodes!X896+"'E4!&amp;]e"</f>
        <v>#VALUE!</v>
      </c>
      <c r="GH112" t="e">
        <f>Nodes!Y896+"'E4!&amp;]f"</f>
        <v>#VALUE!</v>
      </c>
      <c r="GI112" t="e">
        <f>Nodes!Z896+"'E4!&amp;]g"</f>
        <v>#VALUE!</v>
      </c>
      <c r="GJ112" t="e">
        <f>Nodes!AA896+"'E4!&amp;]h"</f>
        <v>#VALUE!</v>
      </c>
      <c r="GK112" t="e">
        <f>Nodes!AB896+"'E4!&amp;]i"</f>
        <v>#VALUE!</v>
      </c>
      <c r="GL112" t="e">
        <f>Nodes!AC896+"'E4!&amp;]j"</f>
        <v>#VALUE!</v>
      </c>
      <c r="GM112" t="e">
        <f>Nodes!A897+"'E4!&amp;]k"</f>
        <v>#VALUE!</v>
      </c>
      <c r="GN112" t="e">
        <f>Nodes!B897+"'E4!&amp;]l"</f>
        <v>#VALUE!</v>
      </c>
      <c r="GO112" t="e">
        <f>Nodes!C897+"'E4!&amp;]m"</f>
        <v>#VALUE!</v>
      </c>
      <c r="GP112" t="e">
        <f>Nodes!D897+"'E4!&amp;]n"</f>
        <v>#VALUE!</v>
      </c>
      <c r="GQ112" t="e">
        <f>Nodes!E897+"'E4!&amp;]o"</f>
        <v>#VALUE!</v>
      </c>
      <c r="GR112" t="e">
        <f>Nodes!F897+"'E4!&amp;]p"</f>
        <v>#VALUE!</v>
      </c>
      <c r="GS112" t="e">
        <f>Nodes!G897+"'E4!&amp;]q"</f>
        <v>#VALUE!</v>
      </c>
      <c r="GT112" t="e">
        <f>Nodes!H897+"'E4!&amp;]r"</f>
        <v>#VALUE!</v>
      </c>
      <c r="GU112" t="e">
        <f>Nodes!I897+"'E4!&amp;]s"</f>
        <v>#VALUE!</v>
      </c>
      <c r="GV112" t="e">
        <f>Nodes!J897+"'E4!&amp;]t"</f>
        <v>#VALUE!</v>
      </c>
      <c r="GW112" t="e">
        <f>Nodes!K897+"'E4!&amp;]u"</f>
        <v>#VALUE!</v>
      </c>
      <c r="GX112" t="e">
        <f>Nodes!L897+"'E4!&amp;]v"</f>
        <v>#VALUE!</v>
      </c>
      <c r="GY112" t="e">
        <f>Nodes!M897+"'E4!&amp;]w"</f>
        <v>#VALUE!</v>
      </c>
      <c r="GZ112" t="e">
        <f>Nodes!N897+"'E4!&amp;]x"</f>
        <v>#VALUE!</v>
      </c>
      <c r="HA112" t="e">
        <f>Nodes!O897+"'E4!&amp;]y"</f>
        <v>#VALUE!</v>
      </c>
      <c r="HB112" t="e">
        <f>Nodes!P897+"'E4!&amp;]z"</f>
        <v>#VALUE!</v>
      </c>
      <c r="HC112" t="e">
        <f>Nodes!Q897+"'E4!&amp;]{"</f>
        <v>#VALUE!</v>
      </c>
      <c r="HD112" t="e">
        <f>Nodes!R897+"'E4!&amp;]|"</f>
        <v>#VALUE!</v>
      </c>
      <c r="HE112" t="e">
        <f>Nodes!S897+"'E4!&amp;]}"</f>
        <v>#VALUE!</v>
      </c>
      <c r="HF112" s="547" t="e">
        <f>Nodes!T897+"'E4!&amp;]~"</f>
        <v>#VALUE!</v>
      </c>
      <c r="HG112" s="548" t="e">
        <f>Nodes!U897+"'E4!&amp;^#"</f>
        <v>#VALUE!</v>
      </c>
      <c r="HH112" t="e">
        <f>Nodes!V897+"'E4!&amp;^$"</f>
        <v>#VALUE!</v>
      </c>
      <c r="HI112" s="547" t="e">
        <f>Nodes!W897+"'E4!&amp;^%"</f>
        <v>#VALUE!</v>
      </c>
      <c r="HJ112" t="e">
        <f>Nodes!X897+"'E4!&amp;^&amp;"</f>
        <v>#VALUE!</v>
      </c>
      <c r="HK112" t="e">
        <f>Nodes!Y897+"'E4!&amp;^'"</f>
        <v>#VALUE!</v>
      </c>
      <c r="HL112" t="e">
        <f>Nodes!Z897+"'E4!&amp;^("</f>
        <v>#VALUE!</v>
      </c>
      <c r="HM112" t="e">
        <f>Nodes!AA897+"'E4!&amp;^)"</f>
        <v>#VALUE!</v>
      </c>
      <c r="HN112" t="e">
        <f>Nodes!AB897+"'E4!&amp;^."</f>
        <v>#VALUE!</v>
      </c>
      <c r="HO112" t="e">
        <f>Nodes!AC897+"'E4!&amp;^/"</f>
        <v>#VALUE!</v>
      </c>
      <c r="HP112" t="e">
        <f>Nodes!A898+"'E4!&amp;^0"</f>
        <v>#VALUE!</v>
      </c>
      <c r="HQ112" t="e">
        <f>Nodes!B898+"'E4!&amp;^1"</f>
        <v>#VALUE!</v>
      </c>
      <c r="HR112" t="e">
        <f>Nodes!C898+"'E4!&amp;^2"</f>
        <v>#VALUE!</v>
      </c>
      <c r="HS112" t="e">
        <f>Nodes!D898+"'E4!&amp;^3"</f>
        <v>#VALUE!</v>
      </c>
      <c r="HT112" t="e">
        <f>Nodes!E898+"'E4!&amp;^4"</f>
        <v>#VALUE!</v>
      </c>
      <c r="HU112" t="e">
        <f>Nodes!F898+"'E4!&amp;^5"</f>
        <v>#VALUE!</v>
      </c>
      <c r="HV112" t="e">
        <f>Nodes!G898+"'E4!&amp;^6"</f>
        <v>#VALUE!</v>
      </c>
      <c r="HW112" t="e">
        <f>Nodes!H898+"'E4!&amp;^7"</f>
        <v>#VALUE!</v>
      </c>
      <c r="HX112" t="e">
        <f>Nodes!I898+"'E4!&amp;^8"</f>
        <v>#VALUE!</v>
      </c>
      <c r="HY112" t="e">
        <f>Nodes!J898+"'E4!&amp;^9"</f>
        <v>#VALUE!</v>
      </c>
      <c r="HZ112" t="e">
        <f>Nodes!K898+"'E4!&amp;^:"</f>
        <v>#VALUE!</v>
      </c>
      <c r="IA112" t="e">
        <f>Nodes!L898+"'E4!&amp;^;"</f>
        <v>#VALUE!</v>
      </c>
      <c r="IB112" t="e">
        <f>Nodes!M898+"'E4!&amp;^&lt;"</f>
        <v>#VALUE!</v>
      </c>
      <c r="IC112" t="e">
        <f>Nodes!N898+"'E4!&amp;^="</f>
        <v>#VALUE!</v>
      </c>
      <c r="ID112" t="e">
        <f>Nodes!O898+"'E4!&amp;^&gt;"</f>
        <v>#VALUE!</v>
      </c>
      <c r="IE112" t="e">
        <f>Nodes!P898+"'E4!&amp;^?"</f>
        <v>#VALUE!</v>
      </c>
      <c r="IF112" t="e">
        <f>Nodes!Q898+"'E4!&amp;^@"</f>
        <v>#VALUE!</v>
      </c>
      <c r="IG112" t="e">
        <f>Nodes!R898+"'E4!&amp;^A"</f>
        <v>#VALUE!</v>
      </c>
      <c r="IH112" t="e">
        <f>Nodes!S898+"'E4!&amp;^B"</f>
        <v>#VALUE!</v>
      </c>
      <c r="II112" s="547" t="e">
        <f>Nodes!T898+"'E4!&amp;^C"</f>
        <v>#VALUE!</v>
      </c>
      <c r="IJ112" s="548" t="e">
        <f>Nodes!U898+"'E4!&amp;^D"</f>
        <v>#VALUE!</v>
      </c>
      <c r="IK112" t="e">
        <f>Nodes!V898+"'E4!&amp;^E"</f>
        <v>#VALUE!</v>
      </c>
      <c r="IL112" s="547" t="e">
        <f>Nodes!W898+"'E4!&amp;^F"</f>
        <v>#VALUE!</v>
      </c>
      <c r="IM112" t="e">
        <f>Nodes!X898+"'E4!&amp;^G"</f>
        <v>#VALUE!</v>
      </c>
      <c r="IN112" t="e">
        <f>Nodes!Y898+"'E4!&amp;^H"</f>
        <v>#VALUE!</v>
      </c>
      <c r="IO112" t="e">
        <f>Nodes!Z898+"'E4!&amp;^I"</f>
        <v>#VALUE!</v>
      </c>
      <c r="IP112" t="e">
        <f>Nodes!AA898+"'E4!&amp;^J"</f>
        <v>#VALUE!</v>
      </c>
      <c r="IQ112" t="e">
        <f>Nodes!AB898+"'E4!&amp;^K"</f>
        <v>#VALUE!</v>
      </c>
      <c r="IR112" t="e">
        <f>Nodes!AC898+"'E4!&amp;^L"</f>
        <v>#VALUE!</v>
      </c>
      <c r="IS112" t="e">
        <f>Nodes!A899+"'E4!&amp;^M"</f>
        <v>#VALUE!</v>
      </c>
      <c r="IT112" t="e">
        <f>Nodes!B899+"'E4!&amp;^N"</f>
        <v>#VALUE!</v>
      </c>
      <c r="IU112" t="e">
        <f>Nodes!C899+"'E4!&amp;^O"</f>
        <v>#VALUE!</v>
      </c>
      <c r="IV112" t="e">
        <f>Nodes!D899+"'E4!&amp;^P"</f>
        <v>#VALUE!</v>
      </c>
    </row>
    <row r="113" spans="6:256">
      <c r="F113" t="e">
        <f>Nodes!E899+"'E4!&amp;^Q"</f>
        <v>#VALUE!</v>
      </c>
      <c r="G113" t="e">
        <f>Nodes!F899+"'E4!&amp;^R"</f>
        <v>#VALUE!</v>
      </c>
      <c r="H113" t="e">
        <f>Nodes!G899+"'E4!&amp;^S"</f>
        <v>#VALUE!</v>
      </c>
      <c r="I113" t="e">
        <f>Nodes!H899+"'E4!&amp;^T"</f>
        <v>#VALUE!</v>
      </c>
      <c r="J113" t="e">
        <f>Nodes!I899+"'E4!&amp;^U"</f>
        <v>#VALUE!</v>
      </c>
      <c r="K113" t="e">
        <f>Nodes!J899+"'E4!&amp;^V"</f>
        <v>#VALUE!</v>
      </c>
      <c r="L113" t="e">
        <f>Nodes!K899+"'E4!&amp;^W"</f>
        <v>#VALUE!</v>
      </c>
      <c r="M113" t="e">
        <f>Nodes!L899+"'E4!&amp;^X"</f>
        <v>#VALUE!</v>
      </c>
      <c r="N113" t="e">
        <f>Nodes!M899+"'E4!&amp;^Y"</f>
        <v>#VALUE!</v>
      </c>
      <c r="O113" t="e">
        <f>Nodes!N899+"'E4!&amp;^Z"</f>
        <v>#VALUE!</v>
      </c>
      <c r="P113" t="e">
        <f>Nodes!O899+"'E4!&amp;^["</f>
        <v>#VALUE!</v>
      </c>
      <c r="Q113" t="e">
        <f>Nodes!P899+"'E4!&amp;^\"</f>
        <v>#VALUE!</v>
      </c>
      <c r="R113" t="e">
        <f>Nodes!Q899+"'E4!&amp;^]"</f>
        <v>#VALUE!</v>
      </c>
      <c r="S113" t="e">
        <f>Nodes!R899+"'E4!&amp;^^"</f>
        <v>#VALUE!</v>
      </c>
      <c r="T113" t="e">
        <f>Nodes!S899+"'E4!&amp;^_"</f>
        <v>#VALUE!</v>
      </c>
      <c r="U113" s="547" t="e">
        <f>Nodes!T899+"'E4!&amp;^`"</f>
        <v>#VALUE!</v>
      </c>
      <c r="V113" s="548" t="e">
        <f>Nodes!U899+"'E4!&amp;^a"</f>
        <v>#VALUE!</v>
      </c>
      <c r="W113" t="e">
        <f>Nodes!V899+"'E4!&amp;^b"</f>
        <v>#VALUE!</v>
      </c>
      <c r="X113" s="547" t="e">
        <f>Nodes!W899+"'E4!&amp;^c"</f>
        <v>#VALUE!</v>
      </c>
      <c r="Y113" t="e">
        <f>Nodes!X899+"'E4!&amp;^d"</f>
        <v>#VALUE!</v>
      </c>
      <c r="Z113" t="e">
        <f>Nodes!Y899+"'E4!&amp;^e"</f>
        <v>#VALUE!</v>
      </c>
      <c r="AA113" t="e">
        <f>Nodes!Z899+"'E4!&amp;^f"</f>
        <v>#VALUE!</v>
      </c>
      <c r="AB113" t="e">
        <f>Nodes!AA899+"'E4!&amp;^g"</f>
        <v>#VALUE!</v>
      </c>
      <c r="AC113" t="e">
        <f>Nodes!AB899+"'E4!&amp;^h"</f>
        <v>#VALUE!</v>
      </c>
      <c r="AD113" t="e">
        <f>Nodes!AC899+"'E4!&amp;^i"</f>
        <v>#VALUE!</v>
      </c>
      <c r="AE113" t="e">
        <f>Nodes!A900+"'E4!&amp;^j"</f>
        <v>#VALUE!</v>
      </c>
      <c r="AF113" t="e">
        <f>Nodes!B900+"'E4!&amp;^k"</f>
        <v>#VALUE!</v>
      </c>
      <c r="AG113" t="e">
        <f>Nodes!C900+"'E4!&amp;^l"</f>
        <v>#VALUE!</v>
      </c>
      <c r="AH113" t="e">
        <f>Nodes!D900+"'E4!&amp;^m"</f>
        <v>#VALUE!</v>
      </c>
      <c r="AI113" t="e">
        <f>Nodes!E900+"'E4!&amp;^n"</f>
        <v>#VALUE!</v>
      </c>
      <c r="AJ113" t="e">
        <f>Nodes!F900+"'E4!&amp;^o"</f>
        <v>#VALUE!</v>
      </c>
      <c r="AK113" t="e">
        <f>Nodes!G900+"'E4!&amp;^p"</f>
        <v>#VALUE!</v>
      </c>
      <c r="AL113" t="e">
        <f>Nodes!H900+"'E4!&amp;^q"</f>
        <v>#VALUE!</v>
      </c>
      <c r="AM113" t="e">
        <f>Nodes!I900+"'E4!&amp;^r"</f>
        <v>#VALUE!</v>
      </c>
      <c r="AN113" t="e">
        <f>Nodes!J900+"'E4!&amp;^s"</f>
        <v>#VALUE!</v>
      </c>
      <c r="AO113" t="e">
        <f>Nodes!K900+"'E4!&amp;^t"</f>
        <v>#VALUE!</v>
      </c>
      <c r="AP113" t="e">
        <f>Nodes!L900+"'E4!&amp;^u"</f>
        <v>#VALUE!</v>
      </c>
      <c r="AQ113" t="e">
        <f>Nodes!M900+"'E4!&amp;^v"</f>
        <v>#VALUE!</v>
      </c>
      <c r="AR113" t="e">
        <f>Nodes!N900+"'E4!&amp;^w"</f>
        <v>#VALUE!</v>
      </c>
      <c r="AS113" t="e">
        <f>Nodes!O900+"'E4!&amp;^x"</f>
        <v>#VALUE!</v>
      </c>
      <c r="AT113" t="e">
        <f>Nodes!P900+"'E4!&amp;^y"</f>
        <v>#VALUE!</v>
      </c>
      <c r="AU113" t="e">
        <f>Nodes!Q900+"'E4!&amp;^z"</f>
        <v>#VALUE!</v>
      </c>
      <c r="AV113" t="e">
        <f>Nodes!R900+"'E4!&amp;^{"</f>
        <v>#VALUE!</v>
      </c>
      <c r="AW113" t="e">
        <f>Nodes!S900+"'E4!&amp;^|"</f>
        <v>#VALUE!</v>
      </c>
      <c r="AX113" s="547" t="e">
        <f>Nodes!T900+"'E4!&amp;^}"</f>
        <v>#VALUE!</v>
      </c>
      <c r="AY113" s="548" t="e">
        <f>Nodes!U900+"'E4!&amp;^~"</f>
        <v>#VALUE!</v>
      </c>
      <c r="AZ113" t="e">
        <f>Nodes!V900+"'E4!&amp;_#"</f>
        <v>#VALUE!</v>
      </c>
      <c r="BA113" s="547" t="e">
        <f>Nodes!W900+"'E4!&amp;_$"</f>
        <v>#VALUE!</v>
      </c>
      <c r="BB113" t="e">
        <f>Nodes!X900+"'E4!&amp;_%"</f>
        <v>#VALUE!</v>
      </c>
      <c r="BC113" t="e">
        <f>Nodes!Y900+"'E4!&amp;_&amp;"</f>
        <v>#VALUE!</v>
      </c>
      <c r="BD113" t="e">
        <f>Nodes!Z900+"'E4!&amp;_'"</f>
        <v>#VALUE!</v>
      </c>
      <c r="BE113" t="e">
        <f>Nodes!AA900+"'E4!&amp;_("</f>
        <v>#VALUE!</v>
      </c>
      <c r="BF113" t="e">
        <f>Nodes!AB900+"'E4!&amp;_)"</f>
        <v>#VALUE!</v>
      </c>
      <c r="BG113" t="e">
        <f>Nodes!AC900+"'E4!&amp;_."</f>
        <v>#VALUE!</v>
      </c>
      <c r="BH113" t="e">
        <f>Nodes!A901+"'E4!&amp;_/"</f>
        <v>#VALUE!</v>
      </c>
      <c r="BI113" t="e">
        <f>Nodes!B901+"'E4!&amp;_0"</f>
        <v>#VALUE!</v>
      </c>
      <c r="BJ113" t="e">
        <f>Nodes!C901+"'E4!&amp;_1"</f>
        <v>#VALUE!</v>
      </c>
      <c r="BK113" t="e">
        <f>Nodes!D901+"'E4!&amp;_2"</f>
        <v>#VALUE!</v>
      </c>
      <c r="BL113" t="e">
        <f>Nodes!E901+"'E4!&amp;_3"</f>
        <v>#VALUE!</v>
      </c>
      <c r="BM113" t="e">
        <f>Nodes!F901+"'E4!&amp;_4"</f>
        <v>#VALUE!</v>
      </c>
      <c r="BN113" t="e">
        <f>Nodes!G901+"'E4!&amp;_5"</f>
        <v>#VALUE!</v>
      </c>
      <c r="BO113" t="e">
        <f>Nodes!H901+"'E4!&amp;_6"</f>
        <v>#VALUE!</v>
      </c>
      <c r="BP113" t="e">
        <f>Nodes!I901+"'E4!&amp;_7"</f>
        <v>#VALUE!</v>
      </c>
      <c r="BQ113" t="e">
        <f>Nodes!J901+"'E4!&amp;_8"</f>
        <v>#VALUE!</v>
      </c>
      <c r="BR113" t="e">
        <f>Nodes!K901+"'E4!&amp;_9"</f>
        <v>#VALUE!</v>
      </c>
      <c r="BS113" t="e">
        <f>Nodes!L901+"'E4!&amp;_:"</f>
        <v>#VALUE!</v>
      </c>
      <c r="BT113" t="e">
        <f>Nodes!M901+"'E4!&amp;_;"</f>
        <v>#VALUE!</v>
      </c>
      <c r="BU113" t="e">
        <f>Nodes!N901+"'E4!&amp;_&lt;"</f>
        <v>#VALUE!</v>
      </c>
      <c r="BV113" t="e">
        <f>Nodes!O901+"'E4!&amp;_="</f>
        <v>#VALUE!</v>
      </c>
      <c r="BW113" t="e">
        <f>Nodes!P901+"'E4!&amp;_&gt;"</f>
        <v>#VALUE!</v>
      </c>
      <c r="BX113" t="e">
        <f>Nodes!Q901+"'E4!&amp;_?"</f>
        <v>#VALUE!</v>
      </c>
      <c r="BY113" t="e">
        <f>Nodes!R901+"'E4!&amp;_@"</f>
        <v>#VALUE!</v>
      </c>
      <c r="BZ113" t="e">
        <f>Nodes!S901+"'E4!&amp;_A"</f>
        <v>#VALUE!</v>
      </c>
      <c r="CA113" s="547" t="e">
        <f>Nodes!T901+"'E4!&amp;_B"</f>
        <v>#VALUE!</v>
      </c>
      <c r="CB113" s="548" t="e">
        <f>Nodes!U901+"'E4!&amp;_C"</f>
        <v>#VALUE!</v>
      </c>
      <c r="CC113" t="e">
        <f>Nodes!V901+"'E4!&amp;_D"</f>
        <v>#VALUE!</v>
      </c>
      <c r="CD113" s="547" t="e">
        <f>Nodes!W901+"'E4!&amp;_E"</f>
        <v>#VALUE!</v>
      </c>
      <c r="CE113" t="e">
        <f>Nodes!X901+"'E4!&amp;_F"</f>
        <v>#VALUE!</v>
      </c>
      <c r="CF113" t="e">
        <f>Nodes!Y901+"'E4!&amp;_G"</f>
        <v>#VALUE!</v>
      </c>
      <c r="CG113" t="e">
        <f>Nodes!Z901+"'E4!&amp;_H"</f>
        <v>#VALUE!</v>
      </c>
      <c r="CH113" t="e">
        <f>Nodes!AA901+"'E4!&amp;_I"</f>
        <v>#VALUE!</v>
      </c>
      <c r="CI113" t="e">
        <f>Nodes!AB901+"'E4!&amp;_J"</f>
        <v>#VALUE!</v>
      </c>
      <c r="CJ113" t="e">
        <f>Nodes!AC901+"'E4!&amp;_K"</f>
        <v>#VALUE!</v>
      </c>
      <c r="CK113" t="e">
        <f>Nodes!A902+"'E4!&amp;_L"</f>
        <v>#VALUE!</v>
      </c>
      <c r="CL113" t="e">
        <f>Nodes!B902+"'E4!&amp;_M"</f>
        <v>#VALUE!</v>
      </c>
      <c r="CM113" t="e">
        <f>Nodes!C902+"'E4!&amp;_N"</f>
        <v>#VALUE!</v>
      </c>
      <c r="CN113" t="e">
        <f>Nodes!D902+"'E4!&amp;_O"</f>
        <v>#VALUE!</v>
      </c>
      <c r="CO113" t="e">
        <f>Nodes!E902+"'E4!&amp;_P"</f>
        <v>#VALUE!</v>
      </c>
      <c r="CP113" t="e">
        <f>Nodes!F902+"'E4!&amp;_Q"</f>
        <v>#VALUE!</v>
      </c>
      <c r="CQ113" t="e">
        <f>Nodes!G902+"'E4!&amp;_R"</f>
        <v>#VALUE!</v>
      </c>
      <c r="CR113" t="e">
        <f>Nodes!H902+"'E4!&amp;_S"</f>
        <v>#VALUE!</v>
      </c>
      <c r="CS113" t="e">
        <f>Nodes!I902+"'E4!&amp;_T"</f>
        <v>#VALUE!</v>
      </c>
      <c r="CT113" t="e">
        <f>Nodes!J902+"'E4!&amp;_U"</f>
        <v>#VALUE!</v>
      </c>
      <c r="CU113" t="e">
        <f>Nodes!K902+"'E4!&amp;_V"</f>
        <v>#VALUE!</v>
      </c>
      <c r="CV113" t="e">
        <f>Nodes!L902+"'E4!&amp;_W"</f>
        <v>#VALUE!</v>
      </c>
      <c r="CW113" t="e">
        <f>Nodes!M902+"'E4!&amp;_X"</f>
        <v>#VALUE!</v>
      </c>
      <c r="CX113" t="e">
        <f>Nodes!N902+"'E4!&amp;_Y"</f>
        <v>#VALUE!</v>
      </c>
      <c r="CY113" t="e">
        <f>Nodes!O902+"'E4!&amp;_Z"</f>
        <v>#VALUE!</v>
      </c>
      <c r="CZ113" t="e">
        <f>Nodes!P902+"'E4!&amp;_["</f>
        <v>#VALUE!</v>
      </c>
      <c r="DA113" t="e">
        <f>Nodes!Q902+"'E4!&amp;_\"</f>
        <v>#VALUE!</v>
      </c>
      <c r="DB113" t="e">
        <f>Nodes!R902+"'E4!&amp;_]"</f>
        <v>#VALUE!</v>
      </c>
      <c r="DC113" t="e">
        <f>Nodes!S902+"'E4!&amp;_^"</f>
        <v>#VALUE!</v>
      </c>
      <c r="DD113" s="547" t="e">
        <f>Nodes!T902+"'E4!&amp;__"</f>
        <v>#VALUE!</v>
      </c>
      <c r="DE113" s="548" t="e">
        <f>Nodes!U902+"'E4!&amp;_`"</f>
        <v>#VALUE!</v>
      </c>
      <c r="DF113" t="e">
        <f>Nodes!V902+"'E4!&amp;_a"</f>
        <v>#VALUE!</v>
      </c>
      <c r="DG113" s="547" t="e">
        <f>Nodes!W902+"'E4!&amp;_b"</f>
        <v>#VALUE!</v>
      </c>
      <c r="DH113" t="e">
        <f>Nodes!X902+"'E4!&amp;_c"</f>
        <v>#VALUE!</v>
      </c>
      <c r="DI113" t="e">
        <f>Nodes!Y902+"'E4!&amp;_d"</f>
        <v>#VALUE!</v>
      </c>
      <c r="DJ113" t="e">
        <f>Nodes!Z902+"'E4!&amp;_e"</f>
        <v>#VALUE!</v>
      </c>
      <c r="DK113" t="e">
        <f>Nodes!AA902+"'E4!&amp;_f"</f>
        <v>#VALUE!</v>
      </c>
      <c r="DL113" t="e">
        <f>Nodes!AB902+"'E4!&amp;_g"</f>
        <v>#VALUE!</v>
      </c>
      <c r="DM113" t="e">
        <f>Nodes!AC902+"'E4!&amp;_h"</f>
        <v>#VALUE!</v>
      </c>
      <c r="DN113" t="e">
        <f>Nodes!A903+"'E4!&amp;_i"</f>
        <v>#VALUE!</v>
      </c>
      <c r="DO113" t="e">
        <f>Nodes!B903+"'E4!&amp;_j"</f>
        <v>#VALUE!</v>
      </c>
      <c r="DP113" t="e">
        <f>Nodes!C903+"'E4!&amp;_k"</f>
        <v>#VALUE!</v>
      </c>
      <c r="DQ113" t="e">
        <f>Nodes!D903+"'E4!&amp;_l"</f>
        <v>#VALUE!</v>
      </c>
      <c r="DR113" t="e">
        <f>Nodes!E903+"'E4!&amp;_m"</f>
        <v>#VALUE!</v>
      </c>
      <c r="DS113" t="e">
        <f>Nodes!F903+"'E4!&amp;_n"</f>
        <v>#VALUE!</v>
      </c>
      <c r="DT113" t="e">
        <f>Nodes!G903+"'E4!&amp;_o"</f>
        <v>#VALUE!</v>
      </c>
      <c r="DU113" t="e">
        <f>Nodes!H903+"'E4!&amp;_p"</f>
        <v>#VALUE!</v>
      </c>
      <c r="DV113" t="e">
        <f>Nodes!I903+"'E4!&amp;_q"</f>
        <v>#VALUE!</v>
      </c>
      <c r="DW113" t="e">
        <f>Nodes!J903+"'E4!&amp;_r"</f>
        <v>#VALUE!</v>
      </c>
      <c r="DX113" t="e">
        <f>Nodes!K903+"'E4!&amp;_s"</f>
        <v>#VALUE!</v>
      </c>
      <c r="DY113" t="e">
        <f>Nodes!L903+"'E4!&amp;_t"</f>
        <v>#VALUE!</v>
      </c>
      <c r="DZ113" t="e">
        <f>Nodes!M903+"'E4!&amp;_u"</f>
        <v>#VALUE!</v>
      </c>
      <c r="EA113" t="e">
        <f>Nodes!N903+"'E4!&amp;_v"</f>
        <v>#VALUE!</v>
      </c>
      <c r="EB113" t="e">
        <f>Nodes!O903+"'E4!&amp;_w"</f>
        <v>#VALUE!</v>
      </c>
      <c r="EC113" t="e">
        <f>Nodes!P903+"'E4!&amp;_x"</f>
        <v>#VALUE!</v>
      </c>
      <c r="ED113" t="e">
        <f>Nodes!Q903+"'E4!&amp;_y"</f>
        <v>#VALUE!</v>
      </c>
      <c r="EE113" t="e">
        <f>Nodes!R903+"'E4!&amp;_z"</f>
        <v>#VALUE!</v>
      </c>
      <c r="EF113" t="e">
        <f>Nodes!S903+"'E4!&amp;_{"</f>
        <v>#VALUE!</v>
      </c>
      <c r="EG113" s="547" t="e">
        <f>Nodes!T903+"'E4!&amp;_|"</f>
        <v>#VALUE!</v>
      </c>
      <c r="EH113" s="548" t="e">
        <f>Nodes!U903+"'E4!&amp;_}"</f>
        <v>#VALUE!</v>
      </c>
      <c r="EI113" t="e">
        <f>Nodes!V903+"'E4!&amp;_~"</f>
        <v>#VALUE!</v>
      </c>
      <c r="EJ113" s="547" t="e">
        <f>Nodes!W903+"'E4!&amp;`#"</f>
        <v>#VALUE!</v>
      </c>
      <c r="EK113" t="e">
        <f>Nodes!X903+"'E4!&amp;`$"</f>
        <v>#VALUE!</v>
      </c>
      <c r="EL113" t="e">
        <f>Nodes!Y903+"'E4!&amp;`%"</f>
        <v>#VALUE!</v>
      </c>
      <c r="EM113" t="e">
        <f>Nodes!Z903+"'E4!&amp;`&amp;"</f>
        <v>#VALUE!</v>
      </c>
      <c r="EN113" t="e">
        <f>Nodes!AA903+"'E4!&amp;`'"</f>
        <v>#VALUE!</v>
      </c>
      <c r="EO113" t="e">
        <f>Nodes!AB903+"'E4!&amp;`("</f>
        <v>#VALUE!</v>
      </c>
      <c r="EP113" t="e">
        <f>Nodes!AC903+"'E4!&amp;`)"</f>
        <v>#VALUE!</v>
      </c>
      <c r="EQ113" t="e">
        <f>Nodes!A904+"'E4!&amp;`."</f>
        <v>#VALUE!</v>
      </c>
      <c r="ER113" t="e">
        <f>Nodes!B904+"'E4!&amp;`/"</f>
        <v>#VALUE!</v>
      </c>
      <c r="ES113" t="e">
        <f>Nodes!C904+"'E4!&amp;`0"</f>
        <v>#VALUE!</v>
      </c>
      <c r="ET113" t="e">
        <f>Nodes!D904+"'E4!&amp;`1"</f>
        <v>#VALUE!</v>
      </c>
      <c r="EU113" t="e">
        <f>Nodes!E904+"'E4!&amp;`2"</f>
        <v>#VALUE!</v>
      </c>
      <c r="EV113" t="e">
        <f>Nodes!F904+"'E4!&amp;`3"</f>
        <v>#VALUE!</v>
      </c>
      <c r="EW113" t="e">
        <f>Nodes!G904+"'E4!&amp;`4"</f>
        <v>#VALUE!</v>
      </c>
      <c r="EX113" t="e">
        <f>Nodes!H904+"'E4!&amp;`5"</f>
        <v>#VALUE!</v>
      </c>
      <c r="EY113" t="e">
        <f>Nodes!I904+"'E4!&amp;`6"</f>
        <v>#VALUE!</v>
      </c>
      <c r="EZ113" t="e">
        <f>Nodes!J904+"'E4!&amp;`7"</f>
        <v>#VALUE!</v>
      </c>
      <c r="FA113" t="e">
        <f>Nodes!K904+"'E4!&amp;`8"</f>
        <v>#VALUE!</v>
      </c>
      <c r="FB113" t="e">
        <f>Nodes!L904+"'E4!&amp;`9"</f>
        <v>#VALUE!</v>
      </c>
      <c r="FC113" t="e">
        <f>Nodes!M904+"'E4!&amp;`:"</f>
        <v>#VALUE!</v>
      </c>
      <c r="FD113" t="e">
        <f>Nodes!N904+"'E4!&amp;`;"</f>
        <v>#VALUE!</v>
      </c>
      <c r="FE113" t="e">
        <f>Nodes!O904+"'E4!&amp;`&lt;"</f>
        <v>#VALUE!</v>
      </c>
      <c r="FF113" t="e">
        <f>Nodes!P904+"'E4!&amp;`="</f>
        <v>#VALUE!</v>
      </c>
      <c r="FG113" t="e">
        <f>Nodes!Q904+"'E4!&amp;`&gt;"</f>
        <v>#VALUE!</v>
      </c>
      <c r="FH113" t="e">
        <f>Nodes!R904+"'E4!&amp;`?"</f>
        <v>#VALUE!</v>
      </c>
      <c r="FI113" t="e">
        <f>Nodes!S904+"'E4!&amp;`@"</f>
        <v>#VALUE!</v>
      </c>
      <c r="FJ113" s="547" t="e">
        <f>Nodes!T904+"'E4!&amp;`A"</f>
        <v>#VALUE!</v>
      </c>
      <c r="FK113" s="548" t="e">
        <f>Nodes!U904+"'E4!&amp;`B"</f>
        <v>#VALUE!</v>
      </c>
      <c r="FL113" t="e">
        <f>Nodes!V904+"'E4!&amp;`C"</f>
        <v>#VALUE!</v>
      </c>
      <c r="FM113" s="547" t="e">
        <f>Nodes!W904+"'E4!&amp;`D"</f>
        <v>#VALUE!</v>
      </c>
      <c r="FN113" t="e">
        <f>Nodes!X904+"'E4!&amp;`E"</f>
        <v>#VALUE!</v>
      </c>
      <c r="FO113" t="e">
        <f>Nodes!Y904+"'E4!&amp;`F"</f>
        <v>#VALUE!</v>
      </c>
      <c r="FP113" t="e">
        <f>Nodes!Z904+"'E4!&amp;`G"</f>
        <v>#VALUE!</v>
      </c>
      <c r="FQ113" t="e">
        <f>Nodes!AA904+"'E4!&amp;`H"</f>
        <v>#VALUE!</v>
      </c>
      <c r="FR113" t="e">
        <f>Nodes!AB904+"'E4!&amp;`I"</f>
        <v>#VALUE!</v>
      </c>
      <c r="FS113" t="e">
        <f>Nodes!AC904+"'E4!&amp;`J"</f>
        <v>#VALUE!</v>
      </c>
      <c r="FT113" t="e">
        <f>Nodes!A905+"'E4!&amp;`K"</f>
        <v>#VALUE!</v>
      </c>
      <c r="FU113" t="e">
        <f>Nodes!B905+"'E4!&amp;`L"</f>
        <v>#VALUE!</v>
      </c>
      <c r="FV113" t="e">
        <f>Nodes!C905+"'E4!&amp;`M"</f>
        <v>#VALUE!</v>
      </c>
      <c r="FW113" t="e">
        <f>Nodes!D905+"'E4!&amp;`N"</f>
        <v>#VALUE!</v>
      </c>
      <c r="FX113" t="e">
        <f>Nodes!E905+"'E4!&amp;`O"</f>
        <v>#VALUE!</v>
      </c>
      <c r="FY113" t="e">
        <f>Nodes!F905+"'E4!&amp;`P"</f>
        <v>#VALUE!</v>
      </c>
      <c r="FZ113" t="e">
        <f>Nodes!G905+"'E4!&amp;`Q"</f>
        <v>#VALUE!</v>
      </c>
      <c r="GA113" t="e">
        <f>Nodes!H905+"'E4!&amp;`R"</f>
        <v>#VALUE!</v>
      </c>
      <c r="GB113" t="e">
        <f>Nodes!I905+"'E4!&amp;`S"</f>
        <v>#VALUE!</v>
      </c>
      <c r="GC113" t="e">
        <f>Nodes!J905+"'E4!&amp;`T"</f>
        <v>#VALUE!</v>
      </c>
      <c r="GD113" t="e">
        <f>Nodes!K905+"'E4!&amp;`U"</f>
        <v>#VALUE!</v>
      </c>
      <c r="GE113" t="e">
        <f>Nodes!L905+"'E4!&amp;`V"</f>
        <v>#VALUE!</v>
      </c>
      <c r="GF113" t="e">
        <f>Nodes!M905+"'E4!&amp;`W"</f>
        <v>#VALUE!</v>
      </c>
      <c r="GG113" t="e">
        <f>Nodes!N905+"'E4!&amp;`X"</f>
        <v>#VALUE!</v>
      </c>
      <c r="GH113" t="e">
        <f>Nodes!O905+"'E4!&amp;`Y"</f>
        <v>#VALUE!</v>
      </c>
      <c r="GI113" t="e">
        <f>Nodes!P905+"'E4!&amp;`Z"</f>
        <v>#VALUE!</v>
      </c>
      <c r="GJ113" t="e">
        <f>Nodes!Q905+"'E4!&amp;`["</f>
        <v>#VALUE!</v>
      </c>
      <c r="GK113" t="e">
        <f>Nodes!R905+"'E4!&amp;`\"</f>
        <v>#VALUE!</v>
      </c>
      <c r="GL113" t="e">
        <f>Nodes!S905+"'E4!&amp;`]"</f>
        <v>#VALUE!</v>
      </c>
      <c r="GM113" s="547" t="e">
        <f>Nodes!T905+"'E4!&amp;`^"</f>
        <v>#VALUE!</v>
      </c>
      <c r="GN113" s="548" t="e">
        <f>Nodes!U905+"'E4!&amp;`_"</f>
        <v>#VALUE!</v>
      </c>
      <c r="GO113" t="e">
        <f>Nodes!V905+"'E4!&amp;``"</f>
        <v>#VALUE!</v>
      </c>
      <c r="GP113" s="547" t="e">
        <f>Nodes!W905+"'E4!&amp;`a"</f>
        <v>#VALUE!</v>
      </c>
      <c r="GQ113" t="e">
        <f>Nodes!X905+"'E4!&amp;`b"</f>
        <v>#VALUE!</v>
      </c>
      <c r="GR113" t="e">
        <f>Nodes!Y905+"'E4!&amp;`c"</f>
        <v>#VALUE!</v>
      </c>
      <c r="GS113" t="e">
        <f>Nodes!Z905+"'E4!&amp;`d"</f>
        <v>#VALUE!</v>
      </c>
      <c r="GT113" t="e">
        <f>Nodes!AA905+"'E4!&amp;`e"</f>
        <v>#VALUE!</v>
      </c>
      <c r="GU113" t="e">
        <f>Nodes!AB905+"'E4!&amp;`f"</f>
        <v>#VALUE!</v>
      </c>
      <c r="GV113" t="e">
        <f>Nodes!AC905+"'E4!&amp;`g"</f>
        <v>#VALUE!</v>
      </c>
      <c r="GW113" t="e">
        <f>Nodes!A906+"'E4!&amp;`h"</f>
        <v>#VALUE!</v>
      </c>
      <c r="GX113" t="e">
        <f>Nodes!B906+"'E4!&amp;`i"</f>
        <v>#VALUE!</v>
      </c>
      <c r="GY113" t="e">
        <f>Nodes!C906+"'E4!&amp;`j"</f>
        <v>#VALUE!</v>
      </c>
      <c r="GZ113" t="e">
        <f>Nodes!D906+"'E4!&amp;`k"</f>
        <v>#VALUE!</v>
      </c>
      <c r="HA113" t="e">
        <f>Nodes!E906+"'E4!&amp;`l"</f>
        <v>#VALUE!</v>
      </c>
      <c r="HB113" t="e">
        <f>Nodes!F906+"'E4!&amp;`m"</f>
        <v>#VALUE!</v>
      </c>
      <c r="HC113" t="e">
        <f>Nodes!G906+"'E4!&amp;`n"</f>
        <v>#VALUE!</v>
      </c>
      <c r="HD113" t="e">
        <f>Nodes!H906+"'E4!&amp;`o"</f>
        <v>#VALUE!</v>
      </c>
      <c r="HE113" t="e">
        <f>Nodes!I906+"'E4!&amp;`p"</f>
        <v>#VALUE!</v>
      </c>
      <c r="HF113" t="e">
        <f>Nodes!J906+"'E4!&amp;`q"</f>
        <v>#VALUE!</v>
      </c>
      <c r="HG113" t="e">
        <f>Nodes!K906+"'E4!&amp;`r"</f>
        <v>#VALUE!</v>
      </c>
      <c r="HH113" t="e">
        <f>Nodes!L906+"'E4!&amp;`s"</f>
        <v>#VALUE!</v>
      </c>
      <c r="HI113" t="e">
        <f>Nodes!M906+"'E4!&amp;`t"</f>
        <v>#VALUE!</v>
      </c>
      <c r="HJ113" t="e">
        <f>Nodes!N906+"'E4!&amp;`u"</f>
        <v>#VALUE!</v>
      </c>
      <c r="HK113" t="e">
        <f>Nodes!O906+"'E4!&amp;`v"</f>
        <v>#VALUE!</v>
      </c>
      <c r="HL113" t="e">
        <f>Nodes!P906+"'E4!&amp;`w"</f>
        <v>#VALUE!</v>
      </c>
      <c r="HM113" t="e">
        <f>Nodes!Q906+"'E4!&amp;`x"</f>
        <v>#VALUE!</v>
      </c>
      <c r="HN113" t="e">
        <f>Nodes!R906+"'E4!&amp;`y"</f>
        <v>#VALUE!</v>
      </c>
      <c r="HO113" t="e">
        <f>Nodes!S906+"'E4!&amp;`z"</f>
        <v>#VALUE!</v>
      </c>
      <c r="HP113" s="547" t="e">
        <f>Nodes!T906+"'E4!&amp;`{"</f>
        <v>#VALUE!</v>
      </c>
      <c r="HQ113" s="548" t="e">
        <f>Nodes!U906+"'E4!&amp;`|"</f>
        <v>#VALUE!</v>
      </c>
      <c r="HR113" t="e">
        <f>Nodes!V906+"'E4!&amp;`}"</f>
        <v>#VALUE!</v>
      </c>
      <c r="HS113" s="547" t="e">
        <f>Nodes!W906+"'E4!&amp;`~"</f>
        <v>#VALUE!</v>
      </c>
      <c r="HT113" t="e">
        <f>Nodes!X906+"'E4!&amp;a#"</f>
        <v>#VALUE!</v>
      </c>
      <c r="HU113" t="e">
        <f>Nodes!Y906+"'E4!&amp;a$"</f>
        <v>#VALUE!</v>
      </c>
      <c r="HV113" t="e">
        <f>Nodes!Z906+"'E4!&amp;a%"</f>
        <v>#VALUE!</v>
      </c>
      <c r="HW113" t="e">
        <f>Nodes!AA906+"'E4!&amp;a&amp;"</f>
        <v>#VALUE!</v>
      </c>
      <c r="HX113" t="e">
        <f>Nodes!AB906+"'E4!&amp;a'"</f>
        <v>#VALUE!</v>
      </c>
      <c r="HY113" t="e">
        <f>Nodes!AC906+"'E4!&amp;a("</f>
        <v>#VALUE!</v>
      </c>
      <c r="HZ113" t="e">
        <f>Nodes!A907+"'E4!&amp;a)"</f>
        <v>#VALUE!</v>
      </c>
      <c r="IA113" t="e">
        <f>Nodes!B907+"'E4!&amp;a."</f>
        <v>#VALUE!</v>
      </c>
      <c r="IB113" t="e">
        <f>Nodes!C907+"'E4!&amp;a/"</f>
        <v>#VALUE!</v>
      </c>
      <c r="IC113" t="e">
        <f>Nodes!D907+"'E4!&amp;a0"</f>
        <v>#VALUE!</v>
      </c>
      <c r="ID113" t="e">
        <f>Nodes!E907+"'E4!&amp;a1"</f>
        <v>#VALUE!</v>
      </c>
      <c r="IE113" t="e">
        <f>Nodes!F907+"'E4!&amp;a2"</f>
        <v>#VALUE!</v>
      </c>
      <c r="IF113" t="e">
        <f>Nodes!G907+"'E4!&amp;a3"</f>
        <v>#VALUE!</v>
      </c>
      <c r="IG113" t="e">
        <f>Nodes!H907+"'E4!&amp;a4"</f>
        <v>#VALUE!</v>
      </c>
      <c r="IH113" t="e">
        <f>Nodes!I907+"'E4!&amp;a5"</f>
        <v>#VALUE!</v>
      </c>
      <c r="II113" t="e">
        <f>Nodes!J907+"'E4!&amp;a6"</f>
        <v>#VALUE!</v>
      </c>
      <c r="IJ113" t="e">
        <f>Nodes!K907+"'E4!&amp;a7"</f>
        <v>#VALUE!</v>
      </c>
      <c r="IK113" t="e">
        <f>Nodes!L907+"'E4!&amp;a8"</f>
        <v>#VALUE!</v>
      </c>
      <c r="IL113" t="e">
        <f>Nodes!M907+"'E4!&amp;a9"</f>
        <v>#VALUE!</v>
      </c>
      <c r="IM113" t="e">
        <f>Nodes!N907+"'E4!&amp;a:"</f>
        <v>#VALUE!</v>
      </c>
      <c r="IN113" t="e">
        <f>Nodes!O907+"'E4!&amp;a;"</f>
        <v>#VALUE!</v>
      </c>
      <c r="IO113" t="e">
        <f>Nodes!P907+"'E4!&amp;a&lt;"</f>
        <v>#VALUE!</v>
      </c>
      <c r="IP113" t="e">
        <f>Nodes!Q907+"'E4!&amp;a="</f>
        <v>#VALUE!</v>
      </c>
      <c r="IQ113" t="e">
        <f>Nodes!R907+"'E4!&amp;a&gt;"</f>
        <v>#VALUE!</v>
      </c>
      <c r="IR113" t="e">
        <f>Nodes!S907+"'E4!&amp;a?"</f>
        <v>#VALUE!</v>
      </c>
      <c r="IS113" s="547" t="e">
        <f>Nodes!T907+"'E4!&amp;a@"</f>
        <v>#VALUE!</v>
      </c>
      <c r="IT113" s="548" t="e">
        <f>Nodes!U907+"'E4!&amp;aA"</f>
        <v>#VALUE!</v>
      </c>
      <c r="IU113" t="e">
        <f>Nodes!V907+"'E4!&amp;aB"</f>
        <v>#VALUE!</v>
      </c>
      <c r="IV113" s="547" t="e">
        <f>Nodes!W907+"'E4!&amp;aC"</f>
        <v>#VALUE!</v>
      </c>
    </row>
    <row r="114" spans="6:256">
      <c r="F114" t="e">
        <f>Nodes!X907+"'E4!&amp;aD"</f>
        <v>#VALUE!</v>
      </c>
      <c r="G114" t="e">
        <f>Nodes!Y907+"'E4!&amp;aE"</f>
        <v>#VALUE!</v>
      </c>
      <c r="H114" t="e">
        <f>Nodes!Z907+"'E4!&amp;aF"</f>
        <v>#VALUE!</v>
      </c>
      <c r="I114" t="e">
        <f>Nodes!AA907+"'E4!&amp;aG"</f>
        <v>#VALUE!</v>
      </c>
      <c r="J114" t="e">
        <f>Nodes!AB907+"'E4!&amp;aH"</f>
        <v>#VALUE!</v>
      </c>
      <c r="K114" t="e">
        <f>Nodes!AC907+"'E4!&amp;aI"</f>
        <v>#VALUE!</v>
      </c>
      <c r="L114" t="e">
        <f>Nodes!A908+"'E4!&amp;aJ"</f>
        <v>#VALUE!</v>
      </c>
      <c r="M114" t="e">
        <f>Nodes!B908+"'E4!&amp;aK"</f>
        <v>#VALUE!</v>
      </c>
      <c r="N114" t="e">
        <f>Nodes!C908+"'E4!&amp;aL"</f>
        <v>#VALUE!</v>
      </c>
      <c r="O114" t="e">
        <f>Nodes!D908+"'E4!&amp;aM"</f>
        <v>#VALUE!</v>
      </c>
      <c r="P114" t="e">
        <f>Nodes!E908+"'E4!&amp;aN"</f>
        <v>#VALUE!</v>
      </c>
      <c r="Q114" t="e">
        <f>Nodes!F908+"'E4!&amp;aO"</f>
        <v>#VALUE!</v>
      </c>
      <c r="R114" t="e">
        <f>Nodes!G908+"'E4!&amp;aP"</f>
        <v>#VALUE!</v>
      </c>
      <c r="S114" t="e">
        <f>Nodes!H908+"'E4!&amp;aQ"</f>
        <v>#VALUE!</v>
      </c>
      <c r="T114" t="e">
        <f>Nodes!I908+"'E4!&amp;aR"</f>
        <v>#VALUE!</v>
      </c>
      <c r="U114" t="e">
        <f>Nodes!J908+"'E4!&amp;aS"</f>
        <v>#VALUE!</v>
      </c>
      <c r="V114" t="e">
        <f>Nodes!K908+"'E4!&amp;aT"</f>
        <v>#VALUE!</v>
      </c>
      <c r="W114" t="e">
        <f>Nodes!L908+"'E4!&amp;aU"</f>
        <v>#VALUE!</v>
      </c>
      <c r="X114" t="e">
        <f>Nodes!M908+"'E4!&amp;aV"</f>
        <v>#VALUE!</v>
      </c>
      <c r="Y114" t="e">
        <f>Nodes!N908+"'E4!&amp;aW"</f>
        <v>#VALUE!</v>
      </c>
      <c r="Z114" t="e">
        <f>Nodes!O908+"'E4!&amp;aX"</f>
        <v>#VALUE!</v>
      </c>
      <c r="AA114" t="e">
        <f>Nodes!P908+"'E4!&amp;aY"</f>
        <v>#VALUE!</v>
      </c>
      <c r="AB114" t="e">
        <f>Nodes!Q908+"'E4!&amp;aZ"</f>
        <v>#VALUE!</v>
      </c>
      <c r="AC114" t="e">
        <f>Nodes!R908+"'E4!&amp;a["</f>
        <v>#VALUE!</v>
      </c>
      <c r="AD114" t="e">
        <f>Nodes!S908+"'E4!&amp;a\"</f>
        <v>#VALUE!</v>
      </c>
      <c r="AE114" s="547" t="e">
        <f>Nodes!T908+"'E4!&amp;a]"</f>
        <v>#VALUE!</v>
      </c>
      <c r="AF114" s="548" t="e">
        <f>Nodes!U908+"'E4!&amp;a^"</f>
        <v>#VALUE!</v>
      </c>
      <c r="AG114" t="e">
        <f>Nodes!V908+"'E4!&amp;a_"</f>
        <v>#VALUE!</v>
      </c>
      <c r="AH114" s="547" t="e">
        <f>Nodes!W908+"'E4!&amp;a`"</f>
        <v>#VALUE!</v>
      </c>
      <c r="AI114" t="e">
        <f>Nodes!X908+"'E4!&amp;aa"</f>
        <v>#VALUE!</v>
      </c>
      <c r="AJ114" t="e">
        <f>Nodes!Y908+"'E4!&amp;ab"</f>
        <v>#VALUE!</v>
      </c>
      <c r="AK114" t="e">
        <f>Nodes!Z908+"'E4!&amp;ac"</f>
        <v>#VALUE!</v>
      </c>
      <c r="AL114" t="e">
        <f>Nodes!AA908+"'E4!&amp;ad"</f>
        <v>#VALUE!</v>
      </c>
      <c r="AM114" t="e">
        <f>Nodes!AB908+"'E4!&amp;ae"</f>
        <v>#VALUE!</v>
      </c>
      <c r="AN114" t="e">
        <f>Nodes!AC908+"'E4!&amp;af"</f>
        <v>#VALUE!</v>
      </c>
      <c r="AO114" t="e">
        <f>Nodes!A909+"'E4!&amp;ag"</f>
        <v>#VALUE!</v>
      </c>
      <c r="AP114" t="e">
        <f>Nodes!B909+"'E4!&amp;ah"</f>
        <v>#VALUE!</v>
      </c>
      <c r="AQ114" t="e">
        <f>Nodes!C909+"'E4!&amp;ai"</f>
        <v>#VALUE!</v>
      </c>
      <c r="AR114" t="e">
        <f>Nodes!D909+"'E4!&amp;aj"</f>
        <v>#VALUE!</v>
      </c>
      <c r="AS114" t="e">
        <f>Nodes!E909+"'E4!&amp;ak"</f>
        <v>#VALUE!</v>
      </c>
      <c r="AT114" t="e">
        <f>Nodes!F909+"'E4!&amp;al"</f>
        <v>#VALUE!</v>
      </c>
      <c r="AU114" t="e">
        <f>Nodes!G909+"'E4!&amp;am"</f>
        <v>#VALUE!</v>
      </c>
      <c r="AV114" t="e">
        <f>Nodes!H909+"'E4!&amp;an"</f>
        <v>#VALUE!</v>
      </c>
      <c r="AW114" t="e">
        <f>Nodes!I909+"'E4!&amp;ao"</f>
        <v>#VALUE!</v>
      </c>
      <c r="AX114" t="e">
        <f>Nodes!J909+"'E4!&amp;ap"</f>
        <v>#VALUE!</v>
      </c>
      <c r="AY114" t="e">
        <f>Nodes!K909+"'E4!&amp;aq"</f>
        <v>#VALUE!</v>
      </c>
      <c r="AZ114" t="e">
        <f>Nodes!L909+"'E4!&amp;ar"</f>
        <v>#VALUE!</v>
      </c>
      <c r="BA114" t="e">
        <f>Nodes!M909+"'E4!&amp;as"</f>
        <v>#VALUE!</v>
      </c>
      <c r="BB114" t="e">
        <f>Nodes!N909+"'E4!&amp;at"</f>
        <v>#VALUE!</v>
      </c>
      <c r="BC114" t="e">
        <f>Nodes!O909+"'E4!&amp;au"</f>
        <v>#VALUE!</v>
      </c>
      <c r="BD114" t="e">
        <f>Nodes!P909+"'E4!&amp;av"</f>
        <v>#VALUE!</v>
      </c>
      <c r="BE114" t="e">
        <f>Nodes!Q909+"'E4!&amp;aw"</f>
        <v>#VALUE!</v>
      </c>
      <c r="BF114" t="e">
        <f>Nodes!R909+"'E4!&amp;ax"</f>
        <v>#VALUE!</v>
      </c>
      <c r="BG114" t="e">
        <f>Nodes!S909+"'E4!&amp;ay"</f>
        <v>#VALUE!</v>
      </c>
      <c r="BH114" s="547" t="e">
        <f>Nodes!T909+"'E4!&amp;az"</f>
        <v>#VALUE!</v>
      </c>
      <c r="BI114" s="548" t="e">
        <f>Nodes!U909+"'E4!&amp;a{"</f>
        <v>#VALUE!</v>
      </c>
      <c r="BJ114" t="e">
        <f>Nodes!V909+"'E4!&amp;a|"</f>
        <v>#VALUE!</v>
      </c>
      <c r="BK114" s="547" t="e">
        <f>Nodes!W909+"'E4!&amp;a}"</f>
        <v>#VALUE!</v>
      </c>
      <c r="BL114" t="e">
        <f>Nodes!X909+"'E4!&amp;a~"</f>
        <v>#VALUE!</v>
      </c>
      <c r="BM114" t="e">
        <f>Nodes!Y909+"'E4!&amp;b#"</f>
        <v>#VALUE!</v>
      </c>
      <c r="BN114" t="e">
        <f>Nodes!Z909+"'E4!&amp;b$"</f>
        <v>#VALUE!</v>
      </c>
      <c r="BO114" t="e">
        <f>Nodes!AA909+"'E4!&amp;b%"</f>
        <v>#VALUE!</v>
      </c>
      <c r="BP114" t="e">
        <f>Nodes!AB909+"'E4!&amp;b&amp;"</f>
        <v>#VALUE!</v>
      </c>
      <c r="BQ114" t="e">
        <f>Nodes!AC909+"'E4!&amp;b'"</f>
        <v>#VALUE!</v>
      </c>
      <c r="BR114" t="e">
        <f>Nodes!A910+"'E4!&amp;b("</f>
        <v>#VALUE!</v>
      </c>
      <c r="BS114" t="e">
        <f>Nodes!B910+"'E4!&amp;b)"</f>
        <v>#VALUE!</v>
      </c>
      <c r="BT114" t="e">
        <f>Nodes!C910+"'E4!&amp;b."</f>
        <v>#VALUE!</v>
      </c>
      <c r="BU114" t="e">
        <f>Nodes!D910+"'E4!&amp;b/"</f>
        <v>#VALUE!</v>
      </c>
      <c r="BV114" t="e">
        <f>Nodes!E910+"'E4!&amp;b0"</f>
        <v>#VALUE!</v>
      </c>
      <c r="BW114" t="e">
        <f>Nodes!F910+"'E4!&amp;b1"</f>
        <v>#VALUE!</v>
      </c>
      <c r="BX114" t="e">
        <f>Nodes!G910+"'E4!&amp;b2"</f>
        <v>#VALUE!</v>
      </c>
      <c r="BY114" t="e">
        <f>Nodes!H910+"'E4!&amp;b3"</f>
        <v>#VALUE!</v>
      </c>
      <c r="BZ114" t="e">
        <f>Nodes!I910+"'E4!&amp;b4"</f>
        <v>#VALUE!</v>
      </c>
      <c r="CA114" t="e">
        <f>Nodes!J910+"'E4!&amp;b5"</f>
        <v>#VALUE!</v>
      </c>
      <c r="CB114" t="e">
        <f>Nodes!K910+"'E4!&amp;b6"</f>
        <v>#VALUE!</v>
      </c>
      <c r="CC114" t="e">
        <f>Nodes!L910+"'E4!&amp;b7"</f>
        <v>#VALUE!</v>
      </c>
      <c r="CD114" t="e">
        <f>Nodes!M910+"'E4!&amp;b8"</f>
        <v>#VALUE!</v>
      </c>
      <c r="CE114" t="e">
        <f>Nodes!N910+"'E4!&amp;b9"</f>
        <v>#VALUE!</v>
      </c>
      <c r="CF114" t="e">
        <f>Nodes!O910+"'E4!&amp;b:"</f>
        <v>#VALUE!</v>
      </c>
      <c r="CG114" t="e">
        <f>Nodes!P910+"'E4!&amp;b;"</f>
        <v>#VALUE!</v>
      </c>
      <c r="CH114" t="e">
        <f>Nodes!Q910+"'E4!&amp;b&lt;"</f>
        <v>#VALUE!</v>
      </c>
      <c r="CI114" t="e">
        <f>Nodes!R910+"'E4!&amp;b="</f>
        <v>#VALUE!</v>
      </c>
      <c r="CJ114" t="e">
        <f>Nodes!S910+"'E4!&amp;b&gt;"</f>
        <v>#VALUE!</v>
      </c>
      <c r="CK114" s="547" t="e">
        <f>Nodes!T910+"'E4!&amp;b?"</f>
        <v>#VALUE!</v>
      </c>
      <c r="CL114" s="548" t="e">
        <f>Nodes!U910+"'E4!&amp;b@"</f>
        <v>#VALUE!</v>
      </c>
      <c r="CM114" t="e">
        <f>Nodes!V910+"'E4!&amp;bA"</f>
        <v>#VALUE!</v>
      </c>
      <c r="CN114" s="547" t="e">
        <f>Nodes!W910+"'E4!&amp;bB"</f>
        <v>#VALUE!</v>
      </c>
      <c r="CO114" t="e">
        <f>Nodes!X910+"'E4!&amp;bC"</f>
        <v>#VALUE!</v>
      </c>
      <c r="CP114" t="e">
        <f>Nodes!Y910+"'E4!&amp;bD"</f>
        <v>#VALUE!</v>
      </c>
      <c r="CQ114" t="e">
        <f>Nodes!Z910+"'E4!&amp;bE"</f>
        <v>#VALUE!</v>
      </c>
      <c r="CR114" t="e">
        <f>Nodes!AA910+"'E4!&amp;bF"</f>
        <v>#VALUE!</v>
      </c>
      <c r="CS114" t="e">
        <f>Nodes!AB910+"'E4!&amp;bG"</f>
        <v>#VALUE!</v>
      </c>
      <c r="CT114" t="e">
        <f>Nodes!AC910+"'E4!&amp;bH"</f>
        <v>#VALUE!</v>
      </c>
      <c r="CU114" t="e">
        <f>Nodes!A911+"'E4!&amp;bI"</f>
        <v>#VALUE!</v>
      </c>
      <c r="CV114" t="e">
        <f>Nodes!B911+"'E4!&amp;bJ"</f>
        <v>#VALUE!</v>
      </c>
      <c r="CW114" t="e">
        <f>Nodes!C911+"'E4!&amp;bK"</f>
        <v>#VALUE!</v>
      </c>
      <c r="CX114" t="e">
        <f>Nodes!D911+"'E4!&amp;bL"</f>
        <v>#VALUE!</v>
      </c>
      <c r="CY114" t="e">
        <f>Nodes!E911+"'E4!&amp;bM"</f>
        <v>#VALUE!</v>
      </c>
      <c r="CZ114" t="e">
        <f>Nodes!F911+"'E4!&amp;bN"</f>
        <v>#VALUE!</v>
      </c>
      <c r="DA114" t="e">
        <f>Nodes!G911+"'E4!&amp;bO"</f>
        <v>#VALUE!</v>
      </c>
      <c r="DB114" t="e">
        <f>Nodes!H911+"'E4!&amp;bP"</f>
        <v>#VALUE!</v>
      </c>
      <c r="DC114" t="e">
        <f>Nodes!I911+"'E4!&amp;bQ"</f>
        <v>#VALUE!</v>
      </c>
      <c r="DD114" t="e">
        <f>Nodes!J911+"'E4!&amp;bR"</f>
        <v>#VALUE!</v>
      </c>
      <c r="DE114" t="e">
        <f>Nodes!K911+"'E4!&amp;bS"</f>
        <v>#VALUE!</v>
      </c>
      <c r="DF114" t="e">
        <f>Nodes!L911+"'E4!&amp;bT"</f>
        <v>#VALUE!</v>
      </c>
      <c r="DG114" t="e">
        <f>Nodes!M911+"'E4!&amp;bU"</f>
        <v>#VALUE!</v>
      </c>
      <c r="DH114" t="e">
        <f>Nodes!N911+"'E4!&amp;bV"</f>
        <v>#VALUE!</v>
      </c>
      <c r="DI114" t="e">
        <f>Nodes!O911+"'E4!&amp;bW"</f>
        <v>#VALUE!</v>
      </c>
      <c r="DJ114" t="e">
        <f>Nodes!P911+"'E4!&amp;bX"</f>
        <v>#VALUE!</v>
      </c>
      <c r="DK114" t="e">
        <f>Nodes!Q911+"'E4!&amp;bY"</f>
        <v>#VALUE!</v>
      </c>
      <c r="DL114" t="e">
        <f>Nodes!R911+"'E4!&amp;bZ"</f>
        <v>#VALUE!</v>
      </c>
      <c r="DM114" t="e">
        <f>Nodes!S911+"'E4!&amp;b["</f>
        <v>#VALUE!</v>
      </c>
      <c r="DN114" s="547" t="e">
        <f>Nodes!T911+"'E4!&amp;b\"</f>
        <v>#VALUE!</v>
      </c>
      <c r="DO114" s="548" t="e">
        <f>Nodes!U911+"'E4!&amp;b]"</f>
        <v>#VALUE!</v>
      </c>
      <c r="DP114" t="e">
        <f>Nodes!V911+"'E4!&amp;b^"</f>
        <v>#VALUE!</v>
      </c>
      <c r="DQ114" s="547" t="e">
        <f>Nodes!W911+"'E4!&amp;b_"</f>
        <v>#VALUE!</v>
      </c>
      <c r="DR114" t="e">
        <f>Nodes!X911+"'E4!&amp;b`"</f>
        <v>#VALUE!</v>
      </c>
      <c r="DS114" t="e">
        <f>Nodes!Y911+"'E4!&amp;ba"</f>
        <v>#VALUE!</v>
      </c>
      <c r="DT114" t="e">
        <f>Nodes!Z911+"'E4!&amp;bb"</f>
        <v>#VALUE!</v>
      </c>
      <c r="DU114" t="e">
        <f>Nodes!AA911+"'E4!&amp;bc"</f>
        <v>#VALUE!</v>
      </c>
      <c r="DV114" t="e">
        <f>Nodes!AB911+"'E4!&amp;bd"</f>
        <v>#VALUE!</v>
      </c>
      <c r="DW114" t="e">
        <f>Nodes!AC911+"'E4!&amp;be"</f>
        <v>#VALUE!</v>
      </c>
      <c r="DX114" t="e">
        <f>Nodes!A912+"'E4!&amp;bf"</f>
        <v>#VALUE!</v>
      </c>
      <c r="DY114" t="e">
        <f>Nodes!B912+"'E4!&amp;bg"</f>
        <v>#VALUE!</v>
      </c>
      <c r="DZ114" t="e">
        <f>Nodes!C912+"'E4!&amp;bh"</f>
        <v>#VALUE!</v>
      </c>
      <c r="EA114" t="e">
        <f>Nodes!D912+"'E4!&amp;bi"</f>
        <v>#VALUE!</v>
      </c>
      <c r="EB114" t="e">
        <f>Nodes!E912+"'E4!&amp;bj"</f>
        <v>#VALUE!</v>
      </c>
      <c r="EC114" t="e">
        <f>Nodes!F912+"'E4!&amp;bk"</f>
        <v>#VALUE!</v>
      </c>
      <c r="ED114" t="e">
        <f>Nodes!G912+"'E4!&amp;bl"</f>
        <v>#VALUE!</v>
      </c>
      <c r="EE114" t="e">
        <f>Nodes!H912+"'E4!&amp;bm"</f>
        <v>#VALUE!</v>
      </c>
      <c r="EF114" t="e">
        <f>Nodes!I912+"'E4!&amp;bn"</f>
        <v>#VALUE!</v>
      </c>
      <c r="EG114" t="e">
        <f>Nodes!J912+"'E4!&amp;bo"</f>
        <v>#VALUE!</v>
      </c>
      <c r="EH114" t="e">
        <f>Nodes!K912+"'E4!&amp;bp"</f>
        <v>#VALUE!</v>
      </c>
      <c r="EI114" t="e">
        <f>Nodes!L912+"'E4!&amp;bq"</f>
        <v>#VALUE!</v>
      </c>
      <c r="EJ114" t="e">
        <f>Nodes!M912+"'E4!&amp;br"</f>
        <v>#VALUE!</v>
      </c>
      <c r="EK114" t="e">
        <f>Nodes!N912+"'E4!&amp;bs"</f>
        <v>#VALUE!</v>
      </c>
      <c r="EL114" t="e">
        <f>Nodes!O912+"'E4!&amp;bt"</f>
        <v>#VALUE!</v>
      </c>
      <c r="EM114" t="e">
        <f>Nodes!P912+"'E4!&amp;bu"</f>
        <v>#VALUE!</v>
      </c>
      <c r="EN114" t="e">
        <f>Nodes!Q912+"'E4!&amp;bv"</f>
        <v>#VALUE!</v>
      </c>
      <c r="EO114" t="e">
        <f>Nodes!R912+"'E4!&amp;bw"</f>
        <v>#VALUE!</v>
      </c>
      <c r="EP114" t="e">
        <f>Nodes!S912+"'E4!&amp;bx"</f>
        <v>#VALUE!</v>
      </c>
      <c r="EQ114" s="547" t="e">
        <f>Nodes!T912+"'E4!&amp;by"</f>
        <v>#VALUE!</v>
      </c>
      <c r="ER114" s="548" t="e">
        <f>Nodes!U912+"'E4!&amp;bz"</f>
        <v>#VALUE!</v>
      </c>
      <c r="ES114" t="e">
        <f>Nodes!V912+"'E4!&amp;b{"</f>
        <v>#VALUE!</v>
      </c>
      <c r="ET114" s="547" t="e">
        <f>Nodes!W912+"'E4!&amp;b|"</f>
        <v>#VALUE!</v>
      </c>
      <c r="EU114" t="e">
        <f>Nodes!X912+"'E4!&amp;b}"</f>
        <v>#VALUE!</v>
      </c>
      <c r="EV114" t="e">
        <f>Nodes!Y912+"'E4!&amp;b~"</f>
        <v>#VALUE!</v>
      </c>
      <c r="EW114" t="e">
        <f>Nodes!Z912+"'E4!&amp;c#"</f>
        <v>#VALUE!</v>
      </c>
      <c r="EX114" t="e">
        <f>Nodes!AA912+"'E4!&amp;c$"</f>
        <v>#VALUE!</v>
      </c>
      <c r="EY114" t="e">
        <f>Nodes!AB912+"'E4!&amp;c%"</f>
        <v>#VALUE!</v>
      </c>
      <c r="EZ114" t="e">
        <f>Nodes!AC912+"'E4!&amp;c&amp;"</f>
        <v>#VALUE!</v>
      </c>
      <c r="FA114" t="e">
        <f>Nodes!A913+"'E4!&amp;c'"</f>
        <v>#VALUE!</v>
      </c>
      <c r="FB114" t="e">
        <f>Nodes!B913+"'E4!&amp;c("</f>
        <v>#VALUE!</v>
      </c>
      <c r="FC114" t="e">
        <f>Nodes!C913+"'E4!&amp;c)"</f>
        <v>#VALUE!</v>
      </c>
      <c r="FD114" t="e">
        <f>Nodes!D913+"'E4!&amp;c."</f>
        <v>#VALUE!</v>
      </c>
      <c r="FE114" t="e">
        <f>Nodes!E913+"'E4!&amp;c/"</f>
        <v>#VALUE!</v>
      </c>
      <c r="FF114" t="e">
        <f>Nodes!F913+"'E4!&amp;c0"</f>
        <v>#VALUE!</v>
      </c>
      <c r="FG114" t="e">
        <f>Nodes!G913+"'E4!&amp;c1"</f>
        <v>#VALUE!</v>
      </c>
      <c r="FH114" t="e">
        <f>Nodes!H913+"'E4!&amp;c2"</f>
        <v>#VALUE!</v>
      </c>
      <c r="FI114" t="e">
        <f>Nodes!I913+"'E4!&amp;c3"</f>
        <v>#VALUE!</v>
      </c>
      <c r="FJ114" t="e">
        <f>Nodes!J913+"'E4!&amp;c4"</f>
        <v>#VALUE!</v>
      </c>
      <c r="FK114" t="e">
        <f>Nodes!K913+"'E4!&amp;c5"</f>
        <v>#VALUE!</v>
      </c>
      <c r="FL114" t="e">
        <f>Nodes!L913+"'E4!&amp;c6"</f>
        <v>#VALUE!</v>
      </c>
      <c r="FM114" t="e">
        <f>Nodes!M913+"'E4!&amp;c7"</f>
        <v>#VALUE!</v>
      </c>
      <c r="FN114" t="e">
        <f>Nodes!N913+"'E4!&amp;c8"</f>
        <v>#VALUE!</v>
      </c>
      <c r="FO114" t="e">
        <f>Nodes!O913+"'E4!&amp;c9"</f>
        <v>#VALUE!</v>
      </c>
      <c r="FP114" t="e">
        <f>Nodes!P913+"'E4!&amp;c:"</f>
        <v>#VALUE!</v>
      </c>
      <c r="FQ114" t="e">
        <f>Nodes!Q913+"'E4!&amp;c;"</f>
        <v>#VALUE!</v>
      </c>
      <c r="FR114" t="e">
        <f>Nodes!R913+"'E4!&amp;c&lt;"</f>
        <v>#VALUE!</v>
      </c>
      <c r="FS114" t="e">
        <f>Nodes!S913+"'E4!&amp;c="</f>
        <v>#VALUE!</v>
      </c>
      <c r="FT114" s="547" t="e">
        <f>Nodes!T913+"'E4!&amp;c&gt;"</f>
        <v>#VALUE!</v>
      </c>
      <c r="FU114" s="548" t="e">
        <f>Nodes!U913+"'E4!&amp;c?"</f>
        <v>#VALUE!</v>
      </c>
      <c r="FV114" t="e">
        <f>Nodes!V913+"'E4!&amp;c@"</f>
        <v>#VALUE!</v>
      </c>
      <c r="FW114" s="547" t="e">
        <f>Nodes!W913+"'E4!&amp;cA"</f>
        <v>#VALUE!</v>
      </c>
      <c r="FX114" t="e">
        <f>Nodes!X913+"'E4!&amp;cB"</f>
        <v>#VALUE!</v>
      </c>
      <c r="FY114" t="e">
        <f>Nodes!Y913+"'E4!&amp;cC"</f>
        <v>#VALUE!</v>
      </c>
      <c r="FZ114" t="e">
        <f>Nodes!Z913+"'E4!&amp;cD"</f>
        <v>#VALUE!</v>
      </c>
      <c r="GA114" t="e">
        <f>Nodes!AA913+"'E4!&amp;cE"</f>
        <v>#VALUE!</v>
      </c>
      <c r="GB114" t="e">
        <f>Nodes!AB913+"'E4!&amp;cF"</f>
        <v>#VALUE!</v>
      </c>
      <c r="GC114" t="e">
        <f>Nodes!AC913+"'E4!&amp;cG"</f>
        <v>#VALUE!</v>
      </c>
      <c r="GD114" t="e">
        <f>Nodes!A914+"'E4!&amp;cH"</f>
        <v>#VALUE!</v>
      </c>
      <c r="GE114" t="e">
        <f>Nodes!B914+"'E4!&amp;cI"</f>
        <v>#VALUE!</v>
      </c>
      <c r="GF114" t="e">
        <f>Nodes!C914+"'E4!&amp;cJ"</f>
        <v>#VALUE!</v>
      </c>
      <c r="GG114" t="e">
        <f>Nodes!D914+"'E4!&amp;cK"</f>
        <v>#VALUE!</v>
      </c>
      <c r="GH114" t="e">
        <f>Nodes!E914+"'E4!&amp;cL"</f>
        <v>#VALUE!</v>
      </c>
      <c r="GI114" t="e">
        <f>Nodes!F914+"'E4!&amp;cM"</f>
        <v>#VALUE!</v>
      </c>
      <c r="GJ114" t="e">
        <f>Nodes!G914+"'E4!&amp;cN"</f>
        <v>#VALUE!</v>
      </c>
      <c r="GK114" t="e">
        <f>Nodes!H914+"'E4!&amp;cO"</f>
        <v>#VALUE!</v>
      </c>
      <c r="GL114" t="e">
        <f>Nodes!I914+"'E4!&amp;cP"</f>
        <v>#VALUE!</v>
      </c>
      <c r="GM114" t="e">
        <f>Nodes!J914+"'E4!&amp;cQ"</f>
        <v>#VALUE!</v>
      </c>
      <c r="GN114" t="e">
        <f>Nodes!K914+"'E4!&amp;cR"</f>
        <v>#VALUE!</v>
      </c>
      <c r="GO114" t="e">
        <f>Nodes!L914+"'E4!&amp;cS"</f>
        <v>#VALUE!</v>
      </c>
      <c r="GP114" t="e">
        <f>Nodes!M914+"'E4!&amp;cT"</f>
        <v>#VALUE!</v>
      </c>
      <c r="GQ114" t="e">
        <f>Nodes!N914+"'E4!&amp;cU"</f>
        <v>#VALUE!</v>
      </c>
      <c r="GR114" t="e">
        <f>Nodes!O914+"'E4!&amp;cV"</f>
        <v>#VALUE!</v>
      </c>
      <c r="GS114" t="e">
        <f>Nodes!P914+"'E4!&amp;cW"</f>
        <v>#VALUE!</v>
      </c>
      <c r="GT114" t="e">
        <f>Nodes!Q914+"'E4!&amp;cX"</f>
        <v>#VALUE!</v>
      </c>
      <c r="GU114" t="e">
        <f>Nodes!R914+"'E4!&amp;cY"</f>
        <v>#VALUE!</v>
      </c>
      <c r="GV114" t="e">
        <f>Nodes!S914+"'E4!&amp;cZ"</f>
        <v>#VALUE!</v>
      </c>
      <c r="GW114" s="547" t="e">
        <f>Nodes!T914+"'E4!&amp;c["</f>
        <v>#VALUE!</v>
      </c>
      <c r="GX114" s="548" t="e">
        <f>Nodes!U914+"'E4!&amp;c\"</f>
        <v>#VALUE!</v>
      </c>
      <c r="GY114" t="e">
        <f>Nodes!V914+"'E4!&amp;c]"</f>
        <v>#VALUE!</v>
      </c>
      <c r="GZ114" s="547" t="e">
        <f>Nodes!W914+"'E4!&amp;c^"</f>
        <v>#VALUE!</v>
      </c>
      <c r="HA114" t="e">
        <f>Nodes!X914+"'E4!&amp;c_"</f>
        <v>#VALUE!</v>
      </c>
      <c r="HB114" t="e">
        <f>Nodes!Y914+"'E4!&amp;c`"</f>
        <v>#VALUE!</v>
      </c>
      <c r="HC114" t="e">
        <f>Nodes!Z914+"'E4!&amp;ca"</f>
        <v>#VALUE!</v>
      </c>
      <c r="HD114" t="e">
        <f>Nodes!AA914+"'E4!&amp;cb"</f>
        <v>#VALUE!</v>
      </c>
      <c r="HE114" t="e">
        <f>Nodes!AB914+"'E4!&amp;cc"</f>
        <v>#VALUE!</v>
      </c>
      <c r="HF114" t="e">
        <f>Nodes!AC914+"'E4!&amp;cd"</f>
        <v>#VALUE!</v>
      </c>
      <c r="HG114" t="e">
        <f>Nodes!A915+"'E4!&amp;ce"</f>
        <v>#VALUE!</v>
      </c>
      <c r="HH114" t="e">
        <f>Nodes!B915+"'E4!&amp;cf"</f>
        <v>#VALUE!</v>
      </c>
      <c r="HI114" t="e">
        <f>Nodes!C915+"'E4!&amp;cg"</f>
        <v>#VALUE!</v>
      </c>
      <c r="HJ114" t="e">
        <f>Nodes!D915+"'E4!&amp;ch"</f>
        <v>#VALUE!</v>
      </c>
      <c r="HK114" t="e">
        <f>Nodes!E915+"'E4!&amp;ci"</f>
        <v>#VALUE!</v>
      </c>
      <c r="HL114" t="e">
        <f>Nodes!F915+"'E4!&amp;cj"</f>
        <v>#VALUE!</v>
      </c>
      <c r="HM114" t="e">
        <f>Nodes!G915+"'E4!&amp;ck"</f>
        <v>#VALUE!</v>
      </c>
      <c r="HN114" t="e">
        <f>Nodes!H915+"'E4!&amp;cl"</f>
        <v>#VALUE!</v>
      </c>
      <c r="HO114" t="e">
        <f>Nodes!I915+"'E4!&amp;cm"</f>
        <v>#VALUE!</v>
      </c>
      <c r="HP114" t="e">
        <f>Nodes!J915+"'E4!&amp;cn"</f>
        <v>#VALUE!</v>
      </c>
      <c r="HQ114" t="e">
        <f>Nodes!K915+"'E4!&amp;co"</f>
        <v>#VALUE!</v>
      </c>
      <c r="HR114" t="e">
        <f>Nodes!L915+"'E4!&amp;cp"</f>
        <v>#VALUE!</v>
      </c>
      <c r="HS114" t="e">
        <f>Nodes!M915+"'E4!&amp;cq"</f>
        <v>#VALUE!</v>
      </c>
      <c r="HT114" t="e">
        <f>Nodes!N915+"'E4!&amp;cr"</f>
        <v>#VALUE!</v>
      </c>
      <c r="HU114" t="e">
        <f>Nodes!O915+"'E4!&amp;cs"</f>
        <v>#VALUE!</v>
      </c>
      <c r="HV114" t="e">
        <f>Nodes!P915+"'E4!&amp;ct"</f>
        <v>#VALUE!</v>
      </c>
      <c r="HW114" t="e">
        <f>Nodes!Q915+"'E4!&amp;cu"</f>
        <v>#VALUE!</v>
      </c>
      <c r="HX114" t="e">
        <f>Nodes!R915+"'E4!&amp;cv"</f>
        <v>#VALUE!</v>
      </c>
      <c r="HY114" t="e">
        <f>Nodes!S915+"'E4!&amp;cw"</f>
        <v>#VALUE!</v>
      </c>
      <c r="HZ114" s="547" t="e">
        <f>Nodes!T915+"'E4!&amp;cx"</f>
        <v>#VALUE!</v>
      </c>
      <c r="IA114" s="548" t="e">
        <f>Nodes!U915+"'E4!&amp;cy"</f>
        <v>#VALUE!</v>
      </c>
      <c r="IB114" t="e">
        <f>Nodes!V915+"'E4!&amp;cz"</f>
        <v>#VALUE!</v>
      </c>
      <c r="IC114" s="547" t="e">
        <f>Nodes!W915+"'E4!&amp;c{"</f>
        <v>#VALUE!</v>
      </c>
      <c r="ID114" t="e">
        <f>Nodes!X915+"'E4!&amp;c|"</f>
        <v>#VALUE!</v>
      </c>
      <c r="IE114" t="e">
        <f>Nodes!Y915+"'E4!&amp;c}"</f>
        <v>#VALUE!</v>
      </c>
      <c r="IF114" t="e">
        <f>Nodes!Z915+"'E4!&amp;c~"</f>
        <v>#VALUE!</v>
      </c>
      <c r="IG114" t="e">
        <f>Nodes!AA915+"'E4!&amp;d#"</f>
        <v>#VALUE!</v>
      </c>
      <c r="IH114" t="e">
        <f>Nodes!AB915+"'E4!&amp;d$"</f>
        <v>#VALUE!</v>
      </c>
      <c r="II114" t="e">
        <f>Nodes!AC915+"'E4!&amp;d%"</f>
        <v>#VALUE!</v>
      </c>
      <c r="IJ114" t="e">
        <f>Nodes!A916+"'E4!&amp;d&amp;"</f>
        <v>#VALUE!</v>
      </c>
      <c r="IK114" t="e">
        <f>Nodes!B916+"'E4!&amp;d'"</f>
        <v>#VALUE!</v>
      </c>
      <c r="IL114" t="e">
        <f>Nodes!C916+"'E4!&amp;d("</f>
        <v>#VALUE!</v>
      </c>
      <c r="IM114" t="e">
        <f>Nodes!D916+"'E4!&amp;d)"</f>
        <v>#VALUE!</v>
      </c>
      <c r="IN114" t="e">
        <f>Nodes!E916+"'E4!&amp;d."</f>
        <v>#VALUE!</v>
      </c>
      <c r="IO114" t="e">
        <f>Nodes!F916+"'E4!&amp;d/"</f>
        <v>#VALUE!</v>
      </c>
      <c r="IP114" t="e">
        <f>Nodes!G916+"'E4!&amp;d0"</f>
        <v>#VALUE!</v>
      </c>
      <c r="IQ114" t="e">
        <f>Nodes!H916+"'E4!&amp;d1"</f>
        <v>#VALUE!</v>
      </c>
      <c r="IR114" t="e">
        <f>Nodes!I916+"'E4!&amp;d2"</f>
        <v>#VALUE!</v>
      </c>
      <c r="IS114" t="e">
        <f>Nodes!J916+"'E4!&amp;d3"</f>
        <v>#VALUE!</v>
      </c>
      <c r="IT114" t="e">
        <f>Nodes!K916+"'E4!&amp;d4"</f>
        <v>#VALUE!</v>
      </c>
      <c r="IU114" t="e">
        <f>Nodes!L916+"'E4!&amp;d5"</f>
        <v>#VALUE!</v>
      </c>
      <c r="IV114" t="e">
        <f>Nodes!M916+"'E4!&amp;d6"</f>
        <v>#VALUE!</v>
      </c>
    </row>
    <row r="115" spans="6:256">
      <c r="F115" t="e">
        <f>Nodes!N916+"'E4!&amp;d7"</f>
        <v>#VALUE!</v>
      </c>
      <c r="G115" t="e">
        <f>Nodes!O916+"'E4!&amp;d8"</f>
        <v>#VALUE!</v>
      </c>
      <c r="H115" t="e">
        <f>Nodes!P916+"'E4!&amp;d9"</f>
        <v>#VALUE!</v>
      </c>
      <c r="I115" t="e">
        <f>Nodes!Q916+"'E4!&amp;d:"</f>
        <v>#VALUE!</v>
      </c>
      <c r="J115" t="e">
        <f>Nodes!R916+"'E4!&amp;d;"</f>
        <v>#VALUE!</v>
      </c>
      <c r="K115" t="e">
        <f>Nodes!S916+"'E4!&amp;d&lt;"</f>
        <v>#VALUE!</v>
      </c>
      <c r="L115" s="547" t="e">
        <f>Nodes!T916+"'E4!&amp;d="</f>
        <v>#VALUE!</v>
      </c>
      <c r="M115" s="548" t="e">
        <f>Nodes!U916+"'E4!&amp;d&gt;"</f>
        <v>#VALUE!</v>
      </c>
      <c r="N115" t="e">
        <f>Nodes!V916+"'E4!&amp;d?"</f>
        <v>#VALUE!</v>
      </c>
      <c r="O115" s="547" t="e">
        <f>Nodes!W916+"'E4!&amp;d@"</f>
        <v>#VALUE!</v>
      </c>
      <c r="P115" t="e">
        <f>Nodes!X916+"'E4!&amp;dA"</f>
        <v>#VALUE!</v>
      </c>
      <c r="Q115" t="e">
        <f>Nodes!Y916+"'E4!&amp;dB"</f>
        <v>#VALUE!</v>
      </c>
      <c r="R115" t="e">
        <f>Nodes!Z916+"'E4!&amp;dC"</f>
        <v>#VALUE!</v>
      </c>
      <c r="S115" t="e">
        <f>Nodes!AA916+"'E4!&amp;dD"</f>
        <v>#VALUE!</v>
      </c>
      <c r="T115" t="e">
        <f>Nodes!AB916+"'E4!&amp;dE"</f>
        <v>#VALUE!</v>
      </c>
      <c r="U115" t="e">
        <f>Nodes!AC916+"'E4!&amp;dF"</f>
        <v>#VALUE!</v>
      </c>
      <c r="V115" t="e">
        <f>Nodes!A917+"'E4!&amp;dG"</f>
        <v>#VALUE!</v>
      </c>
      <c r="W115" t="e">
        <f>Nodes!B917+"'E4!&amp;dH"</f>
        <v>#VALUE!</v>
      </c>
      <c r="X115" t="e">
        <f>Nodes!C917+"'E4!&amp;dI"</f>
        <v>#VALUE!</v>
      </c>
      <c r="Y115" t="e">
        <f>Nodes!D917+"'E4!&amp;dJ"</f>
        <v>#VALUE!</v>
      </c>
      <c r="Z115" t="e">
        <f>Nodes!E917+"'E4!&amp;dK"</f>
        <v>#VALUE!</v>
      </c>
      <c r="AA115" t="e">
        <f>Nodes!F917+"'E4!&amp;dL"</f>
        <v>#VALUE!</v>
      </c>
      <c r="AB115" t="e">
        <f>Nodes!G917+"'E4!&amp;dM"</f>
        <v>#VALUE!</v>
      </c>
      <c r="AC115" t="e">
        <f>Nodes!H917+"'E4!&amp;dN"</f>
        <v>#VALUE!</v>
      </c>
      <c r="AD115" t="e">
        <f>Nodes!I917+"'E4!&amp;dO"</f>
        <v>#VALUE!</v>
      </c>
      <c r="AE115" t="e">
        <f>Nodes!J917+"'E4!&amp;dP"</f>
        <v>#VALUE!</v>
      </c>
      <c r="AF115" t="e">
        <f>Nodes!K917+"'E4!&amp;dQ"</f>
        <v>#VALUE!</v>
      </c>
      <c r="AG115" t="e">
        <f>Nodes!L917+"'E4!&amp;dR"</f>
        <v>#VALUE!</v>
      </c>
      <c r="AH115" t="e">
        <f>Nodes!M917+"'E4!&amp;dS"</f>
        <v>#VALUE!</v>
      </c>
      <c r="AI115" t="e">
        <f>Nodes!N917+"'E4!&amp;dT"</f>
        <v>#VALUE!</v>
      </c>
      <c r="AJ115" t="e">
        <f>Nodes!O917+"'E4!&amp;dU"</f>
        <v>#VALUE!</v>
      </c>
      <c r="AK115" t="e">
        <f>Nodes!P917+"'E4!&amp;dV"</f>
        <v>#VALUE!</v>
      </c>
      <c r="AL115" t="e">
        <f>Nodes!Q917+"'E4!&amp;dW"</f>
        <v>#VALUE!</v>
      </c>
      <c r="AM115" t="e">
        <f>Nodes!R917+"'E4!&amp;dX"</f>
        <v>#VALUE!</v>
      </c>
      <c r="AN115" t="e">
        <f>Nodes!S917+"'E4!&amp;dY"</f>
        <v>#VALUE!</v>
      </c>
      <c r="AO115" s="547" t="e">
        <f>Nodes!T917+"'E4!&amp;dZ"</f>
        <v>#VALUE!</v>
      </c>
      <c r="AP115" s="548" t="e">
        <f>Nodes!U917+"'E4!&amp;d["</f>
        <v>#VALUE!</v>
      </c>
      <c r="AQ115" t="e">
        <f>Nodes!V917+"'E4!&amp;d\"</f>
        <v>#VALUE!</v>
      </c>
      <c r="AR115" s="547" t="e">
        <f>Nodes!W917+"'E4!&amp;d]"</f>
        <v>#VALUE!</v>
      </c>
      <c r="AS115" t="e">
        <f>Nodes!X917+"'E4!&amp;d^"</f>
        <v>#VALUE!</v>
      </c>
      <c r="AT115" t="e">
        <f>Nodes!Y917+"'E4!&amp;d_"</f>
        <v>#VALUE!</v>
      </c>
      <c r="AU115" t="e">
        <f>Nodes!Z917+"'E4!&amp;d`"</f>
        <v>#VALUE!</v>
      </c>
      <c r="AV115" t="e">
        <f>Nodes!AA917+"'E4!&amp;da"</f>
        <v>#VALUE!</v>
      </c>
      <c r="AW115" t="e">
        <f>Nodes!AB917+"'E4!&amp;db"</f>
        <v>#VALUE!</v>
      </c>
      <c r="AX115" t="e">
        <f>Nodes!AC917+"'E4!&amp;dc"</f>
        <v>#VALUE!</v>
      </c>
      <c r="AY115" t="e">
        <f>Nodes!A918+"'E4!&amp;dd"</f>
        <v>#VALUE!</v>
      </c>
      <c r="AZ115" t="e">
        <f>Nodes!B918+"'E4!&amp;de"</f>
        <v>#VALUE!</v>
      </c>
      <c r="BA115" t="e">
        <f>Nodes!C918+"'E4!&amp;df"</f>
        <v>#VALUE!</v>
      </c>
      <c r="BB115" t="e">
        <f>Nodes!D918+"'E4!&amp;dg"</f>
        <v>#VALUE!</v>
      </c>
      <c r="BC115" t="e">
        <f>Nodes!E918+"'E4!&amp;dh"</f>
        <v>#VALUE!</v>
      </c>
      <c r="BD115" t="e">
        <f>Nodes!F918+"'E4!&amp;di"</f>
        <v>#VALUE!</v>
      </c>
      <c r="BE115" t="e">
        <f>Nodes!G918+"'E4!&amp;dj"</f>
        <v>#VALUE!</v>
      </c>
      <c r="BF115" t="e">
        <f>Nodes!H918+"'E4!&amp;dk"</f>
        <v>#VALUE!</v>
      </c>
      <c r="BG115" t="e">
        <f>Nodes!I918+"'E4!&amp;dl"</f>
        <v>#VALUE!</v>
      </c>
      <c r="BH115" t="e">
        <f>Nodes!J918+"'E4!&amp;dm"</f>
        <v>#VALUE!</v>
      </c>
      <c r="BI115" t="e">
        <f>Nodes!K918+"'E4!&amp;dn"</f>
        <v>#VALUE!</v>
      </c>
      <c r="BJ115" t="e">
        <f>Nodes!L918+"'E4!&amp;do"</f>
        <v>#VALUE!</v>
      </c>
      <c r="BK115" t="e">
        <f>Nodes!M918+"'E4!&amp;dp"</f>
        <v>#VALUE!</v>
      </c>
      <c r="BL115" t="e">
        <f>Nodes!N918+"'E4!&amp;dq"</f>
        <v>#VALUE!</v>
      </c>
      <c r="BM115" t="e">
        <f>Nodes!O918+"'E4!&amp;dr"</f>
        <v>#VALUE!</v>
      </c>
      <c r="BN115" t="e">
        <f>Nodes!P918+"'E4!&amp;ds"</f>
        <v>#VALUE!</v>
      </c>
      <c r="BO115" t="e">
        <f>Nodes!Q918+"'E4!&amp;dt"</f>
        <v>#VALUE!</v>
      </c>
      <c r="BP115" t="e">
        <f>Nodes!R918+"'E4!&amp;du"</f>
        <v>#VALUE!</v>
      </c>
      <c r="BQ115" t="e">
        <f>Nodes!S918+"'E4!&amp;dv"</f>
        <v>#VALUE!</v>
      </c>
      <c r="BR115" s="547" t="e">
        <f>Nodes!T918+"'E4!&amp;dw"</f>
        <v>#VALUE!</v>
      </c>
      <c r="BS115" s="548" t="e">
        <f>Nodes!U918+"'E4!&amp;dx"</f>
        <v>#VALUE!</v>
      </c>
      <c r="BT115" t="e">
        <f>Nodes!V918+"'E4!&amp;dy"</f>
        <v>#VALUE!</v>
      </c>
      <c r="BU115" s="547" t="e">
        <f>Nodes!W918+"'E4!&amp;dz"</f>
        <v>#VALUE!</v>
      </c>
      <c r="BV115" t="e">
        <f>Nodes!X918+"'E4!&amp;d{"</f>
        <v>#VALUE!</v>
      </c>
      <c r="BW115" t="e">
        <f>Nodes!Y918+"'E4!&amp;d|"</f>
        <v>#VALUE!</v>
      </c>
      <c r="BX115" t="e">
        <f>Nodes!Z918+"'E4!&amp;d}"</f>
        <v>#VALUE!</v>
      </c>
      <c r="BY115" t="e">
        <f>Nodes!AA918+"'E4!&amp;d~"</f>
        <v>#VALUE!</v>
      </c>
      <c r="BZ115" t="e">
        <f>Nodes!AB918+"'E4!&amp;e#"</f>
        <v>#VALUE!</v>
      </c>
      <c r="CA115" t="e">
        <f>Nodes!AC918+"'E4!&amp;e$"</f>
        <v>#VALUE!</v>
      </c>
      <c r="CB115" t="e">
        <f>Nodes!A919+"'E4!&amp;e%"</f>
        <v>#VALUE!</v>
      </c>
      <c r="CC115" t="e">
        <f>Nodes!B919+"'E4!&amp;e&amp;"</f>
        <v>#VALUE!</v>
      </c>
      <c r="CD115" t="e">
        <f>Nodes!C919+"'E4!&amp;e'"</f>
        <v>#VALUE!</v>
      </c>
      <c r="CE115" t="e">
        <f>Nodes!D919+"'E4!&amp;e("</f>
        <v>#VALUE!</v>
      </c>
      <c r="CF115" t="e">
        <f>Nodes!E919+"'E4!&amp;e)"</f>
        <v>#VALUE!</v>
      </c>
      <c r="CG115" t="e">
        <f>Nodes!F919+"'E4!&amp;e."</f>
        <v>#VALUE!</v>
      </c>
      <c r="CH115" t="e">
        <f>Nodes!G919+"'E4!&amp;e/"</f>
        <v>#VALUE!</v>
      </c>
      <c r="CI115" t="e">
        <f>Nodes!H919+"'E4!&amp;e0"</f>
        <v>#VALUE!</v>
      </c>
      <c r="CJ115" t="e">
        <f>Nodes!I919+"'E4!&amp;e1"</f>
        <v>#VALUE!</v>
      </c>
      <c r="CK115" t="e">
        <f>Nodes!J919+"'E4!&amp;e2"</f>
        <v>#VALUE!</v>
      </c>
      <c r="CL115" t="e">
        <f>Nodes!K919+"'E4!&amp;e3"</f>
        <v>#VALUE!</v>
      </c>
      <c r="CM115" t="e">
        <f>Nodes!L919+"'E4!&amp;e4"</f>
        <v>#VALUE!</v>
      </c>
      <c r="CN115" t="e">
        <f>Nodes!M919+"'E4!&amp;e5"</f>
        <v>#VALUE!</v>
      </c>
      <c r="CO115" t="e">
        <f>Nodes!N919+"'E4!&amp;e6"</f>
        <v>#VALUE!</v>
      </c>
      <c r="CP115" t="e">
        <f>Nodes!O919+"'E4!&amp;e7"</f>
        <v>#VALUE!</v>
      </c>
      <c r="CQ115" t="e">
        <f>Nodes!P919+"'E4!&amp;e8"</f>
        <v>#VALUE!</v>
      </c>
      <c r="CR115" t="e">
        <f>Nodes!Q919+"'E4!&amp;e9"</f>
        <v>#VALUE!</v>
      </c>
      <c r="CS115" t="e">
        <f>Nodes!R919+"'E4!&amp;e:"</f>
        <v>#VALUE!</v>
      </c>
      <c r="CT115" t="e">
        <f>Nodes!S919+"'E4!&amp;e;"</f>
        <v>#VALUE!</v>
      </c>
      <c r="CU115" s="547" t="e">
        <f>Nodes!T919+"'E4!&amp;e&lt;"</f>
        <v>#VALUE!</v>
      </c>
      <c r="CV115" s="548" t="e">
        <f>Nodes!U919+"'E4!&amp;e="</f>
        <v>#VALUE!</v>
      </c>
      <c r="CW115" t="e">
        <f>Nodes!V919+"'E4!&amp;e&gt;"</f>
        <v>#VALUE!</v>
      </c>
      <c r="CX115" s="547" t="e">
        <f>Nodes!W919+"'E4!&amp;e?"</f>
        <v>#VALUE!</v>
      </c>
      <c r="CY115" t="e">
        <f>Nodes!X919+"'E4!&amp;e@"</f>
        <v>#VALUE!</v>
      </c>
      <c r="CZ115" t="e">
        <f>Nodes!Y919+"'E4!&amp;eA"</f>
        <v>#VALUE!</v>
      </c>
      <c r="DA115" t="e">
        <f>Nodes!Z919+"'E4!&amp;eB"</f>
        <v>#VALUE!</v>
      </c>
      <c r="DB115" t="e">
        <f>Nodes!AA919+"'E4!&amp;eC"</f>
        <v>#VALUE!</v>
      </c>
      <c r="DC115" t="e">
        <f>Nodes!AB919+"'E4!&amp;eD"</f>
        <v>#VALUE!</v>
      </c>
      <c r="DD115" t="e">
        <f>Nodes!AC919+"'E4!&amp;eE"</f>
        <v>#VALUE!</v>
      </c>
      <c r="DE115" t="e">
        <f>Nodes!A920+"'E4!&amp;eF"</f>
        <v>#VALUE!</v>
      </c>
      <c r="DF115" t="e">
        <f>Nodes!B920+"'E4!&amp;eG"</f>
        <v>#VALUE!</v>
      </c>
      <c r="DG115" t="e">
        <f>Nodes!C920+"'E4!&amp;eH"</f>
        <v>#VALUE!</v>
      </c>
      <c r="DH115" t="e">
        <f>Nodes!D920+"'E4!&amp;eI"</f>
        <v>#VALUE!</v>
      </c>
      <c r="DI115" t="e">
        <f>Nodes!E920+"'E4!&amp;eJ"</f>
        <v>#VALUE!</v>
      </c>
      <c r="DJ115" t="e">
        <f>Nodes!F920+"'E4!&amp;eK"</f>
        <v>#VALUE!</v>
      </c>
      <c r="DK115" t="e">
        <f>Nodes!G920+"'E4!&amp;eL"</f>
        <v>#VALUE!</v>
      </c>
      <c r="DL115" t="e">
        <f>Nodes!H920+"'E4!&amp;eM"</f>
        <v>#VALUE!</v>
      </c>
      <c r="DM115" t="e">
        <f>Nodes!I920+"'E4!&amp;eN"</f>
        <v>#VALUE!</v>
      </c>
      <c r="DN115" t="e">
        <f>Nodes!J920+"'E4!&amp;eO"</f>
        <v>#VALUE!</v>
      </c>
      <c r="DO115" t="e">
        <f>Nodes!K920+"'E4!&amp;eP"</f>
        <v>#VALUE!</v>
      </c>
      <c r="DP115" t="e">
        <f>Nodes!L920+"'E4!&amp;eQ"</f>
        <v>#VALUE!</v>
      </c>
      <c r="DQ115" t="e">
        <f>Nodes!M920+"'E4!&amp;eR"</f>
        <v>#VALUE!</v>
      </c>
      <c r="DR115" t="e">
        <f>Nodes!N920+"'E4!&amp;eS"</f>
        <v>#VALUE!</v>
      </c>
      <c r="DS115" t="e">
        <f>Nodes!O920+"'E4!&amp;eT"</f>
        <v>#VALUE!</v>
      </c>
      <c r="DT115" t="e">
        <f>Nodes!P920+"'E4!&amp;eU"</f>
        <v>#VALUE!</v>
      </c>
      <c r="DU115" t="e">
        <f>Nodes!Q920+"'E4!&amp;eV"</f>
        <v>#VALUE!</v>
      </c>
      <c r="DV115" t="e">
        <f>Nodes!R920+"'E4!&amp;eW"</f>
        <v>#VALUE!</v>
      </c>
      <c r="DW115" t="e">
        <f>Nodes!S920+"'E4!&amp;eX"</f>
        <v>#VALUE!</v>
      </c>
      <c r="DX115" s="547" t="e">
        <f>Nodes!T920+"'E4!&amp;eY"</f>
        <v>#VALUE!</v>
      </c>
      <c r="DY115" s="548" t="e">
        <f>Nodes!U920+"'E4!&amp;eZ"</f>
        <v>#VALUE!</v>
      </c>
      <c r="DZ115" t="e">
        <f>Nodes!V920+"'E4!&amp;e["</f>
        <v>#VALUE!</v>
      </c>
      <c r="EA115" s="547" t="e">
        <f>Nodes!W920+"'E4!&amp;e\"</f>
        <v>#VALUE!</v>
      </c>
      <c r="EB115" t="e">
        <f>Nodes!X920+"'E4!&amp;e]"</f>
        <v>#VALUE!</v>
      </c>
      <c r="EC115" t="e">
        <f>Nodes!Y920+"'E4!&amp;e^"</f>
        <v>#VALUE!</v>
      </c>
      <c r="ED115" t="e">
        <f>Nodes!Z920+"'E4!&amp;e_"</f>
        <v>#VALUE!</v>
      </c>
      <c r="EE115" t="e">
        <f>Nodes!AA920+"'E4!&amp;e`"</f>
        <v>#VALUE!</v>
      </c>
      <c r="EF115" t="e">
        <f>Nodes!AB920+"'E4!&amp;ea"</f>
        <v>#VALUE!</v>
      </c>
      <c r="EG115" t="e">
        <f>Nodes!AC920+"'E4!&amp;eb"</f>
        <v>#VALUE!</v>
      </c>
      <c r="EH115" t="e">
        <f>Nodes!A921+"'E4!&amp;ec"</f>
        <v>#VALUE!</v>
      </c>
      <c r="EI115" t="e">
        <f>Nodes!B921+"'E4!&amp;ed"</f>
        <v>#VALUE!</v>
      </c>
      <c r="EJ115" t="e">
        <f>Nodes!C921+"'E4!&amp;ee"</f>
        <v>#VALUE!</v>
      </c>
      <c r="EK115" t="e">
        <f>Nodes!D921+"'E4!&amp;ef"</f>
        <v>#VALUE!</v>
      </c>
      <c r="EL115" t="e">
        <f>Nodes!E921+"'E4!&amp;eg"</f>
        <v>#VALUE!</v>
      </c>
      <c r="EM115" t="e">
        <f>Nodes!F921+"'E4!&amp;eh"</f>
        <v>#VALUE!</v>
      </c>
      <c r="EN115" t="e">
        <f>Nodes!G921+"'E4!&amp;ei"</f>
        <v>#VALUE!</v>
      </c>
      <c r="EO115" t="e">
        <f>Nodes!H921+"'E4!&amp;ej"</f>
        <v>#VALUE!</v>
      </c>
      <c r="EP115" t="e">
        <f>Nodes!I921+"'E4!&amp;ek"</f>
        <v>#VALUE!</v>
      </c>
      <c r="EQ115" t="e">
        <f>Nodes!J921+"'E4!&amp;el"</f>
        <v>#VALUE!</v>
      </c>
      <c r="ER115" t="e">
        <f>Nodes!K921+"'E4!&amp;em"</f>
        <v>#VALUE!</v>
      </c>
      <c r="ES115" t="e">
        <f>Nodes!L921+"'E4!&amp;en"</f>
        <v>#VALUE!</v>
      </c>
      <c r="ET115" t="e">
        <f>Nodes!M921+"'E4!&amp;eo"</f>
        <v>#VALUE!</v>
      </c>
      <c r="EU115" t="e">
        <f>Nodes!N921+"'E4!&amp;ep"</f>
        <v>#VALUE!</v>
      </c>
      <c r="EV115" t="e">
        <f>Nodes!O921+"'E4!&amp;eq"</f>
        <v>#VALUE!</v>
      </c>
      <c r="EW115" t="e">
        <f>Nodes!P921+"'E4!&amp;er"</f>
        <v>#VALUE!</v>
      </c>
      <c r="EX115" t="e">
        <f>Nodes!Q921+"'E4!&amp;es"</f>
        <v>#VALUE!</v>
      </c>
      <c r="EY115" t="e">
        <f>Nodes!R921+"'E4!&amp;et"</f>
        <v>#VALUE!</v>
      </c>
      <c r="EZ115" t="e">
        <f>Nodes!S921+"'E4!&amp;eu"</f>
        <v>#VALUE!</v>
      </c>
      <c r="FA115" s="547" t="e">
        <f>Nodes!T921+"'E4!&amp;ev"</f>
        <v>#VALUE!</v>
      </c>
      <c r="FB115" s="548" t="e">
        <f>Nodes!U921+"'E4!&amp;ew"</f>
        <v>#VALUE!</v>
      </c>
      <c r="FC115" t="e">
        <f>Nodes!V921+"'E4!&amp;ex"</f>
        <v>#VALUE!</v>
      </c>
      <c r="FD115" s="547" t="e">
        <f>Nodes!W921+"'E4!&amp;ey"</f>
        <v>#VALUE!</v>
      </c>
      <c r="FE115" t="e">
        <f>Nodes!X921+"'E4!&amp;ez"</f>
        <v>#VALUE!</v>
      </c>
      <c r="FF115" t="e">
        <f>Nodes!Y921+"'E4!&amp;e{"</f>
        <v>#VALUE!</v>
      </c>
      <c r="FG115" t="e">
        <f>Nodes!Z921+"'E4!&amp;e|"</f>
        <v>#VALUE!</v>
      </c>
      <c r="FH115" t="e">
        <f>Nodes!AA921+"'E4!&amp;e}"</f>
        <v>#VALUE!</v>
      </c>
      <c r="FI115" t="e">
        <f>Nodes!AB921+"'E4!&amp;e~"</f>
        <v>#VALUE!</v>
      </c>
      <c r="FJ115" t="e">
        <f>Nodes!AC921+"'E4!&amp;f#"</f>
        <v>#VALUE!</v>
      </c>
      <c r="FK115" t="e">
        <f>Nodes!A922+"'E4!&amp;f$"</f>
        <v>#VALUE!</v>
      </c>
      <c r="FL115" t="e">
        <f>Nodes!B922+"'E4!&amp;f%"</f>
        <v>#VALUE!</v>
      </c>
      <c r="FM115" t="e">
        <f>Nodes!C922+"'E4!&amp;f&amp;"</f>
        <v>#VALUE!</v>
      </c>
      <c r="FN115" t="e">
        <f>Nodes!D922+"'E4!&amp;f'"</f>
        <v>#VALUE!</v>
      </c>
      <c r="FO115" t="e">
        <f>Nodes!E922+"'E4!&amp;f("</f>
        <v>#VALUE!</v>
      </c>
      <c r="FP115" t="e">
        <f>Nodes!F922+"'E4!&amp;f)"</f>
        <v>#VALUE!</v>
      </c>
      <c r="FQ115" t="e">
        <f>Nodes!G922+"'E4!&amp;f."</f>
        <v>#VALUE!</v>
      </c>
      <c r="FR115" t="e">
        <f>Nodes!H922+"'E4!&amp;f/"</f>
        <v>#VALUE!</v>
      </c>
      <c r="FS115" t="e">
        <f>Nodes!I922+"'E4!&amp;f0"</f>
        <v>#VALUE!</v>
      </c>
      <c r="FT115" t="e">
        <f>Nodes!J922+"'E4!&amp;f1"</f>
        <v>#VALUE!</v>
      </c>
      <c r="FU115" t="e">
        <f>Nodes!K922+"'E4!&amp;f2"</f>
        <v>#VALUE!</v>
      </c>
      <c r="FV115" t="e">
        <f>Nodes!L922+"'E4!&amp;f3"</f>
        <v>#VALUE!</v>
      </c>
      <c r="FW115" t="e">
        <f>Nodes!M922+"'E4!&amp;f4"</f>
        <v>#VALUE!</v>
      </c>
      <c r="FX115" t="e">
        <f>Nodes!N922+"'E4!&amp;f5"</f>
        <v>#VALUE!</v>
      </c>
      <c r="FY115" t="e">
        <f>Nodes!O922+"'E4!&amp;f6"</f>
        <v>#VALUE!</v>
      </c>
      <c r="FZ115" t="e">
        <f>Nodes!P922+"'E4!&amp;f7"</f>
        <v>#VALUE!</v>
      </c>
      <c r="GA115" t="e">
        <f>Nodes!Q922+"'E4!&amp;f8"</f>
        <v>#VALUE!</v>
      </c>
      <c r="GB115" t="e">
        <f>Nodes!R922+"'E4!&amp;f9"</f>
        <v>#VALUE!</v>
      </c>
      <c r="GC115" t="e">
        <f>Nodes!S922+"'E4!&amp;f:"</f>
        <v>#VALUE!</v>
      </c>
      <c r="GD115" s="547" t="e">
        <f>Nodes!T922+"'E4!&amp;f;"</f>
        <v>#VALUE!</v>
      </c>
      <c r="GE115" s="548" t="e">
        <f>Nodes!U922+"'E4!&amp;f&lt;"</f>
        <v>#VALUE!</v>
      </c>
      <c r="GF115" t="e">
        <f>Nodes!V922+"'E4!&amp;f="</f>
        <v>#VALUE!</v>
      </c>
      <c r="GG115" s="547" t="e">
        <f>Nodes!W922+"'E4!&amp;f&gt;"</f>
        <v>#VALUE!</v>
      </c>
      <c r="GH115" t="e">
        <f>Nodes!X922+"'E4!&amp;f?"</f>
        <v>#VALUE!</v>
      </c>
      <c r="GI115" t="e">
        <f>Nodes!Y922+"'E4!&amp;f@"</f>
        <v>#VALUE!</v>
      </c>
      <c r="GJ115" t="e">
        <f>Nodes!Z922+"'E4!&amp;fA"</f>
        <v>#VALUE!</v>
      </c>
      <c r="GK115" t="e">
        <f>Nodes!AA922+"'E4!&amp;fB"</f>
        <v>#VALUE!</v>
      </c>
      <c r="GL115" t="e">
        <f>Nodes!AB922+"'E4!&amp;fC"</f>
        <v>#VALUE!</v>
      </c>
      <c r="GM115" t="e">
        <f>Nodes!AC922+"'E4!&amp;fD"</f>
        <v>#VALUE!</v>
      </c>
      <c r="GN115" t="e">
        <f>Nodes!A923+"'E4!&amp;fE"</f>
        <v>#VALUE!</v>
      </c>
      <c r="GO115" t="e">
        <f>Nodes!B923+"'E4!&amp;fF"</f>
        <v>#VALUE!</v>
      </c>
      <c r="GP115" t="e">
        <f>Nodes!C923+"'E4!&amp;fG"</f>
        <v>#VALUE!</v>
      </c>
      <c r="GQ115" t="e">
        <f>Nodes!D923+"'E4!&amp;fH"</f>
        <v>#VALUE!</v>
      </c>
      <c r="GR115" t="e">
        <f>Nodes!E923+"'E4!&amp;fI"</f>
        <v>#VALUE!</v>
      </c>
      <c r="GS115" t="e">
        <f>Nodes!F923+"'E4!&amp;fJ"</f>
        <v>#VALUE!</v>
      </c>
      <c r="GT115" t="e">
        <f>Nodes!G923+"'E4!&amp;fK"</f>
        <v>#VALUE!</v>
      </c>
      <c r="GU115" t="e">
        <f>Nodes!H923+"'E4!&amp;fL"</f>
        <v>#VALUE!</v>
      </c>
      <c r="GV115" t="e">
        <f>Nodes!I923+"'E4!&amp;fM"</f>
        <v>#VALUE!</v>
      </c>
      <c r="GW115" t="e">
        <f>Nodes!J923+"'E4!&amp;fN"</f>
        <v>#VALUE!</v>
      </c>
      <c r="GX115" t="e">
        <f>Nodes!K923+"'E4!&amp;fO"</f>
        <v>#VALUE!</v>
      </c>
      <c r="GY115" t="e">
        <f>Nodes!L923+"'E4!&amp;fP"</f>
        <v>#VALUE!</v>
      </c>
      <c r="GZ115" t="e">
        <f>Nodes!M923+"'E4!&amp;fQ"</f>
        <v>#VALUE!</v>
      </c>
      <c r="HA115" t="e">
        <f>Nodes!N923+"'E4!&amp;fR"</f>
        <v>#VALUE!</v>
      </c>
      <c r="HB115" t="e">
        <f>Nodes!O923+"'E4!&amp;fS"</f>
        <v>#VALUE!</v>
      </c>
      <c r="HC115" t="e">
        <f>Nodes!P923+"'E4!&amp;fT"</f>
        <v>#VALUE!</v>
      </c>
      <c r="HD115" t="e">
        <f>Nodes!Q923+"'E4!&amp;fU"</f>
        <v>#VALUE!</v>
      </c>
      <c r="HE115" t="e">
        <f>Nodes!R923+"'E4!&amp;fV"</f>
        <v>#VALUE!</v>
      </c>
      <c r="HF115" t="e">
        <f>Nodes!S923+"'E4!&amp;fW"</f>
        <v>#VALUE!</v>
      </c>
      <c r="HG115" s="547" t="e">
        <f>Nodes!T923+"'E4!&amp;fX"</f>
        <v>#VALUE!</v>
      </c>
      <c r="HH115" s="548" t="e">
        <f>Nodes!U923+"'E4!&amp;fY"</f>
        <v>#VALUE!</v>
      </c>
      <c r="HI115" t="e">
        <f>Nodes!V923+"'E4!&amp;fZ"</f>
        <v>#VALUE!</v>
      </c>
      <c r="HJ115" s="547" t="e">
        <f>Nodes!W923+"'E4!&amp;f["</f>
        <v>#VALUE!</v>
      </c>
      <c r="HK115" t="e">
        <f>Nodes!X923+"'E4!&amp;f\"</f>
        <v>#VALUE!</v>
      </c>
      <c r="HL115" t="e">
        <f>Nodes!Y923+"'E4!&amp;f]"</f>
        <v>#VALUE!</v>
      </c>
      <c r="HM115" t="e">
        <f>Nodes!Z923+"'E4!&amp;f^"</f>
        <v>#VALUE!</v>
      </c>
      <c r="HN115" t="e">
        <f>Nodes!AA923+"'E4!&amp;f_"</f>
        <v>#VALUE!</v>
      </c>
      <c r="HO115" t="e">
        <f>Nodes!AB923+"'E4!&amp;f`"</f>
        <v>#VALUE!</v>
      </c>
      <c r="HP115" t="e">
        <f>Nodes!AC923+"'E4!&amp;fa"</f>
        <v>#VALUE!</v>
      </c>
      <c r="HQ115" t="e">
        <f>Nodes!A924+"'E4!&amp;fb"</f>
        <v>#VALUE!</v>
      </c>
      <c r="HR115" t="e">
        <f>Nodes!B924+"'E4!&amp;fc"</f>
        <v>#VALUE!</v>
      </c>
      <c r="HS115" t="e">
        <f>Nodes!C924+"'E4!&amp;fd"</f>
        <v>#VALUE!</v>
      </c>
      <c r="HT115" t="e">
        <f>Nodes!D924+"'E4!&amp;fe"</f>
        <v>#VALUE!</v>
      </c>
      <c r="HU115" t="e">
        <f>Nodes!E924+"'E4!&amp;ff"</f>
        <v>#VALUE!</v>
      </c>
      <c r="HV115" t="e">
        <f>Nodes!F924+"'E4!&amp;fg"</f>
        <v>#VALUE!</v>
      </c>
      <c r="HW115" t="e">
        <f>Nodes!G924+"'E4!&amp;fh"</f>
        <v>#VALUE!</v>
      </c>
      <c r="HX115" t="e">
        <f>Nodes!H924+"'E4!&amp;fi"</f>
        <v>#VALUE!</v>
      </c>
      <c r="HY115" t="e">
        <f>Nodes!I924+"'E4!&amp;fj"</f>
        <v>#VALUE!</v>
      </c>
      <c r="HZ115" t="e">
        <f>Nodes!J924+"'E4!&amp;fk"</f>
        <v>#VALUE!</v>
      </c>
      <c r="IA115" t="e">
        <f>Nodes!K924+"'E4!&amp;fl"</f>
        <v>#VALUE!</v>
      </c>
      <c r="IB115" t="e">
        <f>Nodes!L924+"'E4!&amp;fm"</f>
        <v>#VALUE!</v>
      </c>
      <c r="IC115" t="e">
        <f>Nodes!M924+"'E4!&amp;fn"</f>
        <v>#VALUE!</v>
      </c>
      <c r="ID115" t="e">
        <f>Nodes!N924+"'E4!&amp;fo"</f>
        <v>#VALUE!</v>
      </c>
      <c r="IE115" t="e">
        <f>Nodes!O924+"'E4!&amp;fp"</f>
        <v>#VALUE!</v>
      </c>
      <c r="IF115" t="e">
        <f>Nodes!P924+"'E4!&amp;fq"</f>
        <v>#VALUE!</v>
      </c>
      <c r="IG115" t="e">
        <f>Nodes!Q924+"'E4!&amp;fr"</f>
        <v>#VALUE!</v>
      </c>
      <c r="IH115" t="e">
        <f>Nodes!R924+"'E4!&amp;fs"</f>
        <v>#VALUE!</v>
      </c>
      <c r="II115" t="e">
        <f>Nodes!S924+"'E4!&amp;ft"</f>
        <v>#VALUE!</v>
      </c>
      <c r="IJ115" s="547" t="e">
        <f>Nodes!T924+"'E4!&amp;fu"</f>
        <v>#VALUE!</v>
      </c>
      <c r="IK115" s="548" t="e">
        <f>Nodes!U924+"'E4!&amp;fv"</f>
        <v>#VALUE!</v>
      </c>
      <c r="IL115" t="e">
        <f>Nodes!V924+"'E4!&amp;fw"</f>
        <v>#VALUE!</v>
      </c>
      <c r="IM115" s="547" t="e">
        <f>Nodes!W924+"'E4!&amp;fx"</f>
        <v>#VALUE!</v>
      </c>
      <c r="IN115" t="e">
        <f>Nodes!X924+"'E4!&amp;fy"</f>
        <v>#VALUE!</v>
      </c>
      <c r="IO115" t="e">
        <f>Nodes!Y924+"'E4!&amp;fz"</f>
        <v>#VALUE!</v>
      </c>
      <c r="IP115" t="e">
        <f>Nodes!Z924+"'E4!&amp;f{"</f>
        <v>#VALUE!</v>
      </c>
      <c r="IQ115" t="e">
        <f>Nodes!AA924+"'E4!&amp;f|"</f>
        <v>#VALUE!</v>
      </c>
      <c r="IR115" t="e">
        <f>Nodes!AB924+"'E4!&amp;f}"</f>
        <v>#VALUE!</v>
      </c>
      <c r="IS115" t="e">
        <f>Nodes!AC924+"'E4!&amp;f~"</f>
        <v>#VALUE!</v>
      </c>
      <c r="IT115" t="e">
        <f>Nodes!A925+"'E4!&amp;g#"</f>
        <v>#VALUE!</v>
      </c>
      <c r="IU115" t="e">
        <f>Nodes!B925+"'E4!&amp;g$"</f>
        <v>#VALUE!</v>
      </c>
      <c r="IV115" t="e">
        <f>Nodes!C925+"'E4!&amp;g%"</f>
        <v>#VALUE!</v>
      </c>
    </row>
    <row r="116" spans="6:256">
      <c r="F116" t="e">
        <f>Nodes!D925+"'E4!&amp;g&amp;"</f>
        <v>#VALUE!</v>
      </c>
      <c r="G116" t="e">
        <f>Nodes!E925+"'E4!&amp;g'"</f>
        <v>#VALUE!</v>
      </c>
      <c r="H116" t="e">
        <f>Nodes!F925+"'E4!&amp;g("</f>
        <v>#VALUE!</v>
      </c>
      <c r="I116" t="e">
        <f>Nodes!G925+"'E4!&amp;g)"</f>
        <v>#VALUE!</v>
      </c>
      <c r="J116" t="e">
        <f>Nodes!H925+"'E4!&amp;g."</f>
        <v>#VALUE!</v>
      </c>
      <c r="K116" t="e">
        <f>Nodes!I925+"'E4!&amp;g/"</f>
        <v>#VALUE!</v>
      </c>
      <c r="L116" t="e">
        <f>Nodes!J925+"'E4!&amp;g0"</f>
        <v>#VALUE!</v>
      </c>
      <c r="M116" t="e">
        <f>Nodes!K925+"'E4!&amp;g1"</f>
        <v>#VALUE!</v>
      </c>
      <c r="N116" t="e">
        <f>Nodes!L925+"'E4!&amp;g2"</f>
        <v>#VALUE!</v>
      </c>
      <c r="O116" t="e">
        <f>Nodes!M925+"'E4!&amp;g3"</f>
        <v>#VALUE!</v>
      </c>
      <c r="P116" t="e">
        <f>Nodes!N925+"'E4!&amp;g4"</f>
        <v>#VALUE!</v>
      </c>
      <c r="Q116" t="e">
        <f>Nodes!O925+"'E4!&amp;g5"</f>
        <v>#VALUE!</v>
      </c>
      <c r="R116" t="e">
        <f>Nodes!P925+"'E4!&amp;g6"</f>
        <v>#VALUE!</v>
      </c>
      <c r="S116" t="e">
        <f>Nodes!Q925+"'E4!&amp;g7"</f>
        <v>#VALUE!</v>
      </c>
      <c r="T116" t="e">
        <f>Nodes!R925+"'E4!&amp;g8"</f>
        <v>#VALUE!</v>
      </c>
      <c r="U116" t="e">
        <f>Nodes!S925+"'E4!&amp;g9"</f>
        <v>#VALUE!</v>
      </c>
      <c r="V116" s="547" t="e">
        <f>Nodes!T925+"'E4!&amp;g:"</f>
        <v>#VALUE!</v>
      </c>
      <c r="W116" s="548" t="e">
        <f>Nodes!U925+"'E4!&amp;g;"</f>
        <v>#VALUE!</v>
      </c>
      <c r="X116" t="e">
        <f>Nodes!V925+"'E4!&amp;g&lt;"</f>
        <v>#VALUE!</v>
      </c>
      <c r="Y116" s="547" t="e">
        <f>Nodes!W925+"'E4!&amp;g="</f>
        <v>#VALUE!</v>
      </c>
      <c r="Z116" t="e">
        <f>Nodes!X925+"'E4!&amp;g&gt;"</f>
        <v>#VALUE!</v>
      </c>
      <c r="AA116" t="e">
        <f>Nodes!Y925+"'E4!&amp;g?"</f>
        <v>#VALUE!</v>
      </c>
      <c r="AB116" t="e">
        <f>Nodes!Z925+"'E4!&amp;g@"</f>
        <v>#VALUE!</v>
      </c>
      <c r="AC116" t="e">
        <f>Nodes!AA925+"'E4!&amp;gA"</f>
        <v>#VALUE!</v>
      </c>
      <c r="AD116" t="e">
        <f>Nodes!AB925+"'E4!&amp;gB"</f>
        <v>#VALUE!</v>
      </c>
      <c r="AE116" t="e">
        <f>Nodes!AC925+"'E4!&amp;gC"</f>
        <v>#VALUE!</v>
      </c>
      <c r="AF116" t="e">
        <f>Nodes!A926+"'E4!&amp;gD"</f>
        <v>#VALUE!</v>
      </c>
      <c r="AG116" t="e">
        <f>Nodes!B926+"'E4!&amp;gE"</f>
        <v>#VALUE!</v>
      </c>
      <c r="AH116" t="e">
        <f>Nodes!C926+"'E4!&amp;gF"</f>
        <v>#VALUE!</v>
      </c>
      <c r="AI116" t="e">
        <f>Nodes!D926+"'E4!&amp;gG"</f>
        <v>#VALUE!</v>
      </c>
      <c r="AJ116" t="e">
        <f>Nodes!E926+"'E4!&amp;gH"</f>
        <v>#VALUE!</v>
      </c>
      <c r="AK116" t="e">
        <f>Nodes!F926+"'E4!&amp;gI"</f>
        <v>#VALUE!</v>
      </c>
      <c r="AL116" t="e">
        <f>Nodes!G926+"'E4!&amp;gJ"</f>
        <v>#VALUE!</v>
      </c>
      <c r="AM116" t="e">
        <f>Nodes!H926+"'E4!&amp;gK"</f>
        <v>#VALUE!</v>
      </c>
      <c r="AN116" t="e">
        <f>Nodes!I926+"'E4!&amp;gL"</f>
        <v>#VALUE!</v>
      </c>
      <c r="AO116" t="e">
        <f>Nodes!J926+"'E4!&amp;gM"</f>
        <v>#VALUE!</v>
      </c>
      <c r="AP116" t="e">
        <f>Nodes!K926+"'E4!&amp;gN"</f>
        <v>#VALUE!</v>
      </c>
      <c r="AQ116" t="e">
        <f>Nodes!L926+"'E4!&amp;gO"</f>
        <v>#VALUE!</v>
      </c>
      <c r="AR116" t="e">
        <f>Nodes!M926+"'E4!&amp;gP"</f>
        <v>#VALUE!</v>
      </c>
      <c r="AS116" t="e">
        <f>Nodes!N926+"'E4!&amp;gQ"</f>
        <v>#VALUE!</v>
      </c>
      <c r="AT116" t="e">
        <f>Nodes!O926+"'E4!&amp;gR"</f>
        <v>#VALUE!</v>
      </c>
      <c r="AU116" t="e">
        <f>Nodes!P926+"'E4!&amp;gS"</f>
        <v>#VALUE!</v>
      </c>
      <c r="AV116" t="e">
        <f>Nodes!Q926+"'E4!&amp;gT"</f>
        <v>#VALUE!</v>
      </c>
      <c r="AW116" t="e">
        <f>Nodes!R926+"'E4!&amp;gU"</f>
        <v>#VALUE!</v>
      </c>
      <c r="AX116" t="e">
        <f>Nodes!S926+"'E4!&amp;gV"</f>
        <v>#VALUE!</v>
      </c>
      <c r="AY116" s="547" t="e">
        <f>Nodes!T926+"'E4!&amp;gW"</f>
        <v>#VALUE!</v>
      </c>
      <c r="AZ116" s="548" t="e">
        <f>Nodes!U926+"'E4!&amp;gX"</f>
        <v>#VALUE!</v>
      </c>
      <c r="BA116" t="e">
        <f>Nodes!V926+"'E4!&amp;gY"</f>
        <v>#VALUE!</v>
      </c>
      <c r="BB116" s="547" t="e">
        <f>Nodes!W926+"'E4!&amp;gZ"</f>
        <v>#VALUE!</v>
      </c>
      <c r="BC116" t="e">
        <f>Nodes!X926+"'E4!&amp;g["</f>
        <v>#VALUE!</v>
      </c>
      <c r="BD116" t="e">
        <f>Nodes!Y926+"'E4!&amp;g\"</f>
        <v>#VALUE!</v>
      </c>
      <c r="BE116" t="e">
        <f>Nodes!Z926+"'E4!&amp;g]"</f>
        <v>#VALUE!</v>
      </c>
      <c r="BF116" t="e">
        <f>Nodes!AA926+"'E4!&amp;g^"</f>
        <v>#VALUE!</v>
      </c>
      <c r="BG116" t="e">
        <f>Nodes!AB926+"'E4!&amp;g_"</f>
        <v>#VALUE!</v>
      </c>
      <c r="BH116" t="e">
        <f>Nodes!AC926+"'E4!&amp;g`"</f>
        <v>#VALUE!</v>
      </c>
      <c r="BI116" t="e">
        <f>Nodes!A927+"'E4!&amp;ga"</f>
        <v>#VALUE!</v>
      </c>
      <c r="BJ116" t="e">
        <f>Nodes!B927+"'E4!&amp;gb"</f>
        <v>#VALUE!</v>
      </c>
      <c r="BK116" t="e">
        <f>Nodes!C927+"'E4!&amp;gc"</f>
        <v>#VALUE!</v>
      </c>
      <c r="BL116" t="e">
        <f>Nodes!D927+"'E4!&amp;gd"</f>
        <v>#VALUE!</v>
      </c>
      <c r="BM116" t="e">
        <f>Nodes!E927+"'E4!&amp;ge"</f>
        <v>#VALUE!</v>
      </c>
      <c r="BN116" t="e">
        <f>Nodes!F927+"'E4!&amp;gf"</f>
        <v>#VALUE!</v>
      </c>
      <c r="BO116" t="e">
        <f>Nodes!G927+"'E4!&amp;gg"</f>
        <v>#VALUE!</v>
      </c>
      <c r="BP116" t="e">
        <f>Nodes!H927+"'E4!&amp;gh"</f>
        <v>#VALUE!</v>
      </c>
      <c r="BQ116" t="e">
        <f>Nodes!I927+"'E4!&amp;gi"</f>
        <v>#VALUE!</v>
      </c>
      <c r="BR116" t="e">
        <f>Nodes!J927+"'E4!&amp;gj"</f>
        <v>#VALUE!</v>
      </c>
      <c r="BS116" t="e">
        <f>Nodes!K927+"'E4!&amp;gk"</f>
        <v>#VALUE!</v>
      </c>
      <c r="BT116" t="e">
        <f>Nodes!L927+"'E4!&amp;gl"</f>
        <v>#VALUE!</v>
      </c>
      <c r="BU116" t="e">
        <f>Nodes!M927+"'E4!&amp;gm"</f>
        <v>#VALUE!</v>
      </c>
      <c r="BV116" t="e">
        <f>Nodes!N927+"'E4!&amp;gn"</f>
        <v>#VALUE!</v>
      </c>
      <c r="BW116" t="e">
        <f>Nodes!O927+"'E4!&amp;go"</f>
        <v>#VALUE!</v>
      </c>
      <c r="BX116" t="e">
        <f>Nodes!P927+"'E4!&amp;gp"</f>
        <v>#VALUE!</v>
      </c>
      <c r="BY116" t="e">
        <f>Nodes!Q927+"'E4!&amp;gq"</f>
        <v>#VALUE!</v>
      </c>
      <c r="BZ116" t="e">
        <f>Nodes!R927+"'E4!&amp;gr"</f>
        <v>#VALUE!</v>
      </c>
      <c r="CA116" t="e">
        <f>Nodes!S927+"'E4!&amp;gs"</f>
        <v>#VALUE!</v>
      </c>
      <c r="CB116" s="547" t="e">
        <f>Nodes!T927+"'E4!&amp;gt"</f>
        <v>#VALUE!</v>
      </c>
      <c r="CC116" s="548" t="e">
        <f>Nodes!U927+"'E4!&amp;gu"</f>
        <v>#VALUE!</v>
      </c>
      <c r="CD116" t="e">
        <f>Nodes!V927+"'E4!&amp;gv"</f>
        <v>#VALUE!</v>
      </c>
      <c r="CE116" s="547" t="e">
        <f>Nodes!W927+"'E4!&amp;gw"</f>
        <v>#VALUE!</v>
      </c>
      <c r="CF116" t="e">
        <f>Nodes!X927+"'E4!&amp;gx"</f>
        <v>#VALUE!</v>
      </c>
      <c r="CG116" t="e">
        <f>Nodes!Y927+"'E4!&amp;gy"</f>
        <v>#VALUE!</v>
      </c>
      <c r="CH116" t="e">
        <f>Nodes!Z927+"'E4!&amp;gz"</f>
        <v>#VALUE!</v>
      </c>
      <c r="CI116" t="e">
        <f>Nodes!AA927+"'E4!&amp;g{"</f>
        <v>#VALUE!</v>
      </c>
      <c r="CJ116" t="e">
        <f>Nodes!AB927+"'E4!&amp;g|"</f>
        <v>#VALUE!</v>
      </c>
      <c r="CK116" t="e">
        <f>Nodes!AC927+"'E4!&amp;g}"</f>
        <v>#VALUE!</v>
      </c>
      <c r="CL116" t="e">
        <f>Nodes!A928+"'E4!&amp;g~"</f>
        <v>#VALUE!</v>
      </c>
      <c r="CM116" t="e">
        <f>Nodes!B928+"'E4!&amp;h#"</f>
        <v>#VALUE!</v>
      </c>
      <c r="CN116" t="e">
        <f>Nodes!C928+"'E4!&amp;h$"</f>
        <v>#VALUE!</v>
      </c>
      <c r="CO116" t="e">
        <f>Nodes!D928+"'E4!&amp;h%"</f>
        <v>#VALUE!</v>
      </c>
      <c r="CP116" t="e">
        <f>Nodes!E928+"'E4!&amp;h&amp;"</f>
        <v>#VALUE!</v>
      </c>
      <c r="CQ116" t="e">
        <f>Nodes!F928+"'E4!&amp;h'"</f>
        <v>#VALUE!</v>
      </c>
      <c r="CR116" t="e">
        <f>Nodes!G928+"'E4!&amp;h("</f>
        <v>#VALUE!</v>
      </c>
      <c r="CS116" t="e">
        <f>Nodes!H928+"'E4!&amp;h)"</f>
        <v>#VALUE!</v>
      </c>
      <c r="CT116" t="e">
        <f>Nodes!I928+"'E4!&amp;h."</f>
        <v>#VALUE!</v>
      </c>
      <c r="CU116" t="e">
        <f>Nodes!J928+"'E4!&amp;h/"</f>
        <v>#VALUE!</v>
      </c>
      <c r="CV116" t="e">
        <f>Nodes!K928+"'E4!&amp;h0"</f>
        <v>#VALUE!</v>
      </c>
      <c r="CW116" t="e">
        <f>Nodes!L928+"'E4!&amp;h1"</f>
        <v>#VALUE!</v>
      </c>
      <c r="CX116" t="e">
        <f>Nodes!M928+"'E4!&amp;h2"</f>
        <v>#VALUE!</v>
      </c>
      <c r="CY116" t="e">
        <f>Nodes!N928+"'E4!&amp;h3"</f>
        <v>#VALUE!</v>
      </c>
      <c r="CZ116" t="e">
        <f>Nodes!O928+"'E4!&amp;h4"</f>
        <v>#VALUE!</v>
      </c>
      <c r="DA116" t="e">
        <f>Nodes!P928+"'E4!&amp;h5"</f>
        <v>#VALUE!</v>
      </c>
      <c r="DB116" t="e">
        <f>Nodes!Q928+"'E4!&amp;h6"</f>
        <v>#VALUE!</v>
      </c>
      <c r="DC116" t="e">
        <f>Nodes!R928+"'E4!&amp;h7"</f>
        <v>#VALUE!</v>
      </c>
      <c r="DD116" t="e">
        <f>Nodes!S928+"'E4!&amp;h8"</f>
        <v>#VALUE!</v>
      </c>
      <c r="DE116" s="547" t="e">
        <f>Nodes!T928+"'E4!&amp;h9"</f>
        <v>#VALUE!</v>
      </c>
      <c r="DF116" s="548" t="e">
        <f>Nodes!U928+"'E4!&amp;h:"</f>
        <v>#VALUE!</v>
      </c>
      <c r="DG116" t="e">
        <f>Nodes!V928+"'E4!&amp;h;"</f>
        <v>#VALUE!</v>
      </c>
      <c r="DH116" s="547" t="e">
        <f>Nodes!W928+"'E4!&amp;h&lt;"</f>
        <v>#VALUE!</v>
      </c>
      <c r="DI116" t="e">
        <f>Nodes!X928+"'E4!&amp;h="</f>
        <v>#VALUE!</v>
      </c>
      <c r="DJ116" t="e">
        <f>Nodes!Y928+"'E4!&amp;h&gt;"</f>
        <v>#VALUE!</v>
      </c>
      <c r="DK116" t="e">
        <f>Nodes!Z928+"'E4!&amp;h?"</f>
        <v>#VALUE!</v>
      </c>
      <c r="DL116" t="e">
        <f>Nodes!AA928+"'E4!&amp;h@"</f>
        <v>#VALUE!</v>
      </c>
      <c r="DM116" t="e">
        <f>Nodes!AB928+"'E4!&amp;hA"</f>
        <v>#VALUE!</v>
      </c>
      <c r="DN116" t="e">
        <f>Nodes!AC928+"'E4!&amp;hB"</f>
        <v>#VALUE!</v>
      </c>
      <c r="DO116" t="e">
        <f>Nodes!A929+"'E4!&amp;hC"</f>
        <v>#VALUE!</v>
      </c>
      <c r="DP116" t="e">
        <f>Nodes!B929+"'E4!&amp;hD"</f>
        <v>#VALUE!</v>
      </c>
      <c r="DQ116" t="e">
        <f>Nodes!C929+"'E4!&amp;hE"</f>
        <v>#VALUE!</v>
      </c>
      <c r="DR116" t="e">
        <f>Nodes!D929+"'E4!&amp;hF"</f>
        <v>#VALUE!</v>
      </c>
      <c r="DS116" t="e">
        <f>Nodes!E929+"'E4!&amp;hG"</f>
        <v>#VALUE!</v>
      </c>
      <c r="DT116" t="e">
        <f>Nodes!F929+"'E4!&amp;hH"</f>
        <v>#VALUE!</v>
      </c>
      <c r="DU116" t="e">
        <f>Nodes!G929+"'E4!&amp;hI"</f>
        <v>#VALUE!</v>
      </c>
      <c r="DV116" t="e">
        <f>Nodes!H929+"'E4!&amp;hJ"</f>
        <v>#VALUE!</v>
      </c>
      <c r="DW116" t="e">
        <f>Nodes!I929+"'E4!&amp;hK"</f>
        <v>#VALUE!</v>
      </c>
      <c r="DX116" t="e">
        <f>Nodes!J929+"'E4!&amp;hL"</f>
        <v>#VALUE!</v>
      </c>
      <c r="DY116" t="e">
        <f>Nodes!K929+"'E4!&amp;hM"</f>
        <v>#VALUE!</v>
      </c>
      <c r="DZ116" t="e">
        <f>Nodes!L929+"'E4!&amp;hN"</f>
        <v>#VALUE!</v>
      </c>
      <c r="EA116" t="e">
        <f>Nodes!M929+"'E4!&amp;hO"</f>
        <v>#VALUE!</v>
      </c>
      <c r="EB116" t="e">
        <f>Nodes!N929+"'E4!&amp;hP"</f>
        <v>#VALUE!</v>
      </c>
      <c r="EC116" t="e">
        <f>Nodes!O929+"'E4!&amp;hQ"</f>
        <v>#VALUE!</v>
      </c>
      <c r="ED116" t="e">
        <f>Nodes!P929+"'E4!&amp;hR"</f>
        <v>#VALUE!</v>
      </c>
      <c r="EE116" t="e">
        <f>Nodes!Q929+"'E4!&amp;hS"</f>
        <v>#VALUE!</v>
      </c>
      <c r="EF116" t="e">
        <f>Nodes!R929+"'E4!&amp;hT"</f>
        <v>#VALUE!</v>
      </c>
      <c r="EG116" t="e">
        <f>Nodes!S929+"'E4!&amp;hU"</f>
        <v>#VALUE!</v>
      </c>
      <c r="EH116" s="547" t="e">
        <f>Nodes!T929+"'E4!&amp;hV"</f>
        <v>#VALUE!</v>
      </c>
      <c r="EI116" s="548" t="e">
        <f>Nodes!U929+"'E4!&amp;hW"</f>
        <v>#VALUE!</v>
      </c>
      <c r="EJ116" t="e">
        <f>Nodes!V929+"'E4!&amp;hX"</f>
        <v>#VALUE!</v>
      </c>
      <c r="EK116" s="547" t="e">
        <f>Nodes!W929+"'E4!&amp;hY"</f>
        <v>#VALUE!</v>
      </c>
      <c r="EL116" t="e">
        <f>Nodes!X929+"'E4!&amp;hZ"</f>
        <v>#VALUE!</v>
      </c>
      <c r="EM116" t="e">
        <f>Nodes!Y929+"'E4!&amp;h["</f>
        <v>#VALUE!</v>
      </c>
      <c r="EN116" t="e">
        <f>Nodes!Z929+"'E4!&amp;h\"</f>
        <v>#VALUE!</v>
      </c>
      <c r="EO116" t="e">
        <f>Nodes!AA929+"'E4!&amp;h]"</f>
        <v>#VALUE!</v>
      </c>
      <c r="EP116" t="e">
        <f>Nodes!AB929+"'E4!&amp;h^"</f>
        <v>#VALUE!</v>
      </c>
      <c r="EQ116" t="e">
        <f>Nodes!AC929+"'E4!&amp;h_"</f>
        <v>#VALUE!</v>
      </c>
      <c r="ER116" t="e">
        <f>Nodes!A930+"'E4!&amp;h`"</f>
        <v>#VALUE!</v>
      </c>
      <c r="ES116" t="e">
        <f>Nodes!B930+"'E4!&amp;ha"</f>
        <v>#VALUE!</v>
      </c>
      <c r="ET116" t="e">
        <f>Nodes!C930+"'E4!&amp;hb"</f>
        <v>#VALUE!</v>
      </c>
      <c r="EU116" t="e">
        <f>Nodes!D930+"'E4!&amp;hc"</f>
        <v>#VALUE!</v>
      </c>
      <c r="EV116" t="e">
        <f>Nodes!E930+"'E4!&amp;hd"</f>
        <v>#VALUE!</v>
      </c>
      <c r="EW116" t="e">
        <f>Nodes!F930+"'E4!&amp;he"</f>
        <v>#VALUE!</v>
      </c>
      <c r="EX116" t="e">
        <f>Nodes!G930+"'E4!&amp;hf"</f>
        <v>#VALUE!</v>
      </c>
      <c r="EY116" t="e">
        <f>Nodes!H930+"'E4!&amp;hg"</f>
        <v>#VALUE!</v>
      </c>
      <c r="EZ116" t="e">
        <f>Nodes!I930+"'E4!&amp;hh"</f>
        <v>#VALUE!</v>
      </c>
      <c r="FA116" t="e">
        <f>Nodes!J930+"'E4!&amp;hi"</f>
        <v>#VALUE!</v>
      </c>
      <c r="FB116" t="e">
        <f>Nodes!K930+"'E4!&amp;hj"</f>
        <v>#VALUE!</v>
      </c>
      <c r="FC116" t="e">
        <f>Nodes!L930+"'E4!&amp;hk"</f>
        <v>#VALUE!</v>
      </c>
      <c r="FD116" t="e">
        <f>Nodes!M930+"'E4!&amp;hl"</f>
        <v>#VALUE!</v>
      </c>
      <c r="FE116" t="e">
        <f>Nodes!N930+"'E4!&amp;hm"</f>
        <v>#VALUE!</v>
      </c>
      <c r="FF116" t="e">
        <f>Nodes!O930+"'E4!&amp;hn"</f>
        <v>#VALUE!</v>
      </c>
      <c r="FG116" t="e">
        <f>Nodes!P930+"'E4!&amp;ho"</f>
        <v>#N/A</v>
      </c>
      <c r="FH116" t="e">
        <f>Nodes!Q930+"'E4!&amp;hp"</f>
        <v>#VALUE!</v>
      </c>
      <c r="FI116" t="e">
        <f>Nodes!R930+"'E4!&amp;hq"</f>
        <v>#VALUE!</v>
      </c>
      <c r="FJ116" t="e">
        <f>Nodes!S930+"'E4!&amp;hr"</f>
        <v>#VALUE!</v>
      </c>
      <c r="FK116" s="547" t="e">
        <f>Nodes!T930+"'E4!&amp;hs"</f>
        <v>#VALUE!</v>
      </c>
      <c r="FL116" s="548" t="e">
        <f>Nodes!U930+"'E4!&amp;ht"</f>
        <v>#VALUE!</v>
      </c>
      <c r="FM116" t="e">
        <f>Nodes!V930+"'E4!&amp;hu"</f>
        <v>#VALUE!</v>
      </c>
      <c r="FN116" s="547" t="e">
        <f>Nodes!W930+"'E4!&amp;hv"</f>
        <v>#VALUE!</v>
      </c>
      <c r="FO116" t="e">
        <f>Nodes!X930+"'E4!&amp;hw"</f>
        <v>#VALUE!</v>
      </c>
      <c r="FP116" t="e">
        <f>Nodes!Y930+"'E4!&amp;hx"</f>
        <v>#VALUE!</v>
      </c>
      <c r="FQ116" t="e">
        <f>Nodes!Z930+"'E4!&amp;hy"</f>
        <v>#VALUE!</v>
      </c>
      <c r="FR116" t="e">
        <f>Nodes!AA930+"'E4!&amp;hz"</f>
        <v>#VALUE!</v>
      </c>
      <c r="FS116" t="e">
        <f>Nodes!AB930+"'E4!&amp;h{"</f>
        <v>#VALUE!</v>
      </c>
      <c r="FT116" t="e">
        <f>Nodes!AC930+"'E4!&amp;h|"</f>
        <v>#VALUE!</v>
      </c>
      <c r="FU116" t="e">
        <f>Nodes!A931+"'E4!&amp;h}"</f>
        <v>#VALUE!</v>
      </c>
      <c r="FV116" t="e">
        <f>Nodes!B931+"'E4!&amp;h~"</f>
        <v>#VALUE!</v>
      </c>
      <c r="FW116" t="e">
        <f>Nodes!C931+"'E4!&amp;i#"</f>
        <v>#VALUE!</v>
      </c>
      <c r="FX116" t="e">
        <f>Nodes!D931+"'E4!&amp;i$"</f>
        <v>#VALUE!</v>
      </c>
      <c r="FY116" t="e">
        <f>Nodes!E931+"'E4!&amp;i%"</f>
        <v>#VALUE!</v>
      </c>
      <c r="FZ116" t="e">
        <f>Nodes!F931+"'E4!&amp;i&amp;"</f>
        <v>#VALUE!</v>
      </c>
      <c r="GA116" t="e">
        <f>Nodes!G931+"'E4!&amp;i'"</f>
        <v>#VALUE!</v>
      </c>
      <c r="GB116" t="e">
        <f>Nodes!H931+"'E4!&amp;i("</f>
        <v>#VALUE!</v>
      </c>
      <c r="GC116" t="e">
        <f>Nodes!I931+"'E4!&amp;i)"</f>
        <v>#VALUE!</v>
      </c>
      <c r="GD116" t="e">
        <f>Nodes!J931+"'E4!&amp;i."</f>
        <v>#VALUE!</v>
      </c>
      <c r="GE116" t="e">
        <f>Nodes!K931+"'E4!&amp;i/"</f>
        <v>#VALUE!</v>
      </c>
      <c r="GF116" t="e">
        <f>Nodes!L931+"'E4!&amp;i0"</f>
        <v>#VALUE!</v>
      </c>
      <c r="GG116" t="e">
        <f>Nodes!M931+"'E4!&amp;i1"</f>
        <v>#VALUE!</v>
      </c>
      <c r="GH116" t="e">
        <f>Nodes!N931+"'E4!&amp;i2"</f>
        <v>#VALUE!</v>
      </c>
      <c r="GI116" t="e">
        <f>Nodes!O931+"'E4!&amp;i3"</f>
        <v>#VALUE!</v>
      </c>
      <c r="GJ116" t="e">
        <f>Nodes!P931+"'E4!&amp;i4"</f>
        <v>#VALUE!</v>
      </c>
      <c r="GK116" t="e">
        <f>Nodes!Q931+"'E4!&amp;i5"</f>
        <v>#VALUE!</v>
      </c>
      <c r="GL116" t="e">
        <f>Nodes!R931+"'E4!&amp;i6"</f>
        <v>#VALUE!</v>
      </c>
      <c r="GM116" t="e">
        <f>Nodes!S931+"'E4!&amp;i7"</f>
        <v>#VALUE!</v>
      </c>
      <c r="GN116" s="547" t="e">
        <f>Nodes!T931+"'E4!&amp;i8"</f>
        <v>#VALUE!</v>
      </c>
      <c r="GO116" s="548" t="e">
        <f>Nodes!U931+"'E4!&amp;i9"</f>
        <v>#VALUE!</v>
      </c>
      <c r="GP116" t="e">
        <f>Nodes!V931+"'E4!&amp;i:"</f>
        <v>#VALUE!</v>
      </c>
      <c r="GQ116" s="547" t="e">
        <f>Nodes!W931+"'E4!&amp;i;"</f>
        <v>#VALUE!</v>
      </c>
      <c r="GR116" t="e">
        <f>Nodes!X931+"'E4!&amp;i&lt;"</f>
        <v>#VALUE!</v>
      </c>
      <c r="GS116" t="e">
        <f>Nodes!Y931+"'E4!&amp;i="</f>
        <v>#VALUE!</v>
      </c>
      <c r="GT116" t="e">
        <f>Nodes!Z931+"'E4!&amp;i&gt;"</f>
        <v>#VALUE!</v>
      </c>
      <c r="GU116" t="e">
        <f>Nodes!AA931+"'E4!&amp;i?"</f>
        <v>#VALUE!</v>
      </c>
      <c r="GV116" t="e">
        <f>Nodes!AB931+"'E4!&amp;i@"</f>
        <v>#VALUE!</v>
      </c>
      <c r="GW116" t="e">
        <f>Nodes!AC931+"'E4!&amp;iA"</f>
        <v>#VALUE!</v>
      </c>
      <c r="GX116" t="e">
        <f>Nodes!A932+"'E4!&amp;iB"</f>
        <v>#VALUE!</v>
      </c>
      <c r="GY116" t="e">
        <f>Nodes!B932+"'E4!&amp;iC"</f>
        <v>#VALUE!</v>
      </c>
      <c r="GZ116" t="e">
        <f>Nodes!C932+"'E4!&amp;iD"</f>
        <v>#VALUE!</v>
      </c>
      <c r="HA116" t="e">
        <f>Nodes!D932+"'E4!&amp;iE"</f>
        <v>#VALUE!</v>
      </c>
      <c r="HB116" t="e">
        <f>Nodes!E932+"'E4!&amp;iF"</f>
        <v>#VALUE!</v>
      </c>
      <c r="HC116" t="e">
        <f>Nodes!F932+"'E4!&amp;iG"</f>
        <v>#VALUE!</v>
      </c>
      <c r="HD116" t="e">
        <f>Nodes!G932+"'E4!&amp;iH"</f>
        <v>#VALUE!</v>
      </c>
      <c r="HE116" t="e">
        <f>Nodes!H932+"'E4!&amp;iI"</f>
        <v>#VALUE!</v>
      </c>
      <c r="HF116" t="e">
        <f>Nodes!I932+"'E4!&amp;iJ"</f>
        <v>#VALUE!</v>
      </c>
      <c r="HG116" t="e">
        <f>Nodes!J932+"'E4!&amp;iK"</f>
        <v>#VALUE!</v>
      </c>
      <c r="HH116" t="e">
        <f>Nodes!K932+"'E4!&amp;iL"</f>
        <v>#VALUE!</v>
      </c>
      <c r="HI116" t="e">
        <f>Nodes!L932+"'E4!&amp;iM"</f>
        <v>#VALUE!</v>
      </c>
      <c r="HJ116" t="e">
        <f>Nodes!M932+"'E4!&amp;iN"</f>
        <v>#VALUE!</v>
      </c>
      <c r="HK116" t="e">
        <f>Nodes!N932+"'E4!&amp;iO"</f>
        <v>#VALUE!</v>
      </c>
      <c r="HL116" t="e">
        <f>Nodes!O932+"'E4!&amp;iP"</f>
        <v>#VALUE!</v>
      </c>
      <c r="HM116" t="e">
        <f>Nodes!P932+"'E4!&amp;iQ"</f>
        <v>#VALUE!</v>
      </c>
      <c r="HN116" t="e">
        <f>Nodes!Q932+"'E4!&amp;iR"</f>
        <v>#VALUE!</v>
      </c>
      <c r="HO116" t="e">
        <f>Nodes!R932+"'E4!&amp;iS"</f>
        <v>#VALUE!</v>
      </c>
      <c r="HP116" t="e">
        <f>Nodes!S932+"'E4!&amp;iT"</f>
        <v>#VALUE!</v>
      </c>
      <c r="HQ116" s="547" t="e">
        <f>Nodes!T932+"'E4!&amp;iU"</f>
        <v>#VALUE!</v>
      </c>
      <c r="HR116" s="548" t="e">
        <f>Nodes!U932+"'E4!&amp;iV"</f>
        <v>#VALUE!</v>
      </c>
      <c r="HS116" t="e">
        <f>Nodes!V932+"'E4!&amp;iW"</f>
        <v>#VALUE!</v>
      </c>
      <c r="HT116" s="547" t="e">
        <f>Nodes!W932+"'E4!&amp;iX"</f>
        <v>#VALUE!</v>
      </c>
      <c r="HU116" t="e">
        <f>Nodes!X932+"'E4!&amp;iY"</f>
        <v>#VALUE!</v>
      </c>
      <c r="HV116" t="e">
        <f>Nodes!Y932+"'E4!&amp;iZ"</f>
        <v>#VALUE!</v>
      </c>
      <c r="HW116" t="e">
        <f>Nodes!Z932+"'E4!&amp;i["</f>
        <v>#VALUE!</v>
      </c>
      <c r="HX116" t="e">
        <f>Nodes!AA932+"'E4!&amp;i\"</f>
        <v>#VALUE!</v>
      </c>
      <c r="HY116" t="e">
        <f>Nodes!AB932+"'E4!&amp;i]"</f>
        <v>#VALUE!</v>
      </c>
      <c r="HZ116" t="e">
        <f>Nodes!AC932+"'E4!&amp;i^"</f>
        <v>#VALUE!</v>
      </c>
      <c r="IA116" t="e">
        <f>Nodes!A933+"'E4!&amp;i_"</f>
        <v>#VALUE!</v>
      </c>
      <c r="IB116" t="e">
        <f>Nodes!B933+"'E4!&amp;i`"</f>
        <v>#VALUE!</v>
      </c>
      <c r="IC116" t="e">
        <f>Nodes!C933+"'E4!&amp;ia"</f>
        <v>#VALUE!</v>
      </c>
      <c r="ID116" t="e">
        <f>Nodes!D933+"'E4!&amp;ib"</f>
        <v>#VALUE!</v>
      </c>
      <c r="IE116" t="e">
        <f>Nodes!E933+"'E4!&amp;ic"</f>
        <v>#VALUE!</v>
      </c>
      <c r="IF116" t="e">
        <f>Nodes!F933+"'E4!&amp;id"</f>
        <v>#VALUE!</v>
      </c>
      <c r="IG116" t="e">
        <f>Nodes!G933+"'E4!&amp;ie"</f>
        <v>#VALUE!</v>
      </c>
      <c r="IH116" t="e">
        <f>Nodes!H933+"'E4!&amp;if"</f>
        <v>#VALUE!</v>
      </c>
      <c r="II116" t="e">
        <f>Nodes!I933+"'E4!&amp;ig"</f>
        <v>#VALUE!</v>
      </c>
      <c r="IJ116" t="e">
        <f>Nodes!J933+"'E4!&amp;ih"</f>
        <v>#VALUE!</v>
      </c>
      <c r="IK116" t="e">
        <f>Nodes!K933+"'E4!&amp;ii"</f>
        <v>#VALUE!</v>
      </c>
      <c r="IL116" t="e">
        <f>Nodes!L933+"'E4!&amp;ij"</f>
        <v>#VALUE!</v>
      </c>
      <c r="IM116" t="e">
        <f>Nodes!M933+"'E4!&amp;ik"</f>
        <v>#VALUE!</v>
      </c>
      <c r="IN116" t="e">
        <f>Nodes!N933+"'E4!&amp;il"</f>
        <v>#VALUE!</v>
      </c>
      <c r="IO116" t="e">
        <f>Nodes!O933+"'E4!&amp;im"</f>
        <v>#VALUE!</v>
      </c>
      <c r="IP116" t="e">
        <f>Nodes!P933+"'E4!&amp;in"</f>
        <v>#VALUE!</v>
      </c>
      <c r="IQ116" t="e">
        <f>Nodes!Q933+"'E4!&amp;io"</f>
        <v>#VALUE!</v>
      </c>
      <c r="IR116" t="e">
        <f>Nodes!R933+"'E4!&amp;ip"</f>
        <v>#VALUE!</v>
      </c>
      <c r="IS116" t="e">
        <f>Nodes!S933+"'E4!&amp;iq"</f>
        <v>#VALUE!</v>
      </c>
      <c r="IT116" s="547" t="e">
        <f>Nodes!T933+"'E4!&amp;ir"</f>
        <v>#VALUE!</v>
      </c>
      <c r="IU116" s="548" t="e">
        <f>Nodes!U933+"'E4!&amp;is"</f>
        <v>#VALUE!</v>
      </c>
      <c r="IV116" t="e">
        <f>Nodes!V933+"'E4!&amp;it"</f>
        <v>#VALUE!</v>
      </c>
    </row>
    <row r="117" spans="6:256">
      <c r="F117" s="547" t="e">
        <f>Nodes!W933+"'E4!&amp;iu"</f>
        <v>#VALUE!</v>
      </c>
      <c r="G117" t="e">
        <f>Nodes!X933+"'E4!&amp;iv"</f>
        <v>#VALUE!</v>
      </c>
      <c r="H117" t="e">
        <f>Nodes!Y933+"'E4!&amp;iw"</f>
        <v>#VALUE!</v>
      </c>
      <c r="I117" t="e">
        <f>Nodes!Z933+"'E4!&amp;ix"</f>
        <v>#VALUE!</v>
      </c>
      <c r="J117" t="e">
        <f>Nodes!AA933+"'E4!&amp;iy"</f>
        <v>#VALUE!</v>
      </c>
      <c r="K117" t="e">
        <f>Nodes!AB933+"'E4!&amp;iz"</f>
        <v>#VALUE!</v>
      </c>
      <c r="L117" t="e">
        <f>Nodes!AC933+"'E4!&amp;i{"</f>
        <v>#VALUE!</v>
      </c>
      <c r="M117" t="e">
        <f>Nodes!A934+"'E4!&amp;i|"</f>
        <v>#VALUE!</v>
      </c>
      <c r="N117" t="e">
        <f>Nodes!B934+"'E4!&amp;i}"</f>
        <v>#VALUE!</v>
      </c>
      <c r="O117" t="e">
        <f>Nodes!C934+"'E4!&amp;i~"</f>
        <v>#VALUE!</v>
      </c>
      <c r="P117" t="e">
        <f>Nodes!D934+"'E4!&amp;j#"</f>
        <v>#VALUE!</v>
      </c>
      <c r="Q117" t="e">
        <f>Nodes!E934+"'E4!&amp;j$"</f>
        <v>#VALUE!</v>
      </c>
      <c r="R117" t="e">
        <f>Nodes!F934+"'E4!&amp;j%"</f>
        <v>#VALUE!</v>
      </c>
      <c r="S117" t="e">
        <f>Nodes!G934+"'E4!&amp;j&amp;"</f>
        <v>#VALUE!</v>
      </c>
      <c r="T117" t="e">
        <f>Nodes!H934+"'E4!&amp;j'"</f>
        <v>#VALUE!</v>
      </c>
      <c r="U117" t="e">
        <f>Nodes!I934+"'E4!&amp;j("</f>
        <v>#VALUE!</v>
      </c>
      <c r="V117" t="e">
        <f>Nodes!J934+"'E4!&amp;j)"</f>
        <v>#VALUE!</v>
      </c>
      <c r="W117" t="e">
        <f>Nodes!K934+"'E4!&amp;j."</f>
        <v>#VALUE!</v>
      </c>
      <c r="X117" t="e">
        <f>Nodes!L934+"'E4!&amp;j/"</f>
        <v>#VALUE!</v>
      </c>
      <c r="Y117" t="e">
        <f>Nodes!M934+"'E4!&amp;j0"</f>
        <v>#VALUE!</v>
      </c>
      <c r="Z117" t="e">
        <f>Nodes!N934+"'E4!&amp;j1"</f>
        <v>#VALUE!</v>
      </c>
      <c r="AA117" t="e">
        <f>Nodes!O934+"'E4!&amp;j2"</f>
        <v>#VALUE!</v>
      </c>
      <c r="AB117" t="e">
        <f>Nodes!P934+"'E4!&amp;j3"</f>
        <v>#VALUE!</v>
      </c>
      <c r="AC117" t="e">
        <f>Nodes!Q934+"'E4!&amp;j4"</f>
        <v>#VALUE!</v>
      </c>
      <c r="AD117" t="e">
        <f>Nodes!R934+"'E4!&amp;j5"</f>
        <v>#VALUE!</v>
      </c>
      <c r="AE117" t="e">
        <f>Nodes!S934+"'E4!&amp;j6"</f>
        <v>#VALUE!</v>
      </c>
      <c r="AF117" s="547" t="e">
        <f>Nodes!T934+"'E4!&amp;j7"</f>
        <v>#VALUE!</v>
      </c>
      <c r="AG117" s="548" t="e">
        <f>Nodes!U934+"'E4!&amp;j8"</f>
        <v>#VALUE!</v>
      </c>
      <c r="AH117" t="e">
        <f>Nodes!V934+"'E4!&amp;j9"</f>
        <v>#VALUE!</v>
      </c>
      <c r="AI117" s="547" t="e">
        <f>Nodes!W934+"'E4!&amp;j:"</f>
        <v>#VALUE!</v>
      </c>
      <c r="AJ117" t="e">
        <f>Nodes!X934+"'E4!&amp;j;"</f>
        <v>#VALUE!</v>
      </c>
      <c r="AK117" t="e">
        <f>Nodes!Y934+"'E4!&amp;j&lt;"</f>
        <v>#VALUE!</v>
      </c>
      <c r="AL117" t="e">
        <f>Nodes!Z934+"'E4!&amp;j="</f>
        <v>#VALUE!</v>
      </c>
      <c r="AM117" t="e">
        <f>Nodes!AA934+"'E4!&amp;j&gt;"</f>
        <v>#VALUE!</v>
      </c>
      <c r="AN117" t="e">
        <f>Nodes!AB934+"'E4!&amp;j?"</f>
        <v>#VALUE!</v>
      </c>
      <c r="AO117" t="e">
        <f>Nodes!AC934+"'E4!&amp;j@"</f>
        <v>#VALUE!</v>
      </c>
      <c r="AP117" t="e">
        <f>Nodes!A935+"'E4!&amp;jA"</f>
        <v>#VALUE!</v>
      </c>
      <c r="AQ117" t="e">
        <f>Nodes!B935+"'E4!&amp;jB"</f>
        <v>#VALUE!</v>
      </c>
      <c r="AR117" t="e">
        <f>Nodes!C935+"'E4!&amp;jC"</f>
        <v>#VALUE!</v>
      </c>
      <c r="AS117" t="e">
        <f>Nodes!D935+"'E4!&amp;jD"</f>
        <v>#VALUE!</v>
      </c>
      <c r="AT117" t="e">
        <f>Nodes!E935+"'E4!&amp;jE"</f>
        <v>#VALUE!</v>
      </c>
      <c r="AU117" t="e">
        <f>Nodes!F935+"'E4!&amp;jF"</f>
        <v>#VALUE!</v>
      </c>
      <c r="AV117" t="e">
        <f>Nodes!G935+"'E4!&amp;jG"</f>
        <v>#VALUE!</v>
      </c>
      <c r="AW117" t="e">
        <f>Nodes!H935+"'E4!&amp;jH"</f>
        <v>#VALUE!</v>
      </c>
      <c r="AX117" t="e">
        <f>Nodes!I935+"'E4!&amp;jI"</f>
        <v>#VALUE!</v>
      </c>
      <c r="AY117" t="e">
        <f>Nodes!J935+"'E4!&amp;jJ"</f>
        <v>#VALUE!</v>
      </c>
      <c r="AZ117" t="e">
        <f>Nodes!K935+"'E4!&amp;jK"</f>
        <v>#VALUE!</v>
      </c>
      <c r="BA117" t="e">
        <f>Nodes!L935+"'E4!&amp;jL"</f>
        <v>#VALUE!</v>
      </c>
      <c r="BB117" t="e">
        <f>Nodes!M935+"'E4!&amp;jM"</f>
        <v>#VALUE!</v>
      </c>
      <c r="BC117" t="e">
        <f>Nodes!N935+"'E4!&amp;jN"</f>
        <v>#VALUE!</v>
      </c>
      <c r="BD117" t="e">
        <f>Nodes!O935+"'E4!&amp;jO"</f>
        <v>#VALUE!</v>
      </c>
      <c r="BE117" t="e">
        <f>Nodes!P935+"'E4!&amp;jP"</f>
        <v>#VALUE!</v>
      </c>
      <c r="BF117" t="e">
        <f>Nodes!Q935+"'E4!&amp;jQ"</f>
        <v>#VALUE!</v>
      </c>
      <c r="BG117" t="e">
        <f>Nodes!R935+"'E4!&amp;jR"</f>
        <v>#VALUE!</v>
      </c>
      <c r="BH117" t="e">
        <f>Nodes!S935+"'E4!&amp;jS"</f>
        <v>#VALUE!</v>
      </c>
      <c r="BI117" s="547" t="e">
        <f>Nodes!T935+"'E4!&amp;jT"</f>
        <v>#VALUE!</v>
      </c>
      <c r="BJ117" s="548" t="e">
        <f>Nodes!U935+"'E4!&amp;jU"</f>
        <v>#VALUE!</v>
      </c>
      <c r="BK117" t="e">
        <f>Nodes!V935+"'E4!&amp;jV"</f>
        <v>#VALUE!</v>
      </c>
      <c r="BL117" s="547" t="e">
        <f>Nodes!W935+"'E4!&amp;jW"</f>
        <v>#VALUE!</v>
      </c>
      <c r="BM117" t="e">
        <f>Nodes!X935+"'E4!&amp;jX"</f>
        <v>#VALUE!</v>
      </c>
      <c r="BN117" t="e">
        <f>Nodes!Y935+"'E4!&amp;jY"</f>
        <v>#VALUE!</v>
      </c>
      <c r="BO117" t="e">
        <f>Nodes!Z935+"'E4!&amp;jZ"</f>
        <v>#VALUE!</v>
      </c>
      <c r="BP117" t="e">
        <f>Nodes!AA935+"'E4!&amp;j["</f>
        <v>#VALUE!</v>
      </c>
      <c r="BQ117" t="e">
        <f>Nodes!AB935+"'E4!&amp;j\"</f>
        <v>#VALUE!</v>
      </c>
      <c r="BR117" t="e">
        <f>Nodes!AC935+"'E4!&amp;j]"</f>
        <v>#VALUE!</v>
      </c>
      <c r="BS117" t="e">
        <f>Nodes!A936+"'E4!&amp;j^"</f>
        <v>#VALUE!</v>
      </c>
      <c r="BT117" t="e">
        <f>Nodes!B936+"'E4!&amp;j_"</f>
        <v>#VALUE!</v>
      </c>
      <c r="BU117" t="e">
        <f>Nodes!C936+"'E4!&amp;j`"</f>
        <v>#VALUE!</v>
      </c>
      <c r="BV117" t="e">
        <f>Nodes!D936+"'E4!&amp;ja"</f>
        <v>#VALUE!</v>
      </c>
      <c r="BW117" t="e">
        <f>Nodes!E936+"'E4!&amp;jb"</f>
        <v>#VALUE!</v>
      </c>
      <c r="BX117" t="e">
        <f>Nodes!F936+"'E4!&amp;jc"</f>
        <v>#VALUE!</v>
      </c>
      <c r="BY117" t="e">
        <f>Nodes!G936+"'E4!&amp;jd"</f>
        <v>#VALUE!</v>
      </c>
      <c r="BZ117" t="e">
        <f>Nodes!H936+"'E4!&amp;je"</f>
        <v>#VALUE!</v>
      </c>
      <c r="CA117" t="e">
        <f>Nodes!I936+"'E4!&amp;jf"</f>
        <v>#VALUE!</v>
      </c>
      <c r="CB117" t="e">
        <f>Nodes!J936+"'E4!&amp;jg"</f>
        <v>#VALUE!</v>
      </c>
      <c r="CC117" t="e">
        <f>Nodes!K936+"'E4!&amp;jh"</f>
        <v>#VALUE!</v>
      </c>
      <c r="CD117" t="e">
        <f>Nodes!L936+"'E4!&amp;ji"</f>
        <v>#VALUE!</v>
      </c>
      <c r="CE117" t="e">
        <f>Nodes!M936+"'E4!&amp;jj"</f>
        <v>#VALUE!</v>
      </c>
      <c r="CF117" t="e">
        <f>Nodes!N936+"'E4!&amp;jk"</f>
        <v>#VALUE!</v>
      </c>
      <c r="CG117" t="e">
        <f>Nodes!O936+"'E4!&amp;jl"</f>
        <v>#VALUE!</v>
      </c>
      <c r="CH117" t="e">
        <f>Nodes!P936+"'E4!&amp;jm"</f>
        <v>#VALUE!</v>
      </c>
      <c r="CI117" t="e">
        <f>Nodes!Q936+"'E4!&amp;jn"</f>
        <v>#VALUE!</v>
      </c>
      <c r="CJ117" t="e">
        <f>Nodes!R936+"'E4!&amp;jo"</f>
        <v>#VALUE!</v>
      </c>
      <c r="CK117" t="e">
        <f>Nodes!S936+"'E4!&amp;jp"</f>
        <v>#VALUE!</v>
      </c>
      <c r="CL117" s="547" t="e">
        <f>Nodes!T936+"'E4!&amp;jq"</f>
        <v>#VALUE!</v>
      </c>
      <c r="CM117" s="548" t="e">
        <f>Nodes!U936+"'E4!&amp;jr"</f>
        <v>#VALUE!</v>
      </c>
      <c r="CN117" t="e">
        <f>Nodes!V936+"'E4!&amp;js"</f>
        <v>#VALUE!</v>
      </c>
      <c r="CO117" s="547" t="e">
        <f>Nodes!W936+"'E4!&amp;jt"</f>
        <v>#VALUE!</v>
      </c>
      <c r="CP117" t="e">
        <f>Nodes!X936+"'E4!&amp;ju"</f>
        <v>#VALUE!</v>
      </c>
      <c r="CQ117" t="e">
        <f>Nodes!Y936+"'E4!&amp;jv"</f>
        <v>#VALUE!</v>
      </c>
      <c r="CR117" t="e">
        <f>Nodes!Z936+"'E4!&amp;jw"</f>
        <v>#VALUE!</v>
      </c>
      <c r="CS117" t="e">
        <f>Nodes!AA936+"'E4!&amp;jx"</f>
        <v>#VALUE!</v>
      </c>
      <c r="CT117" t="e">
        <f>Nodes!AB936+"'E4!&amp;jy"</f>
        <v>#VALUE!</v>
      </c>
      <c r="CU117" t="e">
        <f>Nodes!AC936+"'E4!&amp;jz"</f>
        <v>#VALUE!</v>
      </c>
      <c r="CV117" t="e">
        <f>Nodes!A937+"'E4!&amp;j{"</f>
        <v>#VALUE!</v>
      </c>
      <c r="CW117" t="e">
        <f>Nodes!B937+"'E4!&amp;j|"</f>
        <v>#VALUE!</v>
      </c>
      <c r="CX117" t="e">
        <f>Nodes!C937+"'E4!&amp;j}"</f>
        <v>#VALUE!</v>
      </c>
      <c r="CY117" t="e">
        <f>Nodes!D937+"'E4!&amp;j~"</f>
        <v>#VALUE!</v>
      </c>
      <c r="CZ117" t="e">
        <f>Nodes!E937+"'E4!&amp;k#"</f>
        <v>#VALUE!</v>
      </c>
      <c r="DA117" t="e">
        <f>Nodes!F937+"'E4!&amp;k$"</f>
        <v>#VALUE!</v>
      </c>
      <c r="DB117" t="e">
        <f>Nodes!G937+"'E4!&amp;k%"</f>
        <v>#VALUE!</v>
      </c>
      <c r="DC117" t="e">
        <f>Nodes!H937+"'E4!&amp;k&amp;"</f>
        <v>#VALUE!</v>
      </c>
      <c r="DD117" t="e">
        <f>Nodes!I937+"'E4!&amp;k'"</f>
        <v>#VALUE!</v>
      </c>
      <c r="DE117" t="e">
        <f>Nodes!J937+"'E4!&amp;k("</f>
        <v>#VALUE!</v>
      </c>
      <c r="DF117" t="e">
        <f>Nodes!K937+"'E4!&amp;k)"</f>
        <v>#VALUE!</v>
      </c>
      <c r="DG117" t="e">
        <f>Nodes!L937+"'E4!&amp;k."</f>
        <v>#VALUE!</v>
      </c>
      <c r="DH117" t="e">
        <f>Nodes!M937+"'E4!&amp;k/"</f>
        <v>#VALUE!</v>
      </c>
      <c r="DI117" t="e">
        <f>Nodes!N937+"'E4!&amp;k0"</f>
        <v>#VALUE!</v>
      </c>
      <c r="DJ117" t="e">
        <f>Nodes!O937+"'E4!&amp;k1"</f>
        <v>#VALUE!</v>
      </c>
      <c r="DK117" t="e">
        <f>Nodes!P937+"'E4!&amp;k2"</f>
        <v>#VALUE!</v>
      </c>
      <c r="DL117" t="e">
        <f>Nodes!Q937+"'E4!&amp;k3"</f>
        <v>#VALUE!</v>
      </c>
      <c r="DM117" t="e">
        <f>Nodes!R937+"'E4!&amp;k4"</f>
        <v>#VALUE!</v>
      </c>
      <c r="DN117" t="e">
        <f>Nodes!S937+"'E4!&amp;k5"</f>
        <v>#VALUE!</v>
      </c>
      <c r="DO117" s="547" t="e">
        <f>Nodes!T937+"'E4!&amp;k6"</f>
        <v>#VALUE!</v>
      </c>
      <c r="DP117" s="548" t="e">
        <f>Nodes!U937+"'E4!&amp;k7"</f>
        <v>#VALUE!</v>
      </c>
      <c r="DQ117" t="e">
        <f>Nodes!V937+"'E4!&amp;k8"</f>
        <v>#VALUE!</v>
      </c>
      <c r="DR117" s="547" t="e">
        <f>Nodes!W937+"'E4!&amp;k9"</f>
        <v>#VALUE!</v>
      </c>
      <c r="DS117" t="e">
        <f>Nodes!X937+"'E4!&amp;k:"</f>
        <v>#VALUE!</v>
      </c>
      <c r="DT117" t="e">
        <f>Nodes!Y937+"'E4!&amp;k;"</f>
        <v>#VALUE!</v>
      </c>
      <c r="DU117" t="e">
        <f>Nodes!Z937+"'E4!&amp;k&lt;"</f>
        <v>#VALUE!</v>
      </c>
      <c r="DV117" t="e">
        <f>Nodes!AA937+"'E4!&amp;k="</f>
        <v>#VALUE!</v>
      </c>
      <c r="DW117" t="e">
        <f>Nodes!AB937+"'E4!&amp;k&gt;"</f>
        <v>#VALUE!</v>
      </c>
      <c r="DX117" t="e">
        <f>Nodes!AC937+"'E4!&amp;k?"</f>
        <v>#VALUE!</v>
      </c>
      <c r="DY117" t="e">
        <f>Nodes!A938+"'E4!&amp;k@"</f>
        <v>#VALUE!</v>
      </c>
      <c r="DZ117" t="e">
        <f>Nodes!B938+"'E4!&amp;kA"</f>
        <v>#VALUE!</v>
      </c>
      <c r="EA117" t="e">
        <f>Nodes!C938+"'E4!&amp;kB"</f>
        <v>#VALUE!</v>
      </c>
      <c r="EB117" t="e">
        <f>Nodes!D938+"'E4!&amp;kC"</f>
        <v>#VALUE!</v>
      </c>
      <c r="EC117" t="e">
        <f>Nodes!E938+"'E4!&amp;kD"</f>
        <v>#VALUE!</v>
      </c>
      <c r="ED117" t="e">
        <f>Nodes!F938+"'E4!&amp;kE"</f>
        <v>#VALUE!</v>
      </c>
      <c r="EE117" t="e">
        <f>Nodes!G938+"'E4!&amp;kF"</f>
        <v>#VALUE!</v>
      </c>
      <c r="EF117" t="e">
        <f>Nodes!H938+"'E4!&amp;kG"</f>
        <v>#VALUE!</v>
      </c>
      <c r="EG117" t="e">
        <f>Nodes!I938+"'E4!&amp;kH"</f>
        <v>#VALUE!</v>
      </c>
      <c r="EH117" t="e">
        <f>Nodes!J938+"'E4!&amp;kI"</f>
        <v>#VALUE!</v>
      </c>
      <c r="EI117" t="e">
        <f>Nodes!K938+"'E4!&amp;kJ"</f>
        <v>#VALUE!</v>
      </c>
      <c r="EJ117" t="e">
        <f>Nodes!L938+"'E4!&amp;kK"</f>
        <v>#VALUE!</v>
      </c>
      <c r="EK117" t="e">
        <f>Nodes!M938+"'E4!&amp;kL"</f>
        <v>#VALUE!</v>
      </c>
      <c r="EL117" t="e">
        <f>Nodes!N938+"'E4!&amp;kM"</f>
        <v>#VALUE!</v>
      </c>
      <c r="EM117" t="e">
        <f>Nodes!O938+"'E4!&amp;kN"</f>
        <v>#VALUE!</v>
      </c>
      <c r="EN117" t="e">
        <f>Nodes!P938+"'E4!&amp;kO"</f>
        <v>#VALUE!</v>
      </c>
      <c r="EO117" t="e">
        <f>Nodes!Q938+"'E4!&amp;kP"</f>
        <v>#VALUE!</v>
      </c>
      <c r="EP117" t="e">
        <f>Nodes!R938+"'E4!&amp;kQ"</f>
        <v>#VALUE!</v>
      </c>
      <c r="EQ117" t="e">
        <f>Nodes!S938+"'E4!&amp;kR"</f>
        <v>#VALUE!</v>
      </c>
      <c r="ER117" s="547" t="e">
        <f>Nodes!T938+"'E4!&amp;kS"</f>
        <v>#VALUE!</v>
      </c>
      <c r="ES117" s="548" t="e">
        <f>Nodes!U938+"'E4!&amp;kT"</f>
        <v>#VALUE!</v>
      </c>
      <c r="ET117" t="e">
        <f>Nodes!V938+"'E4!&amp;kU"</f>
        <v>#VALUE!</v>
      </c>
      <c r="EU117" s="547" t="e">
        <f>Nodes!W938+"'E4!&amp;kV"</f>
        <v>#VALUE!</v>
      </c>
      <c r="EV117" t="e">
        <f>Nodes!X938+"'E4!&amp;kW"</f>
        <v>#VALUE!</v>
      </c>
      <c r="EW117" t="e">
        <f>Nodes!Y938+"'E4!&amp;kX"</f>
        <v>#VALUE!</v>
      </c>
      <c r="EX117" t="e">
        <f>Nodes!Z938+"'E4!&amp;kY"</f>
        <v>#VALUE!</v>
      </c>
      <c r="EY117" t="e">
        <f>Nodes!AA938+"'E4!&amp;kZ"</f>
        <v>#VALUE!</v>
      </c>
      <c r="EZ117" t="e">
        <f>Nodes!AB938+"'E4!&amp;k["</f>
        <v>#VALUE!</v>
      </c>
      <c r="FA117" t="e">
        <f>Nodes!AC938+"'E4!&amp;k\"</f>
        <v>#VALUE!</v>
      </c>
      <c r="FB117" t="e">
        <f>Nodes!A939+"'E4!&amp;k]"</f>
        <v>#VALUE!</v>
      </c>
      <c r="FC117" t="e">
        <f>Nodes!B939+"'E4!&amp;k^"</f>
        <v>#VALUE!</v>
      </c>
      <c r="FD117" t="e">
        <f>Nodes!C939+"'E4!&amp;k_"</f>
        <v>#VALUE!</v>
      </c>
      <c r="FE117" t="e">
        <f>Nodes!D939+"'E4!&amp;k`"</f>
        <v>#VALUE!</v>
      </c>
      <c r="FF117" t="e">
        <f>Nodes!E939+"'E4!&amp;ka"</f>
        <v>#VALUE!</v>
      </c>
      <c r="FG117" t="e">
        <f>Nodes!F939+"'E4!&amp;kb"</f>
        <v>#VALUE!</v>
      </c>
      <c r="FH117" t="e">
        <f>Nodes!G939+"'E4!&amp;kc"</f>
        <v>#VALUE!</v>
      </c>
      <c r="FI117" t="e">
        <f>Nodes!H939+"'E4!&amp;kd"</f>
        <v>#VALUE!</v>
      </c>
      <c r="FJ117" t="e">
        <f>Nodes!I939+"'E4!&amp;ke"</f>
        <v>#VALUE!</v>
      </c>
      <c r="FK117" t="e">
        <f>Nodes!J939+"'E4!&amp;kf"</f>
        <v>#VALUE!</v>
      </c>
      <c r="FL117" t="e">
        <f>Nodes!K939+"'E4!&amp;kg"</f>
        <v>#VALUE!</v>
      </c>
      <c r="FM117" t="e">
        <f>Nodes!L939+"'E4!&amp;kh"</f>
        <v>#VALUE!</v>
      </c>
      <c r="FN117" t="e">
        <f>Nodes!M939+"'E4!&amp;ki"</f>
        <v>#VALUE!</v>
      </c>
      <c r="FO117" t="e">
        <f>Nodes!N939+"'E4!&amp;kj"</f>
        <v>#VALUE!</v>
      </c>
      <c r="FP117" t="e">
        <f>Nodes!O939+"'E4!&amp;kk"</f>
        <v>#VALUE!</v>
      </c>
      <c r="FQ117" t="e">
        <f>Nodes!P939+"'E4!&amp;kl"</f>
        <v>#VALUE!</v>
      </c>
      <c r="FR117" t="e">
        <f>Nodes!Q939+"'E4!&amp;km"</f>
        <v>#VALUE!</v>
      </c>
      <c r="FS117" t="e">
        <f>Nodes!R939+"'E4!&amp;kn"</f>
        <v>#VALUE!</v>
      </c>
      <c r="FT117" t="e">
        <f>Nodes!S939+"'E4!&amp;ko"</f>
        <v>#VALUE!</v>
      </c>
      <c r="FU117" s="547" t="e">
        <f>Nodes!T939+"'E4!&amp;kp"</f>
        <v>#VALUE!</v>
      </c>
      <c r="FV117" s="548" t="e">
        <f>Nodes!U939+"'E4!&amp;kq"</f>
        <v>#VALUE!</v>
      </c>
      <c r="FW117" t="e">
        <f>Nodes!V939+"'E4!&amp;kr"</f>
        <v>#VALUE!</v>
      </c>
      <c r="FX117" s="547" t="e">
        <f>Nodes!W939+"'E4!&amp;ks"</f>
        <v>#VALUE!</v>
      </c>
      <c r="FY117" t="e">
        <f>Nodes!X939+"'E4!&amp;kt"</f>
        <v>#VALUE!</v>
      </c>
      <c r="FZ117" t="e">
        <f>Nodes!Y939+"'E4!&amp;ku"</f>
        <v>#VALUE!</v>
      </c>
      <c r="GA117" t="e">
        <f>Nodes!Z939+"'E4!&amp;kv"</f>
        <v>#VALUE!</v>
      </c>
      <c r="GB117" t="e">
        <f>Nodes!AA939+"'E4!&amp;kw"</f>
        <v>#VALUE!</v>
      </c>
      <c r="GC117" t="e">
        <f>Nodes!AB939+"'E4!&amp;kx"</f>
        <v>#VALUE!</v>
      </c>
      <c r="GD117" t="e">
        <f>Nodes!AC939+"'E4!&amp;ky"</f>
        <v>#VALUE!</v>
      </c>
      <c r="GE117" t="e">
        <f>Nodes!A940+"'E4!&amp;kz"</f>
        <v>#VALUE!</v>
      </c>
      <c r="GF117" t="e">
        <f>Nodes!B940+"'E4!&amp;k{"</f>
        <v>#VALUE!</v>
      </c>
      <c r="GG117" t="e">
        <f>Nodes!C940+"'E4!&amp;k|"</f>
        <v>#VALUE!</v>
      </c>
      <c r="GH117" t="e">
        <f>Nodes!D940+"'E4!&amp;k}"</f>
        <v>#VALUE!</v>
      </c>
      <c r="GI117" t="e">
        <f>Nodes!E940+"'E4!&amp;k~"</f>
        <v>#VALUE!</v>
      </c>
      <c r="GJ117" t="e">
        <f>Nodes!F940+"'E4!&amp;l#"</f>
        <v>#VALUE!</v>
      </c>
      <c r="GK117" t="e">
        <f>Nodes!G940+"'E4!&amp;l$"</f>
        <v>#VALUE!</v>
      </c>
      <c r="GL117" t="e">
        <f>Nodes!H940+"'E4!&amp;l%"</f>
        <v>#VALUE!</v>
      </c>
      <c r="GM117" t="e">
        <f>Nodes!I940+"'E4!&amp;l&amp;"</f>
        <v>#VALUE!</v>
      </c>
      <c r="GN117" t="e">
        <f>Nodes!J940+"'E4!&amp;l'"</f>
        <v>#VALUE!</v>
      </c>
      <c r="GO117" t="e">
        <f>Nodes!K940+"'E4!&amp;l("</f>
        <v>#VALUE!</v>
      </c>
      <c r="GP117" t="e">
        <f>Nodes!L940+"'E4!&amp;l)"</f>
        <v>#VALUE!</v>
      </c>
      <c r="GQ117" t="e">
        <f>Nodes!M940+"'E4!&amp;l."</f>
        <v>#VALUE!</v>
      </c>
      <c r="GR117" t="e">
        <f>Nodes!N940+"'E4!&amp;l/"</f>
        <v>#VALUE!</v>
      </c>
      <c r="GS117" t="e">
        <f>Nodes!O940+"'E4!&amp;l0"</f>
        <v>#VALUE!</v>
      </c>
      <c r="GT117" t="e">
        <f>Nodes!P940+"'E4!&amp;l1"</f>
        <v>#VALUE!</v>
      </c>
      <c r="GU117" t="e">
        <f>Nodes!Q940+"'E4!&amp;l2"</f>
        <v>#VALUE!</v>
      </c>
      <c r="GV117" t="e">
        <f>Nodes!R940+"'E4!&amp;l3"</f>
        <v>#VALUE!</v>
      </c>
      <c r="GW117" t="e">
        <f>Nodes!S940+"'E4!&amp;l4"</f>
        <v>#VALUE!</v>
      </c>
      <c r="GX117" s="547" t="e">
        <f>Nodes!T940+"'E4!&amp;l5"</f>
        <v>#VALUE!</v>
      </c>
      <c r="GY117" s="548" t="e">
        <f>Nodes!U940+"'E4!&amp;l6"</f>
        <v>#VALUE!</v>
      </c>
      <c r="GZ117" t="e">
        <f>Nodes!V940+"'E4!&amp;l7"</f>
        <v>#VALUE!</v>
      </c>
      <c r="HA117" s="547" t="e">
        <f>Nodes!W940+"'E4!&amp;l8"</f>
        <v>#VALUE!</v>
      </c>
      <c r="HB117" t="e">
        <f>Nodes!X940+"'E4!&amp;l9"</f>
        <v>#VALUE!</v>
      </c>
      <c r="HC117" t="e">
        <f>Nodes!Y940+"'E4!&amp;l:"</f>
        <v>#VALUE!</v>
      </c>
      <c r="HD117" t="e">
        <f>Nodes!Z940+"'E4!&amp;l;"</f>
        <v>#VALUE!</v>
      </c>
      <c r="HE117" t="e">
        <f>Nodes!AA940+"'E4!&amp;l&lt;"</f>
        <v>#VALUE!</v>
      </c>
      <c r="HF117" t="e">
        <f>Nodes!AB940+"'E4!&amp;l="</f>
        <v>#VALUE!</v>
      </c>
      <c r="HG117" t="e">
        <f>Nodes!AC940+"'E4!&amp;l&gt;"</f>
        <v>#VALUE!</v>
      </c>
      <c r="HH117" t="e">
        <f>Nodes!A941+"'E4!&amp;l?"</f>
        <v>#VALUE!</v>
      </c>
      <c r="HI117" t="e">
        <f>Nodes!B941+"'E4!&amp;l@"</f>
        <v>#VALUE!</v>
      </c>
      <c r="HJ117" t="e">
        <f>Nodes!C941+"'E4!&amp;lA"</f>
        <v>#VALUE!</v>
      </c>
      <c r="HK117" t="e">
        <f>Nodes!D941+"'E4!&amp;lB"</f>
        <v>#VALUE!</v>
      </c>
      <c r="HL117" t="e">
        <f>Nodes!E941+"'E4!&amp;lC"</f>
        <v>#VALUE!</v>
      </c>
      <c r="HM117" t="e">
        <f>Nodes!F941+"'E4!&amp;lD"</f>
        <v>#VALUE!</v>
      </c>
      <c r="HN117" t="e">
        <f>Nodes!G941+"'E4!&amp;lE"</f>
        <v>#VALUE!</v>
      </c>
      <c r="HO117" t="e">
        <f>Nodes!H941+"'E4!&amp;lF"</f>
        <v>#VALUE!</v>
      </c>
      <c r="HP117" t="e">
        <f>Nodes!I941+"'E4!&amp;lG"</f>
        <v>#VALUE!</v>
      </c>
      <c r="HQ117" t="e">
        <f>Nodes!J941+"'E4!&amp;lH"</f>
        <v>#VALUE!</v>
      </c>
      <c r="HR117" t="e">
        <f>Nodes!K941+"'E4!&amp;lI"</f>
        <v>#VALUE!</v>
      </c>
      <c r="HS117" t="e">
        <f>Nodes!L941+"'E4!&amp;lJ"</f>
        <v>#VALUE!</v>
      </c>
      <c r="HT117" t="e">
        <f>Nodes!M941+"'E4!&amp;lK"</f>
        <v>#VALUE!</v>
      </c>
      <c r="HU117" t="e">
        <f>Nodes!N941+"'E4!&amp;lL"</f>
        <v>#VALUE!</v>
      </c>
      <c r="HV117" t="e">
        <f>Nodes!O941+"'E4!&amp;lM"</f>
        <v>#VALUE!</v>
      </c>
      <c r="HW117" t="e">
        <f>Nodes!P941+"'E4!&amp;lN"</f>
        <v>#VALUE!</v>
      </c>
      <c r="HX117" t="e">
        <f>Nodes!Q941+"'E4!&amp;lO"</f>
        <v>#VALUE!</v>
      </c>
      <c r="HY117" t="e">
        <f>Nodes!R941+"'E4!&amp;lP"</f>
        <v>#VALUE!</v>
      </c>
      <c r="HZ117" t="e">
        <f>Nodes!S941+"'E4!&amp;lQ"</f>
        <v>#VALUE!</v>
      </c>
      <c r="IA117" s="547" t="e">
        <f>Nodes!T941+"'E4!&amp;lR"</f>
        <v>#VALUE!</v>
      </c>
      <c r="IB117" s="548" t="e">
        <f>Nodes!U941+"'E4!&amp;lS"</f>
        <v>#VALUE!</v>
      </c>
      <c r="IC117" t="e">
        <f>Nodes!V941+"'E4!&amp;lT"</f>
        <v>#VALUE!</v>
      </c>
      <c r="ID117" s="547" t="e">
        <f>Nodes!W941+"'E4!&amp;lU"</f>
        <v>#VALUE!</v>
      </c>
      <c r="IE117" t="e">
        <f>Nodes!X941+"'E4!&amp;lV"</f>
        <v>#VALUE!</v>
      </c>
      <c r="IF117" t="e">
        <f>Nodes!Y941+"'E4!&amp;lW"</f>
        <v>#VALUE!</v>
      </c>
      <c r="IG117" t="e">
        <f>Nodes!Z941+"'E4!&amp;lX"</f>
        <v>#VALUE!</v>
      </c>
      <c r="IH117" t="e">
        <f>Nodes!AA941+"'E4!&amp;lY"</f>
        <v>#VALUE!</v>
      </c>
      <c r="II117" t="e">
        <f>Nodes!AB941+"'E4!&amp;lZ"</f>
        <v>#VALUE!</v>
      </c>
      <c r="IJ117" t="e">
        <f>Nodes!AC941+"'E4!&amp;l["</f>
        <v>#VALUE!</v>
      </c>
      <c r="IK117" t="e">
        <f>Nodes!A942+"'E4!&amp;l\"</f>
        <v>#VALUE!</v>
      </c>
      <c r="IL117" t="e">
        <f>Nodes!B942+"'E4!&amp;l]"</f>
        <v>#VALUE!</v>
      </c>
      <c r="IM117" t="e">
        <f>Nodes!C942+"'E4!&amp;l^"</f>
        <v>#VALUE!</v>
      </c>
      <c r="IN117" t="e">
        <f>Nodes!D942+"'E4!&amp;l_"</f>
        <v>#VALUE!</v>
      </c>
      <c r="IO117" t="e">
        <f>Nodes!E942+"'E4!&amp;l`"</f>
        <v>#VALUE!</v>
      </c>
      <c r="IP117" t="e">
        <f>Nodes!F942+"'E4!&amp;la"</f>
        <v>#VALUE!</v>
      </c>
      <c r="IQ117" t="e">
        <f>Nodes!G942+"'E4!&amp;lb"</f>
        <v>#VALUE!</v>
      </c>
      <c r="IR117" t="e">
        <f>Nodes!H942+"'E4!&amp;lc"</f>
        <v>#VALUE!</v>
      </c>
      <c r="IS117" t="e">
        <f>Nodes!I942+"'E4!&amp;ld"</f>
        <v>#VALUE!</v>
      </c>
      <c r="IT117" t="e">
        <f>Nodes!J942+"'E4!&amp;le"</f>
        <v>#VALUE!</v>
      </c>
      <c r="IU117" t="e">
        <f>Nodes!K942+"'E4!&amp;lf"</f>
        <v>#VALUE!</v>
      </c>
      <c r="IV117" t="e">
        <f>Nodes!L942+"'E4!&amp;lg"</f>
        <v>#VALUE!</v>
      </c>
    </row>
    <row r="118" spans="6:256">
      <c r="F118" t="e">
        <f>Nodes!M942+"'E4!&amp;lh"</f>
        <v>#VALUE!</v>
      </c>
      <c r="G118" t="e">
        <f>Nodes!N942+"'E4!&amp;li"</f>
        <v>#VALUE!</v>
      </c>
      <c r="H118" t="e">
        <f>Nodes!O942+"'E4!&amp;lj"</f>
        <v>#VALUE!</v>
      </c>
      <c r="I118" t="e">
        <f>Nodes!P942+"'E4!&amp;lk"</f>
        <v>#VALUE!</v>
      </c>
      <c r="J118" t="e">
        <f>Nodes!Q942+"'E4!&amp;ll"</f>
        <v>#VALUE!</v>
      </c>
      <c r="K118" t="e">
        <f>Nodes!R942+"'E4!&amp;lm"</f>
        <v>#VALUE!</v>
      </c>
      <c r="L118" t="e">
        <f>Nodes!S942+"'E4!&amp;ln"</f>
        <v>#VALUE!</v>
      </c>
      <c r="M118" s="547" t="e">
        <f>Nodes!T942+"'E4!&amp;lo"</f>
        <v>#VALUE!</v>
      </c>
      <c r="N118" s="548" t="e">
        <f>Nodes!U942+"'E4!&amp;lp"</f>
        <v>#VALUE!</v>
      </c>
      <c r="O118" t="e">
        <f>Nodes!V942+"'E4!&amp;lq"</f>
        <v>#VALUE!</v>
      </c>
      <c r="P118" s="547" t="e">
        <f>Nodes!W942+"'E4!&amp;lr"</f>
        <v>#VALUE!</v>
      </c>
      <c r="Q118" t="e">
        <f>Nodes!X942+"'E4!&amp;ls"</f>
        <v>#VALUE!</v>
      </c>
      <c r="R118" t="e">
        <f>Nodes!Y942+"'E4!&amp;lt"</f>
        <v>#VALUE!</v>
      </c>
      <c r="S118" t="e">
        <f>Nodes!Z942+"'E4!&amp;lu"</f>
        <v>#VALUE!</v>
      </c>
      <c r="T118" t="e">
        <f>Nodes!AA942+"'E4!&amp;lv"</f>
        <v>#VALUE!</v>
      </c>
      <c r="U118" t="e">
        <f>Nodes!AB942+"'E4!&amp;lw"</f>
        <v>#VALUE!</v>
      </c>
      <c r="V118" t="e">
        <f>Nodes!AC942+"'E4!&amp;lx"</f>
        <v>#VALUE!</v>
      </c>
      <c r="W118" t="e">
        <f>Nodes!A943+"'E4!&amp;ly"</f>
        <v>#VALUE!</v>
      </c>
      <c r="X118" t="e">
        <f>Nodes!B943+"'E4!&amp;lz"</f>
        <v>#VALUE!</v>
      </c>
      <c r="Y118" t="e">
        <f>Nodes!C943+"'E4!&amp;l{"</f>
        <v>#VALUE!</v>
      </c>
      <c r="Z118" t="e">
        <f>Nodes!D943+"'E4!&amp;l|"</f>
        <v>#VALUE!</v>
      </c>
      <c r="AA118" t="e">
        <f>Nodes!E943+"'E4!&amp;l}"</f>
        <v>#VALUE!</v>
      </c>
      <c r="AB118" t="e">
        <f>Nodes!F943+"'E4!&amp;l~"</f>
        <v>#VALUE!</v>
      </c>
      <c r="AC118" t="e">
        <f>Nodes!G943+"'E4!&amp;m#"</f>
        <v>#VALUE!</v>
      </c>
      <c r="AD118" t="e">
        <f>Nodes!H943+"'E4!&amp;m$"</f>
        <v>#VALUE!</v>
      </c>
      <c r="AE118" t="e">
        <f>Nodes!I943+"'E4!&amp;m%"</f>
        <v>#VALUE!</v>
      </c>
      <c r="AF118" t="e">
        <f>Nodes!J943+"'E4!&amp;m&amp;"</f>
        <v>#VALUE!</v>
      </c>
      <c r="AG118" t="e">
        <f>Nodes!K943+"'E4!&amp;m'"</f>
        <v>#VALUE!</v>
      </c>
      <c r="AH118" t="e">
        <f>Nodes!L943+"'E4!&amp;m("</f>
        <v>#VALUE!</v>
      </c>
      <c r="AI118" t="e">
        <f>Nodes!M943+"'E4!&amp;m)"</f>
        <v>#VALUE!</v>
      </c>
      <c r="AJ118" t="e">
        <f>Nodes!N943+"'E4!&amp;m."</f>
        <v>#VALUE!</v>
      </c>
      <c r="AK118" t="e">
        <f>Nodes!O943+"'E4!&amp;m/"</f>
        <v>#VALUE!</v>
      </c>
      <c r="AL118" t="e">
        <f>Nodes!P943+"'E4!&amp;m0"</f>
        <v>#VALUE!</v>
      </c>
      <c r="AM118" t="e">
        <f>Nodes!Q943+"'E4!&amp;m1"</f>
        <v>#VALUE!</v>
      </c>
      <c r="AN118" t="e">
        <f>Nodes!R943+"'E4!&amp;m2"</f>
        <v>#VALUE!</v>
      </c>
      <c r="AO118" t="e">
        <f>Nodes!S943+"'E4!&amp;m3"</f>
        <v>#VALUE!</v>
      </c>
      <c r="AP118" t="e">
        <f>Nodes!T943+"'E4!&amp;m4"</f>
        <v>#VALUE!</v>
      </c>
      <c r="AQ118" t="e">
        <f>Nodes!U943+"'E4!&amp;m5"</f>
        <v>#VALUE!</v>
      </c>
      <c r="AR118" t="e">
        <f>Nodes!V943+"'E4!&amp;m6"</f>
        <v>#VALUE!</v>
      </c>
      <c r="AS118" t="e">
        <f>Nodes!W943+"'E4!&amp;m7"</f>
        <v>#VALUE!</v>
      </c>
      <c r="AT118" s="333" t="e">
        <f>Nodes!X943+"'E4!&amp;m8"</f>
        <v>#VALUE!</v>
      </c>
      <c r="AU118" t="e">
        <f>Nodes!Y943+"'E4!&amp;m9"</f>
        <v>#VALUE!</v>
      </c>
      <c r="AV118" t="e">
        <f>Nodes!Z943+"'E4!&amp;m:"</f>
        <v>#VALUE!</v>
      </c>
      <c r="AW118" t="e">
        <f>Nodes!AA943+"'E4!&amp;m;"</f>
        <v>#VALUE!</v>
      </c>
      <c r="AX118" t="e">
        <f>Nodes!AB943+"'E4!&amp;m&lt;"</f>
        <v>#VALUE!</v>
      </c>
      <c r="AY118" t="e">
        <f>Nodes!AC943+"'E4!&amp;m="</f>
        <v>#VALUE!</v>
      </c>
      <c r="AZ118" t="e">
        <f>Nodes!A944+"'E4!&amp;m&gt;"</f>
        <v>#VALUE!</v>
      </c>
      <c r="BA118" t="e">
        <f>Nodes!B944+"'E4!&amp;m?"</f>
        <v>#VALUE!</v>
      </c>
      <c r="BB118" t="e">
        <f>Nodes!C944+"'E4!&amp;m@"</f>
        <v>#VALUE!</v>
      </c>
      <c r="BC118" t="e">
        <f>Nodes!D944+"'E4!&amp;mA"</f>
        <v>#VALUE!</v>
      </c>
      <c r="BD118" t="e">
        <f>Nodes!E944+"'E4!&amp;mB"</f>
        <v>#VALUE!</v>
      </c>
      <c r="BE118" t="e">
        <f>Nodes!F944+"'E4!&amp;mC"</f>
        <v>#VALUE!</v>
      </c>
      <c r="BF118" t="e">
        <f>Nodes!G944+"'E4!&amp;mD"</f>
        <v>#VALUE!</v>
      </c>
      <c r="BG118" t="e">
        <f>Nodes!H944+"'E4!&amp;mE"</f>
        <v>#VALUE!</v>
      </c>
      <c r="BH118" t="e">
        <f>Nodes!I944+"'E4!&amp;mF"</f>
        <v>#VALUE!</v>
      </c>
      <c r="BI118" t="e">
        <f>Nodes!J944+"'E4!&amp;mG"</f>
        <v>#VALUE!</v>
      </c>
      <c r="BJ118" t="e">
        <f>Nodes!K944+"'E4!&amp;mH"</f>
        <v>#VALUE!</v>
      </c>
      <c r="BK118" t="e">
        <f>Nodes!L944+"'E4!&amp;mI"</f>
        <v>#VALUE!</v>
      </c>
      <c r="BL118" t="e">
        <f>Nodes!M944+"'E4!&amp;mJ"</f>
        <v>#VALUE!</v>
      </c>
      <c r="BM118" t="e">
        <f>Nodes!N944+"'E4!&amp;mK"</f>
        <v>#VALUE!</v>
      </c>
      <c r="BN118" t="e">
        <f>Nodes!O944+"'E4!&amp;mL"</f>
        <v>#VALUE!</v>
      </c>
      <c r="BO118" t="e">
        <f>Nodes!P944+"'E4!&amp;mM"</f>
        <v>#VALUE!</v>
      </c>
      <c r="BP118" t="e">
        <f>Nodes!Q944+"'E4!&amp;mN"</f>
        <v>#VALUE!</v>
      </c>
      <c r="BQ118" t="e">
        <f>Nodes!R944+"'E4!&amp;mO"</f>
        <v>#VALUE!</v>
      </c>
      <c r="BR118" t="e">
        <f>Nodes!S944+"'E4!&amp;mP"</f>
        <v>#VALUE!</v>
      </c>
      <c r="BS118" t="e">
        <f>Nodes!T944+"'E4!&amp;mQ"</f>
        <v>#VALUE!</v>
      </c>
      <c r="BT118" t="e">
        <f>Nodes!U944+"'E4!&amp;mR"</f>
        <v>#VALUE!</v>
      </c>
      <c r="BU118" t="e">
        <f>Nodes!V944+"'E4!&amp;mS"</f>
        <v>#VALUE!</v>
      </c>
      <c r="BV118" t="e">
        <f>Nodes!W944+"'E4!&amp;mT"</f>
        <v>#VALUE!</v>
      </c>
      <c r="BW118" s="333" t="e">
        <f>Nodes!X944+"'E4!&amp;mU"</f>
        <v>#VALUE!</v>
      </c>
      <c r="BX118" t="e">
        <f>Nodes!Y944+"'E4!&amp;mV"</f>
        <v>#VALUE!</v>
      </c>
      <c r="BY118" t="e">
        <f>Nodes!Z944+"'E4!&amp;mW"</f>
        <v>#VALUE!</v>
      </c>
      <c r="BZ118" t="e">
        <f>Nodes!AA944+"'E4!&amp;mX"</f>
        <v>#VALUE!</v>
      </c>
      <c r="CA118" t="e">
        <f>Nodes!AB944+"'E4!&amp;mY"</f>
        <v>#VALUE!</v>
      </c>
      <c r="CB118" t="e">
        <f>Nodes!AC944+"'E4!&amp;mZ"</f>
        <v>#VALUE!</v>
      </c>
      <c r="CC118" t="e">
        <f>Nodes!A945+"'E4!&amp;m["</f>
        <v>#VALUE!</v>
      </c>
      <c r="CD118" t="e">
        <f>Nodes!B945+"'E4!&amp;m\"</f>
        <v>#VALUE!</v>
      </c>
      <c r="CE118" t="e">
        <f>Nodes!C945+"'E4!&amp;m]"</f>
        <v>#VALUE!</v>
      </c>
      <c r="CF118" t="e">
        <f>Nodes!D945+"'E4!&amp;m^"</f>
        <v>#VALUE!</v>
      </c>
      <c r="CG118" t="e">
        <f>Nodes!E945+"'E4!&amp;m_"</f>
        <v>#VALUE!</v>
      </c>
      <c r="CH118" t="e">
        <f>Nodes!F945+"'E4!&amp;m`"</f>
        <v>#VALUE!</v>
      </c>
      <c r="CI118" t="e">
        <f>Nodes!G945+"'E4!&amp;ma"</f>
        <v>#VALUE!</v>
      </c>
      <c r="CJ118" t="e">
        <f>Nodes!H945+"'E4!&amp;mb"</f>
        <v>#VALUE!</v>
      </c>
      <c r="CK118" t="e">
        <f>Nodes!I945+"'E4!&amp;mc"</f>
        <v>#VALUE!</v>
      </c>
      <c r="CL118" t="e">
        <f>Nodes!J945+"'E4!&amp;md"</f>
        <v>#VALUE!</v>
      </c>
      <c r="CM118" t="e">
        <f>Nodes!K945+"'E4!&amp;me"</f>
        <v>#VALUE!</v>
      </c>
      <c r="CN118" t="e">
        <f>Nodes!L945+"'E4!&amp;mf"</f>
        <v>#VALUE!</v>
      </c>
      <c r="CO118" t="e">
        <f>Nodes!M945+"'E4!&amp;mg"</f>
        <v>#VALUE!</v>
      </c>
      <c r="CP118" t="e">
        <f>Nodes!N945+"'E4!&amp;mh"</f>
        <v>#VALUE!</v>
      </c>
      <c r="CQ118" t="e">
        <f>Nodes!O945+"'E4!&amp;mi"</f>
        <v>#VALUE!</v>
      </c>
      <c r="CR118" t="e">
        <f>Nodes!P945+"'E4!&amp;mj"</f>
        <v>#VALUE!</v>
      </c>
      <c r="CS118" t="e">
        <f>Nodes!Q945+"'E4!&amp;mk"</f>
        <v>#VALUE!</v>
      </c>
      <c r="CT118" t="e">
        <f>Nodes!R945+"'E4!&amp;ml"</f>
        <v>#VALUE!</v>
      </c>
      <c r="CU118" t="e">
        <f>Nodes!S945+"'E4!&amp;mm"</f>
        <v>#VALUE!</v>
      </c>
      <c r="CV118" t="e">
        <f>Nodes!T945+"'E4!&amp;mn"</f>
        <v>#VALUE!</v>
      </c>
      <c r="CW118" t="e">
        <f>Nodes!U945+"'E4!&amp;mo"</f>
        <v>#VALUE!</v>
      </c>
      <c r="CX118" t="e">
        <f>Nodes!V945+"'E4!&amp;mp"</f>
        <v>#VALUE!</v>
      </c>
      <c r="CY118" t="e">
        <f>Nodes!W945+"'E4!&amp;mq"</f>
        <v>#VALUE!</v>
      </c>
      <c r="CZ118" s="333" t="e">
        <f>Nodes!X945+"'E4!&amp;mr"</f>
        <v>#VALUE!</v>
      </c>
      <c r="DA118" t="e">
        <f>Nodes!Y945+"'E4!&amp;ms"</f>
        <v>#VALUE!</v>
      </c>
      <c r="DB118" t="e">
        <f>Nodes!Z945+"'E4!&amp;mt"</f>
        <v>#VALUE!</v>
      </c>
      <c r="DC118" t="e">
        <f>Nodes!AA945+"'E4!&amp;mu"</f>
        <v>#VALUE!</v>
      </c>
      <c r="DD118" t="e">
        <f>Nodes!AB945+"'E4!&amp;mv"</f>
        <v>#VALUE!</v>
      </c>
      <c r="DE118" t="e">
        <f>Nodes!AC945+"'E4!&amp;mw"</f>
        <v>#VALUE!</v>
      </c>
      <c r="DF118" t="e">
        <f>Nodes!A946+"'E4!&amp;mx"</f>
        <v>#VALUE!</v>
      </c>
      <c r="DG118" t="e">
        <f>Nodes!B946+"'E4!&amp;my"</f>
        <v>#VALUE!</v>
      </c>
      <c r="DH118" t="e">
        <f>Nodes!C946+"'E4!&amp;mz"</f>
        <v>#VALUE!</v>
      </c>
      <c r="DI118" t="e">
        <f>Nodes!D946+"'E4!&amp;m{"</f>
        <v>#VALUE!</v>
      </c>
      <c r="DJ118" t="e">
        <f>Nodes!E946+"'E4!&amp;m|"</f>
        <v>#VALUE!</v>
      </c>
      <c r="DK118" t="e">
        <f>Nodes!F946+"'E4!&amp;m}"</f>
        <v>#VALUE!</v>
      </c>
      <c r="DL118" t="e">
        <f>Nodes!G946+"'E4!&amp;m~"</f>
        <v>#VALUE!</v>
      </c>
      <c r="DM118" t="e">
        <f>Nodes!H946+"'E4!&amp;n#"</f>
        <v>#VALUE!</v>
      </c>
      <c r="DN118" t="e">
        <f>Nodes!I946+"'E4!&amp;n$"</f>
        <v>#VALUE!</v>
      </c>
      <c r="DO118" t="e">
        <f>Nodes!J946+"'E4!&amp;n%"</f>
        <v>#VALUE!</v>
      </c>
      <c r="DP118" t="e">
        <f>Nodes!K946+"'E4!&amp;n&amp;"</f>
        <v>#VALUE!</v>
      </c>
      <c r="DQ118" t="e">
        <f>Nodes!L946+"'E4!&amp;n'"</f>
        <v>#VALUE!</v>
      </c>
      <c r="DR118" t="e">
        <f>Nodes!M946+"'E4!&amp;n("</f>
        <v>#VALUE!</v>
      </c>
      <c r="DS118" t="e">
        <f>Nodes!N946+"'E4!&amp;n)"</f>
        <v>#VALUE!</v>
      </c>
      <c r="DT118" t="e">
        <f>Nodes!O946+"'E4!&amp;n."</f>
        <v>#VALUE!</v>
      </c>
      <c r="DU118" t="e">
        <f>Nodes!P946+"'E4!&amp;n/"</f>
        <v>#VALUE!</v>
      </c>
      <c r="DV118" t="e">
        <f>Nodes!Q946+"'E4!&amp;n0"</f>
        <v>#VALUE!</v>
      </c>
      <c r="DW118" t="e">
        <f>Nodes!R946+"'E4!&amp;n1"</f>
        <v>#VALUE!</v>
      </c>
      <c r="DX118" t="e">
        <f>Nodes!S946+"'E4!&amp;n2"</f>
        <v>#VALUE!</v>
      </c>
      <c r="DY118" t="e">
        <f>Nodes!T946+"'E4!&amp;n3"</f>
        <v>#VALUE!</v>
      </c>
      <c r="DZ118" t="e">
        <f>Nodes!U946+"'E4!&amp;n4"</f>
        <v>#VALUE!</v>
      </c>
      <c r="EA118" t="e">
        <f>Nodes!V946+"'E4!&amp;n5"</f>
        <v>#VALUE!</v>
      </c>
      <c r="EB118" t="e">
        <f>Nodes!W946+"'E4!&amp;n6"</f>
        <v>#VALUE!</v>
      </c>
      <c r="EC118" s="333" t="e">
        <f>Nodes!X946+"'E4!&amp;n7"</f>
        <v>#VALUE!</v>
      </c>
      <c r="ED118" t="e">
        <f>Nodes!Y946+"'E4!&amp;n8"</f>
        <v>#VALUE!</v>
      </c>
      <c r="EE118" t="e">
        <f>Nodes!Z946+"'E4!&amp;n9"</f>
        <v>#VALUE!</v>
      </c>
      <c r="EF118" t="e">
        <f>Nodes!AA946+"'E4!&amp;n:"</f>
        <v>#VALUE!</v>
      </c>
      <c r="EG118" t="e">
        <f>Nodes!AB946+"'E4!&amp;n;"</f>
        <v>#VALUE!</v>
      </c>
      <c r="EH118" t="e">
        <f>Nodes!AC946+"'E4!&amp;n&lt;"</f>
        <v>#VALUE!</v>
      </c>
      <c r="EI118" t="e">
        <f>Nodes!A947+"'E4!&amp;n="</f>
        <v>#VALUE!</v>
      </c>
      <c r="EJ118" t="e">
        <f>Nodes!B947+"'E4!&amp;n&gt;"</f>
        <v>#VALUE!</v>
      </c>
      <c r="EK118" t="e">
        <f>Nodes!C947+"'E4!&amp;n?"</f>
        <v>#VALUE!</v>
      </c>
      <c r="EL118" t="e">
        <f>Nodes!D947+"'E4!&amp;n@"</f>
        <v>#VALUE!</v>
      </c>
      <c r="EM118" t="e">
        <f>Nodes!E947+"'E4!&amp;nA"</f>
        <v>#VALUE!</v>
      </c>
      <c r="EN118" t="e">
        <f>Nodes!F947+"'E4!&amp;nB"</f>
        <v>#VALUE!</v>
      </c>
      <c r="EO118" t="e">
        <f>Nodes!G947+"'E4!&amp;nC"</f>
        <v>#VALUE!</v>
      </c>
      <c r="EP118" t="e">
        <f>Nodes!H947+"'E4!&amp;nD"</f>
        <v>#VALUE!</v>
      </c>
      <c r="EQ118" t="e">
        <f>Nodes!I947+"'E4!&amp;nE"</f>
        <v>#VALUE!</v>
      </c>
      <c r="ER118" t="e">
        <f>Nodes!J947+"'E4!&amp;nF"</f>
        <v>#VALUE!</v>
      </c>
      <c r="ES118" t="e">
        <f>Nodes!K947+"'E4!&amp;nG"</f>
        <v>#VALUE!</v>
      </c>
      <c r="ET118" t="e">
        <f>Nodes!L947+"'E4!&amp;nH"</f>
        <v>#VALUE!</v>
      </c>
      <c r="EU118" t="e">
        <f>Nodes!M947+"'E4!&amp;nI"</f>
        <v>#VALUE!</v>
      </c>
      <c r="EV118" t="e">
        <f>Nodes!N947+"'E4!&amp;nJ"</f>
        <v>#VALUE!</v>
      </c>
      <c r="EW118" t="e">
        <f>Nodes!O947+"'E4!&amp;nK"</f>
        <v>#VALUE!</v>
      </c>
      <c r="EX118" t="e">
        <f>Nodes!P947+"'E4!&amp;nL"</f>
        <v>#VALUE!</v>
      </c>
      <c r="EY118" t="e">
        <f>Nodes!Q947+"'E4!&amp;nM"</f>
        <v>#VALUE!</v>
      </c>
      <c r="EZ118" t="e">
        <f>Nodes!R947+"'E4!&amp;nN"</f>
        <v>#VALUE!</v>
      </c>
      <c r="FA118" t="e">
        <f>Nodes!S947+"'E4!&amp;nO"</f>
        <v>#VALUE!</v>
      </c>
      <c r="FB118" t="e">
        <f>Nodes!T947+"'E4!&amp;nP"</f>
        <v>#VALUE!</v>
      </c>
      <c r="FC118" t="e">
        <f>Nodes!U947+"'E4!&amp;nQ"</f>
        <v>#VALUE!</v>
      </c>
      <c r="FD118" t="e">
        <f>Nodes!V947+"'E4!&amp;nR"</f>
        <v>#VALUE!</v>
      </c>
      <c r="FE118" t="e">
        <f>Nodes!W947+"'E4!&amp;nS"</f>
        <v>#VALUE!</v>
      </c>
      <c r="FF118" s="333" t="e">
        <f>Nodes!X947+"'E4!&amp;nT"</f>
        <v>#VALUE!</v>
      </c>
      <c r="FG118" t="e">
        <f>Nodes!Y947+"'E4!&amp;nU"</f>
        <v>#VALUE!</v>
      </c>
      <c r="FH118" t="e">
        <f>Nodes!Z947+"'E4!&amp;nV"</f>
        <v>#VALUE!</v>
      </c>
      <c r="FI118" t="e">
        <f>Nodes!AA947+"'E4!&amp;nW"</f>
        <v>#VALUE!</v>
      </c>
      <c r="FJ118" t="e">
        <f>Nodes!AB947+"'E4!&amp;nX"</f>
        <v>#VALUE!</v>
      </c>
      <c r="FK118" t="e">
        <f>Nodes!AC947+"'E4!&amp;nY"</f>
        <v>#VALUE!</v>
      </c>
      <c r="FL118" t="e">
        <f>Nodes!A948+"'E4!&amp;nZ"</f>
        <v>#VALUE!</v>
      </c>
      <c r="FM118" t="e">
        <f>Nodes!B948+"'E4!&amp;n["</f>
        <v>#VALUE!</v>
      </c>
      <c r="FN118" t="e">
        <f>Nodes!C948+"'E4!&amp;n\"</f>
        <v>#VALUE!</v>
      </c>
      <c r="FO118" t="e">
        <f>Nodes!D948+"'E4!&amp;n]"</f>
        <v>#VALUE!</v>
      </c>
      <c r="FP118" t="e">
        <f>Nodes!E948+"'E4!&amp;n^"</f>
        <v>#VALUE!</v>
      </c>
      <c r="FQ118" t="e">
        <f>Nodes!F948+"'E4!&amp;n_"</f>
        <v>#VALUE!</v>
      </c>
      <c r="FR118" t="e">
        <f>Nodes!G948+"'E4!&amp;n`"</f>
        <v>#VALUE!</v>
      </c>
      <c r="FS118" t="e">
        <f>Nodes!H948+"'E4!&amp;na"</f>
        <v>#VALUE!</v>
      </c>
      <c r="FT118" t="e">
        <f>Nodes!I948+"'E4!&amp;nb"</f>
        <v>#VALUE!</v>
      </c>
      <c r="FU118" t="e">
        <f>Nodes!J948+"'E4!&amp;nc"</f>
        <v>#VALUE!</v>
      </c>
      <c r="FV118" t="e">
        <f>Nodes!K948+"'E4!&amp;nd"</f>
        <v>#VALUE!</v>
      </c>
      <c r="FW118" t="e">
        <f>Nodes!L948+"'E4!&amp;ne"</f>
        <v>#VALUE!</v>
      </c>
      <c r="FX118" t="e">
        <f>Nodes!M948+"'E4!&amp;nf"</f>
        <v>#VALUE!</v>
      </c>
      <c r="FY118" t="e">
        <f>Nodes!N948+"'E4!&amp;ng"</f>
        <v>#VALUE!</v>
      </c>
      <c r="FZ118" t="e">
        <f>Nodes!O948+"'E4!&amp;nh"</f>
        <v>#VALUE!</v>
      </c>
      <c r="GA118" t="e">
        <f>Nodes!P948+"'E4!&amp;ni"</f>
        <v>#VALUE!</v>
      </c>
      <c r="GB118" t="e">
        <f>Nodes!Q948+"'E4!&amp;nj"</f>
        <v>#VALUE!</v>
      </c>
      <c r="GC118" t="e">
        <f>Nodes!R948+"'E4!&amp;nk"</f>
        <v>#VALUE!</v>
      </c>
      <c r="GD118" t="e">
        <f>Nodes!S948+"'E4!&amp;nl"</f>
        <v>#VALUE!</v>
      </c>
      <c r="GE118" t="e">
        <f>Nodes!T948+"'E4!&amp;nm"</f>
        <v>#VALUE!</v>
      </c>
      <c r="GF118" t="e">
        <f>Nodes!U948+"'E4!&amp;nn"</f>
        <v>#VALUE!</v>
      </c>
      <c r="GG118" t="e">
        <f>Nodes!V948+"'E4!&amp;no"</f>
        <v>#VALUE!</v>
      </c>
      <c r="GH118" t="e">
        <f>Nodes!W948+"'E4!&amp;np"</f>
        <v>#VALUE!</v>
      </c>
      <c r="GI118" s="333" t="e">
        <f>Nodes!X948+"'E4!&amp;nq"</f>
        <v>#VALUE!</v>
      </c>
      <c r="GJ118" t="e">
        <f>Nodes!Y948+"'E4!&amp;nr"</f>
        <v>#VALUE!</v>
      </c>
      <c r="GK118" t="e">
        <f>Nodes!Z948+"'E4!&amp;ns"</f>
        <v>#VALUE!</v>
      </c>
      <c r="GL118" t="e">
        <f>Nodes!AA948+"'E4!&amp;nt"</f>
        <v>#VALUE!</v>
      </c>
      <c r="GM118" t="e">
        <f>Nodes!AB948+"'E4!&amp;nu"</f>
        <v>#VALUE!</v>
      </c>
      <c r="GN118" t="e">
        <f>Nodes!AC948+"'E4!&amp;nv"</f>
        <v>#VALUE!</v>
      </c>
      <c r="GO118" t="e">
        <f>Nodes!A949+"'E4!&amp;nw"</f>
        <v>#VALUE!</v>
      </c>
      <c r="GP118" t="e">
        <f>Nodes!B949+"'E4!&amp;nx"</f>
        <v>#VALUE!</v>
      </c>
      <c r="GQ118" t="e">
        <f>Nodes!C949+"'E4!&amp;ny"</f>
        <v>#VALUE!</v>
      </c>
      <c r="GR118" t="e">
        <f>Nodes!D949+"'E4!&amp;nz"</f>
        <v>#VALUE!</v>
      </c>
      <c r="GS118" t="e">
        <f>Nodes!E949+"'E4!&amp;n{"</f>
        <v>#VALUE!</v>
      </c>
      <c r="GT118" t="e">
        <f>Nodes!F949+"'E4!&amp;n|"</f>
        <v>#VALUE!</v>
      </c>
      <c r="GU118" t="e">
        <f>Nodes!G949+"'E4!&amp;n}"</f>
        <v>#VALUE!</v>
      </c>
      <c r="GV118" t="e">
        <f>Nodes!H949+"'E4!&amp;n~"</f>
        <v>#VALUE!</v>
      </c>
      <c r="GW118" t="e">
        <f>Nodes!I949+"'E4!&amp;o#"</f>
        <v>#VALUE!</v>
      </c>
      <c r="GX118" t="e">
        <f>Nodes!J949+"'E4!&amp;o$"</f>
        <v>#VALUE!</v>
      </c>
      <c r="GY118" t="e">
        <f>Nodes!K949+"'E4!&amp;o%"</f>
        <v>#VALUE!</v>
      </c>
      <c r="GZ118" t="e">
        <f>Nodes!L949+"'E4!&amp;o&amp;"</f>
        <v>#VALUE!</v>
      </c>
      <c r="HA118" t="e">
        <f>Nodes!M949+"'E4!&amp;o'"</f>
        <v>#VALUE!</v>
      </c>
      <c r="HB118" t="e">
        <f>Nodes!N949+"'E4!&amp;o("</f>
        <v>#VALUE!</v>
      </c>
      <c r="HC118" t="e">
        <f>Nodes!O949+"'E4!&amp;o)"</f>
        <v>#VALUE!</v>
      </c>
      <c r="HD118" t="e">
        <f>Nodes!P949+"'E4!&amp;o."</f>
        <v>#VALUE!</v>
      </c>
      <c r="HE118" t="e">
        <f>Nodes!Q949+"'E4!&amp;o/"</f>
        <v>#VALUE!</v>
      </c>
      <c r="HF118" t="e">
        <f>Nodes!R949+"'E4!&amp;o0"</f>
        <v>#VALUE!</v>
      </c>
      <c r="HG118" t="e">
        <f>Nodes!S949+"'E4!&amp;o1"</f>
        <v>#VALUE!</v>
      </c>
      <c r="HH118" t="e">
        <f>Nodes!T949+"'E4!&amp;o2"</f>
        <v>#VALUE!</v>
      </c>
      <c r="HI118" t="e">
        <f>Nodes!U949+"'E4!&amp;o3"</f>
        <v>#VALUE!</v>
      </c>
      <c r="HJ118" t="e">
        <f>Nodes!V949+"'E4!&amp;o4"</f>
        <v>#VALUE!</v>
      </c>
      <c r="HK118" t="e">
        <f>Nodes!W949+"'E4!&amp;o5"</f>
        <v>#VALUE!</v>
      </c>
      <c r="HL118" s="333" t="e">
        <f>Nodes!X949+"'E4!&amp;o6"</f>
        <v>#VALUE!</v>
      </c>
      <c r="HM118" t="e">
        <f>Nodes!Y949+"'E4!&amp;o7"</f>
        <v>#VALUE!</v>
      </c>
      <c r="HN118" t="e">
        <f>Nodes!Z949+"'E4!&amp;o8"</f>
        <v>#VALUE!</v>
      </c>
      <c r="HO118" t="e">
        <f>Nodes!AA949+"'E4!&amp;o9"</f>
        <v>#VALUE!</v>
      </c>
      <c r="HP118" t="e">
        <f>Nodes!AB949+"'E4!&amp;o:"</f>
        <v>#VALUE!</v>
      </c>
      <c r="HQ118" t="e">
        <f>Nodes!AC949+"'E4!&amp;o;"</f>
        <v>#VALUE!</v>
      </c>
      <c r="HR118" t="e">
        <f>Nodes!A950+"'E4!&amp;o&lt;"</f>
        <v>#VALUE!</v>
      </c>
      <c r="HS118" t="e">
        <f>Nodes!B950+"'E4!&amp;o="</f>
        <v>#VALUE!</v>
      </c>
      <c r="HT118" t="e">
        <f>Nodes!C950+"'E4!&amp;o&gt;"</f>
        <v>#VALUE!</v>
      </c>
      <c r="HU118" t="e">
        <f>Nodes!D950+"'E4!&amp;o?"</f>
        <v>#VALUE!</v>
      </c>
      <c r="HV118" t="e">
        <f>Nodes!E950+"'E4!&amp;o@"</f>
        <v>#VALUE!</v>
      </c>
      <c r="HW118" t="e">
        <f>Nodes!F950+"'E4!&amp;oA"</f>
        <v>#VALUE!</v>
      </c>
      <c r="HX118" t="e">
        <f>Nodes!G950+"'E4!&amp;oB"</f>
        <v>#VALUE!</v>
      </c>
      <c r="HY118" t="e">
        <f>Nodes!H950+"'E4!&amp;oC"</f>
        <v>#VALUE!</v>
      </c>
      <c r="HZ118" t="e">
        <f>Nodes!I950+"'E4!&amp;oD"</f>
        <v>#VALUE!</v>
      </c>
      <c r="IA118" t="e">
        <f>Nodes!J950+"'E4!&amp;oE"</f>
        <v>#VALUE!</v>
      </c>
      <c r="IB118" t="e">
        <f>Nodes!K950+"'E4!&amp;oF"</f>
        <v>#VALUE!</v>
      </c>
      <c r="IC118" t="e">
        <f>Nodes!L950+"'E4!&amp;oG"</f>
        <v>#VALUE!</v>
      </c>
      <c r="ID118" t="e">
        <f>Nodes!M950+"'E4!&amp;oH"</f>
        <v>#VALUE!</v>
      </c>
      <c r="IE118" t="e">
        <f>Nodes!N950+"'E4!&amp;oI"</f>
        <v>#VALUE!</v>
      </c>
      <c r="IF118" t="e">
        <f>Nodes!O950+"'E4!&amp;oJ"</f>
        <v>#VALUE!</v>
      </c>
      <c r="IG118" t="e">
        <f>Nodes!P950+"'E4!&amp;oK"</f>
        <v>#VALUE!</v>
      </c>
      <c r="IH118" t="e">
        <f>Nodes!Q950+"'E4!&amp;oL"</f>
        <v>#VALUE!</v>
      </c>
      <c r="II118" t="e">
        <f>Nodes!R950+"'E4!&amp;oM"</f>
        <v>#VALUE!</v>
      </c>
      <c r="IJ118" t="e">
        <f>Nodes!S950+"'E4!&amp;oN"</f>
        <v>#VALUE!</v>
      </c>
      <c r="IK118" t="e">
        <f>Nodes!T950+"'E4!&amp;oO"</f>
        <v>#VALUE!</v>
      </c>
      <c r="IL118" t="e">
        <f>Nodes!U950+"'E4!&amp;oP"</f>
        <v>#VALUE!</v>
      </c>
      <c r="IM118" t="e">
        <f>Nodes!V950+"'E4!&amp;oQ"</f>
        <v>#VALUE!</v>
      </c>
      <c r="IN118" t="e">
        <f>Nodes!W950+"'E4!&amp;oR"</f>
        <v>#VALUE!</v>
      </c>
      <c r="IO118" s="333" t="e">
        <f>Nodes!X950+"'E4!&amp;oS"</f>
        <v>#VALUE!</v>
      </c>
      <c r="IP118" t="e">
        <f>Nodes!Y950+"'E4!&amp;oT"</f>
        <v>#VALUE!</v>
      </c>
      <c r="IQ118" t="e">
        <f>Nodes!Z950+"'E4!&amp;oU"</f>
        <v>#VALUE!</v>
      </c>
      <c r="IR118" t="e">
        <f>Nodes!AA950+"'E4!&amp;oV"</f>
        <v>#VALUE!</v>
      </c>
      <c r="IS118" t="e">
        <f>Nodes!AB950+"'E4!&amp;oW"</f>
        <v>#VALUE!</v>
      </c>
      <c r="IT118" t="e">
        <f>Nodes!AC950+"'E4!&amp;oX"</f>
        <v>#VALUE!</v>
      </c>
      <c r="IU118" t="e">
        <f>Nodes!A951+"'E4!&amp;oY"</f>
        <v>#VALUE!</v>
      </c>
      <c r="IV118" t="e">
        <f>Nodes!B951+"'E4!&amp;oZ"</f>
        <v>#VALUE!</v>
      </c>
    </row>
    <row r="119" spans="6:256">
      <c r="F119" t="e">
        <f>Nodes!C951+"'E4!&amp;o["</f>
        <v>#VALUE!</v>
      </c>
      <c r="G119" t="e">
        <f>Nodes!D951+"'E4!&amp;o\"</f>
        <v>#VALUE!</v>
      </c>
      <c r="H119" t="e">
        <f>Nodes!E951+"'E4!&amp;o]"</f>
        <v>#VALUE!</v>
      </c>
      <c r="I119" t="e">
        <f>Nodes!F951+"'E4!&amp;o^"</f>
        <v>#VALUE!</v>
      </c>
      <c r="J119" t="e">
        <f>Nodes!G951+"'E4!&amp;o_"</f>
        <v>#VALUE!</v>
      </c>
      <c r="K119" t="e">
        <f>Nodes!H951+"'E4!&amp;o`"</f>
        <v>#VALUE!</v>
      </c>
      <c r="L119" t="e">
        <f>Nodes!I951+"'E4!&amp;oa"</f>
        <v>#VALUE!</v>
      </c>
      <c r="M119" t="e">
        <f>Nodes!J951+"'E4!&amp;ob"</f>
        <v>#VALUE!</v>
      </c>
      <c r="N119" t="e">
        <f>Nodes!K951+"'E4!&amp;oc"</f>
        <v>#VALUE!</v>
      </c>
      <c r="O119" t="e">
        <f>Nodes!L951+"'E4!&amp;od"</f>
        <v>#VALUE!</v>
      </c>
      <c r="P119" t="e">
        <f>Nodes!M951+"'E4!&amp;oe"</f>
        <v>#VALUE!</v>
      </c>
      <c r="Q119" t="e">
        <f>Nodes!N951+"'E4!&amp;of"</f>
        <v>#VALUE!</v>
      </c>
      <c r="R119" t="e">
        <f>Nodes!O951+"'E4!&amp;og"</f>
        <v>#VALUE!</v>
      </c>
      <c r="S119" t="e">
        <f>Nodes!P951+"'E4!&amp;oh"</f>
        <v>#VALUE!</v>
      </c>
      <c r="T119" t="e">
        <f>Nodes!Q951+"'E4!&amp;oi"</f>
        <v>#VALUE!</v>
      </c>
      <c r="U119" t="e">
        <f>Nodes!R951+"'E4!&amp;oj"</f>
        <v>#VALUE!</v>
      </c>
      <c r="V119" t="e">
        <f>Nodes!S951+"'E4!&amp;ok"</f>
        <v>#VALUE!</v>
      </c>
      <c r="W119" t="e">
        <f>Nodes!T951+"'E4!&amp;ol"</f>
        <v>#VALUE!</v>
      </c>
      <c r="X119" t="e">
        <f>Nodes!U951+"'E4!&amp;om"</f>
        <v>#VALUE!</v>
      </c>
      <c r="Y119" t="e">
        <f>Nodes!V951+"'E4!&amp;on"</f>
        <v>#VALUE!</v>
      </c>
      <c r="Z119" t="e">
        <f>Nodes!W951+"'E4!&amp;oo"</f>
        <v>#VALUE!</v>
      </c>
      <c r="AA119" s="333" t="e">
        <f>Nodes!X951+"'E4!&amp;op"</f>
        <v>#VALUE!</v>
      </c>
      <c r="AB119" t="e">
        <f>Nodes!Y951+"'E4!&amp;oq"</f>
        <v>#VALUE!</v>
      </c>
      <c r="AC119" t="e">
        <f>Nodes!Z951+"'E4!&amp;or"</f>
        <v>#VALUE!</v>
      </c>
      <c r="AD119" t="e">
        <f>Nodes!AA951+"'E4!&amp;os"</f>
        <v>#VALUE!</v>
      </c>
      <c r="AE119" t="e">
        <f>Nodes!AB951+"'E4!&amp;ot"</f>
        <v>#VALUE!</v>
      </c>
      <c r="AF119" t="e">
        <f>Nodes!AC951+"'E4!&amp;ou"</f>
        <v>#VALUE!</v>
      </c>
      <c r="AG119" t="e">
        <f>Nodes!A952+"'E4!&amp;ov"</f>
        <v>#VALUE!</v>
      </c>
      <c r="AH119" t="e">
        <f>Nodes!B952+"'E4!&amp;ow"</f>
        <v>#VALUE!</v>
      </c>
      <c r="AI119" t="e">
        <f>Nodes!C952+"'E4!&amp;ox"</f>
        <v>#VALUE!</v>
      </c>
      <c r="AJ119" t="e">
        <f>Nodes!D952+"'E4!&amp;oy"</f>
        <v>#VALUE!</v>
      </c>
      <c r="AK119" t="e">
        <f>Nodes!E952+"'E4!&amp;oz"</f>
        <v>#VALUE!</v>
      </c>
      <c r="AL119" t="e">
        <f>Nodes!F952+"'E4!&amp;o{"</f>
        <v>#VALUE!</v>
      </c>
      <c r="AM119" t="e">
        <f>Nodes!G952+"'E4!&amp;o|"</f>
        <v>#VALUE!</v>
      </c>
      <c r="AN119" t="e">
        <f>Nodes!H952+"'E4!&amp;o}"</f>
        <v>#VALUE!</v>
      </c>
      <c r="AO119" t="e">
        <f>Nodes!I952+"'E4!&amp;o~"</f>
        <v>#VALUE!</v>
      </c>
      <c r="AP119" t="e">
        <f>Nodes!J952+"'E4!&amp;p#"</f>
        <v>#VALUE!</v>
      </c>
      <c r="AQ119" t="e">
        <f>Nodes!K952+"'E4!&amp;p$"</f>
        <v>#VALUE!</v>
      </c>
      <c r="AR119" t="e">
        <f>Nodes!L952+"'E4!&amp;p%"</f>
        <v>#VALUE!</v>
      </c>
      <c r="AS119" t="e">
        <f>Nodes!M952+"'E4!&amp;p&amp;"</f>
        <v>#VALUE!</v>
      </c>
      <c r="AT119" t="e">
        <f>Nodes!N952+"'E4!&amp;p'"</f>
        <v>#VALUE!</v>
      </c>
      <c r="AU119" t="e">
        <f>Nodes!O952+"'E4!&amp;p("</f>
        <v>#VALUE!</v>
      </c>
      <c r="AV119" t="e">
        <f>Nodes!P952+"'E4!&amp;p)"</f>
        <v>#VALUE!</v>
      </c>
      <c r="AW119" t="e">
        <f>Nodes!Q952+"'E4!&amp;p."</f>
        <v>#VALUE!</v>
      </c>
      <c r="AX119" t="e">
        <f>Nodes!R952+"'E4!&amp;p/"</f>
        <v>#VALUE!</v>
      </c>
      <c r="AY119" t="e">
        <f>Nodes!S952+"'E4!&amp;p0"</f>
        <v>#VALUE!</v>
      </c>
      <c r="AZ119" t="e">
        <f>Nodes!T952+"'E4!&amp;p1"</f>
        <v>#VALUE!</v>
      </c>
      <c r="BA119" t="e">
        <f>Nodes!U952+"'E4!&amp;p2"</f>
        <v>#VALUE!</v>
      </c>
      <c r="BB119" t="e">
        <f>Nodes!V952+"'E4!&amp;p3"</f>
        <v>#VALUE!</v>
      </c>
      <c r="BC119" t="e">
        <f>Nodes!W952+"'E4!&amp;p4"</f>
        <v>#VALUE!</v>
      </c>
      <c r="BD119" s="333" t="e">
        <f>Nodes!X952+"'E4!&amp;p5"</f>
        <v>#VALUE!</v>
      </c>
      <c r="BE119" t="e">
        <f>Nodes!Y952+"'E4!&amp;p6"</f>
        <v>#VALUE!</v>
      </c>
      <c r="BF119" t="e">
        <f>Nodes!Z952+"'E4!&amp;p7"</f>
        <v>#VALUE!</v>
      </c>
      <c r="BG119" t="e">
        <f>Nodes!AA952+"'E4!&amp;p8"</f>
        <v>#VALUE!</v>
      </c>
      <c r="BH119" t="e">
        <f>Nodes!AB952+"'E4!&amp;p9"</f>
        <v>#VALUE!</v>
      </c>
      <c r="BI119" t="e">
        <f>Nodes!AC952+"'E4!&amp;p:"</f>
        <v>#VALUE!</v>
      </c>
      <c r="BJ119" t="e">
        <f>Nodes!A953+"'E4!&amp;p;"</f>
        <v>#VALUE!</v>
      </c>
      <c r="BK119" t="e">
        <f>Nodes!B953+"'E4!&amp;p&lt;"</f>
        <v>#VALUE!</v>
      </c>
      <c r="BL119" t="e">
        <f>Nodes!C953+"'E4!&amp;p="</f>
        <v>#VALUE!</v>
      </c>
      <c r="BM119" t="e">
        <f>Nodes!D953+"'E4!&amp;p&gt;"</f>
        <v>#VALUE!</v>
      </c>
      <c r="BN119" t="e">
        <f>Nodes!E953+"'E4!&amp;p?"</f>
        <v>#VALUE!</v>
      </c>
      <c r="BO119" t="e">
        <f>Nodes!F953+"'E4!&amp;p@"</f>
        <v>#VALUE!</v>
      </c>
      <c r="BP119" t="e">
        <f>Nodes!G953+"'E4!&amp;pA"</f>
        <v>#VALUE!</v>
      </c>
      <c r="BQ119" t="e">
        <f>Nodes!H953+"'E4!&amp;pB"</f>
        <v>#VALUE!</v>
      </c>
      <c r="BR119" t="e">
        <f>Nodes!I953+"'E4!&amp;pC"</f>
        <v>#VALUE!</v>
      </c>
      <c r="BS119" t="e">
        <f>Nodes!J953+"'E4!&amp;pD"</f>
        <v>#VALUE!</v>
      </c>
      <c r="BT119" t="e">
        <f>Nodes!K953+"'E4!&amp;pE"</f>
        <v>#VALUE!</v>
      </c>
      <c r="BU119" t="e">
        <f>Nodes!L953+"'E4!&amp;pF"</f>
        <v>#VALUE!</v>
      </c>
      <c r="BV119" t="e">
        <f>Nodes!M953+"'E4!&amp;pG"</f>
        <v>#VALUE!</v>
      </c>
      <c r="BW119" t="e">
        <f>Nodes!N953+"'E4!&amp;pH"</f>
        <v>#VALUE!</v>
      </c>
      <c r="BX119" t="e">
        <f>Nodes!O953+"'E4!&amp;pI"</f>
        <v>#VALUE!</v>
      </c>
      <c r="BY119" t="e">
        <f>Nodes!P953+"'E4!&amp;pJ"</f>
        <v>#VALUE!</v>
      </c>
      <c r="BZ119" t="e">
        <f>Nodes!Q953+"'E4!&amp;pK"</f>
        <v>#VALUE!</v>
      </c>
      <c r="CA119" t="e">
        <f>Nodes!R953+"'E4!&amp;pL"</f>
        <v>#VALUE!</v>
      </c>
      <c r="CB119" t="e">
        <f>Nodes!S953+"'E4!&amp;pM"</f>
        <v>#VALUE!</v>
      </c>
      <c r="CC119" t="e">
        <f>Nodes!T953+"'E4!&amp;pN"</f>
        <v>#VALUE!</v>
      </c>
      <c r="CD119" t="e">
        <f>Nodes!U953+"'E4!&amp;pO"</f>
        <v>#VALUE!</v>
      </c>
      <c r="CE119" t="e">
        <f>Nodes!V953+"'E4!&amp;pP"</f>
        <v>#VALUE!</v>
      </c>
      <c r="CF119" t="e">
        <f>Nodes!W953+"'E4!&amp;pQ"</f>
        <v>#VALUE!</v>
      </c>
      <c r="CG119" s="333" t="e">
        <f>Nodes!X953+"'E4!&amp;pR"</f>
        <v>#VALUE!</v>
      </c>
      <c r="CH119" t="e">
        <f>Nodes!Y953+"'E4!&amp;pS"</f>
        <v>#VALUE!</v>
      </c>
      <c r="CI119" t="e">
        <f>Nodes!Z953+"'E4!&amp;pT"</f>
        <v>#VALUE!</v>
      </c>
      <c r="CJ119" t="e">
        <f>Nodes!AA953+"'E4!&amp;pU"</f>
        <v>#VALUE!</v>
      </c>
      <c r="CK119" t="e">
        <f>Nodes!AB953+"'E4!&amp;pV"</f>
        <v>#VALUE!</v>
      </c>
      <c r="CL119" t="e">
        <f>Nodes!AC953+"'E4!&amp;pW"</f>
        <v>#VALUE!</v>
      </c>
      <c r="CM119" t="e">
        <f>Nodes!A954+"'E4!&amp;pX"</f>
        <v>#VALUE!</v>
      </c>
      <c r="CN119" t="e">
        <f>Nodes!B954+"'E4!&amp;pY"</f>
        <v>#VALUE!</v>
      </c>
      <c r="CO119" t="e">
        <f>Nodes!C954+"'E4!&amp;pZ"</f>
        <v>#VALUE!</v>
      </c>
      <c r="CP119" t="e">
        <f>Nodes!D954+"'E4!&amp;p["</f>
        <v>#VALUE!</v>
      </c>
      <c r="CQ119" t="e">
        <f>Nodes!E954+"'E4!&amp;p\"</f>
        <v>#VALUE!</v>
      </c>
      <c r="CR119" t="e">
        <f>Nodes!F954+"'E4!&amp;p]"</f>
        <v>#VALUE!</v>
      </c>
      <c r="CS119" t="e">
        <f>Nodes!G954+"'E4!&amp;p^"</f>
        <v>#VALUE!</v>
      </c>
      <c r="CT119" t="e">
        <f>Nodes!H954+"'E4!&amp;p_"</f>
        <v>#VALUE!</v>
      </c>
      <c r="CU119" t="e">
        <f>Nodes!I954+"'E4!&amp;p`"</f>
        <v>#VALUE!</v>
      </c>
      <c r="CV119" t="e">
        <f>Nodes!J954+"'E4!&amp;pa"</f>
        <v>#VALUE!</v>
      </c>
      <c r="CW119" t="e">
        <f>Nodes!K954+"'E4!&amp;pb"</f>
        <v>#VALUE!</v>
      </c>
      <c r="CX119" t="e">
        <f>Nodes!L954+"'E4!&amp;pc"</f>
        <v>#VALUE!</v>
      </c>
      <c r="CY119" t="e">
        <f>Nodes!M954+"'E4!&amp;pd"</f>
        <v>#VALUE!</v>
      </c>
      <c r="CZ119" t="e">
        <f>Nodes!N954+"'E4!&amp;pe"</f>
        <v>#VALUE!</v>
      </c>
      <c r="DA119" t="e">
        <f>Nodes!O954+"'E4!&amp;pf"</f>
        <v>#VALUE!</v>
      </c>
      <c r="DB119" t="e">
        <f>Nodes!P954+"'E4!&amp;pg"</f>
        <v>#VALUE!</v>
      </c>
      <c r="DC119" t="e">
        <f>Nodes!Q954+"'E4!&amp;ph"</f>
        <v>#VALUE!</v>
      </c>
      <c r="DD119" t="e">
        <f>Nodes!R954+"'E4!&amp;pi"</f>
        <v>#VALUE!</v>
      </c>
      <c r="DE119" t="e">
        <f>Nodes!S954+"'E4!&amp;pj"</f>
        <v>#VALUE!</v>
      </c>
      <c r="DF119" t="e">
        <f>Nodes!T954+"'E4!&amp;pk"</f>
        <v>#VALUE!</v>
      </c>
      <c r="DG119" t="e">
        <f>Nodes!U954+"'E4!&amp;pl"</f>
        <v>#VALUE!</v>
      </c>
      <c r="DH119" t="e">
        <f>Nodes!V954+"'E4!&amp;pm"</f>
        <v>#VALUE!</v>
      </c>
      <c r="DI119" t="e">
        <f>Nodes!W954+"'E4!&amp;pn"</f>
        <v>#VALUE!</v>
      </c>
      <c r="DJ119" s="333" t="e">
        <f>Nodes!X954+"'E4!&amp;po"</f>
        <v>#VALUE!</v>
      </c>
      <c r="DK119" t="e">
        <f>Nodes!Y954+"'E4!&amp;pp"</f>
        <v>#VALUE!</v>
      </c>
      <c r="DL119" t="e">
        <f>Nodes!Z954+"'E4!&amp;pq"</f>
        <v>#VALUE!</v>
      </c>
      <c r="DM119" t="e">
        <f>Nodes!AA954+"'E4!&amp;pr"</f>
        <v>#VALUE!</v>
      </c>
      <c r="DN119" t="e">
        <f>Nodes!AB954+"'E4!&amp;ps"</f>
        <v>#VALUE!</v>
      </c>
      <c r="DO119" t="e">
        <f>Nodes!AC954+"'E4!&amp;pt"</f>
        <v>#VALUE!</v>
      </c>
      <c r="DP119" t="e">
        <f>Nodes!A955+"'E4!&amp;pu"</f>
        <v>#VALUE!</v>
      </c>
      <c r="DQ119" t="e">
        <f>Nodes!B955+"'E4!&amp;pv"</f>
        <v>#VALUE!</v>
      </c>
      <c r="DR119" t="e">
        <f>Nodes!C955+"'E4!&amp;pw"</f>
        <v>#VALUE!</v>
      </c>
      <c r="DS119" t="e">
        <f>Nodes!D955+"'E4!&amp;px"</f>
        <v>#VALUE!</v>
      </c>
      <c r="DT119" t="e">
        <f>Nodes!E955+"'E4!&amp;py"</f>
        <v>#VALUE!</v>
      </c>
      <c r="DU119" t="e">
        <f>Nodes!F955+"'E4!&amp;pz"</f>
        <v>#VALUE!</v>
      </c>
      <c r="DV119" t="e">
        <f>Nodes!G955+"'E4!&amp;p{"</f>
        <v>#VALUE!</v>
      </c>
      <c r="DW119" t="e">
        <f>Nodes!H955+"'E4!&amp;p|"</f>
        <v>#VALUE!</v>
      </c>
      <c r="DX119" t="e">
        <f>Nodes!I955+"'E4!&amp;p}"</f>
        <v>#VALUE!</v>
      </c>
      <c r="DY119" t="e">
        <f>Nodes!J955+"'E4!&amp;p~"</f>
        <v>#VALUE!</v>
      </c>
      <c r="DZ119" t="e">
        <f>Nodes!K955+"'E4!&amp;q#"</f>
        <v>#VALUE!</v>
      </c>
      <c r="EA119" t="e">
        <f>Nodes!L955+"'E4!&amp;q$"</f>
        <v>#VALUE!</v>
      </c>
      <c r="EB119" t="e">
        <f>Nodes!M955+"'E4!&amp;q%"</f>
        <v>#VALUE!</v>
      </c>
      <c r="EC119" t="e">
        <f>Nodes!N955+"'E4!&amp;q&amp;"</f>
        <v>#VALUE!</v>
      </c>
      <c r="ED119" t="e">
        <f>Nodes!O955+"'E4!&amp;q'"</f>
        <v>#VALUE!</v>
      </c>
      <c r="EE119" t="e">
        <f>Nodes!P955+"'E4!&amp;q("</f>
        <v>#VALUE!</v>
      </c>
      <c r="EF119" t="e">
        <f>Nodes!Q955+"'E4!&amp;q)"</f>
        <v>#VALUE!</v>
      </c>
      <c r="EG119" t="e">
        <f>Nodes!R955+"'E4!&amp;q."</f>
        <v>#VALUE!</v>
      </c>
      <c r="EH119" t="e">
        <f>Nodes!S955+"'E4!&amp;q/"</f>
        <v>#VALUE!</v>
      </c>
      <c r="EI119" t="e">
        <f>Nodes!T955+"'E4!&amp;q0"</f>
        <v>#VALUE!</v>
      </c>
      <c r="EJ119" t="e">
        <f>Nodes!U955+"'E4!&amp;q1"</f>
        <v>#VALUE!</v>
      </c>
      <c r="EK119" t="e">
        <f>Nodes!V955+"'E4!&amp;q2"</f>
        <v>#VALUE!</v>
      </c>
      <c r="EL119" t="e">
        <f>Nodes!W955+"'E4!&amp;q3"</f>
        <v>#VALUE!</v>
      </c>
      <c r="EM119" s="333" t="e">
        <f>Nodes!X955+"'E4!&amp;q4"</f>
        <v>#VALUE!</v>
      </c>
      <c r="EN119" t="e">
        <f>Nodes!Y955+"'E4!&amp;q5"</f>
        <v>#VALUE!</v>
      </c>
      <c r="EO119" t="e">
        <f>Nodes!Z955+"'E4!&amp;q6"</f>
        <v>#VALUE!</v>
      </c>
      <c r="EP119" t="e">
        <f>Nodes!AA955+"'E4!&amp;q7"</f>
        <v>#VALUE!</v>
      </c>
      <c r="EQ119" t="e">
        <f>Nodes!AB955+"'E4!&amp;q8"</f>
        <v>#VALUE!</v>
      </c>
      <c r="ER119" t="e">
        <f>Nodes!AC955+"'E4!&amp;q9"</f>
        <v>#VALUE!</v>
      </c>
      <c r="ES119" t="e">
        <f>Nodes!A956+"'E4!&amp;q:"</f>
        <v>#VALUE!</v>
      </c>
      <c r="ET119" t="e">
        <f>Nodes!B956+"'E4!&amp;q;"</f>
        <v>#VALUE!</v>
      </c>
      <c r="EU119" t="e">
        <f>Nodes!C956+"'E4!&amp;q&lt;"</f>
        <v>#VALUE!</v>
      </c>
      <c r="EV119" t="e">
        <f>Nodes!D956+"'E4!&amp;q="</f>
        <v>#VALUE!</v>
      </c>
      <c r="EW119" t="e">
        <f>Nodes!E956+"'E4!&amp;q&gt;"</f>
        <v>#VALUE!</v>
      </c>
      <c r="EX119" t="e">
        <f>Nodes!F956+"'E4!&amp;q?"</f>
        <v>#VALUE!</v>
      </c>
      <c r="EY119" t="e">
        <f>Nodes!G956+"'E4!&amp;q@"</f>
        <v>#VALUE!</v>
      </c>
      <c r="EZ119" t="e">
        <f>Nodes!H956+"'E4!&amp;qA"</f>
        <v>#VALUE!</v>
      </c>
      <c r="FA119" t="e">
        <f>Nodes!I956+"'E4!&amp;qB"</f>
        <v>#VALUE!</v>
      </c>
      <c r="FB119" t="e">
        <f>Nodes!J956+"'E4!&amp;qC"</f>
        <v>#VALUE!</v>
      </c>
      <c r="FC119" t="e">
        <f>Nodes!K956+"'E4!&amp;qD"</f>
        <v>#VALUE!</v>
      </c>
      <c r="FD119" t="e">
        <f>Nodes!L956+"'E4!&amp;qE"</f>
        <v>#VALUE!</v>
      </c>
      <c r="FE119" t="e">
        <f>Nodes!M956+"'E4!&amp;qF"</f>
        <v>#VALUE!</v>
      </c>
      <c r="FF119" t="e">
        <f>Nodes!N956+"'E4!&amp;qG"</f>
        <v>#VALUE!</v>
      </c>
      <c r="FG119" t="e">
        <f>Nodes!O956+"'E4!&amp;qH"</f>
        <v>#VALUE!</v>
      </c>
      <c r="FH119" t="e">
        <f>Nodes!P956+"'E4!&amp;qI"</f>
        <v>#VALUE!</v>
      </c>
      <c r="FI119" t="e">
        <f>Nodes!Q956+"'E4!&amp;qJ"</f>
        <v>#VALUE!</v>
      </c>
      <c r="FJ119" t="e">
        <f>Nodes!R956+"'E4!&amp;qK"</f>
        <v>#VALUE!</v>
      </c>
      <c r="FK119" t="e">
        <f>Nodes!S956+"'E4!&amp;qL"</f>
        <v>#VALUE!</v>
      </c>
      <c r="FL119" t="e">
        <f>Nodes!T956+"'E4!&amp;qM"</f>
        <v>#VALUE!</v>
      </c>
      <c r="FM119" t="e">
        <f>Nodes!U956+"'E4!&amp;qN"</f>
        <v>#VALUE!</v>
      </c>
      <c r="FN119" t="e">
        <f>Nodes!V956+"'E4!&amp;qO"</f>
        <v>#VALUE!</v>
      </c>
      <c r="FO119" t="e">
        <f>Nodes!W956+"'E4!&amp;qP"</f>
        <v>#VALUE!</v>
      </c>
      <c r="FP119" s="333" t="e">
        <f>Nodes!X956+"'E4!&amp;qQ"</f>
        <v>#VALUE!</v>
      </c>
      <c r="FQ119" t="e">
        <f>Nodes!Y956+"'E4!&amp;qR"</f>
        <v>#VALUE!</v>
      </c>
      <c r="FR119" t="e">
        <f>Nodes!Z956+"'E4!&amp;qS"</f>
        <v>#VALUE!</v>
      </c>
      <c r="FS119" t="e">
        <f>Nodes!AA956+"'E4!&amp;qT"</f>
        <v>#VALUE!</v>
      </c>
      <c r="FT119" t="e">
        <f>Nodes!AB956+"'E4!&amp;qU"</f>
        <v>#VALUE!</v>
      </c>
      <c r="FU119" t="e">
        <f>Nodes!AC956+"'E4!&amp;qV"</f>
        <v>#VALUE!</v>
      </c>
      <c r="FV119" t="e">
        <f>Nodes!A957+"'E4!&amp;qW"</f>
        <v>#VALUE!</v>
      </c>
      <c r="FW119" t="e">
        <f>Nodes!B957+"'E4!&amp;qX"</f>
        <v>#VALUE!</v>
      </c>
      <c r="FX119" t="e">
        <f>Nodes!C957+"'E4!&amp;qY"</f>
        <v>#VALUE!</v>
      </c>
      <c r="FY119" t="e">
        <f>Nodes!D957+"'E4!&amp;qZ"</f>
        <v>#VALUE!</v>
      </c>
      <c r="FZ119" t="e">
        <f>Nodes!E957+"'E4!&amp;q["</f>
        <v>#VALUE!</v>
      </c>
      <c r="GA119" t="e">
        <f>Nodes!F957+"'E4!&amp;q\"</f>
        <v>#VALUE!</v>
      </c>
      <c r="GB119" t="e">
        <f>Nodes!G957+"'E4!&amp;q]"</f>
        <v>#VALUE!</v>
      </c>
      <c r="GC119" t="e">
        <f>Nodes!H957+"'E4!&amp;q^"</f>
        <v>#VALUE!</v>
      </c>
      <c r="GD119" t="e">
        <f>Nodes!I957+"'E4!&amp;q_"</f>
        <v>#VALUE!</v>
      </c>
      <c r="GE119" t="e">
        <f>Nodes!J957+"'E4!&amp;q`"</f>
        <v>#VALUE!</v>
      </c>
      <c r="GF119" t="e">
        <f>Nodes!K957+"'E4!&amp;qa"</f>
        <v>#VALUE!</v>
      </c>
      <c r="GG119" t="e">
        <f>Nodes!L957+"'E4!&amp;qb"</f>
        <v>#VALUE!</v>
      </c>
      <c r="GH119" t="e">
        <f>Nodes!M957+"'E4!&amp;qc"</f>
        <v>#VALUE!</v>
      </c>
      <c r="GI119" t="e">
        <f>Nodes!N957+"'E4!&amp;qd"</f>
        <v>#VALUE!</v>
      </c>
      <c r="GJ119" t="e">
        <f>Nodes!O957+"'E4!&amp;qe"</f>
        <v>#VALUE!</v>
      </c>
      <c r="GK119" t="e">
        <f>Nodes!P957+"'E4!&amp;qf"</f>
        <v>#VALUE!</v>
      </c>
      <c r="GL119" t="e">
        <f>Nodes!Q957+"'E4!&amp;qg"</f>
        <v>#VALUE!</v>
      </c>
      <c r="GM119" t="e">
        <f>Nodes!R957+"'E4!&amp;qh"</f>
        <v>#VALUE!</v>
      </c>
      <c r="GN119" t="e">
        <f>Nodes!S957+"'E4!&amp;qi"</f>
        <v>#VALUE!</v>
      </c>
      <c r="GO119" t="e">
        <f>Nodes!T957+"'E4!&amp;qj"</f>
        <v>#VALUE!</v>
      </c>
      <c r="GP119" t="e">
        <f>Nodes!U957+"'E4!&amp;qk"</f>
        <v>#VALUE!</v>
      </c>
      <c r="GQ119" t="e">
        <f>Nodes!V957+"'E4!&amp;ql"</f>
        <v>#VALUE!</v>
      </c>
      <c r="GR119" t="e">
        <f>Nodes!W957+"'E4!&amp;qm"</f>
        <v>#VALUE!</v>
      </c>
      <c r="GS119" s="333" t="e">
        <f>Nodes!X957+"'E4!&amp;qn"</f>
        <v>#VALUE!</v>
      </c>
      <c r="GT119" t="e">
        <f>Nodes!Y957+"'E4!&amp;qo"</f>
        <v>#VALUE!</v>
      </c>
      <c r="GU119" t="e">
        <f>Nodes!Z957+"'E4!&amp;qp"</f>
        <v>#VALUE!</v>
      </c>
      <c r="GV119" t="e">
        <f>Nodes!AA957+"'E4!&amp;qq"</f>
        <v>#VALUE!</v>
      </c>
      <c r="GW119" t="e">
        <f>Nodes!AB957+"'E4!&amp;qr"</f>
        <v>#VALUE!</v>
      </c>
      <c r="GX119" t="e">
        <f>Nodes!AC957+"'E4!&amp;qs"</f>
        <v>#VALUE!</v>
      </c>
      <c r="GY119" t="e">
        <f>Nodes!A958+"'E4!&amp;qt"</f>
        <v>#VALUE!</v>
      </c>
      <c r="GZ119" t="e">
        <f>Nodes!B958+"'E4!&amp;qu"</f>
        <v>#VALUE!</v>
      </c>
      <c r="HA119" t="e">
        <f>Nodes!C958+"'E4!&amp;qv"</f>
        <v>#VALUE!</v>
      </c>
      <c r="HB119" t="e">
        <f>Nodes!D958+"'E4!&amp;qw"</f>
        <v>#VALUE!</v>
      </c>
      <c r="HC119" t="e">
        <f>Nodes!E958+"'E4!&amp;qx"</f>
        <v>#VALUE!</v>
      </c>
      <c r="HD119" t="e">
        <f>Nodes!F958+"'E4!&amp;qy"</f>
        <v>#VALUE!</v>
      </c>
      <c r="HE119" t="e">
        <f>Nodes!G958+"'E4!&amp;qz"</f>
        <v>#VALUE!</v>
      </c>
      <c r="HF119" t="e">
        <f>Nodes!H958+"'E4!&amp;q{"</f>
        <v>#VALUE!</v>
      </c>
      <c r="HG119" t="e">
        <f>Nodes!I958+"'E4!&amp;q|"</f>
        <v>#VALUE!</v>
      </c>
      <c r="HH119" t="e">
        <f>Nodes!J958+"'E4!&amp;q}"</f>
        <v>#VALUE!</v>
      </c>
      <c r="HI119" t="e">
        <f>Nodes!K958+"'E4!&amp;q~"</f>
        <v>#VALUE!</v>
      </c>
      <c r="HJ119" t="e">
        <f>Nodes!L958+"'E4!&amp;r#"</f>
        <v>#VALUE!</v>
      </c>
      <c r="HK119" t="e">
        <f>Nodes!M958+"'E4!&amp;r$"</f>
        <v>#VALUE!</v>
      </c>
      <c r="HL119" t="e">
        <f>Nodes!N958+"'E4!&amp;r%"</f>
        <v>#VALUE!</v>
      </c>
      <c r="HM119" t="e">
        <f>Nodes!O958+"'E4!&amp;r&amp;"</f>
        <v>#VALUE!</v>
      </c>
      <c r="HN119" t="e">
        <f>Nodes!P958+"'E4!&amp;r'"</f>
        <v>#VALUE!</v>
      </c>
      <c r="HO119" t="e">
        <f>Nodes!Q958+"'E4!&amp;r("</f>
        <v>#VALUE!</v>
      </c>
      <c r="HP119" t="e">
        <f>Nodes!R958+"'E4!&amp;r)"</f>
        <v>#VALUE!</v>
      </c>
      <c r="HQ119" t="e">
        <f>Nodes!S958+"'E4!&amp;r."</f>
        <v>#VALUE!</v>
      </c>
      <c r="HR119" t="e">
        <f>Nodes!T958+"'E4!&amp;r/"</f>
        <v>#VALUE!</v>
      </c>
      <c r="HS119" t="e">
        <f>Nodes!U958+"'E4!&amp;r0"</f>
        <v>#VALUE!</v>
      </c>
      <c r="HT119" t="e">
        <f>Nodes!V958+"'E4!&amp;r1"</f>
        <v>#VALUE!</v>
      </c>
      <c r="HU119" t="e">
        <f>Nodes!W958+"'E4!&amp;r2"</f>
        <v>#VALUE!</v>
      </c>
      <c r="HV119" s="333" t="e">
        <f>Nodes!X958+"'E4!&amp;r3"</f>
        <v>#VALUE!</v>
      </c>
      <c r="HW119" t="e">
        <f>Nodes!Y958+"'E4!&amp;r4"</f>
        <v>#VALUE!</v>
      </c>
      <c r="HX119" t="e">
        <f>Nodes!Z958+"'E4!&amp;r5"</f>
        <v>#VALUE!</v>
      </c>
      <c r="HY119" t="e">
        <f>Nodes!AA958+"'E4!&amp;r6"</f>
        <v>#VALUE!</v>
      </c>
      <c r="HZ119" t="e">
        <f>Nodes!AB958+"'E4!&amp;r7"</f>
        <v>#VALUE!</v>
      </c>
      <c r="IA119" t="e">
        <f>Nodes!AC958+"'E4!&amp;r8"</f>
        <v>#VALUE!</v>
      </c>
      <c r="IB119" t="e">
        <f>Nodes!A959+"'E4!&amp;r9"</f>
        <v>#VALUE!</v>
      </c>
      <c r="IC119" t="e">
        <f>Nodes!B959+"'E4!&amp;r:"</f>
        <v>#VALUE!</v>
      </c>
      <c r="ID119" t="e">
        <f>Nodes!C959+"'E4!&amp;r;"</f>
        <v>#VALUE!</v>
      </c>
      <c r="IE119" t="e">
        <f>Nodes!D959+"'E4!&amp;r&lt;"</f>
        <v>#VALUE!</v>
      </c>
      <c r="IF119" t="e">
        <f>Nodes!E959+"'E4!&amp;r="</f>
        <v>#VALUE!</v>
      </c>
      <c r="IG119" t="e">
        <f>Nodes!F959+"'E4!&amp;r&gt;"</f>
        <v>#VALUE!</v>
      </c>
      <c r="IH119" t="e">
        <f>Nodes!G959+"'E4!&amp;r?"</f>
        <v>#VALUE!</v>
      </c>
      <c r="II119" t="e">
        <f>Nodes!H959+"'E4!&amp;r@"</f>
        <v>#VALUE!</v>
      </c>
      <c r="IJ119" t="e">
        <f>Nodes!I959+"'E4!&amp;rA"</f>
        <v>#VALUE!</v>
      </c>
      <c r="IK119" t="e">
        <f>Nodes!J959+"'E4!&amp;rB"</f>
        <v>#VALUE!</v>
      </c>
      <c r="IL119" t="e">
        <f>Nodes!K959+"'E4!&amp;rC"</f>
        <v>#VALUE!</v>
      </c>
      <c r="IM119" t="e">
        <f>Nodes!L959+"'E4!&amp;rD"</f>
        <v>#VALUE!</v>
      </c>
      <c r="IN119" t="e">
        <f>Nodes!M959+"'E4!&amp;rE"</f>
        <v>#VALUE!</v>
      </c>
      <c r="IO119" t="e">
        <f>Nodes!N959+"'E4!&amp;rF"</f>
        <v>#VALUE!</v>
      </c>
      <c r="IP119" t="e">
        <f>Nodes!O959+"'E4!&amp;rG"</f>
        <v>#VALUE!</v>
      </c>
      <c r="IQ119" t="e">
        <f>Nodes!P959+"'E4!&amp;rH"</f>
        <v>#VALUE!</v>
      </c>
      <c r="IR119" t="e">
        <f>Nodes!Q959+"'E4!&amp;rI"</f>
        <v>#VALUE!</v>
      </c>
      <c r="IS119" t="e">
        <f>Nodes!R959+"'E4!&amp;rJ"</f>
        <v>#VALUE!</v>
      </c>
      <c r="IT119" t="e">
        <f>Nodes!S959+"'E4!&amp;rK"</f>
        <v>#VALUE!</v>
      </c>
      <c r="IU119" t="e">
        <f>Nodes!T959+"'E4!&amp;rL"</f>
        <v>#VALUE!</v>
      </c>
      <c r="IV119" t="e">
        <f>Nodes!U959+"'E4!&amp;rM"</f>
        <v>#VALUE!</v>
      </c>
    </row>
    <row r="120" spans="6:256">
      <c r="F120" t="e">
        <f>Nodes!V959+"'E4!&amp;rN"</f>
        <v>#VALUE!</v>
      </c>
      <c r="G120" t="e">
        <f>Nodes!W959+"'E4!&amp;rO"</f>
        <v>#VALUE!</v>
      </c>
      <c r="H120" s="333" t="e">
        <f>Nodes!X959+"'E4!&amp;rP"</f>
        <v>#VALUE!</v>
      </c>
      <c r="I120" t="e">
        <f>Nodes!Y959+"'E4!&amp;rQ"</f>
        <v>#VALUE!</v>
      </c>
      <c r="J120" t="e">
        <f>Nodes!Z959+"'E4!&amp;rR"</f>
        <v>#VALUE!</v>
      </c>
      <c r="K120" t="e">
        <f>Nodes!AA959+"'E4!&amp;rS"</f>
        <v>#VALUE!</v>
      </c>
      <c r="L120" t="e">
        <f>Nodes!AB959+"'E4!&amp;rT"</f>
        <v>#VALUE!</v>
      </c>
      <c r="M120" t="e">
        <f>Nodes!AC959+"'E4!&amp;rU"</f>
        <v>#VALUE!</v>
      </c>
      <c r="N120" t="e">
        <f>Nodes!A960+"'E4!&amp;rV"</f>
        <v>#VALUE!</v>
      </c>
      <c r="O120" t="e">
        <f>Nodes!B960+"'E4!&amp;rW"</f>
        <v>#VALUE!</v>
      </c>
      <c r="P120" t="e">
        <f>Nodes!C960+"'E4!&amp;rX"</f>
        <v>#VALUE!</v>
      </c>
      <c r="Q120" t="e">
        <f>Nodes!D960+"'E4!&amp;rY"</f>
        <v>#VALUE!</v>
      </c>
      <c r="R120" t="e">
        <f>Nodes!E960+"'E4!&amp;rZ"</f>
        <v>#VALUE!</v>
      </c>
      <c r="S120" t="e">
        <f>Nodes!F960+"'E4!&amp;r["</f>
        <v>#VALUE!</v>
      </c>
      <c r="T120" t="e">
        <f>Nodes!G960+"'E4!&amp;r\"</f>
        <v>#VALUE!</v>
      </c>
      <c r="U120" t="e">
        <f>Nodes!H960+"'E4!&amp;r]"</f>
        <v>#VALUE!</v>
      </c>
      <c r="V120" t="e">
        <f>Nodes!I960+"'E4!&amp;r^"</f>
        <v>#VALUE!</v>
      </c>
      <c r="W120" t="e">
        <f>Nodes!J960+"'E4!&amp;r_"</f>
        <v>#VALUE!</v>
      </c>
      <c r="X120" t="e">
        <f>Nodes!K960+"'E4!&amp;r`"</f>
        <v>#VALUE!</v>
      </c>
      <c r="Y120" t="e">
        <f>Nodes!L960+"'E4!&amp;ra"</f>
        <v>#VALUE!</v>
      </c>
      <c r="Z120" t="e">
        <f>Nodes!M960+"'E4!&amp;rb"</f>
        <v>#VALUE!</v>
      </c>
      <c r="AA120" t="e">
        <f>Nodes!N960+"'E4!&amp;rc"</f>
        <v>#VALUE!</v>
      </c>
      <c r="AB120" t="e">
        <f>Nodes!O960+"'E4!&amp;rd"</f>
        <v>#VALUE!</v>
      </c>
      <c r="AC120" t="e">
        <f>Nodes!P960+"'E4!&amp;re"</f>
        <v>#VALUE!</v>
      </c>
      <c r="AD120" t="e">
        <f>Nodes!Q960+"'E4!&amp;rf"</f>
        <v>#VALUE!</v>
      </c>
      <c r="AE120" t="e">
        <f>Nodes!R960+"'E4!&amp;rg"</f>
        <v>#VALUE!</v>
      </c>
      <c r="AF120" t="e">
        <f>Nodes!S960+"'E4!&amp;rh"</f>
        <v>#VALUE!</v>
      </c>
      <c r="AG120" t="e">
        <f>Nodes!T960+"'E4!&amp;ri"</f>
        <v>#VALUE!</v>
      </c>
      <c r="AH120" t="e">
        <f>Nodes!U960+"'E4!&amp;rj"</f>
        <v>#VALUE!</v>
      </c>
      <c r="AI120" t="e">
        <f>Nodes!V960+"'E4!&amp;rk"</f>
        <v>#VALUE!</v>
      </c>
      <c r="AJ120" t="e">
        <f>Nodes!W960+"'E4!&amp;rl"</f>
        <v>#VALUE!</v>
      </c>
      <c r="AK120" s="333" t="e">
        <f>Nodes!X960+"'E4!&amp;rm"</f>
        <v>#VALUE!</v>
      </c>
      <c r="AL120" t="e">
        <f>Nodes!Y960+"'E4!&amp;rn"</f>
        <v>#VALUE!</v>
      </c>
      <c r="AM120" t="e">
        <f>Nodes!Z960+"'E4!&amp;ro"</f>
        <v>#VALUE!</v>
      </c>
      <c r="AN120" t="e">
        <f>Nodes!AA960+"'E4!&amp;rp"</f>
        <v>#VALUE!</v>
      </c>
      <c r="AO120" t="e">
        <f>Nodes!AB960+"'E4!&amp;rq"</f>
        <v>#VALUE!</v>
      </c>
      <c r="AP120" t="e">
        <f>Nodes!AC960+"'E4!&amp;rr"</f>
        <v>#VALUE!</v>
      </c>
      <c r="AQ120" t="e">
        <f>Nodes!A961+"'E4!&amp;rs"</f>
        <v>#VALUE!</v>
      </c>
      <c r="AR120" t="e">
        <f>Nodes!B961+"'E4!&amp;rt"</f>
        <v>#VALUE!</v>
      </c>
      <c r="AS120" t="e">
        <f>Nodes!C961+"'E4!&amp;ru"</f>
        <v>#VALUE!</v>
      </c>
      <c r="AT120" t="e">
        <f>Nodes!D961+"'E4!&amp;rv"</f>
        <v>#VALUE!</v>
      </c>
      <c r="AU120" t="e">
        <f>Nodes!E961+"'E4!&amp;rw"</f>
        <v>#VALUE!</v>
      </c>
      <c r="AV120" t="e">
        <f>Nodes!F961+"'E4!&amp;rx"</f>
        <v>#VALUE!</v>
      </c>
      <c r="AW120" t="e">
        <f>Nodes!G961+"'E4!&amp;ry"</f>
        <v>#VALUE!</v>
      </c>
      <c r="AX120" t="e">
        <f>Nodes!H961+"'E4!&amp;rz"</f>
        <v>#VALUE!</v>
      </c>
      <c r="AY120" t="e">
        <f>Nodes!I961+"'E4!&amp;r{"</f>
        <v>#VALUE!</v>
      </c>
      <c r="AZ120" t="e">
        <f>Nodes!J961+"'E4!&amp;r|"</f>
        <v>#VALUE!</v>
      </c>
      <c r="BA120" t="e">
        <f>Nodes!K961+"'E4!&amp;r}"</f>
        <v>#VALUE!</v>
      </c>
      <c r="BB120" t="e">
        <f>Nodes!L961+"'E4!&amp;r~"</f>
        <v>#VALUE!</v>
      </c>
      <c r="BC120" t="e">
        <f>Nodes!M961+"'E4!&amp;s#"</f>
        <v>#VALUE!</v>
      </c>
      <c r="BD120" t="e">
        <f>Nodes!N961+"'E4!&amp;s$"</f>
        <v>#VALUE!</v>
      </c>
      <c r="BE120" t="e">
        <f>Nodes!O961+"'E4!&amp;s%"</f>
        <v>#VALUE!</v>
      </c>
      <c r="BF120" t="e">
        <f>Nodes!P961+"'E4!&amp;s&amp;"</f>
        <v>#VALUE!</v>
      </c>
      <c r="BG120" t="e">
        <f>Nodes!Q961+"'E4!&amp;s'"</f>
        <v>#VALUE!</v>
      </c>
      <c r="BH120" t="e">
        <f>Nodes!R961+"'E4!&amp;s("</f>
        <v>#VALUE!</v>
      </c>
      <c r="BI120" t="e">
        <f>Nodes!S961+"'E4!&amp;s)"</f>
        <v>#VALUE!</v>
      </c>
      <c r="BJ120" t="e">
        <f>Nodes!T961+"'E4!&amp;s."</f>
        <v>#VALUE!</v>
      </c>
      <c r="BK120" t="e">
        <f>Nodes!U961+"'E4!&amp;s/"</f>
        <v>#VALUE!</v>
      </c>
      <c r="BL120" t="e">
        <f>Nodes!V961+"'E4!&amp;s0"</f>
        <v>#VALUE!</v>
      </c>
      <c r="BM120" t="e">
        <f>Nodes!W961+"'E4!&amp;s1"</f>
        <v>#VALUE!</v>
      </c>
      <c r="BN120" s="333" t="e">
        <f>Nodes!X961+"'E4!&amp;s2"</f>
        <v>#VALUE!</v>
      </c>
      <c r="BO120" t="e">
        <f>Nodes!Y961+"'E4!&amp;s3"</f>
        <v>#VALUE!</v>
      </c>
      <c r="BP120" t="e">
        <f>Nodes!Z961+"'E4!&amp;s4"</f>
        <v>#VALUE!</v>
      </c>
      <c r="BQ120" t="e">
        <f>Nodes!AA961+"'E4!&amp;s5"</f>
        <v>#VALUE!</v>
      </c>
      <c r="BR120" t="e">
        <f>Nodes!AB961+"'E4!&amp;s6"</f>
        <v>#VALUE!</v>
      </c>
      <c r="BS120" t="e">
        <f>Nodes!AC961+"'E4!&amp;s7"</f>
        <v>#VALUE!</v>
      </c>
      <c r="BT120" t="e">
        <f>Nodes!A962+"'E4!&amp;s8"</f>
        <v>#VALUE!</v>
      </c>
      <c r="BU120" t="e">
        <f>Nodes!B962+"'E4!&amp;s9"</f>
        <v>#VALUE!</v>
      </c>
      <c r="BV120" t="e">
        <f>Nodes!C962+"'E4!&amp;s:"</f>
        <v>#VALUE!</v>
      </c>
      <c r="BW120" t="e">
        <f>Nodes!D962+"'E4!&amp;s;"</f>
        <v>#VALUE!</v>
      </c>
      <c r="BX120" t="e">
        <f>Nodes!E962+"'E4!&amp;s&lt;"</f>
        <v>#VALUE!</v>
      </c>
      <c r="BY120" t="e">
        <f>Nodes!F962+"'E4!&amp;s="</f>
        <v>#VALUE!</v>
      </c>
      <c r="BZ120" t="e">
        <f>Nodes!G962+"'E4!&amp;s&gt;"</f>
        <v>#VALUE!</v>
      </c>
      <c r="CA120" t="e">
        <f>Nodes!H962+"'E4!&amp;s?"</f>
        <v>#VALUE!</v>
      </c>
      <c r="CB120" t="e">
        <f>Nodes!I962+"'E4!&amp;s@"</f>
        <v>#VALUE!</v>
      </c>
      <c r="CC120" t="e">
        <f>Nodes!J962+"'E4!&amp;sA"</f>
        <v>#VALUE!</v>
      </c>
      <c r="CD120" t="e">
        <f>Nodes!K962+"'E4!&amp;sB"</f>
        <v>#VALUE!</v>
      </c>
      <c r="CE120" t="e">
        <f>Nodes!L962+"'E4!&amp;sC"</f>
        <v>#VALUE!</v>
      </c>
      <c r="CF120" t="e">
        <f>Nodes!M962+"'E4!&amp;sD"</f>
        <v>#VALUE!</v>
      </c>
      <c r="CG120" t="e">
        <f>Nodes!N962+"'E4!&amp;sE"</f>
        <v>#VALUE!</v>
      </c>
      <c r="CH120" t="e">
        <f>Nodes!O962+"'E4!&amp;sF"</f>
        <v>#VALUE!</v>
      </c>
      <c r="CI120" t="e">
        <f>Nodes!P962+"'E4!&amp;sG"</f>
        <v>#VALUE!</v>
      </c>
      <c r="CJ120" t="e">
        <f>Nodes!Q962+"'E4!&amp;sH"</f>
        <v>#VALUE!</v>
      </c>
      <c r="CK120" t="e">
        <f>Nodes!R962+"'E4!&amp;sI"</f>
        <v>#VALUE!</v>
      </c>
      <c r="CL120" t="e">
        <f>Nodes!S962+"'E4!&amp;sJ"</f>
        <v>#VALUE!</v>
      </c>
      <c r="CM120" t="e">
        <f>Nodes!T962+"'E4!&amp;sK"</f>
        <v>#VALUE!</v>
      </c>
      <c r="CN120" t="e">
        <f>Nodes!U962+"'E4!&amp;sL"</f>
        <v>#VALUE!</v>
      </c>
      <c r="CO120" t="e">
        <f>Nodes!V962+"'E4!&amp;sM"</f>
        <v>#VALUE!</v>
      </c>
      <c r="CP120" t="e">
        <f>Nodes!W962+"'E4!&amp;sN"</f>
        <v>#VALUE!</v>
      </c>
      <c r="CQ120" s="333" t="e">
        <f>Nodes!X962+"'E4!&amp;sO"</f>
        <v>#VALUE!</v>
      </c>
      <c r="CR120" t="e">
        <f>Nodes!Y962+"'E4!&amp;sP"</f>
        <v>#VALUE!</v>
      </c>
      <c r="CS120" t="e">
        <f>Nodes!Z962+"'E4!&amp;sQ"</f>
        <v>#VALUE!</v>
      </c>
      <c r="CT120" t="e">
        <f>Nodes!AA962+"'E4!&amp;sR"</f>
        <v>#VALUE!</v>
      </c>
      <c r="CU120" t="e">
        <f>Nodes!AB962+"'E4!&amp;sS"</f>
        <v>#VALUE!</v>
      </c>
      <c r="CV120" t="e">
        <f>Nodes!AC962+"'E4!&amp;sT"</f>
        <v>#VALUE!</v>
      </c>
      <c r="CW120" t="e">
        <f>Nodes!A963+"'E4!&amp;sU"</f>
        <v>#VALUE!</v>
      </c>
      <c r="CX120" t="e">
        <f>Nodes!B963+"'E4!&amp;sV"</f>
        <v>#VALUE!</v>
      </c>
      <c r="CY120" t="e">
        <f>Nodes!C963+"'E4!&amp;sW"</f>
        <v>#VALUE!</v>
      </c>
      <c r="CZ120" t="e">
        <f>Nodes!D963+"'E4!&amp;sX"</f>
        <v>#VALUE!</v>
      </c>
      <c r="DA120" t="e">
        <f>Nodes!E963+"'E4!&amp;sY"</f>
        <v>#VALUE!</v>
      </c>
      <c r="DB120" t="e">
        <f>Nodes!F963+"'E4!&amp;sZ"</f>
        <v>#VALUE!</v>
      </c>
      <c r="DC120" t="e">
        <f>Nodes!G963+"'E4!&amp;s["</f>
        <v>#VALUE!</v>
      </c>
      <c r="DD120" t="e">
        <f>Nodes!H963+"'E4!&amp;s\"</f>
        <v>#VALUE!</v>
      </c>
      <c r="DE120" t="e">
        <f>Nodes!I963+"'E4!&amp;s]"</f>
        <v>#VALUE!</v>
      </c>
      <c r="DF120" t="e">
        <f>Nodes!J963+"'E4!&amp;s^"</f>
        <v>#VALUE!</v>
      </c>
      <c r="DG120" t="e">
        <f>Nodes!K963+"'E4!&amp;s_"</f>
        <v>#VALUE!</v>
      </c>
      <c r="DH120" t="e">
        <f>Nodes!L963+"'E4!&amp;s`"</f>
        <v>#VALUE!</v>
      </c>
      <c r="DI120" t="e">
        <f>Nodes!M963+"'E4!&amp;sa"</f>
        <v>#VALUE!</v>
      </c>
      <c r="DJ120" t="e">
        <f>Nodes!N963+"'E4!&amp;sb"</f>
        <v>#VALUE!</v>
      </c>
      <c r="DK120" t="e">
        <f>Nodes!O963+"'E4!&amp;sc"</f>
        <v>#VALUE!</v>
      </c>
      <c r="DL120" t="e">
        <f>Nodes!P963+"'E4!&amp;sd"</f>
        <v>#VALUE!</v>
      </c>
      <c r="DM120" t="e">
        <f>Nodes!Q963+"'E4!&amp;se"</f>
        <v>#VALUE!</v>
      </c>
      <c r="DN120" t="e">
        <f>Nodes!R963+"'E4!&amp;sf"</f>
        <v>#VALUE!</v>
      </c>
      <c r="DO120" t="e">
        <f>Nodes!S963+"'E4!&amp;sg"</f>
        <v>#VALUE!</v>
      </c>
      <c r="DP120" t="e">
        <f>Nodes!T963+"'E4!&amp;sh"</f>
        <v>#VALUE!</v>
      </c>
      <c r="DQ120" t="e">
        <f>Nodes!U963+"'E4!&amp;si"</f>
        <v>#VALUE!</v>
      </c>
      <c r="DR120" t="e">
        <f>Nodes!V963+"'E4!&amp;sj"</f>
        <v>#VALUE!</v>
      </c>
      <c r="DS120" t="e">
        <f>Nodes!W963+"'E4!&amp;sk"</f>
        <v>#VALUE!</v>
      </c>
      <c r="DT120" s="333" t="e">
        <f>Nodes!X963+"'E4!&amp;sl"</f>
        <v>#VALUE!</v>
      </c>
      <c r="DU120" t="e">
        <f>Nodes!Y963+"'E4!&amp;sm"</f>
        <v>#VALUE!</v>
      </c>
      <c r="DV120" t="e">
        <f>Nodes!Z963+"'E4!&amp;sn"</f>
        <v>#VALUE!</v>
      </c>
      <c r="DW120" t="e">
        <f>Nodes!AA963+"'E4!&amp;so"</f>
        <v>#VALUE!</v>
      </c>
      <c r="DX120" t="e">
        <f>Nodes!AB963+"'E4!&amp;sp"</f>
        <v>#VALUE!</v>
      </c>
      <c r="DY120" t="e">
        <f>Nodes!AC963+"'E4!&amp;sq"</f>
        <v>#VALUE!</v>
      </c>
      <c r="DZ120" t="e">
        <f>Nodes!A964+"'E4!&amp;sr"</f>
        <v>#VALUE!</v>
      </c>
      <c r="EA120" t="e">
        <f>Nodes!B964+"'E4!&amp;ss"</f>
        <v>#VALUE!</v>
      </c>
      <c r="EB120" t="e">
        <f>Nodes!C964+"'E4!&amp;st"</f>
        <v>#VALUE!</v>
      </c>
      <c r="EC120" t="e">
        <f>Nodes!D964+"'E4!&amp;su"</f>
        <v>#VALUE!</v>
      </c>
      <c r="ED120" t="e">
        <f>Nodes!E964+"'E4!&amp;sv"</f>
        <v>#VALUE!</v>
      </c>
      <c r="EE120" t="e">
        <f>Nodes!F964+"'E4!&amp;sw"</f>
        <v>#VALUE!</v>
      </c>
      <c r="EF120" t="e">
        <f>Nodes!G964+"'E4!&amp;sx"</f>
        <v>#VALUE!</v>
      </c>
      <c r="EG120" t="e">
        <f>Nodes!H964+"'E4!&amp;sy"</f>
        <v>#VALUE!</v>
      </c>
      <c r="EH120" t="e">
        <f>Nodes!I964+"'E4!&amp;sz"</f>
        <v>#VALUE!</v>
      </c>
      <c r="EI120" t="e">
        <f>Nodes!J964+"'E4!&amp;s{"</f>
        <v>#VALUE!</v>
      </c>
      <c r="EJ120" t="e">
        <f>Nodes!K964+"'E4!&amp;s|"</f>
        <v>#VALUE!</v>
      </c>
      <c r="EK120" t="e">
        <f>Nodes!L964+"'E4!&amp;s}"</f>
        <v>#VALUE!</v>
      </c>
      <c r="EL120" t="e">
        <f>Nodes!M964+"'E4!&amp;s~"</f>
        <v>#VALUE!</v>
      </c>
      <c r="EM120" t="e">
        <f>Nodes!N964+"'E4!&amp;t#"</f>
        <v>#VALUE!</v>
      </c>
      <c r="EN120" t="e">
        <f>Nodes!O964+"'E4!&amp;t$"</f>
        <v>#VALUE!</v>
      </c>
      <c r="EO120" t="e">
        <f>Nodes!P964+"'E4!&amp;t%"</f>
        <v>#VALUE!</v>
      </c>
      <c r="EP120" t="e">
        <f>Nodes!Q964+"'E4!&amp;t&amp;"</f>
        <v>#VALUE!</v>
      </c>
      <c r="EQ120" t="e">
        <f>Nodes!R964+"'E4!&amp;t'"</f>
        <v>#VALUE!</v>
      </c>
      <c r="ER120" t="e">
        <f>Nodes!S964+"'E4!&amp;t("</f>
        <v>#VALUE!</v>
      </c>
      <c r="ES120" t="e">
        <f>Nodes!T964+"'E4!&amp;t)"</f>
        <v>#VALUE!</v>
      </c>
      <c r="ET120" t="e">
        <f>Nodes!U964+"'E4!&amp;t."</f>
        <v>#VALUE!</v>
      </c>
      <c r="EU120" t="e">
        <f>Nodes!V964+"'E4!&amp;t/"</f>
        <v>#VALUE!</v>
      </c>
      <c r="EV120" t="e">
        <f>Nodes!W964+"'E4!&amp;t0"</f>
        <v>#VALUE!</v>
      </c>
      <c r="EW120" s="333" t="e">
        <f>Nodes!X964+"'E4!&amp;t1"</f>
        <v>#VALUE!</v>
      </c>
      <c r="EX120" t="e">
        <f>Nodes!Y964+"'E4!&amp;t2"</f>
        <v>#VALUE!</v>
      </c>
      <c r="EY120" t="e">
        <f>Nodes!Z964+"'E4!&amp;t3"</f>
        <v>#VALUE!</v>
      </c>
      <c r="EZ120" t="e">
        <f>Nodes!AA964+"'E4!&amp;t4"</f>
        <v>#VALUE!</v>
      </c>
      <c r="FA120" t="e">
        <f>Nodes!AB964+"'E4!&amp;t5"</f>
        <v>#VALUE!</v>
      </c>
      <c r="FB120" t="e">
        <f>Nodes!AC964+"'E4!&amp;t6"</f>
        <v>#VALUE!</v>
      </c>
      <c r="FC120" t="e">
        <f>Nodes!A965+"'E4!&amp;t7"</f>
        <v>#VALUE!</v>
      </c>
      <c r="FD120" t="e">
        <f>Nodes!B965+"'E4!&amp;t8"</f>
        <v>#VALUE!</v>
      </c>
      <c r="FE120" t="e">
        <f>Nodes!C965+"'E4!&amp;t9"</f>
        <v>#VALUE!</v>
      </c>
      <c r="FF120" t="e">
        <f>Nodes!D965+"'E4!&amp;t:"</f>
        <v>#VALUE!</v>
      </c>
      <c r="FG120" t="e">
        <f>Nodes!E965+"'E4!&amp;t;"</f>
        <v>#VALUE!</v>
      </c>
      <c r="FH120" t="e">
        <f>Nodes!F965+"'E4!&amp;t&lt;"</f>
        <v>#VALUE!</v>
      </c>
      <c r="FI120" t="e">
        <f>Nodes!G965+"'E4!&amp;t="</f>
        <v>#VALUE!</v>
      </c>
      <c r="FJ120" t="e">
        <f>Nodes!H965+"'E4!&amp;t&gt;"</f>
        <v>#VALUE!</v>
      </c>
      <c r="FK120" t="e">
        <f>Nodes!I965+"'E4!&amp;t?"</f>
        <v>#VALUE!</v>
      </c>
      <c r="FL120" t="e">
        <f>Nodes!J965+"'E4!&amp;t@"</f>
        <v>#VALUE!</v>
      </c>
      <c r="FM120" t="e">
        <f>Nodes!K965+"'E4!&amp;tA"</f>
        <v>#VALUE!</v>
      </c>
      <c r="FN120" t="e">
        <f>Nodes!L965+"'E4!&amp;tB"</f>
        <v>#VALUE!</v>
      </c>
      <c r="FO120" t="e">
        <f>Nodes!M965+"'E4!&amp;tC"</f>
        <v>#VALUE!</v>
      </c>
      <c r="FP120" t="e">
        <f>Nodes!N965+"'E4!&amp;tD"</f>
        <v>#VALUE!</v>
      </c>
      <c r="FQ120" t="e">
        <f>Nodes!O965+"'E4!&amp;tE"</f>
        <v>#VALUE!</v>
      </c>
      <c r="FR120" t="e">
        <f>Nodes!P965+"'E4!&amp;tF"</f>
        <v>#VALUE!</v>
      </c>
      <c r="FS120" t="e">
        <f>Nodes!Q965+"'E4!&amp;tG"</f>
        <v>#VALUE!</v>
      </c>
      <c r="FT120" t="e">
        <f>Nodes!R965+"'E4!&amp;tH"</f>
        <v>#VALUE!</v>
      </c>
      <c r="FU120" t="e">
        <f>Nodes!S965+"'E4!&amp;tI"</f>
        <v>#VALUE!</v>
      </c>
      <c r="FV120" t="e">
        <f>Nodes!T965+"'E4!&amp;tJ"</f>
        <v>#VALUE!</v>
      </c>
      <c r="FW120" t="e">
        <f>Nodes!U965+"'E4!&amp;tK"</f>
        <v>#VALUE!</v>
      </c>
      <c r="FX120" t="e">
        <f>Nodes!V965+"'E4!&amp;tL"</f>
        <v>#VALUE!</v>
      </c>
      <c r="FY120" t="e">
        <f>Nodes!W965+"'E4!&amp;tM"</f>
        <v>#VALUE!</v>
      </c>
      <c r="FZ120" s="333" t="e">
        <f>Nodes!X965+"'E4!&amp;tN"</f>
        <v>#VALUE!</v>
      </c>
      <c r="GA120" t="e">
        <f>Nodes!Y965+"'E4!&amp;tO"</f>
        <v>#VALUE!</v>
      </c>
      <c r="GB120" t="e">
        <f>Nodes!Z965+"'E4!&amp;tP"</f>
        <v>#VALUE!</v>
      </c>
      <c r="GC120" t="e">
        <f>Nodes!AA965+"'E4!&amp;tQ"</f>
        <v>#VALUE!</v>
      </c>
      <c r="GD120" t="e">
        <f>Nodes!AB965+"'E4!&amp;tR"</f>
        <v>#VALUE!</v>
      </c>
      <c r="GE120" t="e">
        <f>Nodes!AC965+"'E4!&amp;tS"</f>
        <v>#VALUE!</v>
      </c>
      <c r="GF120" t="e">
        <f>Nodes!A966+"'E4!&amp;tT"</f>
        <v>#VALUE!</v>
      </c>
      <c r="GG120" t="e">
        <f>Nodes!B966+"'E4!&amp;tU"</f>
        <v>#VALUE!</v>
      </c>
      <c r="GH120" t="e">
        <f>Nodes!C966+"'E4!&amp;tV"</f>
        <v>#VALUE!</v>
      </c>
      <c r="GI120" t="e">
        <f>Nodes!D966+"'E4!&amp;tW"</f>
        <v>#VALUE!</v>
      </c>
      <c r="GJ120" t="e">
        <f>Nodes!E966+"'E4!&amp;tX"</f>
        <v>#VALUE!</v>
      </c>
      <c r="GK120" t="e">
        <f>Nodes!F966+"'E4!&amp;tY"</f>
        <v>#VALUE!</v>
      </c>
      <c r="GL120" t="e">
        <f>Nodes!G966+"'E4!&amp;tZ"</f>
        <v>#VALUE!</v>
      </c>
      <c r="GM120" t="e">
        <f>Nodes!H966+"'E4!&amp;t["</f>
        <v>#VALUE!</v>
      </c>
      <c r="GN120" t="e">
        <f>Nodes!I966+"'E4!&amp;t\"</f>
        <v>#VALUE!</v>
      </c>
      <c r="GO120" t="e">
        <f>Nodes!J966+"'E4!&amp;t]"</f>
        <v>#VALUE!</v>
      </c>
      <c r="GP120" t="e">
        <f>Nodes!K966+"'E4!&amp;t^"</f>
        <v>#VALUE!</v>
      </c>
      <c r="GQ120" t="e">
        <f>Nodes!L966+"'E4!&amp;t_"</f>
        <v>#VALUE!</v>
      </c>
      <c r="GR120" t="e">
        <f>Nodes!M966+"'E4!&amp;t`"</f>
        <v>#VALUE!</v>
      </c>
      <c r="GS120" t="e">
        <f>Nodes!N966+"'E4!&amp;ta"</f>
        <v>#VALUE!</v>
      </c>
      <c r="GT120" t="e">
        <f>Nodes!O966+"'E4!&amp;tb"</f>
        <v>#VALUE!</v>
      </c>
      <c r="GU120" t="e">
        <f>Nodes!P966+"'E4!&amp;tc"</f>
        <v>#VALUE!</v>
      </c>
      <c r="GV120" t="e">
        <f>Nodes!Q966+"'E4!&amp;td"</f>
        <v>#VALUE!</v>
      </c>
      <c r="GW120" t="e">
        <f>Nodes!R966+"'E4!&amp;te"</f>
        <v>#VALUE!</v>
      </c>
      <c r="GX120" t="e">
        <f>Nodes!S966+"'E4!&amp;tf"</f>
        <v>#VALUE!</v>
      </c>
      <c r="GY120" t="e">
        <f>Nodes!T966+"'E4!&amp;tg"</f>
        <v>#VALUE!</v>
      </c>
      <c r="GZ120" t="e">
        <f>Nodes!U966+"'E4!&amp;th"</f>
        <v>#VALUE!</v>
      </c>
      <c r="HA120" t="e">
        <f>Nodes!V966+"'E4!&amp;ti"</f>
        <v>#VALUE!</v>
      </c>
      <c r="HB120" t="e">
        <f>Nodes!W966+"'E4!&amp;tj"</f>
        <v>#VALUE!</v>
      </c>
      <c r="HC120" s="333" t="e">
        <f>Nodes!X966+"'E4!&amp;tk"</f>
        <v>#VALUE!</v>
      </c>
      <c r="HD120" t="e">
        <f>Nodes!Y966+"'E4!&amp;tl"</f>
        <v>#VALUE!</v>
      </c>
      <c r="HE120" t="e">
        <f>Nodes!Z966+"'E4!&amp;tm"</f>
        <v>#VALUE!</v>
      </c>
      <c r="HF120" t="e">
        <f>Nodes!AA966+"'E4!&amp;tn"</f>
        <v>#VALUE!</v>
      </c>
      <c r="HG120" t="e">
        <f>Nodes!AB966+"'E4!&amp;to"</f>
        <v>#VALUE!</v>
      </c>
      <c r="HH120" t="e">
        <f>Nodes!AC966+"'E4!&amp;tp"</f>
        <v>#VALUE!</v>
      </c>
      <c r="HI120" t="e">
        <f>Nodes!A967+"'E4!&amp;tq"</f>
        <v>#VALUE!</v>
      </c>
      <c r="HJ120" t="e">
        <f>Nodes!B967+"'E4!&amp;tr"</f>
        <v>#VALUE!</v>
      </c>
      <c r="HK120" t="e">
        <f>Nodes!C967+"'E4!&amp;ts"</f>
        <v>#VALUE!</v>
      </c>
      <c r="HL120" t="e">
        <f>Nodes!D967+"'E4!&amp;tt"</f>
        <v>#VALUE!</v>
      </c>
      <c r="HM120" t="e">
        <f>Nodes!E967+"'E4!&amp;tu"</f>
        <v>#VALUE!</v>
      </c>
      <c r="HN120" t="e">
        <f>Nodes!F967+"'E4!&amp;tv"</f>
        <v>#VALUE!</v>
      </c>
      <c r="HO120" t="e">
        <f>Nodes!G967+"'E4!&amp;tw"</f>
        <v>#VALUE!</v>
      </c>
      <c r="HP120" t="e">
        <f>Nodes!H967+"'E4!&amp;tx"</f>
        <v>#VALUE!</v>
      </c>
      <c r="HQ120" t="e">
        <f>Nodes!I967+"'E4!&amp;ty"</f>
        <v>#VALUE!</v>
      </c>
      <c r="HR120" t="e">
        <f>Nodes!J967+"'E4!&amp;tz"</f>
        <v>#VALUE!</v>
      </c>
      <c r="HS120" t="e">
        <f>Nodes!K967+"'E4!&amp;t{"</f>
        <v>#VALUE!</v>
      </c>
      <c r="HT120" t="e">
        <f>Nodes!L967+"'E4!&amp;t|"</f>
        <v>#VALUE!</v>
      </c>
      <c r="HU120" t="e">
        <f>Nodes!M967+"'E4!&amp;t}"</f>
        <v>#VALUE!</v>
      </c>
      <c r="HV120" t="e">
        <f>Nodes!N967+"'E4!&amp;t~"</f>
        <v>#VALUE!</v>
      </c>
      <c r="HW120" t="e">
        <f>Nodes!O967+"'E4!&amp;u#"</f>
        <v>#VALUE!</v>
      </c>
      <c r="HX120" t="e">
        <f>Nodes!P967+"'E4!&amp;u$"</f>
        <v>#VALUE!</v>
      </c>
      <c r="HY120" t="e">
        <f>Nodes!Q967+"'E4!&amp;u%"</f>
        <v>#VALUE!</v>
      </c>
      <c r="HZ120" t="e">
        <f>Nodes!R967+"'E4!&amp;u&amp;"</f>
        <v>#VALUE!</v>
      </c>
      <c r="IA120" t="e">
        <f>Nodes!S967+"'E4!&amp;u'"</f>
        <v>#VALUE!</v>
      </c>
      <c r="IB120" t="e">
        <f>Nodes!T967+"'E4!&amp;u("</f>
        <v>#VALUE!</v>
      </c>
      <c r="IC120" t="e">
        <f>Nodes!U967+"'E4!&amp;u)"</f>
        <v>#VALUE!</v>
      </c>
      <c r="ID120" t="e">
        <f>Nodes!V967+"'E4!&amp;u."</f>
        <v>#VALUE!</v>
      </c>
      <c r="IE120" t="e">
        <f>Nodes!W967+"'E4!&amp;u/"</f>
        <v>#VALUE!</v>
      </c>
      <c r="IF120" s="333" t="e">
        <f>Nodes!X967+"'E4!&amp;u0"</f>
        <v>#VALUE!</v>
      </c>
      <c r="IG120" t="e">
        <f>Nodes!Y967+"'E4!&amp;u1"</f>
        <v>#VALUE!</v>
      </c>
      <c r="IH120" t="e">
        <f>Nodes!Z967+"'E4!&amp;u2"</f>
        <v>#VALUE!</v>
      </c>
      <c r="II120" t="e">
        <f>Nodes!AA967+"'E4!&amp;u3"</f>
        <v>#VALUE!</v>
      </c>
      <c r="IJ120" t="e">
        <f>Nodes!AB967+"'E4!&amp;u4"</f>
        <v>#VALUE!</v>
      </c>
      <c r="IK120" t="e">
        <f>Nodes!AC967+"'E4!&amp;u5"</f>
        <v>#VALUE!</v>
      </c>
      <c r="IL120" t="e">
        <f>Nodes!A968+"'E4!&amp;u6"</f>
        <v>#VALUE!</v>
      </c>
      <c r="IM120" t="e">
        <f>Nodes!B968+"'E4!&amp;u7"</f>
        <v>#VALUE!</v>
      </c>
      <c r="IN120" t="e">
        <f>Nodes!C968+"'E4!&amp;u8"</f>
        <v>#VALUE!</v>
      </c>
      <c r="IO120" t="e">
        <f>Nodes!D968+"'E4!&amp;u9"</f>
        <v>#VALUE!</v>
      </c>
      <c r="IP120" t="e">
        <f>Nodes!E968+"'E4!&amp;u:"</f>
        <v>#VALUE!</v>
      </c>
      <c r="IQ120" t="e">
        <f>Nodes!F968+"'E4!&amp;u;"</f>
        <v>#VALUE!</v>
      </c>
      <c r="IR120" t="e">
        <f>Nodes!G968+"'E4!&amp;u&lt;"</f>
        <v>#VALUE!</v>
      </c>
      <c r="IS120" t="e">
        <f>Nodes!H968+"'E4!&amp;u="</f>
        <v>#VALUE!</v>
      </c>
      <c r="IT120" t="e">
        <f>Nodes!I968+"'E4!&amp;u&gt;"</f>
        <v>#VALUE!</v>
      </c>
      <c r="IU120" t="e">
        <f>Nodes!J968+"'E4!&amp;u?"</f>
        <v>#VALUE!</v>
      </c>
      <c r="IV120" t="e">
        <f>Nodes!K968+"'E4!&amp;u@"</f>
        <v>#VALUE!</v>
      </c>
    </row>
    <row r="121" spans="6:256">
      <c r="F121" t="e">
        <f>Nodes!L968+"'E4!&amp;uA"</f>
        <v>#VALUE!</v>
      </c>
      <c r="G121" t="e">
        <f>Nodes!M968+"'E4!&amp;uB"</f>
        <v>#VALUE!</v>
      </c>
      <c r="H121" t="e">
        <f>Nodes!N968+"'E4!&amp;uC"</f>
        <v>#VALUE!</v>
      </c>
      <c r="I121" t="e">
        <f>Nodes!O968+"'E4!&amp;uD"</f>
        <v>#VALUE!</v>
      </c>
      <c r="J121" t="e">
        <f>Nodes!P968+"'E4!&amp;uE"</f>
        <v>#VALUE!</v>
      </c>
      <c r="K121" t="e">
        <f>Nodes!Q968+"'E4!&amp;uF"</f>
        <v>#VALUE!</v>
      </c>
      <c r="L121" t="e">
        <f>Nodes!R968+"'E4!&amp;uG"</f>
        <v>#VALUE!</v>
      </c>
      <c r="M121" t="e">
        <f>Nodes!S968+"'E4!&amp;uH"</f>
        <v>#VALUE!</v>
      </c>
      <c r="N121" t="e">
        <f>Nodes!T968+"'E4!&amp;uI"</f>
        <v>#VALUE!</v>
      </c>
      <c r="O121" t="e">
        <f>Nodes!U968+"'E4!&amp;uJ"</f>
        <v>#VALUE!</v>
      </c>
      <c r="P121" t="e">
        <f>Nodes!V968+"'E4!&amp;uK"</f>
        <v>#VALUE!</v>
      </c>
      <c r="Q121" t="e">
        <f>Nodes!W968+"'E4!&amp;uL"</f>
        <v>#VALUE!</v>
      </c>
      <c r="R121" s="333" t="e">
        <f>Nodes!X968+"'E4!&amp;uM"</f>
        <v>#VALUE!</v>
      </c>
      <c r="S121" t="e">
        <f>Nodes!Y968+"'E4!&amp;uN"</f>
        <v>#VALUE!</v>
      </c>
      <c r="T121" t="e">
        <f>Nodes!Z968+"'E4!&amp;uO"</f>
        <v>#VALUE!</v>
      </c>
      <c r="U121" t="e">
        <f>Nodes!AA968+"'E4!&amp;uP"</f>
        <v>#VALUE!</v>
      </c>
      <c r="V121" t="e">
        <f>Nodes!AB968+"'E4!&amp;uQ"</f>
        <v>#VALUE!</v>
      </c>
      <c r="W121" t="e">
        <f>Nodes!AC968+"'E4!&amp;uR"</f>
        <v>#VALUE!</v>
      </c>
      <c r="X121" t="e">
        <f>Nodes!A969+"'E4!&amp;uS"</f>
        <v>#VALUE!</v>
      </c>
      <c r="Y121" t="e">
        <f>Nodes!B969+"'E4!&amp;uT"</f>
        <v>#VALUE!</v>
      </c>
      <c r="Z121" t="e">
        <f>Nodes!C969+"'E4!&amp;uU"</f>
        <v>#VALUE!</v>
      </c>
      <c r="AA121" t="e">
        <f>Nodes!D969+"'E4!&amp;uV"</f>
        <v>#VALUE!</v>
      </c>
      <c r="AB121" t="e">
        <f>Nodes!E969+"'E4!&amp;uW"</f>
        <v>#VALUE!</v>
      </c>
      <c r="AC121" t="e">
        <f>Nodes!F969+"'E4!&amp;uX"</f>
        <v>#VALUE!</v>
      </c>
      <c r="AD121" t="e">
        <f>Nodes!G969+"'E4!&amp;uY"</f>
        <v>#VALUE!</v>
      </c>
      <c r="AE121" t="e">
        <f>Nodes!H969+"'E4!&amp;uZ"</f>
        <v>#VALUE!</v>
      </c>
      <c r="AF121" t="e">
        <f>Nodes!I969+"'E4!&amp;u["</f>
        <v>#VALUE!</v>
      </c>
      <c r="AG121" t="e">
        <f>Nodes!J969+"'E4!&amp;u\"</f>
        <v>#VALUE!</v>
      </c>
      <c r="AH121" t="e">
        <f>Nodes!K969+"'E4!&amp;u]"</f>
        <v>#VALUE!</v>
      </c>
      <c r="AI121" t="e">
        <f>Nodes!L969+"'E4!&amp;u^"</f>
        <v>#VALUE!</v>
      </c>
      <c r="AJ121" t="e">
        <f>Nodes!M969+"'E4!&amp;u_"</f>
        <v>#VALUE!</v>
      </c>
      <c r="AK121" t="e">
        <f>Nodes!N969+"'E4!&amp;u`"</f>
        <v>#VALUE!</v>
      </c>
      <c r="AL121" t="e">
        <f>Nodes!O969+"'E4!&amp;ua"</f>
        <v>#VALUE!</v>
      </c>
      <c r="AM121" t="e">
        <f>Nodes!P969+"'E4!&amp;ub"</f>
        <v>#VALUE!</v>
      </c>
      <c r="AN121" t="e">
        <f>Nodes!Q969+"'E4!&amp;uc"</f>
        <v>#VALUE!</v>
      </c>
      <c r="AO121" t="e">
        <f>Nodes!R969+"'E4!&amp;ud"</f>
        <v>#VALUE!</v>
      </c>
      <c r="AP121" t="e">
        <f>Nodes!S969+"'E4!&amp;ue"</f>
        <v>#VALUE!</v>
      </c>
      <c r="AQ121" t="e">
        <f>Nodes!T969+"'E4!&amp;uf"</f>
        <v>#VALUE!</v>
      </c>
      <c r="AR121" t="e">
        <f>Nodes!U969+"'E4!&amp;ug"</f>
        <v>#VALUE!</v>
      </c>
      <c r="AS121" t="e">
        <f>Nodes!V969+"'E4!&amp;uh"</f>
        <v>#VALUE!</v>
      </c>
      <c r="AT121" t="e">
        <f>Nodes!W969+"'E4!&amp;ui"</f>
        <v>#VALUE!</v>
      </c>
      <c r="AU121" s="333" t="e">
        <f>Nodes!X969+"'E4!&amp;uj"</f>
        <v>#VALUE!</v>
      </c>
      <c r="AV121" t="e">
        <f>Nodes!Y969+"'E4!&amp;uk"</f>
        <v>#VALUE!</v>
      </c>
      <c r="AW121" t="e">
        <f>Nodes!Z969+"'E4!&amp;ul"</f>
        <v>#VALUE!</v>
      </c>
      <c r="AX121" t="e">
        <f>Nodes!AA969+"'E4!&amp;um"</f>
        <v>#VALUE!</v>
      </c>
      <c r="AY121" t="e">
        <f>Nodes!AB969+"'E4!&amp;un"</f>
        <v>#VALUE!</v>
      </c>
      <c r="AZ121" t="e">
        <f>Nodes!AC969+"'E4!&amp;uo"</f>
        <v>#VALUE!</v>
      </c>
      <c r="BA121" t="e">
        <f>Nodes!A970+"'E4!&amp;up"</f>
        <v>#VALUE!</v>
      </c>
      <c r="BB121" t="e">
        <f>Nodes!B970+"'E4!&amp;uq"</f>
        <v>#VALUE!</v>
      </c>
      <c r="BC121" t="e">
        <f>Nodes!C970+"'E4!&amp;ur"</f>
        <v>#VALUE!</v>
      </c>
      <c r="BD121" t="e">
        <f>Nodes!D970+"'E4!&amp;us"</f>
        <v>#VALUE!</v>
      </c>
      <c r="BE121" t="e">
        <f>Nodes!E970+"'E4!&amp;ut"</f>
        <v>#VALUE!</v>
      </c>
      <c r="BF121" t="e">
        <f>Nodes!F970+"'E4!&amp;uu"</f>
        <v>#VALUE!</v>
      </c>
      <c r="BG121" t="e">
        <f>Nodes!G970+"'E4!&amp;uv"</f>
        <v>#VALUE!</v>
      </c>
      <c r="BH121" t="e">
        <f>Nodes!H970+"'E4!&amp;uw"</f>
        <v>#VALUE!</v>
      </c>
      <c r="BI121" t="e">
        <f>Nodes!I970+"'E4!&amp;ux"</f>
        <v>#VALUE!</v>
      </c>
      <c r="BJ121" t="e">
        <f>Nodes!J970+"'E4!&amp;uy"</f>
        <v>#VALUE!</v>
      </c>
      <c r="BK121" t="e">
        <f>Nodes!K970+"'E4!&amp;uz"</f>
        <v>#VALUE!</v>
      </c>
      <c r="BL121" t="e">
        <f>Nodes!L970+"'E4!&amp;u{"</f>
        <v>#VALUE!</v>
      </c>
      <c r="BM121" t="e">
        <f>Nodes!M970+"'E4!&amp;u|"</f>
        <v>#VALUE!</v>
      </c>
      <c r="BN121" t="e">
        <f>Nodes!N970+"'E4!&amp;u}"</f>
        <v>#VALUE!</v>
      </c>
      <c r="BO121" t="e">
        <f>Nodes!O970+"'E4!&amp;u~"</f>
        <v>#VALUE!</v>
      </c>
      <c r="BP121" t="e">
        <f>Nodes!P970+"'E4!&amp;v#"</f>
        <v>#VALUE!</v>
      </c>
      <c r="BQ121" t="e">
        <f>Nodes!Q970+"'E4!&amp;v$"</f>
        <v>#VALUE!</v>
      </c>
      <c r="BR121" t="e">
        <f>Nodes!R970+"'E4!&amp;v%"</f>
        <v>#VALUE!</v>
      </c>
      <c r="BS121" t="e">
        <f>Nodes!S970+"'E4!&amp;v&amp;"</f>
        <v>#VALUE!</v>
      </c>
      <c r="BT121" t="e">
        <f>Nodes!T970+"'E4!&amp;v'"</f>
        <v>#VALUE!</v>
      </c>
      <c r="BU121" t="e">
        <f>Nodes!U970+"'E4!&amp;v("</f>
        <v>#VALUE!</v>
      </c>
      <c r="BV121" t="e">
        <f>Nodes!V970+"'E4!&amp;v)"</f>
        <v>#VALUE!</v>
      </c>
      <c r="BW121" t="e">
        <f>Nodes!W970+"'E4!&amp;v."</f>
        <v>#VALUE!</v>
      </c>
      <c r="BX121" s="333" t="e">
        <f>Nodes!X970+"'E4!&amp;v/"</f>
        <v>#VALUE!</v>
      </c>
      <c r="BY121" t="e">
        <f>Nodes!Y970+"'E4!&amp;v0"</f>
        <v>#VALUE!</v>
      </c>
      <c r="BZ121" t="e">
        <f>Nodes!Z970+"'E4!&amp;v1"</f>
        <v>#VALUE!</v>
      </c>
      <c r="CA121" t="e">
        <f>Nodes!AA970+"'E4!&amp;v2"</f>
        <v>#VALUE!</v>
      </c>
      <c r="CB121" t="e">
        <f>Nodes!AB970+"'E4!&amp;v3"</f>
        <v>#VALUE!</v>
      </c>
      <c r="CC121" t="e">
        <f>Nodes!AC970+"'E4!&amp;v4"</f>
        <v>#VALUE!</v>
      </c>
      <c r="CD121" t="e">
        <f>Nodes!A971+"'E4!&amp;v5"</f>
        <v>#VALUE!</v>
      </c>
      <c r="CE121" t="e">
        <f>Nodes!B971+"'E4!&amp;v6"</f>
        <v>#VALUE!</v>
      </c>
      <c r="CF121" t="e">
        <f>Nodes!C971+"'E4!&amp;v7"</f>
        <v>#VALUE!</v>
      </c>
      <c r="CG121" t="e">
        <f>Nodes!D971+"'E4!&amp;v8"</f>
        <v>#VALUE!</v>
      </c>
      <c r="CH121" t="e">
        <f>Nodes!E971+"'E4!&amp;v9"</f>
        <v>#VALUE!</v>
      </c>
      <c r="CI121" t="e">
        <f>Nodes!F971+"'E4!&amp;v:"</f>
        <v>#VALUE!</v>
      </c>
      <c r="CJ121" t="e">
        <f>Nodes!G971+"'E4!&amp;v;"</f>
        <v>#VALUE!</v>
      </c>
      <c r="CK121" t="e">
        <f>Nodes!H971+"'E4!&amp;v&lt;"</f>
        <v>#VALUE!</v>
      </c>
      <c r="CL121" t="e">
        <f>Nodes!I971+"'E4!&amp;v="</f>
        <v>#VALUE!</v>
      </c>
      <c r="CM121" t="e">
        <f>Nodes!J971+"'E4!&amp;v&gt;"</f>
        <v>#VALUE!</v>
      </c>
      <c r="CN121" t="e">
        <f>Nodes!K971+"'E4!&amp;v?"</f>
        <v>#VALUE!</v>
      </c>
      <c r="CO121" t="e">
        <f>Nodes!L971+"'E4!&amp;v@"</f>
        <v>#VALUE!</v>
      </c>
      <c r="CP121" t="e">
        <f>Nodes!M971+"'E4!&amp;vA"</f>
        <v>#VALUE!</v>
      </c>
      <c r="CQ121" t="e">
        <f>Nodes!N971+"'E4!&amp;vB"</f>
        <v>#VALUE!</v>
      </c>
      <c r="CR121" t="e">
        <f>Nodes!O971+"'E4!&amp;vC"</f>
        <v>#VALUE!</v>
      </c>
      <c r="CS121" t="e">
        <f>Nodes!P971+"'E4!&amp;vD"</f>
        <v>#VALUE!</v>
      </c>
      <c r="CT121" t="e">
        <f>Nodes!Q971+"'E4!&amp;vE"</f>
        <v>#VALUE!</v>
      </c>
      <c r="CU121" t="e">
        <f>Nodes!R971+"'E4!&amp;vF"</f>
        <v>#VALUE!</v>
      </c>
      <c r="CV121" t="e">
        <f>Nodes!S971+"'E4!&amp;vG"</f>
        <v>#VALUE!</v>
      </c>
      <c r="CW121" t="e">
        <f>Nodes!T971+"'E4!&amp;vH"</f>
        <v>#VALUE!</v>
      </c>
      <c r="CX121" t="e">
        <f>Nodes!U971+"'E4!&amp;vI"</f>
        <v>#VALUE!</v>
      </c>
      <c r="CY121" t="e">
        <f>Nodes!V971+"'E4!&amp;vJ"</f>
        <v>#VALUE!</v>
      </c>
      <c r="CZ121" t="e">
        <f>Nodes!W971+"'E4!&amp;vK"</f>
        <v>#VALUE!</v>
      </c>
      <c r="DA121" s="333" t="e">
        <f>Nodes!X971+"'E4!&amp;vL"</f>
        <v>#VALUE!</v>
      </c>
      <c r="DB121" t="e">
        <f>Nodes!Y971+"'E4!&amp;vM"</f>
        <v>#VALUE!</v>
      </c>
      <c r="DC121" t="e">
        <f>Nodes!Z971+"'E4!&amp;vN"</f>
        <v>#VALUE!</v>
      </c>
      <c r="DD121" t="e">
        <f>Nodes!AA971+"'E4!&amp;vO"</f>
        <v>#VALUE!</v>
      </c>
      <c r="DE121" t="e">
        <f>Nodes!AB971+"'E4!&amp;vP"</f>
        <v>#VALUE!</v>
      </c>
      <c r="DF121" t="e">
        <f>Nodes!AC971+"'E4!&amp;vQ"</f>
        <v>#VALUE!</v>
      </c>
      <c r="DG121" t="e">
        <f>Nodes!A972+"'E4!&amp;vR"</f>
        <v>#VALUE!</v>
      </c>
      <c r="DH121" t="e">
        <f>Nodes!B972+"'E4!&amp;vS"</f>
        <v>#VALUE!</v>
      </c>
      <c r="DI121" t="e">
        <f>Nodes!C972+"'E4!&amp;vT"</f>
        <v>#VALUE!</v>
      </c>
      <c r="DJ121" t="e">
        <f>Nodes!D972+"'E4!&amp;vU"</f>
        <v>#VALUE!</v>
      </c>
      <c r="DK121" t="e">
        <f>Nodes!E972+"'E4!&amp;vV"</f>
        <v>#VALUE!</v>
      </c>
      <c r="DL121" t="e">
        <f>Nodes!F972+"'E4!&amp;vW"</f>
        <v>#VALUE!</v>
      </c>
      <c r="DM121" t="e">
        <f>Nodes!G972+"'E4!&amp;vX"</f>
        <v>#VALUE!</v>
      </c>
      <c r="DN121" t="e">
        <f>Nodes!H972+"'E4!&amp;vY"</f>
        <v>#VALUE!</v>
      </c>
      <c r="DO121" t="e">
        <f>Nodes!I972+"'E4!&amp;vZ"</f>
        <v>#VALUE!</v>
      </c>
      <c r="DP121" t="e">
        <f>Nodes!J972+"'E4!&amp;v["</f>
        <v>#VALUE!</v>
      </c>
      <c r="DQ121" t="e">
        <f>Nodes!K972+"'E4!&amp;v\"</f>
        <v>#VALUE!</v>
      </c>
      <c r="DR121" t="e">
        <f>Nodes!L972+"'E4!&amp;v]"</f>
        <v>#VALUE!</v>
      </c>
      <c r="DS121" t="e">
        <f>Nodes!M972+"'E4!&amp;v^"</f>
        <v>#VALUE!</v>
      </c>
      <c r="DT121" t="e">
        <f>Nodes!N972+"'E4!&amp;v_"</f>
        <v>#VALUE!</v>
      </c>
      <c r="DU121" t="e">
        <f>Nodes!O972+"'E4!&amp;v`"</f>
        <v>#VALUE!</v>
      </c>
      <c r="DV121" t="e">
        <f>Nodes!P972+"'E4!&amp;va"</f>
        <v>#VALUE!</v>
      </c>
      <c r="DW121" t="e">
        <f>Nodes!Q972+"'E4!&amp;vb"</f>
        <v>#VALUE!</v>
      </c>
      <c r="DX121" t="e">
        <f>Nodes!R972+"'E4!&amp;vc"</f>
        <v>#VALUE!</v>
      </c>
      <c r="DY121" t="e">
        <f>Nodes!S972+"'E4!&amp;vd"</f>
        <v>#VALUE!</v>
      </c>
      <c r="DZ121" t="e">
        <f>Nodes!T972+"'E4!&amp;ve"</f>
        <v>#VALUE!</v>
      </c>
      <c r="EA121" t="e">
        <f>Nodes!U972+"'E4!&amp;vf"</f>
        <v>#VALUE!</v>
      </c>
      <c r="EB121" t="e">
        <f>Nodes!V972+"'E4!&amp;vg"</f>
        <v>#VALUE!</v>
      </c>
      <c r="EC121" t="e">
        <f>Nodes!W972+"'E4!&amp;vh"</f>
        <v>#VALUE!</v>
      </c>
      <c r="ED121" s="333" t="e">
        <f>Nodes!X972+"'E4!&amp;vi"</f>
        <v>#VALUE!</v>
      </c>
      <c r="EE121" t="e">
        <f>Nodes!Y972+"'E4!&amp;vj"</f>
        <v>#VALUE!</v>
      </c>
      <c r="EF121" t="e">
        <f>Nodes!Z972+"'E4!&amp;vk"</f>
        <v>#VALUE!</v>
      </c>
      <c r="EG121" t="e">
        <f>Nodes!AA972+"'E4!&amp;vl"</f>
        <v>#VALUE!</v>
      </c>
      <c r="EH121" t="e">
        <f>Nodes!AB972+"'E4!&amp;vm"</f>
        <v>#VALUE!</v>
      </c>
      <c r="EI121" t="e">
        <f>Nodes!AC972+"'E4!&amp;vn"</f>
        <v>#VALUE!</v>
      </c>
      <c r="EJ121" t="e">
        <f>Nodes!A973+"'E4!&amp;vo"</f>
        <v>#VALUE!</v>
      </c>
      <c r="EK121" t="e">
        <f>Nodes!B973+"'E4!&amp;vp"</f>
        <v>#VALUE!</v>
      </c>
      <c r="EL121" t="e">
        <f>Nodes!C973+"'E4!&amp;vq"</f>
        <v>#VALUE!</v>
      </c>
      <c r="EM121" t="e">
        <f>Nodes!D973+"'E4!&amp;vr"</f>
        <v>#VALUE!</v>
      </c>
      <c r="EN121" t="e">
        <f>Nodes!E973+"'E4!&amp;vs"</f>
        <v>#VALUE!</v>
      </c>
      <c r="EO121" t="e">
        <f>Nodes!F973+"'E4!&amp;vt"</f>
        <v>#VALUE!</v>
      </c>
      <c r="EP121" t="e">
        <f>Nodes!G973+"'E4!&amp;vu"</f>
        <v>#VALUE!</v>
      </c>
      <c r="EQ121" t="e">
        <f>Nodes!H973+"'E4!&amp;vv"</f>
        <v>#VALUE!</v>
      </c>
      <c r="ER121" t="e">
        <f>Nodes!I973+"'E4!&amp;vw"</f>
        <v>#VALUE!</v>
      </c>
      <c r="ES121" t="e">
        <f>Nodes!J973+"'E4!&amp;vx"</f>
        <v>#VALUE!</v>
      </c>
      <c r="ET121" t="e">
        <f>Nodes!K973+"'E4!&amp;vy"</f>
        <v>#VALUE!</v>
      </c>
      <c r="EU121" t="e">
        <f>Nodes!L973+"'E4!&amp;vz"</f>
        <v>#VALUE!</v>
      </c>
      <c r="EV121" t="e">
        <f>Nodes!M973+"'E4!&amp;v{"</f>
        <v>#VALUE!</v>
      </c>
      <c r="EW121" t="e">
        <f>Nodes!N973+"'E4!&amp;v|"</f>
        <v>#VALUE!</v>
      </c>
      <c r="EX121" t="e">
        <f>Nodes!O973+"'E4!&amp;v}"</f>
        <v>#VALUE!</v>
      </c>
      <c r="EY121" t="e">
        <f>Nodes!P973+"'E4!&amp;v~"</f>
        <v>#VALUE!</v>
      </c>
      <c r="EZ121" t="e">
        <f>Nodes!Q973+"'E4!&amp;w#"</f>
        <v>#VALUE!</v>
      </c>
      <c r="FA121" t="e">
        <f>Nodes!R973+"'E4!&amp;w$"</f>
        <v>#VALUE!</v>
      </c>
      <c r="FB121" t="e">
        <f>Nodes!S973+"'E4!&amp;w%"</f>
        <v>#VALUE!</v>
      </c>
      <c r="FC121" t="e">
        <f>Nodes!T973+"'E4!&amp;w&amp;"</f>
        <v>#VALUE!</v>
      </c>
      <c r="FD121" t="e">
        <f>Nodes!U973+"'E4!&amp;w'"</f>
        <v>#VALUE!</v>
      </c>
      <c r="FE121" t="e">
        <f>Nodes!V973+"'E4!&amp;w("</f>
        <v>#VALUE!</v>
      </c>
      <c r="FF121" t="e">
        <f>Nodes!W973+"'E4!&amp;w)"</f>
        <v>#VALUE!</v>
      </c>
      <c r="FG121" s="333" t="e">
        <f>Nodes!X973+"'E4!&amp;w."</f>
        <v>#VALUE!</v>
      </c>
      <c r="FH121" t="e">
        <f>Nodes!Y973+"'E4!&amp;w/"</f>
        <v>#VALUE!</v>
      </c>
      <c r="FI121" t="e">
        <f>Nodes!Z973+"'E4!&amp;w0"</f>
        <v>#VALUE!</v>
      </c>
      <c r="FJ121" t="e">
        <f>Nodes!AA973+"'E4!&amp;w1"</f>
        <v>#VALUE!</v>
      </c>
      <c r="FK121" t="e">
        <f>Nodes!AB973+"'E4!&amp;w2"</f>
        <v>#VALUE!</v>
      </c>
      <c r="FL121" t="e">
        <f>Nodes!AC973+"'E4!&amp;w3"</f>
        <v>#VALUE!</v>
      </c>
      <c r="FM121" t="e">
        <f>Nodes!A974+"'E4!&amp;w4"</f>
        <v>#VALUE!</v>
      </c>
      <c r="FN121" t="e">
        <f>Nodes!B974+"'E4!&amp;w5"</f>
        <v>#VALUE!</v>
      </c>
      <c r="FO121" t="e">
        <f>Nodes!C974+"'E4!&amp;w6"</f>
        <v>#VALUE!</v>
      </c>
      <c r="FP121" t="e">
        <f>Nodes!D974+"'E4!&amp;w7"</f>
        <v>#VALUE!</v>
      </c>
      <c r="FQ121" t="e">
        <f>Nodes!E974+"'E4!&amp;w8"</f>
        <v>#VALUE!</v>
      </c>
      <c r="FR121" t="e">
        <f>Nodes!F974+"'E4!&amp;w9"</f>
        <v>#VALUE!</v>
      </c>
      <c r="FS121" t="e">
        <f>Nodes!G974+"'E4!&amp;w:"</f>
        <v>#VALUE!</v>
      </c>
      <c r="FT121" t="e">
        <f>Nodes!H974+"'E4!&amp;w;"</f>
        <v>#VALUE!</v>
      </c>
      <c r="FU121" t="e">
        <f>Nodes!I974+"'E4!&amp;w&lt;"</f>
        <v>#VALUE!</v>
      </c>
      <c r="FV121" t="e">
        <f>Nodes!J974+"'E4!&amp;w="</f>
        <v>#VALUE!</v>
      </c>
      <c r="FW121" t="e">
        <f>Nodes!K974+"'E4!&amp;w&gt;"</f>
        <v>#VALUE!</v>
      </c>
      <c r="FX121" t="e">
        <f>Nodes!L974+"'E4!&amp;w?"</f>
        <v>#VALUE!</v>
      </c>
      <c r="FY121" t="e">
        <f>Nodes!M974+"'E4!&amp;w@"</f>
        <v>#VALUE!</v>
      </c>
      <c r="FZ121" t="e">
        <f>Nodes!N974+"'E4!&amp;wA"</f>
        <v>#VALUE!</v>
      </c>
      <c r="GA121" t="e">
        <f>Nodes!O974+"'E4!&amp;wB"</f>
        <v>#VALUE!</v>
      </c>
      <c r="GB121" t="e">
        <f>Nodes!P974+"'E4!&amp;wC"</f>
        <v>#VALUE!</v>
      </c>
      <c r="GC121" t="e">
        <f>Nodes!Q974+"'E4!&amp;wD"</f>
        <v>#VALUE!</v>
      </c>
      <c r="GD121" t="e">
        <f>Nodes!R974+"'E4!&amp;wE"</f>
        <v>#VALUE!</v>
      </c>
      <c r="GE121" t="e">
        <f>Nodes!S974+"'E4!&amp;wF"</f>
        <v>#VALUE!</v>
      </c>
      <c r="GF121" t="e">
        <f>Nodes!T974+"'E4!&amp;wG"</f>
        <v>#VALUE!</v>
      </c>
      <c r="GG121" t="e">
        <f>Nodes!U974+"'E4!&amp;wH"</f>
        <v>#VALUE!</v>
      </c>
      <c r="GH121" t="e">
        <f>Nodes!V974+"'E4!&amp;wI"</f>
        <v>#VALUE!</v>
      </c>
      <c r="GI121" t="e">
        <f>Nodes!W974+"'E4!&amp;wJ"</f>
        <v>#VALUE!</v>
      </c>
      <c r="GJ121" s="333" t="e">
        <f>Nodes!X974+"'E4!&amp;wK"</f>
        <v>#VALUE!</v>
      </c>
      <c r="GK121" t="e">
        <f>Nodes!Y974+"'E4!&amp;wL"</f>
        <v>#VALUE!</v>
      </c>
      <c r="GL121" t="e">
        <f>Nodes!Z974+"'E4!&amp;wM"</f>
        <v>#VALUE!</v>
      </c>
      <c r="GM121" t="e">
        <f>Nodes!AA974+"'E4!&amp;wN"</f>
        <v>#VALUE!</v>
      </c>
      <c r="GN121" t="e">
        <f>Nodes!AB974+"'E4!&amp;wO"</f>
        <v>#VALUE!</v>
      </c>
      <c r="GO121" t="e">
        <f>Nodes!AC974+"'E4!&amp;wP"</f>
        <v>#VALUE!</v>
      </c>
      <c r="GP121" t="e">
        <f>Nodes!A975+"'E4!&amp;wQ"</f>
        <v>#VALUE!</v>
      </c>
      <c r="GQ121" t="e">
        <f>Nodes!B975+"'E4!&amp;wR"</f>
        <v>#VALUE!</v>
      </c>
      <c r="GR121" t="e">
        <f>Nodes!C975+"'E4!&amp;wS"</f>
        <v>#VALUE!</v>
      </c>
      <c r="GS121" t="e">
        <f>Nodes!D975+"'E4!&amp;wT"</f>
        <v>#VALUE!</v>
      </c>
      <c r="GT121" t="e">
        <f>Nodes!E975+"'E4!&amp;wU"</f>
        <v>#VALUE!</v>
      </c>
      <c r="GU121" t="e">
        <f>Nodes!F975+"'E4!&amp;wV"</f>
        <v>#VALUE!</v>
      </c>
      <c r="GV121" t="e">
        <f>Nodes!G975+"'E4!&amp;wW"</f>
        <v>#VALUE!</v>
      </c>
      <c r="GW121" t="e">
        <f>Nodes!H975+"'E4!&amp;wX"</f>
        <v>#VALUE!</v>
      </c>
      <c r="GX121" t="e">
        <f>Nodes!I975+"'E4!&amp;wY"</f>
        <v>#VALUE!</v>
      </c>
      <c r="GY121" t="e">
        <f>Nodes!J975+"'E4!&amp;wZ"</f>
        <v>#VALUE!</v>
      </c>
      <c r="GZ121" t="e">
        <f>Nodes!K975+"'E4!&amp;w["</f>
        <v>#VALUE!</v>
      </c>
      <c r="HA121" t="e">
        <f>Nodes!L975+"'E4!&amp;w\"</f>
        <v>#VALUE!</v>
      </c>
      <c r="HB121" t="e">
        <f>Nodes!M975+"'E4!&amp;w]"</f>
        <v>#VALUE!</v>
      </c>
      <c r="HC121" t="e">
        <f>Nodes!N975+"'E4!&amp;w^"</f>
        <v>#VALUE!</v>
      </c>
      <c r="HD121" t="e">
        <f>Nodes!O975+"'E4!&amp;w_"</f>
        <v>#VALUE!</v>
      </c>
      <c r="HE121" t="e">
        <f>Nodes!P975+"'E4!&amp;w`"</f>
        <v>#VALUE!</v>
      </c>
      <c r="HF121" t="e">
        <f>Nodes!Q975+"'E4!&amp;wa"</f>
        <v>#VALUE!</v>
      </c>
      <c r="HG121" t="e">
        <f>Nodes!R975+"'E4!&amp;wb"</f>
        <v>#VALUE!</v>
      </c>
      <c r="HH121" t="e">
        <f>Nodes!S975+"'E4!&amp;wc"</f>
        <v>#VALUE!</v>
      </c>
      <c r="HI121" t="e">
        <f>Nodes!T975+"'E4!&amp;wd"</f>
        <v>#VALUE!</v>
      </c>
      <c r="HJ121" t="e">
        <f>Nodes!U975+"'E4!&amp;we"</f>
        <v>#VALUE!</v>
      </c>
      <c r="HK121" t="e">
        <f>Nodes!V975+"'E4!&amp;wf"</f>
        <v>#VALUE!</v>
      </c>
      <c r="HL121" t="e">
        <f>Nodes!W975+"'E4!&amp;wg"</f>
        <v>#VALUE!</v>
      </c>
      <c r="HM121" s="333" t="e">
        <f>Nodes!X975+"'E4!&amp;wh"</f>
        <v>#VALUE!</v>
      </c>
      <c r="HN121" t="e">
        <f>Nodes!Y975+"'E4!&amp;wi"</f>
        <v>#VALUE!</v>
      </c>
      <c r="HO121" t="e">
        <f>Nodes!Z975+"'E4!&amp;wj"</f>
        <v>#VALUE!</v>
      </c>
      <c r="HP121" t="e">
        <f>Nodes!AA975+"'E4!&amp;wk"</f>
        <v>#VALUE!</v>
      </c>
      <c r="HQ121" t="e">
        <f>Nodes!AB975+"'E4!&amp;wl"</f>
        <v>#VALUE!</v>
      </c>
      <c r="HR121" t="e">
        <f>Nodes!AC975+"'E4!&amp;wm"</f>
        <v>#VALUE!</v>
      </c>
      <c r="HS121" t="e">
        <f>Nodes!A976+"'E4!&amp;wn"</f>
        <v>#VALUE!</v>
      </c>
      <c r="HT121" t="e">
        <f>Nodes!B976+"'E4!&amp;wo"</f>
        <v>#VALUE!</v>
      </c>
      <c r="HU121" t="e">
        <f>Nodes!C976+"'E4!&amp;wp"</f>
        <v>#VALUE!</v>
      </c>
      <c r="HV121" t="e">
        <f>Nodes!D976+"'E4!&amp;wq"</f>
        <v>#VALUE!</v>
      </c>
      <c r="HW121" t="e">
        <f>Nodes!E976+"'E4!&amp;wr"</f>
        <v>#VALUE!</v>
      </c>
      <c r="HX121" t="e">
        <f>Nodes!F976+"'E4!&amp;ws"</f>
        <v>#VALUE!</v>
      </c>
      <c r="HY121" t="e">
        <f>Nodes!G976+"'E4!&amp;wt"</f>
        <v>#VALUE!</v>
      </c>
      <c r="HZ121" t="e">
        <f>Nodes!H976+"'E4!&amp;wu"</f>
        <v>#VALUE!</v>
      </c>
      <c r="IA121" t="e">
        <f>Nodes!I976+"'E4!&amp;wv"</f>
        <v>#VALUE!</v>
      </c>
      <c r="IB121" t="e">
        <f>Nodes!J976+"'E4!&amp;ww"</f>
        <v>#VALUE!</v>
      </c>
      <c r="IC121" t="e">
        <f>Nodes!K976+"'E4!&amp;wx"</f>
        <v>#VALUE!</v>
      </c>
      <c r="ID121" t="e">
        <f>Nodes!L976+"'E4!&amp;wy"</f>
        <v>#VALUE!</v>
      </c>
      <c r="IE121" t="e">
        <f>Nodes!M976+"'E4!&amp;wz"</f>
        <v>#VALUE!</v>
      </c>
      <c r="IF121" t="e">
        <f>Nodes!N976+"'E4!&amp;w{"</f>
        <v>#VALUE!</v>
      </c>
      <c r="IG121" t="e">
        <f>Nodes!O976+"'E4!&amp;w|"</f>
        <v>#VALUE!</v>
      </c>
      <c r="IH121" t="e">
        <f>Nodes!P976+"'E4!&amp;w}"</f>
        <v>#VALUE!</v>
      </c>
      <c r="II121" t="e">
        <f>Nodes!Q976+"'E4!&amp;w~"</f>
        <v>#VALUE!</v>
      </c>
      <c r="IJ121" t="e">
        <f>Nodes!R976+"'E4!&amp;x#"</f>
        <v>#VALUE!</v>
      </c>
      <c r="IK121" t="e">
        <f>Nodes!S976+"'E4!&amp;x$"</f>
        <v>#VALUE!</v>
      </c>
      <c r="IL121" t="e">
        <f>Nodes!T976+"'E4!&amp;x%"</f>
        <v>#VALUE!</v>
      </c>
      <c r="IM121" t="e">
        <f>Nodes!U976+"'E4!&amp;x&amp;"</f>
        <v>#VALUE!</v>
      </c>
      <c r="IN121" t="e">
        <f>Nodes!V976+"'E4!&amp;x'"</f>
        <v>#VALUE!</v>
      </c>
      <c r="IO121" t="e">
        <f>Nodes!W976+"'E4!&amp;x("</f>
        <v>#VALUE!</v>
      </c>
      <c r="IP121" s="333" t="e">
        <f>Nodes!X976+"'E4!&amp;x)"</f>
        <v>#VALUE!</v>
      </c>
      <c r="IQ121" t="e">
        <f>Nodes!Y976+"'E4!&amp;x."</f>
        <v>#VALUE!</v>
      </c>
      <c r="IR121" t="e">
        <f>Nodes!Z976+"'E4!&amp;x/"</f>
        <v>#VALUE!</v>
      </c>
      <c r="IS121" t="e">
        <f>Nodes!AA976+"'E4!&amp;x0"</f>
        <v>#VALUE!</v>
      </c>
      <c r="IT121" t="e">
        <f>Nodes!AB976+"'E4!&amp;x1"</f>
        <v>#VALUE!</v>
      </c>
      <c r="IU121" t="e">
        <f>Nodes!AC976+"'E4!&amp;x2"</f>
        <v>#VALUE!</v>
      </c>
      <c r="IV121" t="e">
        <f>Nodes!A977+"'E4!&amp;x3"</f>
        <v>#VALUE!</v>
      </c>
    </row>
    <row r="122" spans="6:256">
      <c r="F122" t="e">
        <f>Nodes!B977+"'E4!&amp;x4"</f>
        <v>#VALUE!</v>
      </c>
      <c r="G122" t="e">
        <f>Nodes!C977+"'E4!&amp;x5"</f>
        <v>#VALUE!</v>
      </c>
      <c r="H122" t="e">
        <f>Nodes!D977+"'E4!&amp;x6"</f>
        <v>#VALUE!</v>
      </c>
      <c r="I122" t="e">
        <f>Nodes!E977+"'E4!&amp;x7"</f>
        <v>#VALUE!</v>
      </c>
      <c r="J122" t="e">
        <f>Nodes!F977+"'E4!&amp;x8"</f>
        <v>#VALUE!</v>
      </c>
      <c r="K122" t="e">
        <f>Nodes!G977+"'E4!&amp;x9"</f>
        <v>#VALUE!</v>
      </c>
      <c r="L122" t="e">
        <f>Nodes!H977+"'E4!&amp;x:"</f>
        <v>#VALUE!</v>
      </c>
      <c r="M122" t="e">
        <f>Nodes!I977+"'E4!&amp;x;"</f>
        <v>#VALUE!</v>
      </c>
      <c r="N122" t="e">
        <f>Nodes!J977+"'E4!&amp;x&lt;"</f>
        <v>#VALUE!</v>
      </c>
      <c r="O122" t="e">
        <f>Nodes!K977+"'E4!&amp;x="</f>
        <v>#VALUE!</v>
      </c>
      <c r="P122" t="e">
        <f>Nodes!L977+"'E4!&amp;x&gt;"</f>
        <v>#VALUE!</v>
      </c>
      <c r="Q122" t="e">
        <f>Nodes!M977+"'E4!&amp;x?"</f>
        <v>#VALUE!</v>
      </c>
      <c r="R122" t="e">
        <f>Nodes!N977+"'E4!&amp;x@"</f>
        <v>#VALUE!</v>
      </c>
      <c r="S122" t="e">
        <f>Nodes!O977+"'E4!&amp;xA"</f>
        <v>#VALUE!</v>
      </c>
      <c r="T122" t="e">
        <f>Nodes!P977+"'E4!&amp;xB"</f>
        <v>#VALUE!</v>
      </c>
      <c r="U122" t="e">
        <f>Nodes!Q977+"'E4!&amp;xC"</f>
        <v>#VALUE!</v>
      </c>
      <c r="V122" t="e">
        <f>Nodes!R977+"'E4!&amp;xD"</f>
        <v>#VALUE!</v>
      </c>
      <c r="W122" t="e">
        <f>Nodes!S977+"'E4!&amp;xE"</f>
        <v>#VALUE!</v>
      </c>
      <c r="X122" t="e">
        <f>Nodes!T977+"'E4!&amp;xF"</f>
        <v>#VALUE!</v>
      </c>
      <c r="Y122" t="e">
        <f>Nodes!U977+"'E4!&amp;xG"</f>
        <v>#VALUE!</v>
      </c>
      <c r="Z122" t="e">
        <f>Nodes!V977+"'E4!&amp;xH"</f>
        <v>#VALUE!</v>
      </c>
      <c r="AA122" t="e">
        <f>Nodes!W977+"'E4!&amp;xI"</f>
        <v>#VALUE!</v>
      </c>
      <c r="AB122" s="333" t="e">
        <f>Nodes!X977+"'E4!&amp;xJ"</f>
        <v>#VALUE!</v>
      </c>
      <c r="AC122" t="e">
        <f>Nodes!Y977+"'E4!&amp;xK"</f>
        <v>#VALUE!</v>
      </c>
      <c r="AD122" t="e">
        <f>Nodes!Z977+"'E4!&amp;xL"</f>
        <v>#VALUE!</v>
      </c>
      <c r="AE122" t="e">
        <f>Nodes!AA977+"'E4!&amp;xM"</f>
        <v>#VALUE!</v>
      </c>
      <c r="AF122" t="e">
        <f>Nodes!AB977+"'E4!&amp;xN"</f>
        <v>#VALUE!</v>
      </c>
      <c r="AG122" t="e">
        <f>Nodes!AC977+"'E4!&amp;xO"</f>
        <v>#VALUE!</v>
      </c>
      <c r="AH122" t="e">
        <f>Nodes!A978+"'E4!&amp;xP"</f>
        <v>#VALUE!</v>
      </c>
      <c r="AI122" t="e">
        <f>Nodes!B978+"'E4!&amp;xQ"</f>
        <v>#VALUE!</v>
      </c>
      <c r="AJ122" t="e">
        <f>Nodes!C978+"'E4!&amp;xR"</f>
        <v>#VALUE!</v>
      </c>
      <c r="AK122" t="e">
        <f>Nodes!D978+"'E4!&amp;xS"</f>
        <v>#VALUE!</v>
      </c>
      <c r="AL122" t="e">
        <f>Nodes!E978+"'E4!&amp;xT"</f>
        <v>#VALUE!</v>
      </c>
      <c r="AM122" t="e">
        <f>Nodes!F978+"'E4!&amp;xU"</f>
        <v>#VALUE!</v>
      </c>
      <c r="AN122" t="e">
        <f>Nodes!G978+"'E4!&amp;xV"</f>
        <v>#VALUE!</v>
      </c>
      <c r="AO122" t="e">
        <f>Nodes!H978+"'E4!&amp;xW"</f>
        <v>#VALUE!</v>
      </c>
      <c r="AP122" t="e">
        <f>Nodes!I978+"'E4!&amp;xX"</f>
        <v>#VALUE!</v>
      </c>
      <c r="AQ122" t="e">
        <f>Nodes!J978+"'E4!&amp;xY"</f>
        <v>#VALUE!</v>
      </c>
      <c r="AR122" t="e">
        <f>Nodes!K978+"'E4!&amp;xZ"</f>
        <v>#VALUE!</v>
      </c>
      <c r="AS122" t="e">
        <f>Nodes!L978+"'E4!&amp;x["</f>
        <v>#VALUE!</v>
      </c>
      <c r="AT122" t="e">
        <f>Nodes!M978+"'E4!&amp;x\"</f>
        <v>#VALUE!</v>
      </c>
      <c r="AU122" t="e">
        <f>Nodes!N978+"'E4!&amp;x]"</f>
        <v>#VALUE!</v>
      </c>
      <c r="AV122" t="e">
        <f>Nodes!O978+"'E4!&amp;x^"</f>
        <v>#VALUE!</v>
      </c>
      <c r="AW122" t="e">
        <f>Nodes!P978+"'E4!&amp;x_"</f>
        <v>#VALUE!</v>
      </c>
      <c r="AX122" t="e">
        <f>Nodes!Q978+"'E4!&amp;x`"</f>
        <v>#VALUE!</v>
      </c>
      <c r="AY122" t="e">
        <f>Nodes!R978+"'E4!&amp;xa"</f>
        <v>#VALUE!</v>
      </c>
      <c r="AZ122" t="e">
        <f>Nodes!S978+"'E4!&amp;xb"</f>
        <v>#VALUE!</v>
      </c>
      <c r="BA122" t="e">
        <f>Nodes!T978+"'E4!&amp;xc"</f>
        <v>#VALUE!</v>
      </c>
      <c r="BB122" t="e">
        <f>Nodes!U978+"'E4!&amp;xd"</f>
        <v>#VALUE!</v>
      </c>
      <c r="BC122" t="e">
        <f>Nodes!V978+"'E4!&amp;xe"</f>
        <v>#VALUE!</v>
      </c>
      <c r="BD122" t="e">
        <f>Nodes!W978+"'E4!&amp;xf"</f>
        <v>#VALUE!</v>
      </c>
      <c r="BE122" s="333" t="e">
        <f>Nodes!X978+"'E4!&amp;xg"</f>
        <v>#VALUE!</v>
      </c>
      <c r="BF122" t="e">
        <f>Nodes!Y978+"'E4!&amp;xh"</f>
        <v>#VALUE!</v>
      </c>
      <c r="BG122" t="e">
        <f>Nodes!Z978+"'E4!&amp;xi"</f>
        <v>#VALUE!</v>
      </c>
      <c r="BH122" t="e">
        <f>Nodes!AA978+"'E4!&amp;xj"</f>
        <v>#VALUE!</v>
      </c>
      <c r="BI122" t="e">
        <f>Nodes!AB978+"'E4!&amp;xk"</f>
        <v>#VALUE!</v>
      </c>
      <c r="BJ122" t="e">
        <f>Nodes!AC978+"'E4!&amp;xl"</f>
        <v>#VALUE!</v>
      </c>
      <c r="BK122" t="e">
        <f>Nodes!A979+"'E4!&amp;xm"</f>
        <v>#VALUE!</v>
      </c>
      <c r="BL122" t="e">
        <f>Nodes!B979+"'E4!&amp;xn"</f>
        <v>#VALUE!</v>
      </c>
      <c r="BM122" t="e">
        <f>Nodes!C979+"'E4!&amp;xo"</f>
        <v>#VALUE!</v>
      </c>
      <c r="BN122" t="e">
        <f>Nodes!D979+"'E4!&amp;xp"</f>
        <v>#VALUE!</v>
      </c>
      <c r="BO122" t="e">
        <f>Nodes!E979+"'E4!&amp;xq"</f>
        <v>#VALUE!</v>
      </c>
      <c r="BP122" t="e">
        <f>Nodes!F979+"'E4!&amp;xr"</f>
        <v>#VALUE!</v>
      </c>
      <c r="BQ122" t="e">
        <f>Nodes!G979+"'E4!&amp;xs"</f>
        <v>#VALUE!</v>
      </c>
      <c r="BR122" t="e">
        <f>Nodes!H979+"'E4!&amp;xt"</f>
        <v>#VALUE!</v>
      </c>
      <c r="BS122" t="e">
        <f>Nodes!I979+"'E4!&amp;xu"</f>
        <v>#VALUE!</v>
      </c>
      <c r="BT122" t="e">
        <f>Nodes!J979+"'E4!&amp;xv"</f>
        <v>#VALUE!</v>
      </c>
      <c r="BU122" t="e">
        <f>Nodes!K979+"'E4!&amp;xw"</f>
        <v>#VALUE!</v>
      </c>
      <c r="BV122" t="e">
        <f>Nodes!L979+"'E4!&amp;xx"</f>
        <v>#VALUE!</v>
      </c>
      <c r="BW122" t="e">
        <f>Nodes!M979+"'E4!&amp;xy"</f>
        <v>#VALUE!</v>
      </c>
      <c r="BX122" t="e">
        <f>Nodes!N979+"'E4!&amp;xz"</f>
        <v>#VALUE!</v>
      </c>
      <c r="BY122" t="e">
        <f>Nodes!O979+"'E4!&amp;x{"</f>
        <v>#VALUE!</v>
      </c>
      <c r="BZ122" t="e">
        <f>Nodes!P979+"'E4!&amp;x|"</f>
        <v>#VALUE!</v>
      </c>
      <c r="CA122" t="e">
        <f>Nodes!Q979+"'E4!&amp;x}"</f>
        <v>#VALUE!</v>
      </c>
      <c r="CB122" t="e">
        <f>Nodes!R979+"'E4!&amp;x~"</f>
        <v>#VALUE!</v>
      </c>
      <c r="CC122" t="e">
        <f>Nodes!S979+"'E4!&amp;y#"</f>
        <v>#VALUE!</v>
      </c>
      <c r="CD122" t="e">
        <f>Nodes!T979+"'E4!&amp;y$"</f>
        <v>#VALUE!</v>
      </c>
      <c r="CE122" t="e">
        <f>Nodes!U979+"'E4!&amp;y%"</f>
        <v>#VALUE!</v>
      </c>
      <c r="CF122" t="e">
        <f>Nodes!V979+"'E4!&amp;y&amp;"</f>
        <v>#VALUE!</v>
      </c>
      <c r="CG122" t="e">
        <f>Nodes!W979+"'E4!&amp;y'"</f>
        <v>#VALUE!</v>
      </c>
      <c r="CH122" s="333" t="e">
        <f>Nodes!X979+"'E4!&amp;y("</f>
        <v>#VALUE!</v>
      </c>
      <c r="CI122" t="e">
        <f>Nodes!Y979+"'E4!&amp;y)"</f>
        <v>#VALUE!</v>
      </c>
      <c r="CJ122" t="e">
        <f>Nodes!Z979+"'E4!&amp;y."</f>
        <v>#VALUE!</v>
      </c>
      <c r="CK122" t="e">
        <f>Nodes!AA979+"'E4!&amp;y/"</f>
        <v>#VALUE!</v>
      </c>
      <c r="CL122" t="e">
        <f>Nodes!AB979+"'E4!&amp;y0"</f>
        <v>#VALUE!</v>
      </c>
      <c r="CM122" t="e">
        <f>Nodes!AC979+"'E4!&amp;y1"</f>
        <v>#VALUE!</v>
      </c>
      <c r="CN122" t="e">
        <f>Nodes!A980+"'E4!&amp;y2"</f>
        <v>#VALUE!</v>
      </c>
      <c r="CO122" t="e">
        <f>Nodes!B980+"'E4!&amp;y3"</f>
        <v>#VALUE!</v>
      </c>
      <c r="CP122" t="e">
        <f>Nodes!C980+"'E4!&amp;y4"</f>
        <v>#VALUE!</v>
      </c>
      <c r="CQ122" t="e">
        <f>Nodes!D980+"'E4!&amp;y5"</f>
        <v>#VALUE!</v>
      </c>
      <c r="CR122" t="e">
        <f>Nodes!E980+"'E4!&amp;y6"</f>
        <v>#VALUE!</v>
      </c>
      <c r="CS122" t="e">
        <f>Nodes!F980+"'E4!&amp;y7"</f>
        <v>#VALUE!</v>
      </c>
      <c r="CT122" t="e">
        <f>Nodes!G980+"'E4!&amp;y8"</f>
        <v>#VALUE!</v>
      </c>
      <c r="CU122" t="e">
        <f>Nodes!H980+"'E4!&amp;y9"</f>
        <v>#VALUE!</v>
      </c>
      <c r="CV122" t="e">
        <f>Nodes!I980+"'E4!&amp;y:"</f>
        <v>#VALUE!</v>
      </c>
      <c r="CW122" t="e">
        <f>Nodes!J980+"'E4!&amp;y;"</f>
        <v>#VALUE!</v>
      </c>
      <c r="CX122" t="e">
        <f>Nodes!K980+"'E4!&amp;y&lt;"</f>
        <v>#VALUE!</v>
      </c>
      <c r="CY122" t="e">
        <f>Nodes!L980+"'E4!&amp;y="</f>
        <v>#VALUE!</v>
      </c>
      <c r="CZ122" t="e">
        <f>Nodes!M980+"'E4!&amp;y&gt;"</f>
        <v>#VALUE!</v>
      </c>
      <c r="DA122" t="e">
        <f>Nodes!N980+"'E4!&amp;y?"</f>
        <v>#VALUE!</v>
      </c>
      <c r="DB122" t="e">
        <f>Nodes!O980+"'E4!&amp;y@"</f>
        <v>#VALUE!</v>
      </c>
      <c r="DC122" t="e">
        <f>Nodes!P980+"'E4!&amp;yA"</f>
        <v>#VALUE!</v>
      </c>
      <c r="DD122" t="e">
        <f>Nodes!Q980+"'E4!&amp;yB"</f>
        <v>#VALUE!</v>
      </c>
      <c r="DE122" t="e">
        <f>Nodes!R980+"'E4!&amp;yC"</f>
        <v>#VALUE!</v>
      </c>
      <c r="DF122" t="e">
        <f>Nodes!S980+"'E4!&amp;yD"</f>
        <v>#VALUE!</v>
      </c>
      <c r="DG122" t="e">
        <f>Nodes!T980+"'E4!&amp;yE"</f>
        <v>#VALUE!</v>
      </c>
      <c r="DH122" t="e">
        <f>Nodes!U980+"'E4!&amp;yF"</f>
        <v>#VALUE!</v>
      </c>
      <c r="DI122" t="e">
        <f>Nodes!V980+"'E4!&amp;yG"</f>
        <v>#VALUE!</v>
      </c>
      <c r="DJ122" t="e">
        <f>Nodes!W980+"'E4!&amp;yH"</f>
        <v>#VALUE!</v>
      </c>
      <c r="DK122" s="333" t="e">
        <f>Nodes!X980+"'E4!&amp;yI"</f>
        <v>#VALUE!</v>
      </c>
      <c r="DL122" t="e">
        <f>Nodes!Y980+"'E4!&amp;yJ"</f>
        <v>#VALUE!</v>
      </c>
      <c r="DM122" t="e">
        <f>Nodes!Z980+"'E4!&amp;yK"</f>
        <v>#VALUE!</v>
      </c>
      <c r="DN122" t="e">
        <f>Nodes!AA980+"'E4!&amp;yL"</f>
        <v>#VALUE!</v>
      </c>
      <c r="DO122" t="e">
        <f>Nodes!AB980+"'E4!&amp;yM"</f>
        <v>#VALUE!</v>
      </c>
      <c r="DP122" t="e">
        <f>Nodes!AC980+"'E4!&amp;yN"</f>
        <v>#VALUE!</v>
      </c>
      <c r="DQ122" t="e">
        <f>Nodes!A981+"'E4!&amp;yO"</f>
        <v>#VALUE!</v>
      </c>
      <c r="DR122" t="e">
        <f>Nodes!B981+"'E4!&amp;yP"</f>
        <v>#VALUE!</v>
      </c>
      <c r="DS122" t="e">
        <f>Nodes!C981+"'E4!&amp;yQ"</f>
        <v>#VALUE!</v>
      </c>
      <c r="DT122" t="e">
        <f>Nodes!D981+"'E4!&amp;yR"</f>
        <v>#VALUE!</v>
      </c>
      <c r="DU122" t="e">
        <f>Nodes!E981+"'E4!&amp;yS"</f>
        <v>#VALUE!</v>
      </c>
      <c r="DV122" t="e">
        <f>Nodes!F981+"'E4!&amp;yT"</f>
        <v>#VALUE!</v>
      </c>
      <c r="DW122" t="e">
        <f>Nodes!G981+"'E4!&amp;yU"</f>
        <v>#VALUE!</v>
      </c>
      <c r="DX122" t="e">
        <f>Nodes!H981+"'E4!&amp;yV"</f>
        <v>#VALUE!</v>
      </c>
      <c r="DY122" t="e">
        <f>Nodes!I981+"'E4!&amp;yW"</f>
        <v>#VALUE!</v>
      </c>
      <c r="DZ122" t="e">
        <f>Nodes!J981+"'E4!&amp;yX"</f>
        <v>#VALUE!</v>
      </c>
      <c r="EA122" t="e">
        <f>Nodes!K981+"'E4!&amp;yY"</f>
        <v>#VALUE!</v>
      </c>
      <c r="EB122" t="e">
        <f>Nodes!L981+"'E4!&amp;yZ"</f>
        <v>#VALUE!</v>
      </c>
      <c r="EC122" t="e">
        <f>Nodes!M981+"'E4!&amp;y["</f>
        <v>#VALUE!</v>
      </c>
      <c r="ED122" t="e">
        <f>Nodes!N981+"'E4!&amp;y\"</f>
        <v>#VALUE!</v>
      </c>
      <c r="EE122" t="e">
        <f>Nodes!O981+"'E4!&amp;y]"</f>
        <v>#VALUE!</v>
      </c>
      <c r="EF122" t="e">
        <f>Nodes!P981+"'E4!&amp;y^"</f>
        <v>#VALUE!</v>
      </c>
      <c r="EG122" t="e">
        <f>Nodes!Q981+"'E4!&amp;y_"</f>
        <v>#VALUE!</v>
      </c>
      <c r="EH122" t="e">
        <f>Nodes!R981+"'E4!&amp;y`"</f>
        <v>#VALUE!</v>
      </c>
      <c r="EI122" t="e">
        <f>Nodes!S981+"'E4!&amp;ya"</f>
        <v>#VALUE!</v>
      </c>
      <c r="EJ122" t="e">
        <f>Nodes!T981+"'E4!&amp;yb"</f>
        <v>#VALUE!</v>
      </c>
      <c r="EK122" t="e">
        <f>Nodes!U981+"'E4!&amp;yc"</f>
        <v>#VALUE!</v>
      </c>
      <c r="EL122" t="e">
        <f>Nodes!V981+"'E4!&amp;yd"</f>
        <v>#VALUE!</v>
      </c>
      <c r="EM122" t="e">
        <f>Nodes!W981+"'E4!&amp;ye"</f>
        <v>#VALUE!</v>
      </c>
      <c r="EN122" s="333" t="e">
        <f>Nodes!X981+"'E4!&amp;yf"</f>
        <v>#VALUE!</v>
      </c>
      <c r="EO122" t="e">
        <f>Nodes!Y981+"'E4!&amp;yg"</f>
        <v>#VALUE!</v>
      </c>
      <c r="EP122" t="e">
        <f>Nodes!Z981+"'E4!&amp;yh"</f>
        <v>#VALUE!</v>
      </c>
      <c r="EQ122" t="e">
        <f>Nodes!AA981+"'E4!&amp;yi"</f>
        <v>#VALUE!</v>
      </c>
      <c r="ER122" t="e">
        <f>Nodes!AB981+"'E4!&amp;yj"</f>
        <v>#VALUE!</v>
      </c>
      <c r="ES122" t="e">
        <f>Nodes!AC981+"'E4!&amp;yk"</f>
        <v>#VALUE!</v>
      </c>
      <c r="ET122" t="e">
        <f>Nodes!A982+"'E4!&amp;yl"</f>
        <v>#VALUE!</v>
      </c>
      <c r="EU122" t="e">
        <f>Nodes!B982+"'E4!&amp;ym"</f>
        <v>#VALUE!</v>
      </c>
      <c r="EV122" t="e">
        <f>Nodes!C982+"'E4!&amp;yn"</f>
        <v>#VALUE!</v>
      </c>
      <c r="EW122" t="e">
        <f>Nodes!D982+"'E4!&amp;yo"</f>
        <v>#VALUE!</v>
      </c>
      <c r="EX122" t="e">
        <f>Nodes!E982+"'E4!&amp;yp"</f>
        <v>#VALUE!</v>
      </c>
      <c r="EY122" t="e">
        <f>Nodes!F982+"'E4!&amp;yq"</f>
        <v>#VALUE!</v>
      </c>
      <c r="EZ122" t="e">
        <f>Nodes!G982+"'E4!&amp;yr"</f>
        <v>#VALUE!</v>
      </c>
      <c r="FA122" t="e">
        <f>Nodes!H982+"'E4!&amp;ys"</f>
        <v>#VALUE!</v>
      </c>
      <c r="FB122" t="e">
        <f>Nodes!I982+"'E4!&amp;yt"</f>
        <v>#VALUE!</v>
      </c>
      <c r="FC122" t="e">
        <f>Nodes!J982+"'E4!&amp;yu"</f>
        <v>#VALUE!</v>
      </c>
      <c r="FD122" t="e">
        <f>Nodes!K982+"'E4!&amp;yv"</f>
        <v>#VALUE!</v>
      </c>
      <c r="FE122" t="e">
        <f>Nodes!L982+"'E4!&amp;yw"</f>
        <v>#VALUE!</v>
      </c>
      <c r="FF122" t="e">
        <f>Nodes!M982+"'E4!&amp;yx"</f>
        <v>#VALUE!</v>
      </c>
      <c r="FG122" t="e">
        <f>Nodes!N982+"'E4!&amp;yy"</f>
        <v>#VALUE!</v>
      </c>
      <c r="FH122" t="e">
        <f>Nodes!O982+"'E4!&amp;yz"</f>
        <v>#VALUE!</v>
      </c>
      <c r="FI122" t="e">
        <f>Nodes!P982+"'E4!&amp;y{"</f>
        <v>#VALUE!</v>
      </c>
      <c r="FJ122" t="e">
        <f>Nodes!Q982+"'E4!&amp;y|"</f>
        <v>#VALUE!</v>
      </c>
      <c r="FK122" t="e">
        <f>Nodes!R982+"'E4!&amp;y}"</f>
        <v>#VALUE!</v>
      </c>
      <c r="FL122" t="e">
        <f>Nodes!S982+"'E4!&amp;y~"</f>
        <v>#VALUE!</v>
      </c>
      <c r="FM122" t="e">
        <f>Nodes!T982+"'E4!&amp;z#"</f>
        <v>#VALUE!</v>
      </c>
      <c r="FN122" t="e">
        <f>Nodes!U982+"'E4!&amp;z$"</f>
        <v>#VALUE!</v>
      </c>
      <c r="FO122" t="e">
        <f>Nodes!V982+"'E4!&amp;z%"</f>
        <v>#VALUE!</v>
      </c>
      <c r="FP122" t="e">
        <f>Nodes!W982+"'E4!&amp;z&amp;"</f>
        <v>#VALUE!</v>
      </c>
      <c r="FQ122" s="333" t="e">
        <f>Nodes!X982+"'E4!&amp;z'"</f>
        <v>#VALUE!</v>
      </c>
      <c r="FR122" t="e">
        <f>Nodes!Y982+"'E4!&amp;z("</f>
        <v>#VALUE!</v>
      </c>
      <c r="FS122" t="e">
        <f>Nodes!Z982+"'E4!&amp;z)"</f>
        <v>#VALUE!</v>
      </c>
      <c r="FT122" t="e">
        <f>Nodes!AA982+"'E4!&amp;z."</f>
        <v>#VALUE!</v>
      </c>
      <c r="FU122" t="e">
        <f>Nodes!AB982+"'E4!&amp;z/"</f>
        <v>#VALUE!</v>
      </c>
      <c r="FV122" t="e">
        <f>Nodes!AC982+"'E4!&amp;z0"</f>
        <v>#VALUE!</v>
      </c>
      <c r="FW122" t="e">
        <f>Nodes!A983+"'E4!&amp;z1"</f>
        <v>#VALUE!</v>
      </c>
      <c r="FX122" t="e">
        <f>Nodes!B983+"'E4!&amp;z2"</f>
        <v>#VALUE!</v>
      </c>
      <c r="FY122" t="e">
        <f>Nodes!C983+"'E4!&amp;z3"</f>
        <v>#VALUE!</v>
      </c>
      <c r="FZ122" t="e">
        <f>Nodes!D983+"'E4!&amp;z4"</f>
        <v>#VALUE!</v>
      </c>
      <c r="GA122" t="e">
        <f>Nodes!E983+"'E4!&amp;z5"</f>
        <v>#VALUE!</v>
      </c>
      <c r="GB122" t="e">
        <f>Nodes!F983+"'E4!&amp;z6"</f>
        <v>#VALUE!</v>
      </c>
      <c r="GC122" t="e">
        <f>Nodes!G983+"'E4!&amp;z7"</f>
        <v>#VALUE!</v>
      </c>
      <c r="GD122" t="e">
        <f>Nodes!H983+"'E4!&amp;z8"</f>
        <v>#VALUE!</v>
      </c>
      <c r="GE122" t="e">
        <f>Nodes!I983+"'E4!&amp;z9"</f>
        <v>#VALUE!</v>
      </c>
      <c r="GF122" t="e">
        <f>Nodes!J983+"'E4!&amp;z:"</f>
        <v>#VALUE!</v>
      </c>
      <c r="GG122" t="e">
        <f>Nodes!K983+"'E4!&amp;z;"</f>
        <v>#VALUE!</v>
      </c>
      <c r="GH122" t="e">
        <f>Nodes!L983+"'E4!&amp;z&lt;"</f>
        <v>#VALUE!</v>
      </c>
      <c r="GI122" t="e">
        <f>Nodes!M983+"'E4!&amp;z="</f>
        <v>#VALUE!</v>
      </c>
      <c r="GJ122" t="e">
        <f>Nodes!N983+"'E4!&amp;z&gt;"</f>
        <v>#VALUE!</v>
      </c>
      <c r="GK122" t="e">
        <f>Nodes!O983+"'E4!&amp;z?"</f>
        <v>#VALUE!</v>
      </c>
      <c r="GL122" t="e">
        <f>Nodes!P983+"'E4!&amp;z@"</f>
        <v>#VALUE!</v>
      </c>
      <c r="GM122" t="e">
        <f>Nodes!Q983+"'E4!&amp;zA"</f>
        <v>#VALUE!</v>
      </c>
      <c r="GN122" t="e">
        <f>Nodes!R983+"'E4!&amp;zB"</f>
        <v>#VALUE!</v>
      </c>
      <c r="GO122" t="e">
        <f>Nodes!S983+"'E4!&amp;zC"</f>
        <v>#VALUE!</v>
      </c>
      <c r="GP122" t="e">
        <f>Nodes!T983+"'E4!&amp;zD"</f>
        <v>#VALUE!</v>
      </c>
      <c r="GQ122" t="e">
        <f>Nodes!U983+"'E4!&amp;zE"</f>
        <v>#VALUE!</v>
      </c>
      <c r="GR122" t="e">
        <f>Nodes!V983+"'E4!&amp;zF"</f>
        <v>#VALUE!</v>
      </c>
      <c r="GS122" t="e">
        <f>Nodes!W983+"'E4!&amp;zG"</f>
        <v>#VALUE!</v>
      </c>
      <c r="GT122" s="333" t="e">
        <f>Nodes!X983+"'E4!&amp;zH"</f>
        <v>#VALUE!</v>
      </c>
      <c r="GU122" t="e">
        <f>Nodes!Y983+"'E4!&amp;zI"</f>
        <v>#VALUE!</v>
      </c>
      <c r="GV122" t="e">
        <f>Nodes!Z983+"'E4!&amp;zJ"</f>
        <v>#VALUE!</v>
      </c>
      <c r="GW122" t="e">
        <f>Nodes!AA983+"'E4!&amp;zK"</f>
        <v>#VALUE!</v>
      </c>
      <c r="GX122" t="e">
        <f>Nodes!AB983+"'E4!&amp;zL"</f>
        <v>#VALUE!</v>
      </c>
      <c r="GY122" t="e">
        <f>Nodes!AC983+"'E4!&amp;zM"</f>
        <v>#VALUE!</v>
      </c>
      <c r="GZ122" t="e">
        <f>Nodes!A984+"'E4!&amp;zN"</f>
        <v>#VALUE!</v>
      </c>
      <c r="HA122" t="e">
        <f>Nodes!B984+"'E4!&amp;zO"</f>
        <v>#VALUE!</v>
      </c>
      <c r="HB122" t="e">
        <f>Nodes!C984+"'E4!&amp;zP"</f>
        <v>#VALUE!</v>
      </c>
      <c r="HC122" t="e">
        <f>Nodes!D984+"'E4!&amp;zQ"</f>
        <v>#VALUE!</v>
      </c>
      <c r="HD122" t="e">
        <f>Nodes!E984+"'E4!&amp;zR"</f>
        <v>#VALUE!</v>
      </c>
      <c r="HE122" t="e">
        <f>Nodes!F984+"'E4!&amp;zS"</f>
        <v>#VALUE!</v>
      </c>
      <c r="HF122" t="e">
        <f>Nodes!G984+"'E4!&amp;zT"</f>
        <v>#VALUE!</v>
      </c>
      <c r="HG122" t="e">
        <f>Nodes!H984+"'E4!&amp;zU"</f>
        <v>#VALUE!</v>
      </c>
      <c r="HH122" t="e">
        <f>Nodes!I984+"'E4!&amp;zV"</f>
        <v>#VALUE!</v>
      </c>
      <c r="HI122" t="e">
        <f>Nodes!J984+"'E4!&amp;zW"</f>
        <v>#VALUE!</v>
      </c>
      <c r="HJ122" t="e">
        <f>Nodes!K984+"'E4!&amp;zX"</f>
        <v>#VALUE!</v>
      </c>
      <c r="HK122" t="e">
        <f>Nodes!L984+"'E4!&amp;zY"</f>
        <v>#VALUE!</v>
      </c>
      <c r="HL122" t="e">
        <f>Nodes!M984+"'E4!&amp;zZ"</f>
        <v>#VALUE!</v>
      </c>
      <c r="HM122" t="e">
        <f>Nodes!N984+"'E4!&amp;z["</f>
        <v>#VALUE!</v>
      </c>
      <c r="HN122" t="e">
        <f>Nodes!O984+"'E4!&amp;z\"</f>
        <v>#VALUE!</v>
      </c>
      <c r="HO122" t="e">
        <f>Nodes!P984+"'E4!&amp;z]"</f>
        <v>#VALUE!</v>
      </c>
      <c r="HP122" t="e">
        <f>Nodes!Q984+"'E4!&amp;z^"</f>
        <v>#VALUE!</v>
      </c>
      <c r="HQ122" t="e">
        <f>Nodes!R984+"'E4!&amp;z_"</f>
        <v>#VALUE!</v>
      </c>
      <c r="HR122" t="e">
        <f>Nodes!S984+"'E4!&amp;z`"</f>
        <v>#VALUE!</v>
      </c>
      <c r="HS122" t="e">
        <f>Nodes!T984+"'E4!&amp;za"</f>
        <v>#VALUE!</v>
      </c>
      <c r="HT122" t="e">
        <f>Nodes!U984+"'E4!&amp;zb"</f>
        <v>#VALUE!</v>
      </c>
      <c r="HU122" t="e">
        <f>Nodes!V984+"'E4!&amp;zc"</f>
        <v>#VALUE!</v>
      </c>
      <c r="HV122" t="e">
        <f>Nodes!W984+"'E4!&amp;zd"</f>
        <v>#VALUE!</v>
      </c>
      <c r="HW122" s="333" t="e">
        <f>Nodes!X984+"'E4!&amp;ze"</f>
        <v>#VALUE!</v>
      </c>
      <c r="HX122" t="e">
        <f>Nodes!Y984+"'E4!&amp;zf"</f>
        <v>#VALUE!</v>
      </c>
      <c r="HY122" t="e">
        <f>Nodes!Z984+"'E4!&amp;zg"</f>
        <v>#VALUE!</v>
      </c>
      <c r="HZ122" t="e">
        <f>Nodes!AA984+"'E4!&amp;zh"</f>
        <v>#VALUE!</v>
      </c>
      <c r="IA122" t="e">
        <f>Nodes!AB984+"'E4!&amp;zi"</f>
        <v>#VALUE!</v>
      </c>
      <c r="IB122" t="e">
        <f>Nodes!AC984+"'E4!&amp;zj"</f>
        <v>#VALUE!</v>
      </c>
      <c r="IC122" t="e">
        <f>Nodes!A985+"'E4!&amp;zk"</f>
        <v>#VALUE!</v>
      </c>
      <c r="ID122" t="e">
        <f>Nodes!B985+"'E4!&amp;zl"</f>
        <v>#VALUE!</v>
      </c>
      <c r="IE122" t="e">
        <f>Nodes!C985+"'E4!&amp;zm"</f>
        <v>#VALUE!</v>
      </c>
      <c r="IF122" t="e">
        <f>Nodes!D985+"'E4!&amp;zn"</f>
        <v>#VALUE!</v>
      </c>
      <c r="IG122" t="e">
        <f>Nodes!E985+"'E4!&amp;zo"</f>
        <v>#VALUE!</v>
      </c>
      <c r="IH122" t="e">
        <f>Nodes!F985+"'E4!&amp;zp"</f>
        <v>#VALUE!</v>
      </c>
      <c r="II122" t="e">
        <f>Nodes!G985+"'E4!&amp;zq"</f>
        <v>#VALUE!</v>
      </c>
      <c r="IJ122" t="e">
        <f>Nodes!H985+"'E4!&amp;zr"</f>
        <v>#VALUE!</v>
      </c>
      <c r="IK122" t="e">
        <f>Nodes!I985+"'E4!&amp;zs"</f>
        <v>#VALUE!</v>
      </c>
      <c r="IL122" t="e">
        <f>Nodes!J985+"'E4!&amp;zt"</f>
        <v>#VALUE!</v>
      </c>
      <c r="IM122" t="e">
        <f>Nodes!K985+"'E4!&amp;zu"</f>
        <v>#VALUE!</v>
      </c>
      <c r="IN122" t="e">
        <f>Nodes!L985+"'E4!&amp;zv"</f>
        <v>#VALUE!</v>
      </c>
      <c r="IO122" t="e">
        <f>Nodes!M985+"'E4!&amp;zw"</f>
        <v>#VALUE!</v>
      </c>
      <c r="IP122" t="e">
        <f>Nodes!N985+"'E4!&amp;zx"</f>
        <v>#VALUE!</v>
      </c>
      <c r="IQ122" t="e">
        <f>Nodes!O985+"'E4!&amp;zy"</f>
        <v>#VALUE!</v>
      </c>
      <c r="IR122" t="e">
        <f>Nodes!P985+"'E4!&amp;zz"</f>
        <v>#VALUE!</v>
      </c>
      <c r="IS122" t="e">
        <f>Nodes!Q985+"'E4!&amp;z{"</f>
        <v>#VALUE!</v>
      </c>
      <c r="IT122" t="e">
        <f>Nodes!R985+"'E4!&amp;z|"</f>
        <v>#VALUE!</v>
      </c>
      <c r="IU122" t="e">
        <f>Nodes!S985+"'E4!&amp;z}"</f>
        <v>#VALUE!</v>
      </c>
      <c r="IV122" t="e">
        <f>Nodes!T985+"'E4!&amp;z~"</f>
        <v>#VALUE!</v>
      </c>
    </row>
    <row r="123" spans="6:256">
      <c r="F123" t="e">
        <f>Nodes!U985+"'E4!&amp;{#"</f>
        <v>#VALUE!</v>
      </c>
      <c r="G123" t="e">
        <f>Nodes!V985+"'E4!&amp;{$"</f>
        <v>#VALUE!</v>
      </c>
      <c r="H123" t="e">
        <f>Nodes!W985+"'E4!&amp;{%"</f>
        <v>#VALUE!</v>
      </c>
      <c r="I123" s="333" t="e">
        <f>Nodes!X985+"'E4!&amp;{&amp;"</f>
        <v>#VALUE!</v>
      </c>
      <c r="J123" t="e">
        <f>Nodes!Y985+"'E4!&amp;{'"</f>
        <v>#VALUE!</v>
      </c>
      <c r="K123" t="e">
        <f>Nodes!Z985+"'E4!&amp;{("</f>
        <v>#VALUE!</v>
      </c>
      <c r="L123" t="e">
        <f>Nodes!AA985+"'E4!&amp;{)"</f>
        <v>#VALUE!</v>
      </c>
      <c r="M123" t="e">
        <f>Nodes!AB985+"'E4!&amp;{."</f>
        <v>#VALUE!</v>
      </c>
      <c r="N123" t="e">
        <f>Nodes!AC985+"'E4!&amp;{/"</f>
        <v>#VALUE!</v>
      </c>
      <c r="O123" t="e">
        <f>Nodes!A986+"'E4!&amp;{0"</f>
        <v>#VALUE!</v>
      </c>
      <c r="P123" t="e">
        <f>Nodes!B986+"'E4!&amp;{1"</f>
        <v>#VALUE!</v>
      </c>
      <c r="Q123" t="e">
        <f>Nodes!C986+"'E4!&amp;{2"</f>
        <v>#VALUE!</v>
      </c>
      <c r="R123" t="e">
        <f>Nodes!D986+"'E4!&amp;{3"</f>
        <v>#VALUE!</v>
      </c>
      <c r="S123" t="e">
        <f>Nodes!E986+"'E4!&amp;{4"</f>
        <v>#VALUE!</v>
      </c>
      <c r="T123" t="e">
        <f>Nodes!F986+"'E4!&amp;{5"</f>
        <v>#VALUE!</v>
      </c>
      <c r="U123" t="e">
        <f>Nodes!G986+"'E4!&amp;{6"</f>
        <v>#VALUE!</v>
      </c>
      <c r="V123" t="e">
        <f>Nodes!H986+"'E4!&amp;{7"</f>
        <v>#VALUE!</v>
      </c>
      <c r="W123" t="e">
        <f>Nodes!I986+"'E4!&amp;{8"</f>
        <v>#VALUE!</v>
      </c>
      <c r="X123" t="e">
        <f>Nodes!J986+"'E4!&amp;{9"</f>
        <v>#VALUE!</v>
      </c>
      <c r="Y123" t="e">
        <f>Nodes!K986+"'E4!&amp;{:"</f>
        <v>#VALUE!</v>
      </c>
      <c r="Z123" t="e">
        <f>Nodes!L986+"'E4!&amp;{;"</f>
        <v>#VALUE!</v>
      </c>
      <c r="AA123" t="e">
        <f>Nodes!M986+"'E4!&amp;{&lt;"</f>
        <v>#VALUE!</v>
      </c>
      <c r="AB123" t="e">
        <f>Nodes!N986+"'E4!&amp;{="</f>
        <v>#VALUE!</v>
      </c>
      <c r="AC123" t="e">
        <f>Nodes!O986+"'E4!&amp;{&gt;"</f>
        <v>#VALUE!</v>
      </c>
      <c r="AD123" t="e">
        <f>Nodes!P986+"'E4!&amp;{?"</f>
        <v>#VALUE!</v>
      </c>
      <c r="AE123" t="e">
        <f>Nodes!Q986+"'E4!&amp;{@"</f>
        <v>#VALUE!</v>
      </c>
      <c r="AF123" t="e">
        <f>Nodes!R986+"'E4!&amp;{A"</f>
        <v>#VALUE!</v>
      </c>
      <c r="AG123" t="e">
        <f>Nodes!S986+"'E4!&amp;{B"</f>
        <v>#VALUE!</v>
      </c>
      <c r="AH123" t="e">
        <f>Nodes!T986+"'E4!&amp;{C"</f>
        <v>#VALUE!</v>
      </c>
      <c r="AI123" t="e">
        <f>Nodes!U986+"'E4!&amp;{D"</f>
        <v>#VALUE!</v>
      </c>
      <c r="AJ123" t="e">
        <f>Nodes!V986+"'E4!&amp;{E"</f>
        <v>#VALUE!</v>
      </c>
      <c r="AK123" t="e">
        <f>Nodes!W986+"'E4!&amp;{F"</f>
        <v>#VALUE!</v>
      </c>
      <c r="AL123" s="333" t="e">
        <f>Nodes!X986+"'E4!&amp;{G"</f>
        <v>#VALUE!</v>
      </c>
      <c r="AM123" t="e">
        <f>Nodes!Y986+"'E4!&amp;{H"</f>
        <v>#VALUE!</v>
      </c>
      <c r="AN123" t="e">
        <f>Nodes!Z986+"'E4!&amp;{I"</f>
        <v>#VALUE!</v>
      </c>
      <c r="AO123" t="e">
        <f>Nodes!AA986+"'E4!&amp;{J"</f>
        <v>#VALUE!</v>
      </c>
      <c r="AP123" t="e">
        <f>Nodes!AB986+"'E4!&amp;{K"</f>
        <v>#VALUE!</v>
      </c>
      <c r="AQ123" t="e">
        <f>Nodes!AC986+"'E4!&amp;{L"</f>
        <v>#VALUE!</v>
      </c>
      <c r="AR123" t="e">
        <f>Nodes!A987+"'E4!&amp;{M"</f>
        <v>#VALUE!</v>
      </c>
      <c r="AS123" t="e">
        <f>Nodes!B987+"'E4!&amp;{N"</f>
        <v>#VALUE!</v>
      </c>
      <c r="AT123" t="e">
        <f>Nodes!C987+"'E4!&amp;{O"</f>
        <v>#VALUE!</v>
      </c>
      <c r="AU123" t="e">
        <f>Nodes!D987+"'E4!&amp;{P"</f>
        <v>#VALUE!</v>
      </c>
      <c r="AV123" t="e">
        <f>Nodes!E987+"'E4!&amp;{Q"</f>
        <v>#VALUE!</v>
      </c>
      <c r="AW123" t="e">
        <f>Nodes!F987+"'E4!&amp;{R"</f>
        <v>#VALUE!</v>
      </c>
      <c r="AX123" t="e">
        <f>Nodes!G987+"'E4!&amp;{S"</f>
        <v>#VALUE!</v>
      </c>
      <c r="AY123" t="e">
        <f>Nodes!H987+"'E4!&amp;{T"</f>
        <v>#VALUE!</v>
      </c>
      <c r="AZ123" t="e">
        <f>Nodes!I987+"'E4!&amp;{U"</f>
        <v>#VALUE!</v>
      </c>
      <c r="BA123" t="e">
        <f>Nodes!J987+"'E4!&amp;{V"</f>
        <v>#VALUE!</v>
      </c>
      <c r="BB123" t="e">
        <f>Nodes!K987+"'E4!&amp;{W"</f>
        <v>#VALUE!</v>
      </c>
      <c r="BC123" t="e">
        <f>Nodes!L987+"'E4!&amp;{X"</f>
        <v>#VALUE!</v>
      </c>
      <c r="BD123" t="e">
        <f>Nodes!M987+"'E4!&amp;{Y"</f>
        <v>#VALUE!</v>
      </c>
      <c r="BE123" t="e">
        <f>Nodes!N987+"'E4!&amp;{Z"</f>
        <v>#VALUE!</v>
      </c>
      <c r="BF123" t="e">
        <f>Nodes!O987+"'E4!&amp;{["</f>
        <v>#VALUE!</v>
      </c>
      <c r="BG123" t="e">
        <f>Nodes!P987+"'E4!&amp;{\"</f>
        <v>#VALUE!</v>
      </c>
      <c r="BH123" t="e">
        <f>Nodes!Q987+"'E4!&amp;{]"</f>
        <v>#VALUE!</v>
      </c>
      <c r="BI123" t="e">
        <f>Nodes!R987+"'E4!&amp;{^"</f>
        <v>#VALUE!</v>
      </c>
      <c r="BJ123" t="e">
        <f>Nodes!S987+"'E4!&amp;{_"</f>
        <v>#VALUE!</v>
      </c>
      <c r="BK123" t="e">
        <f>Nodes!T987+"'E4!&amp;{`"</f>
        <v>#VALUE!</v>
      </c>
      <c r="BL123" t="e">
        <f>Nodes!U987+"'E4!&amp;{a"</f>
        <v>#VALUE!</v>
      </c>
      <c r="BM123" t="e">
        <f>Nodes!V987+"'E4!&amp;{b"</f>
        <v>#VALUE!</v>
      </c>
      <c r="BN123" t="e">
        <f>Nodes!W987+"'E4!&amp;{c"</f>
        <v>#VALUE!</v>
      </c>
      <c r="BO123" s="333" t="e">
        <f>Nodes!X987+"'E4!&amp;{d"</f>
        <v>#VALUE!</v>
      </c>
      <c r="BP123" t="e">
        <f>Nodes!Y987+"'E4!&amp;{e"</f>
        <v>#VALUE!</v>
      </c>
      <c r="BQ123" t="e">
        <f>Nodes!Z987+"'E4!&amp;{f"</f>
        <v>#VALUE!</v>
      </c>
      <c r="BR123" t="e">
        <f>Nodes!AA987+"'E4!&amp;{g"</f>
        <v>#VALUE!</v>
      </c>
      <c r="BS123" t="e">
        <f>Nodes!AB987+"'E4!&amp;{h"</f>
        <v>#VALUE!</v>
      </c>
      <c r="BT123" t="e">
        <f>Nodes!AC987+"'E4!&amp;{i"</f>
        <v>#VALUE!</v>
      </c>
      <c r="BU123" t="e">
        <f>Nodes!A988+"'E4!&amp;{j"</f>
        <v>#VALUE!</v>
      </c>
      <c r="BV123" t="e">
        <f>Nodes!B988+"'E4!&amp;{k"</f>
        <v>#VALUE!</v>
      </c>
      <c r="BW123" t="e">
        <f>Nodes!C988+"'E4!&amp;{l"</f>
        <v>#VALUE!</v>
      </c>
      <c r="BX123" t="e">
        <f>Nodes!D988+"'E4!&amp;{m"</f>
        <v>#VALUE!</v>
      </c>
      <c r="BY123" t="e">
        <f>Nodes!E988+"'E4!&amp;{n"</f>
        <v>#VALUE!</v>
      </c>
      <c r="BZ123" t="e">
        <f>Nodes!F988+"'E4!&amp;{o"</f>
        <v>#VALUE!</v>
      </c>
      <c r="CA123" t="e">
        <f>Nodes!G988+"'E4!&amp;{p"</f>
        <v>#VALUE!</v>
      </c>
      <c r="CB123" t="e">
        <f>Nodes!H988+"'E4!&amp;{q"</f>
        <v>#VALUE!</v>
      </c>
      <c r="CC123" t="e">
        <f>Nodes!I988+"'E4!&amp;{r"</f>
        <v>#VALUE!</v>
      </c>
      <c r="CD123" t="e">
        <f>Nodes!J988+"'E4!&amp;{s"</f>
        <v>#VALUE!</v>
      </c>
      <c r="CE123" t="e">
        <f>Nodes!K988+"'E4!&amp;{t"</f>
        <v>#VALUE!</v>
      </c>
      <c r="CF123" t="e">
        <f>Nodes!L988+"'E4!&amp;{u"</f>
        <v>#VALUE!</v>
      </c>
      <c r="CG123" t="e">
        <f>Nodes!M988+"'E4!&amp;{v"</f>
        <v>#VALUE!</v>
      </c>
      <c r="CH123" t="e">
        <f>Nodes!N988+"'E4!&amp;{w"</f>
        <v>#VALUE!</v>
      </c>
      <c r="CI123" t="e">
        <f>Nodes!O988+"'E4!&amp;{x"</f>
        <v>#VALUE!</v>
      </c>
      <c r="CJ123" t="e">
        <f>Nodes!P988+"'E4!&amp;{y"</f>
        <v>#VALUE!</v>
      </c>
      <c r="CK123" t="e">
        <f>Nodes!Q988+"'E4!&amp;{z"</f>
        <v>#VALUE!</v>
      </c>
      <c r="CL123" t="e">
        <f>Nodes!R988+"'E4!&amp;{{"</f>
        <v>#VALUE!</v>
      </c>
      <c r="CM123" t="e">
        <f>Nodes!S988+"'E4!&amp;{|"</f>
        <v>#VALUE!</v>
      </c>
      <c r="CN123" t="e">
        <f>Nodes!T988+"'E4!&amp;{}"</f>
        <v>#VALUE!</v>
      </c>
      <c r="CO123" t="e">
        <f>Nodes!U988+"'E4!&amp;{~"</f>
        <v>#VALUE!</v>
      </c>
      <c r="CP123" t="e">
        <f>Nodes!V988+"'E4!&amp;|#"</f>
        <v>#VALUE!</v>
      </c>
      <c r="CQ123" t="e">
        <f>Nodes!W988+"'E4!&amp;|$"</f>
        <v>#VALUE!</v>
      </c>
      <c r="CR123" s="333" t="e">
        <f>Nodes!X988+"'E4!&amp;|%"</f>
        <v>#VALUE!</v>
      </c>
      <c r="CS123" t="e">
        <f>Nodes!Y988+"'E4!&amp;|&amp;"</f>
        <v>#VALUE!</v>
      </c>
      <c r="CT123" t="e">
        <f>Nodes!Z988+"'E4!&amp;|'"</f>
        <v>#VALUE!</v>
      </c>
      <c r="CU123" t="e">
        <f>Nodes!AA988+"'E4!&amp;|("</f>
        <v>#VALUE!</v>
      </c>
      <c r="CV123" t="e">
        <f>Nodes!AB988+"'E4!&amp;|)"</f>
        <v>#VALUE!</v>
      </c>
      <c r="CW123" t="e">
        <f>Nodes!AC988+"'E4!&amp;|."</f>
        <v>#VALUE!</v>
      </c>
      <c r="CX123" t="e">
        <f>Nodes!A989+"'E4!&amp;|/"</f>
        <v>#VALUE!</v>
      </c>
      <c r="CY123" t="e">
        <f>Nodes!B989+"'E4!&amp;|0"</f>
        <v>#VALUE!</v>
      </c>
      <c r="CZ123" t="e">
        <f>Nodes!C989+"'E4!&amp;|1"</f>
        <v>#VALUE!</v>
      </c>
      <c r="DA123" t="e">
        <f>Nodes!D989+"'E4!&amp;|2"</f>
        <v>#VALUE!</v>
      </c>
      <c r="DB123" t="e">
        <f>Nodes!E989+"'E4!&amp;|3"</f>
        <v>#VALUE!</v>
      </c>
      <c r="DC123" t="e">
        <f>Nodes!F989+"'E4!&amp;|4"</f>
        <v>#VALUE!</v>
      </c>
      <c r="DD123" t="e">
        <f>Nodes!G989+"'E4!&amp;|5"</f>
        <v>#VALUE!</v>
      </c>
      <c r="DE123" t="e">
        <f>Nodes!H989+"'E4!&amp;|6"</f>
        <v>#VALUE!</v>
      </c>
      <c r="DF123" t="e">
        <f>Nodes!I989+"'E4!&amp;|7"</f>
        <v>#VALUE!</v>
      </c>
      <c r="DG123" t="e">
        <f>Nodes!J989+"'E4!&amp;|8"</f>
        <v>#VALUE!</v>
      </c>
      <c r="DH123" t="e">
        <f>Nodes!K989+"'E4!&amp;|9"</f>
        <v>#VALUE!</v>
      </c>
      <c r="DI123" t="e">
        <f>Nodes!L989+"'E4!&amp;|:"</f>
        <v>#VALUE!</v>
      </c>
      <c r="DJ123" t="e">
        <f>Nodes!M989+"'E4!&amp;|;"</f>
        <v>#VALUE!</v>
      </c>
      <c r="DK123" t="e">
        <f>Nodes!N989+"'E4!&amp;|&lt;"</f>
        <v>#VALUE!</v>
      </c>
      <c r="DL123" t="e">
        <f>Nodes!O989+"'E4!&amp;|="</f>
        <v>#VALUE!</v>
      </c>
      <c r="DM123" t="e">
        <f>Nodes!P989+"'E4!&amp;|&gt;"</f>
        <v>#VALUE!</v>
      </c>
      <c r="DN123" t="e">
        <f>Nodes!Q989+"'E4!&amp;|?"</f>
        <v>#VALUE!</v>
      </c>
      <c r="DO123" t="e">
        <f>Nodes!R989+"'E4!&amp;|@"</f>
        <v>#VALUE!</v>
      </c>
      <c r="DP123" t="e">
        <f>Nodes!S989+"'E4!&amp;|A"</f>
        <v>#VALUE!</v>
      </c>
      <c r="DQ123" t="e">
        <f>Nodes!T989+"'E4!&amp;|B"</f>
        <v>#VALUE!</v>
      </c>
      <c r="DR123" t="e">
        <f>Nodes!U989+"'E4!&amp;|C"</f>
        <v>#VALUE!</v>
      </c>
      <c r="DS123" t="e">
        <f>Nodes!V989+"'E4!&amp;|D"</f>
        <v>#VALUE!</v>
      </c>
      <c r="DT123" t="e">
        <f>Nodes!W989+"'E4!&amp;|E"</f>
        <v>#VALUE!</v>
      </c>
      <c r="DU123" s="333" t="e">
        <f>Nodes!X989+"'E4!&amp;|F"</f>
        <v>#VALUE!</v>
      </c>
      <c r="DV123" t="e">
        <f>Nodes!Y989+"'E4!&amp;|G"</f>
        <v>#VALUE!</v>
      </c>
      <c r="DW123" t="e">
        <f>Nodes!Z989+"'E4!&amp;|H"</f>
        <v>#VALUE!</v>
      </c>
      <c r="DX123" t="e">
        <f>Nodes!AA989+"'E4!&amp;|I"</f>
        <v>#VALUE!</v>
      </c>
      <c r="DY123" t="e">
        <f>Nodes!AB989+"'E4!&amp;|J"</f>
        <v>#VALUE!</v>
      </c>
      <c r="DZ123" t="e">
        <f>Nodes!AC989+"'E4!&amp;|K"</f>
        <v>#VALUE!</v>
      </c>
      <c r="EA123" t="e">
        <f>Nodes!A990+"'E4!&amp;|L"</f>
        <v>#VALUE!</v>
      </c>
      <c r="EB123" t="e">
        <f>Nodes!B990+"'E4!&amp;|M"</f>
        <v>#VALUE!</v>
      </c>
      <c r="EC123" t="e">
        <f>Nodes!C990+"'E4!&amp;|N"</f>
        <v>#VALUE!</v>
      </c>
      <c r="ED123" t="e">
        <f>Nodes!D990+"'E4!&amp;|O"</f>
        <v>#VALUE!</v>
      </c>
      <c r="EE123" t="e">
        <f>Nodes!E990+"'E4!&amp;|P"</f>
        <v>#VALUE!</v>
      </c>
      <c r="EF123" t="e">
        <f>Nodes!F990+"'E4!&amp;|Q"</f>
        <v>#VALUE!</v>
      </c>
      <c r="EG123" t="e">
        <f>Nodes!G990+"'E4!&amp;|R"</f>
        <v>#VALUE!</v>
      </c>
      <c r="EH123" t="e">
        <f>Nodes!H990+"'E4!&amp;|S"</f>
        <v>#VALUE!</v>
      </c>
      <c r="EI123" t="e">
        <f>Nodes!I990+"'E4!&amp;|T"</f>
        <v>#VALUE!</v>
      </c>
      <c r="EJ123" t="e">
        <f>Nodes!J990+"'E4!&amp;|U"</f>
        <v>#VALUE!</v>
      </c>
      <c r="EK123" t="e">
        <f>Nodes!K990+"'E4!&amp;|V"</f>
        <v>#VALUE!</v>
      </c>
      <c r="EL123" t="e">
        <f>Nodes!L990+"'E4!&amp;|W"</f>
        <v>#VALUE!</v>
      </c>
      <c r="EM123" t="e">
        <f>Nodes!M990+"'E4!&amp;|X"</f>
        <v>#VALUE!</v>
      </c>
      <c r="EN123" t="e">
        <f>Nodes!N990+"'E4!&amp;|Y"</f>
        <v>#VALUE!</v>
      </c>
      <c r="EO123" t="e">
        <f>Nodes!O990+"'E4!&amp;|Z"</f>
        <v>#VALUE!</v>
      </c>
      <c r="EP123" t="e">
        <f>Nodes!P990+"'E4!&amp;|["</f>
        <v>#VALUE!</v>
      </c>
      <c r="EQ123" t="e">
        <f>Nodes!Q990+"'E4!&amp;|\"</f>
        <v>#VALUE!</v>
      </c>
      <c r="ER123" t="e">
        <f>Nodes!R990+"'E4!&amp;|]"</f>
        <v>#VALUE!</v>
      </c>
      <c r="ES123" t="e">
        <f>Nodes!S990+"'E4!&amp;|^"</f>
        <v>#VALUE!</v>
      </c>
      <c r="ET123" t="e">
        <f>Nodes!T990+"'E4!&amp;|_"</f>
        <v>#VALUE!</v>
      </c>
      <c r="EU123" t="e">
        <f>Nodes!U990+"'E4!&amp;|`"</f>
        <v>#VALUE!</v>
      </c>
      <c r="EV123" t="e">
        <f>Nodes!V990+"'E4!&amp;|a"</f>
        <v>#VALUE!</v>
      </c>
      <c r="EW123" t="e">
        <f>Nodes!W990+"'E4!&amp;|b"</f>
        <v>#VALUE!</v>
      </c>
      <c r="EX123" s="333" t="e">
        <f>Nodes!X990+"'E4!&amp;|c"</f>
        <v>#VALUE!</v>
      </c>
      <c r="EY123" t="e">
        <f>Nodes!Y990+"'E4!&amp;|d"</f>
        <v>#VALUE!</v>
      </c>
      <c r="EZ123" t="e">
        <f>Nodes!Z990+"'E4!&amp;|e"</f>
        <v>#VALUE!</v>
      </c>
      <c r="FA123" t="e">
        <f>Nodes!AA990+"'E4!&amp;|f"</f>
        <v>#VALUE!</v>
      </c>
      <c r="FB123" t="e">
        <f>Nodes!AB990+"'E4!&amp;|g"</f>
        <v>#VALUE!</v>
      </c>
      <c r="FC123" t="e">
        <f>Nodes!AC990+"'E4!&amp;|h"</f>
        <v>#VALUE!</v>
      </c>
      <c r="FD123" t="e">
        <f>Nodes!A991+"'E4!&amp;|i"</f>
        <v>#VALUE!</v>
      </c>
      <c r="FE123" t="e">
        <f>Nodes!B991+"'E4!&amp;|j"</f>
        <v>#VALUE!</v>
      </c>
      <c r="FF123" t="e">
        <f>Nodes!C991+"'E4!&amp;|k"</f>
        <v>#VALUE!</v>
      </c>
      <c r="FG123" t="e">
        <f>Nodes!D991+"'E4!&amp;|l"</f>
        <v>#VALUE!</v>
      </c>
      <c r="FH123" t="e">
        <f>Nodes!E991+"'E4!&amp;|m"</f>
        <v>#VALUE!</v>
      </c>
      <c r="FI123" t="e">
        <f>Nodes!F991+"'E4!&amp;|n"</f>
        <v>#VALUE!</v>
      </c>
      <c r="FJ123" t="e">
        <f>Nodes!G991+"'E4!&amp;|o"</f>
        <v>#VALUE!</v>
      </c>
      <c r="FK123" t="e">
        <f>Nodes!H991+"'E4!&amp;|p"</f>
        <v>#VALUE!</v>
      </c>
      <c r="FL123" t="e">
        <f>Nodes!I991+"'E4!&amp;|q"</f>
        <v>#VALUE!</v>
      </c>
      <c r="FM123" t="e">
        <f>Nodes!J991+"'E4!&amp;|r"</f>
        <v>#VALUE!</v>
      </c>
      <c r="FN123" t="e">
        <f>Nodes!K991+"'E4!&amp;|s"</f>
        <v>#VALUE!</v>
      </c>
      <c r="FO123" t="e">
        <f>Nodes!L991+"'E4!&amp;|t"</f>
        <v>#VALUE!</v>
      </c>
      <c r="FP123" t="e">
        <f>Nodes!M991+"'E4!&amp;|u"</f>
        <v>#VALUE!</v>
      </c>
      <c r="FQ123" t="e">
        <f>Nodes!N991+"'E4!&amp;|v"</f>
        <v>#VALUE!</v>
      </c>
      <c r="FR123" t="e">
        <f>Nodes!O991+"'E4!&amp;|w"</f>
        <v>#VALUE!</v>
      </c>
      <c r="FS123" t="e">
        <f>Nodes!P991+"'E4!&amp;|x"</f>
        <v>#VALUE!</v>
      </c>
      <c r="FT123" t="e">
        <f>Nodes!Q991+"'E4!&amp;|y"</f>
        <v>#VALUE!</v>
      </c>
      <c r="FU123" t="e">
        <f>Nodes!R991+"'E4!&amp;|z"</f>
        <v>#VALUE!</v>
      </c>
      <c r="FV123" t="e">
        <f>Nodes!S991+"'E4!&amp;|{"</f>
        <v>#VALUE!</v>
      </c>
      <c r="FW123" t="e">
        <f>Nodes!T991+"'E4!&amp;||"</f>
        <v>#VALUE!</v>
      </c>
      <c r="FX123" t="e">
        <f>Nodes!U991+"'E4!&amp;|}"</f>
        <v>#VALUE!</v>
      </c>
      <c r="FY123" t="e">
        <f>Nodes!V991+"'E4!&amp;|~"</f>
        <v>#VALUE!</v>
      </c>
      <c r="FZ123" t="e">
        <f>Nodes!W991+"'E4!&amp;}#"</f>
        <v>#VALUE!</v>
      </c>
      <c r="GA123" s="333" t="e">
        <f>Nodes!X991+"'E4!&amp;}$"</f>
        <v>#VALUE!</v>
      </c>
      <c r="GB123" t="e">
        <f>Nodes!Y991+"'E4!&amp;}%"</f>
        <v>#VALUE!</v>
      </c>
      <c r="GC123" t="e">
        <f>Nodes!Z991+"'E4!&amp;}&amp;"</f>
        <v>#VALUE!</v>
      </c>
      <c r="GD123" t="e">
        <f>Nodes!AA991+"'E4!&amp;}'"</f>
        <v>#VALUE!</v>
      </c>
      <c r="GE123" t="e">
        <f>Nodes!AB991+"'E4!&amp;}("</f>
        <v>#VALUE!</v>
      </c>
      <c r="GF123" t="e">
        <f>Nodes!AC991+"'E4!&amp;})"</f>
        <v>#VALUE!</v>
      </c>
      <c r="GG123" t="e">
        <f>Nodes!A992+"'E4!&amp;}."</f>
        <v>#VALUE!</v>
      </c>
      <c r="GH123" t="e">
        <f>Nodes!B992+"'E4!&amp;}/"</f>
        <v>#VALUE!</v>
      </c>
      <c r="GI123" t="e">
        <f>Nodes!C992+"'E4!&amp;}0"</f>
        <v>#VALUE!</v>
      </c>
      <c r="GJ123" t="e">
        <f>Nodes!D992+"'E4!&amp;}1"</f>
        <v>#VALUE!</v>
      </c>
      <c r="GK123" t="e">
        <f>Nodes!E992+"'E4!&amp;}2"</f>
        <v>#VALUE!</v>
      </c>
      <c r="GL123" t="e">
        <f>Nodes!F992+"'E4!&amp;}3"</f>
        <v>#VALUE!</v>
      </c>
      <c r="GM123" t="e">
        <f>Nodes!G992+"'E4!&amp;}4"</f>
        <v>#VALUE!</v>
      </c>
      <c r="GN123" t="e">
        <f>Nodes!H992+"'E4!&amp;}5"</f>
        <v>#VALUE!</v>
      </c>
      <c r="GO123" t="e">
        <f>Nodes!I992+"'E4!&amp;}6"</f>
        <v>#VALUE!</v>
      </c>
      <c r="GP123" t="e">
        <f>Nodes!J992+"'E4!&amp;}7"</f>
        <v>#VALUE!</v>
      </c>
      <c r="GQ123" t="e">
        <f>Nodes!K992+"'E4!&amp;}8"</f>
        <v>#VALUE!</v>
      </c>
      <c r="GR123" t="e">
        <f>Nodes!L992+"'E4!&amp;}9"</f>
        <v>#VALUE!</v>
      </c>
      <c r="GS123" t="e">
        <f>Nodes!M992+"'E4!&amp;}:"</f>
        <v>#VALUE!</v>
      </c>
      <c r="GT123" t="e">
        <f>Nodes!N992+"'E4!&amp;};"</f>
        <v>#VALUE!</v>
      </c>
      <c r="GU123" t="e">
        <f>Nodes!O992+"'E4!&amp;}&lt;"</f>
        <v>#VALUE!</v>
      </c>
      <c r="GV123" t="e">
        <f>Nodes!P992+"'E4!&amp;}="</f>
        <v>#VALUE!</v>
      </c>
      <c r="GW123" t="e">
        <f>Nodes!Q992+"'E4!&amp;}&gt;"</f>
        <v>#VALUE!</v>
      </c>
      <c r="GX123" t="e">
        <f>Nodes!R992+"'E4!&amp;}?"</f>
        <v>#VALUE!</v>
      </c>
      <c r="GY123" t="e">
        <f>Nodes!S992+"'E4!&amp;}@"</f>
        <v>#VALUE!</v>
      </c>
      <c r="GZ123" t="e">
        <f>Nodes!T992+"'E4!&amp;}A"</f>
        <v>#VALUE!</v>
      </c>
      <c r="HA123" t="e">
        <f>Nodes!U992+"'E4!&amp;}B"</f>
        <v>#VALUE!</v>
      </c>
      <c r="HB123" t="e">
        <f>Nodes!V992+"'E4!&amp;}C"</f>
        <v>#VALUE!</v>
      </c>
      <c r="HC123" t="e">
        <f>Nodes!W992+"'E4!&amp;}D"</f>
        <v>#VALUE!</v>
      </c>
      <c r="HD123" s="333" t="e">
        <f>Nodes!X992+"'E4!&amp;}E"</f>
        <v>#VALUE!</v>
      </c>
      <c r="HE123" t="e">
        <f>Nodes!Y992+"'E4!&amp;}F"</f>
        <v>#VALUE!</v>
      </c>
      <c r="HF123" t="e">
        <f>Nodes!Z992+"'E4!&amp;}G"</f>
        <v>#VALUE!</v>
      </c>
      <c r="HG123" t="e">
        <f>Nodes!AA992+"'E4!&amp;}H"</f>
        <v>#VALUE!</v>
      </c>
      <c r="HH123" t="e">
        <f>Nodes!AB992+"'E4!&amp;}I"</f>
        <v>#VALUE!</v>
      </c>
      <c r="HI123" t="e">
        <f>Nodes!AC992+"'E4!&amp;}J"</f>
        <v>#VALUE!</v>
      </c>
      <c r="HJ123" t="e">
        <f>Nodes!A993+"'E4!&amp;}K"</f>
        <v>#VALUE!</v>
      </c>
      <c r="HK123" t="e">
        <f>Nodes!B993+"'E4!&amp;}L"</f>
        <v>#VALUE!</v>
      </c>
      <c r="HL123" t="e">
        <f>Nodes!C993+"'E4!&amp;}M"</f>
        <v>#VALUE!</v>
      </c>
      <c r="HM123" t="e">
        <f>Nodes!D993+"'E4!&amp;}N"</f>
        <v>#VALUE!</v>
      </c>
      <c r="HN123" t="e">
        <f>Nodes!E993+"'E4!&amp;}O"</f>
        <v>#VALUE!</v>
      </c>
      <c r="HO123" t="e">
        <f>Nodes!F993+"'E4!&amp;}P"</f>
        <v>#VALUE!</v>
      </c>
      <c r="HP123" t="e">
        <f>Nodes!G993+"'E4!&amp;}Q"</f>
        <v>#VALUE!</v>
      </c>
      <c r="HQ123" t="e">
        <f>Nodes!H993+"'E4!&amp;}R"</f>
        <v>#VALUE!</v>
      </c>
      <c r="HR123" t="e">
        <f>Nodes!I993+"'E4!&amp;}S"</f>
        <v>#VALUE!</v>
      </c>
      <c r="HS123" t="e">
        <f>Nodes!J993+"'E4!&amp;}T"</f>
        <v>#VALUE!</v>
      </c>
      <c r="HT123" t="e">
        <f>Nodes!K993+"'E4!&amp;}U"</f>
        <v>#VALUE!</v>
      </c>
      <c r="HU123" t="e">
        <f>Nodes!L993+"'E4!&amp;}V"</f>
        <v>#VALUE!</v>
      </c>
      <c r="HV123" t="e">
        <f>Nodes!M993+"'E4!&amp;}W"</f>
        <v>#VALUE!</v>
      </c>
      <c r="HW123" t="e">
        <f>Nodes!N993+"'E4!&amp;}X"</f>
        <v>#VALUE!</v>
      </c>
      <c r="HX123" t="e">
        <f>Nodes!O993+"'E4!&amp;}Y"</f>
        <v>#VALUE!</v>
      </c>
      <c r="HY123" t="e">
        <f>Nodes!P993+"'E4!&amp;}Z"</f>
        <v>#VALUE!</v>
      </c>
      <c r="HZ123" t="e">
        <f>Nodes!Q993+"'E4!&amp;}["</f>
        <v>#VALUE!</v>
      </c>
      <c r="IA123" t="e">
        <f>Nodes!R993+"'E4!&amp;}\"</f>
        <v>#VALUE!</v>
      </c>
      <c r="IB123" t="e">
        <f>Nodes!S993+"'E4!&amp;}]"</f>
        <v>#VALUE!</v>
      </c>
      <c r="IC123" t="e">
        <f>Nodes!T993+"'E4!&amp;}^"</f>
        <v>#VALUE!</v>
      </c>
      <c r="ID123" t="e">
        <f>Nodes!U993+"'E4!&amp;}_"</f>
        <v>#VALUE!</v>
      </c>
      <c r="IE123" t="e">
        <f>Nodes!V993+"'E4!&amp;}`"</f>
        <v>#VALUE!</v>
      </c>
      <c r="IF123" t="e">
        <f>Nodes!W993+"'E4!&amp;}a"</f>
        <v>#VALUE!</v>
      </c>
      <c r="IG123" s="333" t="e">
        <f>Nodes!X993+"'E4!&amp;}b"</f>
        <v>#VALUE!</v>
      </c>
      <c r="IH123" t="e">
        <f>Nodes!Y993+"'E4!&amp;}c"</f>
        <v>#VALUE!</v>
      </c>
      <c r="II123" t="e">
        <f>Nodes!Z993+"'E4!&amp;}d"</f>
        <v>#VALUE!</v>
      </c>
      <c r="IJ123" t="e">
        <f>Nodes!AA993+"'E4!&amp;}e"</f>
        <v>#VALUE!</v>
      </c>
      <c r="IK123" t="e">
        <f>Nodes!AB993+"'E4!&amp;}f"</f>
        <v>#VALUE!</v>
      </c>
      <c r="IL123" t="e">
        <f>Nodes!AC993+"'E4!&amp;}g"</f>
        <v>#VALUE!</v>
      </c>
      <c r="IM123" t="e">
        <f>Nodes!A994+"'E4!&amp;}h"</f>
        <v>#VALUE!</v>
      </c>
      <c r="IN123" t="e">
        <f>Nodes!B994+"'E4!&amp;}i"</f>
        <v>#VALUE!</v>
      </c>
      <c r="IO123" t="e">
        <f>Nodes!C994+"'E4!&amp;}j"</f>
        <v>#VALUE!</v>
      </c>
      <c r="IP123" t="e">
        <f>Nodes!D994+"'E4!&amp;}k"</f>
        <v>#VALUE!</v>
      </c>
      <c r="IQ123" t="e">
        <f>Nodes!E994+"'E4!&amp;}l"</f>
        <v>#VALUE!</v>
      </c>
      <c r="IR123" t="e">
        <f>Nodes!F994+"'E4!&amp;}m"</f>
        <v>#VALUE!</v>
      </c>
      <c r="IS123" t="e">
        <f>Nodes!G994+"'E4!&amp;}n"</f>
        <v>#VALUE!</v>
      </c>
      <c r="IT123" t="e">
        <f>Nodes!H994+"'E4!&amp;}o"</f>
        <v>#VALUE!</v>
      </c>
      <c r="IU123" t="e">
        <f>Nodes!I994+"'E4!&amp;}p"</f>
        <v>#VALUE!</v>
      </c>
      <c r="IV123" t="e">
        <f>Nodes!J994+"'E4!&amp;}q"</f>
        <v>#VALUE!</v>
      </c>
    </row>
    <row r="124" spans="6:256">
      <c r="F124" t="e">
        <f>Nodes!K994+"'E4!&amp;}r"</f>
        <v>#VALUE!</v>
      </c>
      <c r="G124" t="e">
        <f>Nodes!L994+"'E4!&amp;}s"</f>
        <v>#VALUE!</v>
      </c>
      <c r="H124" t="e">
        <f>Nodes!M994+"'E4!&amp;}t"</f>
        <v>#VALUE!</v>
      </c>
      <c r="I124" t="e">
        <f>Nodes!N994+"'E4!&amp;}u"</f>
        <v>#VALUE!</v>
      </c>
      <c r="J124" t="e">
        <f>Nodes!O994+"'E4!&amp;}v"</f>
        <v>#VALUE!</v>
      </c>
      <c r="K124" t="e">
        <f>Nodes!P994+"'E4!&amp;}w"</f>
        <v>#VALUE!</v>
      </c>
      <c r="L124" t="e">
        <f>Nodes!Q994+"'E4!&amp;}x"</f>
        <v>#VALUE!</v>
      </c>
      <c r="M124" t="e">
        <f>Nodes!R994+"'E4!&amp;}y"</f>
        <v>#VALUE!</v>
      </c>
      <c r="N124" t="e">
        <f>Nodes!S994+"'E4!&amp;}z"</f>
        <v>#VALUE!</v>
      </c>
      <c r="O124" t="e">
        <f>Nodes!T994+"'E4!&amp;}{"</f>
        <v>#VALUE!</v>
      </c>
      <c r="P124" t="e">
        <f>Nodes!U994+"'E4!&amp;}|"</f>
        <v>#VALUE!</v>
      </c>
      <c r="Q124" t="e">
        <f>Nodes!V994+"'E4!&amp;}}"</f>
        <v>#VALUE!</v>
      </c>
      <c r="R124" t="e">
        <f>Nodes!W994+"'E4!&amp;}~"</f>
        <v>#VALUE!</v>
      </c>
      <c r="S124" s="333" t="e">
        <f>Nodes!X994+"'E4!&amp;~#"</f>
        <v>#VALUE!</v>
      </c>
      <c r="T124" t="e">
        <f>Nodes!Y994+"'E4!&amp;~$"</f>
        <v>#VALUE!</v>
      </c>
      <c r="U124" t="e">
        <f>Nodes!Z994+"'E4!&amp;~%"</f>
        <v>#VALUE!</v>
      </c>
      <c r="V124" t="e">
        <f>Nodes!AA994+"'E4!&amp;~&amp;"</f>
        <v>#VALUE!</v>
      </c>
      <c r="W124" t="e">
        <f>Nodes!AB994+"'E4!&amp;~'"</f>
        <v>#VALUE!</v>
      </c>
      <c r="X124" t="e">
        <f>Nodes!AC994+"'E4!&amp;~("</f>
        <v>#VALUE!</v>
      </c>
      <c r="Y124" t="e">
        <f>Nodes!A995+"'E4!&amp;~)"</f>
        <v>#VALUE!</v>
      </c>
      <c r="Z124" t="e">
        <f>Nodes!B995+"'E4!&amp;~."</f>
        <v>#VALUE!</v>
      </c>
      <c r="AA124" t="e">
        <f>Nodes!C995+"'E4!&amp;~/"</f>
        <v>#VALUE!</v>
      </c>
      <c r="AB124" t="e">
        <f>Nodes!D995+"'E4!&amp;~0"</f>
        <v>#VALUE!</v>
      </c>
      <c r="AC124" t="e">
        <f>Nodes!E995+"'E4!&amp;~1"</f>
        <v>#VALUE!</v>
      </c>
      <c r="AD124" t="e">
        <f>Nodes!F995+"'E4!&amp;~2"</f>
        <v>#VALUE!</v>
      </c>
      <c r="AE124" t="e">
        <f>Nodes!G995+"'E4!&amp;~3"</f>
        <v>#VALUE!</v>
      </c>
      <c r="AF124" t="e">
        <f>Nodes!H995+"'E4!&amp;~4"</f>
        <v>#VALUE!</v>
      </c>
      <c r="AG124" t="e">
        <f>Nodes!I995+"'E4!&amp;~5"</f>
        <v>#VALUE!</v>
      </c>
      <c r="AH124" t="e">
        <f>Nodes!J995+"'E4!&amp;~6"</f>
        <v>#VALUE!</v>
      </c>
      <c r="AI124" t="e">
        <f>Nodes!K995+"'E4!&amp;~7"</f>
        <v>#VALUE!</v>
      </c>
      <c r="AJ124" t="e">
        <f>Nodes!L995+"'E4!&amp;~8"</f>
        <v>#VALUE!</v>
      </c>
      <c r="AK124" t="e">
        <f>Nodes!M995+"'E4!&amp;~9"</f>
        <v>#VALUE!</v>
      </c>
      <c r="AL124" t="e">
        <f>Nodes!N995+"'E4!&amp;~:"</f>
        <v>#VALUE!</v>
      </c>
      <c r="AM124" t="e">
        <f>Nodes!O995+"'E4!&amp;~;"</f>
        <v>#VALUE!</v>
      </c>
      <c r="AN124" t="e">
        <f>Nodes!P995+"'E4!&amp;~&lt;"</f>
        <v>#VALUE!</v>
      </c>
      <c r="AO124" t="e">
        <f>Nodes!Q995+"'E4!&amp;~="</f>
        <v>#VALUE!</v>
      </c>
      <c r="AP124" t="e">
        <f>Nodes!R995+"'E4!&amp;~&gt;"</f>
        <v>#VALUE!</v>
      </c>
      <c r="AQ124" t="e">
        <f>Nodes!S995+"'E4!&amp;~?"</f>
        <v>#VALUE!</v>
      </c>
      <c r="AR124" t="e">
        <f>Nodes!T995+"'E4!&amp;~@"</f>
        <v>#VALUE!</v>
      </c>
      <c r="AS124" t="e">
        <f>Nodes!U995+"'E4!&amp;~A"</f>
        <v>#VALUE!</v>
      </c>
      <c r="AT124" t="e">
        <f>Nodes!V995+"'E4!&amp;~B"</f>
        <v>#VALUE!</v>
      </c>
      <c r="AU124" t="e">
        <f>Nodes!W995+"'E4!&amp;~C"</f>
        <v>#VALUE!</v>
      </c>
      <c r="AV124" s="333" t="e">
        <f>Nodes!X995+"'E4!&amp;~D"</f>
        <v>#VALUE!</v>
      </c>
      <c r="AW124" t="e">
        <f>Nodes!Y995+"'E4!&amp;~E"</f>
        <v>#VALUE!</v>
      </c>
      <c r="AX124" t="e">
        <f>Nodes!Z995+"'E4!&amp;~F"</f>
        <v>#VALUE!</v>
      </c>
      <c r="AY124" t="e">
        <f>Nodes!AA995+"'E4!&amp;~G"</f>
        <v>#VALUE!</v>
      </c>
      <c r="AZ124" t="e">
        <f>Nodes!AB995+"'E4!&amp;~H"</f>
        <v>#VALUE!</v>
      </c>
      <c r="BA124" t="e">
        <f>Nodes!AC995+"'E4!&amp;~I"</f>
        <v>#VALUE!</v>
      </c>
      <c r="BB124" t="e">
        <f>Nodes!A996+"'E4!&amp;~J"</f>
        <v>#VALUE!</v>
      </c>
      <c r="BC124" t="e">
        <f>Nodes!B996+"'E4!&amp;~K"</f>
        <v>#VALUE!</v>
      </c>
      <c r="BD124" t="e">
        <f>Nodes!C996+"'E4!&amp;~L"</f>
        <v>#VALUE!</v>
      </c>
      <c r="BE124" t="e">
        <f>Nodes!D996+"'E4!&amp;~M"</f>
        <v>#VALUE!</v>
      </c>
      <c r="BF124" t="e">
        <f>Nodes!E996+"'E4!&amp;~N"</f>
        <v>#VALUE!</v>
      </c>
      <c r="BG124" t="e">
        <f>Nodes!F996+"'E4!&amp;~O"</f>
        <v>#VALUE!</v>
      </c>
      <c r="BH124" t="e">
        <f>Nodes!G996+"'E4!&amp;~P"</f>
        <v>#VALUE!</v>
      </c>
      <c r="BI124" t="e">
        <f>Nodes!H996+"'E4!&amp;~Q"</f>
        <v>#VALUE!</v>
      </c>
      <c r="BJ124" t="e">
        <f>Nodes!I996+"'E4!&amp;~R"</f>
        <v>#VALUE!</v>
      </c>
      <c r="BK124" t="e">
        <f>Nodes!J996+"'E4!&amp;~S"</f>
        <v>#VALUE!</v>
      </c>
      <c r="BL124" t="e">
        <f>Nodes!K996+"'E4!&amp;~T"</f>
        <v>#VALUE!</v>
      </c>
      <c r="BM124" t="e">
        <f>Nodes!L996+"'E4!&amp;~U"</f>
        <v>#VALUE!</v>
      </c>
      <c r="BN124" t="e">
        <f>Nodes!M996+"'E4!&amp;~V"</f>
        <v>#VALUE!</v>
      </c>
      <c r="BO124" t="e">
        <f>Nodes!N996+"'E4!&amp;~W"</f>
        <v>#VALUE!</v>
      </c>
      <c r="BP124" t="e">
        <f>Nodes!O996+"'E4!&amp;~X"</f>
        <v>#VALUE!</v>
      </c>
      <c r="BQ124" t="e">
        <f>Nodes!P996+"'E4!&amp;~Y"</f>
        <v>#VALUE!</v>
      </c>
      <c r="BR124" t="e">
        <f>Nodes!Q996+"'E4!&amp;~Z"</f>
        <v>#VALUE!</v>
      </c>
      <c r="BS124" t="e">
        <f>Nodes!R996+"'E4!&amp;~["</f>
        <v>#VALUE!</v>
      </c>
      <c r="BT124" t="e">
        <f>Nodes!S996+"'E4!&amp;~\"</f>
        <v>#VALUE!</v>
      </c>
      <c r="BU124" t="e">
        <f>Nodes!T996+"'E4!&amp;~]"</f>
        <v>#VALUE!</v>
      </c>
      <c r="BV124" t="e">
        <f>Nodes!U996+"'E4!&amp;~^"</f>
        <v>#VALUE!</v>
      </c>
      <c r="BW124" t="e">
        <f>Nodes!V996+"'E4!&amp;~_"</f>
        <v>#VALUE!</v>
      </c>
      <c r="BX124" t="e">
        <f>Nodes!W996+"'E4!&amp;~`"</f>
        <v>#VALUE!</v>
      </c>
      <c r="BY124" s="333" t="e">
        <f>Nodes!X996+"'E4!&amp;~a"</f>
        <v>#VALUE!</v>
      </c>
      <c r="BZ124" t="e">
        <f>Nodes!Y996+"'E4!&amp;~b"</f>
        <v>#VALUE!</v>
      </c>
      <c r="CA124" t="e">
        <f>Nodes!Z996+"'E4!&amp;~c"</f>
        <v>#VALUE!</v>
      </c>
      <c r="CB124" t="e">
        <f>Nodes!AA996+"'E4!&amp;~d"</f>
        <v>#VALUE!</v>
      </c>
      <c r="CC124" t="e">
        <f>Nodes!AB996+"'E4!&amp;~e"</f>
        <v>#VALUE!</v>
      </c>
      <c r="CD124" t="e">
        <f>Nodes!AC996+"'E4!&amp;~f"</f>
        <v>#VALUE!</v>
      </c>
      <c r="CE124" t="e">
        <f>Nodes!A997+"'E4!&amp;~g"</f>
        <v>#VALUE!</v>
      </c>
      <c r="CF124" t="e">
        <f>Nodes!B997+"'E4!&amp;~h"</f>
        <v>#VALUE!</v>
      </c>
      <c r="CG124" t="e">
        <f>Nodes!C997+"'E4!&amp;~i"</f>
        <v>#VALUE!</v>
      </c>
      <c r="CH124" t="e">
        <f>Nodes!D997+"'E4!&amp;~j"</f>
        <v>#VALUE!</v>
      </c>
      <c r="CI124" t="e">
        <f>Nodes!E997+"'E4!&amp;~k"</f>
        <v>#VALUE!</v>
      </c>
      <c r="CJ124" t="e">
        <f>Nodes!F997+"'E4!&amp;~l"</f>
        <v>#VALUE!</v>
      </c>
      <c r="CK124" t="e">
        <f>Nodes!G997+"'E4!&amp;~m"</f>
        <v>#VALUE!</v>
      </c>
      <c r="CL124" t="e">
        <f>Nodes!H997+"'E4!&amp;~n"</f>
        <v>#VALUE!</v>
      </c>
      <c r="CM124" t="e">
        <f>Nodes!I997+"'E4!&amp;~o"</f>
        <v>#VALUE!</v>
      </c>
      <c r="CN124" t="e">
        <f>Nodes!J997+"'E4!&amp;~p"</f>
        <v>#VALUE!</v>
      </c>
      <c r="CO124" t="e">
        <f>Nodes!K997+"'E4!&amp;~q"</f>
        <v>#VALUE!</v>
      </c>
      <c r="CP124" t="e">
        <f>Nodes!L997+"'E4!&amp;~r"</f>
        <v>#VALUE!</v>
      </c>
      <c r="CQ124" t="e">
        <f>Nodes!M997+"'E4!&amp;~s"</f>
        <v>#VALUE!</v>
      </c>
      <c r="CR124" t="e">
        <f>Nodes!N997+"'E4!&amp;~t"</f>
        <v>#VALUE!</v>
      </c>
      <c r="CS124" t="e">
        <f>Nodes!O997+"'E4!&amp;~u"</f>
        <v>#VALUE!</v>
      </c>
      <c r="CT124" t="e">
        <f>Nodes!P997+"'E4!&amp;~v"</f>
        <v>#VALUE!</v>
      </c>
      <c r="CU124" t="e">
        <f>Nodes!Q997+"'E4!&amp;~w"</f>
        <v>#VALUE!</v>
      </c>
      <c r="CV124" t="e">
        <f>Nodes!R997+"'E4!&amp;~x"</f>
        <v>#VALUE!</v>
      </c>
      <c r="CW124" t="e">
        <f>Nodes!S997+"'E4!&amp;~y"</f>
        <v>#VALUE!</v>
      </c>
      <c r="CX124" t="e">
        <f>Nodes!T997+"'E4!&amp;~z"</f>
        <v>#VALUE!</v>
      </c>
      <c r="CY124" t="e">
        <f>Nodes!U997+"'E4!&amp;~{"</f>
        <v>#VALUE!</v>
      </c>
      <c r="CZ124" t="e">
        <f>Nodes!V997+"'E4!&amp;~|"</f>
        <v>#VALUE!</v>
      </c>
      <c r="DA124" t="e">
        <f>Nodes!W997+"'E4!&amp;~}"</f>
        <v>#VALUE!</v>
      </c>
      <c r="DB124" s="333" t="e">
        <f>Nodes!X997+"'E4!&amp;~~"</f>
        <v>#VALUE!</v>
      </c>
      <c r="DC124" t="e">
        <f>Nodes!Y997+"'E4!'##"</f>
        <v>#VALUE!</v>
      </c>
      <c r="DD124" t="e">
        <f>Nodes!Z997+"'E4!'#$"</f>
        <v>#VALUE!</v>
      </c>
      <c r="DE124" t="e">
        <f>Nodes!AA997+"'E4!'#%"</f>
        <v>#VALUE!</v>
      </c>
      <c r="DF124" t="e">
        <f>Nodes!AB997+"'E4!'#&amp;"</f>
        <v>#VALUE!</v>
      </c>
      <c r="DG124" t="e">
        <f>Nodes!AC997+"'E4!'#'"</f>
        <v>#VALUE!</v>
      </c>
      <c r="DH124" t="e">
        <f>Nodes!A998+"'E4!'#("</f>
        <v>#VALUE!</v>
      </c>
      <c r="DI124" t="e">
        <f>Nodes!B998+"'E4!'#)"</f>
        <v>#VALUE!</v>
      </c>
      <c r="DJ124" t="e">
        <f>Nodes!C998+"'E4!'#."</f>
        <v>#VALUE!</v>
      </c>
      <c r="DK124" t="e">
        <f>Nodes!D998+"'E4!'#/"</f>
        <v>#VALUE!</v>
      </c>
      <c r="DL124" t="e">
        <f>Nodes!E998+"'E4!'#0"</f>
        <v>#VALUE!</v>
      </c>
      <c r="DM124" t="e">
        <f>Nodes!F998+"'E4!'#1"</f>
        <v>#VALUE!</v>
      </c>
      <c r="DN124" t="e">
        <f>Nodes!G998+"'E4!'#2"</f>
        <v>#VALUE!</v>
      </c>
      <c r="DO124" t="e">
        <f>Nodes!H998+"'E4!'#3"</f>
        <v>#VALUE!</v>
      </c>
      <c r="DP124" t="e">
        <f>Nodes!I998+"'E4!'#4"</f>
        <v>#VALUE!</v>
      </c>
      <c r="DQ124" t="e">
        <f>Nodes!J998+"'E4!'#5"</f>
        <v>#VALUE!</v>
      </c>
      <c r="DR124" t="e">
        <f>Nodes!K998+"'E4!'#6"</f>
        <v>#VALUE!</v>
      </c>
      <c r="DS124" t="e">
        <f>Nodes!L998+"'E4!'#7"</f>
        <v>#VALUE!</v>
      </c>
      <c r="DT124" t="e">
        <f>Nodes!M998+"'E4!'#8"</f>
        <v>#VALUE!</v>
      </c>
      <c r="DU124" t="e">
        <f>Nodes!N998+"'E4!'#9"</f>
        <v>#VALUE!</v>
      </c>
      <c r="DV124" t="e">
        <f>Nodes!O998+"'E4!'#:"</f>
        <v>#VALUE!</v>
      </c>
      <c r="DW124" t="e">
        <f>Nodes!P998+"'E4!'#;"</f>
        <v>#VALUE!</v>
      </c>
      <c r="DX124" t="e">
        <f>Nodes!Q998+"'E4!'#&lt;"</f>
        <v>#VALUE!</v>
      </c>
      <c r="DY124" t="e">
        <f>Nodes!R998+"'E4!'#="</f>
        <v>#VALUE!</v>
      </c>
      <c r="DZ124" t="e">
        <f>Nodes!S998+"'E4!'#&gt;"</f>
        <v>#VALUE!</v>
      </c>
      <c r="EA124" t="e">
        <f>Nodes!T998+"'E4!'#?"</f>
        <v>#VALUE!</v>
      </c>
      <c r="EB124" t="e">
        <f>Nodes!U998+"'E4!'#@"</f>
        <v>#VALUE!</v>
      </c>
      <c r="EC124" t="e">
        <f>Nodes!V998+"'E4!'#A"</f>
        <v>#VALUE!</v>
      </c>
      <c r="ED124" t="e">
        <f>Nodes!W998+"'E4!'#B"</f>
        <v>#VALUE!</v>
      </c>
      <c r="EE124" s="333" t="e">
        <f>Nodes!X998+"'E4!'#C"</f>
        <v>#VALUE!</v>
      </c>
      <c r="EF124" t="e">
        <f>Nodes!Y998+"'E4!'#D"</f>
        <v>#VALUE!</v>
      </c>
      <c r="EG124" t="e">
        <f>Nodes!Z998+"'E4!'#E"</f>
        <v>#VALUE!</v>
      </c>
      <c r="EH124" t="e">
        <f>Nodes!AA998+"'E4!'#F"</f>
        <v>#VALUE!</v>
      </c>
      <c r="EI124" t="e">
        <f>Nodes!AB998+"'E4!'#G"</f>
        <v>#VALUE!</v>
      </c>
      <c r="EJ124" t="e">
        <f>Nodes!AC998+"'E4!'#H"</f>
        <v>#VALUE!</v>
      </c>
      <c r="EK124" t="e">
        <f>Nodes!A999+"'E4!'#I"</f>
        <v>#VALUE!</v>
      </c>
      <c r="EL124" t="e">
        <f>Nodes!B999+"'E4!'#J"</f>
        <v>#VALUE!</v>
      </c>
      <c r="EM124" t="e">
        <f>Nodes!C999+"'E4!'#K"</f>
        <v>#VALUE!</v>
      </c>
      <c r="EN124" t="e">
        <f>Nodes!D999+"'E4!'#L"</f>
        <v>#VALUE!</v>
      </c>
      <c r="EO124" t="e">
        <f>Nodes!E999+"'E4!'#M"</f>
        <v>#VALUE!</v>
      </c>
      <c r="EP124" t="e">
        <f>Nodes!F999+"'E4!'#N"</f>
        <v>#VALUE!</v>
      </c>
      <c r="EQ124" t="e">
        <f>Nodes!G999+"'E4!'#O"</f>
        <v>#VALUE!</v>
      </c>
      <c r="ER124" t="e">
        <f>Nodes!H999+"'E4!'#P"</f>
        <v>#VALUE!</v>
      </c>
      <c r="ES124" t="e">
        <f>Nodes!I999+"'E4!'#Q"</f>
        <v>#VALUE!</v>
      </c>
      <c r="ET124" t="e">
        <f>Nodes!J999+"'E4!'#R"</f>
        <v>#VALUE!</v>
      </c>
      <c r="EU124" t="e">
        <f>Nodes!K999+"'E4!'#S"</f>
        <v>#VALUE!</v>
      </c>
      <c r="EV124" t="e">
        <f>Nodes!L999+"'E4!'#T"</f>
        <v>#VALUE!</v>
      </c>
      <c r="EW124" t="e">
        <f>Nodes!M999+"'E4!'#U"</f>
        <v>#VALUE!</v>
      </c>
      <c r="EX124" t="e">
        <f>Nodes!N999+"'E4!'#V"</f>
        <v>#VALUE!</v>
      </c>
      <c r="EY124" t="e">
        <f>Nodes!O999+"'E4!'#W"</f>
        <v>#VALUE!</v>
      </c>
      <c r="EZ124" t="e">
        <f>Nodes!P999+"'E4!'#X"</f>
        <v>#VALUE!</v>
      </c>
      <c r="FA124" t="e">
        <f>Nodes!Q999+"'E4!'#Y"</f>
        <v>#VALUE!</v>
      </c>
      <c r="FB124" t="e">
        <f>Nodes!R999+"'E4!'#Z"</f>
        <v>#VALUE!</v>
      </c>
      <c r="FC124" t="e">
        <f>Nodes!S999+"'E4!'#["</f>
        <v>#VALUE!</v>
      </c>
      <c r="FD124" t="e">
        <f>Nodes!T999+"'E4!'#\"</f>
        <v>#VALUE!</v>
      </c>
      <c r="FE124" t="e">
        <f>Nodes!U999+"'E4!'#]"</f>
        <v>#VALUE!</v>
      </c>
      <c r="FF124" t="e">
        <f>Nodes!V999+"'E4!'#^"</f>
        <v>#VALUE!</v>
      </c>
      <c r="FG124" t="e">
        <f>Nodes!W999+"'E4!'#_"</f>
        <v>#VALUE!</v>
      </c>
      <c r="FH124" s="333" t="e">
        <f>Nodes!X999+"'E4!'#`"</f>
        <v>#VALUE!</v>
      </c>
      <c r="FI124" t="e">
        <f>Nodes!Y999+"'E4!'#a"</f>
        <v>#VALUE!</v>
      </c>
      <c r="FJ124" t="e">
        <f>Nodes!Z999+"'E4!'#b"</f>
        <v>#VALUE!</v>
      </c>
      <c r="FK124" t="e">
        <f>Nodes!AA999+"'E4!'#c"</f>
        <v>#VALUE!</v>
      </c>
      <c r="FL124" t="e">
        <f>Nodes!AB999+"'E4!'#d"</f>
        <v>#VALUE!</v>
      </c>
      <c r="FM124" t="e">
        <f>Nodes!AC999+"'E4!'#e"</f>
        <v>#VALUE!</v>
      </c>
      <c r="FN124" t="e">
        <f>Nodes!A1000+"'E4!'#f"</f>
        <v>#VALUE!</v>
      </c>
      <c r="FO124" t="e">
        <f>Nodes!B1000+"'E4!'#g"</f>
        <v>#VALUE!</v>
      </c>
      <c r="FP124" t="e">
        <f>Nodes!C1000+"'E4!'#h"</f>
        <v>#VALUE!</v>
      </c>
      <c r="FQ124" t="e">
        <f>Nodes!D1000+"'E4!'#i"</f>
        <v>#VALUE!</v>
      </c>
      <c r="FR124" t="e">
        <f>Nodes!E1000+"'E4!'#j"</f>
        <v>#VALUE!</v>
      </c>
      <c r="FS124" t="e">
        <f>Nodes!F1000+"'E4!'#k"</f>
        <v>#VALUE!</v>
      </c>
      <c r="FT124" t="e">
        <f>Nodes!G1000+"'E4!'#l"</f>
        <v>#VALUE!</v>
      </c>
      <c r="FU124" t="e">
        <f>Nodes!H1000+"'E4!'#m"</f>
        <v>#VALUE!</v>
      </c>
      <c r="FV124" t="e">
        <f>Nodes!I1000+"'E4!'#n"</f>
        <v>#VALUE!</v>
      </c>
      <c r="FW124" t="e">
        <f>Nodes!J1000+"'E4!'#o"</f>
        <v>#VALUE!</v>
      </c>
      <c r="FX124" t="e">
        <f>Nodes!K1000+"'E4!'#p"</f>
        <v>#VALUE!</v>
      </c>
      <c r="FY124" t="e">
        <f>Nodes!L1000+"'E4!'#q"</f>
        <v>#VALUE!</v>
      </c>
      <c r="FZ124" t="e">
        <f>Nodes!M1000+"'E4!'#r"</f>
        <v>#VALUE!</v>
      </c>
      <c r="GA124" t="e">
        <f>Nodes!N1000+"'E4!'#s"</f>
        <v>#VALUE!</v>
      </c>
      <c r="GB124" t="e">
        <f>Nodes!O1000+"'E4!'#t"</f>
        <v>#VALUE!</v>
      </c>
      <c r="GC124" t="e">
        <f>Nodes!P1000+"'E4!'#u"</f>
        <v>#VALUE!</v>
      </c>
      <c r="GD124" t="e">
        <f>Nodes!Q1000+"'E4!'#v"</f>
        <v>#VALUE!</v>
      </c>
      <c r="GE124" t="e">
        <f>Nodes!R1000+"'E4!'#w"</f>
        <v>#VALUE!</v>
      </c>
      <c r="GF124" t="e">
        <f>Nodes!S1000+"'E4!'#x"</f>
        <v>#VALUE!</v>
      </c>
      <c r="GG124" t="e">
        <f>Nodes!T1000+"'E4!'#y"</f>
        <v>#VALUE!</v>
      </c>
      <c r="GH124" t="e">
        <f>Nodes!U1000+"'E4!'#z"</f>
        <v>#VALUE!</v>
      </c>
      <c r="GI124" t="e">
        <f>Nodes!V1000+"'E4!'#{"</f>
        <v>#VALUE!</v>
      </c>
      <c r="GJ124" t="e">
        <f>Nodes!W1000+"'E4!'#|"</f>
        <v>#VALUE!</v>
      </c>
      <c r="GK124" s="333" t="e">
        <f>Nodes!X1000+"'E4!'#}"</f>
        <v>#VALUE!</v>
      </c>
      <c r="GL124" t="e">
        <f>Nodes!Y1000+"'E4!'#~"</f>
        <v>#VALUE!</v>
      </c>
      <c r="GM124" t="e">
        <f>Nodes!Z1000+"'E4!'$#"</f>
        <v>#VALUE!</v>
      </c>
      <c r="GN124" t="e">
        <f>Nodes!AA1000+"'E4!'$$"</f>
        <v>#VALUE!</v>
      </c>
      <c r="GO124" t="e">
        <f>Nodes!AB1000+"'E4!'$%"</f>
        <v>#VALUE!</v>
      </c>
      <c r="GP124" t="e">
        <f>Nodes!AC1000+"'E4!'$&amp;"</f>
        <v>#VALUE!</v>
      </c>
      <c r="GQ124" t="e">
        <f>Nodes!A1001+"'E4!'$'"</f>
        <v>#VALUE!</v>
      </c>
      <c r="GR124" t="e">
        <f>Nodes!B1001+"'E4!'$("</f>
        <v>#VALUE!</v>
      </c>
      <c r="GS124" t="e">
        <f>Nodes!C1001+"'E4!'$)"</f>
        <v>#VALUE!</v>
      </c>
      <c r="GT124" t="e">
        <f>Nodes!D1001+"'E4!'$."</f>
        <v>#VALUE!</v>
      </c>
      <c r="GU124" t="e">
        <f>Nodes!E1001+"'E4!'$/"</f>
        <v>#VALUE!</v>
      </c>
      <c r="GV124" t="e">
        <f>Nodes!F1001+"'E4!'$0"</f>
        <v>#VALUE!</v>
      </c>
      <c r="GW124" t="e">
        <f>Nodes!G1001+"'E4!'$1"</f>
        <v>#VALUE!</v>
      </c>
      <c r="GX124" t="e">
        <f>Nodes!H1001+"'E4!'$2"</f>
        <v>#VALUE!</v>
      </c>
      <c r="GY124" t="e">
        <f>Nodes!I1001+"'E4!'$3"</f>
        <v>#VALUE!</v>
      </c>
      <c r="GZ124" t="e">
        <f>Nodes!J1001+"'E4!'$4"</f>
        <v>#VALUE!</v>
      </c>
      <c r="HA124" t="e">
        <f>Nodes!K1001+"'E4!'$5"</f>
        <v>#VALUE!</v>
      </c>
      <c r="HB124" t="e">
        <f>Nodes!L1001+"'E4!'$6"</f>
        <v>#VALUE!</v>
      </c>
      <c r="HC124" t="e">
        <f>Nodes!M1001+"'E4!'$7"</f>
        <v>#VALUE!</v>
      </c>
      <c r="HD124" t="e">
        <f>Nodes!N1001+"'E4!'$8"</f>
        <v>#VALUE!</v>
      </c>
      <c r="HE124" t="e">
        <f>Nodes!O1001+"'E4!'$9"</f>
        <v>#VALUE!</v>
      </c>
      <c r="HF124" t="e">
        <f>Nodes!P1001+"'E4!'$:"</f>
        <v>#VALUE!</v>
      </c>
      <c r="HG124" t="e">
        <f>Nodes!Q1001+"'E4!'$;"</f>
        <v>#VALUE!</v>
      </c>
      <c r="HH124" t="e">
        <f>Nodes!R1001+"'E4!'$&lt;"</f>
        <v>#VALUE!</v>
      </c>
      <c r="HI124" t="e">
        <f>Nodes!S1001+"'E4!'$="</f>
        <v>#VALUE!</v>
      </c>
      <c r="HJ124" t="e">
        <f>Nodes!T1001+"'E4!'$&gt;"</f>
        <v>#VALUE!</v>
      </c>
      <c r="HK124" t="e">
        <f>Nodes!U1001+"'E4!'$?"</f>
        <v>#VALUE!</v>
      </c>
      <c r="HL124" t="e">
        <f>Nodes!V1001+"'E4!'$@"</f>
        <v>#VALUE!</v>
      </c>
      <c r="HM124" t="e">
        <f>Nodes!W1001+"'E4!'$A"</f>
        <v>#VALUE!</v>
      </c>
      <c r="HN124" s="333" t="e">
        <f>Nodes!X1001+"'E4!'$B"</f>
        <v>#VALUE!</v>
      </c>
      <c r="HO124" t="e">
        <f>Nodes!Y1001+"'E4!'$C"</f>
        <v>#VALUE!</v>
      </c>
      <c r="HP124" t="e">
        <f>Nodes!Z1001+"'E4!'$D"</f>
        <v>#VALUE!</v>
      </c>
      <c r="HQ124" t="e">
        <f>Nodes!AA1001+"'E4!'$E"</f>
        <v>#VALUE!</v>
      </c>
      <c r="HR124" t="e">
        <f>Nodes!AB1001+"'E4!'$F"</f>
        <v>#VALUE!</v>
      </c>
      <c r="HS124" t="e">
        <f>Nodes!AC1001+"'E4!'$G"</f>
        <v>#VALUE!</v>
      </c>
      <c r="HT124" t="e">
        <f>Nodes!A1002+"'E4!'$H"</f>
        <v>#VALUE!</v>
      </c>
      <c r="HU124" t="e">
        <f>Nodes!B1002+"'E4!'$I"</f>
        <v>#VALUE!</v>
      </c>
      <c r="HV124" t="e">
        <f>Nodes!C1002+"'E4!'$J"</f>
        <v>#VALUE!</v>
      </c>
      <c r="HW124" t="e">
        <f>Nodes!D1002+"'E4!'$K"</f>
        <v>#VALUE!</v>
      </c>
      <c r="HX124" t="e">
        <f>Nodes!E1002+"'E4!'$L"</f>
        <v>#VALUE!</v>
      </c>
      <c r="HY124" t="e">
        <f>Nodes!F1002+"'E4!'$M"</f>
        <v>#VALUE!</v>
      </c>
      <c r="HZ124" t="e">
        <f>Nodes!G1002+"'E4!'$N"</f>
        <v>#VALUE!</v>
      </c>
      <c r="IA124" t="e">
        <f>Nodes!H1002+"'E4!'$O"</f>
        <v>#VALUE!</v>
      </c>
      <c r="IB124" t="e">
        <f>Nodes!I1002+"'E4!'$P"</f>
        <v>#VALUE!</v>
      </c>
      <c r="IC124" t="e">
        <f>Nodes!J1002+"'E4!'$Q"</f>
        <v>#VALUE!</v>
      </c>
      <c r="ID124" t="e">
        <f>Nodes!K1002+"'E4!'$R"</f>
        <v>#VALUE!</v>
      </c>
      <c r="IE124" t="e">
        <f>Nodes!L1002+"'E4!'$S"</f>
        <v>#VALUE!</v>
      </c>
      <c r="IF124" t="e">
        <f>Nodes!M1002+"'E4!'$T"</f>
        <v>#VALUE!</v>
      </c>
      <c r="IG124" t="e">
        <f>Nodes!N1002+"'E4!'$U"</f>
        <v>#VALUE!</v>
      </c>
      <c r="IH124" t="e">
        <f>Nodes!O1002+"'E4!'$V"</f>
        <v>#VALUE!</v>
      </c>
      <c r="II124" t="e">
        <f>Nodes!P1002+"'E4!'$W"</f>
        <v>#VALUE!</v>
      </c>
      <c r="IJ124" t="e">
        <f>Nodes!Q1002+"'E4!'$X"</f>
        <v>#VALUE!</v>
      </c>
      <c r="IK124" t="e">
        <f>Nodes!R1002+"'E4!'$Y"</f>
        <v>#VALUE!</v>
      </c>
      <c r="IL124" t="e">
        <f>Nodes!S1002+"'E4!'$Z"</f>
        <v>#VALUE!</v>
      </c>
      <c r="IM124" t="e">
        <f>Nodes!T1002+"'E4!'$["</f>
        <v>#VALUE!</v>
      </c>
      <c r="IN124" t="e">
        <f>Nodes!U1002+"'E4!'$\"</f>
        <v>#VALUE!</v>
      </c>
      <c r="IO124" t="e">
        <f>Nodes!V1002+"'E4!'$]"</f>
        <v>#VALUE!</v>
      </c>
      <c r="IP124" t="e">
        <f>Nodes!W1002+"'E4!'$^"</f>
        <v>#VALUE!</v>
      </c>
      <c r="IQ124" s="333" t="e">
        <f>Nodes!X1002+"'E4!'$_"</f>
        <v>#VALUE!</v>
      </c>
      <c r="IR124" t="e">
        <f>Nodes!Y1002+"'E4!'$`"</f>
        <v>#VALUE!</v>
      </c>
      <c r="IS124" t="e">
        <f>Nodes!Z1002+"'E4!'$a"</f>
        <v>#VALUE!</v>
      </c>
      <c r="IT124" t="e">
        <f>Nodes!AA1002+"'E4!'$b"</f>
        <v>#VALUE!</v>
      </c>
      <c r="IU124" t="e">
        <f>Nodes!AB1002+"'E4!'$c"</f>
        <v>#VALUE!</v>
      </c>
      <c r="IV124" t="e">
        <f>Nodes!AC1002+"'E4!'$d"</f>
        <v>#VALUE!</v>
      </c>
    </row>
    <row r="125" spans="6:256">
      <c r="F125" t="e">
        <f>Nodes!A1003+"'E4!'$e"</f>
        <v>#VALUE!</v>
      </c>
      <c r="G125" t="e">
        <f>Nodes!B1003+"'E4!'$f"</f>
        <v>#VALUE!</v>
      </c>
      <c r="H125" t="e">
        <f>Nodes!C1003+"'E4!'$g"</f>
        <v>#VALUE!</v>
      </c>
      <c r="I125" t="e">
        <f>Nodes!D1003+"'E4!'$h"</f>
        <v>#VALUE!</v>
      </c>
      <c r="J125" t="e">
        <f>Nodes!E1003+"'E4!'$i"</f>
        <v>#VALUE!</v>
      </c>
      <c r="K125" t="e">
        <f>Nodes!F1003+"'E4!'$j"</f>
        <v>#VALUE!</v>
      </c>
      <c r="L125" t="e">
        <f>Nodes!G1003+"'E4!'$k"</f>
        <v>#VALUE!</v>
      </c>
      <c r="M125" t="e">
        <f>Nodes!H1003+"'E4!'$l"</f>
        <v>#VALUE!</v>
      </c>
      <c r="N125" t="e">
        <f>Nodes!I1003+"'E4!'$m"</f>
        <v>#VALUE!</v>
      </c>
      <c r="O125" t="e">
        <f>Nodes!J1003+"'E4!'$n"</f>
        <v>#VALUE!</v>
      </c>
      <c r="P125" t="e">
        <f>Nodes!K1003+"'E4!'$o"</f>
        <v>#VALUE!</v>
      </c>
      <c r="Q125" t="e">
        <f>Nodes!L1003+"'E4!'$p"</f>
        <v>#VALUE!</v>
      </c>
      <c r="R125" t="e">
        <f>Nodes!M1003+"'E4!'$q"</f>
        <v>#VALUE!</v>
      </c>
      <c r="S125" t="e">
        <f>Nodes!N1003+"'E4!'$r"</f>
        <v>#VALUE!</v>
      </c>
      <c r="T125" t="e">
        <f>Nodes!O1003+"'E4!'$s"</f>
        <v>#VALUE!</v>
      </c>
      <c r="U125" t="e">
        <f>Nodes!P1003+"'E4!'$t"</f>
        <v>#VALUE!</v>
      </c>
      <c r="V125" t="e">
        <f>Nodes!Q1003+"'E4!'$u"</f>
        <v>#VALUE!</v>
      </c>
      <c r="W125" t="e">
        <f>Nodes!R1003+"'E4!'$v"</f>
        <v>#VALUE!</v>
      </c>
      <c r="X125" t="e">
        <f>Nodes!S1003+"'E4!'$w"</f>
        <v>#VALUE!</v>
      </c>
      <c r="Y125" t="e">
        <f>Nodes!T1003+"'E4!'$x"</f>
        <v>#VALUE!</v>
      </c>
      <c r="Z125" t="e">
        <f>Nodes!U1003+"'E4!'$y"</f>
        <v>#VALUE!</v>
      </c>
      <c r="AA125" t="e">
        <f>Nodes!V1003+"'E4!'$z"</f>
        <v>#VALUE!</v>
      </c>
      <c r="AB125" t="e">
        <f>Nodes!W1003+"'E4!'${"</f>
        <v>#VALUE!</v>
      </c>
      <c r="AC125" s="333" t="e">
        <f>Nodes!X1003+"'E4!'$|"</f>
        <v>#VALUE!</v>
      </c>
      <c r="AD125" t="e">
        <f>Nodes!Y1003+"'E4!'$}"</f>
        <v>#VALUE!</v>
      </c>
      <c r="AE125" t="e">
        <f>Nodes!Z1003+"'E4!'$~"</f>
        <v>#VALUE!</v>
      </c>
      <c r="AF125" t="e">
        <f>Nodes!AA1003+"'E4!'%#"</f>
        <v>#VALUE!</v>
      </c>
      <c r="AG125" t="e">
        <f>Nodes!AB1003+"'E4!'%$"</f>
        <v>#VALUE!</v>
      </c>
      <c r="AH125" t="e">
        <f>Nodes!AC1003+"'E4!'%%"</f>
        <v>#VALUE!</v>
      </c>
      <c r="AI125" t="e">
        <f>Nodes!A1004+"'E4!'%&amp;"</f>
        <v>#VALUE!</v>
      </c>
      <c r="AJ125" t="e">
        <f>Nodes!B1004+"'E4!'%'"</f>
        <v>#VALUE!</v>
      </c>
      <c r="AK125" t="e">
        <f>Nodes!C1004+"'E4!'%("</f>
        <v>#VALUE!</v>
      </c>
      <c r="AL125" t="e">
        <f>Nodes!D1004+"'E4!'%)"</f>
        <v>#VALUE!</v>
      </c>
      <c r="AM125" t="e">
        <f>Nodes!E1004+"'E4!'%."</f>
        <v>#VALUE!</v>
      </c>
      <c r="AN125" t="e">
        <f>Nodes!F1004+"'E4!'%/"</f>
        <v>#VALUE!</v>
      </c>
      <c r="AO125" t="e">
        <f>Nodes!G1004+"'E4!'%0"</f>
        <v>#VALUE!</v>
      </c>
      <c r="AP125" t="e">
        <f>Nodes!H1004+"'E4!'%1"</f>
        <v>#VALUE!</v>
      </c>
      <c r="AQ125" t="e">
        <f>Nodes!I1004+"'E4!'%2"</f>
        <v>#VALUE!</v>
      </c>
      <c r="AR125" t="e">
        <f>Nodes!J1004+"'E4!'%3"</f>
        <v>#VALUE!</v>
      </c>
      <c r="AS125" t="e">
        <f>Nodes!K1004+"'E4!'%4"</f>
        <v>#VALUE!</v>
      </c>
      <c r="AT125" t="e">
        <f>Nodes!L1004+"'E4!'%5"</f>
        <v>#VALUE!</v>
      </c>
      <c r="AU125" t="e">
        <f>Nodes!M1004+"'E4!'%6"</f>
        <v>#VALUE!</v>
      </c>
      <c r="AV125" t="e">
        <f>Nodes!N1004+"'E4!'%7"</f>
        <v>#VALUE!</v>
      </c>
      <c r="AW125" t="e">
        <f>Nodes!O1004+"'E4!'%8"</f>
        <v>#VALUE!</v>
      </c>
      <c r="AX125" t="e">
        <f>Nodes!P1004+"'E4!'%9"</f>
        <v>#VALUE!</v>
      </c>
      <c r="AY125" t="e">
        <f>Nodes!Q1004+"'E4!'%:"</f>
        <v>#VALUE!</v>
      </c>
      <c r="AZ125" t="e">
        <f>Nodes!R1004+"'E4!'%;"</f>
        <v>#VALUE!</v>
      </c>
      <c r="BA125" t="e">
        <f>Nodes!S1004+"'E4!'%&lt;"</f>
        <v>#VALUE!</v>
      </c>
      <c r="BB125" t="e">
        <f>Nodes!T1004+"'E4!'%="</f>
        <v>#VALUE!</v>
      </c>
      <c r="BC125" t="e">
        <f>Nodes!U1004+"'E4!'%&gt;"</f>
        <v>#VALUE!</v>
      </c>
      <c r="BD125" t="e">
        <f>Nodes!V1004+"'E4!'%?"</f>
        <v>#VALUE!</v>
      </c>
      <c r="BE125" t="e">
        <f>Nodes!W1004+"'E4!'%@"</f>
        <v>#VALUE!</v>
      </c>
      <c r="BF125" s="333" t="e">
        <f>Nodes!X1004+"'E4!'%A"</f>
        <v>#VALUE!</v>
      </c>
      <c r="BG125" t="e">
        <f>Nodes!Y1004+"'E4!'%B"</f>
        <v>#VALUE!</v>
      </c>
      <c r="BH125" t="e">
        <f>Nodes!Z1004+"'E4!'%C"</f>
        <v>#VALUE!</v>
      </c>
      <c r="BI125" t="e">
        <f>Nodes!AA1004+"'E4!'%D"</f>
        <v>#VALUE!</v>
      </c>
      <c r="BJ125" t="e">
        <f>Nodes!AB1004+"'E4!'%E"</f>
        <v>#VALUE!</v>
      </c>
      <c r="BK125" t="e">
        <f>Nodes!AC1004+"'E4!'%F"</f>
        <v>#VALUE!</v>
      </c>
      <c r="BL125" t="e">
        <f>Nodes!A1005+"'E4!'%G"</f>
        <v>#VALUE!</v>
      </c>
      <c r="BM125" t="e">
        <f>Nodes!B1005+"'E4!'%H"</f>
        <v>#VALUE!</v>
      </c>
      <c r="BN125" t="e">
        <f>Nodes!C1005+"'E4!'%I"</f>
        <v>#VALUE!</v>
      </c>
      <c r="BO125" t="e">
        <f>Nodes!D1005+"'E4!'%J"</f>
        <v>#VALUE!</v>
      </c>
      <c r="BP125" t="e">
        <f>Nodes!E1005+"'E4!'%K"</f>
        <v>#VALUE!</v>
      </c>
      <c r="BQ125" t="e">
        <f>Nodes!F1005+"'E4!'%L"</f>
        <v>#VALUE!</v>
      </c>
      <c r="BR125" t="e">
        <f>Nodes!G1005+"'E4!'%M"</f>
        <v>#VALUE!</v>
      </c>
      <c r="BS125" t="e">
        <f>Nodes!H1005+"'E4!'%N"</f>
        <v>#VALUE!</v>
      </c>
      <c r="BT125" t="e">
        <f>Nodes!I1005+"'E4!'%O"</f>
        <v>#VALUE!</v>
      </c>
      <c r="BU125" t="e">
        <f>Nodes!J1005+"'E4!'%P"</f>
        <v>#VALUE!</v>
      </c>
      <c r="BV125" t="e">
        <f>Nodes!K1005+"'E4!'%Q"</f>
        <v>#VALUE!</v>
      </c>
      <c r="BW125" t="e">
        <f>Nodes!L1005+"'E4!'%R"</f>
        <v>#VALUE!</v>
      </c>
      <c r="BX125" t="e">
        <f>Nodes!M1005+"'E4!'%S"</f>
        <v>#VALUE!</v>
      </c>
      <c r="BY125" t="e">
        <f>Nodes!N1005+"'E4!'%T"</f>
        <v>#VALUE!</v>
      </c>
      <c r="BZ125" t="e">
        <f>Nodes!O1005+"'E4!'%U"</f>
        <v>#VALUE!</v>
      </c>
      <c r="CA125" t="e">
        <f>Nodes!P1005+"'E4!'%V"</f>
        <v>#VALUE!</v>
      </c>
      <c r="CB125" t="e">
        <f>Nodes!Q1005+"'E4!'%W"</f>
        <v>#VALUE!</v>
      </c>
      <c r="CC125" t="e">
        <f>Nodes!R1005+"'E4!'%X"</f>
        <v>#VALUE!</v>
      </c>
      <c r="CD125" t="e">
        <f>Nodes!S1005+"'E4!'%Y"</f>
        <v>#VALUE!</v>
      </c>
      <c r="CE125" t="e">
        <f>Nodes!T1005+"'E4!'%Z"</f>
        <v>#VALUE!</v>
      </c>
      <c r="CF125" t="e">
        <f>Nodes!U1005+"'E4!'%["</f>
        <v>#VALUE!</v>
      </c>
      <c r="CG125" t="e">
        <f>Nodes!V1005+"'E4!'%\"</f>
        <v>#VALUE!</v>
      </c>
      <c r="CH125" t="e">
        <f>Nodes!W1005+"'E4!'%]"</f>
        <v>#VALUE!</v>
      </c>
      <c r="CI125" s="333" t="e">
        <f>Nodes!X1005+"'E4!'%^"</f>
        <v>#VALUE!</v>
      </c>
      <c r="CJ125" t="e">
        <f>Nodes!Y1005+"'E4!'%_"</f>
        <v>#VALUE!</v>
      </c>
      <c r="CK125" t="e">
        <f>Nodes!Z1005+"'E4!'%`"</f>
        <v>#VALUE!</v>
      </c>
      <c r="CL125" t="e">
        <f>Nodes!AA1005+"'E4!'%a"</f>
        <v>#VALUE!</v>
      </c>
      <c r="CM125" t="e">
        <f>Nodes!AB1005+"'E4!'%b"</f>
        <v>#VALUE!</v>
      </c>
      <c r="CN125" t="e">
        <f>Nodes!AC1005+"'E4!'%c"</f>
        <v>#VALUE!</v>
      </c>
      <c r="CO125" t="e">
        <f>Nodes!A1006+"'E4!'%d"</f>
        <v>#VALUE!</v>
      </c>
      <c r="CP125" t="e">
        <f>Nodes!B1006+"'E4!'%e"</f>
        <v>#VALUE!</v>
      </c>
      <c r="CQ125" t="e">
        <f>Nodes!C1006+"'E4!'%f"</f>
        <v>#VALUE!</v>
      </c>
      <c r="CR125" t="e">
        <f>Nodes!D1006+"'E4!'%g"</f>
        <v>#VALUE!</v>
      </c>
      <c r="CS125" t="e">
        <f>Nodes!E1006+"'E4!'%h"</f>
        <v>#VALUE!</v>
      </c>
      <c r="CT125" t="e">
        <f>Nodes!F1006+"'E4!'%i"</f>
        <v>#VALUE!</v>
      </c>
      <c r="CU125" t="e">
        <f>Nodes!G1006+"'E4!'%j"</f>
        <v>#VALUE!</v>
      </c>
      <c r="CV125" t="e">
        <f>Nodes!H1006+"'E4!'%k"</f>
        <v>#VALUE!</v>
      </c>
      <c r="CW125" t="e">
        <f>Nodes!I1006+"'E4!'%l"</f>
        <v>#VALUE!</v>
      </c>
      <c r="CX125" t="e">
        <f>Nodes!J1006+"'E4!'%m"</f>
        <v>#VALUE!</v>
      </c>
      <c r="CY125" t="e">
        <f>Nodes!K1006+"'E4!'%n"</f>
        <v>#VALUE!</v>
      </c>
      <c r="CZ125" t="e">
        <f>Nodes!L1006+"'E4!'%o"</f>
        <v>#VALUE!</v>
      </c>
      <c r="DA125" t="e">
        <f>Nodes!M1006+"'E4!'%p"</f>
        <v>#VALUE!</v>
      </c>
      <c r="DB125" t="e">
        <f>Nodes!N1006+"'E4!'%q"</f>
        <v>#VALUE!</v>
      </c>
      <c r="DC125" t="e">
        <f>Nodes!O1006+"'E4!'%r"</f>
        <v>#VALUE!</v>
      </c>
      <c r="DD125" t="e">
        <f>Nodes!P1006+"'E4!'%s"</f>
        <v>#VALUE!</v>
      </c>
      <c r="DE125" t="e">
        <f>Nodes!Q1006+"'E4!'%t"</f>
        <v>#VALUE!</v>
      </c>
      <c r="DF125" t="e">
        <f>Nodes!R1006+"'E4!'%u"</f>
        <v>#VALUE!</v>
      </c>
      <c r="DG125" t="e">
        <f>Nodes!S1006+"'E4!'%v"</f>
        <v>#VALUE!</v>
      </c>
      <c r="DH125" t="e">
        <f>Nodes!T1006+"'E4!'%w"</f>
        <v>#VALUE!</v>
      </c>
      <c r="DI125" t="e">
        <f>Nodes!U1006+"'E4!'%x"</f>
        <v>#VALUE!</v>
      </c>
      <c r="DJ125" t="e">
        <f>Nodes!V1006+"'E4!'%y"</f>
        <v>#VALUE!</v>
      </c>
      <c r="DK125" t="e">
        <f>Nodes!W1006+"'E4!'%z"</f>
        <v>#VALUE!</v>
      </c>
      <c r="DL125" s="333" t="e">
        <f>Nodes!X1006+"'E4!'%{"</f>
        <v>#VALUE!</v>
      </c>
      <c r="DM125" t="e">
        <f>Nodes!Y1006+"'E4!'%|"</f>
        <v>#VALUE!</v>
      </c>
      <c r="DN125" t="e">
        <f>Nodes!Z1006+"'E4!'%}"</f>
        <v>#VALUE!</v>
      </c>
      <c r="DO125" t="e">
        <f>Nodes!AA1006+"'E4!'%~"</f>
        <v>#VALUE!</v>
      </c>
      <c r="DP125" t="e">
        <f>Nodes!AB1006+"'E4!'&amp;#"</f>
        <v>#VALUE!</v>
      </c>
      <c r="DQ125" t="e">
        <f>Nodes!AC1006+"'E4!'&amp;$"</f>
        <v>#VALUE!</v>
      </c>
      <c r="DR125" t="e">
        <f>Nodes!A1007+"'E4!'&amp;%"</f>
        <v>#VALUE!</v>
      </c>
      <c r="DS125" t="e">
        <f>Nodes!B1007+"'E4!'&amp;&amp;"</f>
        <v>#VALUE!</v>
      </c>
      <c r="DT125" t="e">
        <f>Nodes!C1007+"'E4!'&amp;'"</f>
        <v>#VALUE!</v>
      </c>
      <c r="DU125" t="e">
        <f>Nodes!D1007+"'E4!'&amp;("</f>
        <v>#VALUE!</v>
      </c>
      <c r="DV125" t="e">
        <f>Nodes!E1007+"'E4!'&amp;)"</f>
        <v>#VALUE!</v>
      </c>
      <c r="DW125" t="e">
        <f>Nodes!F1007+"'E4!'&amp;."</f>
        <v>#VALUE!</v>
      </c>
      <c r="DX125" t="e">
        <f>Nodes!G1007+"'E4!'&amp;/"</f>
        <v>#VALUE!</v>
      </c>
      <c r="DY125" t="e">
        <f>Nodes!H1007+"'E4!'&amp;0"</f>
        <v>#VALUE!</v>
      </c>
      <c r="DZ125" t="e">
        <f>Nodes!I1007+"'E4!'&amp;1"</f>
        <v>#VALUE!</v>
      </c>
      <c r="EA125" t="e">
        <f>Nodes!J1007+"'E4!'&amp;2"</f>
        <v>#VALUE!</v>
      </c>
      <c r="EB125" t="e">
        <f>Nodes!K1007+"'E4!'&amp;3"</f>
        <v>#VALUE!</v>
      </c>
      <c r="EC125" t="e">
        <f>Nodes!L1007+"'E4!'&amp;4"</f>
        <v>#VALUE!</v>
      </c>
      <c r="ED125" t="e">
        <f>Nodes!M1007+"'E4!'&amp;5"</f>
        <v>#VALUE!</v>
      </c>
      <c r="EE125" t="e">
        <f>Nodes!N1007+"'E4!'&amp;6"</f>
        <v>#VALUE!</v>
      </c>
      <c r="EF125" t="e">
        <f>Nodes!O1007+"'E4!'&amp;7"</f>
        <v>#VALUE!</v>
      </c>
      <c r="EG125" t="e">
        <f>Nodes!P1007+"'E4!'&amp;8"</f>
        <v>#VALUE!</v>
      </c>
      <c r="EH125" t="e">
        <f>Nodes!Q1007+"'E4!'&amp;9"</f>
        <v>#VALUE!</v>
      </c>
      <c r="EI125" t="e">
        <f>Nodes!R1007+"'E4!'&amp;:"</f>
        <v>#VALUE!</v>
      </c>
      <c r="EJ125" t="e">
        <f>Nodes!S1007+"'E4!'&amp;;"</f>
        <v>#VALUE!</v>
      </c>
      <c r="EK125" t="e">
        <f>Nodes!T1007+"'E4!'&amp;&lt;"</f>
        <v>#VALUE!</v>
      </c>
      <c r="EL125" t="e">
        <f>Nodes!U1007+"'E4!'&amp;="</f>
        <v>#VALUE!</v>
      </c>
      <c r="EM125" t="e">
        <f>Nodes!V1007+"'E4!'&amp;&gt;"</f>
        <v>#VALUE!</v>
      </c>
      <c r="EN125" t="e">
        <f>Nodes!W1007+"'E4!'&amp;?"</f>
        <v>#VALUE!</v>
      </c>
      <c r="EO125" s="333" t="e">
        <f>Nodes!X1007+"'E4!'&amp;@"</f>
        <v>#VALUE!</v>
      </c>
      <c r="EP125" t="e">
        <f>Nodes!Y1007+"'E4!'&amp;A"</f>
        <v>#VALUE!</v>
      </c>
      <c r="EQ125" t="e">
        <f>Nodes!Z1007+"'E4!'&amp;B"</f>
        <v>#VALUE!</v>
      </c>
      <c r="ER125" t="e">
        <f>Nodes!AA1007+"'E4!'&amp;C"</f>
        <v>#VALUE!</v>
      </c>
      <c r="ES125" t="e">
        <f>Nodes!AB1007+"'E4!'&amp;D"</f>
        <v>#VALUE!</v>
      </c>
      <c r="ET125" t="e">
        <f>Nodes!AC1007+"'E4!'&amp;E"</f>
        <v>#VALUE!</v>
      </c>
      <c r="EU125" t="e">
        <f>Nodes!A1008+"'E4!'&amp;F"</f>
        <v>#VALUE!</v>
      </c>
      <c r="EV125" t="e">
        <f>Nodes!B1008+"'E4!'&amp;G"</f>
        <v>#VALUE!</v>
      </c>
      <c r="EW125" t="e">
        <f>Nodes!C1008+"'E4!'&amp;H"</f>
        <v>#VALUE!</v>
      </c>
      <c r="EX125" t="e">
        <f>Nodes!D1008+"'E4!'&amp;I"</f>
        <v>#VALUE!</v>
      </c>
      <c r="EY125" t="e">
        <f>Nodes!E1008+"'E4!'&amp;J"</f>
        <v>#VALUE!</v>
      </c>
      <c r="EZ125" t="e">
        <f>Nodes!F1008+"'E4!'&amp;K"</f>
        <v>#VALUE!</v>
      </c>
      <c r="FA125" t="e">
        <f>Nodes!G1008+"'E4!'&amp;L"</f>
        <v>#VALUE!</v>
      </c>
      <c r="FB125" t="e">
        <f>Nodes!H1008+"'E4!'&amp;M"</f>
        <v>#VALUE!</v>
      </c>
      <c r="FC125" t="e">
        <f>Nodes!I1008+"'E4!'&amp;N"</f>
        <v>#VALUE!</v>
      </c>
      <c r="FD125" t="e">
        <f>Nodes!J1008+"'E4!'&amp;O"</f>
        <v>#VALUE!</v>
      </c>
      <c r="FE125" t="e">
        <f>Nodes!K1008+"'E4!'&amp;P"</f>
        <v>#VALUE!</v>
      </c>
      <c r="FF125" t="e">
        <f>Nodes!L1008+"'E4!'&amp;Q"</f>
        <v>#VALUE!</v>
      </c>
      <c r="FG125" t="e">
        <f>Nodes!M1008+"'E4!'&amp;R"</f>
        <v>#VALUE!</v>
      </c>
      <c r="FH125" t="e">
        <f>Nodes!N1008+"'E4!'&amp;S"</f>
        <v>#VALUE!</v>
      </c>
      <c r="FI125" t="e">
        <f>Nodes!O1008+"'E4!'&amp;T"</f>
        <v>#VALUE!</v>
      </c>
      <c r="FJ125" t="e">
        <f>Nodes!P1008+"'E4!'&amp;U"</f>
        <v>#VALUE!</v>
      </c>
      <c r="FK125" t="e">
        <f>Nodes!Q1008+"'E4!'&amp;V"</f>
        <v>#VALUE!</v>
      </c>
      <c r="FL125" t="e">
        <f>Nodes!R1008+"'E4!'&amp;W"</f>
        <v>#VALUE!</v>
      </c>
      <c r="FM125" t="e">
        <f>Nodes!S1008+"'E4!'&amp;X"</f>
        <v>#VALUE!</v>
      </c>
      <c r="FN125" t="e">
        <f>Nodes!T1008+"'E4!'&amp;Y"</f>
        <v>#VALUE!</v>
      </c>
      <c r="FO125" t="e">
        <f>Nodes!U1008+"'E4!'&amp;Z"</f>
        <v>#VALUE!</v>
      </c>
      <c r="FP125" t="e">
        <f>Nodes!V1008+"'E4!'&amp;["</f>
        <v>#VALUE!</v>
      </c>
      <c r="FQ125" t="e">
        <f>Nodes!W1008+"'E4!'&amp;\"</f>
        <v>#VALUE!</v>
      </c>
      <c r="FR125" s="333" t="e">
        <f>Nodes!X1008+"'E4!'&amp;]"</f>
        <v>#VALUE!</v>
      </c>
      <c r="FS125" t="e">
        <f>Nodes!Y1008+"'E4!'&amp;^"</f>
        <v>#VALUE!</v>
      </c>
      <c r="FT125" t="e">
        <f>Nodes!Z1008+"'E4!'&amp;_"</f>
        <v>#VALUE!</v>
      </c>
      <c r="FU125" t="e">
        <f>Nodes!AA1008+"'E4!'&amp;`"</f>
        <v>#VALUE!</v>
      </c>
      <c r="FV125" t="e">
        <f>Nodes!AB1008+"'E4!'&amp;a"</f>
        <v>#VALUE!</v>
      </c>
      <c r="FW125" t="e">
        <f>Nodes!AC1008+"'E4!'&amp;b"</f>
        <v>#VALUE!</v>
      </c>
      <c r="FX125" t="e">
        <f>Nodes!A1009+"'E4!'&amp;c"</f>
        <v>#VALUE!</v>
      </c>
      <c r="FY125" t="e">
        <f>Nodes!B1009+"'E4!'&amp;d"</f>
        <v>#VALUE!</v>
      </c>
      <c r="FZ125" t="e">
        <f>Nodes!C1009+"'E4!'&amp;e"</f>
        <v>#VALUE!</v>
      </c>
      <c r="GA125" t="e">
        <f>Nodes!D1009+"'E4!'&amp;f"</f>
        <v>#VALUE!</v>
      </c>
      <c r="GB125" t="e">
        <f>Nodes!E1009+"'E4!'&amp;g"</f>
        <v>#VALUE!</v>
      </c>
      <c r="GC125" t="e">
        <f>Nodes!F1009+"'E4!'&amp;h"</f>
        <v>#VALUE!</v>
      </c>
      <c r="GD125" t="e">
        <f>Nodes!G1009+"'E4!'&amp;i"</f>
        <v>#VALUE!</v>
      </c>
      <c r="GE125" t="e">
        <f>Nodes!H1009+"'E4!'&amp;j"</f>
        <v>#VALUE!</v>
      </c>
      <c r="GF125" t="e">
        <f>Nodes!I1009+"'E4!'&amp;k"</f>
        <v>#VALUE!</v>
      </c>
      <c r="GG125" t="e">
        <f>Nodes!J1009+"'E4!'&amp;l"</f>
        <v>#VALUE!</v>
      </c>
      <c r="GH125" t="e">
        <f>Nodes!K1009+"'E4!'&amp;m"</f>
        <v>#VALUE!</v>
      </c>
      <c r="GI125" t="e">
        <f>Nodes!L1009+"'E4!'&amp;n"</f>
        <v>#VALUE!</v>
      </c>
      <c r="GJ125" t="e">
        <f>Nodes!M1009+"'E4!'&amp;o"</f>
        <v>#VALUE!</v>
      </c>
      <c r="GK125" t="e">
        <f>Nodes!N1009+"'E4!'&amp;p"</f>
        <v>#VALUE!</v>
      </c>
      <c r="GL125" t="e">
        <f>Nodes!O1009+"'E4!'&amp;q"</f>
        <v>#VALUE!</v>
      </c>
      <c r="GM125" t="e">
        <f>Nodes!P1009+"'E4!'&amp;r"</f>
        <v>#VALUE!</v>
      </c>
      <c r="GN125" t="e">
        <f>Nodes!Q1009+"'E4!'&amp;s"</f>
        <v>#VALUE!</v>
      </c>
      <c r="GO125" t="e">
        <f>Nodes!R1009+"'E4!'&amp;t"</f>
        <v>#VALUE!</v>
      </c>
      <c r="GP125" t="e">
        <f>Nodes!S1009+"'E4!'&amp;u"</f>
        <v>#VALUE!</v>
      </c>
      <c r="GQ125" t="e">
        <f>Nodes!T1009+"'E4!'&amp;v"</f>
        <v>#VALUE!</v>
      </c>
      <c r="GR125" t="e">
        <f>Nodes!U1009+"'E4!'&amp;w"</f>
        <v>#VALUE!</v>
      </c>
      <c r="GS125" t="e">
        <f>Nodes!V1009+"'E4!'&amp;x"</f>
        <v>#VALUE!</v>
      </c>
      <c r="GT125" t="e">
        <f>Nodes!W1009+"'E4!'&amp;y"</f>
        <v>#VALUE!</v>
      </c>
      <c r="GU125" s="333" t="e">
        <f>Nodes!X1009+"'E4!'&amp;z"</f>
        <v>#VALUE!</v>
      </c>
      <c r="GV125" t="e">
        <f>Nodes!Y1009+"'E4!'&amp;{"</f>
        <v>#VALUE!</v>
      </c>
      <c r="GW125" t="e">
        <f>Nodes!Z1009+"'E4!'&amp;|"</f>
        <v>#VALUE!</v>
      </c>
      <c r="GX125" t="e">
        <f>Nodes!AA1009+"'E4!'&amp;}"</f>
        <v>#VALUE!</v>
      </c>
      <c r="GY125" t="e">
        <f>Nodes!AB1009+"'E4!'&amp;~"</f>
        <v>#VALUE!</v>
      </c>
      <c r="GZ125" t="e">
        <f>Nodes!AC1009+"'E4!''#"</f>
        <v>#VALUE!</v>
      </c>
      <c r="HA125" t="e">
        <f>Nodes!A1010+"'E4!''$"</f>
        <v>#VALUE!</v>
      </c>
      <c r="HB125" t="e">
        <f>Nodes!B1010+"'E4!''%"</f>
        <v>#VALUE!</v>
      </c>
      <c r="HC125" t="e">
        <f>Nodes!C1010+"'E4!''&amp;"</f>
        <v>#VALUE!</v>
      </c>
      <c r="HD125" t="e">
        <f>Nodes!D1010+"'E4!'''"</f>
        <v>#VALUE!</v>
      </c>
      <c r="HE125" t="e">
        <f>Nodes!E1010+"'E4!''("</f>
        <v>#VALUE!</v>
      </c>
      <c r="HF125" t="e">
        <f>Nodes!F1010+"'E4!'')"</f>
        <v>#VALUE!</v>
      </c>
      <c r="HG125" t="e">
        <f>Nodes!G1010+"'E4!''."</f>
        <v>#VALUE!</v>
      </c>
      <c r="HH125" t="e">
        <f>Nodes!H1010+"'E4!''/"</f>
        <v>#VALUE!</v>
      </c>
      <c r="HI125" t="e">
        <f>Nodes!I1010+"'E4!''0"</f>
        <v>#VALUE!</v>
      </c>
      <c r="HJ125" t="e">
        <f>Nodes!J1010+"'E4!''1"</f>
        <v>#VALUE!</v>
      </c>
      <c r="HK125" t="e">
        <f>Nodes!K1010+"'E4!''2"</f>
        <v>#VALUE!</v>
      </c>
      <c r="HL125" t="e">
        <f>Nodes!L1010+"'E4!''3"</f>
        <v>#VALUE!</v>
      </c>
      <c r="HM125" t="e">
        <f>Nodes!M1010+"'E4!''4"</f>
        <v>#VALUE!</v>
      </c>
      <c r="HN125" t="e">
        <f>Nodes!N1010+"'E4!''5"</f>
        <v>#VALUE!</v>
      </c>
      <c r="HO125" t="e">
        <f>Nodes!O1010+"'E4!''6"</f>
        <v>#VALUE!</v>
      </c>
      <c r="HP125" t="e">
        <f>Nodes!P1010+"'E4!''7"</f>
        <v>#VALUE!</v>
      </c>
      <c r="HQ125" t="e">
        <f>Nodes!Q1010+"'E4!''8"</f>
        <v>#VALUE!</v>
      </c>
      <c r="HR125" t="e">
        <f>Nodes!R1010+"'E4!''9"</f>
        <v>#VALUE!</v>
      </c>
      <c r="HS125" t="e">
        <f>Nodes!S1010+"'E4!'':"</f>
        <v>#VALUE!</v>
      </c>
      <c r="HT125" t="e">
        <f>Nodes!T1010+"'E4!'';"</f>
        <v>#VALUE!</v>
      </c>
      <c r="HU125" s="548" t="e">
        <f>Nodes!U1010+"'E4!''&lt;"</f>
        <v>#VALUE!</v>
      </c>
      <c r="HV125" t="e">
        <f>Nodes!V1010+"'E4!''="</f>
        <v>#VALUE!</v>
      </c>
      <c r="HW125" t="e">
        <f>Nodes!W1010+"'E4!''&gt;"</f>
        <v>#VALUE!</v>
      </c>
      <c r="HX125" s="333" t="e">
        <f>Nodes!X1010+"'E4!''?"</f>
        <v>#VALUE!</v>
      </c>
      <c r="HY125" t="e">
        <f>Nodes!Y1010+"'E4!''@"</f>
        <v>#VALUE!</v>
      </c>
      <c r="HZ125" t="e">
        <f>Nodes!Z1010+"'E4!''A"</f>
        <v>#VALUE!</v>
      </c>
      <c r="IA125" t="e">
        <f>Nodes!AA1010+"'E4!''B"</f>
        <v>#VALUE!</v>
      </c>
      <c r="IB125" t="e">
        <f>Nodes!AB1010+"'E4!''C"</f>
        <v>#VALUE!</v>
      </c>
      <c r="IC125" t="e">
        <f>Nodes!AC1010+"'E4!''D"</f>
        <v>#VALUE!</v>
      </c>
      <c r="ID125" t="e">
        <f>Nodes!A1011+"'E4!''E"</f>
        <v>#VALUE!</v>
      </c>
      <c r="IE125" t="e">
        <f>Nodes!B1011+"'E4!''F"</f>
        <v>#VALUE!</v>
      </c>
      <c r="IF125" t="e">
        <f>Nodes!C1011+"'E4!''G"</f>
        <v>#VALUE!</v>
      </c>
      <c r="IG125" t="e">
        <f>Nodes!D1011+"'E4!''H"</f>
        <v>#VALUE!</v>
      </c>
      <c r="IH125" t="e">
        <f>Nodes!E1011+"'E4!''I"</f>
        <v>#VALUE!</v>
      </c>
      <c r="II125" t="e">
        <f>Nodes!F1011+"'E4!''J"</f>
        <v>#VALUE!</v>
      </c>
      <c r="IJ125" t="e">
        <f>Nodes!G1011+"'E4!''K"</f>
        <v>#VALUE!</v>
      </c>
      <c r="IK125" t="e">
        <f>Nodes!H1011+"'E4!''L"</f>
        <v>#VALUE!</v>
      </c>
      <c r="IL125" t="e">
        <f>Nodes!I1011+"'E4!''M"</f>
        <v>#VALUE!</v>
      </c>
      <c r="IM125" t="e">
        <f>Nodes!J1011+"'E4!''N"</f>
        <v>#VALUE!</v>
      </c>
      <c r="IN125" t="e">
        <f>Nodes!K1011+"'E4!''O"</f>
        <v>#VALUE!</v>
      </c>
      <c r="IO125" t="e">
        <f>Nodes!L1011+"'E4!''P"</f>
        <v>#VALUE!</v>
      </c>
      <c r="IP125" t="e">
        <f>Nodes!M1011+"'E4!''Q"</f>
        <v>#VALUE!</v>
      </c>
      <c r="IQ125" t="e">
        <f>Nodes!N1011+"'E4!''R"</f>
        <v>#VALUE!</v>
      </c>
      <c r="IR125" t="e">
        <f>Nodes!O1011+"'E4!''S"</f>
        <v>#VALUE!</v>
      </c>
      <c r="IS125" t="e">
        <f>Nodes!P1011+"'E4!''T"</f>
        <v>#VALUE!</v>
      </c>
      <c r="IT125" t="e">
        <f>Nodes!Q1011+"'E4!''U"</f>
        <v>#VALUE!</v>
      </c>
      <c r="IU125" t="e">
        <f>Nodes!R1011+"'E4!''V"</f>
        <v>#VALUE!</v>
      </c>
      <c r="IV125" t="e">
        <f>Nodes!S1011+"'E4!''W"</f>
        <v>#VALUE!</v>
      </c>
    </row>
    <row r="126" spans="6:256">
      <c r="F126" t="e">
        <f>Nodes!T1011+"'E4!''X"</f>
        <v>#VALUE!</v>
      </c>
      <c r="G126" s="548" t="e">
        <f>Nodes!U1011+"'E4!''Y"</f>
        <v>#VALUE!</v>
      </c>
      <c r="H126" t="e">
        <f>Nodes!V1011+"'E4!''Z"</f>
        <v>#VALUE!</v>
      </c>
      <c r="I126" t="e">
        <f>Nodes!W1011+"'E4!''["</f>
        <v>#VALUE!</v>
      </c>
      <c r="J126" s="333" t="e">
        <f>Nodes!X1011+"'E4!''\"</f>
        <v>#VALUE!</v>
      </c>
      <c r="K126" t="e">
        <f>Nodes!Y1011+"'E4!'']"</f>
        <v>#VALUE!</v>
      </c>
      <c r="L126" t="e">
        <f>Nodes!Z1011+"'E4!''^"</f>
        <v>#VALUE!</v>
      </c>
      <c r="M126" t="e">
        <f>Nodes!AA1011+"'E4!''_"</f>
        <v>#VALUE!</v>
      </c>
      <c r="N126" t="e">
        <f>Nodes!AB1011+"'E4!''`"</f>
        <v>#VALUE!</v>
      </c>
      <c r="O126" t="e">
        <f>Nodes!AC1011+"'E4!''a"</f>
        <v>#VALUE!</v>
      </c>
      <c r="P126" t="e">
        <f>Nodes!A1012+"'E4!''b"</f>
        <v>#VALUE!</v>
      </c>
      <c r="Q126" t="e">
        <f>Nodes!B1012+"'E4!''c"</f>
        <v>#VALUE!</v>
      </c>
      <c r="R126" t="e">
        <f>Nodes!C1012+"'E4!''d"</f>
        <v>#VALUE!</v>
      </c>
      <c r="S126" t="e">
        <f>Nodes!D1012+"'E4!''e"</f>
        <v>#VALUE!</v>
      </c>
      <c r="T126" t="e">
        <f>Nodes!E1012+"'E4!''f"</f>
        <v>#VALUE!</v>
      </c>
      <c r="U126" t="e">
        <f>Nodes!F1012+"'E4!''g"</f>
        <v>#VALUE!</v>
      </c>
      <c r="V126" t="e">
        <f>Nodes!G1012+"'E4!''h"</f>
        <v>#VALUE!</v>
      </c>
      <c r="W126" t="e">
        <f>Nodes!H1012+"'E4!''i"</f>
        <v>#VALUE!</v>
      </c>
      <c r="X126" t="e">
        <f>Nodes!I1012+"'E4!''j"</f>
        <v>#VALUE!</v>
      </c>
      <c r="Y126" t="e">
        <f>Nodes!J1012+"'E4!''k"</f>
        <v>#VALUE!</v>
      </c>
      <c r="Z126" t="e">
        <f>Nodes!K1012+"'E4!''l"</f>
        <v>#VALUE!</v>
      </c>
      <c r="AA126" t="e">
        <f>Nodes!L1012+"'E4!''m"</f>
        <v>#VALUE!</v>
      </c>
      <c r="AB126" t="e">
        <f>Nodes!M1012+"'E4!''n"</f>
        <v>#VALUE!</v>
      </c>
      <c r="AC126" t="e">
        <f>Nodes!N1012+"'E4!''o"</f>
        <v>#VALUE!</v>
      </c>
      <c r="AD126" t="e">
        <f>Nodes!O1012+"'E4!''p"</f>
        <v>#VALUE!</v>
      </c>
      <c r="AE126" t="e">
        <f>Nodes!P1012+"'E4!''q"</f>
        <v>#VALUE!</v>
      </c>
      <c r="AF126" t="e">
        <f>Nodes!Q1012+"'E4!''r"</f>
        <v>#VALUE!</v>
      </c>
      <c r="AG126" t="e">
        <f>Nodes!R1012+"'E4!''s"</f>
        <v>#VALUE!</v>
      </c>
      <c r="AH126" t="e">
        <f>Nodes!S1012+"'E4!''t"</f>
        <v>#VALUE!</v>
      </c>
      <c r="AI126" t="e">
        <f>Nodes!T1012+"'E4!''u"</f>
        <v>#VALUE!</v>
      </c>
      <c r="AJ126" s="548" t="e">
        <f>Nodes!U1012+"'E4!''v"</f>
        <v>#VALUE!</v>
      </c>
      <c r="AK126" t="e">
        <f>Nodes!V1012+"'E4!''w"</f>
        <v>#VALUE!</v>
      </c>
      <c r="AL126" t="e">
        <f>Nodes!W1012+"'E4!''x"</f>
        <v>#VALUE!</v>
      </c>
      <c r="AM126" s="333" t="e">
        <f>Nodes!X1012+"'E4!''y"</f>
        <v>#VALUE!</v>
      </c>
      <c r="AN126" t="e">
        <f>Nodes!Y1012+"'E4!''z"</f>
        <v>#VALUE!</v>
      </c>
      <c r="AO126" t="e">
        <f>Nodes!Z1012+"'E4!''{"</f>
        <v>#VALUE!</v>
      </c>
      <c r="AP126" t="e">
        <f>Nodes!AA1012+"'E4!''|"</f>
        <v>#VALUE!</v>
      </c>
      <c r="AQ126" t="e">
        <f>Nodes!AB1012+"'E4!''}"</f>
        <v>#VALUE!</v>
      </c>
      <c r="AR126" t="e">
        <f>Nodes!AC1012+"'E4!''~"</f>
        <v>#VALUE!</v>
      </c>
      <c r="AS126" t="e">
        <f>Nodes!A1013+"'E4!'(#"</f>
        <v>#VALUE!</v>
      </c>
      <c r="AT126" t="e">
        <f>Nodes!B1013+"'E4!'($"</f>
        <v>#VALUE!</v>
      </c>
      <c r="AU126" t="e">
        <f>Nodes!C1013+"'E4!'(%"</f>
        <v>#VALUE!</v>
      </c>
      <c r="AV126" t="e">
        <f>Nodes!D1013+"'E4!'(&amp;"</f>
        <v>#VALUE!</v>
      </c>
      <c r="AW126" t="e">
        <f>Nodes!E1013+"'E4!'('"</f>
        <v>#VALUE!</v>
      </c>
      <c r="AX126" t="e">
        <f>Nodes!F1013+"'E4!'(("</f>
        <v>#VALUE!</v>
      </c>
      <c r="AY126" t="e">
        <f>Nodes!G1013+"'E4!'()"</f>
        <v>#VALUE!</v>
      </c>
      <c r="AZ126" t="e">
        <f>Nodes!H1013+"'E4!'(."</f>
        <v>#VALUE!</v>
      </c>
      <c r="BA126" t="e">
        <f>Nodes!I1013+"'E4!'(/"</f>
        <v>#VALUE!</v>
      </c>
      <c r="BB126" t="e">
        <f>Nodes!J1013+"'E4!'(0"</f>
        <v>#VALUE!</v>
      </c>
      <c r="BC126" t="e">
        <f>Nodes!K1013+"'E4!'(1"</f>
        <v>#VALUE!</v>
      </c>
      <c r="BD126" t="e">
        <f>Nodes!L1013+"'E4!'(2"</f>
        <v>#VALUE!</v>
      </c>
      <c r="BE126" t="e">
        <f>Nodes!M1013+"'E4!'(3"</f>
        <v>#VALUE!</v>
      </c>
      <c r="BF126" t="e">
        <f>Nodes!N1013+"'E4!'(4"</f>
        <v>#VALUE!</v>
      </c>
      <c r="BG126" t="e">
        <f>Nodes!O1013+"'E4!'(5"</f>
        <v>#VALUE!</v>
      </c>
      <c r="BH126" t="e">
        <f>Nodes!P1013+"'E4!'(6"</f>
        <v>#VALUE!</v>
      </c>
      <c r="BI126" t="e">
        <f>Nodes!Q1013+"'E4!'(7"</f>
        <v>#VALUE!</v>
      </c>
      <c r="BJ126" t="e">
        <f>Nodes!R1013+"'E4!'(8"</f>
        <v>#VALUE!</v>
      </c>
      <c r="BK126" t="e">
        <f>Nodes!S1013+"'E4!'(9"</f>
        <v>#VALUE!</v>
      </c>
      <c r="BL126" t="e">
        <f>Nodes!T1013+"'E4!'(:"</f>
        <v>#VALUE!</v>
      </c>
      <c r="BM126" s="548" t="e">
        <f>Nodes!U1013+"'E4!'(;"</f>
        <v>#VALUE!</v>
      </c>
      <c r="BN126" t="e">
        <f>Nodes!V1013+"'E4!'(&lt;"</f>
        <v>#VALUE!</v>
      </c>
      <c r="BO126" t="e">
        <f>Nodes!W1013+"'E4!'(="</f>
        <v>#VALUE!</v>
      </c>
      <c r="BP126" s="333" t="e">
        <f>Nodes!X1013+"'E4!'(&gt;"</f>
        <v>#VALUE!</v>
      </c>
      <c r="BQ126" t="e">
        <f>Nodes!Y1013+"'E4!'(?"</f>
        <v>#VALUE!</v>
      </c>
      <c r="BR126" t="e">
        <f>Nodes!Z1013+"'E4!'(@"</f>
        <v>#VALUE!</v>
      </c>
      <c r="BS126" t="e">
        <f>Nodes!AA1013+"'E4!'(A"</f>
        <v>#VALUE!</v>
      </c>
      <c r="BT126" t="e">
        <f>Nodes!AB1013+"'E4!'(B"</f>
        <v>#VALUE!</v>
      </c>
      <c r="BU126" t="e">
        <f>Nodes!AC1013+"'E4!'(C"</f>
        <v>#VALUE!</v>
      </c>
      <c r="BV126" t="e">
        <f>Nodes!A1014+"'E4!'(D"</f>
        <v>#VALUE!</v>
      </c>
      <c r="BW126" t="e">
        <f>Nodes!B1014+"'E4!'(E"</f>
        <v>#VALUE!</v>
      </c>
      <c r="BX126" t="e">
        <f>Nodes!C1014+"'E4!'(F"</f>
        <v>#VALUE!</v>
      </c>
      <c r="BY126" t="e">
        <f>Nodes!D1014+"'E4!'(G"</f>
        <v>#VALUE!</v>
      </c>
      <c r="BZ126" t="e">
        <f>Nodes!E1014+"'E4!'(H"</f>
        <v>#VALUE!</v>
      </c>
      <c r="CA126" t="e">
        <f>Nodes!F1014+"'E4!'(I"</f>
        <v>#VALUE!</v>
      </c>
      <c r="CB126" t="e">
        <f>Nodes!G1014+"'E4!'(J"</f>
        <v>#VALUE!</v>
      </c>
      <c r="CC126" t="e">
        <f>Nodes!H1014+"'E4!'(K"</f>
        <v>#VALUE!</v>
      </c>
      <c r="CD126" t="e">
        <f>Nodes!I1014+"'E4!'(L"</f>
        <v>#VALUE!</v>
      </c>
      <c r="CE126" t="e">
        <f>Nodes!J1014+"'E4!'(M"</f>
        <v>#VALUE!</v>
      </c>
      <c r="CF126" t="e">
        <f>Nodes!K1014+"'E4!'(N"</f>
        <v>#VALUE!</v>
      </c>
      <c r="CG126" t="e">
        <f>Nodes!L1014+"'E4!'(O"</f>
        <v>#VALUE!</v>
      </c>
      <c r="CH126" t="e">
        <f>Nodes!M1014+"'E4!'(P"</f>
        <v>#VALUE!</v>
      </c>
      <c r="CI126" t="e">
        <f>Nodes!N1014+"'E4!'(Q"</f>
        <v>#VALUE!</v>
      </c>
      <c r="CJ126" t="e">
        <f>Nodes!O1014+"'E4!'(R"</f>
        <v>#VALUE!</v>
      </c>
      <c r="CK126" t="e">
        <f>Nodes!P1014+"'E4!'(S"</f>
        <v>#VALUE!</v>
      </c>
      <c r="CL126" t="e">
        <f>Nodes!Q1014+"'E4!'(T"</f>
        <v>#VALUE!</v>
      </c>
      <c r="CM126" t="e">
        <f>Nodes!R1014+"'E4!'(U"</f>
        <v>#VALUE!</v>
      </c>
      <c r="CN126" t="e">
        <f>Nodes!S1014+"'E4!'(V"</f>
        <v>#VALUE!</v>
      </c>
      <c r="CO126" t="e">
        <f>Nodes!T1014+"'E4!'(W"</f>
        <v>#VALUE!</v>
      </c>
      <c r="CP126" s="548" t="e">
        <f>Nodes!U1014+"'E4!'(X"</f>
        <v>#VALUE!</v>
      </c>
      <c r="CQ126" t="e">
        <f>Nodes!V1014+"'E4!'(Y"</f>
        <v>#VALUE!</v>
      </c>
      <c r="CR126" t="e">
        <f>Nodes!W1014+"'E4!'(Z"</f>
        <v>#VALUE!</v>
      </c>
      <c r="CS126" s="333" t="e">
        <f>Nodes!X1014+"'E4!'(["</f>
        <v>#VALUE!</v>
      </c>
      <c r="CT126" t="e">
        <f>Nodes!Y1014+"'E4!'(\"</f>
        <v>#VALUE!</v>
      </c>
      <c r="CU126" t="e">
        <f>Nodes!Z1014+"'E4!'(]"</f>
        <v>#VALUE!</v>
      </c>
      <c r="CV126" t="e">
        <f>Nodes!AA1014+"'E4!'(^"</f>
        <v>#VALUE!</v>
      </c>
      <c r="CW126" t="e">
        <f>Nodes!AB1014+"'E4!'(_"</f>
        <v>#VALUE!</v>
      </c>
      <c r="CX126" t="e">
        <f>Nodes!AC1014+"'E4!'(`"</f>
        <v>#VALUE!</v>
      </c>
      <c r="CY126" t="e">
        <f>Nodes!A1015+"'E4!'(a"</f>
        <v>#VALUE!</v>
      </c>
      <c r="CZ126" t="e">
        <f>Nodes!B1015+"'E4!'(b"</f>
        <v>#VALUE!</v>
      </c>
      <c r="DA126" t="e">
        <f>Nodes!C1015+"'E4!'(c"</f>
        <v>#VALUE!</v>
      </c>
      <c r="DB126" t="e">
        <f>Nodes!D1015+"'E4!'(d"</f>
        <v>#VALUE!</v>
      </c>
      <c r="DC126" t="e">
        <f>Nodes!E1015+"'E4!'(e"</f>
        <v>#VALUE!</v>
      </c>
      <c r="DD126" t="e">
        <f>Nodes!F1015+"'E4!'(f"</f>
        <v>#VALUE!</v>
      </c>
      <c r="DE126" t="e">
        <f>Nodes!G1015+"'E4!'(g"</f>
        <v>#VALUE!</v>
      </c>
      <c r="DF126" t="e">
        <f>Nodes!H1015+"'E4!'(h"</f>
        <v>#VALUE!</v>
      </c>
      <c r="DG126" t="e">
        <f>Nodes!I1015+"'E4!'(i"</f>
        <v>#VALUE!</v>
      </c>
      <c r="DH126" t="e">
        <f>Nodes!J1015+"'E4!'(j"</f>
        <v>#VALUE!</v>
      </c>
      <c r="DI126" t="e">
        <f>Nodes!K1015+"'E4!'(k"</f>
        <v>#VALUE!</v>
      </c>
      <c r="DJ126" t="e">
        <f>Nodes!L1015+"'E4!'(l"</f>
        <v>#VALUE!</v>
      </c>
      <c r="DK126" t="e">
        <f>Nodes!M1015+"'E4!'(m"</f>
        <v>#VALUE!</v>
      </c>
      <c r="DL126" t="e">
        <f>Nodes!N1015+"'E4!'(n"</f>
        <v>#VALUE!</v>
      </c>
      <c r="DM126" t="e">
        <f>Nodes!O1015+"'E4!'(o"</f>
        <v>#VALUE!</v>
      </c>
      <c r="DN126" t="e">
        <f>Nodes!P1015+"'E4!'(p"</f>
        <v>#VALUE!</v>
      </c>
      <c r="DO126" t="e">
        <f>Nodes!Q1015+"'E4!'(q"</f>
        <v>#VALUE!</v>
      </c>
      <c r="DP126" t="e">
        <f>Nodes!R1015+"'E4!'(r"</f>
        <v>#VALUE!</v>
      </c>
      <c r="DQ126" t="e">
        <f>Nodes!S1015+"'E4!'(s"</f>
        <v>#VALUE!</v>
      </c>
      <c r="DR126" s="548" t="e">
        <f>Nodes!T1015+"'E4!'(t"</f>
        <v>#VALUE!</v>
      </c>
      <c r="DS126" s="548" t="e">
        <f>Nodes!U1015+"'E4!'(u"</f>
        <v>#VALUE!</v>
      </c>
      <c r="DT126" s="548" t="e">
        <f>Nodes!V1015+"'E4!'(v"</f>
        <v>#VALUE!</v>
      </c>
      <c r="DU126" s="548" t="e">
        <f>Nodes!W1015+"'E4!'(w"</f>
        <v>#VALUE!</v>
      </c>
      <c r="DV126" s="333" t="e">
        <f>Nodes!X1015+"'E4!'(x"</f>
        <v>#VALUE!</v>
      </c>
      <c r="DW126" t="e">
        <f>Nodes!Y1015+"'E4!'(y"</f>
        <v>#VALUE!</v>
      </c>
      <c r="DX126" t="e">
        <f>Nodes!Z1015+"'E4!'(z"</f>
        <v>#VALUE!</v>
      </c>
      <c r="DY126" t="e">
        <f>Nodes!AA1015+"'E4!'({"</f>
        <v>#VALUE!</v>
      </c>
      <c r="DZ126" t="e">
        <f>Nodes!AB1015+"'E4!'(|"</f>
        <v>#VALUE!</v>
      </c>
      <c r="EA126" t="e">
        <f>Nodes!AC1015+"'E4!'(}"</f>
        <v>#VALUE!</v>
      </c>
      <c r="EB126" t="e">
        <f>Nodes!AD1015+"'E4!'(~"</f>
        <v>#VALUE!</v>
      </c>
      <c r="EC126" t="e">
        <f>Nodes!A1016+"'E4!')#"</f>
        <v>#VALUE!</v>
      </c>
      <c r="ED126" t="e">
        <f>Nodes!B1016+"'E4!')$"</f>
        <v>#VALUE!</v>
      </c>
      <c r="EE126" t="e">
        <f>Nodes!C1016+"'E4!')%"</f>
        <v>#VALUE!</v>
      </c>
      <c r="EF126" t="e">
        <f>Nodes!D1016+"'E4!')&amp;"</f>
        <v>#VALUE!</v>
      </c>
      <c r="EG126" t="e">
        <f>Nodes!E1016+"'E4!')'"</f>
        <v>#VALUE!</v>
      </c>
      <c r="EH126" t="e">
        <f>Nodes!F1016+"'E4!')("</f>
        <v>#VALUE!</v>
      </c>
      <c r="EI126" t="e">
        <f>Nodes!G1016+"'E4!'))"</f>
        <v>#VALUE!</v>
      </c>
      <c r="EJ126" t="e">
        <f>Nodes!H1016+"'E4!')."</f>
        <v>#VALUE!</v>
      </c>
      <c r="EK126" t="e">
        <f>Nodes!I1016+"'E4!')/"</f>
        <v>#VALUE!</v>
      </c>
      <c r="EL126" t="e">
        <f>Nodes!J1016+"'E4!')0"</f>
        <v>#VALUE!</v>
      </c>
      <c r="EM126" t="e">
        <f>Nodes!K1016+"'E4!')1"</f>
        <v>#VALUE!</v>
      </c>
      <c r="EN126" t="e">
        <f>Nodes!L1016+"'E4!')2"</f>
        <v>#VALUE!</v>
      </c>
      <c r="EO126" t="e">
        <f>Nodes!M1016+"'E4!')3"</f>
        <v>#VALUE!</v>
      </c>
      <c r="EP126" t="e">
        <f>Nodes!N1016+"'E4!')4"</f>
        <v>#VALUE!</v>
      </c>
      <c r="EQ126" t="e">
        <f>Nodes!O1016+"'E4!')5"</f>
        <v>#VALUE!</v>
      </c>
      <c r="ER126" t="e">
        <f>Nodes!P1016+"'E4!')6"</f>
        <v>#VALUE!</v>
      </c>
      <c r="ES126" t="e">
        <f>Nodes!Q1016+"'E4!')7"</f>
        <v>#VALUE!</v>
      </c>
      <c r="ET126" t="e">
        <f>Nodes!R1016+"'E4!')8"</f>
        <v>#VALUE!</v>
      </c>
      <c r="EU126" t="e">
        <f>Nodes!S1016+"'E4!')9"</f>
        <v>#VALUE!</v>
      </c>
      <c r="EV126" s="548" t="e">
        <f>Nodes!T1016+"'E4!'):"</f>
        <v>#VALUE!</v>
      </c>
      <c r="EW126" s="548" t="e">
        <f>Nodes!U1016+"'E4!');"</f>
        <v>#VALUE!</v>
      </c>
      <c r="EX126" s="548" t="e">
        <f>Nodes!V1016+"'E4!')&lt;"</f>
        <v>#VALUE!</v>
      </c>
      <c r="EY126" s="548" t="e">
        <f>Nodes!W1016+"'E4!')="</f>
        <v>#VALUE!</v>
      </c>
      <c r="EZ126" s="333" t="e">
        <f>Nodes!X1016+"'E4!')&gt;"</f>
        <v>#VALUE!</v>
      </c>
      <c r="FA126" t="e">
        <f>Nodes!Y1016+"'E4!')?"</f>
        <v>#VALUE!</v>
      </c>
      <c r="FB126" t="e">
        <f>Nodes!Z1016+"'E4!')@"</f>
        <v>#VALUE!</v>
      </c>
      <c r="FC126" t="e">
        <f>Nodes!AA1016+"'E4!')A"</f>
        <v>#VALUE!</v>
      </c>
      <c r="FD126" t="e">
        <f>Nodes!AB1016+"'E4!')B"</f>
        <v>#VALUE!</v>
      </c>
      <c r="FE126" t="e">
        <f>Nodes!AC1016+"'E4!')C"</f>
        <v>#VALUE!</v>
      </c>
      <c r="FF126" t="e">
        <f>Nodes!A1017+"'E4!')D"</f>
        <v>#VALUE!</v>
      </c>
      <c r="FG126" t="e">
        <f>Nodes!B1017+"'E4!')E"</f>
        <v>#VALUE!</v>
      </c>
      <c r="FH126" t="e">
        <f>Nodes!C1017+"'E4!')F"</f>
        <v>#VALUE!</v>
      </c>
      <c r="FI126" t="e">
        <f>Nodes!D1017+"'E4!')G"</f>
        <v>#VALUE!</v>
      </c>
      <c r="FJ126" t="e">
        <f>Nodes!E1017+"'E4!')H"</f>
        <v>#VALUE!</v>
      </c>
      <c r="FK126" t="e">
        <f>Nodes!F1017+"'E4!')I"</f>
        <v>#VALUE!</v>
      </c>
      <c r="FL126" t="e">
        <f>Nodes!G1017+"'E4!')J"</f>
        <v>#VALUE!</v>
      </c>
      <c r="FM126" t="e">
        <f>Nodes!H1017+"'E4!')K"</f>
        <v>#VALUE!</v>
      </c>
      <c r="FN126" t="e">
        <f>Nodes!I1017+"'E4!')L"</f>
        <v>#VALUE!</v>
      </c>
      <c r="FO126" t="e">
        <f>Nodes!J1017+"'E4!')M"</f>
        <v>#VALUE!</v>
      </c>
      <c r="FP126" t="e">
        <f>Nodes!K1017+"'E4!')N"</f>
        <v>#VALUE!</v>
      </c>
      <c r="FQ126" t="e">
        <f>Nodes!L1017+"'E4!')O"</f>
        <v>#VALUE!</v>
      </c>
      <c r="FR126" t="e">
        <f>Nodes!M1017+"'E4!')P"</f>
        <v>#VALUE!</v>
      </c>
      <c r="FS126" t="e">
        <f>Nodes!N1017+"'E4!')Q"</f>
        <v>#VALUE!</v>
      </c>
      <c r="FT126" t="e">
        <f>Nodes!O1017+"'E4!')R"</f>
        <v>#VALUE!</v>
      </c>
      <c r="FU126" t="e">
        <f>Nodes!P1017+"'E4!')S"</f>
        <v>#VALUE!</v>
      </c>
      <c r="FV126" t="e">
        <f>Nodes!Q1017+"'E4!')T"</f>
        <v>#VALUE!</v>
      </c>
      <c r="FW126" t="e">
        <f>Nodes!R1017+"'E4!')U"</f>
        <v>#VALUE!</v>
      </c>
      <c r="FX126" t="e">
        <f>Nodes!S1017+"'E4!')V"</f>
        <v>#VALUE!</v>
      </c>
      <c r="FY126" s="548" t="e">
        <f>Nodes!T1017+"'E4!')W"</f>
        <v>#VALUE!</v>
      </c>
      <c r="FZ126" s="548" t="e">
        <f>Nodes!U1017+"'E4!')X"</f>
        <v>#VALUE!</v>
      </c>
      <c r="GA126" s="548" t="e">
        <f>Nodes!V1017+"'E4!')Y"</f>
        <v>#VALUE!</v>
      </c>
      <c r="GB126" s="548" t="e">
        <f>Nodes!W1017+"'E4!')Z"</f>
        <v>#VALUE!</v>
      </c>
      <c r="GC126" s="333" t="e">
        <f>Nodes!X1017+"'E4!')["</f>
        <v>#VALUE!</v>
      </c>
      <c r="GD126" t="e">
        <f>Nodes!Y1017+"'E4!')\"</f>
        <v>#VALUE!</v>
      </c>
      <c r="GE126" t="e">
        <f>Nodes!Z1017+"'E4!')]"</f>
        <v>#VALUE!</v>
      </c>
      <c r="GF126" t="e">
        <f>Nodes!AA1017+"'E4!')^"</f>
        <v>#VALUE!</v>
      </c>
      <c r="GG126" t="e">
        <f>Nodes!AB1017+"'E4!')_"</f>
        <v>#VALUE!</v>
      </c>
      <c r="GH126" t="e">
        <f>Nodes!AC1017+"'E4!')`"</f>
        <v>#VALUE!</v>
      </c>
      <c r="GI126" t="e">
        <f>Nodes!A1018+"'E4!')a"</f>
        <v>#VALUE!</v>
      </c>
      <c r="GJ126" t="e">
        <f>Nodes!B1018+"'E4!')b"</f>
        <v>#VALUE!</v>
      </c>
      <c r="GK126" t="e">
        <f>Nodes!C1018+"'E4!')c"</f>
        <v>#VALUE!</v>
      </c>
      <c r="GL126" t="e">
        <f>Nodes!D1018+"'E4!')d"</f>
        <v>#VALUE!</v>
      </c>
      <c r="GM126" t="e">
        <f>Nodes!E1018+"'E4!')e"</f>
        <v>#VALUE!</v>
      </c>
      <c r="GN126" t="e">
        <f>Nodes!F1018+"'E4!')f"</f>
        <v>#VALUE!</v>
      </c>
      <c r="GO126" t="e">
        <f>Nodes!G1018+"'E4!')g"</f>
        <v>#VALUE!</v>
      </c>
      <c r="GP126" t="e">
        <f>Nodes!H1018+"'E4!')h"</f>
        <v>#VALUE!</v>
      </c>
      <c r="GQ126" t="e">
        <f>Nodes!I1018+"'E4!')i"</f>
        <v>#VALUE!</v>
      </c>
      <c r="GR126" t="e">
        <f>Nodes!J1018+"'E4!')j"</f>
        <v>#VALUE!</v>
      </c>
      <c r="GS126" t="e">
        <f>Nodes!K1018+"'E4!')k"</f>
        <v>#VALUE!</v>
      </c>
      <c r="GT126" t="e">
        <f>Nodes!L1018+"'E4!')l"</f>
        <v>#VALUE!</v>
      </c>
      <c r="GU126" t="e">
        <f>Nodes!M1018+"'E4!')m"</f>
        <v>#VALUE!</v>
      </c>
      <c r="GV126" t="e">
        <f>Nodes!N1018+"'E4!')n"</f>
        <v>#VALUE!</v>
      </c>
      <c r="GW126" t="e">
        <f>Nodes!O1018+"'E4!')o"</f>
        <v>#VALUE!</v>
      </c>
      <c r="GX126" t="e">
        <f>Nodes!P1018+"'E4!')p"</f>
        <v>#VALUE!</v>
      </c>
      <c r="GY126" t="e">
        <f>Nodes!Q1018+"'E4!')q"</f>
        <v>#VALUE!</v>
      </c>
      <c r="GZ126" t="e">
        <f>Nodes!R1018+"'E4!')r"</f>
        <v>#VALUE!</v>
      </c>
      <c r="HA126" t="e">
        <f>Nodes!S1018+"'E4!')s"</f>
        <v>#VALUE!</v>
      </c>
      <c r="HB126" s="548" t="e">
        <f>Nodes!T1018+"'E4!')t"</f>
        <v>#VALUE!</v>
      </c>
      <c r="HC126" s="548" t="e">
        <f>Nodes!U1018+"'E4!')u"</f>
        <v>#VALUE!</v>
      </c>
      <c r="HD126" s="548" t="e">
        <f>Nodes!V1018+"'E4!')v"</f>
        <v>#VALUE!</v>
      </c>
      <c r="HE126" s="548" t="e">
        <f>Nodes!W1018+"'E4!')w"</f>
        <v>#VALUE!</v>
      </c>
      <c r="HF126" s="333" t="e">
        <f>Nodes!X1018+"'E4!')x"</f>
        <v>#VALUE!</v>
      </c>
      <c r="HG126" t="e">
        <f>Nodes!Y1018+"'E4!')y"</f>
        <v>#VALUE!</v>
      </c>
      <c r="HH126" t="e">
        <f>Nodes!Z1018+"'E4!')z"</f>
        <v>#VALUE!</v>
      </c>
      <c r="HI126" t="e">
        <f>Nodes!AA1018+"'E4!'){"</f>
        <v>#VALUE!</v>
      </c>
      <c r="HJ126" t="e">
        <f>Nodes!AB1018+"'E4!')|"</f>
        <v>#VALUE!</v>
      </c>
      <c r="HK126" t="e">
        <f>Nodes!AD1018+"'E4!')}"</f>
        <v>#VALUE!</v>
      </c>
      <c r="HL126" t="e">
        <f>Nodes!A1019+"'E4!')~"</f>
        <v>#VALUE!</v>
      </c>
      <c r="HM126" t="e">
        <f>Nodes!B1019+"'E4!'.#"</f>
        <v>#VALUE!</v>
      </c>
      <c r="HN126" t="e">
        <f>Nodes!C1019+"'E4!'.$"</f>
        <v>#VALUE!</v>
      </c>
      <c r="HO126" t="e">
        <f>Nodes!D1019+"'E4!'.%"</f>
        <v>#VALUE!</v>
      </c>
      <c r="HP126" t="e">
        <f>Nodes!E1019+"'E4!'.&amp;"</f>
        <v>#VALUE!</v>
      </c>
      <c r="HQ126" t="e">
        <f>Nodes!F1019+"'E4!'.'"</f>
        <v>#VALUE!</v>
      </c>
      <c r="HR126" t="e">
        <f>Nodes!G1019+"'E4!'.("</f>
        <v>#VALUE!</v>
      </c>
      <c r="HS126" t="e">
        <f>Nodes!H1019+"'E4!'.)"</f>
        <v>#VALUE!</v>
      </c>
      <c r="HT126" t="e">
        <f>Nodes!I1019+"'E4!'.."</f>
        <v>#VALUE!</v>
      </c>
      <c r="HU126" t="e">
        <f>Nodes!J1019+"'E4!'./"</f>
        <v>#VALUE!</v>
      </c>
      <c r="HV126" t="e">
        <f>Nodes!K1019+"'E4!'.0"</f>
        <v>#VALUE!</v>
      </c>
      <c r="HW126" t="e">
        <f>Nodes!L1019+"'E4!'.1"</f>
        <v>#VALUE!</v>
      </c>
      <c r="HX126" t="e">
        <f>Nodes!M1019+"'E4!'.2"</f>
        <v>#VALUE!</v>
      </c>
      <c r="HY126" t="e">
        <f>Nodes!N1019+"'E4!'.3"</f>
        <v>#VALUE!</v>
      </c>
      <c r="HZ126" t="e">
        <f>Nodes!O1019+"'E4!'.4"</f>
        <v>#VALUE!</v>
      </c>
      <c r="IA126" t="e">
        <f>Nodes!P1019+"'E4!'.5"</f>
        <v>#VALUE!</v>
      </c>
      <c r="IB126" t="e">
        <f>Nodes!Q1019+"'E4!'.6"</f>
        <v>#VALUE!</v>
      </c>
      <c r="IC126" t="e">
        <f>Nodes!R1019+"'E4!'.7"</f>
        <v>#VALUE!</v>
      </c>
      <c r="ID126" t="e">
        <f>Nodes!S1019+"'E4!'.8"</f>
        <v>#VALUE!</v>
      </c>
      <c r="IE126" s="548" t="e">
        <f>Nodes!T1019+"'E4!'.9"</f>
        <v>#VALUE!</v>
      </c>
      <c r="IF126" s="548" t="e">
        <f>Nodes!U1019+"'E4!'.:"</f>
        <v>#VALUE!</v>
      </c>
      <c r="IG126" s="548" t="e">
        <f>Nodes!V1019+"'E4!'.;"</f>
        <v>#VALUE!</v>
      </c>
      <c r="IH126" s="548" t="e">
        <f>Nodes!W1019+"'E4!'.&lt;"</f>
        <v>#VALUE!</v>
      </c>
      <c r="II126" s="333" t="e">
        <f>Nodes!X1019+"'E4!'.="</f>
        <v>#VALUE!</v>
      </c>
      <c r="IJ126" t="e">
        <f>Nodes!Y1019+"'E4!'.&gt;"</f>
        <v>#VALUE!</v>
      </c>
      <c r="IK126" t="e">
        <f>Nodes!Z1019+"'E4!'.?"</f>
        <v>#VALUE!</v>
      </c>
      <c r="IL126" t="e">
        <f>Nodes!AA1019+"'E4!'.@"</f>
        <v>#VALUE!</v>
      </c>
      <c r="IM126" t="e">
        <f>Nodes!AB1019+"'E4!'.A"</f>
        <v>#VALUE!</v>
      </c>
      <c r="IN126" t="e">
        <f>Nodes!AC1019+"'E4!'.B"</f>
        <v>#VALUE!</v>
      </c>
      <c r="IO126" t="e">
        <f>Nodes!AD1019+"'E4!'.C"</f>
        <v>#VALUE!</v>
      </c>
      <c r="IP126" t="e">
        <f>Nodes!A1020+"'E4!'.D"</f>
        <v>#VALUE!</v>
      </c>
      <c r="IQ126" t="e">
        <f>Nodes!B1020+"'E4!'.E"</f>
        <v>#VALUE!</v>
      </c>
      <c r="IR126" t="e">
        <f>Nodes!C1020+"'E4!'.F"</f>
        <v>#VALUE!</v>
      </c>
      <c r="IS126" t="e">
        <f>Nodes!D1020+"'E4!'.G"</f>
        <v>#VALUE!</v>
      </c>
      <c r="IT126" t="e">
        <f>Nodes!E1020+"'E4!'.H"</f>
        <v>#VALUE!</v>
      </c>
      <c r="IU126" t="e">
        <f>Nodes!F1020+"'E4!'.I"</f>
        <v>#VALUE!</v>
      </c>
      <c r="IV126" t="e">
        <f>Nodes!G1020+"'E4!'.J"</f>
        <v>#VALUE!</v>
      </c>
    </row>
    <row r="127" spans="6:256">
      <c r="F127" t="e">
        <f>Nodes!H1020+"'E4!'.K"</f>
        <v>#VALUE!</v>
      </c>
      <c r="G127" t="e">
        <f>Nodes!I1020+"'E4!'.L"</f>
        <v>#VALUE!</v>
      </c>
      <c r="H127" t="e">
        <f>Nodes!J1020+"'E4!'.M"</f>
        <v>#VALUE!</v>
      </c>
      <c r="I127" t="e">
        <f>Nodes!K1020+"'E4!'.N"</f>
        <v>#VALUE!</v>
      </c>
      <c r="J127" t="e">
        <f>Nodes!L1020+"'E4!'.O"</f>
        <v>#VALUE!</v>
      </c>
      <c r="K127" t="e">
        <f>Nodes!M1020+"'E4!'.P"</f>
        <v>#VALUE!</v>
      </c>
      <c r="L127" t="e">
        <f>Nodes!N1020+"'E4!'.Q"</f>
        <v>#VALUE!</v>
      </c>
      <c r="M127" t="e">
        <f>Nodes!O1020+"'E4!'.R"</f>
        <v>#VALUE!</v>
      </c>
      <c r="N127" t="e">
        <f>Nodes!P1020+"'E4!'.S"</f>
        <v>#VALUE!</v>
      </c>
      <c r="O127" t="e">
        <f>Nodes!Q1020+"'E4!'.T"</f>
        <v>#VALUE!</v>
      </c>
      <c r="P127" t="e">
        <f>Nodes!R1020+"'E4!'.U"</f>
        <v>#VALUE!</v>
      </c>
      <c r="Q127" t="e">
        <f>Nodes!S1020+"'E4!'.V"</f>
        <v>#VALUE!</v>
      </c>
      <c r="R127" s="548" t="e">
        <f>Nodes!T1020+"'E4!'.W"</f>
        <v>#VALUE!</v>
      </c>
      <c r="S127" s="548" t="e">
        <f>Nodes!U1020+"'E4!'.X"</f>
        <v>#VALUE!</v>
      </c>
      <c r="T127" s="548" t="e">
        <f>Nodes!V1020+"'E4!'.Y"</f>
        <v>#VALUE!</v>
      </c>
      <c r="U127" s="548" t="e">
        <f>Nodes!W1020+"'E4!'.Z"</f>
        <v>#VALUE!</v>
      </c>
      <c r="V127" s="333" t="e">
        <f>Nodes!X1020+"'E4!'.["</f>
        <v>#VALUE!</v>
      </c>
      <c r="W127" t="e">
        <f>Nodes!Y1020+"'E4!'.\"</f>
        <v>#VALUE!</v>
      </c>
      <c r="X127" t="e">
        <f>Nodes!Z1020+"'E4!'.]"</f>
        <v>#VALUE!</v>
      </c>
      <c r="Y127" t="e">
        <f>Nodes!AA1020+"'E4!'.^"</f>
        <v>#VALUE!</v>
      </c>
      <c r="Z127" t="e">
        <f>Nodes!AB1020+"'E4!'._"</f>
        <v>#VALUE!</v>
      </c>
      <c r="AA127" t="e">
        <f>Nodes!AC1020+"'E4!'.`"</f>
        <v>#VALUE!</v>
      </c>
      <c r="AB127" t="e">
        <f>Nodes!A1021+"'E4!'.a"</f>
        <v>#VALUE!</v>
      </c>
      <c r="AC127" t="e">
        <f>Nodes!B1021+"'E4!'.b"</f>
        <v>#VALUE!</v>
      </c>
      <c r="AD127" t="e">
        <f>Nodes!C1021+"'E4!'.c"</f>
        <v>#VALUE!</v>
      </c>
      <c r="AE127" t="e">
        <f>Nodes!D1021+"'E4!'.d"</f>
        <v>#VALUE!</v>
      </c>
      <c r="AF127" t="e">
        <f>Nodes!E1021+"'E4!'.e"</f>
        <v>#VALUE!</v>
      </c>
      <c r="AG127" t="e">
        <f>Nodes!F1021+"'E4!'.f"</f>
        <v>#VALUE!</v>
      </c>
      <c r="AH127" t="e">
        <f>Nodes!G1021+"'E4!'.g"</f>
        <v>#VALUE!</v>
      </c>
      <c r="AI127" t="e">
        <f>Nodes!H1021+"'E4!'.h"</f>
        <v>#VALUE!</v>
      </c>
      <c r="AJ127" t="e">
        <f>Nodes!I1021+"'E4!'.i"</f>
        <v>#VALUE!</v>
      </c>
      <c r="AK127" t="e">
        <f>Nodes!J1021+"'E4!'.j"</f>
        <v>#VALUE!</v>
      </c>
      <c r="AL127" t="e">
        <f>Nodes!K1021+"'E4!'.k"</f>
        <v>#VALUE!</v>
      </c>
      <c r="AM127" t="e">
        <f>Nodes!L1021+"'E4!'.l"</f>
        <v>#VALUE!</v>
      </c>
      <c r="AN127" t="e">
        <f>Nodes!M1021+"'E4!'.m"</f>
        <v>#VALUE!</v>
      </c>
      <c r="AO127" t="e">
        <f>Nodes!N1021+"'E4!'.n"</f>
        <v>#VALUE!</v>
      </c>
      <c r="AP127" t="e">
        <f>Nodes!O1021+"'E4!'.o"</f>
        <v>#VALUE!</v>
      </c>
      <c r="AQ127" t="e">
        <f>Nodes!P1021+"'E4!'.p"</f>
        <v>#VALUE!</v>
      </c>
      <c r="AR127" t="e">
        <f>Nodes!Q1021+"'E4!'.q"</f>
        <v>#VALUE!</v>
      </c>
      <c r="AS127" t="e">
        <f>Nodes!R1021+"'E4!'.r"</f>
        <v>#VALUE!</v>
      </c>
      <c r="AT127" t="e">
        <f>Nodes!S1021+"'E4!'.s"</f>
        <v>#VALUE!</v>
      </c>
      <c r="AU127" s="548" t="e">
        <f>Nodes!T1021+"'E4!'.t"</f>
        <v>#VALUE!</v>
      </c>
      <c r="AV127" s="548" t="e">
        <f>Nodes!U1021+"'E4!'.u"</f>
        <v>#VALUE!</v>
      </c>
      <c r="AW127" s="548" t="e">
        <f>Nodes!V1021+"'E4!'.v"</f>
        <v>#VALUE!</v>
      </c>
      <c r="AX127" s="548" t="e">
        <f>Nodes!W1021+"'E4!'.w"</f>
        <v>#VALUE!</v>
      </c>
      <c r="AY127" s="333" t="e">
        <f>Nodes!X1021+"'E4!'.x"</f>
        <v>#VALUE!</v>
      </c>
      <c r="AZ127" t="e">
        <f>Nodes!Y1021+"'E4!'.y"</f>
        <v>#VALUE!</v>
      </c>
      <c r="BA127" t="e">
        <f>Nodes!Z1021+"'E4!'.z"</f>
        <v>#VALUE!</v>
      </c>
      <c r="BB127" t="e">
        <f>Nodes!AA1021+"'E4!'.{"</f>
        <v>#VALUE!</v>
      </c>
      <c r="BC127" t="e">
        <f>Nodes!AB1021+"'E4!'.|"</f>
        <v>#VALUE!</v>
      </c>
      <c r="BD127" t="e">
        <f>Nodes!AC1021+"'E4!'.}"</f>
        <v>#VALUE!</v>
      </c>
      <c r="BE127" t="e">
        <f>Nodes!A1022+"'E4!'.~"</f>
        <v>#VALUE!</v>
      </c>
      <c r="BF127" t="e">
        <f>Nodes!B1022+"'E4!'/#"</f>
        <v>#VALUE!</v>
      </c>
      <c r="BG127" t="e">
        <f>Nodes!C1022+"'E4!'/$"</f>
        <v>#VALUE!</v>
      </c>
      <c r="BH127" t="e">
        <f>Nodes!D1022+"'E4!'/%"</f>
        <v>#VALUE!</v>
      </c>
      <c r="BI127" t="e">
        <f>Nodes!E1022+"'E4!'/&amp;"</f>
        <v>#VALUE!</v>
      </c>
      <c r="BJ127" t="e">
        <f>Nodes!F1022+"'E4!'/'"</f>
        <v>#VALUE!</v>
      </c>
      <c r="BK127" t="e">
        <f>Nodes!G1022+"'E4!'/("</f>
        <v>#VALUE!</v>
      </c>
      <c r="BL127" t="e">
        <f>Nodes!H1022+"'E4!'/)"</f>
        <v>#VALUE!</v>
      </c>
      <c r="BM127" t="e">
        <f>Nodes!I1022+"'E4!'/."</f>
        <v>#VALUE!</v>
      </c>
      <c r="BN127" t="e">
        <f>Nodes!J1022+"'E4!'//"</f>
        <v>#VALUE!</v>
      </c>
      <c r="BO127" t="e">
        <f>Nodes!K1022+"'E4!'/0"</f>
        <v>#VALUE!</v>
      </c>
      <c r="BP127" t="e">
        <f>Nodes!L1022+"'E4!'/1"</f>
        <v>#VALUE!</v>
      </c>
      <c r="BQ127" t="e">
        <f>Nodes!M1022+"'E4!'/2"</f>
        <v>#VALUE!</v>
      </c>
      <c r="BR127" t="e">
        <f>Nodes!N1022+"'E4!'/3"</f>
        <v>#VALUE!</v>
      </c>
      <c r="BS127" t="e">
        <f>Nodes!O1022+"'E4!'/4"</f>
        <v>#VALUE!</v>
      </c>
      <c r="BT127" t="e">
        <f>Nodes!P1022+"'E4!'/5"</f>
        <v>#VALUE!</v>
      </c>
      <c r="BU127" t="e">
        <f>Nodes!Q1022+"'E4!'/6"</f>
        <v>#VALUE!</v>
      </c>
      <c r="BV127" t="e">
        <f>Nodes!R1022+"'E4!'/7"</f>
        <v>#VALUE!</v>
      </c>
      <c r="BW127" t="e">
        <f>Nodes!S1022+"'E4!'/8"</f>
        <v>#VALUE!</v>
      </c>
      <c r="BX127" s="548" t="e">
        <f>Nodes!T1022+"'E4!'/9"</f>
        <v>#VALUE!</v>
      </c>
      <c r="BY127" s="548" t="e">
        <f>Nodes!U1022+"'E4!'/:"</f>
        <v>#VALUE!</v>
      </c>
      <c r="BZ127" s="548" t="e">
        <f>Nodes!V1022+"'E4!'/;"</f>
        <v>#VALUE!</v>
      </c>
      <c r="CA127" s="548" t="e">
        <f>Nodes!W1022+"'E4!'/&lt;"</f>
        <v>#VALUE!</v>
      </c>
      <c r="CB127" s="333" t="e">
        <f>Nodes!X1022+"'E4!'/="</f>
        <v>#VALUE!</v>
      </c>
      <c r="CC127" t="e">
        <f>Nodes!Y1022+"'E4!'/&gt;"</f>
        <v>#VALUE!</v>
      </c>
      <c r="CD127" t="e">
        <f>Nodes!Z1022+"'E4!'/?"</f>
        <v>#VALUE!</v>
      </c>
      <c r="CE127" t="e">
        <f>Nodes!AA1022+"'E4!'/@"</f>
        <v>#VALUE!</v>
      </c>
      <c r="CF127" t="e">
        <f>Nodes!AB1022+"'E4!'/A"</f>
        <v>#VALUE!</v>
      </c>
      <c r="CG127" t="e">
        <f>Nodes!AC1022+"'E4!'/B"</f>
        <v>#VALUE!</v>
      </c>
      <c r="CH127" t="e">
        <f>Nodes!A1023+"'E4!'/C"</f>
        <v>#VALUE!</v>
      </c>
      <c r="CI127" t="e">
        <f>Nodes!B1023+"'E4!'/D"</f>
        <v>#VALUE!</v>
      </c>
      <c r="CJ127" t="e">
        <f>Nodes!C1023+"'E4!'/E"</f>
        <v>#VALUE!</v>
      </c>
      <c r="CK127" t="e">
        <f>Nodes!D1023+"'E4!'/F"</f>
        <v>#VALUE!</v>
      </c>
      <c r="CL127" t="e">
        <f>Nodes!E1023+"'E4!'/G"</f>
        <v>#VALUE!</v>
      </c>
      <c r="CM127" t="e">
        <f>Nodes!F1023+"'E4!'/H"</f>
        <v>#VALUE!</v>
      </c>
      <c r="CN127" t="e">
        <f>Nodes!G1023+"'E4!'/I"</f>
        <v>#VALUE!</v>
      </c>
      <c r="CO127" t="e">
        <f>Nodes!H1023+"'E4!'/J"</f>
        <v>#VALUE!</v>
      </c>
      <c r="CP127" t="e">
        <f>Nodes!I1023+"'E4!'/K"</f>
        <v>#VALUE!</v>
      </c>
      <c r="CQ127" t="e">
        <f>Nodes!J1023+"'E4!'/L"</f>
        <v>#VALUE!</v>
      </c>
      <c r="CR127" t="e">
        <f>Nodes!K1023+"'E4!'/M"</f>
        <v>#VALUE!</v>
      </c>
      <c r="CS127" t="e">
        <f>Nodes!L1023+"'E4!'/N"</f>
        <v>#VALUE!</v>
      </c>
      <c r="CT127" t="e">
        <f>Nodes!M1023+"'E4!'/O"</f>
        <v>#VALUE!</v>
      </c>
      <c r="CU127" t="e">
        <f>Nodes!N1023+"'E4!'/P"</f>
        <v>#VALUE!</v>
      </c>
      <c r="CV127" t="e">
        <f>Nodes!O1023+"'E4!'/Q"</f>
        <v>#VALUE!</v>
      </c>
      <c r="CW127" t="e">
        <f>Nodes!P1023+"'E4!'/R"</f>
        <v>#VALUE!</v>
      </c>
      <c r="CX127" t="e">
        <f>Nodes!Q1023+"'E4!'/S"</f>
        <v>#VALUE!</v>
      </c>
      <c r="CY127" t="e">
        <f>Nodes!R1023+"'E4!'/T"</f>
        <v>#VALUE!</v>
      </c>
      <c r="CZ127" t="e">
        <f>Nodes!S1023+"'E4!'/U"</f>
        <v>#VALUE!</v>
      </c>
      <c r="DA127" s="548" t="e">
        <f>Nodes!T1023+"'E4!'/V"</f>
        <v>#VALUE!</v>
      </c>
      <c r="DB127" s="548" t="e">
        <f>Nodes!U1023+"'E4!'/W"</f>
        <v>#VALUE!</v>
      </c>
      <c r="DC127" s="548" t="e">
        <f>Nodes!V1023+"'E4!'/X"</f>
        <v>#VALUE!</v>
      </c>
      <c r="DD127" s="548" t="e">
        <f>Nodes!W1023+"'E4!'/Y"</f>
        <v>#VALUE!</v>
      </c>
      <c r="DE127" t="e">
        <f>Nodes!X1023+"'E4!'/Z"</f>
        <v>#VALUE!</v>
      </c>
      <c r="DF127" t="e">
        <f>Nodes!Y1023+"'E4!'/["</f>
        <v>#VALUE!</v>
      </c>
      <c r="DG127" t="e">
        <f>Nodes!Z1023+"'E4!'/\"</f>
        <v>#VALUE!</v>
      </c>
      <c r="DH127" t="e">
        <f>Nodes!AA1023+"'E4!'/]"</f>
        <v>#VALUE!</v>
      </c>
      <c r="DI127" t="e">
        <f>Nodes!AB1023+"'E4!'/^"</f>
        <v>#VALUE!</v>
      </c>
      <c r="DJ127" t="e">
        <f>Nodes!AC1023+"'E4!'/_"</f>
        <v>#VALUE!</v>
      </c>
      <c r="DK127" t="e">
        <f>Nodes!A1024+"'E4!'/`"</f>
        <v>#VALUE!</v>
      </c>
      <c r="DL127" t="e">
        <f>Nodes!B1024+"'E4!'/a"</f>
        <v>#VALUE!</v>
      </c>
      <c r="DM127" t="e">
        <f>Nodes!C1024+"'E4!'/b"</f>
        <v>#VALUE!</v>
      </c>
      <c r="DN127" t="e">
        <f>Nodes!D1024+"'E4!'/c"</f>
        <v>#VALUE!</v>
      </c>
      <c r="DO127" t="e">
        <f>Nodes!E1024+"'E4!'/d"</f>
        <v>#VALUE!</v>
      </c>
      <c r="DP127" t="e">
        <f>Nodes!F1024+"'E4!'/e"</f>
        <v>#VALUE!</v>
      </c>
      <c r="DQ127" t="e">
        <f>Nodes!G1024+"'E4!'/f"</f>
        <v>#VALUE!</v>
      </c>
      <c r="DR127" t="e">
        <f>Nodes!H1024+"'E4!'/g"</f>
        <v>#VALUE!</v>
      </c>
      <c r="DS127" t="e">
        <f>Nodes!I1024+"'E4!'/h"</f>
        <v>#VALUE!</v>
      </c>
      <c r="DT127" t="e">
        <f>Nodes!J1024+"'E4!'/i"</f>
        <v>#VALUE!</v>
      </c>
      <c r="DU127" t="e">
        <f>Nodes!K1024+"'E4!'/j"</f>
        <v>#VALUE!</v>
      </c>
      <c r="DV127" t="e">
        <f>Nodes!L1024+"'E4!'/k"</f>
        <v>#VALUE!</v>
      </c>
      <c r="DW127" t="e">
        <f>Nodes!M1024+"'E4!'/l"</f>
        <v>#VALUE!</v>
      </c>
      <c r="DX127" t="e">
        <f>Nodes!N1024+"'E4!'/m"</f>
        <v>#VALUE!</v>
      </c>
      <c r="DY127" t="e">
        <f>Nodes!O1024+"'E4!'/n"</f>
        <v>#VALUE!</v>
      </c>
      <c r="DZ127" t="e">
        <f>Nodes!P1024+"'E4!'/o"</f>
        <v>#VALUE!</v>
      </c>
      <c r="EA127" t="e">
        <f>Nodes!Q1024+"'E4!'/p"</f>
        <v>#VALUE!</v>
      </c>
      <c r="EB127" t="e">
        <f>Nodes!R1024+"'E4!'/q"</f>
        <v>#VALUE!</v>
      </c>
      <c r="EC127" t="e">
        <f>Nodes!S1024+"'E4!'/r"</f>
        <v>#VALUE!</v>
      </c>
      <c r="ED127" s="548" t="e">
        <f>Nodes!T1024+"'E4!'/s"</f>
        <v>#VALUE!</v>
      </c>
      <c r="EE127" s="548" t="e">
        <f>Nodes!U1024+"'E4!'/t"</f>
        <v>#VALUE!</v>
      </c>
      <c r="EF127" s="548" t="e">
        <f>Nodes!V1024+"'E4!'/u"</f>
        <v>#VALUE!</v>
      </c>
      <c r="EG127" s="548" t="e">
        <f>Nodes!W1024+"'E4!'/v"</f>
        <v>#VALUE!</v>
      </c>
      <c r="EH127" s="333" t="e">
        <f>Nodes!X1024+"'E4!'/w"</f>
        <v>#VALUE!</v>
      </c>
      <c r="EI127" t="e">
        <f>Nodes!Y1024+"'E4!'/x"</f>
        <v>#VALUE!</v>
      </c>
      <c r="EJ127" t="e">
        <f>Nodes!Z1024+"'E4!'/y"</f>
        <v>#VALUE!</v>
      </c>
      <c r="EK127" t="e">
        <f>Nodes!AA1024+"'E4!'/z"</f>
        <v>#VALUE!</v>
      </c>
      <c r="EL127" t="e">
        <f>Nodes!AB1024+"'E4!'/{"</f>
        <v>#VALUE!</v>
      </c>
      <c r="EM127" t="e">
        <f>Nodes!AC1024+"'E4!'/|"</f>
        <v>#VALUE!</v>
      </c>
      <c r="EN127" t="e">
        <f>Nodes!A1025+"'E4!'/}"</f>
        <v>#VALUE!</v>
      </c>
      <c r="EO127" t="e">
        <f>Nodes!B1025+"'E4!'/~"</f>
        <v>#VALUE!</v>
      </c>
      <c r="EP127" t="e">
        <f>Nodes!C1025+"'E4!'0#"</f>
        <v>#VALUE!</v>
      </c>
      <c r="EQ127" t="e">
        <f>Nodes!D1025+"'E4!'0$"</f>
        <v>#VALUE!</v>
      </c>
      <c r="ER127" t="e">
        <f>Nodes!E1025+"'E4!'0%"</f>
        <v>#VALUE!</v>
      </c>
      <c r="ES127" t="e">
        <f>Nodes!F1025+"'E4!'0&amp;"</f>
        <v>#VALUE!</v>
      </c>
      <c r="ET127" t="e">
        <f>Nodes!G1025+"'E4!'0'"</f>
        <v>#VALUE!</v>
      </c>
      <c r="EU127" t="e">
        <f>Nodes!H1025+"'E4!'0("</f>
        <v>#VALUE!</v>
      </c>
      <c r="EV127" t="e">
        <f>Nodes!I1025+"'E4!'0)"</f>
        <v>#VALUE!</v>
      </c>
      <c r="EW127" t="e">
        <f>Nodes!J1025+"'E4!'0."</f>
        <v>#VALUE!</v>
      </c>
      <c r="EX127" t="e">
        <f>Nodes!K1025+"'E4!'0/"</f>
        <v>#VALUE!</v>
      </c>
      <c r="EY127" t="e">
        <f>Nodes!L1025+"'E4!'00"</f>
        <v>#VALUE!</v>
      </c>
      <c r="EZ127" t="e">
        <f>Nodes!M1025+"'E4!'01"</f>
        <v>#VALUE!</v>
      </c>
      <c r="FA127" t="e">
        <f>Nodes!N1025+"'E4!'02"</f>
        <v>#VALUE!</v>
      </c>
      <c r="FB127" t="e">
        <f>Nodes!O1025+"'E4!'03"</f>
        <v>#VALUE!</v>
      </c>
      <c r="FC127" t="e">
        <f>Nodes!P1025+"'E4!'04"</f>
        <v>#VALUE!</v>
      </c>
      <c r="FD127" t="e">
        <f>Nodes!Q1025+"'E4!'05"</f>
        <v>#VALUE!</v>
      </c>
      <c r="FE127" t="e">
        <f>Nodes!R1025+"'E4!'06"</f>
        <v>#VALUE!</v>
      </c>
      <c r="FF127" t="e">
        <f>Nodes!S1025+"'E4!'07"</f>
        <v>#VALUE!</v>
      </c>
      <c r="FG127" s="548" t="e">
        <f>Nodes!T1025+"'E4!'08"</f>
        <v>#VALUE!</v>
      </c>
      <c r="FH127" s="548" t="e">
        <f>Nodes!U1025+"'E4!'09"</f>
        <v>#VALUE!</v>
      </c>
      <c r="FI127" s="548" t="e">
        <f>Nodes!V1025+"'E4!'0:"</f>
        <v>#VALUE!</v>
      </c>
      <c r="FJ127" s="548" t="e">
        <f>Nodes!W1025+"'E4!'0;"</f>
        <v>#VALUE!</v>
      </c>
      <c r="FK127" t="e">
        <f>Nodes!X1025+"'E4!'0&lt;"</f>
        <v>#VALUE!</v>
      </c>
      <c r="FL127" t="e">
        <f>Nodes!Y1025+"'E4!'0="</f>
        <v>#VALUE!</v>
      </c>
      <c r="FM127" t="e">
        <f>Nodes!Z1025+"'E4!'0&gt;"</f>
        <v>#VALUE!</v>
      </c>
      <c r="FN127" t="e">
        <f>Nodes!AA1025+"'E4!'0?"</f>
        <v>#VALUE!</v>
      </c>
      <c r="FO127" t="e">
        <f>Nodes!AB1025+"'E4!'0@"</f>
        <v>#VALUE!</v>
      </c>
      <c r="FP127" t="e">
        <f>Nodes!AC1025+"'E4!'0A"</f>
        <v>#VALUE!</v>
      </c>
      <c r="FQ127" t="e">
        <f>Nodes!A1026+"'E4!'0B"</f>
        <v>#VALUE!</v>
      </c>
      <c r="FR127" t="e">
        <f>Nodes!B1026+"'E4!'0C"</f>
        <v>#VALUE!</v>
      </c>
      <c r="FS127" t="e">
        <f>Nodes!C1026+"'E4!'0D"</f>
        <v>#VALUE!</v>
      </c>
      <c r="FT127" t="e">
        <f>Nodes!D1026+"'E4!'0E"</f>
        <v>#VALUE!</v>
      </c>
      <c r="FU127" t="e">
        <f>Nodes!E1026+"'E4!'0F"</f>
        <v>#VALUE!</v>
      </c>
      <c r="FV127" t="e">
        <f>Nodes!F1026+"'E4!'0G"</f>
        <v>#VALUE!</v>
      </c>
      <c r="FW127" t="e">
        <f>Nodes!G1026+"'E4!'0H"</f>
        <v>#VALUE!</v>
      </c>
      <c r="FX127" t="e">
        <f>Nodes!H1026+"'E4!'0I"</f>
        <v>#VALUE!</v>
      </c>
      <c r="FY127" t="e">
        <f>Nodes!I1026+"'E4!'0J"</f>
        <v>#VALUE!</v>
      </c>
      <c r="FZ127" t="e">
        <f>Nodes!J1026+"'E4!'0K"</f>
        <v>#VALUE!</v>
      </c>
      <c r="GA127" t="e">
        <f>Nodes!K1026+"'E4!'0L"</f>
        <v>#VALUE!</v>
      </c>
      <c r="GB127" t="e">
        <f>Nodes!L1026+"'E4!'0M"</f>
        <v>#VALUE!</v>
      </c>
      <c r="GC127" t="e">
        <f>Nodes!M1026+"'E4!'0N"</f>
        <v>#VALUE!</v>
      </c>
      <c r="GD127" t="e">
        <f>Nodes!N1026+"'E4!'0O"</f>
        <v>#VALUE!</v>
      </c>
      <c r="GE127" t="e">
        <f>Nodes!O1026+"'E4!'0P"</f>
        <v>#VALUE!</v>
      </c>
      <c r="GF127" t="e">
        <f>Nodes!P1026+"'E4!'0Q"</f>
        <v>#VALUE!</v>
      </c>
      <c r="GG127" t="e">
        <f>Nodes!Q1026+"'E4!'0R"</f>
        <v>#VALUE!</v>
      </c>
      <c r="GH127" t="e">
        <f>Nodes!R1026+"'E4!'0S"</f>
        <v>#VALUE!</v>
      </c>
      <c r="GI127" t="e">
        <f>Nodes!S1026+"'E4!'0T"</f>
        <v>#VALUE!</v>
      </c>
      <c r="GJ127" s="548" t="e">
        <f>Nodes!T1026+"'E4!'0U"</f>
        <v>#VALUE!</v>
      </c>
      <c r="GK127" s="548" t="e">
        <f>Nodes!U1026+"'E4!'0V"</f>
        <v>#VALUE!</v>
      </c>
      <c r="GL127" s="548" t="e">
        <f>Nodes!V1026+"'E4!'0W"</f>
        <v>#VALUE!</v>
      </c>
      <c r="GM127" s="548" t="e">
        <f>Nodes!W1026+"'E4!'0X"</f>
        <v>#VALUE!</v>
      </c>
      <c r="GN127" s="333" t="e">
        <f>Nodes!X1026+"'E4!'0Y"</f>
        <v>#VALUE!</v>
      </c>
      <c r="GO127" t="e">
        <f>Nodes!Y1026+"'E4!'0Z"</f>
        <v>#VALUE!</v>
      </c>
      <c r="GP127" t="e">
        <f>Nodes!Z1026+"'E4!'0["</f>
        <v>#VALUE!</v>
      </c>
      <c r="GQ127" t="e">
        <f>Nodes!AA1026+"'E4!'0\"</f>
        <v>#VALUE!</v>
      </c>
      <c r="GR127" t="e">
        <f>Nodes!AB1026+"'E4!'0]"</f>
        <v>#VALUE!</v>
      </c>
      <c r="GS127" t="e">
        <f>Nodes!AC1026+"'E4!'0^"</f>
        <v>#VALUE!</v>
      </c>
      <c r="GT127" t="e">
        <f>Nodes!A1027+"'E4!'0_"</f>
        <v>#VALUE!</v>
      </c>
      <c r="GU127" t="e">
        <f>Nodes!B1027+"'E4!'0`"</f>
        <v>#VALUE!</v>
      </c>
      <c r="GV127" t="e">
        <f>Nodes!C1027+"'E4!'0a"</f>
        <v>#VALUE!</v>
      </c>
      <c r="GW127" t="e">
        <f>Nodes!D1027+"'E4!'0b"</f>
        <v>#VALUE!</v>
      </c>
      <c r="GX127" t="e">
        <f>Nodes!E1027+"'E4!'0c"</f>
        <v>#VALUE!</v>
      </c>
      <c r="GY127" t="e">
        <f>Nodes!F1027+"'E4!'0d"</f>
        <v>#VALUE!</v>
      </c>
      <c r="GZ127" t="e">
        <f>Nodes!G1027+"'E4!'0e"</f>
        <v>#VALUE!</v>
      </c>
      <c r="HA127" t="e">
        <f>Nodes!H1027+"'E4!'0f"</f>
        <v>#VALUE!</v>
      </c>
      <c r="HB127" t="e">
        <f>Nodes!I1027+"'E4!'0g"</f>
        <v>#VALUE!</v>
      </c>
      <c r="HC127" t="e">
        <f>Nodes!J1027+"'E4!'0h"</f>
        <v>#VALUE!</v>
      </c>
      <c r="HD127" t="e">
        <f>Nodes!K1027+"'E4!'0i"</f>
        <v>#VALUE!</v>
      </c>
      <c r="HE127" t="e">
        <f>Nodes!L1027+"'E4!'0j"</f>
        <v>#VALUE!</v>
      </c>
      <c r="HF127" t="e">
        <f>Nodes!M1027+"'E4!'0k"</f>
        <v>#VALUE!</v>
      </c>
      <c r="HG127" t="e">
        <f>Nodes!N1027+"'E4!'0l"</f>
        <v>#VALUE!</v>
      </c>
      <c r="HH127" t="e">
        <f>Nodes!O1027+"'E4!'0m"</f>
        <v>#VALUE!</v>
      </c>
      <c r="HI127" t="e">
        <f>Nodes!P1027+"'E4!'0n"</f>
        <v>#VALUE!</v>
      </c>
      <c r="HJ127" t="e">
        <f>Nodes!Q1027+"'E4!'0o"</f>
        <v>#VALUE!</v>
      </c>
      <c r="HK127" t="e">
        <f>Nodes!R1027+"'E4!'0p"</f>
        <v>#VALUE!</v>
      </c>
      <c r="HL127" t="e">
        <f>Nodes!S1027+"'E4!'0q"</f>
        <v>#VALUE!</v>
      </c>
      <c r="HM127" s="548" t="e">
        <f>Nodes!T1027+"'E4!'0r"</f>
        <v>#VALUE!</v>
      </c>
      <c r="HN127" s="548" t="e">
        <f>Nodes!U1027+"'E4!'0s"</f>
        <v>#VALUE!</v>
      </c>
      <c r="HO127" s="548" t="e">
        <f>Nodes!V1027+"'E4!'0t"</f>
        <v>#VALUE!</v>
      </c>
      <c r="HP127" s="548" t="e">
        <f>Nodes!W1027+"'E4!'0u"</f>
        <v>#VALUE!</v>
      </c>
      <c r="HQ127" t="e">
        <f>Nodes!X1027+"'E4!'0v"</f>
        <v>#VALUE!</v>
      </c>
      <c r="HR127" t="e">
        <f>Nodes!Y1027+"'E4!'0w"</f>
        <v>#VALUE!</v>
      </c>
      <c r="HS127" t="e">
        <f>Nodes!Z1027+"'E4!'0x"</f>
        <v>#VALUE!</v>
      </c>
      <c r="HT127" t="e">
        <f>Nodes!AA1027+"'E4!'0y"</f>
        <v>#VALUE!</v>
      </c>
      <c r="HU127" t="e">
        <f>Nodes!AB1027+"'E4!'0z"</f>
        <v>#VALUE!</v>
      </c>
      <c r="HV127" t="e">
        <f>Nodes!AC1027+"'E4!'0{"</f>
        <v>#VALUE!</v>
      </c>
      <c r="HW127" t="e">
        <f>Nodes!A1028+"'E4!'0|"</f>
        <v>#VALUE!</v>
      </c>
      <c r="HX127" t="e">
        <f>Nodes!B1028+"'E4!'0}"</f>
        <v>#VALUE!</v>
      </c>
      <c r="HY127" t="e">
        <f>Nodes!C1028+"'E4!'0~"</f>
        <v>#VALUE!</v>
      </c>
      <c r="HZ127" t="e">
        <f>Nodes!D1028+"'E4!'1#"</f>
        <v>#VALUE!</v>
      </c>
      <c r="IA127" t="e">
        <f>Nodes!E1028+"'E4!'1$"</f>
        <v>#VALUE!</v>
      </c>
      <c r="IB127" t="e">
        <f>Nodes!F1028+"'E4!'1%"</f>
        <v>#VALUE!</v>
      </c>
      <c r="IC127" t="e">
        <f>Nodes!G1028+"'E4!'1&amp;"</f>
        <v>#VALUE!</v>
      </c>
      <c r="ID127" t="e">
        <f>Nodes!H1028+"'E4!'1'"</f>
        <v>#VALUE!</v>
      </c>
      <c r="IE127" t="e">
        <f>Nodes!I1028+"'E4!'1("</f>
        <v>#VALUE!</v>
      </c>
      <c r="IF127" t="e">
        <f>Nodes!J1028+"'E4!'1)"</f>
        <v>#VALUE!</v>
      </c>
      <c r="IG127" t="e">
        <f>Nodes!K1028+"'E4!'1."</f>
        <v>#VALUE!</v>
      </c>
      <c r="IH127" t="e">
        <f>Nodes!L1028+"'E4!'1/"</f>
        <v>#VALUE!</v>
      </c>
      <c r="II127" t="e">
        <f>Nodes!M1028+"'E4!'10"</f>
        <v>#VALUE!</v>
      </c>
      <c r="IJ127" t="e">
        <f>Nodes!N1028+"'E4!'11"</f>
        <v>#VALUE!</v>
      </c>
      <c r="IK127" t="e">
        <f>Nodes!O1028+"'E4!'12"</f>
        <v>#VALUE!</v>
      </c>
      <c r="IL127" t="e">
        <f>Nodes!P1028+"'E4!'13"</f>
        <v>#VALUE!</v>
      </c>
      <c r="IM127" t="e">
        <f>Nodes!Q1028+"'E4!'14"</f>
        <v>#VALUE!</v>
      </c>
      <c r="IN127" t="e">
        <f>Nodes!R1028+"'E4!'15"</f>
        <v>#VALUE!</v>
      </c>
      <c r="IO127" t="e">
        <f>Nodes!S1028+"'E4!'16"</f>
        <v>#VALUE!</v>
      </c>
      <c r="IP127" s="548" t="e">
        <f>Nodes!T1028+"'E4!'17"</f>
        <v>#VALUE!</v>
      </c>
      <c r="IQ127" s="548" t="e">
        <f>Nodes!U1028+"'E4!'18"</f>
        <v>#VALUE!</v>
      </c>
      <c r="IR127" s="548" t="e">
        <f>Nodes!V1028+"'E4!'19"</f>
        <v>#VALUE!</v>
      </c>
      <c r="IS127" s="548" t="e">
        <f>Nodes!W1028+"'E4!'1:"</f>
        <v>#VALUE!</v>
      </c>
      <c r="IT127" t="e">
        <f>Nodes!X1028+"'E4!'1;"</f>
        <v>#VALUE!</v>
      </c>
      <c r="IU127" t="e">
        <f>Nodes!Y1028+"'E4!'1&lt;"</f>
        <v>#VALUE!</v>
      </c>
      <c r="IV127" t="e">
        <f>Nodes!Z1028+"'E4!'1="</f>
        <v>#VALUE!</v>
      </c>
    </row>
    <row r="128" spans="6:256">
      <c r="F128" t="e">
        <f>Nodes!AA1028+"'E4!'1&gt;"</f>
        <v>#VALUE!</v>
      </c>
      <c r="G128" t="e">
        <f>Nodes!AB1028+"'E4!'1?"</f>
        <v>#VALUE!</v>
      </c>
      <c r="H128" t="e">
        <f>Nodes!AC1028+"'E4!'1@"</f>
        <v>#VALUE!</v>
      </c>
      <c r="I128" t="e">
        <f>Nodes!A1029+"'E4!'1A"</f>
        <v>#VALUE!</v>
      </c>
      <c r="J128" t="e">
        <f>Nodes!B1029+"'E4!'1B"</f>
        <v>#VALUE!</v>
      </c>
      <c r="K128" t="e">
        <f>Nodes!C1029+"'E4!'1C"</f>
        <v>#VALUE!</v>
      </c>
      <c r="L128" t="e">
        <f>Nodes!D1029+"'E4!'1D"</f>
        <v>#VALUE!</v>
      </c>
      <c r="M128" t="e">
        <f>Nodes!E1029+"'E4!'1E"</f>
        <v>#VALUE!</v>
      </c>
      <c r="N128" t="e">
        <f>Nodes!F1029+"'E4!'1F"</f>
        <v>#VALUE!</v>
      </c>
      <c r="O128" t="e">
        <f>Nodes!G1029+"'E4!'1G"</f>
        <v>#VALUE!</v>
      </c>
      <c r="P128" t="e">
        <f>Nodes!H1029+"'E4!'1H"</f>
        <v>#VALUE!</v>
      </c>
      <c r="Q128" t="e">
        <f>Nodes!I1029+"'E4!'1I"</f>
        <v>#VALUE!</v>
      </c>
      <c r="R128" t="e">
        <f>Nodes!J1029+"'E4!'1J"</f>
        <v>#VALUE!</v>
      </c>
      <c r="S128" t="e">
        <f>Nodes!K1029+"'E4!'1K"</f>
        <v>#VALUE!</v>
      </c>
      <c r="T128" t="e">
        <f>Nodes!L1029+"'E4!'1L"</f>
        <v>#VALUE!</v>
      </c>
      <c r="U128" t="e">
        <f>Nodes!M1029+"'E4!'1M"</f>
        <v>#VALUE!</v>
      </c>
      <c r="V128" t="e">
        <f>Nodes!N1029+"'E4!'1N"</f>
        <v>#VALUE!</v>
      </c>
      <c r="W128" t="e">
        <f>Nodes!O1029+"'E4!'1O"</f>
        <v>#VALUE!</v>
      </c>
      <c r="X128" t="e">
        <f>Nodes!P1029+"'E4!'1P"</f>
        <v>#VALUE!</v>
      </c>
      <c r="Y128" t="e">
        <f>Nodes!Q1029+"'E4!'1Q"</f>
        <v>#VALUE!</v>
      </c>
      <c r="Z128" t="e">
        <f>Nodes!R1029+"'E4!'1R"</f>
        <v>#VALUE!</v>
      </c>
      <c r="AA128" t="e">
        <f>Nodes!S1029+"'E4!'1S"</f>
        <v>#VALUE!</v>
      </c>
      <c r="AB128" s="548" t="e">
        <f>Nodes!T1029+"'E4!'1T"</f>
        <v>#VALUE!</v>
      </c>
      <c r="AC128" s="548" t="e">
        <f>Nodes!U1029+"'E4!'1U"</f>
        <v>#VALUE!</v>
      </c>
      <c r="AD128" s="548" t="e">
        <f>Nodes!V1029+"'E4!'1V"</f>
        <v>#VALUE!</v>
      </c>
      <c r="AE128" s="548" t="e">
        <f>Nodes!W1029+"'E4!'1W"</f>
        <v>#VALUE!</v>
      </c>
      <c r="AF128" t="e">
        <f>Nodes!X1029+"'E4!'1X"</f>
        <v>#VALUE!</v>
      </c>
      <c r="AG128" t="e">
        <f>Nodes!Y1029+"'E4!'1Y"</f>
        <v>#VALUE!</v>
      </c>
      <c r="AH128" t="e">
        <f>Nodes!Z1029+"'E4!'1Z"</f>
        <v>#VALUE!</v>
      </c>
      <c r="AI128" t="e">
        <f>Nodes!AA1029+"'E4!'1["</f>
        <v>#VALUE!</v>
      </c>
      <c r="AJ128" t="e">
        <f>Nodes!AB1029+"'E4!'1\"</f>
        <v>#VALUE!</v>
      </c>
      <c r="AK128" t="e">
        <f>Nodes!AC1029+"'E4!'1]"</f>
        <v>#VALUE!</v>
      </c>
      <c r="AL128" t="e">
        <f>Nodes!AD1029+"'E4!'1^"</f>
        <v>#VALUE!</v>
      </c>
      <c r="AM128" t="e">
        <f>Nodes!A1030+"'E4!'1_"</f>
        <v>#VALUE!</v>
      </c>
      <c r="AN128" t="e">
        <f>Nodes!B1030+"'E4!'1`"</f>
        <v>#VALUE!</v>
      </c>
      <c r="AO128" t="e">
        <f>Nodes!C1030+"'E4!'1a"</f>
        <v>#VALUE!</v>
      </c>
      <c r="AP128" t="e">
        <f>Nodes!D1030+"'E4!'1b"</f>
        <v>#VALUE!</v>
      </c>
      <c r="AQ128" t="e">
        <f>Nodes!E1030+"'E4!'1c"</f>
        <v>#VALUE!</v>
      </c>
      <c r="AR128" t="e">
        <f>Nodes!F1030+"'E4!'1d"</f>
        <v>#VALUE!</v>
      </c>
      <c r="AS128" t="e">
        <f>Nodes!G1030+"'E4!'1e"</f>
        <v>#VALUE!</v>
      </c>
      <c r="AT128" t="e">
        <f>Nodes!H1030+"'E4!'1f"</f>
        <v>#VALUE!</v>
      </c>
      <c r="AU128" t="e">
        <f>Nodes!I1030+"'E4!'1g"</f>
        <v>#VALUE!</v>
      </c>
      <c r="AV128" t="e">
        <f>Nodes!J1030+"'E4!'1h"</f>
        <v>#VALUE!</v>
      </c>
      <c r="AW128" t="e">
        <f>Nodes!K1030+"'E4!'1i"</f>
        <v>#VALUE!</v>
      </c>
      <c r="AX128" t="e">
        <f>Nodes!L1030+"'E4!'1j"</f>
        <v>#VALUE!</v>
      </c>
      <c r="AY128" t="e">
        <f>Nodes!M1030+"'E4!'1k"</f>
        <v>#VALUE!</v>
      </c>
      <c r="AZ128" t="e">
        <f>Nodes!N1030+"'E4!'1l"</f>
        <v>#VALUE!</v>
      </c>
      <c r="BA128" t="e">
        <f>Nodes!O1030+"'E4!'1m"</f>
        <v>#VALUE!</v>
      </c>
      <c r="BB128" t="e">
        <f>Nodes!P1030+"'E4!'1n"</f>
        <v>#VALUE!</v>
      </c>
      <c r="BC128" t="e">
        <f>Nodes!Q1030+"'E4!'1o"</f>
        <v>#VALUE!</v>
      </c>
      <c r="BD128" t="e">
        <f>Nodes!R1030+"'E4!'1p"</f>
        <v>#VALUE!</v>
      </c>
      <c r="BE128" t="e">
        <f>Nodes!S1030+"'E4!'1q"</f>
        <v>#VALUE!</v>
      </c>
      <c r="BF128" s="548" t="e">
        <f>Nodes!T1030+"'E4!'1r"</f>
        <v>#VALUE!</v>
      </c>
      <c r="BG128" s="548" t="e">
        <f>Nodes!U1030+"'E4!'1s"</f>
        <v>#VALUE!</v>
      </c>
      <c r="BH128" s="548" t="e">
        <f>Nodes!V1030+"'E4!'1t"</f>
        <v>#VALUE!</v>
      </c>
      <c r="BI128" s="548" t="e">
        <f>Nodes!W1030+"'E4!'1u"</f>
        <v>#VALUE!</v>
      </c>
      <c r="BJ128" t="e">
        <f>Nodes!X1030+"'E4!'1v"</f>
        <v>#VALUE!</v>
      </c>
      <c r="BK128" t="e">
        <f>Nodes!Y1030+"'E4!'1w"</f>
        <v>#VALUE!</v>
      </c>
      <c r="BL128" t="e">
        <f>Nodes!Z1030+"'E4!'1x"</f>
        <v>#VALUE!</v>
      </c>
      <c r="BM128" t="e">
        <f>Nodes!AA1030+"'E4!'1y"</f>
        <v>#VALUE!</v>
      </c>
      <c r="BN128" t="e">
        <f>Nodes!AB1030+"'E4!'1z"</f>
        <v>#VALUE!</v>
      </c>
      <c r="BO128" t="e">
        <f>Nodes!AC1030+"'E4!'1{"</f>
        <v>#VALUE!</v>
      </c>
      <c r="BP128" t="e">
        <f>Nodes!AD1030+"'E4!'1|"</f>
        <v>#VALUE!</v>
      </c>
      <c r="BQ128" t="e">
        <f>Nodes!A1031+"'E4!'1}"</f>
        <v>#VALUE!</v>
      </c>
      <c r="BR128" t="e">
        <f>Nodes!B1031+"'E4!'1~"</f>
        <v>#VALUE!</v>
      </c>
      <c r="BS128" t="e">
        <f>Nodes!C1031+"'E4!'2#"</f>
        <v>#VALUE!</v>
      </c>
      <c r="BT128" t="e">
        <f>Nodes!D1031+"'E4!'2$"</f>
        <v>#VALUE!</v>
      </c>
      <c r="BU128" t="e">
        <f>Nodes!E1031+"'E4!'2%"</f>
        <v>#VALUE!</v>
      </c>
      <c r="BV128" t="e">
        <f>Nodes!F1031+"'E4!'2&amp;"</f>
        <v>#VALUE!</v>
      </c>
      <c r="BW128" t="e">
        <f>Nodes!G1031+"'E4!'2'"</f>
        <v>#VALUE!</v>
      </c>
      <c r="BX128" t="e">
        <f>Nodes!H1031+"'E4!'2("</f>
        <v>#VALUE!</v>
      </c>
      <c r="BY128" t="e">
        <f>Nodes!I1031+"'E4!'2)"</f>
        <v>#VALUE!</v>
      </c>
      <c r="BZ128" t="e">
        <f>Nodes!J1031+"'E4!'2."</f>
        <v>#VALUE!</v>
      </c>
      <c r="CA128" t="e">
        <f>Nodes!K1031+"'E4!'2/"</f>
        <v>#VALUE!</v>
      </c>
      <c r="CB128" t="e">
        <f>Nodes!L1031+"'E4!'20"</f>
        <v>#VALUE!</v>
      </c>
      <c r="CC128" t="e">
        <f>Nodes!M1031+"'E4!'21"</f>
        <v>#VALUE!</v>
      </c>
      <c r="CD128" t="e">
        <f>Nodes!N1031+"'E4!'22"</f>
        <v>#VALUE!</v>
      </c>
      <c r="CE128" t="e">
        <f>Nodes!O1031+"'E4!'23"</f>
        <v>#VALUE!</v>
      </c>
      <c r="CF128" t="e">
        <f>Nodes!P1031+"'E4!'24"</f>
        <v>#VALUE!</v>
      </c>
      <c r="CG128" t="e">
        <f>Nodes!Q1031+"'E4!'25"</f>
        <v>#VALUE!</v>
      </c>
      <c r="CH128" t="e">
        <f>Nodes!R1031+"'E4!'26"</f>
        <v>#VALUE!</v>
      </c>
      <c r="CI128" t="e">
        <f>Nodes!S1031+"'E4!'27"</f>
        <v>#VALUE!</v>
      </c>
      <c r="CJ128" s="548" t="e">
        <f>Nodes!T1031+"'E4!'28"</f>
        <v>#VALUE!</v>
      </c>
      <c r="CK128" s="548" t="e">
        <f>Nodes!U1031+"'E4!'29"</f>
        <v>#VALUE!</v>
      </c>
      <c r="CL128" s="548" t="e">
        <f>Nodes!V1031+"'E4!'2:"</f>
        <v>#VALUE!</v>
      </c>
      <c r="CM128" s="548" t="e">
        <f>Nodes!W1031+"'E4!'2;"</f>
        <v>#VALUE!</v>
      </c>
      <c r="CN128" t="e">
        <f>Nodes!X1031+"'E4!'2&lt;"</f>
        <v>#VALUE!</v>
      </c>
      <c r="CO128" t="e">
        <f>Nodes!Y1031+"'E4!'2="</f>
        <v>#VALUE!</v>
      </c>
      <c r="CP128" t="e">
        <f>Nodes!Z1031+"'E4!'2&gt;"</f>
        <v>#VALUE!</v>
      </c>
      <c r="CQ128" t="e">
        <f>Nodes!AA1031+"'E4!'2?"</f>
        <v>#VALUE!</v>
      </c>
      <c r="CR128" t="e">
        <f>Nodes!AB1031+"'E4!'2@"</f>
        <v>#VALUE!</v>
      </c>
      <c r="CS128" t="e">
        <f>Nodes!AC1031+"'E4!'2A"</f>
        <v>#VALUE!</v>
      </c>
      <c r="CT128" t="e">
        <f>Nodes!A1032+"'E4!'2B"</f>
        <v>#VALUE!</v>
      </c>
      <c r="CU128" t="e">
        <f>Nodes!B1032+"'E4!'2C"</f>
        <v>#VALUE!</v>
      </c>
      <c r="CV128" t="e">
        <f>Nodes!C1032+"'E4!'2D"</f>
        <v>#VALUE!</v>
      </c>
      <c r="CW128" t="e">
        <f>Nodes!D1032+"'E4!'2E"</f>
        <v>#VALUE!</v>
      </c>
      <c r="CX128" t="e">
        <f>Nodes!E1032+"'E4!'2F"</f>
        <v>#VALUE!</v>
      </c>
      <c r="CY128" t="e">
        <f>Nodes!F1032+"'E4!'2G"</f>
        <v>#VALUE!</v>
      </c>
      <c r="CZ128" t="e">
        <f>Nodes!G1032+"'E4!'2H"</f>
        <v>#VALUE!</v>
      </c>
      <c r="DA128" t="e">
        <f>Nodes!H1032+"'E4!'2I"</f>
        <v>#VALUE!</v>
      </c>
      <c r="DB128" t="e">
        <f>Nodes!I1032+"'E4!'2J"</f>
        <v>#VALUE!</v>
      </c>
      <c r="DC128" t="e">
        <f>Nodes!J1032+"'E4!'2K"</f>
        <v>#VALUE!</v>
      </c>
      <c r="DD128" t="e">
        <f>Nodes!K1032+"'E4!'2L"</f>
        <v>#VALUE!</v>
      </c>
      <c r="DE128" t="e">
        <f>Nodes!L1032+"'E4!'2M"</f>
        <v>#VALUE!</v>
      </c>
      <c r="DF128" t="e">
        <f>Nodes!M1032+"'E4!'2N"</f>
        <v>#VALUE!</v>
      </c>
      <c r="DG128" t="e">
        <f>Nodes!N1032+"'E4!'2O"</f>
        <v>#VALUE!</v>
      </c>
      <c r="DH128" t="e">
        <f>Nodes!O1032+"'E4!'2P"</f>
        <v>#VALUE!</v>
      </c>
      <c r="DI128" t="e">
        <f>Nodes!P1032+"'E4!'2Q"</f>
        <v>#VALUE!</v>
      </c>
      <c r="DJ128" t="e">
        <f>Nodes!Q1032+"'E4!'2R"</f>
        <v>#VALUE!</v>
      </c>
      <c r="DK128" t="e">
        <f>Nodes!R1032+"'E4!'2S"</f>
        <v>#VALUE!</v>
      </c>
      <c r="DL128" t="e">
        <f>Nodes!S1032+"'E4!'2T"</f>
        <v>#VALUE!</v>
      </c>
      <c r="DM128" t="e">
        <f>Nodes!T1032+"'E4!'2U"</f>
        <v>#VALUE!</v>
      </c>
      <c r="DN128" s="548" t="e">
        <f>Nodes!U1032+"'E4!'2V"</f>
        <v>#VALUE!</v>
      </c>
      <c r="DO128" t="e">
        <f>Nodes!V1032+"'E4!'2W"</f>
        <v>#VALUE!</v>
      </c>
      <c r="DP128" t="e">
        <f>Nodes!W1032+"'E4!'2X"</f>
        <v>#VALUE!</v>
      </c>
      <c r="DQ128" t="e">
        <f>Nodes!X1032+"'E4!'2Y"</f>
        <v>#VALUE!</v>
      </c>
      <c r="DR128" t="e">
        <f>Nodes!Y1032+"'E4!'2Z"</f>
        <v>#VALUE!</v>
      </c>
      <c r="DS128" t="e">
        <f>Nodes!Z1032+"'E4!'2["</f>
        <v>#VALUE!</v>
      </c>
      <c r="DT128" t="e">
        <f>Nodes!AA1032+"'E4!'2\"</f>
        <v>#VALUE!</v>
      </c>
      <c r="DU128" t="e">
        <f>Nodes!AB1032+"'E4!'2]"</f>
        <v>#VALUE!</v>
      </c>
      <c r="DV128" t="e">
        <f>Nodes!AC1032+"'E4!'2^"</f>
        <v>#VALUE!</v>
      </c>
      <c r="DW128" t="e">
        <f>Nodes!A1033+"'E4!'2_"</f>
        <v>#VALUE!</v>
      </c>
      <c r="DX128" t="e">
        <f>Nodes!B1033+"'E4!'2`"</f>
        <v>#VALUE!</v>
      </c>
      <c r="DY128" t="e">
        <f>Nodes!C1033+"'E4!'2a"</f>
        <v>#VALUE!</v>
      </c>
      <c r="DZ128" t="e">
        <f>Nodes!D1033+"'E4!'2b"</f>
        <v>#VALUE!</v>
      </c>
      <c r="EA128" t="e">
        <f>Nodes!E1033+"'E4!'2c"</f>
        <v>#VALUE!</v>
      </c>
      <c r="EB128" t="e">
        <f>Nodes!F1033+"'E4!'2d"</f>
        <v>#VALUE!</v>
      </c>
      <c r="EC128" t="e">
        <f>Nodes!G1033+"'E4!'2e"</f>
        <v>#VALUE!</v>
      </c>
      <c r="ED128" t="e">
        <f>Nodes!H1033+"'E4!'2f"</f>
        <v>#VALUE!</v>
      </c>
      <c r="EE128" t="e">
        <f>Nodes!I1033+"'E4!'2g"</f>
        <v>#VALUE!</v>
      </c>
      <c r="EF128" t="e">
        <f>Nodes!J1033+"'E4!'2h"</f>
        <v>#VALUE!</v>
      </c>
      <c r="EG128" t="e">
        <f>Nodes!K1033+"'E4!'2i"</f>
        <v>#VALUE!</v>
      </c>
      <c r="EH128" t="e">
        <f>Nodes!L1033+"'E4!'2j"</f>
        <v>#VALUE!</v>
      </c>
      <c r="EI128" t="e">
        <f>Nodes!M1033+"'E4!'2k"</f>
        <v>#VALUE!</v>
      </c>
      <c r="EJ128" t="e">
        <f>Nodes!N1033+"'E4!'2l"</f>
        <v>#VALUE!</v>
      </c>
      <c r="EK128" t="e">
        <f>Nodes!O1033+"'E4!'2m"</f>
        <v>#VALUE!</v>
      </c>
      <c r="EL128" t="e">
        <f>Nodes!P1033+"'E4!'2n"</f>
        <v>#VALUE!</v>
      </c>
      <c r="EM128" t="e">
        <f>Nodes!Q1033+"'E4!'2o"</f>
        <v>#VALUE!</v>
      </c>
      <c r="EN128" t="e">
        <f>Nodes!R1033+"'E4!'2p"</f>
        <v>#VALUE!</v>
      </c>
      <c r="EO128" t="e">
        <f>Nodes!S1033+"'E4!'2q"</f>
        <v>#VALUE!</v>
      </c>
      <c r="EP128" s="547" t="e">
        <f>Nodes!T1033+"'E4!'2r"</f>
        <v>#VALUE!</v>
      </c>
      <c r="EQ128" s="548" t="e">
        <f>Nodes!U1033+"'E4!'2s"</f>
        <v>#VALUE!</v>
      </c>
      <c r="ER128" s="548" t="e">
        <f>Nodes!V1033+"'E4!'2t"</f>
        <v>#VALUE!</v>
      </c>
      <c r="ES128" s="547" t="e">
        <f>Nodes!W1033+"'E4!'2u"</f>
        <v>#VALUE!</v>
      </c>
      <c r="ET128" t="e">
        <f>Nodes!X1033+"'E4!'2v"</f>
        <v>#VALUE!</v>
      </c>
      <c r="EU128" t="e">
        <f>Nodes!Y1033+"'E4!'2w"</f>
        <v>#VALUE!</v>
      </c>
      <c r="EV128" t="e">
        <f>Nodes!Z1033+"'E4!'2x"</f>
        <v>#VALUE!</v>
      </c>
      <c r="EW128" t="e">
        <f>Nodes!AA1033+"'E4!'2y"</f>
        <v>#VALUE!</v>
      </c>
      <c r="EX128" t="e">
        <f>Nodes!AB1033+"'E4!'2z"</f>
        <v>#VALUE!</v>
      </c>
      <c r="EY128" t="e">
        <f>Nodes!AC1033+"'E4!'2{"</f>
        <v>#VALUE!</v>
      </c>
      <c r="EZ128" t="e">
        <f>Nodes!A1034+"'E4!'2|"</f>
        <v>#VALUE!</v>
      </c>
      <c r="FA128" t="e">
        <f>Nodes!B1034+"'E4!'2}"</f>
        <v>#VALUE!</v>
      </c>
      <c r="FB128" t="e">
        <f>Nodes!C1034+"'E4!'2~"</f>
        <v>#VALUE!</v>
      </c>
      <c r="FC128" t="e">
        <f>Nodes!D1034+"'E4!'3#"</f>
        <v>#VALUE!</v>
      </c>
      <c r="FD128" t="e">
        <f>Nodes!E1034+"'E4!'3$"</f>
        <v>#VALUE!</v>
      </c>
      <c r="FE128" t="e">
        <f>Nodes!F1034+"'E4!'3%"</f>
        <v>#VALUE!</v>
      </c>
      <c r="FF128" t="e">
        <f>Nodes!G1034+"'E4!'3&amp;"</f>
        <v>#VALUE!</v>
      </c>
      <c r="FG128" t="e">
        <f>Nodes!H1034+"'E4!'3'"</f>
        <v>#VALUE!</v>
      </c>
      <c r="FH128" t="e">
        <f>Nodes!I1034+"'E4!'3("</f>
        <v>#VALUE!</v>
      </c>
      <c r="FI128" t="e">
        <f>Nodes!J1034+"'E4!'3)"</f>
        <v>#VALUE!</v>
      </c>
      <c r="FJ128" t="e">
        <f>Nodes!K1034+"'E4!'3."</f>
        <v>#VALUE!</v>
      </c>
      <c r="FK128" t="e">
        <f>Nodes!L1034+"'E4!'3/"</f>
        <v>#VALUE!</v>
      </c>
      <c r="FL128" t="e">
        <f>Nodes!M1034+"'E4!'30"</f>
        <v>#VALUE!</v>
      </c>
      <c r="FM128" t="e">
        <f>Nodes!N1034+"'E4!'31"</f>
        <v>#VALUE!</v>
      </c>
      <c r="FN128" t="e">
        <f>Nodes!O1034+"'E4!'32"</f>
        <v>#VALUE!</v>
      </c>
      <c r="FO128" t="e">
        <f>Nodes!P1034+"'E4!'33"</f>
        <v>#VALUE!</v>
      </c>
      <c r="FP128" t="e">
        <f>Nodes!Q1034+"'E4!'34"</f>
        <v>#VALUE!</v>
      </c>
      <c r="FQ128" t="e">
        <f>Nodes!R1034+"'E4!'35"</f>
        <v>#VALUE!</v>
      </c>
      <c r="FR128" t="e">
        <f>Nodes!S1034+"'E4!'36"</f>
        <v>#VALUE!</v>
      </c>
      <c r="FS128" s="547" t="e">
        <f>Nodes!T1034+"'E4!'37"</f>
        <v>#VALUE!</v>
      </c>
      <c r="FT128" s="548" t="e">
        <f>Nodes!U1034+"'E4!'38"</f>
        <v>#VALUE!</v>
      </c>
      <c r="FU128" s="548" t="e">
        <f>Nodes!V1034+"'E4!'39"</f>
        <v>#VALUE!</v>
      </c>
      <c r="FV128" s="547" t="e">
        <f>Nodes!W1034+"'E4!'3:"</f>
        <v>#VALUE!</v>
      </c>
      <c r="FW128" t="e">
        <f>Nodes!X1034+"'E4!'3;"</f>
        <v>#VALUE!</v>
      </c>
      <c r="FX128" t="e">
        <f>Nodes!Y1034+"'E4!'3&lt;"</f>
        <v>#VALUE!</v>
      </c>
      <c r="FY128" t="e">
        <f>Nodes!Z1034+"'E4!'3="</f>
        <v>#VALUE!</v>
      </c>
      <c r="FZ128" t="e">
        <f>Nodes!AA1034+"'E4!'3&gt;"</f>
        <v>#VALUE!</v>
      </c>
      <c r="GA128" t="e">
        <f>Nodes!AB1034+"'E4!'3?"</f>
        <v>#VALUE!</v>
      </c>
      <c r="GB128" t="e">
        <f>Nodes!AC1034+"'E4!'3@"</f>
        <v>#VALUE!</v>
      </c>
      <c r="GC128" t="e">
        <f>Nodes!A1035+"'E4!'3A"</f>
        <v>#VALUE!</v>
      </c>
      <c r="GD128" t="e">
        <f>Nodes!B1035+"'E4!'3B"</f>
        <v>#VALUE!</v>
      </c>
      <c r="GE128" t="e">
        <f>Nodes!C1035+"'E4!'3C"</f>
        <v>#VALUE!</v>
      </c>
      <c r="GF128" t="e">
        <f>Nodes!D1035+"'E4!'3D"</f>
        <v>#VALUE!</v>
      </c>
      <c r="GG128" t="e">
        <f>Nodes!E1035+"'E4!'3E"</f>
        <v>#VALUE!</v>
      </c>
      <c r="GH128" t="e">
        <f>Nodes!F1035+"'E4!'3F"</f>
        <v>#VALUE!</v>
      </c>
      <c r="GI128" t="e">
        <f>Nodes!G1035+"'E4!'3G"</f>
        <v>#VALUE!</v>
      </c>
      <c r="GJ128" t="e">
        <f>Nodes!H1035+"'E4!'3H"</f>
        <v>#VALUE!</v>
      </c>
      <c r="GK128" t="e">
        <f>Nodes!I1035+"'E4!'3I"</f>
        <v>#VALUE!</v>
      </c>
      <c r="GL128" t="e">
        <f>Nodes!J1035+"'E4!'3J"</f>
        <v>#VALUE!</v>
      </c>
      <c r="GM128" t="e">
        <f>Nodes!K1035+"'E4!'3K"</f>
        <v>#VALUE!</v>
      </c>
      <c r="GN128" t="e">
        <f>Nodes!L1035+"'E4!'3L"</f>
        <v>#VALUE!</v>
      </c>
      <c r="GO128" t="e">
        <f>Nodes!M1035+"'E4!'3M"</f>
        <v>#VALUE!</v>
      </c>
      <c r="GP128" t="e">
        <f>Nodes!N1035+"'E4!'3N"</f>
        <v>#VALUE!</v>
      </c>
      <c r="GQ128" t="e">
        <f>Nodes!O1035+"'E4!'3O"</f>
        <v>#VALUE!</v>
      </c>
      <c r="GR128" t="e">
        <f>Nodes!P1035+"'E4!'3P"</f>
        <v>#VALUE!</v>
      </c>
      <c r="GS128" t="e">
        <f>Nodes!Q1035+"'E4!'3Q"</f>
        <v>#VALUE!</v>
      </c>
      <c r="GT128" t="e">
        <f>Nodes!R1035+"'E4!'3R"</f>
        <v>#VALUE!</v>
      </c>
      <c r="GU128" t="e">
        <f>Nodes!S1035+"'E4!'3S"</f>
        <v>#VALUE!</v>
      </c>
      <c r="GV128" s="547" t="e">
        <f>Nodes!T1035+"'E4!'3T"</f>
        <v>#VALUE!</v>
      </c>
      <c r="GW128" s="548" t="e">
        <f>Nodes!U1035+"'E4!'3U"</f>
        <v>#VALUE!</v>
      </c>
      <c r="GX128" s="548" t="e">
        <f>Nodes!V1035+"'E4!'3V"</f>
        <v>#VALUE!</v>
      </c>
      <c r="GY128" s="547" t="e">
        <f>Nodes!W1035+"'E4!'3W"</f>
        <v>#VALUE!</v>
      </c>
      <c r="GZ128" t="e">
        <f>Nodes!X1035+"'E4!'3X"</f>
        <v>#VALUE!</v>
      </c>
      <c r="HA128" t="e">
        <f>Nodes!Y1035+"'E4!'3Y"</f>
        <v>#VALUE!</v>
      </c>
      <c r="HB128" t="e">
        <f>Nodes!Z1035+"'E4!'3Z"</f>
        <v>#VALUE!</v>
      </c>
      <c r="HC128" t="e">
        <f>Nodes!AA1035+"'E4!'3["</f>
        <v>#VALUE!</v>
      </c>
      <c r="HD128" t="e">
        <f>Nodes!AB1035+"'E4!'3\"</f>
        <v>#VALUE!</v>
      </c>
      <c r="HE128" t="e">
        <f>Nodes!AC1035+"'E4!'3]"</f>
        <v>#VALUE!</v>
      </c>
      <c r="HF128" t="e">
        <f>Nodes!A1036+"'E4!'3^"</f>
        <v>#VALUE!</v>
      </c>
      <c r="HG128" t="e">
        <f>Nodes!B1036+"'E4!'3_"</f>
        <v>#VALUE!</v>
      </c>
      <c r="HH128" t="e">
        <f>Nodes!C1036+"'E4!'3`"</f>
        <v>#VALUE!</v>
      </c>
      <c r="HI128" t="e">
        <f>Nodes!D1036+"'E4!'3a"</f>
        <v>#VALUE!</v>
      </c>
      <c r="HJ128" t="e">
        <f>Nodes!E1036+"'E4!'3b"</f>
        <v>#VALUE!</v>
      </c>
      <c r="HK128" t="e">
        <f>Nodes!F1036+"'E4!'3c"</f>
        <v>#VALUE!</v>
      </c>
      <c r="HL128" t="e">
        <f>Nodes!G1036+"'E4!'3d"</f>
        <v>#VALUE!</v>
      </c>
      <c r="HM128" t="e">
        <f>Nodes!H1036+"'E4!'3e"</f>
        <v>#VALUE!</v>
      </c>
      <c r="HN128" t="e">
        <f>Nodes!I1036+"'E4!'3f"</f>
        <v>#VALUE!</v>
      </c>
      <c r="HO128" t="e">
        <f>Nodes!J1036+"'E4!'3g"</f>
        <v>#VALUE!</v>
      </c>
      <c r="HP128" t="e">
        <f>Nodes!K1036+"'E4!'3h"</f>
        <v>#VALUE!</v>
      </c>
      <c r="HQ128" t="e">
        <f>Nodes!L1036+"'E4!'3i"</f>
        <v>#VALUE!</v>
      </c>
      <c r="HR128" t="e">
        <f>Nodes!M1036+"'E4!'3j"</f>
        <v>#VALUE!</v>
      </c>
      <c r="HS128" t="e">
        <f>Nodes!N1036+"'E4!'3k"</f>
        <v>#VALUE!</v>
      </c>
      <c r="HT128" t="e">
        <f>Nodes!O1036+"'E4!'3l"</f>
        <v>#VALUE!</v>
      </c>
      <c r="HU128" t="e">
        <f>Nodes!P1036+"'E4!'3m"</f>
        <v>#VALUE!</v>
      </c>
      <c r="HV128" t="e">
        <f>Nodes!Q1036+"'E4!'3n"</f>
        <v>#VALUE!</v>
      </c>
      <c r="HW128" t="e">
        <f>Nodes!R1036+"'E4!'3o"</f>
        <v>#VALUE!</v>
      </c>
      <c r="HX128" t="e">
        <f>Nodes!S1036+"'E4!'3p"</f>
        <v>#VALUE!</v>
      </c>
      <c r="HY128" s="547" t="e">
        <f>Nodes!T1036+"'E4!'3q"</f>
        <v>#VALUE!</v>
      </c>
      <c r="HZ128" s="548" t="e">
        <f>Nodes!U1036+"'E4!'3r"</f>
        <v>#VALUE!</v>
      </c>
      <c r="IA128" s="548" t="e">
        <f>Nodes!V1036+"'E4!'3s"</f>
        <v>#VALUE!</v>
      </c>
      <c r="IB128" s="547" t="e">
        <f>Nodes!W1036+"'E4!'3t"</f>
        <v>#VALUE!</v>
      </c>
      <c r="IC128" t="e">
        <f>Nodes!X1036+"'E4!'3u"</f>
        <v>#VALUE!</v>
      </c>
      <c r="ID128" t="e">
        <f>Nodes!Y1036+"'E4!'3v"</f>
        <v>#VALUE!</v>
      </c>
      <c r="IE128" t="e">
        <f>Nodes!Z1036+"'E4!'3w"</f>
        <v>#VALUE!</v>
      </c>
      <c r="IF128" t="e">
        <f>Nodes!AA1036+"'E4!'3x"</f>
        <v>#VALUE!</v>
      </c>
      <c r="IG128" t="e">
        <f>Nodes!AB1036+"'E4!'3y"</f>
        <v>#VALUE!</v>
      </c>
      <c r="IH128" t="e">
        <f>Nodes!AC1036+"'E4!'3z"</f>
        <v>#VALUE!</v>
      </c>
      <c r="II128" t="e">
        <f>Nodes!A1037+"'E4!'3{"</f>
        <v>#VALUE!</v>
      </c>
      <c r="IJ128" t="e">
        <f>Nodes!B1037+"'E4!'3|"</f>
        <v>#VALUE!</v>
      </c>
      <c r="IK128" t="e">
        <f>Nodes!C1037+"'E4!'3}"</f>
        <v>#VALUE!</v>
      </c>
      <c r="IL128" t="e">
        <f>Nodes!D1037+"'E4!'3~"</f>
        <v>#VALUE!</v>
      </c>
      <c r="IM128" t="e">
        <f>Nodes!E1037+"'E4!'4#"</f>
        <v>#VALUE!</v>
      </c>
      <c r="IN128" t="e">
        <f>Nodes!F1037+"'E4!'4$"</f>
        <v>#VALUE!</v>
      </c>
      <c r="IO128" t="e">
        <f>Nodes!G1037+"'E4!'4%"</f>
        <v>#VALUE!</v>
      </c>
      <c r="IP128" t="e">
        <f>Nodes!H1037+"'E4!'4&amp;"</f>
        <v>#VALUE!</v>
      </c>
      <c r="IQ128" t="e">
        <f>Nodes!I1037+"'E4!'4'"</f>
        <v>#VALUE!</v>
      </c>
      <c r="IR128" t="e">
        <f>Nodes!J1037+"'E4!'4("</f>
        <v>#VALUE!</v>
      </c>
      <c r="IS128" t="e">
        <f>Nodes!K1037+"'E4!'4)"</f>
        <v>#VALUE!</v>
      </c>
      <c r="IT128" t="e">
        <f>Nodes!L1037+"'E4!'4."</f>
        <v>#VALUE!</v>
      </c>
      <c r="IU128" t="e">
        <f>Nodes!M1037+"'E4!'4/"</f>
        <v>#VALUE!</v>
      </c>
      <c r="IV128" t="e">
        <f>Nodes!N1037+"'E4!'40"</f>
        <v>#VALUE!</v>
      </c>
    </row>
    <row r="129" spans="6:256">
      <c r="F129" t="e">
        <f>Nodes!O1037+"'E4!'41"</f>
        <v>#VALUE!</v>
      </c>
      <c r="G129" t="e">
        <f>Nodes!P1037+"'E4!'42"</f>
        <v>#VALUE!</v>
      </c>
      <c r="H129" t="e">
        <f>Nodes!Q1037+"'E4!'43"</f>
        <v>#VALUE!</v>
      </c>
      <c r="I129" t="e">
        <f>Nodes!R1037+"'E4!'44"</f>
        <v>#VALUE!</v>
      </c>
      <c r="J129" t="e">
        <f>Nodes!S1037+"'E4!'45"</f>
        <v>#VALUE!</v>
      </c>
      <c r="K129" s="547" t="e">
        <f>Nodes!T1037+"'E4!'46"</f>
        <v>#VALUE!</v>
      </c>
      <c r="L129" s="548" t="e">
        <f>Nodes!U1037+"'E4!'47"</f>
        <v>#VALUE!</v>
      </c>
      <c r="M129" s="548" t="e">
        <f>Nodes!V1037+"'E4!'48"</f>
        <v>#VALUE!</v>
      </c>
      <c r="N129" s="547" t="e">
        <f>Nodes!W1037+"'E4!'49"</f>
        <v>#VALUE!</v>
      </c>
      <c r="O129" t="e">
        <f>Nodes!X1037+"'E4!'4:"</f>
        <v>#VALUE!</v>
      </c>
      <c r="P129" t="e">
        <f>Nodes!Y1037+"'E4!'4;"</f>
        <v>#VALUE!</v>
      </c>
      <c r="Q129" t="e">
        <f>Nodes!Z1037+"'E4!'4&lt;"</f>
        <v>#VALUE!</v>
      </c>
      <c r="R129" t="e">
        <f>Nodes!AA1037+"'E4!'4="</f>
        <v>#VALUE!</v>
      </c>
      <c r="S129" t="e">
        <f>Nodes!AB1037+"'E4!'4&gt;"</f>
        <v>#VALUE!</v>
      </c>
      <c r="T129" t="e">
        <f>Nodes!AC1037+"'E4!'4?"</f>
        <v>#VALUE!</v>
      </c>
      <c r="U129" t="e">
        <f>Nodes!A1038+"'E4!'4@"</f>
        <v>#VALUE!</v>
      </c>
      <c r="V129" t="e">
        <f>Nodes!B1038+"'E4!'4A"</f>
        <v>#VALUE!</v>
      </c>
      <c r="W129" t="e">
        <f>Nodes!C1038+"'E4!'4B"</f>
        <v>#VALUE!</v>
      </c>
      <c r="X129" t="e">
        <f>Nodes!D1038+"'E4!'4C"</f>
        <v>#VALUE!</v>
      </c>
      <c r="Y129" t="e">
        <f>Nodes!E1038+"'E4!'4D"</f>
        <v>#VALUE!</v>
      </c>
      <c r="Z129" t="e">
        <f>Nodes!F1038+"'E4!'4E"</f>
        <v>#VALUE!</v>
      </c>
      <c r="AA129" t="e">
        <f>Nodes!G1038+"'E4!'4F"</f>
        <v>#VALUE!</v>
      </c>
      <c r="AB129" t="e">
        <f>Nodes!H1038+"'E4!'4G"</f>
        <v>#VALUE!</v>
      </c>
      <c r="AC129" t="e">
        <f>Nodes!I1038+"'E4!'4H"</f>
        <v>#VALUE!</v>
      </c>
      <c r="AD129" t="e">
        <f>Nodes!J1038+"'E4!'4I"</f>
        <v>#VALUE!</v>
      </c>
      <c r="AE129" t="e">
        <f>Nodes!K1038+"'E4!'4J"</f>
        <v>#VALUE!</v>
      </c>
      <c r="AF129" t="e">
        <f>Nodes!L1038+"'E4!'4K"</f>
        <v>#VALUE!</v>
      </c>
      <c r="AG129" t="e">
        <f>Nodes!M1038+"'E4!'4L"</f>
        <v>#VALUE!</v>
      </c>
      <c r="AH129" t="e">
        <f>Nodes!N1038+"'E4!'4M"</f>
        <v>#VALUE!</v>
      </c>
      <c r="AI129" t="e">
        <f>Nodes!O1038+"'E4!'4N"</f>
        <v>#VALUE!</v>
      </c>
      <c r="AJ129" t="e">
        <f>Nodes!P1038+"'E4!'4O"</f>
        <v>#VALUE!</v>
      </c>
      <c r="AK129" t="e">
        <f>Nodes!Q1038+"'E4!'4P"</f>
        <v>#VALUE!</v>
      </c>
      <c r="AL129" t="e">
        <f>Nodes!R1038+"'E4!'4Q"</f>
        <v>#VALUE!</v>
      </c>
      <c r="AM129" t="e">
        <f>Nodes!S1038+"'E4!'4R"</f>
        <v>#VALUE!</v>
      </c>
      <c r="AN129" s="547" t="e">
        <f>Nodes!T1038+"'E4!'4S"</f>
        <v>#VALUE!</v>
      </c>
      <c r="AO129" s="548" t="e">
        <f>Nodes!U1038+"'E4!'4T"</f>
        <v>#VALUE!</v>
      </c>
      <c r="AP129" s="548" t="e">
        <f>Nodes!V1038+"'E4!'4U"</f>
        <v>#VALUE!</v>
      </c>
      <c r="AQ129" s="547" t="e">
        <f>Nodes!W1038+"'E4!'4V"</f>
        <v>#VALUE!</v>
      </c>
      <c r="AR129" t="e">
        <f>Nodes!X1038+"'E4!'4W"</f>
        <v>#VALUE!</v>
      </c>
      <c r="AS129" t="e">
        <f>Nodes!Y1038+"'E4!'4X"</f>
        <v>#VALUE!</v>
      </c>
      <c r="AT129" t="e">
        <f>Nodes!Z1038+"'E4!'4Y"</f>
        <v>#VALUE!</v>
      </c>
      <c r="AU129" t="e">
        <f>Nodes!AA1038+"'E4!'4Z"</f>
        <v>#VALUE!</v>
      </c>
      <c r="AV129" t="e">
        <f>Nodes!AB1038+"'E4!'4["</f>
        <v>#VALUE!</v>
      </c>
      <c r="AW129" t="e">
        <f>Nodes!AC1038+"'E4!'4\"</f>
        <v>#VALUE!</v>
      </c>
      <c r="AX129" t="e">
        <f>Nodes!A1039+"'E4!'4]"</f>
        <v>#VALUE!</v>
      </c>
      <c r="AY129" t="e">
        <f>Nodes!B1039+"'E4!'4^"</f>
        <v>#VALUE!</v>
      </c>
      <c r="AZ129" t="e">
        <f>Nodes!C1039+"'E4!'4_"</f>
        <v>#VALUE!</v>
      </c>
      <c r="BA129" t="e">
        <f>Nodes!D1039+"'E4!'4`"</f>
        <v>#VALUE!</v>
      </c>
      <c r="BB129" t="e">
        <f>Nodes!E1039+"'E4!'4a"</f>
        <v>#VALUE!</v>
      </c>
      <c r="BC129" t="e">
        <f>Nodes!F1039+"'E4!'4b"</f>
        <v>#VALUE!</v>
      </c>
      <c r="BD129" t="e">
        <f>Nodes!G1039+"'E4!'4c"</f>
        <v>#VALUE!</v>
      </c>
      <c r="BE129" t="e">
        <f>Nodes!H1039+"'E4!'4d"</f>
        <v>#VALUE!</v>
      </c>
      <c r="BF129" t="e">
        <f>Nodes!I1039+"'E4!'4e"</f>
        <v>#VALUE!</v>
      </c>
      <c r="BG129" t="e">
        <f>Nodes!J1039+"'E4!'4f"</f>
        <v>#VALUE!</v>
      </c>
      <c r="BH129" t="e">
        <f>Nodes!K1039+"'E4!'4g"</f>
        <v>#VALUE!</v>
      </c>
      <c r="BI129" t="e">
        <f>Nodes!L1039+"'E4!'4h"</f>
        <v>#VALUE!</v>
      </c>
      <c r="BJ129" t="e">
        <f>Nodes!M1039+"'E4!'4i"</f>
        <v>#VALUE!</v>
      </c>
      <c r="BK129" t="e">
        <f>Nodes!N1039+"'E4!'4j"</f>
        <v>#VALUE!</v>
      </c>
      <c r="BL129" t="e">
        <f>Nodes!O1039+"'E4!'4k"</f>
        <v>#VALUE!</v>
      </c>
      <c r="BM129" t="e">
        <f>Nodes!P1039+"'E4!'4l"</f>
        <v>#VALUE!</v>
      </c>
      <c r="BN129" t="e">
        <f>Nodes!Q1039+"'E4!'4m"</f>
        <v>#VALUE!</v>
      </c>
      <c r="BO129" t="e">
        <f>Nodes!R1039+"'E4!'4n"</f>
        <v>#VALUE!</v>
      </c>
      <c r="BP129" t="e">
        <f>Nodes!S1039+"'E4!'4o"</f>
        <v>#VALUE!</v>
      </c>
      <c r="BQ129" s="547" t="e">
        <f>Nodes!T1039+"'E4!'4p"</f>
        <v>#VALUE!</v>
      </c>
      <c r="BR129" s="548" t="e">
        <f>Nodes!U1039+"'E4!'4q"</f>
        <v>#VALUE!</v>
      </c>
      <c r="BS129" s="548" t="e">
        <f>Nodes!V1039+"'E4!'4r"</f>
        <v>#VALUE!</v>
      </c>
      <c r="BT129" s="547" t="e">
        <f>Nodes!W1039+"'E4!'4s"</f>
        <v>#VALUE!</v>
      </c>
      <c r="BU129" t="e">
        <f>Nodes!X1039+"'E4!'4t"</f>
        <v>#VALUE!</v>
      </c>
      <c r="BV129" t="e">
        <f>Nodes!Y1039+"'E4!'4u"</f>
        <v>#VALUE!</v>
      </c>
      <c r="BW129" t="e">
        <f>Nodes!Z1039+"'E4!'4v"</f>
        <v>#VALUE!</v>
      </c>
      <c r="BX129" t="e">
        <f>Nodes!AA1039+"'E4!'4w"</f>
        <v>#VALUE!</v>
      </c>
      <c r="BY129" t="e">
        <f>Nodes!AB1039+"'E4!'4x"</f>
        <v>#VALUE!</v>
      </c>
      <c r="BZ129" t="e">
        <f>Nodes!AC1039+"'E4!'4y"</f>
        <v>#VALUE!</v>
      </c>
      <c r="CA129" t="e">
        <f>Nodes!A1040+"'E4!'4z"</f>
        <v>#VALUE!</v>
      </c>
      <c r="CB129" t="e">
        <f>Nodes!B1040+"'E4!'4{"</f>
        <v>#VALUE!</v>
      </c>
      <c r="CC129" t="e">
        <f>Nodes!C1040+"'E4!'4|"</f>
        <v>#VALUE!</v>
      </c>
      <c r="CD129" t="e">
        <f>Nodes!D1040+"'E4!'4}"</f>
        <v>#VALUE!</v>
      </c>
      <c r="CE129" t="e">
        <f>Nodes!E1040+"'E4!'4~"</f>
        <v>#VALUE!</v>
      </c>
      <c r="CF129" t="e">
        <f>Nodes!F1040+"'E4!'5#"</f>
        <v>#VALUE!</v>
      </c>
      <c r="CG129" t="e">
        <f>Nodes!G1040+"'E4!'5$"</f>
        <v>#VALUE!</v>
      </c>
      <c r="CH129" t="e">
        <f>Nodes!H1040+"'E4!'5%"</f>
        <v>#VALUE!</v>
      </c>
      <c r="CI129" t="e">
        <f>Nodes!I1040+"'E4!'5&amp;"</f>
        <v>#VALUE!</v>
      </c>
      <c r="CJ129" t="e">
        <f>Nodes!J1040+"'E4!'5'"</f>
        <v>#VALUE!</v>
      </c>
      <c r="CK129" t="e">
        <f>Nodes!K1040+"'E4!'5("</f>
        <v>#VALUE!</v>
      </c>
      <c r="CL129" t="e">
        <f>Nodes!L1040+"'E4!'5)"</f>
        <v>#VALUE!</v>
      </c>
      <c r="CM129" t="e">
        <f>Nodes!M1040+"'E4!'5."</f>
        <v>#VALUE!</v>
      </c>
      <c r="CN129" t="e">
        <f>Nodes!N1040+"'E4!'5/"</f>
        <v>#VALUE!</v>
      </c>
      <c r="CO129" t="e">
        <f>Nodes!O1040+"'E4!'50"</f>
        <v>#VALUE!</v>
      </c>
      <c r="CP129" t="e">
        <f>Nodes!P1040+"'E4!'51"</f>
        <v>#VALUE!</v>
      </c>
      <c r="CQ129" t="e">
        <f>Nodes!Q1040+"'E4!'52"</f>
        <v>#VALUE!</v>
      </c>
      <c r="CR129" t="e">
        <f>Nodes!R1040+"'E4!'53"</f>
        <v>#VALUE!</v>
      </c>
      <c r="CS129" t="e">
        <f>Nodes!S1040+"'E4!'54"</f>
        <v>#VALUE!</v>
      </c>
      <c r="CT129" s="547" t="e">
        <f>Nodes!T1040+"'E4!'55"</f>
        <v>#VALUE!</v>
      </c>
      <c r="CU129" s="548" t="e">
        <f>Nodes!U1040+"'E4!'56"</f>
        <v>#VALUE!</v>
      </c>
      <c r="CV129" s="548" t="e">
        <f>Nodes!V1040+"'E4!'57"</f>
        <v>#VALUE!</v>
      </c>
      <c r="CW129" s="547" t="e">
        <f>Nodes!W1040+"'E4!'58"</f>
        <v>#VALUE!</v>
      </c>
      <c r="CX129" t="e">
        <f>Nodes!X1040+"'E4!'59"</f>
        <v>#VALUE!</v>
      </c>
      <c r="CY129" t="e">
        <f>Nodes!Y1040+"'E4!'5:"</f>
        <v>#VALUE!</v>
      </c>
      <c r="CZ129" t="e">
        <f>Nodes!Z1040+"'E4!'5;"</f>
        <v>#VALUE!</v>
      </c>
      <c r="DA129" t="e">
        <f>Nodes!AA1040+"'E4!'5&lt;"</f>
        <v>#VALUE!</v>
      </c>
      <c r="DB129" t="e">
        <f>Nodes!AB1040+"'E4!'5="</f>
        <v>#VALUE!</v>
      </c>
      <c r="DC129" t="e">
        <f>Nodes!AC1040+"'E4!'5&gt;"</f>
        <v>#VALUE!</v>
      </c>
      <c r="DD129" t="e">
        <f>Nodes!A1041+"'E4!'5?"</f>
        <v>#VALUE!</v>
      </c>
      <c r="DE129" t="e">
        <f>Nodes!B1041+"'E4!'5@"</f>
        <v>#VALUE!</v>
      </c>
      <c r="DF129" t="e">
        <f>Nodes!C1041+"'E4!'5A"</f>
        <v>#VALUE!</v>
      </c>
      <c r="DG129" t="e">
        <f>Nodes!D1041+"'E4!'5B"</f>
        <v>#VALUE!</v>
      </c>
      <c r="DH129" t="e">
        <f>Nodes!E1041+"'E4!'5C"</f>
        <v>#VALUE!</v>
      </c>
      <c r="DI129" t="e">
        <f>Nodes!F1041+"'E4!'5D"</f>
        <v>#VALUE!</v>
      </c>
      <c r="DJ129" t="e">
        <f>Nodes!G1041+"'E4!'5E"</f>
        <v>#VALUE!</v>
      </c>
      <c r="DK129" t="e">
        <f>Nodes!H1041+"'E4!'5F"</f>
        <v>#VALUE!</v>
      </c>
      <c r="DL129" t="e">
        <f>Nodes!I1041+"'E4!'5G"</f>
        <v>#VALUE!</v>
      </c>
      <c r="DM129" t="e">
        <f>Nodes!J1041+"'E4!'5H"</f>
        <v>#VALUE!</v>
      </c>
      <c r="DN129" t="e">
        <f>Nodes!K1041+"'E4!'5I"</f>
        <v>#VALUE!</v>
      </c>
      <c r="DO129" t="e">
        <f>Nodes!L1041+"'E4!'5J"</f>
        <v>#VALUE!</v>
      </c>
      <c r="DP129" t="e">
        <f>Nodes!M1041+"'E4!'5K"</f>
        <v>#VALUE!</v>
      </c>
      <c r="DQ129" t="e">
        <f>Nodes!N1041+"'E4!'5L"</f>
        <v>#VALUE!</v>
      </c>
      <c r="DR129" t="e">
        <f>Nodes!O1041+"'E4!'5M"</f>
        <v>#VALUE!</v>
      </c>
      <c r="DS129" t="e">
        <f>Nodes!P1041+"'E4!'5N"</f>
        <v>#VALUE!</v>
      </c>
      <c r="DT129" t="e">
        <f>Nodes!Q1041+"'E4!'5O"</f>
        <v>#VALUE!</v>
      </c>
      <c r="DU129" t="e">
        <f>Nodes!R1041+"'E4!'5P"</f>
        <v>#VALUE!</v>
      </c>
      <c r="DV129" t="e">
        <f>Nodes!S1041+"'E4!'5Q"</f>
        <v>#VALUE!</v>
      </c>
      <c r="DW129" s="547" t="e">
        <f>Nodes!T1041+"'E4!'5R"</f>
        <v>#VALUE!</v>
      </c>
      <c r="DX129" s="548" t="e">
        <f>Nodes!U1041+"'E4!'5S"</f>
        <v>#VALUE!</v>
      </c>
      <c r="DY129" s="548" t="e">
        <f>Nodes!V1041+"'E4!'5T"</f>
        <v>#VALUE!</v>
      </c>
      <c r="DZ129" s="547" t="e">
        <f>Nodes!W1041+"'E4!'5U"</f>
        <v>#VALUE!</v>
      </c>
      <c r="EA129" t="e">
        <f>Nodes!X1041+"'E4!'5V"</f>
        <v>#VALUE!</v>
      </c>
      <c r="EB129" t="e">
        <f>Nodes!Y1041+"'E4!'5W"</f>
        <v>#VALUE!</v>
      </c>
      <c r="EC129" t="e">
        <f>Nodes!Z1041+"'E4!'5X"</f>
        <v>#VALUE!</v>
      </c>
      <c r="ED129" t="e">
        <f>Nodes!AA1041+"'E4!'5Y"</f>
        <v>#VALUE!</v>
      </c>
      <c r="EE129" t="e">
        <f>Nodes!AB1041+"'E4!'5Z"</f>
        <v>#VALUE!</v>
      </c>
      <c r="EF129" t="e">
        <f>Nodes!AC1041+"'E4!'5["</f>
        <v>#VALUE!</v>
      </c>
      <c r="EG129" t="e">
        <f>Nodes!A1042+"'E4!'5\"</f>
        <v>#VALUE!</v>
      </c>
      <c r="EH129" t="e">
        <f>Nodes!B1042+"'E4!'5]"</f>
        <v>#VALUE!</v>
      </c>
      <c r="EI129" t="e">
        <f>Nodes!C1042+"'E4!'5^"</f>
        <v>#VALUE!</v>
      </c>
      <c r="EJ129" t="e">
        <f>Nodes!D1042+"'E4!'5_"</f>
        <v>#VALUE!</v>
      </c>
      <c r="EK129" t="e">
        <f>Nodes!E1042+"'E4!'5`"</f>
        <v>#VALUE!</v>
      </c>
      <c r="EL129" t="e">
        <f>Nodes!F1042+"'E4!'5a"</f>
        <v>#VALUE!</v>
      </c>
      <c r="EM129" t="e">
        <f>Nodes!G1042+"'E4!'5b"</f>
        <v>#VALUE!</v>
      </c>
      <c r="EN129" t="e">
        <f>Nodes!H1042+"'E4!'5c"</f>
        <v>#VALUE!</v>
      </c>
      <c r="EO129" t="e">
        <f>Nodes!I1042+"'E4!'5d"</f>
        <v>#VALUE!</v>
      </c>
      <c r="EP129" t="e">
        <f>Nodes!J1042+"'E4!'5e"</f>
        <v>#VALUE!</v>
      </c>
      <c r="EQ129" t="e">
        <f>Nodes!K1042+"'E4!'5f"</f>
        <v>#VALUE!</v>
      </c>
      <c r="ER129" t="e">
        <f>Nodes!L1042+"'E4!'5g"</f>
        <v>#VALUE!</v>
      </c>
      <c r="ES129" t="e">
        <f>Nodes!M1042+"'E4!'5h"</f>
        <v>#VALUE!</v>
      </c>
      <c r="ET129" t="e">
        <f>Nodes!N1042+"'E4!'5i"</f>
        <v>#VALUE!</v>
      </c>
      <c r="EU129" t="e">
        <f>Nodes!O1042+"'E4!'5j"</f>
        <v>#VALUE!</v>
      </c>
      <c r="EV129" t="e">
        <f>Nodes!P1042+"'E4!'5k"</f>
        <v>#VALUE!</v>
      </c>
      <c r="EW129" t="e">
        <f>Nodes!Q1042+"'E4!'5l"</f>
        <v>#VALUE!</v>
      </c>
      <c r="EX129" t="e">
        <f>Nodes!R1042+"'E4!'5m"</f>
        <v>#VALUE!</v>
      </c>
      <c r="EY129" t="e">
        <f>Nodes!S1042+"'E4!'5n"</f>
        <v>#VALUE!</v>
      </c>
      <c r="EZ129" s="547" t="e">
        <f>Nodes!T1042+"'E4!'5o"</f>
        <v>#VALUE!</v>
      </c>
      <c r="FA129" s="548" t="e">
        <f>Nodes!U1042+"'E4!'5p"</f>
        <v>#VALUE!</v>
      </c>
      <c r="FB129" s="548" t="e">
        <f>Nodes!V1042+"'E4!'5q"</f>
        <v>#VALUE!</v>
      </c>
      <c r="FC129" s="547" t="e">
        <f>Nodes!W1042+"'E4!'5r"</f>
        <v>#VALUE!</v>
      </c>
      <c r="FD129" t="e">
        <f>Nodes!X1042+"'E4!'5s"</f>
        <v>#VALUE!</v>
      </c>
      <c r="FE129" t="e">
        <f>Nodes!Y1042+"'E4!'5t"</f>
        <v>#VALUE!</v>
      </c>
      <c r="FF129" t="e">
        <f>Nodes!Z1042+"'E4!'5u"</f>
        <v>#VALUE!</v>
      </c>
      <c r="FG129" t="e">
        <f>Nodes!AA1042+"'E4!'5v"</f>
        <v>#VALUE!</v>
      </c>
      <c r="FH129" t="e">
        <f>Nodes!AB1042+"'E4!'5w"</f>
        <v>#VALUE!</v>
      </c>
      <c r="FI129" t="e">
        <f>Nodes!AC1042+"'E4!'5x"</f>
        <v>#VALUE!</v>
      </c>
      <c r="FJ129" t="e">
        <f>Nodes!A1043+"'E4!'5y"</f>
        <v>#VALUE!</v>
      </c>
      <c r="FK129" t="e">
        <f>Nodes!B1043+"'E4!'5z"</f>
        <v>#VALUE!</v>
      </c>
      <c r="FL129" t="e">
        <f>Nodes!C1043+"'E4!'5{"</f>
        <v>#VALUE!</v>
      </c>
      <c r="FM129" t="e">
        <f>Nodes!D1043+"'E4!'5|"</f>
        <v>#VALUE!</v>
      </c>
      <c r="FN129" t="e">
        <f>Nodes!E1043+"'E4!'5}"</f>
        <v>#VALUE!</v>
      </c>
      <c r="FO129" t="e">
        <f>Nodes!F1043+"'E4!'5~"</f>
        <v>#VALUE!</v>
      </c>
      <c r="FP129" t="e">
        <f>Nodes!G1043+"'E4!'6#"</f>
        <v>#VALUE!</v>
      </c>
      <c r="FQ129" t="e">
        <f>Nodes!H1043+"'E4!'6$"</f>
        <v>#VALUE!</v>
      </c>
      <c r="FR129" t="e">
        <f>Nodes!I1043+"'E4!'6%"</f>
        <v>#VALUE!</v>
      </c>
      <c r="FS129" t="e">
        <f>Nodes!J1043+"'E4!'6&amp;"</f>
        <v>#VALUE!</v>
      </c>
      <c r="FT129" t="e">
        <f>Nodes!K1043+"'E4!'6'"</f>
        <v>#VALUE!</v>
      </c>
      <c r="FU129" t="e">
        <f>Nodes!L1043+"'E4!'6("</f>
        <v>#VALUE!</v>
      </c>
      <c r="FV129" t="e">
        <f>Nodes!M1043+"'E4!'6)"</f>
        <v>#VALUE!</v>
      </c>
      <c r="FW129" t="e">
        <f>Nodes!N1043+"'E4!'6."</f>
        <v>#VALUE!</v>
      </c>
      <c r="FX129" t="e">
        <f>Nodes!O1043+"'E4!'6/"</f>
        <v>#VALUE!</v>
      </c>
      <c r="FY129" t="e">
        <f>Nodes!P1043+"'E4!'60"</f>
        <v>#VALUE!</v>
      </c>
      <c r="FZ129" t="e">
        <f>Nodes!Q1043+"'E4!'61"</f>
        <v>#VALUE!</v>
      </c>
      <c r="GA129" t="e">
        <f>Nodes!R1043+"'E4!'62"</f>
        <v>#VALUE!</v>
      </c>
      <c r="GB129" t="e">
        <f>Nodes!S1043+"'E4!'63"</f>
        <v>#VALUE!</v>
      </c>
      <c r="GC129" s="547" t="e">
        <f>Nodes!T1043+"'E4!'64"</f>
        <v>#VALUE!</v>
      </c>
      <c r="GD129" s="548" t="e">
        <f>Nodes!U1043+"'E4!'65"</f>
        <v>#VALUE!</v>
      </c>
      <c r="GE129" s="548" t="e">
        <f>Nodes!V1043+"'E4!'66"</f>
        <v>#VALUE!</v>
      </c>
      <c r="GF129" s="547" t="e">
        <f>Nodes!W1043+"'E4!'67"</f>
        <v>#VALUE!</v>
      </c>
      <c r="GG129" t="e">
        <f>Nodes!X1043+"'E4!'68"</f>
        <v>#VALUE!</v>
      </c>
      <c r="GH129" t="e">
        <f>Nodes!Y1043+"'E4!'69"</f>
        <v>#VALUE!</v>
      </c>
      <c r="GI129" t="e">
        <f>Nodes!Z1043+"'E4!'6:"</f>
        <v>#VALUE!</v>
      </c>
      <c r="GJ129" t="e">
        <f>Nodes!AA1043+"'E4!'6;"</f>
        <v>#VALUE!</v>
      </c>
      <c r="GK129" t="e">
        <f>Nodes!AB1043+"'E4!'6&lt;"</f>
        <v>#VALUE!</v>
      </c>
      <c r="GL129" t="e">
        <f>Nodes!AC1043+"'E4!'6="</f>
        <v>#VALUE!</v>
      </c>
      <c r="GM129" t="e">
        <f>Nodes!A1044+"'E4!'6&gt;"</f>
        <v>#VALUE!</v>
      </c>
      <c r="GN129" t="e">
        <f>Nodes!B1044+"'E4!'6?"</f>
        <v>#VALUE!</v>
      </c>
      <c r="GO129" t="e">
        <f>Nodes!C1044+"'E4!'6@"</f>
        <v>#VALUE!</v>
      </c>
      <c r="GP129" t="e">
        <f>Nodes!D1044+"'E4!'6A"</f>
        <v>#VALUE!</v>
      </c>
      <c r="GQ129" t="e">
        <f>Nodes!E1044+"'E4!'6B"</f>
        <v>#VALUE!</v>
      </c>
      <c r="GR129" t="e">
        <f>Nodes!F1044+"'E4!'6C"</f>
        <v>#VALUE!</v>
      </c>
      <c r="GS129" t="e">
        <f>Nodes!G1044+"'E4!'6D"</f>
        <v>#VALUE!</v>
      </c>
      <c r="GT129" t="e">
        <f>Nodes!H1044+"'E4!'6E"</f>
        <v>#VALUE!</v>
      </c>
      <c r="GU129" t="e">
        <f>Nodes!I1044+"'E4!'6F"</f>
        <v>#VALUE!</v>
      </c>
      <c r="GV129" t="e">
        <f>Nodes!J1044+"'E4!'6G"</f>
        <v>#VALUE!</v>
      </c>
      <c r="GW129" t="e">
        <f>Nodes!K1044+"'E4!'6H"</f>
        <v>#VALUE!</v>
      </c>
      <c r="GX129" t="e">
        <f>Nodes!L1044+"'E4!'6I"</f>
        <v>#VALUE!</v>
      </c>
      <c r="GY129" t="e">
        <f>Nodes!M1044+"'E4!'6J"</f>
        <v>#VALUE!</v>
      </c>
      <c r="GZ129" t="e">
        <f>Nodes!N1044+"'E4!'6K"</f>
        <v>#VALUE!</v>
      </c>
      <c r="HA129" t="e">
        <f>Nodes!O1044+"'E4!'6L"</f>
        <v>#VALUE!</v>
      </c>
      <c r="HB129" t="e">
        <f>Nodes!P1044+"'E4!'6M"</f>
        <v>#VALUE!</v>
      </c>
      <c r="HC129" t="e">
        <f>Nodes!Q1044+"'E4!'6N"</f>
        <v>#VALUE!</v>
      </c>
      <c r="HD129" t="e">
        <f>Nodes!R1044+"'E4!'6O"</f>
        <v>#VALUE!</v>
      </c>
      <c r="HE129" t="e">
        <f>Nodes!S1044+"'E4!'6P"</f>
        <v>#VALUE!</v>
      </c>
      <c r="HF129" s="547" t="e">
        <f>Nodes!T1044+"'E4!'6Q"</f>
        <v>#VALUE!</v>
      </c>
      <c r="HG129" s="548" t="e">
        <f>Nodes!U1044+"'E4!'6R"</f>
        <v>#VALUE!</v>
      </c>
      <c r="HH129" s="548" t="e">
        <f>Nodes!V1044+"'E4!'6S"</f>
        <v>#VALUE!</v>
      </c>
      <c r="HI129" s="547" t="e">
        <f>Nodes!W1044+"'E4!'6T"</f>
        <v>#VALUE!</v>
      </c>
      <c r="HJ129" t="e">
        <f>Nodes!X1044+"'E4!'6U"</f>
        <v>#VALUE!</v>
      </c>
      <c r="HK129" t="e">
        <f>Nodes!Y1044+"'E4!'6V"</f>
        <v>#VALUE!</v>
      </c>
      <c r="HL129" t="e">
        <f>Nodes!Z1044+"'E4!'6W"</f>
        <v>#VALUE!</v>
      </c>
      <c r="HM129" t="e">
        <f>Nodes!AA1044+"'E4!'6X"</f>
        <v>#VALUE!</v>
      </c>
      <c r="HN129" t="e">
        <f>Nodes!AB1044+"'E4!'6Y"</f>
        <v>#VALUE!</v>
      </c>
      <c r="HO129" t="e">
        <f>Nodes!AC1044+"'E4!'6Z"</f>
        <v>#VALUE!</v>
      </c>
      <c r="HP129" t="e">
        <f>Nodes!A1045+"'E4!'6["</f>
        <v>#VALUE!</v>
      </c>
      <c r="HQ129" t="e">
        <f>Nodes!B1045+"'E4!'6\"</f>
        <v>#VALUE!</v>
      </c>
      <c r="HR129" t="e">
        <f>Nodes!C1045+"'E4!'6]"</f>
        <v>#VALUE!</v>
      </c>
      <c r="HS129" t="e">
        <f>Nodes!D1045+"'E4!'6^"</f>
        <v>#VALUE!</v>
      </c>
      <c r="HT129" t="e">
        <f>Nodes!E1045+"'E4!'6_"</f>
        <v>#VALUE!</v>
      </c>
      <c r="HU129" t="e">
        <f>Nodes!F1045+"'E4!'6`"</f>
        <v>#VALUE!</v>
      </c>
      <c r="HV129" t="e">
        <f>Nodes!G1045+"'E4!'6a"</f>
        <v>#VALUE!</v>
      </c>
      <c r="HW129" t="e">
        <f>Nodes!H1045+"'E4!'6b"</f>
        <v>#VALUE!</v>
      </c>
      <c r="HX129" t="e">
        <f>Nodes!I1045+"'E4!'6c"</f>
        <v>#VALUE!</v>
      </c>
      <c r="HY129" t="e">
        <f>Nodes!J1045+"'E4!'6d"</f>
        <v>#VALUE!</v>
      </c>
      <c r="HZ129" t="e">
        <f>Nodes!K1045+"'E4!'6e"</f>
        <v>#VALUE!</v>
      </c>
      <c r="IA129" t="e">
        <f>Nodes!L1045+"'E4!'6f"</f>
        <v>#VALUE!</v>
      </c>
      <c r="IB129" t="e">
        <f>Nodes!M1045+"'E4!'6g"</f>
        <v>#VALUE!</v>
      </c>
      <c r="IC129" t="e">
        <f>Nodes!N1045+"'E4!'6h"</f>
        <v>#VALUE!</v>
      </c>
      <c r="ID129" t="e">
        <f>Nodes!O1045+"'E4!'6i"</f>
        <v>#VALUE!</v>
      </c>
      <c r="IE129" t="e">
        <f>Nodes!P1045+"'E4!'6j"</f>
        <v>#VALUE!</v>
      </c>
      <c r="IF129" t="e">
        <f>Nodes!Q1045+"'E4!'6k"</f>
        <v>#VALUE!</v>
      </c>
      <c r="IG129" t="e">
        <f>Nodes!R1045+"'E4!'6l"</f>
        <v>#VALUE!</v>
      </c>
      <c r="IH129" t="e">
        <f>Nodes!S1045+"'E4!'6m"</f>
        <v>#VALUE!</v>
      </c>
      <c r="II129" s="547" t="e">
        <f>Nodes!T1045+"'E4!'6n"</f>
        <v>#VALUE!</v>
      </c>
      <c r="IJ129" s="548" t="e">
        <f>Nodes!U1045+"'E4!'6o"</f>
        <v>#VALUE!</v>
      </c>
      <c r="IK129" s="548" t="e">
        <f>Nodes!V1045+"'E4!'6p"</f>
        <v>#VALUE!</v>
      </c>
      <c r="IL129" s="547" t="e">
        <f>Nodes!W1045+"'E4!'6q"</f>
        <v>#VALUE!</v>
      </c>
      <c r="IM129" t="e">
        <f>Nodes!X1045+"'E4!'6r"</f>
        <v>#VALUE!</v>
      </c>
      <c r="IN129" t="e">
        <f>Nodes!Y1045+"'E4!'6s"</f>
        <v>#VALUE!</v>
      </c>
      <c r="IO129" t="e">
        <f>Nodes!Z1045+"'E4!'6t"</f>
        <v>#VALUE!</v>
      </c>
      <c r="IP129" t="e">
        <f>Nodes!AA1045+"'E4!'6u"</f>
        <v>#VALUE!</v>
      </c>
      <c r="IQ129" t="e">
        <f>Nodes!AB1045+"'E4!'6v"</f>
        <v>#VALUE!</v>
      </c>
      <c r="IR129" t="e">
        <f>Nodes!AC1045+"'E4!'6w"</f>
        <v>#VALUE!</v>
      </c>
      <c r="IS129" t="e">
        <f>Nodes!A1046+"'E4!'6x"</f>
        <v>#VALUE!</v>
      </c>
      <c r="IT129" t="e">
        <f>Nodes!B1046+"'E4!'6y"</f>
        <v>#VALUE!</v>
      </c>
      <c r="IU129" t="e">
        <f>Nodes!C1046+"'E4!'6z"</f>
        <v>#VALUE!</v>
      </c>
      <c r="IV129" t="e">
        <f>Nodes!D1046+"'E4!'6{"</f>
        <v>#VALUE!</v>
      </c>
    </row>
    <row r="130" spans="6:256">
      <c r="F130" t="e">
        <f>Nodes!E1046+"'E4!'6|"</f>
        <v>#VALUE!</v>
      </c>
      <c r="G130" t="e">
        <f>Nodes!F1046+"'E4!'6}"</f>
        <v>#VALUE!</v>
      </c>
      <c r="H130" t="e">
        <f>Nodes!G1046+"'E4!'6~"</f>
        <v>#VALUE!</v>
      </c>
      <c r="I130" t="e">
        <f>Nodes!H1046+"'E4!'7#"</f>
        <v>#VALUE!</v>
      </c>
      <c r="J130" t="e">
        <f>Nodes!I1046+"'E4!'7$"</f>
        <v>#VALUE!</v>
      </c>
      <c r="K130" t="e">
        <f>Nodes!J1046+"'E4!'7%"</f>
        <v>#VALUE!</v>
      </c>
      <c r="L130" t="e">
        <f>Nodes!K1046+"'E4!'7&amp;"</f>
        <v>#VALUE!</v>
      </c>
      <c r="M130" t="e">
        <f>Nodes!L1046+"'E4!'7'"</f>
        <v>#VALUE!</v>
      </c>
      <c r="N130" t="e">
        <f>Nodes!M1046+"'E4!'7("</f>
        <v>#VALUE!</v>
      </c>
      <c r="O130" t="e">
        <f>Nodes!N1046+"'E4!'7)"</f>
        <v>#VALUE!</v>
      </c>
      <c r="P130" t="e">
        <f>Nodes!O1046+"'E4!'7."</f>
        <v>#VALUE!</v>
      </c>
      <c r="Q130" t="e">
        <f>Nodes!P1046+"'E4!'7/"</f>
        <v>#VALUE!</v>
      </c>
      <c r="R130" t="e">
        <f>Nodes!Q1046+"'E4!'70"</f>
        <v>#VALUE!</v>
      </c>
      <c r="S130" t="e">
        <f>Nodes!R1046+"'E4!'71"</f>
        <v>#VALUE!</v>
      </c>
      <c r="T130" t="e">
        <f>Nodes!S1046+"'E4!'72"</f>
        <v>#VALUE!</v>
      </c>
      <c r="U130" s="547" t="e">
        <f>Nodes!T1046+"'E4!'73"</f>
        <v>#VALUE!</v>
      </c>
      <c r="V130" s="548" t="e">
        <f>Nodes!U1046+"'E4!'74"</f>
        <v>#VALUE!</v>
      </c>
      <c r="W130" s="548" t="e">
        <f>Nodes!V1046+"'E4!'75"</f>
        <v>#VALUE!</v>
      </c>
      <c r="X130" s="547" t="e">
        <f>Nodes!W1046+"'E4!'76"</f>
        <v>#VALUE!</v>
      </c>
      <c r="Y130" t="e">
        <f>Nodes!X1046+"'E4!'77"</f>
        <v>#VALUE!</v>
      </c>
      <c r="Z130" t="e">
        <f>Nodes!Y1046+"'E4!'78"</f>
        <v>#VALUE!</v>
      </c>
      <c r="AA130" t="e">
        <f>Nodes!Z1046+"'E4!'79"</f>
        <v>#VALUE!</v>
      </c>
      <c r="AB130" t="e">
        <f>Nodes!AA1046+"'E4!'7:"</f>
        <v>#VALUE!</v>
      </c>
      <c r="AC130" t="e">
        <f>Nodes!AB1046+"'E4!'7;"</f>
        <v>#VALUE!</v>
      </c>
      <c r="AD130" t="e">
        <f>Nodes!AC1046+"'E4!'7&lt;"</f>
        <v>#VALUE!</v>
      </c>
      <c r="AE130" t="e">
        <f>Nodes!A1047+"'E4!'7="</f>
        <v>#VALUE!</v>
      </c>
      <c r="AF130" t="e">
        <f>Nodes!B1047+"'E4!'7&gt;"</f>
        <v>#VALUE!</v>
      </c>
      <c r="AG130" t="e">
        <f>Nodes!C1047+"'E4!'7?"</f>
        <v>#VALUE!</v>
      </c>
      <c r="AH130" t="e">
        <f>Nodes!D1047+"'E4!'7@"</f>
        <v>#VALUE!</v>
      </c>
      <c r="AI130" t="e">
        <f>Nodes!E1047+"'E4!'7A"</f>
        <v>#VALUE!</v>
      </c>
      <c r="AJ130" t="e">
        <f>Nodes!F1047+"'E4!'7B"</f>
        <v>#VALUE!</v>
      </c>
      <c r="AK130" t="e">
        <f>Nodes!G1047+"'E4!'7C"</f>
        <v>#VALUE!</v>
      </c>
      <c r="AL130" t="e">
        <f>Nodes!H1047+"'E4!'7D"</f>
        <v>#VALUE!</v>
      </c>
      <c r="AM130" t="e">
        <f>Nodes!I1047+"'E4!'7E"</f>
        <v>#VALUE!</v>
      </c>
      <c r="AN130" t="e">
        <f>Nodes!J1047+"'E4!'7F"</f>
        <v>#VALUE!</v>
      </c>
      <c r="AO130" t="e">
        <f>Nodes!K1047+"'E4!'7G"</f>
        <v>#VALUE!</v>
      </c>
      <c r="AP130" t="e">
        <f>Nodes!L1047+"'E4!'7H"</f>
        <v>#VALUE!</v>
      </c>
      <c r="AQ130" t="e">
        <f>Nodes!M1047+"'E4!'7I"</f>
        <v>#VALUE!</v>
      </c>
      <c r="AR130" t="e">
        <f>Nodes!N1047+"'E4!'7J"</f>
        <v>#VALUE!</v>
      </c>
      <c r="AS130" t="e">
        <f>Nodes!O1047+"'E4!'7K"</f>
        <v>#VALUE!</v>
      </c>
      <c r="AT130" t="e">
        <f>Nodes!P1047+"'E4!'7L"</f>
        <v>#VALUE!</v>
      </c>
      <c r="AU130" t="e">
        <f>Nodes!Q1047+"'E4!'7M"</f>
        <v>#VALUE!</v>
      </c>
      <c r="AV130" t="e">
        <f>Nodes!R1047+"'E4!'7N"</f>
        <v>#VALUE!</v>
      </c>
      <c r="AW130" t="e">
        <f>Nodes!S1047+"'E4!'7O"</f>
        <v>#VALUE!</v>
      </c>
      <c r="AX130" s="547" t="e">
        <f>Nodes!T1047+"'E4!'7P"</f>
        <v>#VALUE!</v>
      </c>
      <c r="AY130" s="548" t="e">
        <f>Nodes!U1047+"'E4!'7Q"</f>
        <v>#VALUE!</v>
      </c>
      <c r="AZ130" s="548" t="e">
        <f>Nodes!V1047+"'E4!'7R"</f>
        <v>#VALUE!</v>
      </c>
      <c r="BA130" s="547" t="e">
        <f>Nodes!W1047+"'E4!'7S"</f>
        <v>#VALUE!</v>
      </c>
      <c r="BB130" t="e">
        <f>Nodes!X1047+"'E4!'7T"</f>
        <v>#VALUE!</v>
      </c>
      <c r="BC130" t="e">
        <f>Nodes!Y1047+"'E4!'7U"</f>
        <v>#VALUE!</v>
      </c>
      <c r="BD130" t="e">
        <f>Nodes!Z1047+"'E4!'7V"</f>
        <v>#VALUE!</v>
      </c>
      <c r="BE130" t="e">
        <f>Nodes!AA1047+"'E4!'7W"</f>
        <v>#VALUE!</v>
      </c>
      <c r="BF130" t="e">
        <f>Nodes!AB1047+"'E4!'7X"</f>
        <v>#VALUE!</v>
      </c>
      <c r="BG130" t="e">
        <f>Nodes!AC1047+"'E4!'7Y"</f>
        <v>#VALUE!</v>
      </c>
      <c r="BH130" t="e">
        <f>Nodes!A1048+"'E4!'7Z"</f>
        <v>#VALUE!</v>
      </c>
      <c r="BI130" t="e">
        <f>Nodes!B1048+"'E4!'7["</f>
        <v>#VALUE!</v>
      </c>
      <c r="BJ130" t="e">
        <f>Nodes!C1048+"'E4!'7\"</f>
        <v>#VALUE!</v>
      </c>
      <c r="BK130" t="e">
        <f>Nodes!D1048+"'E4!'7]"</f>
        <v>#VALUE!</v>
      </c>
      <c r="BL130" t="e">
        <f>Nodes!E1048+"'E4!'7^"</f>
        <v>#VALUE!</v>
      </c>
      <c r="BM130" t="e">
        <f>Nodes!F1048+"'E4!'7_"</f>
        <v>#VALUE!</v>
      </c>
      <c r="BN130" t="e">
        <f>Nodes!G1048+"'E4!'7`"</f>
        <v>#VALUE!</v>
      </c>
      <c r="BO130" t="e">
        <f>Nodes!H1048+"'E4!'7a"</f>
        <v>#VALUE!</v>
      </c>
      <c r="BP130" t="e">
        <f>Nodes!I1048+"'E4!'7b"</f>
        <v>#VALUE!</v>
      </c>
      <c r="BQ130" t="e">
        <f>Nodes!J1048+"'E4!'7c"</f>
        <v>#VALUE!</v>
      </c>
      <c r="BR130" t="e">
        <f>Nodes!K1048+"'E4!'7d"</f>
        <v>#VALUE!</v>
      </c>
      <c r="BS130" t="e">
        <f>Nodes!L1048+"'E4!'7e"</f>
        <v>#VALUE!</v>
      </c>
      <c r="BT130" t="e">
        <f>Nodes!M1048+"'E4!'7f"</f>
        <v>#VALUE!</v>
      </c>
      <c r="BU130" t="e">
        <f>Nodes!N1048+"'E4!'7g"</f>
        <v>#VALUE!</v>
      </c>
      <c r="BV130" t="e">
        <f>Nodes!O1048+"'E4!'7h"</f>
        <v>#VALUE!</v>
      </c>
      <c r="BW130" t="e">
        <f>Nodes!P1048+"'E4!'7i"</f>
        <v>#VALUE!</v>
      </c>
      <c r="BX130" t="e">
        <f>Nodes!Q1048+"'E4!'7j"</f>
        <v>#VALUE!</v>
      </c>
      <c r="BY130" t="e">
        <f>Nodes!R1048+"'E4!'7k"</f>
        <v>#VALUE!</v>
      </c>
      <c r="BZ130" t="e">
        <f>Nodes!S1048+"'E4!'7l"</f>
        <v>#VALUE!</v>
      </c>
      <c r="CA130" s="547" t="e">
        <f>Nodes!T1048+"'E4!'7m"</f>
        <v>#VALUE!</v>
      </c>
      <c r="CB130" s="548" t="e">
        <f>Nodes!U1048+"'E4!'7n"</f>
        <v>#VALUE!</v>
      </c>
      <c r="CC130" s="548" t="e">
        <f>Nodes!V1048+"'E4!'7o"</f>
        <v>#VALUE!</v>
      </c>
      <c r="CD130" s="547" t="e">
        <f>Nodes!W1048+"'E4!'7p"</f>
        <v>#VALUE!</v>
      </c>
      <c r="CE130" t="e">
        <f>Nodes!X1048+"'E4!'7q"</f>
        <v>#VALUE!</v>
      </c>
      <c r="CF130" t="e">
        <f>Nodes!Y1048+"'E4!'7r"</f>
        <v>#VALUE!</v>
      </c>
      <c r="CG130" t="e">
        <f>Nodes!Z1048+"'E4!'7s"</f>
        <v>#VALUE!</v>
      </c>
      <c r="CH130" t="e">
        <f>Nodes!AA1048+"'E4!'7t"</f>
        <v>#VALUE!</v>
      </c>
      <c r="CI130" t="e">
        <f>Nodes!AB1048+"'E4!'7u"</f>
        <v>#VALUE!</v>
      </c>
      <c r="CJ130" t="e">
        <f>Nodes!AC1048+"'E4!'7v"</f>
        <v>#VALUE!</v>
      </c>
      <c r="CK130" t="e">
        <f>Nodes!A1049+"'E4!'7w"</f>
        <v>#VALUE!</v>
      </c>
      <c r="CL130" t="e">
        <f>Nodes!B1049+"'E4!'7x"</f>
        <v>#VALUE!</v>
      </c>
      <c r="CM130" t="e">
        <f>Nodes!C1049+"'E4!'7y"</f>
        <v>#VALUE!</v>
      </c>
      <c r="CN130" t="e">
        <f>Nodes!D1049+"'E4!'7z"</f>
        <v>#VALUE!</v>
      </c>
      <c r="CO130" t="e">
        <f>Nodes!E1049+"'E4!'7{"</f>
        <v>#VALUE!</v>
      </c>
      <c r="CP130" t="e">
        <f>Nodes!F1049+"'E4!'7|"</f>
        <v>#VALUE!</v>
      </c>
      <c r="CQ130" t="e">
        <f>Nodes!G1049+"'E4!'7}"</f>
        <v>#VALUE!</v>
      </c>
      <c r="CR130" t="e">
        <f>Nodes!H1049+"'E4!'7~"</f>
        <v>#VALUE!</v>
      </c>
      <c r="CS130" t="e">
        <f>Nodes!I1049+"'E4!'8#"</f>
        <v>#VALUE!</v>
      </c>
      <c r="CT130" t="e">
        <f>Nodes!J1049+"'E4!'8$"</f>
        <v>#VALUE!</v>
      </c>
      <c r="CU130" t="e">
        <f>Nodes!K1049+"'E4!'8%"</f>
        <v>#VALUE!</v>
      </c>
      <c r="CV130" t="e">
        <f>Nodes!L1049+"'E4!'8&amp;"</f>
        <v>#VALUE!</v>
      </c>
      <c r="CW130" t="e">
        <f>Nodes!M1049+"'E4!'8'"</f>
        <v>#VALUE!</v>
      </c>
      <c r="CX130" t="e">
        <f>Nodes!N1049+"'E4!'8("</f>
        <v>#VALUE!</v>
      </c>
      <c r="CY130" t="e">
        <f>Nodes!O1049+"'E4!'8)"</f>
        <v>#VALUE!</v>
      </c>
      <c r="CZ130" t="e">
        <f>Nodes!P1049+"'E4!'8."</f>
        <v>#VALUE!</v>
      </c>
      <c r="DA130" t="e">
        <f>Nodes!Q1049+"'E4!'8/"</f>
        <v>#VALUE!</v>
      </c>
      <c r="DB130" t="e">
        <f>Nodes!R1049+"'E4!'80"</f>
        <v>#VALUE!</v>
      </c>
      <c r="DC130" t="e">
        <f>Nodes!S1049+"'E4!'81"</f>
        <v>#VALUE!</v>
      </c>
      <c r="DD130" s="547" t="e">
        <f>Nodes!T1049+"'E4!'82"</f>
        <v>#VALUE!</v>
      </c>
      <c r="DE130" s="548" t="e">
        <f>Nodes!U1049+"'E4!'83"</f>
        <v>#VALUE!</v>
      </c>
      <c r="DF130" s="548" t="e">
        <f>Nodes!V1049+"'E4!'84"</f>
        <v>#VALUE!</v>
      </c>
      <c r="DG130" s="547" t="e">
        <f>Nodes!W1049+"'E4!'85"</f>
        <v>#VALUE!</v>
      </c>
      <c r="DH130" t="e">
        <f>Nodes!X1049+"'E4!'86"</f>
        <v>#VALUE!</v>
      </c>
      <c r="DI130" t="e">
        <f>Nodes!Y1049+"'E4!'87"</f>
        <v>#VALUE!</v>
      </c>
      <c r="DJ130" t="e">
        <f>Nodes!Z1049+"'E4!'88"</f>
        <v>#VALUE!</v>
      </c>
      <c r="DK130" t="e">
        <f>Nodes!AA1049+"'E4!'89"</f>
        <v>#VALUE!</v>
      </c>
      <c r="DL130" t="e">
        <f>Nodes!AB1049+"'E4!'8:"</f>
        <v>#VALUE!</v>
      </c>
      <c r="DM130" t="e">
        <f>Nodes!AC1049+"'E4!'8;"</f>
        <v>#VALUE!</v>
      </c>
      <c r="DN130" t="e">
        <f>Nodes!A1050+"'E4!'8&lt;"</f>
        <v>#VALUE!</v>
      </c>
      <c r="DO130" t="e">
        <f>Nodes!B1050+"'E4!'8="</f>
        <v>#VALUE!</v>
      </c>
      <c r="DP130" t="e">
        <f>Nodes!C1050+"'E4!'8&gt;"</f>
        <v>#VALUE!</v>
      </c>
      <c r="DQ130" t="e">
        <f>Nodes!D1050+"'E4!'8?"</f>
        <v>#VALUE!</v>
      </c>
      <c r="DR130" t="e">
        <f>Nodes!E1050+"'E4!'8@"</f>
        <v>#VALUE!</v>
      </c>
      <c r="DS130" t="e">
        <f>Nodes!F1050+"'E4!'8A"</f>
        <v>#VALUE!</v>
      </c>
      <c r="DT130" t="e">
        <f>Nodes!G1050+"'E4!'8B"</f>
        <v>#VALUE!</v>
      </c>
      <c r="DU130" t="e">
        <f>Nodes!H1050+"'E4!'8C"</f>
        <v>#VALUE!</v>
      </c>
      <c r="DV130" t="e">
        <f>Nodes!I1050+"'E4!'8D"</f>
        <v>#VALUE!</v>
      </c>
      <c r="DW130" t="e">
        <f>Nodes!J1050+"'E4!'8E"</f>
        <v>#VALUE!</v>
      </c>
      <c r="DX130" t="e">
        <f>Nodes!K1050+"'E4!'8F"</f>
        <v>#VALUE!</v>
      </c>
      <c r="DY130" t="e">
        <f>Nodes!L1050+"'E4!'8G"</f>
        <v>#VALUE!</v>
      </c>
      <c r="DZ130" t="e">
        <f>Nodes!M1050+"'E4!'8H"</f>
        <v>#VALUE!</v>
      </c>
      <c r="EA130" t="e">
        <f>Nodes!N1050+"'E4!'8I"</f>
        <v>#VALUE!</v>
      </c>
      <c r="EB130" t="e">
        <f>Nodes!O1050+"'E4!'8J"</f>
        <v>#VALUE!</v>
      </c>
      <c r="EC130" t="e">
        <f>Nodes!P1050+"'E4!'8K"</f>
        <v>#VALUE!</v>
      </c>
      <c r="ED130" t="e">
        <f>Nodes!Q1050+"'E4!'8L"</f>
        <v>#VALUE!</v>
      </c>
      <c r="EE130" t="e">
        <f>Nodes!R1050+"'E4!'8M"</f>
        <v>#VALUE!</v>
      </c>
      <c r="EF130" t="e">
        <f>Nodes!S1050+"'E4!'8N"</f>
        <v>#VALUE!</v>
      </c>
      <c r="EG130" s="547" t="e">
        <f>Nodes!T1050+"'E4!'8O"</f>
        <v>#VALUE!</v>
      </c>
      <c r="EH130" s="548" t="e">
        <f>Nodes!U1050+"'E4!'8P"</f>
        <v>#VALUE!</v>
      </c>
      <c r="EI130" s="548" t="e">
        <f>Nodes!V1050+"'E4!'8Q"</f>
        <v>#VALUE!</v>
      </c>
      <c r="EJ130" s="547" t="e">
        <f>Nodes!W1050+"'E4!'8R"</f>
        <v>#VALUE!</v>
      </c>
      <c r="EK130" t="e">
        <f>Nodes!X1050+"'E4!'8S"</f>
        <v>#VALUE!</v>
      </c>
      <c r="EL130" t="e">
        <f>Nodes!Y1050+"'E4!'8T"</f>
        <v>#VALUE!</v>
      </c>
      <c r="EM130" t="e">
        <f>Nodes!Z1050+"'E4!'8U"</f>
        <v>#VALUE!</v>
      </c>
      <c r="EN130" t="e">
        <f>Nodes!AA1050+"'E4!'8V"</f>
        <v>#VALUE!</v>
      </c>
      <c r="EO130" t="e">
        <f>Nodes!AB1050+"'E4!'8W"</f>
        <v>#VALUE!</v>
      </c>
      <c r="EP130" t="e">
        <f>Nodes!AC1050+"'E4!'8X"</f>
        <v>#VALUE!</v>
      </c>
      <c r="EQ130" t="e">
        <f>Nodes!A1051+"'E4!'8Y"</f>
        <v>#VALUE!</v>
      </c>
      <c r="ER130" t="e">
        <f>Nodes!B1051+"'E4!'8Z"</f>
        <v>#VALUE!</v>
      </c>
      <c r="ES130" t="e">
        <f>Nodes!C1051+"'E4!'8["</f>
        <v>#VALUE!</v>
      </c>
      <c r="ET130" t="e">
        <f>Nodes!D1051+"'E4!'8\"</f>
        <v>#VALUE!</v>
      </c>
      <c r="EU130" t="e">
        <f>Nodes!E1051+"'E4!'8]"</f>
        <v>#VALUE!</v>
      </c>
      <c r="EV130" t="e">
        <f>Nodes!F1051+"'E4!'8^"</f>
        <v>#VALUE!</v>
      </c>
      <c r="EW130" t="e">
        <f>Nodes!G1051+"'E4!'8_"</f>
        <v>#VALUE!</v>
      </c>
      <c r="EX130" t="e">
        <f>Nodes!H1051+"'E4!'8`"</f>
        <v>#VALUE!</v>
      </c>
      <c r="EY130" t="e">
        <f>Nodes!I1051+"'E4!'8a"</f>
        <v>#VALUE!</v>
      </c>
      <c r="EZ130" t="e">
        <f>Nodes!J1051+"'E4!'8b"</f>
        <v>#VALUE!</v>
      </c>
      <c r="FA130" t="e">
        <f>Nodes!K1051+"'E4!'8c"</f>
        <v>#VALUE!</v>
      </c>
      <c r="FB130" t="e">
        <f>Nodes!L1051+"'E4!'8d"</f>
        <v>#VALUE!</v>
      </c>
      <c r="FC130" t="e">
        <f>Nodes!M1051+"'E4!'8e"</f>
        <v>#VALUE!</v>
      </c>
      <c r="FD130" t="e">
        <f>Nodes!N1051+"'E4!'8f"</f>
        <v>#VALUE!</v>
      </c>
      <c r="FE130" t="e">
        <f>Nodes!O1051+"'E4!'8g"</f>
        <v>#VALUE!</v>
      </c>
      <c r="FF130" t="e">
        <f>Nodes!P1051+"'E4!'8h"</f>
        <v>#VALUE!</v>
      </c>
      <c r="FG130" t="e">
        <f>Nodes!Q1051+"'E4!'8i"</f>
        <v>#VALUE!</v>
      </c>
      <c r="FH130" t="e">
        <f>Nodes!R1051+"'E4!'8j"</f>
        <v>#VALUE!</v>
      </c>
      <c r="FI130" t="e">
        <f>Nodes!S1051+"'E4!'8k"</f>
        <v>#VALUE!</v>
      </c>
      <c r="FJ130" s="547" t="e">
        <f>Nodes!T1051+"'E4!'8l"</f>
        <v>#VALUE!</v>
      </c>
      <c r="FK130" s="548" t="e">
        <f>Nodes!U1051+"'E4!'8m"</f>
        <v>#VALUE!</v>
      </c>
      <c r="FL130" s="548" t="e">
        <f>Nodes!V1051+"'E4!'8n"</f>
        <v>#VALUE!</v>
      </c>
      <c r="FM130" s="547" t="e">
        <f>Nodes!W1051+"'E4!'8o"</f>
        <v>#VALUE!</v>
      </c>
      <c r="FN130" t="e">
        <f>Nodes!X1051+"'E4!'8p"</f>
        <v>#VALUE!</v>
      </c>
      <c r="FO130" t="e">
        <f>Nodes!Y1051+"'E4!'8q"</f>
        <v>#VALUE!</v>
      </c>
      <c r="FP130" t="e">
        <f>Nodes!Z1051+"'E4!'8r"</f>
        <v>#VALUE!</v>
      </c>
      <c r="FQ130" t="e">
        <f>Nodes!AA1051+"'E4!'8s"</f>
        <v>#VALUE!</v>
      </c>
      <c r="FR130" t="e">
        <f>Nodes!AB1051+"'E4!'8t"</f>
        <v>#VALUE!</v>
      </c>
      <c r="FS130" t="e">
        <f>Nodes!AC1051+"'E4!'8u"</f>
        <v>#VALUE!</v>
      </c>
      <c r="FT130" t="e">
        <f>Nodes!A1052+"'E4!'8v"</f>
        <v>#VALUE!</v>
      </c>
      <c r="FU130" t="e">
        <f>Nodes!B1052+"'E4!'8w"</f>
        <v>#VALUE!</v>
      </c>
      <c r="FV130" t="e">
        <f>Nodes!C1052+"'E4!'8x"</f>
        <v>#VALUE!</v>
      </c>
      <c r="FW130" t="e">
        <f>Nodes!D1052+"'E4!'8y"</f>
        <v>#VALUE!</v>
      </c>
      <c r="FX130" t="e">
        <f>Nodes!E1052+"'E4!'8z"</f>
        <v>#VALUE!</v>
      </c>
      <c r="FY130" t="e">
        <f>Nodes!F1052+"'E4!'8{"</f>
        <v>#VALUE!</v>
      </c>
      <c r="FZ130" t="e">
        <f>Nodes!G1052+"'E4!'8|"</f>
        <v>#VALUE!</v>
      </c>
      <c r="GA130" t="e">
        <f>Nodes!H1052+"'E4!'8}"</f>
        <v>#VALUE!</v>
      </c>
      <c r="GB130" t="e">
        <f>Nodes!I1052+"'E4!'8~"</f>
        <v>#VALUE!</v>
      </c>
      <c r="GC130" t="e">
        <f>Nodes!J1052+"'E4!'9#"</f>
        <v>#VALUE!</v>
      </c>
      <c r="GD130" t="e">
        <f>Nodes!K1052+"'E4!'9$"</f>
        <v>#VALUE!</v>
      </c>
      <c r="GE130" t="e">
        <f>Nodes!L1052+"'E4!'9%"</f>
        <v>#VALUE!</v>
      </c>
      <c r="GF130" t="e">
        <f>Nodes!M1052+"'E4!'9&amp;"</f>
        <v>#VALUE!</v>
      </c>
      <c r="GG130" t="e">
        <f>Nodes!N1052+"'E4!'9'"</f>
        <v>#VALUE!</v>
      </c>
      <c r="GH130" t="e">
        <f>Nodes!O1052+"'E4!'9("</f>
        <v>#VALUE!</v>
      </c>
      <c r="GI130" t="e">
        <f>Nodes!P1052+"'E4!'9)"</f>
        <v>#VALUE!</v>
      </c>
      <c r="GJ130" t="e">
        <f>Nodes!Q1052+"'E4!'9."</f>
        <v>#VALUE!</v>
      </c>
      <c r="GK130" t="e">
        <f>Nodes!R1052+"'E4!'9/"</f>
        <v>#VALUE!</v>
      </c>
      <c r="GL130" t="e">
        <f>Nodes!S1052+"'E4!'90"</f>
        <v>#VALUE!</v>
      </c>
      <c r="GM130" s="547" t="e">
        <f>Nodes!T1052+"'E4!'91"</f>
        <v>#VALUE!</v>
      </c>
      <c r="GN130" s="548" t="e">
        <f>Nodes!U1052+"'E4!'92"</f>
        <v>#VALUE!</v>
      </c>
      <c r="GO130" s="548" t="e">
        <f>Nodes!V1052+"'E4!'93"</f>
        <v>#VALUE!</v>
      </c>
      <c r="GP130" s="547" t="e">
        <f>Nodes!W1052+"'E4!'94"</f>
        <v>#VALUE!</v>
      </c>
      <c r="GQ130" t="e">
        <f>Nodes!X1052+"'E4!'95"</f>
        <v>#VALUE!</v>
      </c>
      <c r="GR130" t="e">
        <f>Nodes!Y1052+"'E4!'96"</f>
        <v>#VALUE!</v>
      </c>
      <c r="GS130" t="e">
        <f>Nodes!Z1052+"'E4!'97"</f>
        <v>#VALUE!</v>
      </c>
      <c r="GT130" t="e">
        <f>Nodes!AA1052+"'E4!'98"</f>
        <v>#VALUE!</v>
      </c>
      <c r="GU130" t="e">
        <f>Nodes!AB1052+"'E4!'99"</f>
        <v>#VALUE!</v>
      </c>
      <c r="GV130" t="e">
        <f>Nodes!AC1052+"'E4!'9:"</f>
        <v>#VALUE!</v>
      </c>
      <c r="GW130" t="e">
        <f>Nodes!A1053+"'E4!'9;"</f>
        <v>#VALUE!</v>
      </c>
      <c r="GX130" t="e">
        <f>Nodes!B1053+"'E4!'9&lt;"</f>
        <v>#VALUE!</v>
      </c>
      <c r="GY130" t="e">
        <f>Nodes!C1053+"'E4!'9="</f>
        <v>#VALUE!</v>
      </c>
      <c r="GZ130" t="e">
        <f>Nodes!D1053+"'E4!'9&gt;"</f>
        <v>#VALUE!</v>
      </c>
      <c r="HA130" t="e">
        <f>Nodes!E1053+"'E4!'9?"</f>
        <v>#VALUE!</v>
      </c>
      <c r="HB130" t="e">
        <f>Nodes!F1053+"'E4!'9@"</f>
        <v>#VALUE!</v>
      </c>
      <c r="HC130" t="e">
        <f>Nodes!G1053+"'E4!'9A"</f>
        <v>#VALUE!</v>
      </c>
      <c r="HD130" t="e">
        <f>Nodes!H1053+"'E4!'9B"</f>
        <v>#VALUE!</v>
      </c>
      <c r="HE130" t="e">
        <f>Nodes!I1053+"'E4!'9C"</f>
        <v>#VALUE!</v>
      </c>
      <c r="HF130" t="e">
        <f>Nodes!J1053+"'E4!'9D"</f>
        <v>#VALUE!</v>
      </c>
      <c r="HG130" t="e">
        <f>Nodes!K1053+"'E4!'9E"</f>
        <v>#VALUE!</v>
      </c>
      <c r="HH130" t="e">
        <f>Nodes!L1053+"'E4!'9F"</f>
        <v>#VALUE!</v>
      </c>
      <c r="HI130" t="e">
        <f>Nodes!M1053+"'E4!'9G"</f>
        <v>#VALUE!</v>
      </c>
      <c r="HJ130" t="e">
        <f>Nodes!N1053+"'E4!'9H"</f>
        <v>#VALUE!</v>
      </c>
      <c r="HK130" t="e">
        <f>Nodes!O1053+"'E4!'9I"</f>
        <v>#VALUE!</v>
      </c>
      <c r="HL130" t="e">
        <f>Nodes!P1053+"'E4!'9J"</f>
        <v>#VALUE!</v>
      </c>
      <c r="HM130" t="e">
        <f>Nodes!Q1053+"'E4!'9K"</f>
        <v>#VALUE!</v>
      </c>
      <c r="HN130" t="e">
        <f>Nodes!R1053+"'E4!'9L"</f>
        <v>#VALUE!</v>
      </c>
      <c r="HO130" t="e">
        <f>Nodes!S1053+"'E4!'9M"</f>
        <v>#VALUE!</v>
      </c>
      <c r="HP130" s="547" t="e">
        <f>Nodes!T1053+"'E4!'9N"</f>
        <v>#VALUE!</v>
      </c>
      <c r="HQ130" s="548" t="e">
        <f>Nodes!U1053+"'E4!'9O"</f>
        <v>#VALUE!</v>
      </c>
      <c r="HR130" s="548" t="e">
        <f>Nodes!V1053+"'E4!'9P"</f>
        <v>#VALUE!</v>
      </c>
      <c r="HS130" s="547" t="e">
        <f>Nodes!W1053+"'E4!'9Q"</f>
        <v>#VALUE!</v>
      </c>
      <c r="HT130" t="e">
        <f>Nodes!X1053+"'E4!'9R"</f>
        <v>#VALUE!</v>
      </c>
      <c r="HU130" t="e">
        <f>Nodes!Y1053+"'E4!'9S"</f>
        <v>#VALUE!</v>
      </c>
      <c r="HV130" t="e">
        <f>Nodes!Z1053+"'E4!'9T"</f>
        <v>#VALUE!</v>
      </c>
      <c r="HW130" t="e">
        <f>Nodes!AA1053+"'E4!'9U"</f>
        <v>#VALUE!</v>
      </c>
      <c r="HX130" t="e">
        <f>Nodes!AB1053+"'E4!'9V"</f>
        <v>#VALUE!</v>
      </c>
      <c r="HY130" t="e">
        <f>Nodes!AC1053+"'E4!'9W"</f>
        <v>#VALUE!</v>
      </c>
      <c r="HZ130" t="e">
        <f>Nodes!A1054+"'E4!'9X"</f>
        <v>#VALUE!</v>
      </c>
      <c r="IA130" t="e">
        <f>Nodes!B1054+"'E4!'9Y"</f>
        <v>#VALUE!</v>
      </c>
      <c r="IB130" t="e">
        <f>Nodes!C1054+"'E4!'9Z"</f>
        <v>#VALUE!</v>
      </c>
      <c r="IC130" t="e">
        <f>Nodes!D1054+"'E4!'9["</f>
        <v>#VALUE!</v>
      </c>
      <c r="ID130" t="e">
        <f>Nodes!E1054+"'E4!'9\"</f>
        <v>#VALUE!</v>
      </c>
      <c r="IE130" t="e">
        <f>Nodes!F1054+"'E4!'9]"</f>
        <v>#VALUE!</v>
      </c>
      <c r="IF130" t="e">
        <f>Nodes!G1054+"'E4!'9^"</f>
        <v>#VALUE!</v>
      </c>
      <c r="IG130" t="e">
        <f>Nodes!H1054+"'E4!'9_"</f>
        <v>#VALUE!</v>
      </c>
      <c r="IH130" t="e">
        <f>Nodes!I1054+"'E4!'9`"</f>
        <v>#VALUE!</v>
      </c>
      <c r="II130" t="e">
        <f>Nodes!J1054+"'E4!'9a"</f>
        <v>#VALUE!</v>
      </c>
      <c r="IJ130" t="e">
        <f>Nodes!K1054+"'E4!'9b"</f>
        <v>#VALUE!</v>
      </c>
      <c r="IK130" t="e">
        <f>Nodes!L1054+"'E4!'9c"</f>
        <v>#VALUE!</v>
      </c>
      <c r="IL130" t="e">
        <f>Nodes!M1054+"'E4!'9d"</f>
        <v>#VALUE!</v>
      </c>
      <c r="IM130" t="e">
        <f>Nodes!N1054+"'E4!'9e"</f>
        <v>#VALUE!</v>
      </c>
      <c r="IN130" t="e">
        <f>Nodes!O1054+"'E4!'9f"</f>
        <v>#VALUE!</v>
      </c>
      <c r="IO130" t="e">
        <f>Nodes!P1054+"'E4!'9g"</f>
        <v>#VALUE!</v>
      </c>
      <c r="IP130" t="e">
        <f>Nodes!Q1054+"'E4!'9h"</f>
        <v>#VALUE!</v>
      </c>
      <c r="IQ130" t="e">
        <f>Nodes!R1054+"'E4!'9i"</f>
        <v>#VALUE!</v>
      </c>
      <c r="IR130" t="e">
        <f>Nodes!S1054+"'E4!'9j"</f>
        <v>#VALUE!</v>
      </c>
      <c r="IS130" s="547" t="e">
        <f>Nodes!T1054+"'E4!'9k"</f>
        <v>#VALUE!</v>
      </c>
      <c r="IT130" s="548" t="e">
        <f>Nodes!U1054+"'E4!'9l"</f>
        <v>#VALUE!</v>
      </c>
      <c r="IU130" s="548" t="e">
        <f>Nodes!V1054+"'E4!'9m"</f>
        <v>#VALUE!</v>
      </c>
      <c r="IV130" s="547" t="e">
        <f>Nodes!W1054+"'E4!'9n"</f>
        <v>#VALUE!</v>
      </c>
    </row>
    <row r="131" spans="6:256">
      <c r="F131" t="e">
        <f>Nodes!X1054+"'E4!'9o"</f>
        <v>#VALUE!</v>
      </c>
      <c r="G131" t="e">
        <f>Nodes!Y1054+"'E4!'9p"</f>
        <v>#VALUE!</v>
      </c>
      <c r="H131" t="e">
        <f>Nodes!Z1054+"'E4!'9q"</f>
        <v>#VALUE!</v>
      </c>
      <c r="I131" t="e">
        <f>Nodes!AA1054+"'E4!'9r"</f>
        <v>#VALUE!</v>
      </c>
      <c r="J131" t="e">
        <f>Nodes!AB1054+"'E4!'9s"</f>
        <v>#VALUE!</v>
      </c>
      <c r="K131" t="e">
        <f>Nodes!AC1054+"'E4!'9t"</f>
        <v>#VALUE!</v>
      </c>
      <c r="L131" t="e">
        <f>Nodes!A1055+"'E4!'9u"</f>
        <v>#VALUE!</v>
      </c>
      <c r="M131" t="e">
        <f>Nodes!B1055+"'E4!'9v"</f>
        <v>#VALUE!</v>
      </c>
      <c r="N131" t="e">
        <f>Nodes!C1055+"'E4!'9w"</f>
        <v>#VALUE!</v>
      </c>
      <c r="O131" t="e">
        <f>Nodes!D1055+"'E4!'9x"</f>
        <v>#VALUE!</v>
      </c>
      <c r="P131" t="e">
        <f>Nodes!E1055+"'E4!'9y"</f>
        <v>#VALUE!</v>
      </c>
      <c r="Q131" t="e">
        <f>Nodes!F1055+"'E4!'9z"</f>
        <v>#VALUE!</v>
      </c>
      <c r="R131" t="e">
        <f>Nodes!G1055+"'E4!'9{"</f>
        <v>#VALUE!</v>
      </c>
      <c r="S131" t="e">
        <f>Nodes!H1055+"'E4!'9|"</f>
        <v>#VALUE!</v>
      </c>
      <c r="T131" t="e">
        <f>Nodes!I1055+"'E4!'9}"</f>
        <v>#VALUE!</v>
      </c>
      <c r="U131" t="e">
        <f>Nodes!J1055+"'E4!'9~"</f>
        <v>#VALUE!</v>
      </c>
      <c r="V131" t="e">
        <f>Nodes!K1055+"'E4!':#"</f>
        <v>#VALUE!</v>
      </c>
      <c r="W131" t="e">
        <f>Nodes!L1055+"'E4!':$"</f>
        <v>#VALUE!</v>
      </c>
      <c r="X131" t="e">
        <f>Nodes!M1055+"'E4!':%"</f>
        <v>#VALUE!</v>
      </c>
      <c r="Y131" t="e">
        <f>Nodes!N1055+"'E4!':&amp;"</f>
        <v>#VALUE!</v>
      </c>
      <c r="Z131" t="e">
        <f>Nodes!O1055+"'E4!':'"</f>
        <v>#VALUE!</v>
      </c>
      <c r="AA131" t="e">
        <f>Nodes!P1055+"'E4!':("</f>
        <v>#VALUE!</v>
      </c>
      <c r="AB131" t="e">
        <f>Nodes!Q1055+"'E4!':)"</f>
        <v>#VALUE!</v>
      </c>
      <c r="AC131" t="e">
        <f>Nodes!R1055+"'E4!':."</f>
        <v>#VALUE!</v>
      </c>
      <c r="AD131" t="e">
        <f>Nodes!S1055+"'E4!':/"</f>
        <v>#VALUE!</v>
      </c>
      <c r="AE131" s="547" t="e">
        <f>Nodes!T1055+"'E4!':0"</f>
        <v>#VALUE!</v>
      </c>
      <c r="AF131" s="548" t="e">
        <f>Nodes!U1055+"'E4!':1"</f>
        <v>#VALUE!</v>
      </c>
      <c r="AG131" s="548" t="e">
        <f>Nodes!V1055+"'E4!':2"</f>
        <v>#VALUE!</v>
      </c>
      <c r="AH131" s="547" t="e">
        <f>Nodes!W1055+"'E4!':3"</f>
        <v>#VALUE!</v>
      </c>
      <c r="AI131" t="e">
        <f>Nodes!X1055+"'E4!':4"</f>
        <v>#VALUE!</v>
      </c>
      <c r="AJ131" t="e">
        <f>Nodes!Y1055+"'E4!':5"</f>
        <v>#VALUE!</v>
      </c>
      <c r="AK131" t="e">
        <f>Nodes!Z1055+"'E4!':6"</f>
        <v>#VALUE!</v>
      </c>
      <c r="AL131" t="e">
        <f>Nodes!AA1055+"'E4!':7"</f>
        <v>#VALUE!</v>
      </c>
      <c r="AM131" t="e">
        <f>Nodes!AB1055+"'E4!':8"</f>
        <v>#VALUE!</v>
      </c>
      <c r="AN131" t="e">
        <f>Nodes!AC1055+"'E4!':9"</f>
        <v>#VALUE!</v>
      </c>
      <c r="AO131" t="e">
        <f>Nodes!A1056+"'E4!'::"</f>
        <v>#VALUE!</v>
      </c>
      <c r="AP131" t="e">
        <f>Nodes!B1056+"'E4!':;"</f>
        <v>#VALUE!</v>
      </c>
      <c r="AQ131" t="e">
        <f>Nodes!C1056+"'E4!':&lt;"</f>
        <v>#VALUE!</v>
      </c>
      <c r="AR131" t="e">
        <f>Nodes!D1056+"'E4!':="</f>
        <v>#VALUE!</v>
      </c>
      <c r="AS131" t="e">
        <f>Nodes!E1056+"'E4!':&gt;"</f>
        <v>#VALUE!</v>
      </c>
      <c r="AT131" t="e">
        <f>Nodes!F1056+"'E4!':?"</f>
        <v>#VALUE!</v>
      </c>
      <c r="AU131" t="e">
        <f>Nodes!G1056+"'E4!':@"</f>
        <v>#VALUE!</v>
      </c>
      <c r="AV131" t="e">
        <f>Nodes!H1056+"'E4!':A"</f>
        <v>#VALUE!</v>
      </c>
      <c r="AW131" t="e">
        <f>Nodes!I1056+"'E4!':B"</f>
        <v>#VALUE!</v>
      </c>
      <c r="AX131" t="e">
        <f>Nodes!J1056+"'E4!':C"</f>
        <v>#VALUE!</v>
      </c>
      <c r="AY131" t="e">
        <f>Nodes!K1056+"'E4!':D"</f>
        <v>#VALUE!</v>
      </c>
      <c r="AZ131" t="e">
        <f>Nodes!L1056+"'E4!':E"</f>
        <v>#VALUE!</v>
      </c>
      <c r="BA131" t="e">
        <f>Nodes!M1056+"'E4!':F"</f>
        <v>#VALUE!</v>
      </c>
      <c r="BB131" t="e">
        <f>Nodes!N1056+"'E4!':G"</f>
        <v>#VALUE!</v>
      </c>
      <c r="BC131" t="e">
        <f>Nodes!O1056+"'E4!':H"</f>
        <v>#VALUE!</v>
      </c>
      <c r="BD131" t="e">
        <f>Nodes!P1056+"'E4!':I"</f>
        <v>#VALUE!</v>
      </c>
      <c r="BE131" t="e">
        <f>Nodes!Q1056+"'E4!':J"</f>
        <v>#VALUE!</v>
      </c>
      <c r="BF131" t="e">
        <f>Nodes!R1056+"'E4!':K"</f>
        <v>#VALUE!</v>
      </c>
      <c r="BG131" t="e">
        <f>Nodes!S1056+"'E4!':L"</f>
        <v>#VALUE!</v>
      </c>
      <c r="BH131" s="547" t="e">
        <f>Nodes!T1056+"'E4!':M"</f>
        <v>#VALUE!</v>
      </c>
      <c r="BI131" s="548" t="e">
        <f>Nodes!U1056+"'E4!':N"</f>
        <v>#VALUE!</v>
      </c>
      <c r="BJ131" s="548" t="e">
        <f>Nodes!V1056+"'E4!':O"</f>
        <v>#VALUE!</v>
      </c>
      <c r="BK131" s="547" t="e">
        <f>Nodes!W1056+"'E4!':P"</f>
        <v>#VALUE!</v>
      </c>
      <c r="BL131" t="e">
        <f>Nodes!X1056+"'E4!':Q"</f>
        <v>#VALUE!</v>
      </c>
      <c r="BM131" t="e">
        <f>Nodes!Y1056+"'E4!':R"</f>
        <v>#VALUE!</v>
      </c>
      <c r="BN131" t="e">
        <f>Nodes!Z1056+"'E4!':S"</f>
        <v>#VALUE!</v>
      </c>
      <c r="BO131" t="e">
        <f>Nodes!AA1056+"'E4!':T"</f>
        <v>#VALUE!</v>
      </c>
      <c r="BP131" t="e">
        <f>Nodes!AB1056+"'E4!':U"</f>
        <v>#VALUE!</v>
      </c>
      <c r="BQ131" t="e">
        <f>Nodes!AC1056+"'E4!':V"</f>
        <v>#VALUE!</v>
      </c>
      <c r="BR131" t="e">
        <f>Nodes!A1057+"'E4!':W"</f>
        <v>#VALUE!</v>
      </c>
      <c r="BS131" t="e">
        <f>Nodes!B1057+"'E4!':X"</f>
        <v>#VALUE!</v>
      </c>
      <c r="BT131" t="e">
        <f>Nodes!C1057+"'E4!':Y"</f>
        <v>#VALUE!</v>
      </c>
      <c r="BU131" t="e">
        <f>Nodes!D1057+"'E4!':Z"</f>
        <v>#VALUE!</v>
      </c>
      <c r="BV131" t="e">
        <f>Nodes!E1057+"'E4!':["</f>
        <v>#VALUE!</v>
      </c>
      <c r="BW131" t="e">
        <f>Nodes!F1057+"'E4!':\"</f>
        <v>#VALUE!</v>
      </c>
      <c r="BX131" t="e">
        <f>Nodes!G1057+"'E4!':]"</f>
        <v>#VALUE!</v>
      </c>
      <c r="BY131" t="e">
        <f>Nodes!H1057+"'E4!':^"</f>
        <v>#VALUE!</v>
      </c>
      <c r="BZ131" t="e">
        <f>Nodes!I1057+"'E4!':_"</f>
        <v>#VALUE!</v>
      </c>
      <c r="CA131" t="e">
        <f>Nodes!J1057+"'E4!':`"</f>
        <v>#VALUE!</v>
      </c>
      <c r="CB131" t="e">
        <f>Nodes!K1057+"'E4!':a"</f>
        <v>#VALUE!</v>
      </c>
      <c r="CC131" t="e">
        <f>Nodes!L1057+"'E4!':b"</f>
        <v>#VALUE!</v>
      </c>
      <c r="CD131" t="e">
        <f>Nodes!M1057+"'E4!':c"</f>
        <v>#VALUE!</v>
      </c>
      <c r="CE131" t="e">
        <f>Nodes!N1057+"'E4!':d"</f>
        <v>#VALUE!</v>
      </c>
      <c r="CF131" t="e">
        <f>Nodes!O1057+"'E4!':e"</f>
        <v>#VALUE!</v>
      </c>
      <c r="CG131" t="e">
        <f>Nodes!P1057+"'E4!':f"</f>
        <v>#VALUE!</v>
      </c>
      <c r="CH131" t="e">
        <f>Nodes!Q1057+"'E4!':g"</f>
        <v>#VALUE!</v>
      </c>
      <c r="CI131" t="e">
        <f>Nodes!R1057+"'E4!':h"</f>
        <v>#VALUE!</v>
      </c>
      <c r="CJ131" t="e">
        <f>Nodes!S1057+"'E4!':i"</f>
        <v>#VALUE!</v>
      </c>
      <c r="CK131" s="547" t="e">
        <f>Nodes!T1057+"'E4!':j"</f>
        <v>#VALUE!</v>
      </c>
      <c r="CL131" s="548" t="e">
        <f>Nodes!U1057+"'E4!':k"</f>
        <v>#VALUE!</v>
      </c>
      <c r="CM131" s="548" t="e">
        <f>Nodes!V1057+"'E4!':l"</f>
        <v>#VALUE!</v>
      </c>
      <c r="CN131" s="547" t="e">
        <f>Nodes!W1057+"'E4!':m"</f>
        <v>#VALUE!</v>
      </c>
      <c r="CO131" t="e">
        <f>Nodes!X1057+"'E4!':n"</f>
        <v>#VALUE!</v>
      </c>
      <c r="CP131" t="e">
        <f>Nodes!Y1057+"'E4!':o"</f>
        <v>#VALUE!</v>
      </c>
      <c r="CQ131" t="e">
        <f>Nodes!Z1057+"'E4!':p"</f>
        <v>#VALUE!</v>
      </c>
      <c r="CR131" t="e">
        <f>Nodes!AA1057+"'E4!':q"</f>
        <v>#VALUE!</v>
      </c>
      <c r="CS131" t="e">
        <f>Nodes!AB1057+"'E4!':r"</f>
        <v>#VALUE!</v>
      </c>
      <c r="CT131" t="e">
        <f>Nodes!AC1057+"'E4!':s"</f>
        <v>#VALUE!</v>
      </c>
      <c r="CU131" t="e">
        <f>Nodes!A1058+"'E4!':t"</f>
        <v>#VALUE!</v>
      </c>
      <c r="CV131" t="e">
        <f>Nodes!B1058+"'E4!':u"</f>
        <v>#VALUE!</v>
      </c>
      <c r="CW131" t="e">
        <f>Nodes!C1058+"'E4!':v"</f>
        <v>#VALUE!</v>
      </c>
      <c r="CX131" t="e">
        <f>Nodes!D1058+"'E4!':w"</f>
        <v>#VALUE!</v>
      </c>
      <c r="CY131" t="e">
        <f>Nodes!E1058+"'E4!':x"</f>
        <v>#VALUE!</v>
      </c>
      <c r="CZ131" t="e">
        <f>Nodes!F1058+"'E4!':y"</f>
        <v>#VALUE!</v>
      </c>
      <c r="DA131" t="e">
        <f>Nodes!G1058+"'E4!':z"</f>
        <v>#VALUE!</v>
      </c>
      <c r="DB131" t="e">
        <f>Nodes!H1058+"'E4!':{"</f>
        <v>#VALUE!</v>
      </c>
      <c r="DC131" t="e">
        <f>Nodes!I1058+"'E4!':|"</f>
        <v>#VALUE!</v>
      </c>
      <c r="DD131" t="e">
        <f>Nodes!J1058+"'E4!':}"</f>
        <v>#VALUE!</v>
      </c>
      <c r="DE131" t="e">
        <f>Nodes!K1058+"'E4!':~"</f>
        <v>#VALUE!</v>
      </c>
      <c r="DF131" t="e">
        <f>Nodes!L1058+"'E4!';#"</f>
        <v>#VALUE!</v>
      </c>
      <c r="DG131" t="e">
        <f>Nodes!M1058+"'E4!';$"</f>
        <v>#VALUE!</v>
      </c>
      <c r="DH131" t="e">
        <f>Nodes!N1058+"'E4!';%"</f>
        <v>#VALUE!</v>
      </c>
      <c r="DI131" t="e">
        <f>Nodes!O1058+"'E4!';&amp;"</f>
        <v>#VALUE!</v>
      </c>
      <c r="DJ131" t="e">
        <f>Nodes!P1058+"'E4!';'"</f>
        <v>#VALUE!</v>
      </c>
      <c r="DK131" t="e">
        <f>Nodes!Q1058+"'E4!';("</f>
        <v>#VALUE!</v>
      </c>
      <c r="DL131" t="e">
        <f>Nodes!R1058+"'E4!';)"</f>
        <v>#VALUE!</v>
      </c>
      <c r="DM131" t="e">
        <f>Nodes!S1058+"'E4!';."</f>
        <v>#VALUE!</v>
      </c>
      <c r="DN131" s="547" t="e">
        <f>Nodes!T1058+"'E4!';/"</f>
        <v>#VALUE!</v>
      </c>
      <c r="DO131" s="548" t="e">
        <f>Nodes!U1058+"'E4!';0"</f>
        <v>#VALUE!</v>
      </c>
      <c r="DP131" s="548" t="e">
        <f>Nodes!V1058+"'E4!';1"</f>
        <v>#VALUE!</v>
      </c>
      <c r="DQ131" s="547" t="e">
        <f>Nodes!W1058+"'E4!';2"</f>
        <v>#VALUE!</v>
      </c>
      <c r="DR131" t="e">
        <f>Nodes!X1058+"'E4!';3"</f>
        <v>#VALUE!</v>
      </c>
      <c r="DS131" t="e">
        <f>Nodes!Y1058+"'E4!';4"</f>
        <v>#VALUE!</v>
      </c>
      <c r="DT131" t="e">
        <f>Nodes!Z1058+"'E4!';5"</f>
        <v>#VALUE!</v>
      </c>
      <c r="DU131" t="e">
        <f>Nodes!AA1058+"'E4!';6"</f>
        <v>#VALUE!</v>
      </c>
      <c r="DV131" t="e">
        <f>Nodes!AB1058+"'E4!';7"</f>
        <v>#VALUE!</v>
      </c>
      <c r="DW131" t="e">
        <f>Nodes!AC1058+"'E4!';8"</f>
        <v>#VALUE!</v>
      </c>
      <c r="DX131" t="e">
        <f>Nodes!A1059+"'E4!';9"</f>
        <v>#VALUE!</v>
      </c>
      <c r="DY131" t="e">
        <f>Nodes!B1059+"'E4!';:"</f>
        <v>#VALUE!</v>
      </c>
      <c r="DZ131" t="e">
        <f>Nodes!C1059+"'E4!';;"</f>
        <v>#VALUE!</v>
      </c>
      <c r="EA131" t="e">
        <f>Nodes!D1059+"'E4!';&lt;"</f>
        <v>#VALUE!</v>
      </c>
      <c r="EB131" t="e">
        <f>Nodes!E1059+"'E4!';="</f>
        <v>#VALUE!</v>
      </c>
      <c r="EC131" t="e">
        <f>Nodes!F1059+"'E4!';&gt;"</f>
        <v>#VALUE!</v>
      </c>
      <c r="ED131" t="e">
        <f>Nodes!G1059+"'E4!';?"</f>
        <v>#VALUE!</v>
      </c>
      <c r="EE131" t="e">
        <f>Nodes!H1059+"'E4!';@"</f>
        <v>#VALUE!</v>
      </c>
      <c r="EF131" t="e">
        <f>Nodes!I1059+"'E4!';A"</f>
        <v>#VALUE!</v>
      </c>
      <c r="EG131" t="e">
        <f>Nodes!J1059+"'E4!';B"</f>
        <v>#VALUE!</v>
      </c>
      <c r="EH131" t="e">
        <f>Nodes!K1059+"'E4!';C"</f>
        <v>#VALUE!</v>
      </c>
      <c r="EI131" t="e">
        <f>Nodes!L1059+"'E4!';D"</f>
        <v>#VALUE!</v>
      </c>
      <c r="EJ131" t="e">
        <f>Nodes!M1059+"'E4!';E"</f>
        <v>#VALUE!</v>
      </c>
      <c r="EK131" t="e">
        <f>Nodes!N1059+"'E4!';F"</f>
        <v>#VALUE!</v>
      </c>
      <c r="EL131" t="e">
        <f>Nodes!O1059+"'E4!';G"</f>
        <v>#VALUE!</v>
      </c>
      <c r="EM131" t="e">
        <f>Nodes!P1059+"'E4!';H"</f>
        <v>#VALUE!</v>
      </c>
      <c r="EN131" t="e">
        <f>Nodes!Q1059+"'E4!';I"</f>
        <v>#VALUE!</v>
      </c>
      <c r="EO131" t="e">
        <f>Nodes!R1059+"'E4!';J"</f>
        <v>#VALUE!</v>
      </c>
      <c r="EP131" t="e">
        <f>Nodes!S1059+"'E4!';K"</f>
        <v>#VALUE!</v>
      </c>
      <c r="EQ131" s="547" t="e">
        <f>Nodes!T1059+"'E4!';L"</f>
        <v>#VALUE!</v>
      </c>
      <c r="ER131" s="548" t="e">
        <f>Nodes!U1059+"'E4!';M"</f>
        <v>#VALUE!</v>
      </c>
      <c r="ES131" s="548" t="e">
        <f>Nodes!V1059+"'E4!';N"</f>
        <v>#VALUE!</v>
      </c>
      <c r="ET131" s="547" t="e">
        <f>Nodes!W1059+"'E4!';O"</f>
        <v>#VALUE!</v>
      </c>
      <c r="EU131" t="e">
        <f>Nodes!X1059+"'E4!';P"</f>
        <v>#VALUE!</v>
      </c>
      <c r="EV131" t="e">
        <f>Nodes!Y1059+"'E4!';Q"</f>
        <v>#VALUE!</v>
      </c>
      <c r="EW131" t="e">
        <f>Nodes!Z1059+"'E4!';R"</f>
        <v>#VALUE!</v>
      </c>
      <c r="EX131" t="e">
        <f>Nodes!AA1059+"'E4!';S"</f>
        <v>#VALUE!</v>
      </c>
      <c r="EY131" t="e">
        <f>Nodes!AB1059+"'E4!';T"</f>
        <v>#VALUE!</v>
      </c>
      <c r="EZ131" t="e">
        <f>Nodes!AC1059+"'E4!';U"</f>
        <v>#VALUE!</v>
      </c>
      <c r="FA131" t="e">
        <f>Nodes!A1060+"'E4!';V"</f>
        <v>#VALUE!</v>
      </c>
      <c r="FB131" t="e">
        <f>Nodes!B1060+"'E4!';W"</f>
        <v>#VALUE!</v>
      </c>
      <c r="FC131" t="e">
        <f>Nodes!C1060+"'E4!';X"</f>
        <v>#VALUE!</v>
      </c>
      <c r="FD131" t="e">
        <f>Nodes!D1060+"'E4!';Y"</f>
        <v>#VALUE!</v>
      </c>
      <c r="FE131" t="e">
        <f>Nodes!E1060+"'E4!';Z"</f>
        <v>#VALUE!</v>
      </c>
      <c r="FF131" t="e">
        <f>Nodes!F1060+"'E4!';["</f>
        <v>#VALUE!</v>
      </c>
      <c r="FG131" t="e">
        <f>Nodes!G1060+"'E4!';\"</f>
        <v>#VALUE!</v>
      </c>
      <c r="FH131" t="e">
        <f>Nodes!H1060+"'E4!';]"</f>
        <v>#VALUE!</v>
      </c>
      <c r="FI131" t="e">
        <f>Nodes!I1060+"'E4!';^"</f>
        <v>#VALUE!</v>
      </c>
      <c r="FJ131" t="e">
        <f>Nodes!J1060+"'E4!';_"</f>
        <v>#VALUE!</v>
      </c>
      <c r="FK131" t="e">
        <f>Nodes!K1060+"'E4!';`"</f>
        <v>#VALUE!</v>
      </c>
      <c r="FL131" t="e">
        <f>Nodes!L1060+"'E4!';a"</f>
        <v>#VALUE!</v>
      </c>
      <c r="FM131" t="e">
        <f>Nodes!M1060+"'E4!';b"</f>
        <v>#VALUE!</v>
      </c>
      <c r="FN131" t="e">
        <f>Nodes!N1060+"'E4!';c"</f>
        <v>#VALUE!</v>
      </c>
      <c r="FO131" t="e">
        <f>Nodes!O1060+"'E4!';d"</f>
        <v>#VALUE!</v>
      </c>
      <c r="FP131" t="e">
        <f>Nodes!P1060+"'E4!';e"</f>
        <v>#VALUE!</v>
      </c>
      <c r="FQ131" t="e">
        <f>Nodes!Q1060+"'E4!';f"</f>
        <v>#VALUE!</v>
      </c>
      <c r="FR131" t="e">
        <f>Nodes!R1060+"'E4!';g"</f>
        <v>#VALUE!</v>
      </c>
      <c r="FS131" t="e">
        <f>Nodes!S1060+"'E4!';h"</f>
        <v>#VALUE!</v>
      </c>
      <c r="FT131" s="547" t="e">
        <f>Nodes!T1060+"'E4!';i"</f>
        <v>#VALUE!</v>
      </c>
      <c r="FU131" s="548" t="e">
        <f>Nodes!U1060+"'E4!';j"</f>
        <v>#VALUE!</v>
      </c>
      <c r="FV131" s="548" t="e">
        <f>Nodes!V1060+"'E4!';k"</f>
        <v>#VALUE!</v>
      </c>
      <c r="FW131" s="547" t="e">
        <f>Nodes!W1060+"'E4!';l"</f>
        <v>#VALUE!</v>
      </c>
      <c r="FX131" t="e">
        <f>Nodes!X1060+"'E4!';m"</f>
        <v>#VALUE!</v>
      </c>
      <c r="FY131" t="e">
        <f>Nodes!Y1060+"'E4!';n"</f>
        <v>#VALUE!</v>
      </c>
      <c r="FZ131" t="e">
        <f>Nodes!Z1060+"'E4!';o"</f>
        <v>#VALUE!</v>
      </c>
      <c r="GA131" t="e">
        <f>Nodes!AA1060+"'E4!';p"</f>
        <v>#VALUE!</v>
      </c>
      <c r="GB131" t="e">
        <f>Nodes!AB1060+"'E4!';q"</f>
        <v>#VALUE!</v>
      </c>
      <c r="GC131" t="e">
        <f>Nodes!AC1060+"'E4!';r"</f>
        <v>#VALUE!</v>
      </c>
      <c r="GD131" t="e">
        <f>Nodes!A1061+"'E4!';s"</f>
        <v>#VALUE!</v>
      </c>
      <c r="GE131" t="e">
        <f>Nodes!B1061+"'E4!';t"</f>
        <v>#VALUE!</v>
      </c>
      <c r="GF131" t="e">
        <f>Nodes!C1061+"'E4!';u"</f>
        <v>#VALUE!</v>
      </c>
      <c r="GG131" t="e">
        <f>Nodes!D1061+"'E4!';v"</f>
        <v>#VALUE!</v>
      </c>
      <c r="GH131" t="e">
        <f>Nodes!E1061+"'E4!';w"</f>
        <v>#VALUE!</v>
      </c>
      <c r="GI131" t="e">
        <f>Nodes!F1061+"'E4!';x"</f>
        <v>#VALUE!</v>
      </c>
      <c r="GJ131" t="e">
        <f>Nodes!G1061+"'E4!';y"</f>
        <v>#VALUE!</v>
      </c>
      <c r="GK131" t="e">
        <f>Nodes!H1061+"'E4!';z"</f>
        <v>#VALUE!</v>
      </c>
      <c r="GL131" t="e">
        <f>Nodes!I1061+"'E4!';{"</f>
        <v>#VALUE!</v>
      </c>
      <c r="GM131" t="e">
        <f>Nodes!J1061+"'E4!';|"</f>
        <v>#VALUE!</v>
      </c>
      <c r="GN131" t="e">
        <f>Nodes!K1061+"'E4!';}"</f>
        <v>#VALUE!</v>
      </c>
      <c r="GO131" t="e">
        <f>Nodes!L1061+"'E4!';~"</f>
        <v>#VALUE!</v>
      </c>
      <c r="GP131" t="e">
        <f>Nodes!M1061+"'E4!'&lt;#"</f>
        <v>#VALUE!</v>
      </c>
      <c r="GQ131" t="e">
        <f>Nodes!N1061+"'E4!'&lt;$"</f>
        <v>#VALUE!</v>
      </c>
      <c r="GR131" t="e">
        <f>Nodes!O1061+"'E4!'&lt;%"</f>
        <v>#VALUE!</v>
      </c>
      <c r="GS131" t="e">
        <f>Nodes!P1061+"'E4!'&lt;&amp;"</f>
        <v>#VALUE!</v>
      </c>
      <c r="GT131" t="e">
        <f>Nodes!Q1061+"'E4!'&lt;'"</f>
        <v>#VALUE!</v>
      </c>
      <c r="GU131" t="e">
        <f>Nodes!R1061+"'E4!'&lt;("</f>
        <v>#VALUE!</v>
      </c>
      <c r="GV131" t="e">
        <f>Nodes!S1061+"'E4!'&lt;)"</f>
        <v>#VALUE!</v>
      </c>
      <c r="GW131" s="547" t="e">
        <f>Nodes!T1061+"'E4!'&lt;."</f>
        <v>#VALUE!</v>
      </c>
      <c r="GX131" s="548" t="e">
        <f>Nodes!U1061+"'E4!'&lt;/"</f>
        <v>#VALUE!</v>
      </c>
      <c r="GY131" s="548" t="e">
        <f>Nodes!V1061+"'E4!'&lt;0"</f>
        <v>#VALUE!</v>
      </c>
      <c r="GZ131" s="547" t="e">
        <f>Nodes!W1061+"'E4!'&lt;1"</f>
        <v>#VALUE!</v>
      </c>
      <c r="HA131" t="e">
        <f>Nodes!X1061+"'E4!'&lt;2"</f>
        <v>#VALUE!</v>
      </c>
      <c r="HB131" t="e">
        <f>Nodes!Y1061+"'E4!'&lt;3"</f>
        <v>#VALUE!</v>
      </c>
      <c r="HC131" t="e">
        <f>Nodes!Z1061+"'E4!'&lt;4"</f>
        <v>#VALUE!</v>
      </c>
      <c r="HD131" t="e">
        <f>Nodes!AA1061+"'E4!'&lt;5"</f>
        <v>#VALUE!</v>
      </c>
      <c r="HE131" t="e">
        <f>Nodes!AB1061+"'E4!'&lt;6"</f>
        <v>#VALUE!</v>
      </c>
      <c r="HF131" t="e">
        <f>Nodes!AC1061+"'E4!'&lt;7"</f>
        <v>#VALUE!</v>
      </c>
      <c r="HG131" t="e">
        <f>Nodes!A1062+"'E4!'&lt;8"</f>
        <v>#VALUE!</v>
      </c>
      <c r="HH131" t="e">
        <f>Nodes!B1062+"'E4!'&lt;9"</f>
        <v>#VALUE!</v>
      </c>
      <c r="HI131" t="e">
        <f>Nodes!C1062+"'E4!'&lt;:"</f>
        <v>#VALUE!</v>
      </c>
      <c r="HJ131" t="e">
        <f>Nodes!D1062+"'E4!'&lt;;"</f>
        <v>#VALUE!</v>
      </c>
      <c r="HK131" t="e">
        <f>Nodes!E1062+"'E4!'&lt;&lt;"</f>
        <v>#VALUE!</v>
      </c>
      <c r="HL131" t="e">
        <f>Nodes!F1062+"'E4!'&lt;="</f>
        <v>#VALUE!</v>
      </c>
      <c r="HM131" t="e">
        <f>Nodes!G1062+"'E4!'&lt;&gt;"</f>
        <v>#VALUE!</v>
      </c>
      <c r="HN131" t="e">
        <f>Nodes!H1062+"'E4!'&lt;?"</f>
        <v>#VALUE!</v>
      </c>
      <c r="HO131" t="e">
        <f>Nodes!I1062+"'E4!'&lt;@"</f>
        <v>#VALUE!</v>
      </c>
      <c r="HP131" t="e">
        <f>Nodes!J1062+"'E4!'&lt;A"</f>
        <v>#VALUE!</v>
      </c>
      <c r="HQ131" t="e">
        <f>Nodes!K1062+"'E4!'&lt;B"</f>
        <v>#VALUE!</v>
      </c>
      <c r="HR131" t="e">
        <f>Nodes!L1062+"'E4!'&lt;C"</f>
        <v>#VALUE!</v>
      </c>
      <c r="HS131" t="e">
        <f>Nodes!M1062+"'E4!'&lt;D"</f>
        <v>#VALUE!</v>
      </c>
      <c r="HT131" t="e">
        <f>Nodes!N1062+"'E4!'&lt;E"</f>
        <v>#VALUE!</v>
      </c>
      <c r="HU131" t="e">
        <f>Nodes!O1062+"'E4!'&lt;F"</f>
        <v>#VALUE!</v>
      </c>
      <c r="HV131" t="e">
        <f>Nodes!P1062+"'E4!'&lt;G"</f>
        <v>#VALUE!</v>
      </c>
      <c r="HW131" t="e">
        <f>Nodes!Q1062+"'E4!'&lt;H"</f>
        <v>#VALUE!</v>
      </c>
      <c r="HX131" t="e">
        <f>Nodes!R1062+"'E4!'&lt;I"</f>
        <v>#VALUE!</v>
      </c>
      <c r="HY131" t="e">
        <f>Nodes!S1062+"'E4!'&lt;J"</f>
        <v>#VALUE!</v>
      </c>
      <c r="HZ131" s="547" t="e">
        <f>Nodes!T1062+"'E4!'&lt;K"</f>
        <v>#VALUE!</v>
      </c>
      <c r="IA131" s="548" t="e">
        <f>Nodes!U1062+"'E4!'&lt;L"</f>
        <v>#VALUE!</v>
      </c>
      <c r="IB131" s="548" t="e">
        <f>Nodes!V1062+"'E4!'&lt;M"</f>
        <v>#VALUE!</v>
      </c>
      <c r="IC131" s="547" t="e">
        <f>Nodes!W1062+"'E4!'&lt;N"</f>
        <v>#VALUE!</v>
      </c>
      <c r="ID131" t="e">
        <f>Nodes!X1062+"'E4!'&lt;O"</f>
        <v>#VALUE!</v>
      </c>
      <c r="IE131" t="e">
        <f>Nodes!Y1062+"'E4!'&lt;P"</f>
        <v>#VALUE!</v>
      </c>
      <c r="IF131" t="e">
        <f>Nodes!Z1062+"'E4!'&lt;Q"</f>
        <v>#VALUE!</v>
      </c>
      <c r="IG131" t="e">
        <f>Nodes!AA1062+"'E4!'&lt;R"</f>
        <v>#VALUE!</v>
      </c>
      <c r="IH131" t="e">
        <f>Nodes!AB1062+"'E4!'&lt;S"</f>
        <v>#VALUE!</v>
      </c>
      <c r="II131" t="e">
        <f>Nodes!AC1062+"'E4!'&lt;T"</f>
        <v>#VALUE!</v>
      </c>
      <c r="IJ131" t="e">
        <f>Nodes!A1063+"'E4!'&lt;U"</f>
        <v>#VALUE!</v>
      </c>
      <c r="IK131" t="e">
        <f>Nodes!B1063+"'E4!'&lt;V"</f>
        <v>#VALUE!</v>
      </c>
      <c r="IL131" t="e">
        <f>Nodes!C1063+"'E4!'&lt;W"</f>
        <v>#VALUE!</v>
      </c>
      <c r="IM131" t="e">
        <f>Nodes!D1063+"'E4!'&lt;X"</f>
        <v>#VALUE!</v>
      </c>
      <c r="IN131" t="e">
        <f>Nodes!E1063+"'E4!'&lt;Y"</f>
        <v>#VALUE!</v>
      </c>
      <c r="IO131" t="e">
        <f>Nodes!F1063+"'E4!'&lt;Z"</f>
        <v>#VALUE!</v>
      </c>
      <c r="IP131" t="e">
        <f>Nodes!G1063+"'E4!'&lt;["</f>
        <v>#VALUE!</v>
      </c>
      <c r="IQ131" t="e">
        <f>Nodes!H1063+"'E4!'&lt;\"</f>
        <v>#VALUE!</v>
      </c>
      <c r="IR131" t="e">
        <f>Nodes!I1063+"'E4!'&lt;]"</f>
        <v>#VALUE!</v>
      </c>
      <c r="IS131" t="e">
        <f>Nodes!J1063+"'E4!'&lt;^"</f>
        <v>#VALUE!</v>
      </c>
      <c r="IT131" t="e">
        <f>Nodes!K1063+"'E4!'&lt;_"</f>
        <v>#VALUE!</v>
      </c>
      <c r="IU131" t="e">
        <f>Nodes!L1063+"'E4!'&lt;`"</f>
        <v>#VALUE!</v>
      </c>
      <c r="IV131" t="e">
        <f>Nodes!M1063+"'E4!'&lt;a"</f>
        <v>#VALUE!</v>
      </c>
    </row>
    <row r="132" spans="6:256">
      <c r="F132" t="e">
        <f>Nodes!N1063+"'E4!'&lt;b"</f>
        <v>#VALUE!</v>
      </c>
      <c r="G132" t="e">
        <f>Nodes!O1063+"'E4!'&lt;c"</f>
        <v>#VALUE!</v>
      </c>
      <c r="H132" t="e">
        <f>Nodes!P1063+"'E4!'&lt;d"</f>
        <v>#VALUE!</v>
      </c>
      <c r="I132" t="e">
        <f>Nodes!Q1063+"'E4!'&lt;e"</f>
        <v>#VALUE!</v>
      </c>
      <c r="J132" t="e">
        <f>Nodes!R1063+"'E4!'&lt;f"</f>
        <v>#VALUE!</v>
      </c>
      <c r="K132" t="e">
        <f>Nodes!S1063+"'E4!'&lt;g"</f>
        <v>#VALUE!</v>
      </c>
      <c r="L132" s="547" t="e">
        <f>Nodes!T1063+"'E4!'&lt;h"</f>
        <v>#VALUE!</v>
      </c>
      <c r="M132" s="548" t="e">
        <f>Nodes!U1063+"'E4!'&lt;i"</f>
        <v>#VALUE!</v>
      </c>
      <c r="N132" s="548" t="e">
        <f>Nodes!V1063+"'E4!'&lt;j"</f>
        <v>#VALUE!</v>
      </c>
      <c r="O132" s="547" t="e">
        <f>Nodes!W1063+"'E4!'&lt;k"</f>
        <v>#VALUE!</v>
      </c>
      <c r="P132" t="e">
        <f>Nodes!X1063+"'E4!'&lt;l"</f>
        <v>#VALUE!</v>
      </c>
      <c r="Q132" t="e">
        <f>Nodes!Y1063+"'E4!'&lt;m"</f>
        <v>#VALUE!</v>
      </c>
      <c r="R132" t="e">
        <f>Nodes!Z1063+"'E4!'&lt;n"</f>
        <v>#VALUE!</v>
      </c>
      <c r="S132" t="e">
        <f>Nodes!AA1063+"'E4!'&lt;o"</f>
        <v>#VALUE!</v>
      </c>
      <c r="T132" t="e">
        <f>Nodes!AB1063+"'E4!'&lt;p"</f>
        <v>#VALUE!</v>
      </c>
      <c r="U132" t="e">
        <f>Nodes!AC1063+"'E4!'&lt;q"</f>
        <v>#VALUE!</v>
      </c>
      <c r="V132" t="e">
        <f>Nodes!A1064+"'E4!'&lt;r"</f>
        <v>#VALUE!</v>
      </c>
      <c r="W132" t="e">
        <f>Nodes!B1064+"'E4!'&lt;s"</f>
        <v>#VALUE!</v>
      </c>
      <c r="X132" t="e">
        <f>Nodes!C1064+"'E4!'&lt;t"</f>
        <v>#VALUE!</v>
      </c>
      <c r="Y132" t="e">
        <f>Nodes!D1064+"'E4!'&lt;u"</f>
        <v>#VALUE!</v>
      </c>
      <c r="Z132" t="e">
        <f>Nodes!E1064+"'E4!'&lt;v"</f>
        <v>#VALUE!</v>
      </c>
      <c r="AA132" t="e">
        <f>Nodes!F1064+"'E4!'&lt;w"</f>
        <v>#VALUE!</v>
      </c>
      <c r="AB132" t="e">
        <f>Nodes!G1064+"'E4!'&lt;x"</f>
        <v>#VALUE!</v>
      </c>
      <c r="AC132" t="e">
        <f>Nodes!H1064+"'E4!'&lt;y"</f>
        <v>#VALUE!</v>
      </c>
      <c r="AD132" t="e">
        <f>Nodes!I1064+"'E4!'&lt;z"</f>
        <v>#VALUE!</v>
      </c>
      <c r="AE132" t="e">
        <f>Nodes!J1064+"'E4!'&lt;{"</f>
        <v>#VALUE!</v>
      </c>
      <c r="AF132" t="e">
        <f>Nodes!K1064+"'E4!'&lt;|"</f>
        <v>#VALUE!</v>
      </c>
      <c r="AG132" t="e">
        <f>Nodes!L1064+"'E4!'&lt;}"</f>
        <v>#VALUE!</v>
      </c>
      <c r="AH132" t="e">
        <f>Nodes!M1064+"'E4!'&lt;~"</f>
        <v>#VALUE!</v>
      </c>
      <c r="AI132" t="e">
        <f>Nodes!N1064+"'E4!'=#"</f>
        <v>#VALUE!</v>
      </c>
      <c r="AJ132" t="e">
        <f>Nodes!O1064+"'E4!'=$"</f>
        <v>#VALUE!</v>
      </c>
      <c r="AK132" t="e">
        <f>Nodes!P1064+"'E4!'=%"</f>
        <v>#VALUE!</v>
      </c>
      <c r="AL132" t="e">
        <f>Nodes!Q1064+"'E4!'=&amp;"</f>
        <v>#VALUE!</v>
      </c>
      <c r="AM132" t="e">
        <f>Nodes!R1064+"'E4!'='"</f>
        <v>#VALUE!</v>
      </c>
      <c r="AN132" t="e">
        <f>Nodes!S1064+"'E4!'=("</f>
        <v>#VALUE!</v>
      </c>
      <c r="AO132" s="547" t="e">
        <f>Nodes!T1064+"'E4!'=)"</f>
        <v>#VALUE!</v>
      </c>
      <c r="AP132" s="548" t="e">
        <f>Nodes!U1064+"'E4!'=."</f>
        <v>#VALUE!</v>
      </c>
      <c r="AQ132" s="548" t="e">
        <f>Nodes!V1064+"'E4!'=/"</f>
        <v>#VALUE!</v>
      </c>
      <c r="AR132" s="547" t="e">
        <f>Nodes!W1064+"'E4!'=0"</f>
        <v>#VALUE!</v>
      </c>
      <c r="AS132" t="e">
        <f>Nodes!X1064+"'E4!'=1"</f>
        <v>#VALUE!</v>
      </c>
      <c r="AT132" t="e">
        <f>Nodes!Y1064+"'E4!'=2"</f>
        <v>#VALUE!</v>
      </c>
      <c r="AU132" t="e">
        <f>Nodes!Z1064+"'E4!'=3"</f>
        <v>#VALUE!</v>
      </c>
      <c r="AV132" t="e">
        <f>Nodes!AA1064+"'E4!'=4"</f>
        <v>#VALUE!</v>
      </c>
      <c r="AW132" t="e">
        <f>Nodes!AB1064+"'E4!'=5"</f>
        <v>#VALUE!</v>
      </c>
      <c r="AX132" t="e">
        <f>Nodes!AC1064+"'E4!'=6"</f>
        <v>#VALUE!</v>
      </c>
      <c r="AY132" t="e">
        <f>Nodes!A1065+"'E4!'=7"</f>
        <v>#VALUE!</v>
      </c>
      <c r="AZ132" t="e">
        <f>Nodes!B1065+"'E4!'=8"</f>
        <v>#VALUE!</v>
      </c>
      <c r="BA132" t="e">
        <f>Nodes!C1065+"'E4!'=9"</f>
        <v>#VALUE!</v>
      </c>
      <c r="BB132" t="e">
        <f>Nodes!D1065+"'E4!'=:"</f>
        <v>#VALUE!</v>
      </c>
      <c r="BC132" t="e">
        <f>Nodes!E1065+"'E4!'=;"</f>
        <v>#VALUE!</v>
      </c>
      <c r="BD132" t="e">
        <f>Nodes!F1065+"'E4!'=&lt;"</f>
        <v>#VALUE!</v>
      </c>
      <c r="BE132" t="e">
        <f>Nodes!G1065+"'E4!'=="</f>
        <v>#VALUE!</v>
      </c>
      <c r="BF132" t="e">
        <f>Nodes!H1065+"'E4!'=&gt;"</f>
        <v>#VALUE!</v>
      </c>
      <c r="BG132" t="e">
        <f>Nodes!I1065+"'E4!'=?"</f>
        <v>#VALUE!</v>
      </c>
      <c r="BH132" t="e">
        <f>Nodes!J1065+"'E4!'=@"</f>
        <v>#VALUE!</v>
      </c>
      <c r="BI132" t="e">
        <f>Nodes!K1065+"'E4!'=A"</f>
        <v>#VALUE!</v>
      </c>
      <c r="BJ132" t="e">
        <f>Nodes!L1065+"'E4!'=B"</f>
        <v>#VALUE!</v>
      </c>
      <c r="BK132" t="e">
        <f>Nodes!M1065+"'E4!'=C"</f>
        <v>#VALUE!</v>
      </c>
      <c r="BL132" t="e">
        <f>Nodes!N1065+"'E4!'=D"</f>
        <v>#VALUE!</v>
      </c>
      <c r="BM132" t="e">
        <f>Nodes!O1065+"'E4!'=E"</f>
        <v>#VALUE!</v>
      </c>
      <c r="BN132" t="e">
        <f>Nodes!P1065+"'E4!'=F"</f>
        <v>#VALUE!</v>
      </c>
      <c r="BO132" t="e">
        <f>Nodes!Q1065+"'E4!'=G"</f>
        <v>#VALUE!</v>
      </c>
      <c r="BP132" t="e">
        <f>Nodes!R1065+"'E4!'=H"</f>
        <v>#VALUE!</v>
      </c>
      <c r="BQ132" t="e">
        <f>Nodes!S1065+"'E4!'=I"</f>
        <v>#VALUE!</v>
      </c>
      <c r="BR132" s="547" t="e">
        <f>Nodes!T1065+"'E4!'=J"</f>
        <v>#VALUE!</v>
      </c>
      <c r="BS132" s="548" t="e">
        <f>Nodes!U1065+"'E4!'=K"</f>
        <v>#VALUE!</v>
      </c>
      <c r="BT132" s="548" t="e">
        <f>Nodes!V1065+"'E4!'=L"</f>
        <v>#VALUE!</v>
      </c>
      <c r="BU132" s="547" t="e">
        <f>Nodes!W1065+"'E4!'=M"</f>
        <v>#VALUE!</v>
      </c>
      <c r="BV132" t="e">
        <f>Nodes!X1065+"'E4!'=N"</f>
        <v>#VALUE!</v>
      </c>
      <c r="BW132" t="e">
        <f>Nodes!Y1065+"'E4!'=O"</f>
        <v>#VALUE!</v>
      </c>
      <c r="BX132" t="e">
        <f>Nodes!Z1065+"'E4!'=P"</f>
        <v>#VALUE!</v>
      </c>
      <c r="BY132" t="e">
        <f>Nodes!AA1065+"'E4!'=Q"</f>
        <v>#VALUE!</v>
      </c>
      <c r="BZ132" t="e">
        <f>Nodes!AB1065+"'E4!'=R"</f>
        <v>#VALUE!</v>
      </c>
      <c r="CA132" t="e">
        <f>Nodes!AC1065+"'E4!'=S"</f>
        <v>#VALUE!</v>
      </c>
      <c r="CB132" t="e">
        <f>Nodes!A1066+"'E4!'=T"</f>
        <v>#VALUE!</v>
      </c>
      <c r="CC132" t="e">
        <f>Nodes!B1066+"'E4!'=U"</f>
        <v>#VALUE!</v>
      </c>
      <c r="CD132" t="e">
        <f>Nodes!C1066+"'E4!'=V"</f>
        <v>#VALUE!</v>
      </c>
      <c r="CE132" t="e">
        <f>Nodes!D1066+"'E4!'=W"</f>
        <v>#VALUE!</v>
      </c>
      <c r="CF132" t="e">
        <f>Nodes!E1066+"'E4!'=X"</f>
        <v>#VALUE!</v>
      </c>
      <c r="CG132" t="e">
        <f>Nodes!F1066+"'E4!'=Y"</f>
        <v>#VALUE!</v>
      </c>
      <c r="CH132" t="e">
        <f>Nodes!G1066+"'E4!'=Z"</f>
        <v>#VALUE!</v>
      </c>
      <c r="CI132" t="e">
        <f>Nodes!H1066+"'E4!'=["</f>
        <v>#VALUE!</v>
      </c>
      <c r="CJ132" t="e">
        <f>Nodes!I1066+"'E4!'=\"</f>
        <v>#VALUE!</v>
      </c>
      <c r="CK132" t="e">
        <f>Nodes!J1066+"'E4!'=]"</f>
        <v>#VALUE!</v>
      </c>
      <c r="CL132" t="e">
        <f>Nodes!K1066+"'E4!'=^"</f>
        <v>#VALUE!</v>
      </c>
      <c r="CM132" t="e">
        <f>Nodes!L1066+"'E4!'=_"</f>
        <v>#VALUE!</v>
      </c>
      <c r="CN132" t="e">
        <f>Nodes!M1066+"'E4!'=`"</f>
        <v>#VALUE!</v>
      </c>
      <c r="CO132" t="e">
        <f>Nodes!N1066+"'E4!'=a"</f>
        <v>#VALUE!</v>
      </c>
      <c r="CP132" t="e">
        <f>Nodes!O1066+"'E4!'=b"</f>
        <v>#VALUE!</v>
      </c>
      <c r="CQ132" t="e">
        <f>Nodes!P1066+"'E4!'=c"</f>
        <v>#VALUE!</v>
      </c>
      <c r="CR132" t="e">
        <f>Nodes!Q1066+"'E4!'=d"</f>
        <v>#VALUE!</v>
      </c>
      <c r="CS132" t="e">
        <f>Nodes!R1066+"'E4!'=e"</f>
        <v>#VALUE!</v>
      </c>
      <c r="CT132" t="e">
        <f>Nodes!S1066+"'E4!'=f"</f>
        <v>#VALUE!</v>
      </c>
      <c r="CU132" s="547" t="e">
        <f>Nodes!T1066+"'E4!'=g"</f>
        <v>#VALUE!</v>
      </c>
      <c r="CV132" s="548" t="e">
        <f>Nodes!U1066+"'E4!'=h"</f>
        <v>#VALUE!</v>
      </c>
      <c r="CW132" s="548" t="e">
        <f>Nodes!V1066+"'E4!'=i"</f>
        <v>#VALUE!</v>
      </c>
      <c r="CX132" s="547" t="e">
        <f>Nodes!W1066+"'E4!'=j"</f>
        <v>#VALUE!</v>
      </c>
      <c r="CY132" t="e">
        <f>Nodes!X1066+"'E4!'=k"</f>
        <v>#VALUE!</v>
      </c>
      <c r="CZ132" t="e">
        <f>Nodes!Y1066+"'E4!'=l"</f>
        <v>#VALUE!</v>
      </c>
      <c r="DA132" t="e">
        <f>Nodes!Z1066+"'E4!'=m"</f>
        <v>#VALUE!</v>
      </c>
      <c r="DB132" t="e">
        <f>Nodes!AA1066+"'E4!'=n"</f>
        <v>#VALUE!</v>
      </c>
      <c r="DC132" s="547" t="e">
        <f>Nodes!AB1066+"'E4!'=o"</f>
        <v>#VALUE!</v>
      </c>
      <c r="DD132" t="e">
        <f>Nodes!AC1066+"'E4!'=p"</f>
        <v>#VALUE!</v>
      </c>
      <c r="DE132" t="e">
        <f>Nodes!A1067+"'E4!'=q"</f>
        <v>#VALUE!</v>
      </c>
      <c r="DF132" t="e">
        <f>Nodes!B1067+"'E4!'=r"</f>
        <v>#VALUE!</v>
      </c>
      <c r="DG132" t="e">
        <f>Nodes!C1067+"'E4!'=s"</f>
        <v>#VALUE!</v>
      </c>
      <c r="DH132" t="e">
        <f>Nodes!D1067+"'E4!'=t"</f>
        <v>#VALUE!</v>
      </c>
      <c r="DI132" t="e">
        <f>Nodes!E1067+"'E4!'=u"</f>
        <v>#VALUE!</v>
      </c>
      <c r="DJ132" t="e">
        <f>Nodes!F1067+"'E4!'=v"</f>
        <v>#VALUE!</v>
      </c>
      <c r="DK132" t="e">
        <f>Nodes!G1067+"'E4!'=w"</f>
        <v>#VALUE!</v>
      </c>
      <c r="DL132" t="e">
        <f>Nodes!H1067+"'E4!'=x"</f>
        <v>#VALUE!</v>
      </c>
      <c r="DM132" t="e">
        <f>Nodes!I1067+"'E4!'=y"</f>
        <v>#VALUE!</v>
      </c>
      <c r="DN132" t="e">
        <f>Nodes!J1067+"'E4!'=z"</f>
        <v>#VALUE!</v>
      </c>
      <c r="DO132" t="e">
        <f>Nodes!K1067+"'E4!'={"</f>
        <v>#VALUE!</v>
      </c>
      <c r="DP132" t="e">
        <f>Nodes!L1067+"'E4!'=|"</f>
        <v>#VALUE!</v>
      </c>
      <c r="DQ132" t="e">
        <f>Nodes!M1067+"'E4!'=}"</f>
        <v>#VALUE!</v>
      </c>
      <c r="DR132" t="e">
        <f>Nodes!N1067+"'E4!'=~"</f>
        <v>#VALUE!</v>
      </c>
      <c r="DS132" t="e">
        <f>Nodes!O1067+"'E4!'&gt;#"</f>
        <v>#VALUE!</v>
      </c>
      <c r="DT132" t="e">
        <f>Nodes!P1067+"'E4!'&gt;$"</f>
        <v>#VALUE!</v>
      </c>
      <c r="DU132" t="e">
        <f>Nodes!Q1067+"'E4!'&gt;%"</f>
        <v>#VALUE!</v>
      </c>
      <c r="DV132" t="e">
        <f>Nodes!R1067+"'E4!'&gt;&amp;"</f>
        <v>#VALUE!</v>
      </c>
      <c r="DW132" t="e">
        <f>Nodes!S1067+"'E4!'&gt;'"</f>
        <v>#VALUE!</v>
      </c>
      <c r="DX132" s="547" t="e">
        <f>Nodes!T1067+"'E4!'&gt;("</f>
        <v>#VALUE!</v>
      </c>
      <c r="DY132" s="548" t="e">
        <f>Nodes!U1067+"'E4!'&gt;)"</f>
        <v>#VALUE!</v>
      </c>
      <c r="DZ132" s="548" t="e">
        <f>Nodes!V1067+"'E4!'&gt;."</f>
        <v>#VALUE!</v>
      </c>
      <c r="EA132" s="547" t="e">
        <f>Nodes!W1067+"'E4!'&gt;/"</f>
        <v>#VALUE!</v>
      </c>
      <c r="EB132" t="e">
        <f>Nodes!X1067+"'E4!'&gt;0"</f>
        <v>#VALUE!</v>
      </c>
      <c r="EC132" t="e">
        <f>Nodes!Y1067+"'E4!'&gt;1"</f>
        <v>#VALUE!</v>
      </c>
      <c r="ED132" t="e">
        <f>Nodes!Z1067+"'E4!'&gt;2"</f>
        <v>#VALUE!</v>
      </c>
      <c r="EE132" t="e">
        <f>Nodes!AA1067+"'E4!'&gt;3"</f>
        <v>#VALUE!</v>
      </c>
      <c r="EF132" s="547" t="e">
        <f>Nodes!AB1067+"'E4!'&gt;4"</f>
        <v>#VALUE!</v>
      </c>
      <c r="EG132" t="e">
        <f>Nodes!AC1067+"'E4!'&gt;5"</f>
        <v>#VALUE!</v>
      </c>
      <c r="EH132" t="e">
        <f>Nodes!A1068+"'E4!'&gt;6"</f>
        <v>#VALUE!</v>
      </c>
      <c r="EI132" t="e">
        <f>Nodes!B1068+"'E4!'&gt;7"</f>
        <v>#VALUE!</v>
      </c>
      <c r="EJ132" t="e">
        <f>Nodes!C1068+"'E4!'&gt;8"</f>
        <v>#VALUE!</v>
      </c>
      <c r="EK132" t="e">
        <f>Nodes!D1068+"'E4!'&gt;9"</f>
        <v>#VALUE!</v>
      </c>
      <c r="EL132" t="e">
        <f>Nodes!E1068+"'E4!'&gt;:"</f>
        <v>#VALUE!</v>
      </c>
      <c r="EM132" t="e">
        <f>Nodes!F1068+"'E4!'&gt;;"</f>
        <v>#VALUE!</v>
      </c>
      <c r="EN132" t="e">
        <f>Nodes!G1068+"'E4!'&gt;&lt;"</f>
        <v>#VALUE!</v>
      </c>
      <c r="EO132" t="e">
        <f>Nodes!H1068+"'E4!'&gt;="</f>
        <v>#VALUE!</v>
      </c>
      <c r="EP132" t="e">
        <f>Nodes!I1068+"'E4!'&gt;&gt;"</f>
        <v>#VALUE!</v>
      </c>
      <c r="EQ132" t="e">
        <f>Nodes!J1068+"'E4!'&gt;?"</f>
        <v>#VALUE!</v>
      </c>
      <c r="ER132" t="e">
        <f>Nodes!K1068+"'E4!'&gt;@"</f>
        <v>#VALUE!</v>
      </c>
      <c r="ES132" t="e">
        <f>Nodes!L1068+"'E4!'&gt;A"</f>
        <v>#VALUE!</v>
      </c>
      <c r="ET132" t="e">
        <f>Nodes!M1068+"'E4!'&gt;B"</f>
        <v>#VALUE!</v>
      </c>
      <c r="EU132" t="e">
        <f>Nodes!N1068+"'E4!'&gt;C"</f>
        <v>#VALUE!</v>
      </c>
      <c r="EV132" t="e">
        <f>Nodes!O1068+"'E4!'&gt;D"</f>
        <v>#VALUE!</v>
      </c>
      <c r="EW132" t="e">
        <f>Nodes!P1068+"'E4!'&gt;E"</f>
        <v>#VALUE!</v>
      </c>
      <c r="EX132" t="e">
        <f>Nodes!Q1068+"'E4!'&gt;F"</f>
        <v>#VALUE!</v>
      </c>
      <c r="EY132" t="e">
        <f>Nodes!R1068+"'E4!'&gt;G"</f>
        <v>#VALUE!</v>
      </c>
      <c r="EZ132" t="e">
        <f>Nodes!S1068+"'E4!'&gt;H"</f>
        <v>#VALUE!</v>
      </c>
      <c r="FA132" s="547" t="e">
        <f>Nodes!T1068+"'E4!'&gt;I"</f>
        <v>#VALUE!</v>
      </c>
      <c r="FB132" s="548" t="e">
        <f>Nodes!U1068+"'E4!'&gt;J"</f>
        <v>#VALUE!</v>
      </c>
      <c r="FC132" s="548" t="e">
        <f>Nodes!V1068+"'E4!'&gt;K"</f>
        <v>#VALUE!</v>
      </c>
      <c r="FD132" s="547" t="e">
        <f>Nodes!W1068+"'E4!'&gt;L"</f>
        <v>#VALUE!</v>
      </c>
      <c r="FE132" t="e">
        <f>Nodes!X1068+"'E4!'&gt;M"</f>
        <v>#VALUE!</v>
      </c>
      <c r="FF132" t="e">
        <f>Nodes!Y1068+"'E4!'&gt;N"</f>
        <v>#VALUE!</v>
      </c>
      <c r="FG132" t="e">
        <f>Nodes!Z1068+"'E4!'&gt;O"</f>
        <v>#VALUE!</v>
      </c>
      <c r="FH132" t="e">
        <f>Nodes!AA1068+"'E4!'&gt;P"</f>
        <v>#VALUE!</v>
      </c>
      <c r="FI132" s="547" t="e">
        <f>Nodes!AB1068+"'E4!'&gt;Q"</f>
        <v>#VALUE!</v>
      </c>
      <c r="FJ132" t="e">
        <f>Nodes!AC1068+"'E4!'&gt;R"</f>
        <v>#VALUE!</v>
      </c>
      <c r="FK132" t="e">
        <f>Nodes!A1069+"'E4!'&gt;S"</f>
        <v>#VALUE!</v>
      </c>
      <c r="FL132" t="e">
        <f>Nodes!B1069+"'E4!'&gt;T"</f>
        <v>#VALUE!</v>
      </c>
      <c r="FM132" t="e">
        <f>Nodes!C1069+"'E4!'&gt;U"</f>
        <v>#VALUE!</v>
      </c>
      <c r="FN132" t="e">
        <f>Nodes!D1069+"'E4!'&gt;V"</f>
        <v>#VALUE!</v>
      </c>
      <c r="FO132" t="e">
        <f>Nodes!E1069+"'E4!'&gt;W"</f>
        <v>#VALUE!</v>
      </c>
      <c r="FP132" t="e">
        <f>Nodes!F1069+"'E4!'&gt;X"</f>
        <v>#VALUE!</v>
      </c>
      <c r="FQ132" t="e">
        <f>Nodes!G1069+"'E4!'&gt;Y"</f>
        <v>#VALUE!</v>
      </c>
      <c r="FR132" t="e">
        <f>Nodes!H1069+"'E4!'&gt;Z"</f>
        <v>#VALUE!</v>
      </c>
      <c r="FS132" t="e">
        <f>Nodes!I1069+"'E4!'&gt;["</f>
        <v>#VALUE!</v>
      </c>
      <c r="FT132" t="e">
        <f>Nodes!J1069+"'E4!'&gt;\"</f>
        <v>#VALUE!</v>
      </c>
      <c r="FU132" t="e">
        <f>Nodes!K1069+"'E4!'&gt;]"</f>
        <v>#VALUE!</v>
      </c>
      <c r="FV132" t="e">
        <f>Nodes!L1069+"'E4!'&gt;^"</f>
        <v>#VALUE!</v>
      </c>
      <c r="FW132" t="e">
        <f>Nodes!M1069+"'E4!'&gt;_"</f>
        <v>#VALUE!</v>
      </c>
      <c r="FX132" t="e">
        <f>Nodes!N1069+"'E4!'&gt;`"</f>
        <v>#VALUE!</v>
      </c>
      <c r="FY132" t="e">
        <f>Nodes!O1069+"'E4!'&gt;a"</f>
        <v>#VALUE!</v>
      </c>
      <c r="FZ132" t="e">
        <f>Nodes!P1069+"'E4!'&gt;b"</f>
        <v>#VALUE!</v>
      </c>
      <c r="GA132" t="e">
        <f>Nodes!Q1069+"'E4!'&gt;c"</f>
        <v>#VALUE!</v>
      </c>
      <c r="GB132" t="e">
        <f>Nodes!R1069+"'E4!'&gt;d"</f>
        <v>#VALUE!</v>
      </c>
      <c r="GC132" t="e">
        <f>Nodes!S1069+"'E4!'&gt;e"</f>
        <v>#VALUE!</v>
      </c>
      <c r="GD132" s="547" t="e">
        <f>Nodes!T1069+"'E4!'&gt;f"</f>
        <v>#VALUE!</v>
      </c>
      <c r="GE132" s="548" t="e">
        <f>Nodes!U1069+"'E4!'&gt;g"</f>
        <v>#VALUE!</v>
      </c>
      <c r="GF132" s="548" t="e">
        <f>Nodes!V1069+"'E4!'&gt;h"</f>
        <v>#VALUE!</v>
      </c>
      <c r="GG132" s="547" t="e">
        <f>Nodes!W1069+"'E4!'&gt;i"</f>
        <v>#VALUE!</v>
      </c>
      <c r="GH132" t="e">
        <f>Nodes!X1069+"'E4!'&gt;j"</f>
        <v>#VALUE!</v>
      </c>
      <c r="GI132" t="e">
        <f>Nodes!Y1069+"'E4!'&gt;k"</f>
        <v>#VALUE!</v>
      </c>
      <c r="GJ132" t="e">
        <f>Nodes!Z1069+"'E4!'&gt;l"</f>
        <v>#VALUE!</v>
      </c>
      <c r="GK132" t="e">
        <f>Nodes!AA1069+"'E4!'&gt;m"</f>
        <v>#VALUE!</v>
      </c>
      <c r="GL132" s="547" t="e">
        <f>Nodes!AB1069+"'E4!'&gt;n"</f>
        <v>#VALUE!</v>
      </c>
      <c r="GM132" t="e">
        <f>Nodes!AC1069+"'E4!'&gt;o"</f>
        <v>#VALUE!</v>
      </c>
      <c r="GN132" t="e">
        <f>Nodes!A1070+"'E4!'&gt;p"</f>
        <v>#VALUE!</v>
      </c>
      <c r="GO132" t="e">
        <f>Nodes!B1070+"'E4!'&gt;q"</f>
        <v>#VALUE!</v>
      </c>
      <c r="GP132" t="e">
        <f>Nodes!C1070+"'E4!'&gt;r"</f>
        <v>#VALUE!</v>
      </c>
      <c r="GQ132" t="e">
        <f>Nodes!D1070+"'E4!'&gt;s"</f>
        <v>#VALUE!</v>
      </c>
      <c r="GR132" t="e">
        <f>Nodes!E1070+"'E4!'&gt;t"</f>
        <v>#VALUE!</v>
      </c>
      <c r="GS132" t="e">
        <f>Nodes!F1070+"'E4!'&gt;u"</f>
        <v>#VALUE!</v>
      </c>
      <c r="GT132" t="e">
        <f>Nodes!G1070+"'E4!'&gt;v"</f>
        <v>#VALUE!</v>
      </c>
      <c r="GU132" t="e">
        <f>Nodes!H1070+"'E4!'&gt;w"</f>
        <v>#VALUE!</v>
      </c>
      <c r="GV132" t="e">
        <f>Nodes!I1070+"'E4!'&gt;x"</f>
        <v>#VALUE!</v>
      </c>
      <c r="GW132" t="e">
        <f>Nodes!J1070+"'E4!'&gt;y"</f>
        <v>#VALUE!</v>
      </c>
      <c r="GX132" t="e">
        <f>Nodes!K1070+"'E4!'&gt;z"</f>
        <v>#VALUE!</v>
      </c>
      <c r="GY132" t="e">
        <f>Nodes!L1070+"'E4!'&gt;{"</f>
        <v>#VALUE!</v>
      </c>
      <c r="GZ132" t="e">
        <f>Nodes!M1070+"'E4!'&gt;|"</f>
        <v>#VALUE!</v>
      </c>
      <c r="HA132" t="e">
        <f>Nodes!N1070+"'E4!'&gt;}"</f>
        <v>#VALUE!</v>
      </c>
      <c r="HB132" t="e">
        <f>Nodes!O1070+"'E4!'&gt;~"</f>
        <v>#VALUE!</v>
      </c>
      <c r="HC132" t="e">
        <f>Nodes!P1070+"'E4!'?#"</f>
        <v>#VALUE!</v>
      </c>
      <c r="HD132" t="e">
        <f>Nodes!Q1070+"'E4!'?$"</f>
        <v>#VALUE!</v>
      </c>
      <c r="HE132" t="e">
        <f>Nodes!R1070+"'E4!'?%"</f>
        <v>#VALUE!</v>
      </c>
      <c r="HF132" t="e">
        <f>Nodes!S1070+"'E4!'?&amp;"</f>
        <v>#VALUE!</v>
      </c>
      <c r="HG132" s="547" t="e">
        <f>Nodes!T1070+"'E4!'?'"</f>
        <v>#VALUE!</v>
      </c>
      <c r="HH132" s="548" t="e">
        <f>Nodes!U1070+"'E4!'?("</f>
        <v>#VALUE!</v>
      </c>
      <c r="HI132" s="548" t="e">
        <f>Nodes!V1070+"'E4!'?)"</f>
        <v>#VALUE!</v>
      </c>
      <c r="HJ132" s="547" t="e">
        <f>Nodes!W1070+"'E4!'?."</f>
        <v>#VALUE!</v>
      </c>
      <c r="HK132" t="e">
        <f>Nodes!X1070+"'E4!'?/"</f>
        <v>#VALUE!</v>
      </c>
      <c r="HL132" t="e">
        <f>Nodes!Y1070+"'E4!'?0"</f>
        <v>#VALUE!</v>
      </c>
      <c r="HM132" t="e">
        <f>Nodes!Z1070+"'E4!'?1"</f>
        <v>#VALUE!</v>
      </c>
      <c r="HN132" t="e">
        <f>Nodes!AA1070+"'E4!'?2"</f>
        <v>#VALUE!</v>
      </c>
      <c r="HO132" s="547" t="e">
        <f>Nodes!AB1070+"'E4!'?3"</f>
        <v>#VALUE!</v>
      </c>
      <c r="HP132" t="e">
        <f>Nodes!AC1070+"'E4!'?4"</f>
        <v>#VALUE!</v>
      </c>
      <c r="HQ132" t="e">
        <f>Nodes!A1071+"'E4!'?5"</f>
        <v>#VALUE!</v>
      </c>
      <c r="HR132" t="e">
        <f>Nodes!B1071+"'E4!'?6"</f>
        <v>#VALUE!</v>
      </c>
      <c r="HS132" t="e">
        <f>Nodes!C1071+"'E4!'?7"</f>
        <v>#VALUE!</v>
      </c>
      <c r="HT132" t="e">
        <f>Nodes!D1071+"'E4!'?8"</f>
        <v>#VALUE!</v>
      </c>
      <c r="HU132" t="e">
        <f>Nodes!E1071+"'E4!'?9"</f>
        <v>#VALUE!</v>
      </c>
      <c r="HV132" t="e">
        <f>Nodes!F1071+"'E4!'?:"</f>
        <v>#VALUE!</v>
      </c>
      <c r="HW132" t="e">
        <f>Nodes!G1071+"'E4!'?;"</f>
        <v>#VALUE!</v>
      </c>
      <c r="HX132" t="e">
        <f>Nodes!H1071+"'E4!'?&lt;"</f>
        <v>#VALUE!</v>
      </c>
      <c r="HY132" t="e">
        <f>Nodes!I1071+"'E4!'?="</f>
        <v>#VALUE!</v>
      </c>
      <c r="HZ132" t="e">
        <f>Nodes!J1071+"'E4!'?&gt;"</f>
        <v>#VALUE!</v>
      </c>
      <c r="IA132" t="e">
        <f>Nodes!K1071+"'E4!'??"</f>
        <v>#VALUE!</v>
      </c>
      <c r="IB132" t="e">
        <f>Nodes!L1071+"'E4!'?@"</f>
        <v>#VALUE!</v>
      </c>
      <c r="IC132" t="e">
        <f>Nodes!M1071+"'E4!'?A"</f>
        <v>#VALUE!</v>
      </c>
      <c r="ID132" t="e">
        <f>Nodes!N1071+"'E4!'?B"</f>
        <v>#VALUE!</v>
      </c>
      <c r="IE132" t="e">
        <f>Nodes!O1071+"'E4!'?C"</f>
        <v>#VALUE!</v>
      </c>
      <c r="IF132" t="e">
        <f>Nodes!P1071+"'E4!'?D"</f>
        <v>#VALUE!</v>
      </c>
      <c r="IG132" t="e">
        <f>Nodes!Q1071+"'E4!'?E"</f>
        <v>#VALUE!</v>
      </c>
      <c r="IH132" t="e">
        <f>Nodes!R1071+"'E4!'?F"</f>
        <v>#VALUE!</v>
      </c>
      <c r="II132" t="e">
        <f>Nodes!S1071+"'E4!'?G"</f>
        <v>#VALUE!</v>
      </c>
      <c r="IJ132" s="547" t="e">
        <f>Nodes!T1071+"'E4!'?H"</f>
        <v>#VALUE!</v>
      </c>
      <c r="IK132" s="548" t="e">
        <f>Nodes!U1071+"'E4!'?I"</f>
        <v>#VALUE!</v>
      </c>
      <c r="IL132" s="548" t="e">
        <f>Nodes!V1071+"'E4!'?J"</f>
        <v>#VALUE!</v>
      </c>
      <c r="IM132" s="547" t="e">
        <f>Nodes!W1071+"'E4!'?K"</f>
        <v>#VALUE!</v>
      </c>
      <c r="IN132" t="e">
        <f>Nodes!X1071+"'E4!'?L"</f>
        <v>#VALUE!</v>
      </c>
      <c r="IO132" t="e">
        <f>Nodes!Y1071+"'E4!'?M"</f>
        <v>#VALUE!</v>
      </c>
      <c r="IP132" t="e">
        <f>Nodes!Z1071+"'E4!'?N"</f>
        <v>#VALUE!</v>
      </c>
      <c r="IQ132" t="e">
        <f>Nodes!AA1071+"'E4!'?O"</f>
        <v>#VALUE!</v>
      </c>
      <c r="IR132" s="547" t="e">
        <f>Nodes!AB1071+"'E4!'?P"</f>
        <v>#VALUE!</v>
      </c>
      <c r="IS132" t="e">
        <f>Nodes!AC1071+"'E4!'?Q"</f>
        <v>#VALUE!</v>
      </c>
      <c r="IT132" t="e">
        <f>Nodes!A1072+"'E4!'?R"</f>
        <v>#VALUE!</v>
      </c>
      <c r="IU132" t="e">
        <f>Nodes!B1072+"'E4!'?S"</f>
        <v>#VALUE!</v>
      </c>
      <c r="IV132" t="e">
        <f>Nodes!C1072+"'E4!'?T"</f>
        <v>#VALUE!</v>
      </c>
    </row>
    <row r="133" spans="6:256">
      <c r="F133" t="e">
        <f>Nodes!D1072+"'E4!'?U"</f>
        <v>#VALUE!</v>
      </c>
      <c r="G133" t="e">
        <f>Nodes!E1072+"'E4!'?V"</f>
        <v>#VALUE!</v>
      </c>
      <c r="H133" t="e">
        <f>Nodes!F1072+"'E4!'?W"</f>
        <v>#VALUE!</v>
      </c>
      <c r="I133" t="e">
        <f>Nodes!G1072+"'E4!'?X"</f>
        <v>#VALUE!</v>
      </c>
      <c r="J133" t="e">
        <f>Nodes!H1072+"'E4!'?Y"</f>
        <v>#VALUE!</v>
      </c>
      <c r="K133" t="e">
        <f>Nodes!I1072+"'E4!'?Z"</f>
        <v>#VALUE!</v>
      </c>
      <c r="L133" t="e">
        <f>Nodes!J1072+"'E4!'?["</f>
        <v>#VALUE!</v>
      </c>
      <c r="M133" t="e">
        <f>Nodes!K1072+"'E4!'?\"</f>
        <v>#VALUE!</v>
      </c>
      <c r="N133" t="e">
        <f>Nodes!L1072+"'E4!'?]"</f>
        <v>#VALUE!</v>
      </c>
      <c r="O133" t="e">
        <f>Nodes!M1072+"'E4!'?^"</f>
        <v>#VALUE!</v>
      </c>
      <c r="P133" t="e">
        <f>Nodes!N1072+"'E4!'?_"</f>
        <v>#VALUE!</v>
      </c>
      <c r="Q133" t="e">
        <f>Nodes!O1072+"'E4!'?`"</f>
        <v>#VALUE!</v>
      </c>
      <c r="R133" t="e">
        <f>Nodes!P1072+"'E4!'?a"</f>
        <v>#VALUE!</v>
      </c>
      <c r="S133" t="e">
        <f>Nodes!Q1072+"'E4!'?b"</f>
        <v>#VALUE!</v>
      </c>
      <c r="T133" t="e">
        <f>Nodes!R1072+"'E4!'?c"</f>
        <v>#VALUE!</v>
      </c>
      <c r="U133" t="e">
        <f>Nodes!S1072+"'E4!'?d"</f>
        <v>#VALUE!</v>
      </c>
      <c r="V133" s="547" t="e">
        <f>Nodes!T1072+"'E4!'?e"</f>
        <v>#VALUE!</v>
      </c>
      <c r="W133" s="548" t="e">
        <f>Nodes!U1072+"'E4!'?f"</f>
        <v>#VALUE!</v>
      </c>
      <c r="X133" s="548" t="e">
        <f>Nodes!V1072+"'E4!'?g"</f>
        <v>#VALUE!</v>
      </c>
      <c r="Y133" s="547" t="e">
        <f>Nodes!W1072+"'E4!'?h"</f>
        <v>#VALUE!</v>
      </c>
      <c r="Z133" t="e">
        <f>Nodes!X1072+"'E4!'?i"</f>
        <v>#VALUE!</v>
      </c>
      <c r="AA133" t="e">
        <f>Nodes!Y1072+"'E4!'?j"</f>
        <v>#VALUE!</v>
      </c>
      <c r="AB133" t="e">
        <f>Nodes!Z1072+"'E4!'?k"</f>
        <v>#VALUE!</v>
      </c>
      <c r="AC133" t="e">
        <f>Nodes!AA1072+"'E4!'?l"</f>
        <v>#VALUE!</v>
      </c>
      <c r="AD133" s="547" t="e">
        <f>Nodes!AB1072+"'E4!'?m"</f>
        <v>#VALUE!</v>
      </c>
      <c r="AE133" t="e">
        <f>Nodes!AC1072+"'E4!'?n"</f>
        <v>#VALUE!</v>
      </c>
      <c r="AF133" t="e">
        <f>Nodes!A1073+"'E4!'?o"</f>
        <v>#VALUE!</v>
      </c>
      <c r="AG133" t="e">
        <f>Nodes!B1073+"'E4!'?p"</f>
        <v>#VALUE!</v>
      </c>
      <c r="AH133" t="e">
        <f>Nodes!C1073+"'E4!'?q"</f>
        <v>#VALUE!</v>
      </c>
      <c r="AI133" t="e">
        <f>Nodes!D1073+"'E4!'?r"</f>
        <v>#VALUE!</v>
      </c>
      <c r="AJ133" t="e">
        <f>Nodes!E1073+"'E4!'?s"</f>
        <v>#VALUE!</v>
      </c>
      <c r="AK133" t="e">
        <f>Nodes!F1073+"'E4!'?t"</f>
        <v>#VALUE!</v>
      </c>
      <c r="AL133" t="e">
        <f>Nodes!G1073+"'E4!'?u"</f>
        <v>#VALUE!</v>
      </c>
      <c r="AM133" t="e">
        <f>Nodes!H1073+"'E4!'?v"</f>
        <v>#VALUE!</v>
      </c>
      <c r="AN133" t="e">
        <f>Nodes!I1073+"'E4!'?w"</f>
        <v>#VALUE!</v>
      </c>
      <c r="AO133" t="e">
        <f>Nodes!J1073+"'E4!'?x"</f>
        <v>#VALUE!</v>
      </c>
      <c r="AP133" t="e">
        <f>Nodes!K1073+"'E4!'?y"</f>
        <v>#VALUE!</v>
      </c>
      <c r="AQ133" t="e">
        <f>Nodes!L1073+"'E4!'?z"</f>
        <v>#VALUE!</v>
      </c>
      <c r="AR133" t="e">
        <f>Nodes!M1073+"'E4!'?{"</f>
        <v>#VALUE!</v>
      </c>
      <c r="AS133" t="e">
        <f>Nodes!N1073+"'E4!'?|"</f>
        <v>#VALUE!</v>
      </c>
      <c r="AT133" t="e">
        <f>Nodes!O1073+"'E4!'?}"</f>
        <v>#VALUE!</v>
      </c>
      <c r="AU133" t="e">
        <f>Nodes!P1073+"'E4!'?~"</f>
        <v>#VALUE!</v>
      </c>
      <c r="AV133" t="e">
        <f>Nodes!Q1073+"'E4!'@#"</f>
        <v>#VALUE!</v>
      </c>
      <c r="AW133" t="e">
        <f>Nodes!R1073+"'E4!'@$"</f>
        <v>#VALUE!</v>
      </c>
      <c r="AX133" t="e">
        <f>Nodes!S1073+"'E4!'@%"</f>
        <v>#VALUE!</v>
      </c>
      <c r="AY133" s="547" t="e">
        <f>Nodes!T1073+"'E4!'@&amp;"</f>
        <v>#VALUE!</v>
      </c>
      <c r="AZ133" s="548" t="e">
        <f>Nodes!U1073+"'E4!'@'"</f>
        <v>#VALUE!</v>
      </c>
      <c r="BA133" s="548" t="e">
        <f>Nodes!V1073+"'E4!'@("</f>
        <v>#VALUE!</v>
      </c>
      <c r="BB133" s="547" t="e">
        <f>Nodes!W1073+"'E4!'@)"</f>
        <v>#VALUE!</v>
      </c>
      <c r="BC133" t="e">
        <f>Nodes!X1073+"'E4!'@."</f>
        <v>#VALUE!</v>
      </c>
      <c r="BD133" t="e">
        <f>Nodes!Y1073+"'E4!'@/"</f>
        <v>#VALUE!</v>
      </c>
      <c r="BE133" t="e">
        <f>Nodes!Z1073+"'E4!'@0"</f>
        <v>#VALUE!</v>
      </c>
      <c r="BF133" t="e">
        <f>Nodes!AA1073+"'E4!'@1"</f>
        <v>#VALUE!</v>
      </c>
      <c r="BG133" s="547" t="e">
        <f>Nodes!AB1073+"'E4!'@2"</f>
        <v>#VALUE!</v>
      </c>
      <c r="BH133" t="e">
        <f>Nodes!AC1073+"'E4!'@3"</f>
        <v>#VALUE!</v>
      </c>
      <c r="BI133" t="e">
        <f>Nodes!A1074+"'E4!'@4"</f>
        <v>#VALUE!</v>
      </c>
      <c r="BJ133" t="e">
        <f>Nodes!B1074+"'E4!'@5"</f>
        <v>#VALUE!</v>
      </c>
      <c r="BK133" t="e">
        <f>Nodes!C1074+"'E4!'@6"</f>
        <v>#VALUE!</v>
      </c>
      <c r="BL133" t="e">
        <f>Nodes!D1074+"'E4!'@7"</f>
        <v>#VALUE!</v>
      </c>
      <c r="BM133" t="e">
        <f>Nodes!E1074+"'E4!'@8"</f>
        <v>#VALUE!</v>
      </c>
      <c r="BN133" t="e">
        <f>Nodes!F1074+"'E4!'@9"</f>
        <v>#VALUE!</v>
      </c>
      <c r="BO133" t="e">
        <f>Nodes!G1074+"'E4!'@:"</f>
        <v>#VALUE!</v>
      </c>
      <c r="BP133" t="e">
        <f>Nodes!H1074+"'E4!'@;"</f>
        <v>#VALUE!</v>
      </c>
      <c r="BQ133" t="e">
        <f>Nodes!I1074+"'E4!'@&lt;"</f>
        <v>#VALUE!</v>
      </c>
      <c r="BR133" t="e">
        <f>Nodes!J1074+"'E4!'@="</f>
        <v>#VALUE!</v>
      </c>
      <c r="BS133" t="e">
        <f>Nodes!K1074+"'E4!'@&gt;"</f>
        <v>#VALUE!</v>
      </c>
      <c r="BT133" t="e">
        <f>Nodes!L1074+"'E4!'@?"</f>
        <v>#VALUE!</v>
      </c>
      <c r="BU133" t="e">
        <f>Nodes!M1074+"'E4!'@@"</f>
        <v>#VALUE!</v>
      </c>
      <c r="BV133" t="e">
        <f>Nodes!N1074+"'E4!'@A"</f>
        <v>#VALUE!</v>
      </c>
      <c r="BW133" t="e">
        <f>Nodes!O1074+"'E4!'@B"</f>
        <v>#VALUE!</v>
      </c>
      <c r="BX133" t="e">
        <f>Nodes!P1074+"'E4!'@C"</f>
        <v>#VALUE!</v>
      </c>
      <c r="BY133" t="e">
        <f>Nodes!Q1074+"'E4!'@D"</f>
        <v>#VALUE!</v>
      </c>
      <c r="BZ133" t="e">
        <f>Nodes!R1074+"'E4!'@E"</f>
        <v>#VALUE!</v>
      </c>
      <c r="CA133" t="e">
        <f>Nodes!S1074+"'E4!'@F"</f>
        <v>#VALUE!</v>
      </c>
      <c r="CB133" s="547" t="e">
        <f>Nodes!T1074+"'E4!'@G"</f>
        <v>#VALUE!</v>
      </c>
      <c r="CC133" s="548" t="e">
        <f>Nodes!U1074+"'E4!'@H"</f>
        <v>#VALUE!</v>
      </c>
      <c r="CD133" s="548" t="e">
        <f>Nodes!V1074+"'E4!'@I"</f>
        <v>#VALUE!</v>
      </c>
      <c r="CE133" s="547" t="e">
        <f>Nodes!W1074+"'E4!'@J"</f>
        <v>#VALUE!</v>
      </c>
      <c r="CF133" t="e">
        <f>Nodes!X1074+"'E4!'@K"</f>
        <v>#VALUE!</v>
      </c>
      <c r="CG133" t="e">
        <f>Nodes!Y1074+"'E4!'@L"</f>
        <v>#VALUE!</v>
      </c>
      <c r="CH133" t="e">
        <f>Nodes!Z1074+"'E4!'@M"</f>
        <v>#VALUE!</v>
      </c>
      <c r="CI133" t="e">
        <f>Nodes!AA1074+"'E4!'@N"</f>
        <v>#VALUE!</v>
      </c>
      <c r="CJ133" s="547" t="e">
        <f>Nodes!AB1074+"'E4!'@O"</f>
        <v>#VALUE!</v>
      </c>
      <c r="CK133" t="e">
        <f>Nodes!AC1074+"'E4!'@P"</f>
        <v>#VALUE!</v>
      </c>
      <c r="CL133" t="e">
        <f>Nodes!A1075+"'E4!'@Q"</f>
        <v>#VALUE!</v>
      </c>
      <c r="CM133" t="e">
        <f>Nodes!B1075+"'E4!'@R"</f>
        <v>#VALUE!</v>
      </c>
      <c r="CN133" t="e">
        <f>Nodes!C1075+"'E4!'@S"</f>
        <v>#VALUE!</v>
      </c>
      <c r="CO133" t="e">
        <f>Nodes!D1075+"'E4!'@T"</f>
        <v>#VALUE!</v>
      </c>
      <c r="CP133" t="e">
        <f>Nodes!E1075+"'E4!'@U"</f>
        <v>#VALUE!</v>
      </c>
      <c r="CQ133" t="e">
        <f>Nodes!F1075+"'E4!'@V"</f>
        <v>#VALUE!</v>
      </c>
      <c r="CR133" t="e">
        <f>Nodes!G1075+"'E4!'@W"</f>
        <v>#VALUE!</v>
      </c>
      <c r="CS133" t="e">
        <f>Nodes!H1075+"'E4!'@X"</f>
        <v>#VALUE!</v>
      </c>
      <c r="CT133" t="e">
        <f>Nodes!I1075+"'E4!'@Y"</f>
        <v>#VALUE!</v>
      </c>
      <c r="CU133" t="e">
        <f>Nodes!J1075+"'E4!'@Z"</f>
        <v>#VALUE!</v>
      </c>
      <c r="CV133" t="e">
        <f>Nodes!K1075+"'E4!'@["</f>
        <v>#VALUE!</v>
      </c>
      <c r="CW133" t="e">
        <f>Nodes!L1075+"'E4!'@\"</f>
        <v>#VALUE!</v>
      </c>
      <c r="CX133" t="e">
        <f>Nodes!M1075+"'E4!'@]"</f>
        <v>#VALUE!</v>
      </c>
      <c r="CY133" t="e">
        <f>Nodes!N1075+"'E4!'@^"</f>
        <v>#VALUE!</v>
      </c>
      <c r="CZ133" t="e">
        <f>Nodes!O1075+"'E4!'@_"</f>
        <v>#VALUE!</v>
      </c>
      <c r="DA133" t="e">
        <f>Nodes!P1075+"'E4!'@`"</f>
        <v>#VALUE!</v>
      </c>
      <c r="DB133" t="e">
        <f>Nodes!Q1075+"'E4!'@a"</f>
        <v>#VALUE!</v>
      </c>
      <c r="DC133" t="e">
        <f>Nodes!R1075+"'E4!'@b"</f>
        <v>#VALUE!</v>
      </c>
      <c r="DD133" t="e">
        <f>Nodes!S1075+"'E4!'@c"</f>
        <v>#VALUE!</v>
      </c>
      <c r="DE133" s="547" t="e">
        <f>Nodes!T1075+"'E4!'@d"</f>
        <v>#VALUE!</v>
      </c>
      <c r="DF133" s="548" t="e">
        <f>Nodes!U1075+"'E4!'@e"</f>
        <v>#VALUE!</v>
      </c>
      <c r="DG133" s="548" t="e">
        <f>Nodes!V1075+"'E4!'@f"</f>
        <v>#VALUE!</v>
      </c>
      <c r="DH133" s="547" t="e">
        <f>Nodes!W1075+"'E4!'@g"</f>
        <v>#VALUE!</v>
      </c>
      <c r="DI133" t="e">
        <f>Nodes!X1075+"'E4!'@h"</f>
        <v>#VALUE!</v>
      </c>
      <c r="DJ133" t="e">
        <f>Nodes!Y1075+"'E4!'@i"</f>
        <v>#VALUE!</v>
      </c>
      <c r="DK133" t="e">
        <f>Nodes!Z1075+"'E4!'@j"</f>
        <v>#VALUE!</v>
      </c>
      <c r="DL133" t="e">
        <f>Nodes!AA1075+"'E4!'@k"</f>
        <v>#VALUE!</v>
      </c>
      <c r="DM133" s="547" t="e">
        <f>Nodes!AB1075+"'E4!'@l"</f>
        <v>#VALUE!</v>
      </c>
      <c r="DN133" t="e">
        <f>Nodes!AC1075+"'E4!'@m"</f>
        <v>#VALUE!</v>
      </c>
      <c r="DO133" t="e">
        <f>Nodes!A1076+"'E4!'@n"</f>
        <v>#VALUE!</v>
      </c>
      <c r="DP133" t="e">
        <f>Nodes!B1076+"'E4!'@o"</f>
        <v>#VALUE!</v>
      </c>
      <c r="DQ133" t="e">
        <f>Nodes!C1076+"'E4!'@p"</f>
        <v>#VALUE!</v>
      </c>
      <c r="DR133" t="e">
        <f>Nodes!D1076+"'E4!'@q"</f>
        <v>#VALUE!</v>
      </c>
      <c r="DS133" t="e">
        <f>Nodes!E1076+"'E4!'@r"</f>
        <v>#VALUE!</v>
      </c>
      <c r="DT133" t="e">
        <f>Nodes!F1076+"'E4!'@s"</f>
        <v>#VALUE!</v>
      </c>
      <c r="DU133" t="e">
        <f>Nodes!G1076+"'E4!'@t"</f>
        <v>#VALUE!</v>
      </c>
      <c r="DV133" t="e">
        <f>Nodes!H1076+"'E4!'@u"</f>
        <v>#VALUE!</v>
      </c>
      <c r="DW133" t="e">
        <f>Nodes!I1076+"'E4!'@v"</f>
        <v>#VALUE!</v>
      </c>
      <c r="DX133" t="e">
        <f>Nodes!J1076+"'E4!'@w"</f>
        <v>#VALUE!</v>
      </c>
      <c r="DY133" t="e">
        <f>Nodes!K1076+"'E4!'@x"</f>
        <v>#VALUE!</v>
      </c>
      <c r="DZ133" t="e">
        <f>Nodes!L1076+"'E4!'@y"</f>
        <v>#VALUE!</v>
      </c>
      <c r="EA133" t="e">
        <f>Nodes!M1076+"'E4!'@z"</f>
        <v>#VALUE!</v>
      </c>
      <c r="EB133" t="e">
        <f>Nodes!N1076+"'E4!'@{"</f>
        <v>#VALUE!</v>
      </c>
      <c r="EC133" t="e">
        <f>Nodes!O1076+"'E4!'@|"</f>
        <v>#VALUE!</v>
      </c>
      <c r="ED133" t="e">
        <f>Nodes!P1076+"'E4!'@}"</f>
        <v>#VALUE!</v>
      </c>
      <c r="EE133" t="e">
        <f>Nodes!Q1076+"'E4!'@~"</f>
        <v>#VALUE!</v>
      </c>
      <c r="EF133" t="e">
        <f>Nodes!R1076+"'E4!'A#"</f>
        <v>#VALUE!</v>
      </c>
      <c r="EG133" t="e">
        <f>Nodes!S1076+"'E4!'A$"</f>
        <v>#VALUE!</v>
      </c>
      <c r="EH133" s="547" t="e">
        <f>Nodes!T1076+"'E4!'A%"</f>
        <v>#VALUE!</v>
      </c>
      <c r="EI133" s="548" t="e">
        <f>Nodes!U1076+"'E4!'A&amp;"</f>
        <v>#VALUE!</v>
      </c>
      <c r="EJ133" s="548" t="e">
        <f>Nodes!V1076+"'E4!'A'"</f>
        <v>#VALUE!</v>
      </c>
      <c r="EK133" s="547" t="e">
        <f>Nodes!W1076+"'E4!'A("</f>
        <v>#VALUE!</v>
      </c>
      <c r="EL133" t="e">
        <f>Nodes!X1076+"'E4!'A)"</f>
        <v>#VALUE!</v>
      </c>
      <c r="EM133" t="e">
        <f>Nodes!Y1076+"'E4!'A."</f>
        <v>#VALUE!</v>
      </c>
      <c r="EN133" t="e">
        <f>Nodes!Z1076+"'E4!'A/"</f>
        <v>#VALUE!</v>
      </c>
      <c r="EO133" t="e">
        <f>Nodes!AA1076+"'E4!'A0"</f>
        <v>#VALUE!</v>
      </c>
      <c r="EP133" s="547" t="e">
        <f>Nodes!AB1076+"'E4!'A1"</f>
        <v>#VALUE!</v>
      </c>
      <c r="EQ133" t="e">
        <f>Nodes!AC1076+"'E4!'A2"</f>
        <v>#VALUE!</v>
      </c>
      <c r="ER133" t="e">
        <f>Nodes!A1077+"'E4!'A3"</f>
        <v>#VALUE!</v>
      </c>
      <c r="ES133" t="e">
        <f>Nodes!B1077+"'E4!'A4"</f>
        <v>#VALUE!</v>
      </c>
      <c r="ET133" t="e">
        <f>Nodes!C1077+"'E4!'A5"</f>
        <v>#VALUE!</v>
      </c>
      <c r="EU133" t="e">
        <f>Nodes!D1077+"'E4!'A6"</f>
        <v>#VALUE!</v>
      </c>
      <c r="EV133" t="e">
        <f>Nodes!E1077+"'E4!'A7"</f>
        <v>#VALUE!</v>
      </c>
      <c r="EW133" t="e">
        <f>Nodes!F1077+"'E4!'A8"</f>
        <v>#VALUE!</v>
      </c>
      <c r="EX133" t="e">
        <f>Nodes!G1077+"'E4!'A9"</f>
        <v>#VALUE!</v>
      </c>
      <c r="EY133" t="e">
        <f>Nodes!H1077+"'E4!'A:"</f>
        <v>#VALUE!</v>
      </c>
      <c r="EZ133" t="e">
        <f>Nodes!I1077+"'E4!'A;"</f>
        <v>#VALUE!</v>
      </c>
      <c r="FA133" t="e">
        <f>Nodes!J1077+"'E4!'A&lt;"</f>
        <v>#VALUE!</v>
      </c>
      <c r="FB133" t="e">
        <f>Nodes!K1077+"'E4!'A="</f>
        <v>#VALUE!</v>
      </c>
      <c r="FC133" t="e">
        <f>Nodes!L1077+"'E4!'A&gt;"</f>
        <v>#VALUE!</v>
      </c>
      <c r="FD133" t="e">
        <f>Nodes!M1077+"'E4!'A?"</f>
        <v>#VALUE!</v>
      </c>
      <c r="FE133" t="e">
        <f>Nodes!N1077+"'E4!'A@"</f>
        <v>#VALUE!</v>
      </c>
      <c r="FF133" t="e">
        <f>Nodes!O1077+"'E4!'AA"</f>
        <v>#VALUE!</v>
      </c>
      <c r="FG133" t="e">
        <f>Nodes!P1077+"'E4!'AB"</f>
        <v>#VALUE!</v>
      </c>
      <c r="FH133" t="e">
        <f>Nodes!Q1077+"'E4!'AC"</f>
        <v>#VALUE!</v>
      </c>
      <c r="FI133" t="e">
        <f>Nodes!R1077+"'E4!'AD"</f>
        <v>#N/A</v>
      </c>
      <c r="FJ133" t="e">
        <f>Nodes!S1077+"'E4!'AE"</f>
        <v>#N/A</v>
      </c>
      <c r="FK133" s="547" t="e">
        <f>Nodes!T1077+"'E4!'AF"</f>
        <v>#VALUE!</v>
      </c>
      <c r="FL133" s="548" t="e">
        <f>Nodes!U1077+"'E4!'AG"</f>
        <v>#N/A</v>
      </c>
      <c r="FM133" s="548" t="e">
        <f>Nodes!V1077+"'E4!'AH"</f>
        <v>#N/A</v>
      </c>
      <c r="FN133" s="547" t="e">
        <f>Nodes!W1077+"'E4!'AI"</f>
        <v>#VALUE!</v>
      </c>
      <c r="FO133" t="e">
        <f>Nodes!X1077+"'E4!'AJ"</f>
        <v>#VALUE!</v>
      </c>
      <c r="FP133" t="e">
        <f>Nodes!Y1077+"'E4!'AK"</f>
        <v>#VALUE!</v>
      </c>
      <c r="FQ133" t="e">
        <f>Nodes!Z1077+"'E4!'AL"</f>
        <v>#VALUE!</v>
      </c>
      <c r="FR133" t="e">
        <f>Nodes!AA1077+"'E4!'AM"</f>
        <v>#VALUE!</v>
      </c>
      <c r="FS133" s="547" t="e">
        <f>Nodes!AB1077+"'E4!'AN"</f>
        <v>#VALUE!</v>
      </c>
      <c r="FT133" t="e">
        <f>Nodes!AC1077+"'E4!'AO"</f>
        <v>#VALUE!</v>
      </c>
      <c r="FU133" t="e">
        <f>Nodes!A1078+"'E4!'AP"</f>
        <v>#VALUE!</v>
      </c>
      <c r="FV133" t="e">
        <f>Nodes!B1078+"'E4!'AQ"</f>
        <v>#VALUE!</v>
      </c>
      <c r="FW133" t="e">
        <f>Nodes!C1078+"'E4!'AR"</f>
        <v>#VALUE!</v>
      </c>
      <c r="FX133" t="e">
        <f>Nodes!D1078+"'E4!'AS"</f>
        <v>#VALUE!</v>
      </c>
      <c r="FY133" t="e">
        <f>Nodes!E1078+"'E4!'AT"</f>
        <v>#VALUE!</v>
      </c>
      <c r="FZ133" t="e">
        <f>Nodes!F1078+"'E4!'AU"</f>
        <v>#VALUE!</v>
      </c>
      <c r="GA133" t="e">
        <f>Nodes!G1078+"'E4!'AV"</f>
        <v>#VALUE!</v>
      </c>
      <c r="GB133" t="e">
        <f>Nodes!H1078+"'E4!'AW"</f>
        <v>#VALUE!</v>
      </c>
      <c r="GC133" t="e">
        <f>Nodes!I1078+"'E4!'AX"</f>
        <v>#VALUE!</v>
      </c>
      <c r="GD133" t="e">
        <f>Nodes!J1078+"'E4!'AY"</f>
        <v>#VALUE!</v>
      </c>
      <c r="GE133" t="e">
        <f>Nodes!K1078+"'E4!'AZ"</f>
        <v>#VALUE!</v>
      </c>
      <c r="GF133" t="e">
        <f>Nodes!L1078+"'E4!'A["</f>
        <v>#VALUE!</v>
      </c>
      <c r="GG133" t="e">
        <f>Nodes!M1078+"'E4!'A\"</f>
        <v>#VALUE!</v>
      </c>
      <c r="GH133" t="e">
        <f>Nodes!N1078+"'E4!'A]"</f>
        <v>#VALUE!</v>
      </c>
      <c r="GI133" t="e">
        <f>Nodes!O1078+"'E4!'A^"</f>
        <v>#VALUE!</v>
      </c>
      <c r="GJ133" t="e">
        <f>Nodes!P1078+"'E4!'A_"</f>
        <v>#VALUE!</v>
      </c>
      <c r="GK133" t="e">
        <f>Nodes!Q1078+"'E4!'A`"</f>
        <v>#VALUE!</v>
      </c>
      <c r="GL133" t="e">
        <f>Nodes!R1078+"'E4!'Aa"</f>
        <v>#VALUE!</v>
      </c>
      <c r="GM133" t="e">
        <f>Nodes!S1078+"'E4!'Ab"</f>
        <v>#VALUE!</v>
      </c>
      <c r="GN133" s="547" t="e">
        <f>Nodes!T1078+"'E4!'Ac"</f>
        <v>#VALUE!</v>
      </c>
      <c r="GO133" s="548" t="e">
        <f>Nodes!U1078+"'E4!'Ad"</f>
        <v>#VALUE!</v>
      </c>
      <c r="GP133" s="548" t="e">
        <f>Nodes!V1078+"'E4!'Ae"</f>
        <v>#VALUE!</v>
      </c>
      <c r="GQ133" s="547" t="e">
        <f>Nodes!W1078+"'E4!'Af"</f>
        <v>#VALUE!</v>
      </c>
      <c r="GR133" t="e">
        <f>Nodes!X1078+"'E4!'Ag"</f>
        <v>#VALUE!</v>
      </c>
      <c r="GS133" t="e">
        <f>Nodes!Y1078+"'E4!'Ah"</f>
        <v>#VALUE!</v>
      </c>
      <c r="GT133" t="e">
        <f>Nodes!Z1078+"'E4!'Ai"</f>
        <v>#VALUE!</v>
      </c>
      <c r="GU133" t="e">
        <f>Nodes!AA1078+"'E4!'Aj"</f>
        <v>#VALUE!</v>
      </c>
      <c r="GV133" s="547" t="e">
        <f>Nodes!AB1078+"'E4!'Ak"</f>
        <v>#VALUE!</v>
      </c>
      <c r="GW133" t="e">
        <f>Nodes!AC1078+"'E4!'Al"</f>
        <v>#VALUE!</v>
      </c>
      <c r="GX133" t="e">
        <f>Nodes!A1079+"'E4!'Am"</f>
        <v>#VALUE!</v>
      </c>
      <c r="GY133" t="e">
        <f>Nodes!B1079+"'E4!'An"</f>
        <v>#VALUE!</v>
      </c>
      <c r="GZ133" t="e">
        <f>Nodes!C1079+"'E4!'Ao"</f>
        <v>#VALUE!</v>
      </c>
      <c r="HA133" t="e">
        <f>Nodes!D1079+"'E4!'Ap"</f>
        <v>#VALUE!</v>
      </c>
      <c r="HB133" t="e">
        <f>Nodes!E1079+"'E4!'Aq"</f>
        <v>#VALUE!</v>
      </c>
      <c r="HC133" t="e">
        <f>Nodes!F1079+"'E4!'Ar"</f>
        <v>#VALUE!</v>
      </c>
      <c r="HD133" t="e">
        <f>Nodes!G1079+"'E4!'As"</f>
        <v>#VALUE!</v>
      </c>
      <c r="HE133" t="e">
        <f>Nodes!H1079+"'E4!'At"</f>
        <v>#VALUE!</v>
      </c>
      <c r="HF133" t="e">
        <f>Nodes!I1079+"'E4!'Au"</f>
        <v>#VALUE!</v>
      </c>
      <c r="HG133" t="e">
        <f>Nodes!J1079+"'E4!'Av"</f>
        <v>#VALUE!</v>
      </c>
      <c r="HH133" t="e">
        <f>Nodes!K1079+"'E4!'Aw"</f>
        <v>#VALUE!</v>
      </c>
      <c r="HI133" t="e">
        <f>Nodes!L1079+"'E4!'Ax"</f>
        <v>#VALUE!</v>
      </c>
      <c r="HJ133" t="e">
        <f>Nodes!M1079+"'E4!'Ay"</f>
        <v>#VALUE!</v>
      </c>
      <c r="HK133" t="e">
        <f>Nodes!N1079+"'E4!'Az"</f>
        <v>#VALUE!</v>
      </c>
      <c r="HL133" t="e">
        <f>Nodes!O1079+"'E4!'A{"</f>
        <v>#VALUE!</v>
      </c>
      <c r="HM133" t="e">
        <f>Nodes!P1079+"'E4!'A|"</f>
        <v>#VALUE!</v>
      </c>
      <c r="HN133" t="e">
        <f>Nodes!Q1079+"'E4!'A}"</f>
        <v>#VALUE!</v>
      </c>
      <c r="HO133" t="e">
        <f>Nodes!R1079+"'E4!'A~"</f>
        <v>#VALUE!</v>
      </c>
      <c r="HP133" t="e">
        <f>Nodes!S1079+"'E4!'B#"</f>
        <v>#VALUE!</v>
      </c>
      <c r="HQ133" s="547" t="e">
        <f>Nodes!T1079+"'E4!'B$"</f>
        <v>#VALUE!</v>
      </c>
      <c r="HR133" s="548" t="e">
        <f>Nodes!U1079+"'E4!'B%"</f>
        <v>#VALUE!</v>
      </c>
      <c r="HS133" s="548" t="e">
        <f>Nodes!V1079+"'E4!'B&amp;"</f>
        <v>#VALUE!</v>
      </c>
      <c r="HT133" s="547" t="e">
        <f>Nodes!W1079+"'E4!'B'"</f>
        <v>#VALUE!</v>
      </c>
      <c r="HU133" t="e">
        <f>Nodes!X1079+"'E4!'B("</f>
        <v>#VALUE!</v>
      </c>
      <c r="HV133" t="e">
        <f>Nodes!Y1079+"'E4!'B)"</f>
        <v>#VALUE!</v>
      </c>
      <c r="HW133" t="e">
        <f>Nodes!Z1079+"'E4!'B."</f>
        <v>#VALUE!</v>
      </c>
      <c r="HX133" t="e">
        <f>Nodes!AA1079+"'E4!'B/"</f>
        <v>#VALUE!</v>
      </c>
      <c r="HY133" s="547" t="e">
        <f>Nodes!AB1079+"'E4!'B0"</f>
        <v>#VALUE!</v>
      </c>
      <c r="HZ133" t="e">
        <f>Nodes!AC1079+"'E4!'B1"</f>
        <v>#VALUE!</v>
      </c>
      <c r="IA133" t="e">
        <f>Nodes!A1080+"'E4!'B2"</f>
        <v>#VALUE!</v>
      </c>
      <c r="IB133" t="e">
        <f>Nodes!B1080+"'E4!'B3"</f>
        <v>#VALUE!</v>
      </c>
      <c r="IC133" t="e">
        <f>Nodes!C1080+"'E4!'B4"</f>
        <v>#VALUE!</v>
      </c>
      <c r="ID133" t="e">
        <f>Nodes!D1080+"'E4!'B5"</f>
        <v>#VALUE!</v>
      </c>
      <c r="IE133" t="e">
        <f>Nodes!E1080+"'E4!'B6"</f>
        <v>#VALUE!</v>
      </c>
      <c r="IF133" t="e">
        <f>Nodes!F1080+"'E4!'B7"</f>
        <v>#VALUE!</v>
      </c>
      <c r="IG133" t="e">
        <f>Nodes!G1080+"'E4!'B8"</f>
        <v>#VALUE!</v>
      </c>
      <c r="IH133" t="e">
        <f>Nodes!H1080+"'E4!'B9"</f>
        <v>#VALUE!</v>
      </c>
      <c r="II133" t="e">
        <f>Nodes!I1080+"'E4!'B:"</f>
        <v>#VALUE!</v>
      </c>
      <c r="IJ133" t="e">
        <f>Nodes!J1080+"'E4!'B;"</f>
        <v>#VALUE!</v>
      </c>
      <c r="IK133" t="e">
        <f>Nodes!K1080+"'E4!'B&lt;"</f>
        <v>#VALUE!</v>
      </c>
      <c r="IL133" t="e">
        <f>Nodes!L1080+"'E4!'B="</f>
        <v>#VALUE!</v>
      </c>
      <c r="IM133" t="e">
        <f>Nodes!M1080+"'E4!'B&gt;"</f>
        <v>#VALUE!</v>
      </c>
      <c r="IN133" t="e">
        <f>Nodes!N1080+"'E4!'B?"</f>
        <v>#VALUE!</v>
      </c>
      <c r="IO133" t="e">
        <f>Nodes!O1080+"'E4!'B@"</f>
        <v>#VALUE!</v>
      </c>
      <c r="IP133" t="e">
        <f>Nodes!P1080+"'E4!'BA"</f>
        <v>#VALUE!</v>
      </c>
      <c r="IQ133" t="e">
        <f>Nodes!Q1080+"'E4!'BB"</f>
        <v>#VALUE!</v>
      </c>
      <c r="IR133" t="e">
        <f>Nodes!R1080+"'E4!'BC"</f>
        <v>#VALUE!</v>
      </c>
      <c r="IS133" t="e">
        <f>Nodes!S1080+"'E4!'BD"</f>
        <v>#VALUE!</v>
      </c>
      <c r="IT133" s="547" t="e">
        <f>Nodes!T1080+"'E4!'BE"</f>
        <v>#VALUE!</v>
      </c>
      <c r="IU133" s="548" t="e">
        <f>Nodes!U1080+"'E4!'BF"</f>
        <v>#VALUE!</v>
      </c>
      <c r="IV133" s="548" t="e">
        <f>Nodes!V1080+"'E4!'BG"</f>
        <v>#VALUE!</v>
      </c>
    </row>
    <row r="134" spans="6:256">
      <c r="F134" s="547" t="e">
        <f>Nodes!W1080+"'E4!'BH"</f>
        <v>#VALUE!</v>
      </c>
      <c r="G134" t="e">
        <f>Nodes!X1080+"'E4!'BI"</f>
        <v>#VALUE!</v>
      </c>
      <c r="H134" t="e">
        <f>Nodes!Y1080+"'E4!'BJ"</f>
        <v>#VALUE!</v>
      </c>
      <c r="I134" t="e">
        <f>Nodes!Z1080+"'E4!'BK"</f>
        <v>#VALUE!</v>
      </c>
      <c r="J134" t="e">
        <f>Nodes!AA1080+"'E4!'BL"</f>
        <v>#VALUE!</v>
      </c>
      <c r="K134" s="547" t="e">
        <f>Nodes!AB1080+"'E4!'BM"</f>
        <v>#VALUE!</v>
      </c>
      <c r="L134" t="e">
        <f>Nodes!AC1080+"'E4!'BN"</f>
        <v>#VALUE!</v>
      </c>
      <c r="M134" t="e">
        <f>Nodes!A1081+"'E4!'BO"</f>
        <v>#VALUE!</v>
      </c>
      <c r="N134" t="e">
        <f>Nodes!B1081+"'E4!'BP"</f>
        <v>#VALUE!</v>
      </c>
      <c r="O134" t="e">
        <f>Nodes!C1081+"'E4!'BQ"</f>
        <v>#VALUE!</v>
      </c>
      <c r="P134" t="e">
        <f>Nodes!D1081+"'E4!'BR"</f>
        <v>#VALUE!</v>
      </c>
      <c r="Q134" t="e">
        <f>Nodes!E1081+"'E4!'BS"</f>
        <v>#VALUE!</v>
      </c>
      <c r="R134" t="e">
        <f>Nodes!F1081+"'E4!'BT"</f>
        <v>#VALUE!</v>
      </c>
      <c r="S134" t="e">
        <f>Nodes!G1081+"'E4!'BU"</f>
        <v>#VALUE!</v>
      </c>
      <c r="T134" t="e">
        <f>Nodes!H1081+"'E4!'BV"</f>
        <v>#VALUE!</v>
      </c>
      <c r="U134" t="e">
        <f>Nodes!I1081+"'E4!'BW"</f>
        <v>#VALUE!</v>
      </c>
      <c r="V134" t="e">
        <f>Nodes!J1081+"'E4!'BX"</f>
        <v>#VALUE!</v>
      </c>
      <c r="W134" t="e">
        <f>Nodes!K1081+"'E4!'BY"</f>
        <v>#VALUE!</v>
      </c>
      <c r="X134" t="e">
        <f>Nodes!L1081+"'E4!'BZ"</f>
        <v>#VALUE!</v>
      </c>
      <c r="Y134" t="e">
        <f>Nodes!M1081+"'E4!'B["</f>
        <v>#VALUE!</v>
      </c>
      <c r="Z134" t="e">
        <f>Nodes!N1081+"'E4!'B\"</f>
        <v>#VALUE!</v>
      </c>
      <c r="AA134" t="e">
        <f>Nodes!O1081+"'E4!'B]"</f>
        <v>#VALUE!</v>
      </c>
      <c r="AB134" t="e">
        <f>Nodes!P1081+"'E4!'B^"</f>
        <v>#VALUE!</v>
      </c>
      <c r="AC134" t="e">
        <f>Nodes!Q1081+"'E4!'B_"</f>
        <v>#VALUE!</v>
      </c>
      <c r="AD134" t="e">
        <f>Nodes!R1081+"'E4!'B`"</f>
        <v>#VALUE!</v>
      </c>
      <c r="AE134" t="e">
        <f>Nodes!S1081+"'E4!'Ba"</f>
        <v>#VALUE!</v>
      </c>
      <c r="AF134" s="547" t="e">
        <f>Nodes!T1081+"'E4!'Bb"</f>
        <v>#VALUE!</v>
      </c>
      <c r="AG134" s="548" t="e">
        <f>Nodes!U1081+"'E4!'Bc"</f>
        <v>#VALUE!</v>
      </c>
      <c r="AH134" s="548" t="e">
        <f>Nodes!V1081+"'E4!'Bd"</f>
        <v>#VALUE!</v>
      </c>
      <c r="AI134" s="547" t="e">
        <f>Nodes!W1081+"'E4!'Be"</f>
        <v>#VALUE!</v>
      </c>
      <c r="AJ134" t="e">
        <f>Nodes!X1081+"'E4!'Bf"</f>
        <v>#VALUE!</v>
      </c>
      <c r="AK134" t="e">
        <f>Nodes!Y1081+"'E4!'Bg"</f>
        <v>#VALUE!</v>
      </c>
      <c r="AL134" t="e">
        <f>Nodes!Z1081+"'E4!'Bh"</f>
        <v>#VALUE!</v>
      </c>
      <c r="AM134" t="e">
        <f>Nodes!AA1081+"'E4!'Bi"</f>
        <v>#VALUE!</v>
      </c>
      <c r="AN134" s="547" t="e">
        <f>Nodes!AB1081+"'E4!'Bj"</f>
        <v>#VALUE!</v>
      </c>
      <c r="AO134" t="e">
        <f>Nodes!AC1081+"'E4!'Bk"</f>
        <v>#VALUE!</v>
      </c>
      <c r="AP134" t="e">
        <f>Nodes!A1082+"'E4!'Bl"</f>
        <v>#VALUE!</v>
      </c>
      <c r="AQ134" t="e">
        <f>Nodes!B1082+"'E4!'Bm"</f>
        <v>#VALUE!</v>
      </c>
      <c r="AR134" t="e">
        <f>Nodes!C1082+"'E4!'Bn"</f>
        <v>#VALUE!</v>
      </c>
      <c r="AS134" t="e">
        <f>Nodes!D1082+"'E4!'Bo"</f>
        <v>#VALUE!</v>
      </c>
      <c r="AT134" t="e">
        <f>Nodes!E1082+"'E4!'Bp"</f>
        <v>#VALUE!</v>
      </c>
      <c r="AU134" t="e">
        <f>Nodes!F1082+"'E4!'Bq"</f>
        <v>#VALUE!</v>
      </c>
      <c r="AV134" t="e">
        <f>Nodes!G1082+"'E4!'Br"</f>
        <v>#VALUE!</v>
      </c>
      <c r="AW134" t="e">
        <f>Nodes!H1082+"'E4!'Bs"</f>
        <v>#VALUE!</v>
      </c>
      <c r="AX134" t="e">
        <f>Nodes!I1082+"'E4!'Bt"</f>
        <v>#VALUE!</v>
      </c>
      <c r="AY134" t="e">
        <f>Nodes!J1082+"'E4!'Bu"</f>
        <v>#VALUE!</v>
      </c>
      <c r="AZ134" t="e">
        <f>Nodes!K1082+"'E4!'Bv"</f>
        <v>#VALUE!</v>
      </c>
      <c r="BA134" t="e">
        <f>Nodes!L1082+"'E4!'Bw"</f>
        <v>#VALUE!</v>
      </c>
      <c r="BB134" t="e">
        <f>Nodes!M1082+"'E4!'Bx"</f>
        <v>#VALUE!</v>
      </c>
      <c r="BC134" t="e">
        <f>Nodes!N1082+"'E4!'By"</f>
        <v>#VALUE!</v>
      </c>
      <c r="BD134" t="e">
        <f>Nodes!O1082+"'E4!'Bz"</f>
        <v>#VALUE!</v>
      </c>
      <c r="BE134" t="e">
        <f>Nodes!P1082+"'E4!'B{"</f>
        <v>#VALUE!</v>
      </c>
      <c r="BF134" t="e">
        <f>Nodes!Q1082+"'E4!'B|"</f>
        <v>#VALUE!</v>
      </c>
      <c r="BG134" t="e">
        <f>Nodes!R1082+"'E4!'B}"</f>
        <v>#VALUE!</v>
      </c>
      <c r="BH134" t="e">
        <f>Nodes!S1082+"'E4!'B~"</f>
        <v>#VALUE!</v>
      </c>
      <c r="BI134" s="547" t="e">
        <f>Nodes!T1082+"'E4!'C#"</f>
        <v>#VALUE!</v>
      </c>
      <c r="BJ134" s="548" t="e">
        <f>Nodes!U1082+"'E4!'C$"</f>
        <v>#VALUE!</v>
      </c>
      <c r="BK134" s="548" t="e">
        <f>Nodes!V1082+"'E4!'C%"</f>
        <v>#VALUE!</v>
      </c>
      <c r="BL134" s="547" t="e">
        <f>Nodes!W1082+"'E4!'C&amp;"</f>
        <v>#VALUE!</v>
      </c>
      <c r="BM134" t="e">
        <f>Nodes!X1082+"'E4!'C'"</f>
        <v>#VALUE!</v>
      </c>
      <c r="BN134" t="e">
        <f>Nodes!Y1082+"'E4!'C("</f>
        <v>#VALUE!</v>
      </c>
      <c r="BO134" t="e">
        <f>Nodes!Z1082+"'E4!'C)"</f>
        <v>#VALUE!</v>
      </c>
      <c r="BP134" t="e">
        <f>Nodes!AA1082+"'E4!'C."</f>
        <v>#VALUE!</v>
      </c>
      <c r="BQ134" s="547" t="e">
        <f>Nodes!AB1082+"'E4!'C/"</f>
        <v>#VALUE!</v>
      </c>
      <c r="BR134" t="e">
        <f>Nodes!AC1082+"'E4!'C0"</f>
        <v>#VALUE!</v>
      </c>
      <c r="BS134" t="e">
        <f>Nodes!A1083+"'E4!'C1"</f>
        <v>#VALUE!</v>
      </c>
      <c r="BT134" t="e">
        <f>Nodes!B1083+"'E4!'C2"</f>
        <v>#VALUE!</v>
      </c>
      <c r="BU134" t="e">
        <f>Nodes!C1083+"'E4!'C3"</f>
        <v>#VALUE!</v>
      </c>
      <c r="BV134" t="e">
        <f>Nodes!D1083+"'E4!'C4"</f>
        <v>#VALUE!</v>
      </c>
      <c r="BW134" t="e">
        <f>Nodes!E1083+"'E4!'C5"</f>
        <v>#VALUE!</v>
      </c>
      <c r="BX134" t="e">
        <f>Nodes!F1083+"'E4!'C6"</f>
        <v>#VALUE!</v>
      </c>
      <c r="BY134" t="e">
        <f>Nodes!G1083+"'E4!'C7"</f>
        <v>#VALUE!</v>
      </c>
      <c r="BZ134" t="e">
        <f>Nodes!H1083+"'E4!'C8"</f>
        <v>#VALUE!</v>
      </c>
      <c r="CA134" t="e">
        <f>Nodes!I1083+"'E4!'C9"</f>
        <v>#VALUE!</v>
      </c>
      <c r="CB134" t="e">
        <f>Nodes!J1083+"'E4!'C:"</f>
        <v>#VALUE!</v>
      </c>
      <c r="CC134" t="e">
        <f>Nodes!K1083+"'E4!'C;"</f>
        <v>#VALUE!</v>
      </c>
      <c r="CD134" t="e">
        <f>Nodes!L1083+"'E4!'C&lt;"</f>
        <v>#VALUE!</v>
      </c>
      <c r="CE134" t="e">
        <f>Nodes!M1083+"'E4!'C="</f>
        <v>#VALUE!</v>
      </c>
      <c r="CF134" t="e">
        <f>Nodes!N1083+"'E4!'C&gt;"</f>
        <v>#VALUE!</v>
      </c>
      <c r="CG134" t="e">
        <f>Nodes!O1083+"'E4!'C?"</f>
        <v>#VALUE!</v>
      </c>
      <c r="CH134" t="e">
        <f>Nodes!P1083+"'E4!'C@"</f>
        <v>#VALUE!</v>
      </c>
      <c r="CI134" t="e">
        <f>Nodes!Q1083+"'E4!'CA"</f>
        <v>#VALUE!</v>
      </c>
      <c r="CJ134" t="e">
        <f>Nodes!R1083+"'E4!'CB"</f>
        <v>#VALUE!</v>
      </c>
      <c r="CK134" t="e">
        <f>Nodes!S1083+"'E4!'CC"</f>
        <v>#VALUE!</v>
      </c>
      <c r="CL134" s="547" t="e">
        <f>Nodes!T1083+"'E4!'CD"</f>
        <v>#VALUE!</v>
      </c>
      <c r="CM134" s="548" t="e">
        <f>Nodes!U1083+"'E4!'CE"</f>
        <v>#VALUE!</v>
      </c>
      <c r="CN134" s="548" t="e">
        <f>Nodes!V1083+"'E4!'CF"</f>
        <v>#VALUE!</v>
      </c>
      <c r="CO134" s="547" t="e">
        <f>Nodes!W1083+"'E4!'CG"</f>
        <v>#VALUE!</v>
      </c>
      <c r="CP134" t="e">
        <f>Nodes!X1083+"'E4!'CH"</f>
        <v>#VALUE!</v>
      </c>
      <c r="CQ134" t="e">
        <f>Nodes!Y1083+"'E4!'CI"</f>
        <v>#VALUE!</v>
      </c>
      <c r="CR134" t="e">
        <f>Nodes!Z1083+"'E4!'CJ"</f>
        <v>#VALUE!</v>
      </c>
      <c r="CS134" t="e">
        <f>Nodes!AA1083+"'E4!'CK"</f>
        <v>#VALUE!</v>
      </c>
      <c r="CT134" s="547" t="e">
        <f>Nodes!AB1083+"'E4!'CL"</f>
        <v>#VALUE!</v>
      </c>
      <c r="CU134" t="e">
        <f>Nodes!AC1083+"'E4!'CM"</f>
        <v>#VALUE!</v>
      </c>
      <c r="CV134" t="e">
        <f>Nodes!A1084+"'E4!'CN"</f>
        <v>#VALUE!</v>
      </c>
      <c r="CW134" t="e">
        <f>Nodes!B1084+"'E4!'CO"</f>
        <v>#VALUE!</v>
      </c>
      <c r="CX134" t="e">
        <f>Nodes!C1084+"'E4!'CP"</f>
        <v>#VALUE!</v>
      </c>
      <c r="CY134" t="e">
        <f>Nodes!D1084+"'E4!'CQ"</f>
        <v>#VALUE!</v>
      </c>
      <c r="CZ134" t="e">
        <f>Nodes!E1084+"'E4!'CR"</f>
        <v>#VALUE!</v>
      </c>
      <c r="DA134" t="e">
        <f>Nodes!F1084+"'E4!'CS"</f>
        <v>#VALUE!</v>
      </c>
      <c r="DB134" t="e">
        <f>Nodes!G1084+"'E4!'CT"</f>
        <v>#VALUE!</v>
      </c>
      <c r="DC134" t="e">
        <f>Nodes!H1084+"'E4!'CU"</f>
        <v>#VALUE!</v>
      </c>
      <c r="DD134" t="e">
        <f>Nodes!I1084+"'E4!'CV"</f>
        <v>#VALUE!</v>
      </c>
      <c r="DE134" t="e">
        <f>Nodes!J1084+"'E4!'CW"</f>
        <v>#VALUE!</v>
      </c>
      <c r="DF134" t="e">
        <f>Nodes!K1084+"'E4!'CX"</f>
        <v>#VALUE!</v>
      </c>
      <c r="DG134" t="e">
        <f>Nodes!L1084+"'E4!'CY"</f>
        <v>#VALUE!</v>
      </c>
      <c r="DH134" t="e">
        <f>Nodes!M1084+"'E4!'CZ"</f>
        <v>#VALUE!</v>
      </c>
      <c r="DI134" t="e">
        <f>Nodes!N1084+"'E4!'C["</f>
        <v>#VALUE!</v>
      </c>
      <c r="DJ134" t="e">
        <f>Nodes!O1084+"'E4!'C\"</f>
        <v>#VALUE!</v>
      </c>
      <c r="DK134" t="e">
        <f>Nodes!P1084+"'E4!'C]"</f>
        <v>#VALUE!</v>
      </c>
      <c r="DL134" t="e">
        <f>Nodes!Q1084+"'E4!'C^"</f>
        <v>#VALUE!</v>
      </c>
      <c r="DM134" t="e">
        <f>Nodes!R1084+"'E4!'C_"</f>
        <v>#VALUE!</v>
      </c>
      <c r="DN134" t="e">
        <f>Nodes!S1084+"'E4!'C`"</f>
        <v>#VALUE!</v>
      </c>
      <c r="DO134" s="547" t="e">
        <f>Nodes!T1084+"'E4!'Ca"</f>
        <v>#VALUE!</v>
      </c>
      <c r="DP134" s="548" t="e">
        <f>Nodes!U1084+"'E4!'Cb"</f>
        <v>#VALUE!</v>
      </c>
      <c r="DQ134" s="548" t="e">
        <f>Nodes!V1084+"'E4!'Cc"</f>
        <v>#VALUE!</v>
      </c>
      <c r="DR134" s="547" t="e">
        <f>Nodes!W1084+"'E4!'Cd"</f>
        <v>#VALUE!</v>
      </c>
      <c r="DS134" t="e">
        <f>Nodes!X1084+"'E4!'Ce"</f>
        <v>#VALUE!</v>
      </c>
      <c r="DT134" t="e">
        <f>Nodes!Y1084+"'E4!'Cf"</f>
        <v>#VALUE!</v>
      </c>
      <c r="DU134" t="e">
        <f>Nodes!Z1084+"'E4!'Cg"</f>
        <v>#VALUE!</v>
      </c>
      <c r="DV134" t="e">
        <f>Nodes!AA1084+"'E4!'Ch"</f>
        <v>#VALUE!</v>
      </c>
      <c r="DW134" s="547" t="e">
        <f>Nodes!AB1084+"'E4!'Ci"</f>
        <v>#VALUE!</v>
      </c>
      <c r="DX134" t="e">
        <f>Nodes!AC1084+"'E4!'Cj"</f>
        <v>#VALUE!</v>
      </c>
      <c r="DY134" t="e">
        <f>Nodes!A1085+"'E4!'Ck"</f>
        <v>#VALUE!</v>
      </c>
      <c r="DZ134" t="e">
        <f>Nodes!B1085+"'E4!'Cl"</f>
        <v>#VALUE!</v>
      </c>
      <c r="EA134" t="e">
        <f>Nodes!C1085+"'E4!'Cm"</f>
        <v>#VALUE!</v>
      </c>
      <c r="EB134" t="e">
        <f>Nodes!D1085+"'E4!'Cn"</f>
        <v>#VALUE!</v>
      </c>
      <c r="EC134" t="e">
        <f>Nodes!E1085+"'E4!'Co"</f>
        <v>#VALUE!</v>
      </c>
      <c r="ED134" t="e">
        <f>Nodes!F1085+"'E4!'Cp"</f>
        <v>#VALUE!</v>
      </c>
      <c r="EE134" t="e">
        <f>Nodes!G1085+"'E4!'Cq"</f>
        <v>#VALUE!</v>
      </c>
      <c r="EF134" t="e">
        <f>Nodes!H1085+"'E4!'Cr"</f>
        <v>#VALUE!</v>
      </c>
      <c r="EG134" t="e">
        <f>Nodes!I1085+"'E4!'Cs"</f>
        <v>#VALUE!</v>
      </c>
      <c r="EH134" t="e">
        <f>Nodes!J1085+"'E4!'Ct"</f>
        <v>#VALUE!</v>
      </c>
      <c r="EI134" t="e">
        <f>Nodes!K1085+"'E4!'Cu"</f>
        <v>#VALUE!</v>
      </c>
      <c r="EJ134" t="e">
        <f>Nodes!L1085+"'E4!'Cv"</f>
        <v>#VALUE!</v>
      </c>
      <c r="EK134" t="e">
        <f>Nodes!M1085+"'E4!'Cw"</f>
        <v>#VALUE!</v>
      </c>
      <c r="EL134" t="e">
        <f>Nodes!N1085+"'E4!'Cx"</f>
        <v>#VALUE!</v>
      </c>
      <c r="EM134" t="e">
        <f>Nodes!O1085+"'E4!'Cy"</f>
        <v>#VALUE!</v>
      </c>
      <c r="EN134" t="e">
        <f>Nodes!P1085+"'E4!'Cz"</f>
        <v>#VALUE!</v>
      </c>
      <c r="EO134" t="e">
        <f>Nodes!Q1085+"'E4!'C{"</f>
        <v>#VALUE!</v>
      </c>
      <c r="EP134" t="e">
        <f>Nodes!R1085+"'E4!'C|"</f>
        <v>#VALUE!</v>
      </c>
      <c r="EQ134" t="e">
        <f>Nodes!S1085+"'E4!'C}"</f>
        <v>#VALUE!</v>
      </c>
      <c r="ER134" s="547" t="e">
        <f>Nodes!T1085+"'E4!'C~"</f>
        <v>#VALUE!</v>
      </c>
      <c r="ES134" s="548" t="e">
        <f>Nodes!U1085+"'E4!'D#"</f>
        <v>#VALUE!</v>
      </c>
      <c r="ET134" s="548" t="e">
        <f>Nodes!V1085+"'E4!'D$"</f>
        <v>#VALUE!</v>
      </c>
      <c r="EU134" s="547" t="e">
        <f>Nodes!W1085+"'E4!'D%"</f>
        <v>#VALUE!</v>
      </c>
      <c r="EV134" t="e">
        <f>Nodes!X1085+"'E4!'D&amp;"</f>
        <v>#VALUE!</v>
      </c>
      <c r="EW134" t="e">
        <f>Nodes!Y1085+"'E4!'D'"</f>
        <v>#VALUE!</v>
      </c>
      <c r="EX134" t="e">
        <f>Nodes!Z1085+"'E4!'D("</f>
        <v>#VALUE!</v>
      </c>
      <c r="EY134" t="e">
        <f>Nodes!AA1085+"'E4!'D)"</f>
        <v>#VALUE!</v>
      </c>
      <c r="EZ134" s="547" t="e">
        <f>Nodes!AB1085+"'E4!'D."</f>
        <v>#VALUE!</v>
      </c>
      <c r="FA134" t="e">
        <f>Nodes!AC1085+"'E4!'D/"</f>
        <v>#VALUE!</v>
      </c>
      <c r="FB134" t="e">
        <f>Nodes!A1086+"'E4!'D0"</f>
        <v>#VALUE!</v>
      </c>
      <c r="FC134" t="e">
        <f>Nodes!B1086+"'E4!'D1"</f>
        <v>#VALUE!</v>
      </c>
      <c r="FD134" t="e">
        <f>Nodes!C1086+"'E4!'D2"</f>
        <v>#VALUE!</v>
      </c>
      <c r="FE134" t="e">
        <f>Nodes!D1086+"'E4!'D3"</f>
        <v>#VALUE!</v>
      </c>
      <c r="FF134" t="e">
        <f>Nodes!E1086+"'E4!'D4"</f>
        <v>#VALUE!</v>
      </c>
      <c r="FG134" t="e">
        <f>Nodes!F1086+"'E4!'D5"</f>
        <v>#VALUE!</v>
      </c>
      <c r="FH134" t="e">
        <f>Nodes!G1086+"'E4!'D6"</f>
        <v>#VALUE!</v>
      </c>
      <c r="FI134" t="e">
        <f>Nodes!H1086+"'E4!'D7"</f>
        <v>#VALUE!</v>
      </c>
      <c r="FJ134" t="e">
        <f>Nodes!I1086+"'E4!'D8"</f>
        <v>#VALUE!</v>
      </c>
      <c r="FK134" t="e">
        <f>Nodes!J1086+"'E4!'D9"</f>
        <v>#VALUE!</v>
      </c>
      <c r="FL134" t="e">
        <f>Nodes!K1086+"'E4!'D:"</f>
        <v>#VALUE!</v>
      </c>
      <c r="FM134" t="e">
        <f>Nodes!L1086+"'E4!'D;"</f>
        <v>#VALUE!</v>
      </c>
      <c r="FN134" t="e">
        <f>Nodes!M1086+"'E4!'D&lt;"</f>
        <v>#VALUE!</v>
      </c>
      <c r="FO134" t="e">
        <f>Nodes!N1086+"'E4!'D="</f>
        <v>#VALUE!</v>
      </c>
      <c r="FP134" t="e">
        <f>Nodes!O1086+"'E4!'D&gt;"</f>
        <v>#VALUE!</v>
      </c>
      <c r="FQ134" t="e">
        <f>Nodes!P1086+"'E4!'D?"</f>
        <v>#VALUE!</v>
      </c>
      <c r="FR134" t="e">
        <f>Nodes!Q1086+"'E4!'D@"</f>
        <v>#VALUE!</v>
      </c>
      <c r="FS134" t="e">
        <f>Nodes!R1086+"'E4!'DA"</f>
        <v>#N/A</v>
      </c>
      <c r="FT134" t="e">
        <f>Nodes!S1086+"'E4!'DB"</f>
        <v>#N/A</v>
      </c>
      <c r="FU134" s="547" t="e">
        <f>Nodes!T1086+"'E4!'DC"</f>
        <v>#VALUE!</v>
      </c>
      <c r="FV134" s="548" t="e">
        <f>Nodes!U1086+"'E4!'DD"</f>
        <v>#N/A</v>
      </c>
      <c r="FW134" s="548" t="e">
        <f>Nodes!V1086+"'E4!'DE"</f>
        <v>#N/A</v>
      </c>
      <c r="FX134" s="547" t="e">
        <f>Nodes!W1086+"'E4!'DF"</f>
        <v>#VALUE!</v>
      </c>
      <c r="FY134" t="e">
        <f>Nodes!X1086+"'E4!'DG"</f>
        <v>#VALUE!</v>
      </c>
      <c r="FZ134" t="e">
        <f>Nodes!Y1086+"'E4!'DH"</f>
        <v>#VALUE!</v>
      </c>
      <c r="GA134" t="e">
        <f>Nodes!Z1086+"'E4!'DI"</f>
        <v>#VALUE!</v>
      </c>
      <c r="GB134" t="e">
        <f>Nodes!AA1086+"'E4!'DJ"</f>
        <v>#VALUE!</v>
      </c>
      <c r="GC134" s="547" t="e">
        <f>Nodes!AB1086+"'E4!'DK"</f>
        <v>#VALUE!</v>
      </c>
      <c r="GD134" t="e">
        <f>Nodes!AC1086+"'E4!'DL"</f>
        <v>#VALUE!</v>
      </c>
      <c r="GE134" t="e">
        <f>Nodes!A1087+"'E4!'DM"</f>
        <v>#VALUE!</v>
      </c>
      <c r="GF134" t="e">
        <f>Nodes!B1087+"'E4!'DN"</f>
        <v>#VALUE!</v>
      </c>
      <c r="GG134" t="e">
        <f>Nodes!C1087+"'E4!'DO"</f>
        <v>#VALUE!</v>
      </c>
      <c r="GH134" t="e">
        <f>Nodes!D1087+"'E4!'DP"</f>
        <v>#VALUE!</v>
      </c>
      <c r="GI134" t="e">
        <f>Nodes!E1087+"'E4!'DQ"</f>
        <v>#VALUE!</v>
      </c>
      <c r="GJ134" t="e">
        <f>Nodes!F1087+"'E4!'DR"</f>
        <v>#VALUE!</v>
      </c>
      <c r="GK134" t="e">
        <f>Nodes!G1087+"'E4!'DS"</f>
        <v>#VALUE!</v>
      </c>
      <c r="GL134" t="e">
        <f>Nodes!H1087+"'E4!'DT"</f>
        <v>#VALUE!</v>
      </c>
      <c r="GM134" t="e">
        <f>Nodes!I1087+"'E4!'DU"</f>
        <v>#VALUE!</v>
      </c>
      <c r="GN134" t="e">
        <f>Nodes!J1087+"'E4!'DV"</f>
        <v>#VALUE!</v>
      </c>
      <c r="GO134" t="e">
        <f>Nodes!K1087+"'E4!'DW"</f>
        <v>#VALUE!</v>
      </c>
      <c r="GP134" t="e">
        <f>Nodes!L1087+"'E4!'DX"</f>
        <v>#VALUE!</v>
      </c>
      <c r="GQ134" t="e">
        <f>Nodes!M1087+"'E4!'DY"</f>
        <v>#VALUE!</v>
      </c>
      <c r="GR134" t="e">
        <f>Nodes!N1087+"'E4!'DZ"</f>
        <v>#VALUE!</v>
      </c>
      <c r="GS134" t="e">
        <f>Nodes!O1087+"'E4!'D["</f>
        <v>#VALUE!</v>
      </c>
      <c r="GT134" t="e">
        <f>Nodes!P1087+"'E4!'D\"</f>
        <v>#VALUE!</v>
      </c>
      <c r="GU134" t="e">
        <f>Nodes!Q1087+"'E4!'D]"</f>
        <v>#VALUE!</v>
      </c>
      <c r="GV134" t="e">
        <f>Nodes!R1087+"'E4!'D^"</f>
        <v>#VALUE!</v>
      </c>
      <c r="GW134" t="e">
        <f>Nodes!S1087+"'E4!'D_"</f>
        <v>#VALUE!</v>
      </c>
      <c r="GX134" s="547" t="e">
        <f>Nodes!T1087+"'E4!'D`"</f>
        <v>#VALUE!</v>
      </c>
      <c r="GY134" s="548" t="e">
        <f>Nodes!U1087+"'E4!'Da"</f>
        <v>#VALUE!</v>
      </c>
      <c r="GZ134" s="548" t="e">
        <f>Nodes!V1087+"'E4!'Db"</f>
        <v>#VALUE!</v>
      </c>
      <c r="HA134" s="547" t="e">
        <f>Nodes!W1087+"'E4!'Dc"</f>
        <v>#VALUE!</v>
      </c>
      <c r="HB134" t="e">
        <f>Nodes!X1087+"'E4!'Dd"</f>
        <v>#VALUE!</v>
      </c>
      <c r="HC134" t="e">
        <f>Nodes!Y1087+"'E4!'De"</f>
        <v>#VALUE!</v>
      </c>
      <c r="HD134" t="e">
        <f>Nodes!Z1087+"'E4!'Df"</f>
        <v>#VALUE!</v>
      </c>
      <c r="HE134" t="e">
        <f>Nodes!AA1087+"'E4!'Dg"</f>
        <v>#VALUE!</v>
      </c>
      <c r="HF134" s="547" t="e">
        <f>Nodes!AB1087+"'E4!'Dh"</f>
        <v>#VALUE!</v>
      </c>
      <c r="HG134" t="e">
        <f>Nodes!AC1087+"'E4!'Di"</f>
        <v>#VALUE!</v>
      </c>
      <c r="HH134" t="e">
        <f>Nodes!A1088+"'E4!'Dj"</f>
        <v>#VALUE!</v>
      </c>
      <c r="HI134" t="e">
        <f>Nodes!B1088+"'E4!'Dk"</f>
        <v>#VALUE!</v>
      </c>
      <c r="HJ134" t="e">
        <f>Nodes!C1088+"'E4!'Dl"</f>
        <v>#VALUE!</v>
      </c>
      <c r="HK134" t="e">
        <f>Nodes!D1088+"'E4!'Dm"</f>
        <v>#VALUE!</v>
      </c>
      <c r="HL134" t="e">
        <f>Nodes!E1088+"'E4!'Dn"</f>
        <v>#VALUE!</v>
      </c>
      <c r="HM134" t="e">
        <f>Nodes!F1088+"'E4!'Do"</f>
        <v>#VALUE!</v>
      </c>
      <c r="HN134" t="e">
        <f>Nodes!G1088+"'E4!'Dp"</f>
        <v>#VALUE!</v>
      </c>
      <c r="HO134" t="e">
        <f>Nodes!H1088+"'E4!'Dq"</f>
        <v>#VALUE!</v>
      </c>
      <c r="HP134" t="e">
        <f>Nodes!I1088+"'E4!'Dr"</f>
        <v>#VALUE!</v>
      </c>
      <c r="HQ134" t="e">
        <f>Nodes!J1088+"'E4!'Ds"</f>
        <v>#VALUE!</v>
      </c>
      <c r="HR134" t="e">
        <f>Nodes!K1088+"'E4!'Dt"</f>
        <v>#VALUE!</v>
      </c>
      <c r="HS134" t="e">
        <f>Nodes!L1088+"'E4!'Du"</f>
        <v>#VALUE!</v>
      </c>
      <c r="HT134" t="e">
        <f>Nodes!M1088+"'E4!'Dv"</f>
        <v>#VALUE!</v>
      </c>
      <c r="HU134" t="e">
        <f>Nodes!N1088+"'E4!'Dw"</f>
        <v>#VALUE!</v>
      </c>
      <c r="HV134" t="e">
        <f>Nodes!O1088+"'E4!'Dx"</f>
        <v>#VALUE!</v>
      </c>
      <c r="HW134" t="e">
        <f>Nodes!P1088+"'E4!'Dy"</f>
        <v>#VALUE!</v>
      </c>
      <c r="HX134" t="e">
        <f>Nodes!Q1088+"'E4!'Dz"</f>
        <v>#VALUE!</v>
      </c>
      <c r="HY134" t="e">
        <f>Nodes!R1088+"'E4!'D{"</f>
        <v>#VALUE!</v>
      </c>
      <c r="HZ134" t="e">
        <f>Nodes!S1088+"'E4!'D|"</f>
        <v>#VALUE!</v>
      </c>
      <c r="IA134" s="547" t="e">
        <f>Nodes!T1088+"'E4!'D}"</f>
        <v>#VALUE!</v>
      </c>
      <c r="IB134" s="548" t="e">
        <f>Nodes!U1088+"'E4!'D~"</f>
        <v>#VALUE!</v>
      </c>
      <c r="IC134" s="548" t="e">
        <f>Nodes!V1088+"'E4!'E#"</f>
        <v>#VALUE!</v>
      </c>
      <c r="ID134" s="547" t="e">
        <f>Nodes!W1088+"'E4!'E$"</f>
        <v>#VALUE!</v>
      </c>
      <c r="IE134" t="e">
        <f>Nodes!X1088+"'E4!'E%"</f>
        <v>#VALUE!</v>
      </c>
      <c r="IF134" t="e">
        <f>Nodes!Y1088+"'E4!'E&amp;"</f>
        <v>#VALUE!</v>
      </c>
      <c r="IG134" t="e">
        <f>Nodes!Z1088+"'E4!'E'"</f>
        <v>#VALUE!</v>
      </c>
      <c r="IH134" t="e">
        <f>Nodes!AA1088+"'E4!'E("</f>
        <v>#VALUE!</v>
      </c>
      <c r="II134" s="547" t="e">
        <f>Nodes!AB1088+"'E4!'E)"</f>
        <v>#VALUE!</v>
      </c>
      <c r="IJ134" t="e">
        <f>Nodes!AC1088+"'E4!'E."</f>
        <v>#VALUE!</v>
      </c>
      <c r="IK134" t="e">
        <f>Nodes!A1089+"'E4!'E/"</f>
        <v>#VALUE!</v>
      </c>
      <c r="IL134" t="e">
        <f>Nodes!B1089+"'E4!'E0"</f>
        <v>#VALUE!</v>
      </c>
      <c r="IM134" t="e">
        <f>Nodes!C1089+"'E4!'E1"</f>
        <v>#VALUE!</v>
      </c>
      <c r="IN134" t="e">
        <f>Nodes!D1089+"'E4!'E2"</f>
        <v>#VALUE!</v>
      </c>
      <c r="IO134" t="e">
        <f>Nodes!E1089+"'E4!'E3"</f>
        <v>#VALUE!</v>
      </c>
      <c r="IP134" t="e">
        <f>Nodes!F1089+"'E4!'E4"</f>
        <v>#VALUE!</v>
      </c>
      <c r="IQ134" t="e">
        <f>Nodes!G1089+"'E4!'E5"</f>
        <v>#VALUE!</v>
      </c>
      <c r="IR134" t="e">
        <f>Nodes!H1089+"'E4!'E6"</f>
        <v>#VALUE!</v>
      </c>
      <c r="IS134" t="e">
        <f>Nodes!I1089+"'E4!'E7"</f>
        <v>#VALUE!</v>
      </c>
      <c r="IT134" t="e">
        <f>Nodes!J1089+"'E4!'E8"</f>
        <v>#VALUE!</v>
      </c>
      <c r="IU134" t="e">
        <f>Nodes!K1089+"'E4!'E9"</f>
        <v>#VALUE!</v>
      </c>
      <c r="IV134" t="e">
        <f>Nodes!L1089+"'E4!'E:"</f>
        <v>#VALUE!</v>
      </c>
    </row>
    <row r="135" spans="6:256">
      <c r="F135" t="e">
        <f>Nodes!M1089+"'E4!'E;"</f>
        <v>#VALUE!</v>
      </c>
      <c r="G135" t="e">
        <f>Nodes!N1089+"'E4!'E&lt;"</f>
        <v>#VALUE!</v>
      </c>
      <c r="H135" t="e">
        <f>Nodes!O1089+"'E4!'E="</f>
        <v>#VALUE!</v>
      </c>
      <c r="I135" t="e">
        <f>Nodes!P1089+"'E4!'E&gt;"</f>
        <v>#VALUE!</v>
      </c>
      <c r="J135" t="e">
        <f>Nodes!Q1089+"'E4!'E?"</f>
        <v>#VALUE!</v>
      </c>
      <c r="K135" t="e">
        <f>Nodes!R1089+"'E4!'E@"</f>
        <v>#VALUE!</v>
      </c>
      <c r="L135" t="e">
        <f>Nodes!S1089+"'E4!'EA"</f>
        <v>#VALUE!</v>
      </c>
      <c r="M135" s="547" t="e">
        <f>Nodes!T1089+"'E4!'EB"</f>
        <v>#VALUE!</v>
      </c>
      <c r="N135" s="548" t="e">
        <f>Nodes!U1089+"'E4!'EC"</f>
        <v>#VALUE!</v>
      </c>
      <c r="O135" s="548" t="e">
        <f>Nodes!V1089+"'E4!'ED"</f>
        <v>#VALUE!</v>
      </c>
      <c r="P135" s="547" t="e">
        <f>Nodes!W1089+"'E4!'EE"</f>
        <v>#VALUE!</v>
      </c>
      <c r="Q135" t="e">
        <f>Nodes!X1089+"'E4!'EF"</f>
        <v>#VALUE!</v>
      </c>
      <c r="R135" t="e">
        <f>Nodes!Y1089+"'E4!'EG"</f>
        <v>#VALUE!</v>
      </c>
      <c r="S135" t="e">
        <f>Nodes!Z1089+"'E4!'EH"</f>
        <v>#VALUE!</v>
      </c>
      <c r="T135" t="e">
        <f>Nodes!AA1089+"'E4!'EI"</f>
        <v>#VALUE!</v>
      </c>
      <c r="U135" s="547" t="e">
        <f>Nodes!AB1089+"'E4!'EJ"</f>
        <v>#VALUE!</v>
      </c>
      <c r="V135" t="e">
        <f>Nodes!AC1089+"'E4!'EK"</f>
        <v>#VALUE!</v>
      </c>
      <c r="W135" t="e">
        <f>Nodes!A1090+"'E4!'EL"</f>
        <v>#VALUE!</v>
      </c>
      <c r="X135" t="e">
        <f>Nodes!B1090+"'E4!'EM"</f>
        <v>#VALUE!</v>
      </c>
      <c r="Y135" t="e">
        <f>Nodes!C1090+"'E4!'EN"</f>
        <v>#VALUE!</v>
      </c>
      <c r="Z135" t="e">
        <f>Nodes!D1090+"'E4!'EO"</f>
        <v>#VALUE!</v>
      </c>
      <c r="AA135" t="e">
        <f>Nodes!E1090+"'E4!'EP"</f>
        <v>#VALUE!</v>
      </c>
      <c r="AB135" t="e">
        <f>Nodes!F1090+"'E4!'EQ"</f>
        <v>#VALUE!</v>
      </c>
      <c r="AC135" t="e">
        <f>Nodes!G1090+"'E4!'ER"</f>
        <v>#VALUE!</v>
      </c>
      <c r="AD135" t="e">
        <f>Nodes!H1090+"'E4!'ES"</f>
        <v>#VALUE!</v>
      </c>
      <c r="AE135" t="e">
        <f>Nodes!I1090+"'E4!'ET"</f>
        <v>#VALUE!</v>
      </c>
      <c r="AF135" t="e">
        <f>Nodes!J1090+"'E4!'EU"</f>
        <v>#VALUE!</v>
      </c>
      <c r="AG135" t="e">
        <f>Nodes!K1090+"'E4!'EV"</f>
        <v>#VALUE!</v>
      </c>
      <c r="AH135" t="e">
        <f>Nodes!L1090+"'E4!'EW"</f>
        <v>#VALUE!</v>
      </c>
      <c r="AI135" t="e">
        <f>Nodes!M1090+"'E4!'EX"</f>
        <v>#VALUE!</v>
      </c>
      <c r="AJ135" t="e">
        <f>Nodes!N1090+"'E4!'EY"</f>
        <v>#VALUE!</v>
      </c>
      <c r="AK135" t="e">
        <f>Nodes!O1090+"'E4!'EZ"</f>
        <v>#VALUE!</v>
      </c>
      <c r="AL135" t="e">
        <f>Nodes!P1090+"'E4!'E["</f>
        <v>#VALUE!</v>
      </c>
      <c r="AM135" t="e">
        <f>Nodes!Q1090+"'E4!'E\"</f>
        <v>#VALUE!</v>
      </c>
      <c r="AN135" t="e">
        <f>Nodes!R1090+"'E4!'E]"</f>
        <v>#VALUE!</v>
      </c>
      <c r="AO135" t="e">
        <f>Nodes!S1090+"'E4!'E^"</f>
        <v>#VALUE!</v>
      </c>
      <c r="AP135" s="547" t="e">
        <f>Nodes!T1090+"'E4!'E_"</f>
        <v>#VALUE!</v>
      </c>
      <c r="AQ135" s="548" t="e">
        <f>Nodes!U1090+"'E4!'E`"</f>
        <v>#VALUE!</v>
      </c>
      <c r="AR135" s="548" t="e">
        <f>Nodes!V1090+"'E4!'Ea"</f>
        <v>#VALUE!</v>
      </c>
      <c r="AS135" s="547" t="e">
        <f>Nodes!W1090+"'E4!'Eb"</f>
        <v>#VALUE!</v>
      </c>
      <c r="AT135" t="e">
        <f>Nodes!X1090+"'E4!'Ec"</f>
        <v>#VALUE!</v>
      </c>
      <c r="AU135" t="e">
        <f>Nodes!Y1090+"'E4!'Ed"</f>
        <v>#VALUE!</v>
      </c>
      <c r="AV135" t="e">
        <f>Nodes!Z1090+"'E4!'Ee"</f>
        <v>#VALUE!</v>
      </c>
      <c r="AW135" t="e">
        <f>Nodes!AA1090+"'E4!'Ef"</f>
        <v>#VALUE!</v>
      </c>
      <c r="AX135" s="547" t="e">
        <f>Nodes!AB1090+"'E4!'Eg"</f>
        <v>#VALUE!</v>
      </c>
      <c r="AY135" t="e">
        <f>Nodes!AC1090+"'E4!'Eh"</f>
        <v>#VALUE!</v>
      </c>
      <c r="AZ135" t="e">
        <f>Nodes!A1091+"'E4!'Ei"</f>
        <v>#VALUE!</v>
      </c>
      <c r="BA135" t="e">
        <f>Nodes!B1091+"'E4!'Ej"</f>
        <v>#VALUE!</v>
      </c>
      <c r="BB135" t="e">
        <f>Nodes!C1091+"'E4!'Ek"</f>
        <v>#VALUE!</v>
      </c>
      <c r="BC135" t="e">
        <f>Nodes!D1091+"'E4!'El"</f>
        <v>#VALUE!</v>
      </c>
      <c r="BD135" t="e">
        <f>Nodes!E1091+"'E4!'Em"</f>
        <v>#VALUE!</v>
      </c>
      <c r="BE135" t="e">
        <f>Nodes!F1091+"'E4!'En"</f>
        <v>#VALUE!</v>
      </c>
      <c r="BF135" t="e">
        <f>Nodes!G1091+"'E4!'Eo"</f>
        <v>#VALUE!</v>
      </c>
      <c r="BG135" t="e">
        <f>Nodes!H1091+"'E4!'Ep"</f>
        <v>#VALUE!</v>
      </c>
      <c r="BH135" t="e">
        <f>Nodes!I1091+"'E4!'Eq"</f>
        <v>#VALUE!</v>
      </c>
      <c r="BI135" t="e">
        <f>Nodes!J1091+"'E4!'Er"</f>
        <v>#VALUE!</v>
      </c>
      <c r="BJ135" t="e">
        <f>Nodes!K1091+"'E4!'Es"</f>
        <v>#VALUE!</v>
      </c>
      <c r="BK135" t="e">
        <f>Nodes!L1091+"'E4!'Et"</f>
        <v>#VALUE!</v>
      </c>
      <c r="BL135" t="e">
        <f>Nodes!M1091+"'E4!'Eu"</f>
        <v>#VALUE!</v>
      </c>
      <c r="BM135" t="e">
        <f>Nodes!N1091+"'E4!'Ev"</f>
        <v>#VALUE!</v>
      </c>
      <c r="BN135" t="e">
        <f>Nodes!O1091+"'E4!'Ew"</f>
        <v>#VALUE!</v>
      </c>
      <c r="BO135" t="e">
        <f>Nodes!P1091+"'E4!'Ex"</f>
        <v>#VALUE!</v>
      </c>
      <c r="BP135" t="e">
        <f>Nodes!Q1091+"'E4!'Ey"</f>
        <v>#VALUE!</v>
      </c>
      <c r="BQ135" t="e">
        <f>Nodes!R1091+"'E4!'Ez"</f>
        <v>#N/A</v>
      </c>
      <c r="BR135" t="e">
        <f>Nodes!S1091+"'E4!'E{"</f>
        <v>#N/A</v>
      </c>
      <c r="BS135" s="547" t="e">
        <f>Nodes!T1091+"'E4!'E|"</f>
        <v>#VALUE!</v>
      </c>
      <c r="BT135" s="548" t="e">
        <f>Nodes!U1091+"'E4!'E}"</f>
        <v>#N/A</v>
      </c>
      <c r="BU135" s="548" t="e">
        <f>Nodes!V1091+"'E4!'E~"</f>
        <v>#N/A</v>
      </c>
      <c r="BV135" s="547" t="e">
        <f>Nodes!W1091+"'E4!'F#"</f>
        <v>#VALUE!</v>
      </c>
      <c r="BW135" t="e">
        <f>Nodes!X1091+"'E4!'F$"</f>
        <v>#VALUE!</v>
      </c>
      <c r="BX135" t="e">
        <f>Nodes!Y1091+"'E4!'F%"</f>
        <v>#VALUE!</v>
      </c>
      <c r="BY135" t="e">
        <f>Nodes!Z1091+"'E4!'F&amp;"</f>
        <v>#VALUE!</v>
      </c>
      <c r="BZ135" t="e">
        <f>Nodes!AA1091+"'E4!'F'"</f>
        <v>#VALUE!</v>
      </c>
      <c r="CA135" s="547" t="e">
        <f>Nodes!AB1091+"'E4!'F("</f>
        <v>#VALUE!</v>
      </c>
      <c r="CB135" t="e">
        <f>Nodes!AC1091+"'E4!'F)"</f>
        <v>#VALUE!</v>
      </c>
      <c r="CC135" t="e">
        <f>Nodes!A1092+"'E4!'F."</f>
        <v>#VALUE!</v>
      </c>
      <c r="CD135" t="e">
        <f>Nodes!B1092+"'E4!'F/"</f>
        <v>#VALUE!</v>
      </c>
      <c r="CE135" t="e">
        <f>Nodes!C1092+"'E4!'F0"</f>
        <v>#VALUE!</v>
      </c>
      <c r="CF135" t="e">
        <f>Nodes!D1092+"'E4!'F1"</f>
        <v>#VALUE!</v>
      </c>
      <c r="CG135" t="e">
        <f>Nodes!E1092+"'E4!'F2"</f>
        <v>#VALUE!</v>
      </c>
      <c r="CH135" t="e">
        <f>Nodes!F1092+"'E4!'F3"</f>
        <v>#VALUE!</v>
      </c>
      <c r="CI135" t="e">
        <f>Nodes!G1092+"'E4!'F4"</f>
        <v>#VALUE!</v>
      </c>
      <c r="CJ135" t="e">
        <f>Nodes!H1092+"'E4!'F5"</f>
        <v>#VALUE!</v>
      </c>
      <c r="CK135" t="e">
        <f>Nodes!I1092+"'E4!'F6"</f>
        <v>#VALUE!</v>
      </c>
      <c r="CL135" t="e">
        <f>Nodes!J1092+"'E4!'F7"</f>
        <v>#VALUE!</v>
      </c>
      <c r="CM135" t="e">
        <f>Nodes!K1092+"'E4!'F8"</f>
        <v>#VALUE!</v>
      </c>
      <c r="CN135" t="e">
        <f>Nodes!L1092+"'E4!'F9"</f>
        <v>#VALUE!</v>
      </c>
      <c r="CO135" t="e">
        <f>Nodes!M1092+"'E4!'F:"</f>
        <v>#VALUE!</v>
      </c>
      <c r="CP135" t="e">
        <f>Nodes!N1092+"'E4!'F;"</f>
        <v>#VALUE!</v>
      </c>
      <c r="CQ135" t="e">
        <f>Nodes!O1092+"'E4!'F&lt;"</f>
        <v>#VALUE!</v>
      </c>
      <c r="CR135" t="e">
        <f>Nodes!P1092+"'E4!'F="</f>
        <v>#VALUE!</v>
      </c>
      <c r="CS135" t="e">
        <f>Nodes!Q1092+"'E4!'F&gt;"</f>
        <v>#VALUE!</v>
      </c>
      <c r="CT135" t="e">
        <f>Nodes!R1092+"'E4!'F?"</f>
        <v>#VALUE!</v>
      </c>
      <c r="CU135" t="e">
        <f>Nodes!S1092+"'E4!'F@"</f>
        <v>#VALUE!</v>
      </c>
      <c r="CV135" s="547" t="e">
        <f>Nodes!T1092+"'E4!'FA"</f>
        <v>#VALUE!</v>
      </c>
      <c r="CW135" s="548" t="e">
        <f>Nodes!U1092+"'E4!'FB"</f>
        <v>#VALUE!</v>
      </c>
      <c r="CX135" s="548" t="e">
        <f>Nodes!V1092+"'E4!'FC"</f>
        <v>#VALUE!</v>
      </c>
      <c r="CY135" s="547" t="e">
        <f>Nodes!W1092+"'E4!'FD"</f>
        <v>#VALUE!</v>
      </c>
      <c r="CZ135" t="e">
        <f>Nodes!X1092+"'E4!'FE"</f>
        <v>#VALUE!</v>
      </c>
      <c r="DA135" t="e">
        <f>Nodes!Y1092+"'E4!'FF"</f>
        <v>#VALUE!</v>
      </c>
      <c r="DB135" t="e">
        <f>Nodes!Z1092+"'E4!'FG"</f>
        <v>#VALUE!</v>
      </c>
      <c r="DC135" t="e">
        <f>Nodes!AA1092+"'E4!'FH"</f>
        <v>#VALUE!</v>
      </c>
      <c r="DD135" s="547" t="e">
        <f>Nodes!AB1092+"'E4!'FI"</f>
        <v>#VALUE!</v>
      </c>
      <c r="DE135" t="e">
        <f>Nodes!AC1092+"'E4!'FJ"</f>
        <v>#VALUE!</v>
      </c>
      <c r="DF135" t="e">
        <f>Nodes!A1093+"'E4!'FK"</f>
        <v>#VALUE!</v>
      </c>
      <c r="DG135" t="e">
        <f>Nodes!B1093+"'E4!'FL"</f>
        <v>#VALUE!</v>
      </c>
      <c r="DH135" t="e">
        <f>Nodes!C1093+"'E4!'FM"</f>
        <v>#VALUE!</v>
      </c>
      <c r="DI135" t="e">
        <f>Nodes!D1093+"'E4!'FN"</f>
        <v>#VALUE!</v>
      </c>
      <c r="DJ135" t="e">
        <f>Nodes!E1093+"'E4!'FO"</f>
        <v>#VALUE!</v>
      </c>
      <c r="DK135" t="e">
        <f>Nodes!F1093+"'E4!'FP"</f>
        <v>#VALUE!</v>
      </c>
      <c r="DL135" t="e">
        <f>Nodes!G1093+"'E4!'FQ"</f>
        <v>#VALUE!</v>
      </c>
      <c r="DM135" t="e">
        <f>Nodes!H1093+"'E4!'FR"</f>
        <v>#VALUE!</v>
      </c>
      <c r="DN135" t="e">
        <f>Nodes!I1093+"'E4!'FS"</f>
        <v>#VALUE!</v>
      </c>
      <c r="DO135" t="e">
        <f>Nodes!J1093+"'E4!'FT"</f>
        <v>#VALUE!</v>
      </c>
      <c r="DP135" t="e">
        <f>Nodes!K1093+"'E4!'FU"</f>
        <v>#VALUE!</v>
      </c>
      <c r="DQ135" t="e">
        <f>Nodes!L1093+"'E4!'FV"</f>
        <v>#VALUE!</v>
      </c>
      <c r="DR135" t="e">
        <f>Nodes!M1093+"'E4!'FW"</f>
        <v>#VALUE!</v>
      </c>
      <c r="DS135" t="e">
        <f>Nodes!N1093+"'E4!'FX"</f>
        <v>#VALUE!</v>
      </c>
      <c r="DT135" t="e">
        <f>Nodes!O1093+"'E4!'FY"</f>
        <v>#VALUE!</v>
      </c>
      <c r="DU135" t="e">
        <f>Nodes!P1093+"'E4!'FZ"</f>
        <v>#VALUE!</v>
      </c>
      <c r="DV135" t="e">
        <f>Nodes!Q1093+"'E4!'F["</f>
        <v>#VALUE!</v>
      </c>
      <c r="DW135" t="e">
        <f>Nodes!R1093+"'E4!'F\"</f>
        <v>#VALUE!</v>
      </c>
      <c r="DX135" s="547" t="e">
        <f>Nodes!S1093+"'E4!'F]"</f>
        <v>#VALUE!</v>
      </c>
      <c r="DY135" s="547" t="e">
        <f>Nodes!T1093+"'E4!'F^"</f>
        <v>#VALUE!</v>
      </c>
      <c r="DZ135" s="548" t="e">
        <f>Nodes!U1093+"'E4!'F_"</f>
        <v>#VALUE!</v>
      </c>
      <c r="EA135" s="548" t="e">
        <f>Nodes!V1093+"'E4!'F`"</f>
        <v>#VALUE!</v>
      </c>
      <c r="EB135" s="547" t="e">
        <f>Nodes!W1093+"'E4!'Fa"</f>
        <v>#VALUE!</v>
      </c>
      <c r="EC135" t="e">
        <f>Nodes!X1093+"'E4!'Fb"</f>
        <v>#VALUE!</v>
      </c>
      <c r="ED135" t="e">
        <f>Nodes!Y1093+"'E4!'Fc"</f>
        <v>#VALUE!</v>
      </c>
      <c r="EE135" t="e">
        <f>Nodes!Z1093+"'E4!'Fd"</f>
        <v>#VALUE!</v>
      </c>
      <c r="EF135" t="e">
        <f>Nodes!AA1093+"'E4!'Fe"</f>
        <v>#VALUE!</v>
      </c>
      <c r="EG135" s="547" t="e">
        <f>Nodes!AB1093+"'E4!'Ff"</f>
        <v>#VALUE!</v>
      </c>
      <c r="EH135" t="e">
        <f>Nodes!AC1093+"'E4!'Fg"</f>
        <v>#VALUE!</v>
      </c>
      <c r="EI135" t="e">
        <f>Nodes!A1094+"'E4!'Fh"</f>
        <v>#VALUE!</v>
      </c>
      <c r="EJ135" t="e">
        <f>Nodes!B1094+"'E4!'Fi"</f>
        <v>#VALUE!</v>
      </c>
      <c r="EK135" t="e">
        <f>Nodes!C1094+"'E4!'Fj"</f>
        <v>#VALUE!</v>
      </c>
      <c r="EL135" t="e">
        <f>Nodes!D1094+"'E4!'Fk"</f>
        <v>#VALUE!</v>
      </c>
      <c r="EM135" t="e">
        <f>Nodes!E1094+"'E4!'Fl"</f>
        <v>#VALUE!</v>
      </c>
      <c r="EN135" t="e">
        <f>Nodes!F1094+"'E4!'Fm"</f>
        <v>#VALUE!</v>
      </c>
      <c r="EO135" t="e">
        <f>Nodes!G1094+"'E4!'Fn"</f>
        <v>#VALUE!</v>
      </c>
      <c r="EP135" t="e">
        <f>Nodes!H1094+"'E4!'Fo"</f>
        <v>#VALUE!</v>
      </c>
      <c r="EQ135" t="e">
        <f>Nodes!I1094+"'E4!'Fp"</f>
        <v>#VALUE!</v>
      </c>
      <c r="ER135" t="e">
        <f>Nodes!J1094+"'E4!'Fq"</f>
        <v>#VALUE!</v>
      </c>
      <c r="ES135" t="e">
        <f>Nodes!K1094+"'E4!'Fr"</f>
        <v>#VALUE!</v>
      </c>
      <c r="ET135" t="e">
        <f>Nodes!L1094+"'E4!'Fs"</f>
        <v>#VALUE!</v>
      </c>
      <c r="EU135" t="e">
        <f>Nodes!M1094+"'E4!'Ft"</f>
        <v>#VALUE!</v>
      </c>
      <c r="EV135" t="e">
        <f>Nodes!N1094+"'E4!'Fu"</f>
        <v>#VALUE!</v>
      </c>
      <c r="EW135" t="e">
        <f>Nodes!O1094+"'E4!'Fv"</f>
        <v>#VALUE!</v>
      </c>
      <c r="EX135" t="e">
        <f>Nodes!P1094+"'E4!'Fw"</f>
        <v>#VALUE!</v>
      </c>
      <c r="EY135" t="e">
        <f>Nodes!Q1094+"'E4!'Fx"</f>
        <v>#VALUE!</v>
      </c>
      <c r="EZ135" t="e">
        <f>Nodes!R1094+"'E4!'Fy"</f>
        <v>#VALUE!</v>
      </c>
      <c r="FA135" s="547" t="e">
        <f>Nodes!S1094+"'E4!'Fz"</f>
        <v>#VALUE!</v>
      </c>
      <c r="FB135" s="547" t="e">
        <f>Nodes!T1094+"'E4!'F{"</f>
        <v>#VALUE!</v>
      </c>
      <c r="FC135" s="548" t="e">
        <f>Nodes!U1094+"'E4!'F|"</f>
        <v>#VALUE!</v>
      </c>
      <c r="FD135" s="548" t="e">
        <f>Nodes!V1094+"'E4!'F}"</f>
        <v>#VALUE!</v>
      </c>
      <c r="FE135" s="547" t="e">
        <f>Nodes!W1094+"'E4!'F~"</f>
        <v>#VALUE!</v>
      </c>
      <c r="FF135" t="e">
        <f>Nodes!X1094+"'E4!'G#"</f>
        <v>#VALUE!</v>
      </c>
      <c r="FG135" t="e">
        <f>Nodes!Y1094+"'E4!'G$"</f>
        <v>#VALUE!</v>
      </c>
      <c r="FH135" t="e">
        <f>Nodes!Z1094+"'E4!'G%"</f>
        <v>#VALUE!</v>
      </c>
      <c r="FI135" t="e">
        <f>Nodes!AA1094+"'E4!'G&amp;"</f>
        <v>#VALUE!</v>
      </c>
      <c r="FJ135" s="547" t="e">
        <f>Nodes!AB1094+"'E4!'G'"</f>
        <v>#VALUE!</v>
      </c>
      <c r="FK135" t="e">
        <f>Nodes!AC1094+"'E4!'G("</f>
        <v>#VALUE!</v>
      </c>
      <c r="FL135" t="e">
        <f>Nodes!A1095+"'E4!'G)"</f>
        <v>#VALUE!</v>
      </c>
      <c r="FM135" t="e">
        <f>Nodes!B1095+"'E4!'G."</f>
        <v>#VALUE!</v>
      </c>
      <c r="FN135" t="e">
        <f>Nodes!C1095+"'E4!'G/"</f>
        <v>#VALUE!</v>
      </c>
      <c r="FO135" t="e">
        <f>Nodes!D1095+"'E4!'G0"</f>
        <v>#VALUE!</v>
      </c>
      <c r="FP135" t="e">
        <f>Nodes!E1095+"'E4!'G1"</f>
        <v>#VALUE!</v>
      </c>
      <c r="FQ135" t="e">
        <f>Nodes!F1095+"'E4!'G2"</f>
        <v>#VALUE!</v>
      </c>
      <c r="FR135" t="e">
        <f>Nodes!G1095+"'E4!'G3"</f>
        <v>#VALUE!</v>
      </c>
      <c r="FS135" t="e">
        <f>Nodes!H1095+"'E4!'G4"</f>
        <v>#VALUE!</v>
      </c>
      <c r="FT135" t="e">
        <f>Nodes!I1095+"'E4!'G5"</f>
        <v>#VALUE!</v>
      </c>
      <c r="FU135" t="e">
        <f>Nodes!J1095+"'E4!'G6"</f>
        <v>#VALUE!</v>
      </c>
      <c r="FV135" t="e">
        <f>Nodes!K1095+"'E4!'G7"</f>
        <v>#VALUE!</v>
      </c>
      <c r="FW135" t="e">
        <f>Nodes!L1095+"'E4!'G8"</f>
        <v>#VALUE!</v>
      </c>
      <c r="FX135" t="e">
        <f>Nodes!M1095+"'E4!'G9"</f>
        <v>#VALUE!</v>
      </c>
      <c r="FY135" t="e">
        <f>Nodes!N1095+"'E4!'G:"</f>
        <v>#VALUE!</v>
      </c>
      <c r="FZ135" t="e">
        <f>Nodes!O1095+"'E4!'G;"</f>
        <v>#VALUE!</v>
      </c>
      <c r="GA135" t="e">
        <f>Nodes!P1095+"'E4!'G&lt;"</f>
        <v>#VALUE!</v>
      </c>
      <c r="GB135" t="e">
        <f>Nodes!Q1095+"'E4!'G="</f>
        <v>#VALUE!</v>
      </c>
      <c r="GC135" t="e">
        <f>Nodes!R1095+"'E4!'G&gt;"</f>
        <v>#VALUE!</v>
      </c>
      <c r="GD135" s="547" t="e">
        <f>Nodes!S1095+"'E4!'G?"</f>
        <v>#VALUE!</v>
      </c>
      <c r="GE135" s="547" t="e">
        <f>Nodes!T1095+"'E4!'G@"</f>
        <v>#VALUE!</v>
      </c>
      <c r="GF135" s="548" t="e">
        <f>Nodes!U1095+"'E4!'GA"</f>
        <v>#VALUE!</v>
      </c>
      <c r="GG135" s="548" t="e">
        <f>Nodes!V1095+"'E4!'GB"</f>
        <v>#VALUE!</v>
      </c>
      <c r="GH135" s="547" t="e">
        <f>Nodes!W1095+"'E4!'GC"</f>
        <v>#VALUE!</v>
      </c>
      <c r="GI135" t="e">
        <f>Nodes!X1095+"'E4!'GD"</f>
        <v>#VALUE!</v>
      </c>
      <c r="GJ135" t="e">
        <f>Nodes!Y1095+"'E4!'GE"</f>
        <v>#VALUE!</v>
      </c>
      <c r="GK135" t="e">
        <f>Nodes!Z1095+"'E4!'GF"</f>
        <v>#VALUE!</v>
      </c>
      <c r="GL135" t="e">
        <f>Nodes!AA1095+"'E4!'GG"</f>
        <v>#VALUE!</v>
      </c>
      <c r="GM135" s="547" t="e">
        <f>Nodes!AB1095+"'E4!'GH"</f>
        <v>#VALUE!</v>
      </c>
      <c r="GN135" t="e">
        <f>Nodes!AC1095+"'E4!'GI"</f>
        <v>#VALUE!</v>
      </c>
      <c r="GO135" t="e">
        <f>Nodes!A1096+"'E4!'GJ"</f>
        <v>#VALUE!</v>
      </c>
      <c r="GP135" t="e">
        <f>Nodes!B1096+"'E4!'GK"</f>
        <v>#VALUE!</v>
      </c>
      <c r="GQ135" t="e">
        <f>Nodes!C1096+"'E4!'GL"</f>
        <v>#VALUE!</v>
      </c>
      <c r="GR135" t="e">
        <f>Nodes!D1096+"'E4!'GM"</f>
        <v>#VALUE!</v>
      </c>
      <c r="GS135" t="e">
        <f>Nodes!E1096+"'E4!'GN"</f>
        <v>#VALUE!</v>
      </c>
      <c r="GT135" t="e">
        <f>Nodes!F1096+"'E4!'GO"</f>
        <v>#VALUE!</v>
      </c>
      <c r="GU135" t="e">
        <f>Nodes!G1096+"'E4!'GP"</f>
        <v>#VALUE!</v>
      </c>
      <c r="GV135" t="e">
        <f>Nodes!H1096+"'E4!'GQ"</f>
        <v>#VALUE!</v>
      </c>
      <c r="GW135" t="e">
        <f>Nodes!I1096+"'E4!'GR"</f>
        <v>#VALUE!</v>
      </c>
      <c r="GX135" t="e">
        <f>Nodes!J1096+"'E4!'GS"</f>
        <v>#VALUE!</v>
      </c>
      <c r="GY135" t="e">
        <f>Nodes!K1096+"'E4!'GT"</f>
        <v>#VALUE!</v>
      </c>
      <c r="GZ135" t="e">
        <f>Nodes!L1096+"'E4!'GU"</f>
        <v>#VALUE!</v>
      </c>
      <c r="HA135" t="e">
        <f>Nodes!M1096+"'E4!'GV"</f>
        <v>#VALUE!</v>
      </c>
      <c r="HB135" t="e">
        <f>Nodes!N1096+"'E4!'GW"</f>
        <v>#VALUE!</v>
      </c>
      <c r="HC135" t="e">
        <f>Nodes!O1096+"'E4!'GX"</f>
        <v>#VALUE!</v>
      </c>
      <c r="HD135" t="e">
        <f>Nodes!P1096+"'E4!'GY"</f>
        <v>#VALUE!</v>
      </c>
      <c r="HE135" t="e">
        <f>Nodes!Q1096+"'E4!'GZ"</f>
        <v>#VALUE!</v>
      </c>
      <c r="HF135" t="e">
        <f>Nodes!R1096+"'E4!'G["</f>
        <v>#VALUE!</v>
      </c>
      <c r="HG135" s="547" t="e">
        <f>Nodes!S1096+"'E4!'G\"</f>
        <v>#VALUE!</v>
      </c>
      <c r="HH135" s="547" t="e">
        <f>Nodes!T1096+"'E4!'G]"</f>
        <v>#VALUE!</v>
      </c>
      <c r="HI135" s="548" t="e">
        <f>Nodes!U1096+"'E4!'G^"</f>
        <v>#VALUE!</v>
      </c>
      <c r="HJ135" s="548" t="e">
        <f>Nodes!V1096+"'E4!'G_"</f>
        <v>#VALUE!</v>
      </c>
      <c r="HK135" s="547" t="e">
        <f>Nodes!W1096+"'E4!'G`"</f>
        <v>#VALUE!</v>
      </c>
      <c r="HL135" t="e">
        <f>Nodes!X1096+"'E4!'Ga"</f>
        <v>#VALUE!</v>
      </c>
      <c r="HM135" t="e">
        <f>Nodes!Y1096+"'E4!'Gb"</f>
        <v>#VALUE!</v>
      </c>
      <c r="HN135" t="e">
        <f>Nodes!Z1096+"'E4!'Gc"</f>
        <v>#VALUE!</v>
      </c>
      <c r="HO135" t="e">
        <f>Nodes!AA1096+"'E4!'Gd"</f>
        <v>#VALUE!</v>
      </c>
      <c r="HP135" s="547" t="e">
        <f>Nodes!AB1096+"'E4!'Ge"</f>
        <v>#VALUE!</v>
      </c>
      <c r="HQ135" t="e">
        <f>Nodes!AC1096+"'E4!'Gf"</f>
        <v>#VALUE!</v>
      </c>
      <c r="HR135" t="e">
        <f>Nodes!A1097+"'E4!'Gg"</f>
        <v>#VALUE!</v>
      </c>
      <c r="HS135" t="e">
        <f>Nodes!B1097+"'E4!'Gh"</f>
        <v>#VALUE!</v>
      </c>
      <c r="HT135" t="e">
        <f>Nodes!C1097+"'E4!'Gi"</f>
        <v>#VALUE!</v>
      </c>
      <c r="HU135" t="e">
        <f>Nodes!D1097+"'E4!'Gj"</f>
        <v>#VALUE!</v>
      </c>
      <c r="HV135" t="e">
        <f>Nodes!E1097+"'E4!'Gk"</f>
        <v>#VALUE!</v>
      </c>
      <c r="HW135" t="e">
        <f>Nodes!F1097+"'E4!'Gl"</f>
        <v>#VALUE!</v>
      </c>
      <c r="HX135" t="e">
        <f>Nodes!G1097+"'E4!'Gm"</f>
        <v>#VALUE!</v>
      </c>
      <c r="HY135" t="e">
        <f>Nodes!H1097+"'E4!'Gn"</f>
        <v>#VALUE!</v>
      </c>
      <c r="HZ135" t="e">
        <f>Nodes!I1097+"'E4!'Go"</f>
        <v>#VALUE!</v>
      </c>
      <c r="IA135" t="e">
        <f>Nodes!J1097+"'E4!'Gp"</f>
        <v>#VALUE!</v>
      </c>
      <c r="IB135" t="e">
        <f>Nodes!K1097+"'E4!'Gq"</f>
        <v>#VALUE!</v>
      </c>
      <c r="IC135" t="e">
        <f>Nodes!L1097+"'E4!'Gr"</f>
        <v>#VALUE!</v>
      </c>
      <c r="ID135" t="e">
        <f>Nodes!M1097+"'E4!'Gs"</f>
        <v>#VALUE!</v>
      </c>
      <c r="IE135" t="e">
        <f>Nodes!N1097+"'E4!'Gt"</f>
        <v>#VALUE!</v>
      </c>
      <c r="IF135" t="e">
        <f>Nodes!O1097+"'E4!'Gu"</f>
        <v>#VALUE!</v>
      </c>
      <c r="IG135" t="e">
        <f>Nodes!P1097+"'E4!'Gv"</f>
        <v>#VALUE!</v>
      </c>
      <c r="IH135" t="e">
        <f>Nodes!Q1097+"'E4!'Gw"</f>
        <v>#VALUE!</v>
      </c>
      <c r="II135" t="e">
        <f>Nodes!R1097+"'E4!'Gx"</f>
        <v>#VALUE!</v>
      </c>
      <c r="IJ135" s="547" t="e">
        <f>Nodes!S1097+"'E4!'Gy"</f>
        <v>#VALUE!</v>
      </c>
      <c r="IK135" s="547" t="e">
        <f>Nodes!T1097+"'E4!'Gz"</f>
        <v>#VALUE!</v>
      </c>
      <c r="IL135" s="548" t="e">
        <f>Nodes!U1097+"'E4!'G{"</f>
        <v>#VALUE!</v>
      </c>
      <c r="IM135" s="548" t="e">
        <f>Nodes!V1097+"'E4!'G|"</f>
        <v>#VALUE!</v>
      </c>
      <c r="IN135" s="547" t="e">
        <f>Nodes!W1097+"'E4!'G}"</f>
        <v>#VALUE!</v>
      </c>
      <c r="IO135" t="e">
        <f>Nodes!X1097+"'E4!'G~"</f>
        <v>#VALUE!</v>
      </c>
      <c r="IP135" t="e">
        <f>Nodes!Y1097+"'E4!'H#"</f>
        <v>#VALUE!</v>
      </c>
      <c r="IQ135" t="e">
        <f>Nodes!Z1097+"'E4!'H$"</f>
        <v>#VALUE!</v>
      </c>
      <c r="IR135" t="e">
        <f>Nodes!AA1097+"'E4!'H%"</f>
        <v>#VALUE!</v>
      </c>
      <c r="IS135" s="547" t="e">
        <f>Nodes!AB1097+"'E4!'H&amp;"</f>
        <v>#VALUE!</v>
      </c>
      <c r="IT135" t="e">
        <f>Nodes!AC1097+"'E4!'H'"</f>
        <v>#VALUE!</v>
      </c>
      <c r="IU135" t="e">
        <f>Nodes!A1098+"'E4!'H("</f>
        <v>#VALUE!</v>
      </c>
      <c r="IV135" t="e">
        <f>Nodes!B1098+"'E4!'H)"</f>
        <v>#VALUE!</v>
      </c>
    </row>
    <row r="136" spans="6:256">
      <c r="F136" t="e">
        <f>Nodes!C1098+"'E4!'H."</f>
        <v>#VALUE!</v>
      </c>
      <c r="G136" t="e">
        <f>Nodes!D1098+"'E4!'H/"</f>
        <v>#VALUE!</v>
      </c>
      <c r="H136" t="e">
        <f>Nodes!E1098+"'E4!'H0"</f>
        <v>#VALUE!</v>
      </c>
      <c r="I136" t="e">
        <f>Nodes!F1098+"'E4!'H1"</f>
        <v>#VALUE!</v>
      </c>
      <c r="J136" t="e">
        <f>Nodes!G1098+"'E4!'H2"</f>
        <v>#VALUE!</v>
      </c>
      <c r="K136" t="e">
        <f>Nodes!H1098+"'E4!'H3"</f>
        <v>#VALUE!</v>
      </c>
      <c r="L136" t="e">
        <f>Nodes!I1098+"'E4!'H4"</f>
        <v>#VALUE!</v>
      </c>
      <c r="M136" t="e">
        <f>Nodes!J1098+"'E4!'H5"</f>
        <v>#VALUE!</v>
      </c>
      <c r="N136" t="e">
        <f>Nodes!K1098+"'E4!'H6"</f>
        <v>#VALUE!</v>
      </c>
      <c r="O136" t="e">
        <f>Nodes!L1098+"'E4!'H7"</f>
        <v>#VALUE!</v>
      </c>
      <c r="P136" t="e">
        <f>Nodes!M1098+"'E4!'H8"</f>
        <v>#VALUE!</v>
      </c>
      <c r="Q136" t="e">
        <f>Nodes!N1098+"'E4!'H9"</f>
        <v>#VALUE!</v>
      </c>
      <c r="R136" t="e">
        <f>Nodes!O1098+"'E4!'H:"</f>
        <v>#VALUE!</v>
      </c>
      <c r="S136" t="e">
        <f>Nodes!P1098+"'E4!'H;"</f>
        <v>#VALUE!</v>
      </c>
      <c r="T136" t="e">
        <f>Nodes!Q1098+"'E4!'H&lt;"</f>
        <v>#VALUE!</v>
      </c>
      <c r="U136" t="e">
        <f>Nodes!R1098+"'E4!'H="</f>
        <v>#VALUE!</v>
      </c>
      <c r="V136" t="e">
        <f>Nodes!S1098+"'E4!'H&gt;"</f>
        <v>#VALUE!</v>
      </c>
      <c r="W136" s="547" t="e">
        <f>Nodes!T1098+"'E4!'H?"</f>
        <v>#VALUE!</v>
      </c>
      <c r="X136" s="548" t="e">
        <f>Nodes!U1098+"'E4!'H@"</f>
        <v>#VALUE!</v>
      </c>
      <c r="Y136" s="548" t="e">
        <f>Nodes!V1098+"'E4!'HA"</f>
        <v>#VALUE!</v>
      </c>
      <c r="Z136" s="547" t="e">
        <f>Nodes!W1098+"'E4!'HB"</f>
        <v>#VALUE!</v>
      </c>
      <c r="AA136" t="e">
        <f>Nodes!X1098+"'E4!'HC"</f>
        <v>#VALUE!</v>
      </c>
      <c r="AB136" t="e">
        <f>Nodes!Y1098+"'E4!'HD"</f>
        <v>#VALUE!</v>
      </c>
      <c r="AC136" t="e">
        <f>Nodes!Z1098+"'E4!'HE"</f>
        <v>#VALUE!</v>
      </c>
      <c r="AD136" t="e">
        <f>Nodes!AA1098+"'E4!'HF"</f>
        <v>#VALUE!</v>
      </c>
      <c r="AE136" s="547" t="e">
        <f>Nodes!AB1098+"'E4!'HG"</f>
        <v>#VALUE!</v>
      </c>
      <c r="AF136" t="e">
        <f>Nodes!AC1098+"'E4!'HH"</f>
        <v>#VALUE!</v>
      </c>
      <c r="AG136" t="e">
        <f>Nodes!A1099+"'E4!'HI"</f>
        <v>#VALUE!</v>
      </c>
      <c r="AH136" t="e">
        <f>Nodes!B1099+"'E4!'HJ"</f>
        <v>#VALUE!</v>
      </c>
      <c r="AI136" t="e">
        <f>Nodes!C1099+"'E4!'HK"</f>
        <v>#VALUE!</v>
      </c>
      <c r="AJ136" t="e">
        <f>Nodes!D1099+"'E4!'HL"</f>
        <v>#VALUE!</v>
      </c>
      <c r="AK136" t="e">
        <f>Nodes!E1099+"'E4!'HM"</f>
        <v>#VALUE!</v>
      </c>
      <c r="AL136" t="e">
        <f>Nodes!F1099+"'E4!'HN"</f>
        <v>#VALUE!</v>
      </c>
      <c r="AM136" t="e">
        <f>Nodes!G1099+"'E4!'HO"</f>
        <v>#VALUE!</v>
      </c>
      <c r="AN136" t="e">
        <f>Nodes!H1099+"'E4!'HP"</f>
        <v>#VALUE!</v>
      </c>
      <c r="AO136" t="e">
        <f>Nodes!I1099+"'E4!'HQ"</f>
        <v>#VALUE!</v>
      </c>
      <c r="AP136" t="e">
        <f>Nodes!J1099+"'E4!'HR"</f>
        <v>#VALUE!</v>
      </c>
      <c r="AQ136" t="e">
        <f>Nodes!K1099+"'E4!'HS"</f>
        <v>#VALUE!</v>
      </c>
      <c r="AR136" t="e">
        <f>Nodes!L1099+"'E4!'HT"</f>
        <v>#VALUE!</v>
      </c>
      <c r="AS136" t="e">
        <f>Nodes!M1099+"'E4!'HU"</f>
        <v>#VALUE!</v>
      </c>
      <c r="AT136" t="e">
        <f>Nodes!N1099+"'E4!'HV"</f>
        <v>#VALUE!</v>
      </c>
      <c r="AU136" t="e">
        <f>Nodes!O1099+"'E4!'HW"</f>
        <v>#VALUE!</v>
      </c>
      <c r="AV136" t="e">
        <f>Nodes!P1099+"'E4!'HX"</f>
        <v>#VALUE!</v>
      </c>
      <c r="AW136" t="e">
        <f>Nodes!Q1099+"'E4!'HY"</f>
        <v>#VALUE!</v>
      </c>
      <c r="AX136" t="e">
        <f>Nodes!R1099+"'E4!'HZ"</f>
        <v>#VALUE!</v>
      </c>
      <c r="AY136" t="e">
        <f>Nodes!S1099+"'E4!'H["</f>
        <v>#VALUE!</v>
      </c>
      <c r="AZ136" s="547" t="e">
        <f>Nodes!T1099+"'E4!'H\"</f>
        <v>#VALUE!</v>
      </c>
      <c r="BA136" s="548" t="e">
        <f>Nodes!U1099+"'E4!'H]"</f>
        <v>#VALUE!</v>
      </c>
      <c r="BB136" s="548" t="e">
        <f>Nodes!V1099+"'E4!'H^"</f>
        <v>#VALUE!</v>
      </c>
      <c r="BC136" s="547" t="e">
        <f>Nodes!W1099+"'E4!'H_"</f>
        <v>#VALUE!</v>
      </c>
      <c r="BD136" t="e">
        <f>Nodes!X1099+"'E4!'H`"</f>
        <v>#VALUE!</v>
      </c>
      <c r="BE136" t="e">
        <f>Nodes!Y1099+"'E4!'Ha"</f>
        <v>#VALUE!</v>
      </c>
      <c r="BF136" t="e">
        <f>Nodes!Z1099+"'E4!'Hb"</f>
        <v>#VALUE!</v>
      </c>
      <c r="BG136" t="e">
        <f>Nodes!AA1099+"'E4!'Hc"</f>
        <v>#VALUE!</v>
      </c>
      <c r="BH136" s="547" t="e">
        <f>Nodes!AB1099+"'E4!'Hd"</f>
        <v>#VALUE!</v>
      </c>
      <c r="BI136" t="e">
        <f>Nodes!AC1099+"'E4!'He"</f>
        <v>#VALUE!</v>
      </c>
      <c r="BJ136" t="e">
        <f>Nodes!A1100+"'E4!'Hf"</f>
        <v>#VALUE!</v>
      </c>
      <c r="BK136" t="e">
        <f>Nodes!B1100+"'E4!'Hg"</f>
        <v>#VALUE!</v>
      </c>
      <c r="BL136" t="e">
        <f>Nodes!C1100+"'E4!'Hh"</f>
        <v>#VALUE!</v>
      </c>
      <c r="BM136" t="e">
        <f>Nodes!D1100+"'E4!'Hi"</f>
        <v>#VALUE!</v>
      </c>
      <c r="BN136" t="e">
        <f>Nodes!E1100+"'E4!'Hj"</f>
        <v>#VALUE!</v>
      </c>
      <c r="BO136" t="e">
        <f>Nodes!F1100+"'E4!'Hk"</f>
        <v>#VALUE!</v>
      </c>
      <c r="BP136" t="e">
        <f>Nodes!G1100+"'E4!'Hl"</f>
        <v>#VALUE!</v>
      </c>
      <c r="BQ136" t="e">
        <f>Nodes!H1100+"'E4!'Hm"</f>
        <v>#VALUE!</v>
      </c>
      <c r="BR136" t="e">
        <f>Nodes!I1100+"'E4!'Hn"</f>
        <v>#VALUE!</v>
      </c>
      <c r="BS136" t="e">
        <f>Nodes!J1100+"'E4!'Ho"</f>
        <v>#VALUE!</v>
      </c>
      <c r="BT136" t="e">
        <f>Nodes!K1100+"'E4!'Hp"</f>
        <v>#VALUE!</v>
      </c>
      <c r="BU136" t="e">
        <f>Nodes!L1100+"'E4!'Hq"</f>
        <v>#VALUE!</v>
      </c>
      <c r="BV136" t="e">
        <f>Nodes!M1100+"'E4!'Hr"</f>
        <v>#VALUE!</v>
      </c>
      <c r="BW136" t="e">
        <f>Nodes!N1100+"'E4!'Hs"</f>
        <v>#VALUE!</v>
      </c>
      <c r="BX136" t="e">
        <f>Nodes!O1100+"'E4!'Ht"</f>
        <v>#VALUE!</v>
      </c>
      <c r="BY136" t="e">
        <f>Nodes!P1100+"'E4!'Hu"</f>
        <v>#VALUE!</v>
      </c>
      <c r="BZ136" t="e">
        <f>Nodes!Q1100+"'E4!'Hv"</f>
        <v>#VALUE!</v>
      </c>
      <c r="CA136" t="e">
        <f>Nodes!R1100+"'E4!'Hw"</f>
        <v>#VALUE!</v>
      </c>
      <c r="CB136" t="e">
        <f>Nodes!S1100+"'E4!'Hx"</f>
        <v>#VALUE!</v>
      </c>
      <c r="CC136" s="547" t="e">
        <f>Nodes!T1100+"'E4!'Hy"</f>
        <v>#VALUE!</v>
      </c>
      <c r="CD136" s="548" t="e">
        <f>Nodes!U1100+"'E4!'Hz"</f>
        <v>#VALUE!</v>
      </c>
      <c r="CE136" s="548" t="e">
        <f>Nodes!V1100+"'E4!'H{"</f>
        <v>#VALUE!</v>
      </c>
      <c r="CF136" s="547" t="e">
        <f>Nodes!W1100+"'E4!'H|"</f>
        <v>#VALUE!</v>
      </c>
      <c r="CG136" t="e">
        <f>Nodes!X1100+"'E4!'H}"</f>
        <v>#VALUE!</v>
      </c>
      <c r="CH136" t="e">
        <f>Nodes!Y1100+"'E4!'H~"</f>
        <v>#VALUE!</v>
      </c>
      <c r="CI136" t="e">
        <f>Nodes!Z1100+"'E4!'I#"</f>
        <v>#VALUE!</v>
      </c>
      <c r="CJ136" t="e">
        <f>Nodes!AA1100+"'E4!'I$"</f>
        <v>#VALUE!</v>
      </c>
      <c r="CK136" s="547" t="e">
        <f>Nodes!AB1100+"'E4!'I%"</f>
        <v>#VALUE!</v>
      </c>
      <c r="CL136" t="e">
        <f>Nodes!AC1100+"'E4!'I&amp;"</f>
        <v>#VALUE!</v>
      </c>
      <c r="CM136" t="e">
        <f>Nodes!A1101+"'E4!'I'"</f>
        <v>#VALUE!</v>
      </c>
      <c r="CN136" t="e">
        <f>Nodes!B1101+"'E4!'I("</f>
        <v>#VALUE!</v>
      </c>
      <c r="CO136" t="e">
        <f>Nodes!C1101+"'E4!'I)"</f>
        <v>#VALUE!</v>
      </c>
      <c r="CP136" t="e">
        <f>Nodes!D1101+"'E4!'I."</f>
        <v>#VALUE!</v>
      </c>
      <c r="CQ136" t="e">
        <f>Nodes!E1101+"'E4!'I/"</f>
        <v>#VALUE!</v>
      </c>
      <c r="CR136" t="e">
        <f>Nodes!F1101+"'E4!'I0"</f>
        <v>#VALUE!</v>
      </c>
      <c r="CS136" t="e">
        <f>Nodes!G1101+"'E4!'I1"</f>
        <v>#VALUE!</v>
      </c>
      <c r="CT136" t="e">
        <f>Nodes!H1101+"'E4!'I2"</f>
        <v>#VALUE!</v>
      </c>
      <c r="CU136" t="e">
        <f>Nodes!I1101+"'E4!'I3"</f>
        <v>#VALUE!</v>
      </c>
      <c r="CV136" t="e">
        <f>Nodes!J1101+"'E4!'I4"</f>
        <v>#VALUE!</v>
      </c>
      <c r="CW136" t="e">
        <f>Nodes!K1101+"'E4!'I5"</f>
        <v>#VALUE!</v>
      </c>
      <c r="CX136" t="e">
        <f>Nodes!L1101+"'E4!'I6"</f>
        <v>#VALUE!</v>
      </c>
      <c r="CY136" t="e">
        <f>Nodes!M1101+"'E4!'I7"</f>
        <v>#VALUE!</v>
      </c>
      <c r="CZ136" t="e">
        <f>Nodes!N1101+"'E4!'I8"</f>
        <v>#VALUE!</v>
      </c>
      <c r="DA136" t="e">
        <f>Nodes!O1101+"'E4!'I9"</f>
        <v>#VALUE!</v>
      </c>
      <c r="DB136" t="e">
        <f>Nodes!P1101+"'E4!'I:"</f>
        <v>#VALUE!</v>
      </c>
      <c r="DC136" t="e">
        <f>Nodes!Q1101+"'E4!'I;"</f>
        <v>#VALUE!</v>
      </c>
      <c r="DD136" t="e">
        <f>Nodes!R1101+"'E4!'I&lt;"</f>
        <v>#VALUE!</v>
      </c>
      <c r="DE136" t="e">
        <f>Nodes!S1101+"'E4!'I="</f>
        <v>#VALUE!</v>
      </c>
      <c r="DF136" s="547" t="e">
        <f>Nodes!T1101+"'E4!'I&gt;"</f>
        <v>#VALUE!</v>
      </c>
      <c r="DG136" s="548" t="e">
        <f>Nodes!U1101+"'E4!'I?"</f>
        <v>#VALUE!</v>
      </c>
      <c r="DH136" s="548" t="e">
        <f>Nodes!V1101+"'E4!'I@"</f>
        <v>#VALUE!</v>
      </c>
      <c r="DI136" s="547" t="e">
        <f>Nodes!W1101+"'E4!'IA"</f>
        <v>#VALUE!</v>
      </c>
      <c r="DJ136" t="e">
        <f>Nodes!X1101+"'E4!'IB"</f>
        <v>#VALUE!</v>
      </c>
      <c r="DK136" t="e">
        <f>Nodes!Y1101+"'E4!'IC"</f>
        <v>#VALUE!</v>
      </c>
      <c r="DL136" t="e">
        <f>Nodes!Z1101+"'E4!'ID"</f>
        <v>#VALUE!</v>
      </c>
      <c r="DM136" t="e">
        <f>Nodes!AA1101+"'E4!'IE"</f>
        <v>#VALUE!</v>
      </c>
      <c r="DN136" s="547" t="e">
        <f>Nodes!AB1101+"'E4!'IF"</f>
        <v>#VALUE!</v>
      </c>
      <c r="DO136" t="e">
        <f>Nodes!AC1101+"'E4!'IG"</f>
        <v>#VALUE!</v>
      </c>
      <c r="DP136" t="e">
        <f>Nodes!A1102+"'E4!'IH"</f>
        <v>#VALUE!</v>
      </c>
      <c r="DQ136" t="e">
        <f>Nodes!B1102+"'E4!'II"</f>
        <v>#VALUE!</v>
      </c>
      <c r="DR136" t="e">
        <f>Nodes!C1102+"'E4!'IJ"</f>
        <v>#VALUE!</v>
      </c>
      <c r="DS136" t="e">
        <f>Nodes!D1102+"'E4!'IK"</f>
        <v>#VALUE!</v>
      </c>
      <c r="DT136" t="e">
        <f>Nodes!E1102+"'E4!'IL"</f>
        <v>#VALUE!</v>
      </c>
      <c r="DU136" t="e">
        <f>Nodes!F1102+"'E4!'IM"</f>
        <v>#VALUE!</v>
      </c>
      <c r="DV136" t="e">
        <f>Nodes!G1102+"'E4!'IN"</f>
        <v>#VALUE!</v>
      </c>
      <c r="DW136" t="e">
        <f>Nodes!H1102+"'E4!'IO"</f>
        <v>#VALUE!</v>
      </c>
      <c r="DX136" t="e">
        <f>Nodes!I1102+"'E4!'IP"</f>
        <v>#VALUE!</v>
      </c>
      <c r="DY136" t="e">
        <f>Nodes!J1102+"'E4!'IQ"</f>
        <v>#VALUE!</v>
      </c>
      <c r="DZ136" t="e">
        <f>Nodes!K1102+"'E4!'IR"</f>
        <v>#VALUE!</v>
      </c>
      <c r="EA136" t="e">
        <f>Nodes!L1102+"'E4!'IS"</f>
        <v>#VALUE!</v>
      </c>
      <c r="EB136" t="e">
        <f>Nodes!M1102+"'E4!'IT"</f>
        <v>#VALUE!</v>
      </c>
      <c r="EC136" t="e">
        <f>Nodes!N1102+"'E4!'IU"</f>
        <v>#VALUE!</v>
      </c>
      <c r="ED136" t="e">
        <f>Nodes!O1102+"'E4!'IV"</f>
        <v>#VALUE!</v>
      </c>
      <c r="EE136" t="e">
        <f>Nodes!P1102+"'E4!'IW"</f>
        <v>#VALUE!</v>
      </c>
      <c r="EF136" t="e">
        <f>Nodes!Q1102+"'E4!'IX"</f>
        <v>#VALUE!</v>
      </c>
      <c r="EG136" t="e">
        <f>Nodes!R1102+"'E4!'IY"</f>
        <v>#VALUE!</v>
      </c>
      <c r="EH136" t="e">
        <f>Nodes!S1102+"'E4!'IZ"</f>
        <v>#VALUE!</v>
      </c>
      <c r="EI136" s="547" t="e">
        <f>Nodes!T1102+"'E4!'I["</f>
        <v>#VALUE!</v>
      </c>
      <c r="EJ136" s="548" t="e">
        <f>Nodes!U1102+"'E4!'I\"</f>
        <v>#VALUE!</v>
      </c>
      <c r="EK136" s="548" t="e">
        <f>Nodes!V1102+"'E4!'I]"</f>
        <v>#VALUE!</v>
      </c>
      <c r="EL136" s="547" t="e">
        <f>Nodes!W1102+"'E4!'I^"</f>
        <v>#VALUE!</v>
      </c>
      <c r="EM136" t="e">
        <f>Nodes!X1102+"'E4!'I_"</f>
        <v>#VALUE!</v>
      </c>
      <c r="EN136" t="e">
        <f>Nodes!Y1102+"'E4!'I`"</f>
        <v>#VALUE!</v>
      </c>
      <c r="EO136" t="e">
        <f>Nodes!Z1102+"'E4!'Ia"</f>
        <v>#VALUE!</v>
      </c>
      <c r="EP136" t="e">
        <f>Nodes!AA1102+"'E4!'Ib"</f>
        <v>#VALUE!</v>
      </c>
      <c r="EQ136" s="547" t="e">
        <f>Nodes!AB1102+"'E4!'Ic"</f>
        <v>#VALUE!</v>
      </c>
      <c r="ER136" t="e">
        <f>Nodes!AC1102+"'E4!'Id"</f>
        <v>#VALUE!</v>
      </c>
      <c r="ES136" t="e">
        <f>Nodes!A1103+"'E4!'Ie"</f>
        <v>#VALUE!</v>
      </c>
      <c r="ET136" t="e">
        <f>Nodes!B1103+"'E4!'If"</f>
        <v>#VALUE!</v>
      </c>
      <c r="EU136" t="e">
        <f>Nodes!C1103+"'E4!'Ig"</f>
        <v>#VALUE!</v>
      </c>
      <c r="EV136" t="e">
        <f>Nodes!D1103+"'E4!'Ih"</f>
        <v>#VALUE!</v>
      </c>
      <c r="EW136" t="e">
        <f>Nodes!E1103+"'E4!'Ii"</f>
        <v>#VALUE!</v>
      </c>
      <c r="EX136" t="e">
        <f>Nodes!F1103+"'E4!'Ij"</f>
        <v>#VALUE!</v>
      </c>
      <c r="EY136" t="e">
        <f>Nodes!G1103+"'E4!'Ik"</f>
        <v>#VALUE!</v>
      </c>
      <c r="EZ136" t="e">
        <f>Nodes!H1103+"'E4!'Il"</f>
        <v>#VALUE!</v>
      </c>
      <c r="FA136" t="e">
        <f>Nodes!I1103+"'E4!'Im"</f>
        <v>#VALUE!</v>
      </c>
      <c r="FB136" t="e">
        <f>Nodes!J1103+"'E4!'In"</f>
        <v>#VALUE!</v>
      </c>
      <c r="FC136" t="e">
        <f>Nodes!K1103+"'E4!'Io"</f>
        <v>#VALUE!</v>
      </c>
      <c r="FD136" t="e">
        <f>Nodes!L1103+"'E4!'Ip"</f>
        <v>#VALUE!</v>
      </c>
      <c r="FE136" t="e">
        <f>Nodes!M1103+"'E4!'Iq"</f>
        <v>#VALUE!</v>
      </c>
      <c r="FF136" t="e">
        <f>Nodes!N1103+"'E4!'Ir"</f>
        <v>#VALUE!</v>
      </c>
      <c r="FG136" t="e">
        <f>Nodes!O1103+"'E4!'Is"</f>
        <v>#VALUE!</v>
      </c>
      <c r="FH136" t="e">
        <f>Nodes!P1103+"'E4!'It"</f>
        <v>#VALUE!</v>
      </c>
      <c r="FI136" t="e">
        <f>Nodes!Q1103+"'E4!'Iu"</f>
        <v>#VALUE!</v>
      </c>
      <c r="FJ136" t="e">
        <f>Nodes!R1103+"'E4!'Iv"</f>
        <v>#VALUE!</v>
      </c>
      <c r="FK136" t="e">
        <f>Nodes!S1103+"'E4!'Iw"</f>
        <v>#VALUE!</v>
      </c>
      <c r="FL136" s="547" t="e">
        <f>Nodes!T1103+"'E4!'Ix"</f>
        <v>#VALUE!</v>
      </c>
      <c r="FM136" s="548" t="e">
        <f>Nodes!U1103+"'E4!'Iy"</f>
        <v>#VALUE!</v>
      </c>
      <c r="FN136" s="548" t="e">
        <f>Nodes!V1103+"'E4!'Iz"</f>
        <v>#VALUE!</v>
      </c>
      <c r="FO136" s="547" t="e">
        <f>Nodes!W1103+"'E4!'I{"</f>
        <v>#VALUE!</v>
      </c>
      <c r="FP136" t="e">
        <f>Nodes!X1103+"'E4!'I|"</f>
        <v>#VALUE!</v>
      </c>
      <c r="FQ136" t="e">
        <f>Nodes!Y1103+"'E4!'I}"</f>
        <v>#VALUE!</v>
      </c>
      <c r="FR136" t="e">
        <f>Nodes!Z1103+"'E4!'I~"</f>
        <v>#VALUE!</v>
      </c>
      <c r="FS136" t="e">
        <f>Nodes!AA1103+"'E4!'J#"</f>
        <v>#VALUE!</v>
      </c>
      <c r="FT136" s="547" t="e">
        <f>Nodes!AB1103+"'E4!'J$"</f>
        <v>#VALUE!</v>
      </c>
      <c r="FU136" t="e">
        <f>Nodes!AC1103+"'E4!'J%"</f>
        <v>#VALUE!</v>
      </c>
      <c r="FV136" t="e">
        <f>Nodes!A1104+"'E4!'J&amp;"</f>
        <v>#VALUE!</v>
      </c>
      <c r="FW136" t="e">
        <f>Nodes!B1104+"'E4!'J'"</f>
        <v>#VALUE!</v>
      </c>
      <c r="FX136" t="e">
        <f>Nodes!C1104+"'E4!'J("</f>
        <v>#VALUE!</v>
      </c>
      <c r="FY136" t="e">
        <f>Nodes!D1104+"'E4!'J)"</f>
        <v>#VALUE!</v>
      </c>
      <c r="FZ136" t="e">
        <f>Nodes!E1104+"'E4!'J."</f>
        <v>#VALUE!</v>
      </c>
      <c r="GA136" t="e">
        <f>Nodes!F1104+"'E4!'J/"</f>
        <v>#VALUE!</v>
      </c>
      <c r="GB136" t="e">
        <f>Nodes!G1104+"'E4!'J0"</f>
        <v>#VALUE!</v>
      </c>
      <c r="GC136" t="e">
        <f>Nodes!H1104+"'E4!'J1"</f>
        <v>#VALUE!</v>
      </c>
      <c r="GD136" t="e">
        <f>Nodes!I1104+"'E4!'J2"</f>
        <v>#VALUE!</v>
      </c>
      <c r="GE136" t="e">
        <f>Nodes!J1104+"'E4!'J3"</f>
        <v>#VALUE!</v>
      </c>
      <c r="GF136" t="e">
        <f>Nodes!K1104+"'E4!'J4"</f>
        <v>#VALUE!</v>
      </c>
      <c r="GG136" t="e">
        <f>Nodes!L1104+"'E4!'J5"</f>
        <v>#VALUE!</v>
      </c>
      <c r="GH136" t="e">
        <f>Nodes!M1104+"'E4!'J6"</f>
        <v>#VALUE!</v>
      </c>
      <c r="GI136" t="e">
        <f>Nodes!N1104+"'E4!'J7"</f>
        <v>#VALUE!</v>
      </c>
      <c r="GJ136" t="e">
        <f>Nodes!O1104+"'E4!'J8"</f>
        <v>#VALUE!</v>
      </c>
      <c r="GK136" t="e">
        <f>Nodes!P1104+"'E4!'J9"</f>
        <v>#VALUE!</v>
      </c>
      <c r="GL136" t="e">
        <f>Nodes!Q1104+"'E4!'J:"</f>
        <v>#VALUE!</v>
      </c>
      <c r="GM136" t="e">
        <f>Nodes!R1104+"'E4!'J;"</f>
        <v>#VALUE!</v>
      </c>
      <c r="GN136" t="e">
        <f>Nodes!S1104+"'E4!'J&lt;"</f>
        <v>#VALUE!</v>
      </c>
      <c r="GO136" s="547" t="e">
        <f>Nodes!T1104+"'E4!'J="</f>
        <v>#VALUE!</v>
      </c>
      <c r="GP136" s="548" t="e">
        <f>Nodes!U1104+"'E4!'J&gt;"</f>
        <v>#VALUE!</v>
      </c>
      <c r="GQ136" s="548" t="e">
        <f>Nodes!V1104+"'E4!'J?"</f>
        <v>#VALUE!</v>
      </c>
      <c r="GR136" s="547" t="e">
        <f>Nodes!W1104+"'E4!'J@"</f>
        <v>#VALUE!</v>
      </c>
      <c r="GS136" t="e">
        <f>Nodes!X1104+"'E4!'JA"</f>
        <v>#VALUE!</v>
      </c>
      <c r="GT136" t="e">
        <f>Nodes!Y1104+"'E4!'JB"</f>
        <v>#VALUE!</v>
      </c>
      <c r="GU136" t="e">
        <f>Nodes!Z1104+"'E4!'JC"</f>
        <v>#VALUE!</v>
      </c>
      <c r="GV136" t="e">
        <f>Nodes!AA1104+"'E4!'JD"</f>
        <v>#VALUE!</v>
      </c>
      <c r="GW136" s="547" t="e">
        <f>Nodes!AB1104+"'E4!'JE"</f>
        <v>#VALUE!</v>
      </c>
      <c r="GX136" t="e">
        <f>Nodes!AC1104+"'E4!'JF"</f>
        <v>#VALUE!</v>
      </c>
      <c r="GY136" t="e">
        <f>Nodes!A1105+"'E4!'JG"</f>
        <v>#VALUE!</v>
      </c>
      <c r="GZ136" t="e">
        <f>Nodes!B1105+"'E4!'JH"</f>
        <v>#VALUE!</v>
      </c>
      <c r="HA136" t="e">
        <f>Nodes!C1105+"'E4!'JI"</f>
        <v>#VALUE!</v>
      </c>
      <c r="HB136" t="e">
        <f>Nodes!D1105+"'E4!'JJ"</f>
        <v>#VALUE!</v>
      </c>
      <c r="HC136" t="e">
        <f>Nodes!E1105+"'E4!'JK"</f>
        <v>#VALUE!</v>
      </c>
      <c r="HD136" t="e">
        <f>Nodes!F1105+"'E4!'JL"</f>
        <v>#VALUE!</v>
      </c>
      <c r="HE136" t="e">
        <f>Nodes!G1105+"'E4!'JM"</f>
        <v>#VALUE!</v>
      </c>
      <c r="HF136" t="e">
        <f>Nodes!H1105+"'E4!'JN"</f>
        <v>#VALUE!</v>
      </c>
      <c r="HG136" t="e">
        <f>Nodes!I1105+"'E4!'JO"</f>
        <v>#VALUE!</v>
      </c>
      <c r="HH136" t="e">
        <f>Nodes!J1105+"'E4!'JP"</f>
        <v>#VALUE!</v>
      </c>
      <c r="HI136" t="e">
        <f>Nodes!K1105+"'E4!'JQ"</f>
        <v>#VALUE!</v>
      </c>
      <c r="HJ136" t="e">
        <f>Nodes!L1105+"'E4!'JR"</f>
        <v>#VALUE!</v>
      </c>
      <c r="HK136" t="e">
        <f>Nodes!M1105+"'E4!'JS"</f>
        <v>#VALUE!</v>
      </c>
      <c r="HL136" t="e">
        <f>Nodes!N1105+"'E4!'JT"</f>
        <v>#VALUE!</v>
      </c>
      <c r="HM136" t="e">
        <f>Nodes!O1105+"'E4!'JU"</f>
        <v>#VALUE!</v>
      </c>
      <c r="HN136" t="e">
        <f>Nodes!P1105+"'E4!'JV"</f>
        <v>#VALUE!</v>
      </c>
      <c r="HO136" t="e">
        <f>Nodes!Q1105+"'E4!'JW"</f>
        <v>#VALUE!</v>
      </c>
      <c r="HP136" t="e">
        <f>Nodes!R1105+"'E4!'JX"</f>
        <v>#VALUE!</v>
      </c>
      <c r="HQ136" t="e">
        <f>Nodes!S1105+"'E4!'JY"</f>
        <v>#VALUE!</v>
      </c>
      <c r="HR136" s="547" t="e">
        <f>Nodes!T1105+"'E4!'JZ"</f>
        <v>#VALUE!</v>
      </c>
      <c r="HS136" s="548" t="e">
        <f>Nodes!U1105+"'E4!'J["</f>
        <v>#VALUE!</v>
      </c>
      <c r="HT136" s="548" t="e">
        <f>Nodes!V1105+"'E4!'J\"</f>
        <v>#VALUE!</v>
      </c>
      <c r="HU136" s="547" t="e">
        <f>Nodes!W1105+"'E4!'J]"</f>
        <v>#VALUE!</v>
      </c>
      <c r="HV136" t="e">
        <f>Nodes!X1105+"'E4!'J^"</f>
        <v>#VALUE!</v>
      </c>
      <c r="HW136" t="e">
        <f>Nodes!Y1105+"'E4!'J_"</f>
        <v>#VALUE!</v>
      </c>
      <c r="HX136" t="e">
        <f>Nodes!Z1105+"'E4!'J`"</f>
        <v>#VALUE!</v>
      </c>
      <c r="HY136" t="e">
        <f>Nodes!AA1105+"'E4!'Ja"</f>
        <v>#VALUE!</v>
      </c>
      <c r="HZ136" s="547" t="e">
        <f>Nodes!AB1105+"'E4!'Jb"</f>
        <v>#VALUE!</v>
      </c>
      <c r="IA136" t="e">
        <f>Nodes!AC1105+"'E4!'Jc"</f>
        <v>#VALUE!</v>
      </c>
      <c r="IB136" t="e">
        <f>Nodes!A1106+"'E4!'Jd"</f>
        <v>#VALUE!</v>
      </c>
      <c r="IC136" t="e">
        <f>Nodes!B1106+"'E4!'Je"</f>
        <v>#VALUE!</v>
      </c>
      <c r="ID136" t="e">
        <f>Nodes!C1106+"'E4!'Jf"</f>
        <v>#VALUE!</v>
      </c>
      <c r="IE136" t="e">
        <f>Nodes!D1106+"'E4!'Jg"</f>
        <v>#VALUE!</v>
      </c>
      <c r="IF136" t="e">
        <f>Nodes!E1106+"'E4!'Jh"</f>
        <v>#VALUE!</v>
      </c>
      <c r="IG136" t="e">
        <f>Nodes!F1106+"'E4!'Ji"</f>
        <v>#VALUE!</v>
      </c>
      <c r="IH136" t="e">
        <f>Nodes!G1106+"'E4!'Jj"</f>
        <v>#VALUE!</v>
      </c>
      <c r="II136" t="e">
        <f>Nodes!H1106+"'E4!'Jk"</f>
        <v>#VALUE!</v>
      </c>
      <c r="IJ136" t="e">
        <f>Nodes!I1106+"'E4!'Jl"</f>
        <v>#VALUE!</v>
      </c>
      <c r="IK136" t="e">
        <f>Nodes!J1106+"'E4!'Jm"</f>
        <v>#VALUE!</v>
      </c>
      <c r="IL136" t="e">
        <f>Nodes!K1106+"'E4!'Jn"</f>
        <v>#VALUE!</v>
      </c>
      <c r="IM136" t="e">
        <f>Nodes!L1106+"'E4!'Jo"</f>
        <v>#VALUE!</v>
      </c>
      <c r="IN136" t="e">
        <f>Nodes!M1106+"'E4!'Jp"</f>
        <v>#VALUE!</v>
      </c>
      <c r="IO136" t="e">
        <f>Nodes!N1106+"'E4!'Jq"</f>
        <v>#VALUE!</v>
      </c>
      <c r="IP136" t="e">
        <f>Nodes!O1106+"'E4!'Jr"</f>
        <v>#VALUE!</v>
      </c>
      <c r="IQ136" t="e">
        <f>Nodes!P1106+"'E4!'Js"</f>
        <v>#VALUE!</v>
      </c>
      <c r="IR136" t="e">
        <f>Nodes!Q1106+"'E4!'Jt"</f>
        <v>#VALUE!</v>
      </c>
      <c r="IS136" t="e">
        <f>Nodes!R1106+"'E4!'Ju"</f>
        <v>#VALUE!</v>
      </c>
      <c r="IT136" t="e">
        <f>Nodes!S1106+"'E4!'Jv"</f>
        <v>#VALUE!</v>
      </c>
      <c r="IU136" s="547" t="e">
        <f>Nodes!T1106+"'E4!'Jw"</f>
        <v>#VALUE!</v>
      </c>
      <c r="IV136" s="548" t="e">
        <f>Nodes!U1106+"'E4!'Jx"</f>
        <v>#VALUE!</v>
      </c>
    </row>
    <row r="137" spans="6:256">
      <c r="F137" s="548" t="e">
        <f>Nodes!V1106+"'E4!'Jy"</f>
        <v>#VALUE!</v>
      </c>
      <c r="G137" s="547" t="e">
        <f>Nodes!W1106+"'E4!'Jz"</f>
        <v>#VALUE!</v>
      </c>
      <c r="H137" t="e">
        <f>Nodes!X1106+"'E4!'J{"</f>
        <v>#VALUE!</v>
      </c>
      <c r="I137" t="e">
        <f>Nodes!Y1106+"'E4!'J|"</f>
        <v>#VALUE!</v>
      </c>
      <c r="J137" t="e">
        <f>Nodes!Z1106+"'E4!'J}"</f>
        <v>#VALUE!</v>
      </c>
      <c r="K137" t="e">
        <f>Nodes!AA1106+"'E4!'J~"</f>
        <v>#VALUE!</v>
      </c>
      <c r="L137" s="547" t="e">
        <f>Nodes!AB1106+"'E4!'K#"</f>
        <v>#VALUE!</v>
      </c>
      <c r="M137" t="e">
        <f>Nodes!AC1106+"'E4!'K$"</f>
        <v>#VALUE!</v>
      </c>
      <c r="N137" t="e">
        <f>Nodes!A1107+"'E4!'K%"</f>
        <v>#VALUE!</v>
      </c>
      <c r="O137" t="e">
        <f>Nodes!B1107+"'E4!'K&amp;"</f>
        <v>#VALUE!</v>
      </c>
      <c r="P137" t="e">
        <f>Nodes!C1107+"'E4!'K'"</f>
        <v>#VALUE!</v>
      </c>
      <c r="Q137" t="e">
        <f>Nodes!D1107+"'E4!'K("</f>
        <v>#VALUE!</v>
      </c>
      <c r="R137" t="e">
        <f>Nodes!E1107+"'E4!'K)"</f>
        <v>#VALUE!</v>
      </c>
      <c r="S137" t="e">
        <f>Nodes!F1107+"'E4!'K."</f>
        <v>#VALUE!</v>
      </c>
      <c r="T137" t="e">
        <f>Nodes!G1107+"'E4!'K/"</f>
        <v>#VALUE!</v>
      </c>
      <c r="U137" t="e">
        <f>Nodes!H1107+"'E4!'K0"</f>
        <v>#VALUE!</v>
      </c>
      <c r="V137" t="e">
        <f>Nodes!I1107+"'E4!'K1"</f>
        <v>#VALUE!</v>
      </c>
      <c r="W137" t="e">
        <f>Nodes!J1107+"'E4!'K2"</f>
        <v>#VALUE!</v>
      </c>
      <c r="X137" t="e">
        <f>Nodes!K1107+"'E4!'K3"</f>
        <v>#VALUE!</v>
      </c>
      <c r="Y137" t="e">
        <f>Nodes!L1107+"'E4!'K4"</f>
        <v>#VALUE!</v>
      </c>
      <c r="Z137" t="e">
        <f>Nodes!M1107+"'E4!'K5"</f>
        <v>#VALUE!</v>
      </c>
      <c r="AA137" t="e">
        <f>Nodes!N1107+"'E4!'K6"</f>
        <v>#VALUE!</v>
      </c>
      <c r="AB137" t="e">
        <f>Nodes!O1107+"'E4!'K7"</f>
        <v>#VALUE!</v>
      </c>
      <c r="AC137" t="e">
        <f>Nodes!P1107+"'E4!'K8"</f>
        <v>#VALUE!</v>
      </c>
      <c r="AD137" t="e">
        <f>Nodes!Q1107+"'E4!'K9"</f>
        <v>#VALUE!</v>
      </c>
      <c r="AE137" t="e">
        <f>Nodes!R1107+"'E4!'K:"</f>
        <v>#VALUE!</v>
      </c>
      <c r="AF137" t="e">
        <f>Nodes!S1107+"'E4!'K;"</f>
        <v>#VALUE!</v>
      </c>
      <c r="AG137" s="547" t="e">
        <f>Nodes!T1107+"'E4!'K&lt;"</f>
        <v>#VALUE!</v>
      </c>
      <c r="AH137" s="548" t="e">
        <f>Nodes!U1107+"'E4!'K="</f>
        <v>#VALUE!</v>
      </c>
      <c r="AI137" s="548" t="e">
        <f>Nodes!V1107+"'E4!'K&gt;"</f>
        <v>#VALUE!</v>
      </c>
      <c r="AJ137" s="547" t="e">
        <f>Nodes!W1107+"'E4!'K?"</f>
        <v>#VALUE!</v>
      </c>
      <c r="AK137" t="e">
        <f>Nodes!X1107+"'E4!'K@"</f>
        <v>#VALUE!</v>
      </c>
      <c r="AL137" t="e">
        <f>Nodes!Y1107+"'E4!'KA"</f>
        <v>#VALUE!</v>
      </c>
      <c r="AM137" t="e">
        <f>Nodes!Z1107+"'E4!'KB"</f>
        <v>#VALUE!</v>
      </c>
      <c r="AN137" t="e">
        <f>Nodes!AA1107+"'E4!'KC"</f>
        <v>#VALUE!</v>
      </c>
      <c r="AO137" s="547" t="e">
        <f>Nodes!AB1107+"'E4!'KD"</f>
        <v>#VALUE!</v>
      </c>
      <c r="AP137" s="547" t="e">
        <f>Nodes!AC1107+"'E4!'KE"</f>
        <v>#VALUE!</v>
      </c>
      <c r="AQ137" t="e">
        <f>Nodes!A1108+"'E4!'KF"</f>
        <v>#VALUE!</v>
      </c>
      <c r="AR137" t="e">
        <f>Nodes!B1108+"'E4!'KG"</f>
        <v>#VALUE!</v>
      </c>
      <c r="AS137" t="e">
        <f>Nodes!C1108+"'E4!'KH"</f>
        <v>#VALUE!</v>
      </c>
      <c r="AT137" t="e">
        <f>Nodes!D1108+"'E4!'KI"</f>
        <v>#VALUE!</v>
      </c>
      <c r="AU137" t="e">
        <f>Nodes!E1108+"'E4!'KJ"</f>
        <v>#VALUE!</v>
      </c>
      <c r="AV137" t="e">
        <f>Nodes!F1108+"'E4!'KK"</f>
        <v>#VALUE!</v>
      </c>
      <c r="AW137" t="e">
        <f>Nodes!G1108+"'E4!'KL"</f>
        <v>#VALUE!</v>
      </c>
      <c r="AX137" t="e">
        <f>Nodes!H1108+"'E4!'KM"</f>
        <v>#VALUE!</v>
      </c>
      <c r="AY137" t="e">
        <f>Nodes!I1108+"'E4!'KN"</f>
        <v>#VALUE!</v>
      </c>
      <c r="AZ137" t="e">
        <f>Nodes!J1108+"'E4!'KO"</f>
        <v>#VALUE!</v>
      </c>
      <c r="BA137" t="e">
        <f>Nodes!K1108+"'E4!'KP"</f>
        <v>#VALUE!</v>
      </c>
      <c r="BB137" t="e">
        <f>Nodes!L1108+"'E4!'KQ"</f>
        <v>#VALUE!</v>
      </c>
      <c r="BC137" t="e">
        <f>Nodes!M1108+"'E4!'KR"</f>
        <v>#VALUE!</v>
      </c>
      <c r="BD137" t="e">
        <f>Nodes!N1108+"'E4!'KS"</f>
        <v>#VALUE!</v>
      </c>
      <c r="BE137" t="e">
        <f>Nodes!O1108+"'E4!'KT"</f>
        <v>#VALUE!</v>
      </c>
      <c r="BF137" t="e">
        <f>Nodes!P1108+"'E4!'KU"</f>
        <v>#VALUE!</v>
      </c>
      <c r="BG137" t="e">
        <f>Nodes!Q1108+"'E4!'KV"</f>
        <v>#VALUE!</v>
      </c>
      <c r="BH137" t="e">
        <f>Nodes!R1108+"'E4!'KW"</f>
        <v>#VALUE!</v>
      </c>
      <c r="BI137" s="547" t="e">
        <f>Nodes!S1108+"'E4!'KX"</f>
        <v>#VALUE!</v>
      </c>
      <c r="BJ137" s="547" t="e">
        <f>Nodes!T1108+"'E4!'KY"</f>
        <v>#VALUE!</v>
      </c>
      <c r="BK137" s="548" t="e">
        <f>Nodes!U1108+"'E4!'KZ"</f>
        <v>#VALUE!</v>
      </c>
      <c r="BL137" s="548" t="e">
        <f>Nodes!V1108+"'E4!'K["</f>
        <v>#VALUE!</v>
      </c>
      <c r="BM137" s="547" t="e">
        <f>Nodes!W1108+"'E4!'K\"</f>
        <v>#VALUE!</v>
      </c>
      <c r="BN137" t="e">
        <f>Nodes!X1108+"'E4!'K]"</f>
        <v>#VALUE!</v>
      </c>
      <c r="BO137" t="e">
        <f>Nodes!Y1108+"'E4!'K^"</f>
        <v>#VALUE!</v>
      </c>
      <c r="BP137" t="e">
        <f>Nodes!Z1108+"'E4!'K_"</f>
        <v>#VALUE!</v>
      </c>
      <c r="BQ137" t="e">
        <f>Nodes!AA1108+"'E4!'K`"</f>
        <v>#VALUE!</v>
      </c>
      <c r="BR137" s="547" t="e">
        <f>Nodes!AB1108+"'E4!'Ka"</f>
        <v>#VALUE!</v>
      </c>
      <c r="BS137" t="e">
        <f>Nodes!AC1108+"'E4!'Kb"</f>
        <v>#VALUE!</v>
      </c>
      <c r="BT137" t="e">
        <f>Nodes!A1109+"'E4!'Kc"</f>
        <v>#VALUE!</v>
      </c>
      <c r="BU137" t="e">
        <f>Nodes!B1109+"'E4!'Kd"</f>
        <v>#VALUE!</v>
      </c>
      <c r="BV137" t="e">
        <f>Nodes!C1109+"'E4!'Ke"</f>
        <v>#VALUE!</v>
      </c>
      <c r="BW137" t="e">
        <f>Nodes!D1109+"'E4!'Kf"</f>
        <v>#VALUE!</v>
      </c>
      <c r="BX137" t="e">
        <f>Nodes!E1109+"'E4!'Kg"</f>
        <v>#VALUE!</v>
      </c>
      <c r="BY137" t="e">
        <f>Nodes!F1109+"'E4!'Kh"</f>
        <v>#VALUE!</v>
      </c>
      <c r="BZ137" t="e">
        <f>Nodes!G1109+"'E4!'Ki"</f>
        <v>#VALUE!</v>
      </c>
      <c r="CA137" t="e">
        <f>Nodes!H1109+"'E4!'Kj"</f>
        <v>#VALUE!</v>
      </c>
      <c r="CB137" t="e">
        <f>Nodes!I1109+"'E4!'Kk"</f>
        <v>#VALUE!</v>
      </c>
      <c r="CC137" t="e">
        <f>Nodes!J1109+"'E4!'Kl"</f>
        <v>#VALUE!</v>
      </c>
      <c r="CD137" t="e">
        <f>Nodes!K1109+"'E4!'Km"</f>
        <v>#VALUE!</v>
      </c>
      <c r="CE137" t="e">
        <f>Nodes!L1109+"'E4!'Kn"</f>
        <v>#VALUE!</v>
      </c>
      <c r="CF137" t="e">
        <f>Nodes!M1109+"'E4!'Ko"</f>
        <v>#VALUE!</v>
      </c>
      <c r="CG137" t="e">
        <f>Nodes!N1109+"'E4!'Kp"</f>
        <v>#VALUE!</v>
      </c>
      <c r="CH137" t="e">
        <f>Nodes!O1109+"'E4!'Kq"</f>
        <v>#VALUE!</v>
      </c>
      <c r="CI137" t="e">
        <f>Nodes!P1109+"'E4!'Kr"</f>
        <v>#VALUE!</v>
      </c>
      <c r="CJ137" t="e">
        <f>Nodes!Q1109+"'E4!'Ks"</f>
        <v>#VALUE!</v>
      </c>
      <c r="CK137" t="e">
        <f>Nodes!R1109+"'E4!'Kt"</f>
        <v>#VALUE!</v>
      </c>
      <c r="CL137" s="547" t="e">
        <f>Nodes!S1109+"'E4!'Ku"</f>
        <v>#VALUE!</v>
      </c>
      <c r="CM137" s="547" t="e">
        <f>Nodes!T1109+"'E4!'Kv"</f>
        <v>#VALUE!</v>
      </c>
      <c r="CN137" s="548" t="e">
        <f>Nodes!U1109+"'E4!'Kw"</f>
        <v>#VALUE!</v>
      </c>
      <c r="CO137" s="548" t="e">
        <f>Nodes!V1109+"'E4!'Kx"</f>
        <v>#VALUE!</v>
      </c>
      <c r="CP137" s="547" t="e">
        <f>Nodes!W1109+"'E4!'Ky"</f>
        <v>#VALUE!</v>
      </c>
      <c r="CQ137" t="e">
        <f>Nodes!X1109+"'E4!'Kz"</f>
        <v>#VALUE!</v>
      </c>
      <c r="CR137" t="e">
        <f>Nodes!Y1109+"'E4!'K{"</f>
        <v>#VALUE!</v>
      </c>
      <c r="CS137" t="e">
        <f>Nodes!Z1109+"'E4!'K|"</f>
        <v>#VALUE!</v>
      </c>
      <c r="CT137" t="e">
        <f>Nodes!AA1109+"'E4!'K}"</f>
        <v>#VALUE!</v>
      </c>
      <c r="CU137" s="547" t="e">
        <f>Nodes!AB1109+"'E4!'K~"</f>
        <v>#VALUE!</v>
      </c>
      <c r="CV137" t="e">
        <f>Nodes!AC1109+"'E4!'L#"</f>
        <v>#VALUE!</v>
      </c>
      <c r="CW137" t="e">
        <f>Nodes!A1110+"'E4!'L$"</f>
        <v>#VALUE!</v>
      </c>
      <c r="CX137" t="e">
        <f>Nodes!B1110+"'E4!'L%"</f>
        <v>#VALUE!</v>
      </c>
      <c r="CY137" t="e">
        <f>Nodes!C1110+"'E4!'L&amp;"</f>
        <v>#VALUE!</v>
      </c>
      <c r="CZ137" t="e">
        <f>Nodes!D1110+"'E4!'L'"</f>
        <v>#VALUE!</v>
      </c>
      <c r="DA137" t="e">
        <f>Nodes!E1110+"'E4!'L("</f>
        <v>#VALUE!</v>
      </c>
      <c r="DB137" t="e">
        <f>Nodes!F1110+"'E4!'L)"</f>
        <v>#VALUE!</v>
      </c>
      <c r="DC137" t="e">
        <f>Nodes!G1110+"'E4!'L."</f>
        <v>#VALUE!</v>
      </c>
      <c r="DD137" t="e">
        <f>Nodes!H1110+"'E4!'L/"</f>
        <v>#VALUE!</v>
      </c>
      <c r="DE137" t="e">
        <f>Nodes!I1110+"'E4!'L0"</f>
        <v>#VALUE!</v>
      </c>
      <c r="DF137" t="e">
        <f>Nodes!J1110+"'E4!'L1"</f>
        <v>#VALUE!</v>
      </c>
      <c r="DG137" t="e">
        <f>Nodes!K1110+"'E4!'L2"</f>
        <v>#VALUE!</v>
      </c>
      <c r="DH137" t="e">
        <f>Nodes!L1110+"'E4!'L3"</f>
        <v>#VALUE!</v>
      </c>
      <c r="DI137" t="e">
        <f>Nodes!M1110+"'E4!'L4"</f>
        <v>#VALUE!</v>
      </c>
      <c r="DJ137" t="e">
        <f>Nodes!N1110+"'E4!'L5"</f>
        <v>#VALUE!</v>
      </c>
      <c r="DK137" t="e">
        <f>Nodes!O1110+"'E4!'L6"</f>
        <v>#VALUE!</v>
      </c>
      <c r="DL137" t="e">
        <f>Nodes!P1110+"'E4!'L7"</f>
        <v>#VALUE!</v>
      </c>
      <c r="DM137" t="e">
        <f>Nodes!Q1110+"'E4!'L8"</f>
        <v>#VALUE!</v>
      </c>
      <c r="DN137" t="e">
        <f>Nodes!R1110+"'E4!'L9"</f>
        <v>#N/A</v>
      </c>
      <c r="DO137" s="547" t="e">
        <f>Nodes!S1110+"'E4!'L:"</f>
        <v>#N/A</v>
      </c>
      <c r="DP137" s="547" t="e">
        <f>Nodes!T1110+"'E4!'L;"</f>
        <v>#VALUE!</v>
      </c>
      <c r="DQ137" s="548" t="e">
        <f>Nodes!U1110+"'E4!'L&lt;"</f>
        <v>#N/A</v>
      </c>
      <c r="DR137" s="548" t="e">
        <f>Nodes!V1110+"'E4!'L="</f>
        <v>#N/A</v>
      </c>
      <c r="DS137" s="547" t="e">
        <f>Nodes!W1110+"'E4!'L&gt;"</f>
        <v>#VALUE!</v>
      </c>
      <c r="DT137" t="e">
        <f>Nodes!X1110+"'E4!'L?"</f>
        <v>#VALUE!</v>
      </c>
      <c r="DU137" t="e">
        <f>Nodes!Y1110+"'E4!'L@"</f>
        <v>#VALUE!</v>
      </c>
      <c r="DV137" t="e">
        <f>Nodes!Z1110+"'E4!'LA"</f>
        <v>#VALUE!</v>
      </c>
      <c r="DW137" t="e">
        <f>Nodes!AA1110+"'E4!'LB"</f>
        <v>#VALUE!</v>
      </c>
      <c r="DX137" s="547" t="e">
        <f>Nodes!AB1110+"'E4!'LC"</f>
        <v>#VALUE!</v>
      </c>
      <c r="DY137" t="e">
        <f>Nodes!AC1110+"'E4!'LD"</f>
        <v>#VALUE!</v>
      </c>
      <c r="DZ137" t="e">
        <f>Nodes!A1111+"'E4!'LE"</f>
        <v>#VALUE!</v>
      </c>
      <c r="EA137" t="e">
        <f>Nodes!B1111+"'E4!'LF"</f>
        <v>#VALUE!</v>
      </c>
      <c r="EB137" t="e">
        <f>Nodes!C1111+"'E4!'LG"</f>
        <v>#VALUE!</v>
      </c>
      <c r="EC137" t="e">
        <f>Nodes!D1111+"'E4!'LH"</f>
        <v>#VALUE!</v>
      </c>
      <c r="ED137" t="e">
        <f>Nodes!E1111+"'E4!'LI"</f>
        <v>#VALUE!</v>
      </c>
      <c r="EE137" t="e">
        <f>Nodes!F1111+"'E4!'LJ"</f>
        <v>#VALUE!</v>
      </c>
      <c r="EF137" t="e">
        <f>Nodes!G1111+"'E4!'LK"</f>
        <v>#VALUE!</v>
      </c>
      <c r="EG137" t="e">
        <f>Nodes!H1111+"'E4!'LL"</f>
        <v>#VALUE!</v>
      </c>
      <c r="EH137" t="e">
        <f>Nodes!I1111+"'E4!'LM"</f>
        <v>#VALUE!</v>
      </c>
      <c r="EI137" t="e">
        <f>Nodes!J1111+"'E4!'LN"</f>
        <v>#VALUE!</v>
      </c>
      <c r="EJ137" t="e">
        <f>Nodes!K1111+"'E4!'LO"</f>
        <v>#VALUE!</v>
      </c>
      <c r="EK137" t="e">
        <f>Nodes!L1111+"'E4!'LP"</f>
        <v>#VALUE!</v>
      </c>
      <c r="EL137" t="e">
        <f>Nodes!M1111+"'E4!'LQ"</f>
        <v>#VALUE!</v>
      </c>
      <c r="EM137" t="e">
        <f>Nodes!N1111+"'E4!'LR"</f>
        <v>#VALUE!</v>
      </c>
      <c r="EN137" t="e">
        <f>Nodes!O1111+"'E4!'LS"</f>
        <v>#VALUE!</v>
      </c>
      <c r="EO137" t="e">
        <f>Nodes!P1111+"'E4!'LT"</f>
        <v>#VALUE!</v>
      </c>
      <c r="EP137" t="e">
        <f>Nodes!Q1111+"'E4!'LU"</f>
        <v>#VALUE!</v>
      </c>
      <c r="EQ137" t="e">
        <f>Nodes!R1111+"'E4!'LV"</f>
        <v>#VALUE!</v>
      </c>
      <c r="ER137" s="547" t="e">
        <f>Nodes!S1111+"'E4!'LW"</f>
        <v>#VALUE!</v>
      </c>
      <c r="ES137" s="547" t="e">
        <f>Nodes!T1111+"'E4!'LX"</f>
        <v>#VALUE!</v>
      </c>
      <c r="ET137" s="548" t="e">
        <f>Nodes!U1111+"'E4!'LY"</f>
        <v>#VALUE!</v>
      </c>
      <c r="EU137" s="548" t="e">
        <f>Nodes!V1111+"'E4!'LZ"</f>
        <v>#VALUE!</v>
      </c>
      <c r="EV137" s="547" t="e">
        <f>Nodes!W1111+"'E4!'L["</f>
        <v>#VALUE!</v>
      </c>
      <c r="EW137" t="e">
        <f>Nodes!X1111+"'E4!'L\"</f>
        <v>#VALUE!</v>
      </c>
      <c r="EX137" t="e">
        <f>Nodes!Y1111+"'E4!'L]"</f>
        <v>#VALUE!</v>
      </c>
      <c r="EY137" t="e">
        <f>Nodes!Z1111+"'E4!'L^"</f>
        <v>#VALUE!</v>
      </c>
      <c r="EZ137" t="e">
        <f>Nodes!AA1111+"'E4!'L_"</f>
        <v>#VALUE!</v>
      </c>
      <c r="FA137" s="547" t="e">
        <f>Nodes!AB1111+"'E4!'L`"</f>
        <v>#VALUE!</v>
      </c>
      <c r="FB137" t="e">
        <f>Nodes!AC1111+"'E4!'La"</f>
        <v>#VALUE!</v>
      </c>
      <c r="FC137" t="e">
        <f>Nodes!A1112+"'E4!'Lb"</f>
        <v>#VALUE!</v>
      </c>
      <c r="FD137" t="e">
        <f>Nodes!B1112+"'E4!'Lc"</f>
        <v>#VALUE!</v>
      </c>
      <c r="FE137" t="e">
        <f>Nodes!C1112+"'E4!'Ld"</f>
        <v>#VALUE!</v>
      </c>
      <c r="FF137" t="e">
        <f>Nodes!D1112+"'E4!'Le"</f>
        <v>#VALUE!</v>
      </c>
      <c r="FG137" t="e">
        <f>Nodes!E1112+"'E4!'Lf"</f>
        <v>#VALUE!</v>
      </c>
      <c r="FH137" t="e">
        <f>Nodes!F1112+"'E4!'Lg"</f>
        <v>#VALUE!</v>
      </c>
      <c r="FI137" t="e">
        <f>Nodes!G1112+"'E4!'Lh"</f>
        <v>#VALUE!</v>
      </c>
      <c r="FJ137" t="e">
        <f>Nodes!H1112+"'E4!'Li"</f>
        <v>#VALUE!</v>
      </c>
      <c r="FK137" t="e">
        <f>Nodes!I1112+"'E4!'Lj"</f>
        <v>#VALUE!</v>
      </c>
      <c r="FL137" t="e">
        <f>Nodes!J1112+"'E4!'Lk"</f>
        <v>#VALUE!</v>
      </c>
      <c r="FM137" t="e">
        <f>Nodes!K1112+"'E4!'Ll"</f>
        <v>#VALUE!</v>
      </c>
      <c r="FN137" t="e">
        <f>Nodes!L1112+"'E4!'Lm"</f>
        <v>#VALUE!</v>
      </c>
      <c r="FO137" t="e">
        <f>Nodes!M1112+"'E4!'Ln"</f>
        <v>#VALUE!</v>
      </c>
      <c r="FP137" t="e">
        <f>Nodes!N1112+"'E4!'Lo"</f>
        <v>#VALUE!</v>
      </c>
      <c r="FQ137" t="e">
        <f>Nodes!O1112+"'E4!'Lp"</f>
        <v>#VALUE!</v>
      </c>
      <c r="FR137" t="e">
        <f>Nodes!P1112+"'E4!'Lq"</f>
        <v>#VALUE!</v>
      </c>
      <c r="FS137" t="e">
        <f>Nodes!Q1112+"'E4!'Lr"</f>
        <v>#VALUE!</v>
      </c>
      <c r="FT137" t="e">
        <f>Nodes!R1112+"'E4!'Ls"</f>
        <v>#VALUE!</v>
      </c>
      <c r="FU137" s="547" t="e">
        <f>Nodes!S1112+"'E4!'Lt"</f>
        <v>#VALUE!</v>
      </c>
      <c r="FV137" s="547" t="e">
        <f>Nodes!T1112+"'E4!'Lu"</f>
        <v>#VALUE!</v>
      </c>
      <c r="FW137" s="548" t="e">
        <f>Nodes!U1112+"'E4!'Lv"</f>
        <v>#VALUE!</v>
      </c>
      <c r="FX137" s="548" t="e">
        <f>Nodes!V1112+"'E4!'Lw"</f>
        <v>#VALUE!</v>
      </c>
      <c r="FY137" s="547" t="e">
        <f>Nodes!W1112+"'E4!'Lx"</f>
        <v>#VALUE!</v>
      </c>
      <c r="FZ137" t="e">
        <f>Nodes!X1112+"'E4!'Ly"</f>
        <v>#VALUE!</v>
      </c>
      <c r="GA137" t="e">
        <f>Nodes!Y1112+"'E4!'Lz"</f>
        <v>#VALUE!</v>
      </c>
      <c r="GB137" t="e">
        <f>Nodes!Z1112+"'E4!'L{"</f>
        <v>#VALUE!</v>
      </c>
      <c r="GC137" t="e">
        <f>Nodes!AA1112+"'E4!'L|"</f>
        <v>#VALUE!</v>
      </c>
      <c r="GD137" s="547" t="e">
        <f>Nodes!AB1112+"'E4!'L}"</f>
        <v>#VALUE!</v>
      </c>
      <c r="GE137" t="e">
        <f>Nodes!AC1112+"'E4!'L~"</f>
        <v>#VALUE!</v>
      </c>
      <c r="GF137" t="e">
        <f>Nodes!A1113+"'E4!'M#"</f>
        <v>#VALUE!</v>
      </c>
      <c r="GG137" t="e">
        <f>Nodes!B1113+"'E4!'M$"</f>
        <v>#VALUE!</v>
      </c>
      <c r="GH137" t="e">
        <f>Nodes!C1113+"'E4!'M%"</f>
        <v>#VALUE!</v>
      </c>
      <c r="GI137" t="e">
        <f>Nodes!D1113+"'E4!'M&amp;"</f>
        <v>#VALUE!</v>
      </c>
      <c r="GJ137" t="e">
        <f>Nodes!E1113+"'E4!'M'"</f>
        <v>#VALUE!</v>
      </c>
      <c r="GK137" t="e">
        <f>Nodes!F1113+"'E4!'M("</f>
        <v>#VALUE!</v>
      </c>
      <c r="GL137" t="e">
        <f>Nodes!G1113+"'E4!'M)"</f>
        <v>#VALUE!</v>
      </c>
      <c r="GM137" t="e">
        <f>Nodes!H1113+"'E4!'M."</f>
        <v>#VALUE!</v>
      </c>
      <c r="GN137" t="e">
        <f>Nodes!I1113+"'E4!'M/"</f>
        <v>#VALUE!</v>
      </c>
      <c r="GO137" t="e">
        <f>Nodes!J1113+"'E4!'M0"</f>
        <v>#VALUE!</v>
      </c>
      <c r="GP137" t="e">
        <f>Nodes!K1113+"'E4!'M1"</f>
        <v>#VALUE!</v>
      </c>
      <c r="GQ137" t="e">
        <f>Nodes!L1113+"'E4!'M2"</f>
        <v>#VALUE!</v>
      </c>
      <c r="GR137" t="e">
        <f>Nodes!M1113+"'E4!'M3"</f>
        <v>#VALUE!</v>
      </c>
      <c r="GS137" t="e">
        <f>Nodes!N1113+"'E4!'M4"</f>
        <v>#VALUE!</v>
      </c>
      <c r="GT137" t="e">
        <f>Nodes!O1113+"'E4!'M5"</f>
        <v>#VALUE!</v>
      </c>
      <c r="GU137" t="e">
        <f>Nodes!P1113+"'E4!'M6"</f>
        <v>#VALUE!</v>
      </c>
      <c r="GV137" t="e">
        <f>Nodes!Q1113+"'E4!'M7"</f>
        <v>#VALUE!</v>
      </c>
      <c r="GW137" t="e">
        <f>Nodes!R1113+"'E4!'M8"</f>
        <v>#VALUE!</v>
      </c>
      <c r="GX137" s="547" t="e">
        <f>Nodes!S1113+"'E4!'M9"</f>
        <v>#VALUE!</v>
      </c>
      <c r="GY137" s="547" t="e">
        <f>Nodes!T1113+"'E4!'M:"</f>
        <v>#VALUE!</v>
      </c>
      <c r="GZ137" s="548" t="e">
        <f>Nodes!U1113+"'E4!'M;"</f>
        <v>#VALUE!</v>
      </c>
      <c r="HA137" s="548" t="e">
        <f>Nodes!V1113+"'E4!'M&lt;"</f>
        <v>#VALUE!</v>
      </c>
      <c r="HB137" s="547" t="e">
        <f>Nodes!W1113+"'E4!'M="</f>
        <v>#VALUE!</v>
      </c>
      <c r="HC137" t="e">
        <f>Nodes!X1113+"'E4!'M&gt;"</f>
        <v>#VALUE!</v>
      </c>
      <c r="HD137" t="e">
        <f>Nodes!Y1113+"'E4!'M?"</f>
        <v>#VALUE!</v>
      </c>
      <c r="HE137" t="e">
        <f>Nodes!Z1113+"'E4!'M@"</f>
        <v>#VALUE!</v>
      </c>
      <c r="HF137" t="e">
        <f>Nodes!AA1113+"'E4!'MA"</f>
        <v>#VALUE!</v>
      </c>
      <c r="HG137" s="547" t="e">
        <f>Nodes!AB1113+"'E4!'MB"</f>
        <v>#VALUE!</v>
      </c>
      <c r="HH137" t="e">
        <f>Nodes!AC1113+"'E4!'MC"</f>
        <v>#VALUE!</v>
      </c>
      <c r="HI137" t="e">
        <f>Nodes!A1114+"'E4!'MD"</f>
        <v>#VALUE!</v>
      </c>
      <c r="HJ137" t="e">
        <f>Nodes!B1114+"'E4!'ME"</f>
        <v>#VALUE!</v>
      </c>
      <c r="HK137" t="e">
        <f>Nodes!C1114+"'E4!'MF"</f>
        <v>#VALUE!</v>
      </c>
      <c r="HL137" t="e">
        <f>Nodes!D1114+"'E4!'MG"</f>
        <v>#VALUE!</v>
      </c>
      <c r="HM137" t="e">
        <f>Nodes!E1114+"'E4!'MH"</f>
        <v>#VALUE!</v>
      </c>
      <c r="HN137" t="e">
        <f>Nodes!F1114+"'E4!'MI"</f>
        <v>#VALUE!</v>
      </c>
      <c r="HO137" t="e">
        <f>Nodes!G1114+"'E4!'MJ"</f>
        <v>#VALUE!</v>
      </c>
      <c r="HP137" t="e">
        <f>Nodes!H1114+"'E4!'MK"</f>
        <v>#VALUE!</v>
      </c>
      <c r="HQ137" t="e">
        <f>Nodes!I1114+"'E4!'ML"</f>
        <v>#VALUE!</v>
      </c>
      <c r="HR137" t="e">
        <f>Nodes!J1114+"'E4!'MM"</f>
        <v>#VALUE!</v>
      </c>
      <c r="HS137" t="e">
        <f>Nodes!K1114+"'E4!'MN"</f>
        <v>#VALUE!</v>
      </c>
      <c r="HT137" t="e">
        <f>Nodes!L1114+"'E4!'MO"</f>
        <v>#VALUE!</v>
      </c>
      <c r="HU137" t="e">
        <f>Nodes!M1114+"'E4!'MP"</f>
        <v>#VALUE!</v>
      </c>
      <c r="HV137" t="e">
        <f>Nodes!N1114+"'E4!'MQ"</f>
        <v>#VALUE!</v>
      </c>
      <c r="HW137" t="e">
        <f>Nodes!O1114+"'E4!'MR"</f>
        <v>#VALUE!</v>
      </c>
      <c r="HX137" t="e">
        <f>Nodes!P1114+"'E4!'MS"</f>
        <v>#VALUE!</v>
      </c>
      <c r="HY137" t="e">
        <f>Nodes!Q1114+"'E4!'MT"</f>
        <v>#VALUE!</v>
      </c>
      <c r="HZ137" t="e">
        <f>Nodes!R1114+"'E4!'MU"</f>
        <v>#VALUE!</v>
      </c>
      <c r="IA137" s="547" t="e">
        <f>Nodes!S1114+"'E4!'MV"</f>
        <v>#VALUE!</v>
      </c>
      <c r="IB137" s="547" t="e">
        <f>Nodes!T1114+"'E4!'MW"</f>
        <v>#VALUE!</v>
      </c>
      <c r="IC137" s="548" t="e">
        <f>Nodes!U1114+"'E4!'MX"</f>
        <v>#VALUE!</v>
      </c>
      <c r="ID137" s="548" t="e">
        <f>Nodes!V1114+"'E4!'MY"</f>
        <v>#VALUE!</v>
      </c>
      <c r="IE137" s="547" t="e">
        <f>Nodes!W1114+"'E4!'MZ"</f>
        <v>#VALUE!</v>
      </c>
      <c r="IF137" t="e">
        <f>Nodes!X1114+"'E4!'M["</f>
        <v>#VALUE!</v>
      </c>
      <c r="IG137" t="e">
        <f>Nodes!Y1114+"'E4!'M\"</f>
        <v>#VALUE!</v>
      </c>
      <c r="IH137" t="e">
        <f>Nodes!Z1114+"'E4!'M]"</f>
        <v>#VALUE!</v>
      </c>
      <c r="II137" t="e">
        <f>Nodes!AA1114+"'E4!'M^"</f>
        <v>#VALUE!</v>
      </c>
      <c r="IJ137" s="547" t="e">
        <f>Nodes!AB1114+"'E4!'M_"</f>
        <v>#VALUE!</v>
      </c>
      <c r="IK137" t="e">
        <f>Nodes!AC1114+"'E4!'M`"</f>
        <v>#VALUE!</v>
      </c>
      <c r="IL137" t="e">
        <f>Nodes!A1115+"'E4!'Ma"</f>
        <v>#VALUE!</v>
      </c>
      <c r="IM137" t="e">
        <f>Nodes!B1115+"'E4!'Mb"</f>
        <v>#VALUE!</v>
      </c>
      <c r="IN137" t="e">
        <f>Nodes!C1115+"'E4!'Mc"</f>
        <v>#VALUE!</v>
      </c>
      <c r="IO137" t="e">
        <f>Nodes!D1115+"'E4!'Md"</f>
        <v>#VALUE!</v>
      </c>
      <c r="IP137" t="e">
        <f>Nodes!E1115+"'E4!'Me"</f>
        <v>#VALUE!</v>
      </c>
      <c r="IQ137" t="e">
        <f>Nodes!F1115+"'E4!'Mf"</f>
        <v>#VALUE!</v>
      </c>
      <c r="IR137" t="e">
        <f>Nodes!G1115+"'E4!'Mg"</f>
        <v>#VALUE!</v>
      </c>
      <c r="IS137" t="e">
        <f>Nodes!H1115+"'E4!'Mh"</f>
        <v>#VALUE!</v>
      </c>
      <c r="IT137" t="e">
        <f>Nodes!I1115+"'E4!'Mi"</f>
        <v>#VALUE!</v>
      </c>
      <c r="IU137" t="e">
        <f>Nodes!J1115+"'E4!'Mj"</f>
        <v>#VALUE!</v>
      </c>
      <c r="IV137" t="e">
        <f>Nodes!K1115+"'E4!'Mk"</f>
        <v>#VALUE!</v>
      </c>
    </row>
    <row r="138" spans="6:256">
      <c r="F138" t="e">
        <f>Nodes!L1115+"'E4!'Ml"</f>
        <v>#VALUE!</v>
      </c>
      <c r="G138" t="e">
        <f>Nodes!M1115+"'E4!'Mm"</f>
        <v>#VALUE!</v>
      </c>
      <c r="H138" t="e">
        <f>Nodes!N1115+"'E4!'Mn"</f>
        <v>#VALUE!</v>
      </c>
      <c r="I138" t="e">
        <f>Nodes!O1115+"'E4!'Mo"</f>
        <v>#VALUE!</v>
      </c>
      <c r="J138" t="e">
        <f>Nodes!P1115+"'E4!'Mp"</f>
        <v>#VALUE!</v>
      </c>
      <c r="K138" t="e">
        <f>Nodes!Q1115+"'E4!'Mq"</f>
        <v>#VALUE!</v>
      </c>
      <c r="L138" t="e">
        <f>Nodes!R1115+"'E4!'Mr"</f>
        <v>#VALUE!</v>
      </c>
      <c r="M138" s="547" t="e">
        <f>Nodes!S1115+"'E4!'Ms"</f>
        <v>#VALUE!</v>
      </c>
      <c r="N138" s="547" t="e">
        <f>Nodes!T1115+"'E4!'Mt"</f>
        <v>#VALUE!</v>
      </c>
      <c r="O138" s="548" t="e">
        <f>Nodes!U1115+"'E4!'Mu"</f>
        <v>#VALUE!</v>
      </c>
      <c r="P138" s="548" t="e">
        <f>Nodes!V1115+"'E4!'Mv"</f>
        <v>#VALUE!</v>
      </c>
      <c r="Q138" s="547" t="e">
        <f>Nodes!W1115+"'E4!'Mw"</f>
        <v>#VALUE!</v>
      </c>
      <c r="R138" t="e">
        <f>Nodes!X1115+"'E4!'Mx"</f>
        <v>#VALUE!</v>
      </c>
      <c r="S138" t="e">
        <f>Nodes!Y1115+"'E4!'My"</f>
        <v>#VALUE!</v>
      </c>
      <c r="T138" t="e">
        <f>Nodes!Z1115+"'E4!'Mz"</f>
        <v>#VALUE!</v>
      </c>
      <c r="U138" t="e">
        <f>Nodes!AA1115+"'E4!'M{"</f>
        <v>#VALUE!</v>
      </c>
      <c r="V138" s="547" t="e">
        <f>Nodes!AB1115+"'E4!'M|"</f>
        <v>#VALUE!</v>
      </c>
      <c r="W138" t="e">
        <f>Nodes!AC1115+"'E4!'M}"</f>
        <v>#VALUE!</v>
      </c>
      <c r="X138" t="e">
        <f>Nodes!A1116+"'E4!'M~"</f>
        <v>#VALUE!</v>
      </c>
      <c r="Y138" t="e">
        <f>Nodes!B1116+"'E4!'N#"</f>
        <v>#VALUE!</v>
      </c>
      <c r="Z138" t="e">
        <f>Nodes!C1116+"'E4!'N$"</f>
        <v>#VALUE!</v>
      </c>
      <c r="AA138" t="e">
        <f>Nodes!D1116+"'E4!'N%"</f>
        <v>#VALUE!</v>
      </c>
      <c r="AB138" t="e">
        <f>Nodes!E1116+"'E4!'N&amp;"</f>
        <v>#VALUE!</v>
      </c>
      <c r="AC138" t="e">
        <f>Nodes!F1116+"'E4!'N'"</f>
        <v>#VALUE!</v>
      </c>
      <c r="AD138" t="e">
        <f>Nodes!G1116+"'E4!'N("</f>
        <v>#VALUE!</v>
      </c>
      <c r="AE138" t="e">
        <f>Nodes!H1116+"'E4!'N)"</f>
        <v>#VALUE!</v>
      </c>
      <c r="AF138" t="e">
        <f>Nodes!I1116+"'E4!'N."</f>
        <v>#VALUE!</v>
      </c>
      <c r="AG138" t="e">
        <f>Nodes!J1116+"'E4!'N/"</f>
        <v>#VALUE!</v>
      </c>
      <c r="AH138" t="e">
        <f>Nodes!K1116+"'E4!'N0"</f>
        <v>#VALUE!</v>
      </c>
      <c r="AI138" t="e">
        <f>Nodes!L1116+"'E4!'N1"</f>
        <v>#VALUE!</v>
      </c>
      <c r="AJ138" t="e">
        <f>Nodes!M1116+"'E4!'N2"</f>
        <v>#VALUE!</v>
      </c>
      <c r="AK138" t="e">
        <f>Nodes!N1116+"'E4!'N3"</f>
        <v>#VALUE!</v>
      </c>
      <c r="AL138" t="e">
        <f>Nodes!O1116+"'E4!'N4"</f>
        <v>#VALUE!</v>
      </c>
      <c r="AM138" t="e">
        <f>Nodes!P1116+"'E4!'N5"</f>
        <v>#VALUE!</v>
      </c>
      <c r="AN138" t="e">
        <f>Nodes!Q1116+"'E4!'N6"</f>
        <v>#VALUE!</v>
      </c>
      <c r="AO138" t="e">
        <f>Nodes!R1116+"'E4!'N7"</f>
        <v>#VALUE!</v>
      </c>
      <c r="AP138" s="547" t="e">
        <f>Nodes!S1116+"'E4!'N8"</f>
        <v>#VALUE!</v>
      </c>
      <c r="AQ138" s="547" t="e">
        <f>Nodes!T1116+"'E4!'N9"</f>
        <v>#VALUE!</v>
      </c>
      <c r="AR138" s="548" t="e">
        <f>Nodes!U1116+"'E4!'N:"</f>
        <v>#VALUE!</v>
      </c>
      <c r="AS138" s="548" t="e">
        <f>Nodes!V1116+"'E4!'N;"</f>
        <v>#VALUE!</v>
      </c>
      <c r="AT138" s="547" t="e">
        <f>Nodes!W1116+"'E4!'N&lt;"</f>
        <v>#VALUE!</v>
      </c>
      <c r="AU138" t="e">
        <f>Nodes!X1116+"'E4!'N="</f>
        <v>#VALUE!</v>
      </c>
      <c r="AV138" t="e">
        <f>Nodes!Y1116+"'E4!'N&gt;"</f>
        <v>#VALUE!</v>
      </c>
      <c r="AW138" t="e">
        <f>Nodes!Z1116+"'E4!'N?"</f>
        <v>#VALUE!</v>
      </c>
      <c r="AX138" t="e">
        <f>Nodes!AA1116+"'E4!'N@"</f>
        <v>#VALUE!</v>
      </c>
      <c r="AY138" s="547" t="e">
        <f>Nodes!AB1116+"'E4!'NA"</f>
        <v>#VALUE!</v>
      </c>
      <c r="AZ138" t="e">
        <f>Nodes!AC1116+"'E4!'NB"</f>
        <v>#VALUE!</v>
      </c>
      <c r="BA138" t="e">
        <f>Nodes!A1117+"'E4!'NC"</f>
        <v>#VALUE!</v>
      </c>
      <c r="BB138" t="e">
        <f>Nodes!B1117+"'E4!'ND"</f>
        <v>#VALUE!</v>
      </c>
      <c r="BC138" t="e">
        <f>Nodes!C1117+"'E4!'NE"</f>
        <v>#VALUE!</v>
      </c>
      <c r="BD138" t="e">
        <f>Nodes!D1117+"'E4!'NF"</f>
        <v>#VALUE!</v>
      </c>
      <c r="BE138" t="e">
        <f>Nodes!E1117+"'E4!'NG"</f>
        <v>#VALUE!</v>
      </c>
      <c r="BF138" t="e">
        <f>Nodes!F1117+"'E4!'NH"</f>
        <v>#VALUE!</v>
      </c>
      <c r="BG138" t="e">
        <f>Nodes!G1117+"'E4!'NI"</f>
        <v>#VALUE!</v>
      </c>
      <c r="BH138" t="e">
        <f>Nodes!H1117+"'E4!'NJ"</f>
        <v>#VALUE!</v>
      </c>
      <c r="BI138" t="e">
        <f>Nodes!I1117+"'E4!'NK"</f>
        <v>#VALUE!</v>
      </c>
      <c r="BJ138" t="e">
        <f>Nodes!J1117+"'E4!'NL"</f>
        <v>#VALUE!</v>
      </c>
      <c r="BK138" t="e">
        <f>Nodes!K1117+"'E4!'NM"</f>
        <v>#VALUE!</v>
      </c>
      <c r="BL138" t="e">
        <f>Nodes!L1117+"'E4!'NN"</f>
        <v>#VALUE!</v>
      </c>
      <c r="BM138" t="e">
        <f>Nodes!M1117+"'E4!'NO"</f>
        <v>#VALUE!</v>
      </c>
      <c r="BN138" t="e">
        <f>Nodes!N1117+"'E4!'NP"</f>
        <v>#VALUE!</v>
      </c>
      <c r="BO138" t="e">
        <f>Nodes!O1117+"'E4!'NQ"</f>
        <v>#VALUE!</v>
      </c>
      <c r="BP138" t="e">
        <f>Nodes!P1117+"'E4!'NR"</f>
        <v>#VALUE!</v>
      </c>
      <c r="BQ138" t="e">
        <f>Nodes!Q1117+"'E4!'NS"</f>
        <v>#VALUE!</v>
      </c>
      <c r="BR138" t="e">
        <f>Nodes!R1117+"'E4!'NT"</f>
        <v>#VALUE!</v>
      </c>
      <c r="BS138" s="547" t="e">
        <f>Nodes!S1117+"'E4!'NU"</f>
        <v>#VALUE!</v>
      </c>
      <c r="BT138" s="547" t="e">
        <f>Nodes!T1117+"'E4!'NV"</f>
        <v>#VALUE!</v>
      </c>
      <c r="BU138" s="548" t="e">
        <f>Nodes!U1117+"'E4!'NW"</f>
        <v>#VALUE!</v>
      </c>
      <c r="BV138" s="548" t="e">
        <f>Nodes!V1117+"'E4!'NX"</f>
        <v>#VALUE!</v>
      </c>
      <c r="BW138" s="547" t="e">
        <f>Nodes!W1117+"'E4!'NY"</f>
        <v>#VALUE!</v>
      </c>
      <c r="BX138" t="e">
        <f>Nodes!X1117+"'E4!'NZ"</f>
        <v>#VALUE!</v>
      </c>
      <c r="BY138" t="e">
        <f>Nodes!Y1117+"'E4!'N["</f>
        <v>#VALUE!</v>
      </c>
      <c r="BZ138" t="e">
        <f>Nodes!Z1117+"'E4!'N\"</f>
        <v>#VALUE!</v>
      </c>
      <c r="CA138" t="e">
        <f>Nodes!AA1117+"'E4!'N]"</f>
        <v>#VALUE!</v>
      </c>
      <c r="CB138" s="547" t="e">
        <f>Nodes!AB1117+"'E4!'N^"</f>
        <v>#VALUE!</v>
      </c>
      <c r="CC138" t="e">
        <f>Nodes!AC1117+"'E4!'N_"</f>
        <v>#VALUE!</v>
      </c>
      <c r="CD138" t="e">
        <f>Nodes!A1118+"'E4!'N`"</f>
        <v>#VALUE!</v>
      </c>
      <c r="CE138" t="e">
        <f>Nodes!B1118+"'E4!'Na"</f>
        <v>#VALUE!</v>
      </c>
      <c r="CF138" t="e">
        <f>Nodes!C1118+"'E4!'Nb"</f>
        <v>#VALUE!</v>
      </c>
      <c r="CG138" t="e">
        <f>Nodes!D1118+"'E4!'Nc"</f>
        <v>#VALUE!</v>
      </c>
      <c r="CH138" t="e">
        <f>Nodes!E1118+"'E4!'Nd"</f>
        <v>#VALUE!</v>
      </c>
      <c r="CI138" t="e">
        <f>Nodes!F1118+"'E4!'Ne"</f>
        <v>#VALUE!</v>
      </c>
      <c r="CJ138" t="e">
        <f>Nodes!G1118+"'E4!'Nf"</f>
        <v>#VALUE!</v>
      </c>
      <c r="CK138" t="e">
        <f>Nodes!H1118+"'E4!'Ng"</f>
        <v>#VALUE!</v>
      </c>
      <c r="CL138" t="e">
        <f>Nodes!I1118+"'E4!'Nh"</f>
        <v>#VALUE!</v>
      </c>
      <c r="CM138" t="e">
        <f>Nodes!J1118+"'E4!'Ni"</f>
        <v>#VALUE!</v>
      </c>
      <c r="CN138" t="e">
        <f>Nodes!K1118+"'E4!'Nj"</f>
        <v>#VALUE!</v>
      </c>
      <c r="CO138" t="e">
        <f>Nodes!L1118+"'E4!'Nk"</f>
        <v>#VALUE!</v>
      </c>
      <c r="CP138" t="e">
        <f>Nodes!M1118+"'E4!'Nl"</f>
        <v>#VALUE!</v>
      </c>
      <c r="CQ138" t="e">
        <f>Nodes!N1118+"'E4!'Nm"</f>
        <v>#VALUE!</v>
      </c>
      <c r="CR138" t="e">
        <f>Nodes!O1118+"'E4!'Nn"</f>
        <v>#VALUE!</v>
      </c>
      <c r="CS138" t="e">
        <f>Nodes!P1118+"'E4!'No"</f>
        <v>#VALUE!</v>
      </c>
      <c r="CT138" t="e">
        <f>Nodes!Q1118+"'E4!'Np"</f>
        <v>#VALUE!</v>
      </c>
      <c r="CU138" t="e">
        <f>Nodes!R1118+"'E4!'Nq"</f>
        <v>#VALUE!</v>
      </c>
      <c r="CV138" s="547" t="e">
        <f>Nodes!S1118+"'E4!'Nr"</f>
        <v>#VALUE!</v>
      </c>
      <c r="CW138" s="547" t="e">
        <f>Nodes!T1118+"'E4!'Ns"</f>
        <v>#VALUE!</v>
      </c>
      <c r="CX138" s="548" t="e">
        <f>Nodes!U1118+"'E4!'Nt"</f>
        <v>#VALUE!</v>
      </c>
      <c r="CY138" s="548" t="e">
        <f>Nodes!V1118+"'E4!'Nu"</f>
        <v>#VALUE!</v>
      </c>
      <c r="CZ138" s="547" t="e">
        <f>Nodes!W1118+"'E4!'Nv"</f>
        <v>#VALUE!</v>
      </c>
      <c r="DA138" t="e">
        <f>Nodes!X1118+"'E4!'Nw"</f>
        <v>#VALUE!</v>
      </c>
      <c r="DB138" t="e">
        <f>Nodes!Y1118+"'E4!'Nx"</f>
        <v>#VALUE!</v>
      </c>
      <c r="DC138" t="e">
        <f>Nodes!Z1118+"'E4!'Ny"</f>
        <v>#VALUE!</v>
      </c>
      <c r="DD138" t="e">
        <f>Nodes!AA1118+"'E4!'Nz"</f>
        <v>#VALUE!</v>
      </c>
      <c r="DE138" s="547" t="e">
        <f>Nodes!AB1118+"'E4!'N{"</f>
        <v>#VALUE!</v>
      </c>
      <c r="DF138" t="e">
        <f>Nodes!AC1118+"'E4!'N|"</f>
        <v>#VALUE!</v>
      </c>
      <c r="DG138" t="e">
        <f>Nodes!A1119+"'E4!'N}"</f>
        <v>#VALUE!</v>
      </c>
      <c r="DH138" t="e">
        <f>Nodes!B1119+"'E4!'N~"</f>
        <v>#VALUE!</v>
      </c>
      <c r="DI138" t="e">
        <f>Nodes!C1119+"'E4!'O#"</f>
        <v>#VALUE!</v>
      </c>
      <c r="DJ138" t="e">
        <f>Nodes!D1119+"'E4!'O$"</f>
        <v>#VALUE!</v>
      </c>
      <c r="DK138" t="e">
        <f>Nodes!E1119+"'E4!'O%"</f>
        <v>#VALUE!</v>
      </c>
      <c r="DL138" t="e">
        <f>Nodes!F1119+"'E4!'O&amp;"</f>
        <v>#VALUE!</v>
      </c>
      <c r="DM138" t="e">
        <f>Nodes!G1119+"'E4!'O'"</f>
        <v>#VALUE!</v>
      </c>
      <c r="DN138" t="e">
        <f>Nodes!H1119+"'E4!'O("</f>
        <v>#VALUE!</v>
      </c>
      <c r="DO138" t="e">
        <f>Nodes!I1119+"'E4!'O)"</f>
        <v>#VALUE!</v>
      </c>
      <c r="DP138" t="e">
        <f>Nodes!J1119+"'E4!'O."</f>
        <v>#VALUE!</v>
      </c>
      <c r="DQ138" t="e">
        <f>Nodes!K1119+"'E4!'O/"</f>
        <v>#VALUE!</v>
      </c>
      <c r="DR138" t="e">
        <f>Nodes!L1119+"'E4!'O0"</f>
        <v>#VALUE!</v>
      </c>
      <c r="DS138" t="e">
        <f>Nodes!M1119+"'E4!'O1"</f>
        <v>#VALUE!</v>
      </c>
      <c r="DT138" t="e">
        <f>Nodes!N1119+"'E4!'O2"</f>
        <v>#VALUE!</v>
      </c>
      <c r="DU138" t="e">
        <f>Nodes!O1119+"'E4!'O3"</f>
        <v>#VALUE!</v>
      </c>
      <c r="DV138" t="e">
        <f>Nodes!P1119+"'E4!'O4"</f>
        <v>#VALUE!</v>
      </c>
      <c r="DW138" t="e">
        <f>Nodes!Q1119+"'E4!'O5"</f>
        <v>#VALUE!</v>
      </c>
      <c r="DX138" t="e">
        <f>Nodes!R1119+"'E4!'O6"</f>
        <v>#VALUE!</v>
      </c>
      <c r="DY138" s="547" t="e">
        <f>Nodes!S1119+"'E4!'O7"</f>
        <v>#VALUE!</v>
      </c>
      <c r="DZ138" s="547" t="e">
        <f>Nodes!T1119+"'E4!'O8"</f>
        <v>#VALUE!</v>
      </c>
      <c r="EA138" s="548" t="e">
        <f>Nodes!U1119+"'E4!'O9"</f>
        <v>#VALUE!</v>
      </c>
      <c r="EB138" s="548" t="e">
        <f>Nodes!V1119+"'E4!'O:"</f>
        <v>#VALUE!</v>
      </c>
      <c r="EC138" s="547" t="e">
        <f>Nodes!W1119+"'E4!'O;"</f>
        <v>#VALUE!</v>
      </c>
      <c r="ED138" t="e">
        <f>Nodes!X1119+"'E4!'O&lt;"</f>
        <v>#VALUE!</v>
      </c>
      <c r="EE138" t="e">
        <f>Nodes!Y1119+"'E4!'O="</f>
        <v>#VALUE!</v>
      </c>
      <c r="EF138" t="e">
        <f>Nodes!Z1119+"'E4!'O&gt;"</f>
        <v>#VALUE!</v>
      </c>
      <c r="EG138" t="e">
        <f>Nodes!AA1119+"'E4!'O?"</f>
        <v>#VALUE!</v>
      </c>
      <c r="EH138" s="547" t="e">
        <f>Nodes!AB1119+"'E4!'O@"</f>
        <v>#VALUE!</v>
      </c>
      <c r="EI138" t="e">
        <f>Nodes!AC1119+"'E4!'OA"</f>
        <v>#VALUE!</v>
      </c>
      <c r="EJ138" t="e">
        <f>Nodes!A1120+"'E4!'OB"</f>
        <v>#VALUE!</v>
      </c>
      <c r="EK138" t="e">
        <f>Nodes!B1120+"'E4!'OC"</f>
        <v>#VALUE!</v>
      </c>
      <c r="EL138" t="e">
        <f>Nodes!C1120+"'E4!'OD"</f>
        <v>#VALUE!</v>
      </c>
      <c r="EM138" t="e">
        <f>Nodes!D1120+"'E4!'OE"</f>
        <v>#VALUE!</v>
      </c>
      <c r="EN138" t="e">
        <f>Nodes!E1120+"'E4!'OF"</f>
        <v>#VALUE!</v>
      </c>
      <c r="EO138" t="e">
        <f>Nodes!F1120+"'E4!'OG"</f>
        <v>#VALUE!</v>
      </c>
      <c r="EP138" t="e">
        <f>Nodes!G1120+"'E4!'OH"</f>
        <v>#VALUE!</v>
      </c>
      <c r="EQ138" t="e">
        <f>Nodes!H1120+"'E4!'OI"</f>
        <v>#VALUE!</v>
      </c>
      <c r="ER138" t="e">
        <f>Nodes!I1120+"'E4!'OJ"</f>
        <v>#VALUE!</v>
      </c>
      <c r="ES138" t="e">
        <f>Nodes!J1120+"'E4!'OK"</f>
        <v>#VALUE!</v>
      </c>
      <c r="ET138" t="e">
        <f>Nodes!K1120+"'E4!'OL"</f>
        <v>#VALUE!</v>
      </c>
      <c r="EU138" t="e">
        <f>Nodes!L1120+"'E4!'OM"</f>
        <v>#VALUE!</v>
      </c>
      <c r="EV138" t="e">
        <f>Nodes!M1120+"'E4!'ON"</f>
        <v>#VALUE!</v>
      </c>
      <c r="EW138" t="e">
        <f>Nodes!N1120+"'E4!'OO"</f>
        <v>#VALUE!</v>
      </c>
      <c r="EX138" t="e">
        <f>Nodes!O1120+"'E4!'OP"</f>
        <v>#VALUE!</v>
      </c>
      <c r="EY138" t="e">
        <f>Nodes!P1120+"'E4!'OQ"</f>
        <v>#VALUE!</v>
      </c>
      <c r="EZ138" t="e">
        <f>Nodes!Q1120+"'E4!'OR"</f>
        <v>#VALUE!</v>
      </c>
      <c r="FA138" t="e">
        <f>Nodes!R1120+"'E4!'OS"</f>
        <v>#VALUE!</v>
      </c>
      <c r="FB138" s="547" t="e">
        <f>Nodes!S1120+"'E4!'OT"</f>
        <v>#VALUE!</v>
      </c>
      <c r="FC138" s="547" t="e">
        <f>Nodes!T1120+"'E4!'OU"</f>
        <v>#VALUE!</v>
      </c>
      <c r="FD138" s="548" t="e">
        <f>Nodes!U1120+"'E4!'OV"</f>
        <v>#VALUE!</v>
      </c>
      <c r="FE138" s="548" t="e">
        <f>Nodes!V1120+"'E4!'OW"</f>
        <v>#VALUE!</v>
      </c>
      <c r="FF138" s="547" t="e">
        <f>Nodes!W1120+"'E4!'OX"</f>
        <v>#VALUE!</v>
      </c>
      <c r="FG138" t="e">
        <f>Nodes!X1120+"'E4!'OY"</f>
        <v>#VALUE!</v>
      </c>
      <c r="FH138" t="e">
        <f>Nodes!Y1120+"'E4!'OZ"</f>
        <v>#VALUE!</v>
      </c>
      <c r="FI138" t="e">
        <f>Nodes!Z1120+"'E4!'O["</f>
        <v>#VALUE!</v>
      </c>
      <c r="FJ138" t="e">
        <f>Nodes!AA1120+"'E4!'O\"</f>
        <v>#VALUE!</v>
      </c>
      <c r="FK138" s="547" t="e">
        <f>Nodes!AB1120+"'E4!'O]"</f>
        <v>#VALUE!</v>
      </c>
      <c r="FL138" t="e">
        <f>Nodes!AC1120+"'E4!'O^"</f>
        <v>#VALUE!</v>
      </c>
      <c r="FM138" t="e">
        <f>Nodes!A1121+"'E4!'O_"</f>
        <v>#VALUE!</v>
      </c>
      <c r="FN138" t="e">
        <f>Nodes!B1121+"'E4!'O`"</f>
        <v>#VALUE!</v>
      </c>
      <c r="FO138" t="e">
        <f>Nodes!C1121+"'E4!'Oa"</f>
        <v>#VALUE!</v>
      </c>
      <c r="FP138" t="e">
        <f>Nodes!D1121+"'E4!'Ob"</f>
        <v>#VALUE!</v>
      </c>
      <c r="FQ138" t="e">
        <f>Nodes!E1121+"'E4!'Oc"</f>
        <v>#VALUE!</v>
      </c>
      <c r="FR138" t="e">
        <f>Nodes!F1121+"'E4!'Od"</f>
        <v>#VALUE!</v>
      </c>
      <c r="FS138" t="e">
        <f>Nodes!G1121+"'E4!'Oe"</f>
        <v>#VALUE!</v>
      </c>
      <c r="FT138" t="e">
        <f>Nodes!H1121+"'E4!'Of"</f>
        <v>#VALUE!</v>
      </c>
      <c r="FU138" t="e">
        <f>Nodes!I1121+"'E4!'Og"</f>
        <v>#VALUE!</v>
      </c>
      <c r="FV138" t="e">
        <f>Nodes!J1121+"'E4!'Oh"</f>
        <v>#VALUE!</v>
      </c>
      <c r="FW138" t="e">
        <f>Nodes!K1121+"'E4!'Oi"</f>
        <v>#VALUE!</v>
      </c>
      <c r="FX138" t="e">
        <f>Nodes!L1121+"'E4!'Oj"</f>
        <v>#VALUE!</v>
      </c>
      <c r="FY138" t="e">
        <f>Nodes!M1121+"'E4!'Ok"</f>
        <v>#VALUE!</v>
      </c>
      <c r="FZ138" t="e">
        <f>Nodes!N1121+"'E4!'Ol"</f>
        <v>#VALUE!</v>
      </c>
      <c r="GA138" t="e">
        <f>Nodes!O1121+"'E4!'Om"</f>
        <v>#VALUE!</v>
      </c>
      <c r="GB138" t="e">
        <f>Nodes!P1121+"'E4!'On"</f>
        <v>#VALUE!</v>
      </c>
      <c r="GC138" t="e">
        <f>Nodes!Q1121+"'E4!'Oo"</f>
        <v>#VALUE!</v>
      </c>
      <c r="GD138" t="e">
        <f>Nodes!R1121+"'E4!'Op"</f>
        <v>#VALUE!</v>
      </c>
      <c r="GE138" s="547" t="e">
        <f>Nodes!S1121+"'E4!'Oq"</f>
        <v>#VALUE!</v>
      </c>
      <c r="GF138" s="547" t="e">
        <f>Nodes!T1121+"'E4!'Or"</f>
        <v>#VALUE!</v>
      </c>
      <c r="GG138" s="548" t="e">
        <f>Nodes!U1121+"'E4!'Os"</f>
        <v>#VALUE!</v>
      </c>
      <c r="GH138" s="548" t="e">
        <f>Nodes!V1121+"'E4!'Ot"</f>
        <v>#VALUE!</v>
      </c>
      <c r="GI138" s="547" t="e">
        <f>Nodes!W1121+"'E4!'Ou"</f>
        <v>#VALUE!</v>
      </c>
      <c r="GJ138" t="e">
        <f>Nodes!X1121+"'E4!'Ov"</f>
        <v>#VALUE!</v>
      </c>
      <c r="GK138" t="e">
        <f>Nodes!Y1121+"'E4!'Ow"</f>
        <v>#VALUE!</v>
      </c>
      <c r="GL138" t="e">
        <f>Nodes!Z1121+"'E4!'Ox"</f>
        <v>#VALUE!</v>
      </c>
      <c r="GM138" t="e">
        <f>Nodes!AA1121+"'E4!'Oy"</f>
        <v>#VALUE!</v>
      </c>
      <c r="GN138" s="547" t="e">
        <f>Nodes!AB1121+"'E4!'Oz"</f>
        <v>#VALUE!</v>
      </c>
      <c r="GO138" t="e">
        <f>Nodes!AC1121+"'E4!'O{"</f>
        <v>#VALUE!</v>
      </c>
      <c r="GP138" t="e">
        <f>Nodes!A1122+"'E4!'O|"</f>
        <v>#VALUE!</v>
      </c>
      <c r="GQ138" t="e">
        <f>Nodes!B1122+"'E4!'O}"</f>
        <v>#VALUE!</v>
      </c>
      <c r="GR138" t="e">
        <f>Nodes!C1122+"'E4!'O~"</f>
        <v>#VALUE!</v>
      </c>
      <c r="GS138" t="e">
        <f>Nodes!D1122+"'E4!'P#"</f>
        <v>#VALUE!</v>
      </c>
      <c r="GT138" t="e">
        <f>Nodes!E1122+"'E4!'P$"</f>
        <v>#VALUE!</v>
      </c>
      <c r="GU138" t="e">
        <f>Nodes!F1122+"'E4!'P%"</f>
        <v>#VALUE!</v>
      </c>
      <c r="GV138" t="e">
        <f>Nodes!G1122+"'E4!'P&amp;"</f>
        <v>#VALUE!</v>
      </c>
      <c r="GW138" t="e">
        <f>Nodes!H1122+"'E4!'P'"</f>
        <v>#VALUE!</v>
      </c>
      <c r="GX138" t="e">
        <f>Nodes!I1122+"'E4!'P("</f>
        <v>#VALUE!</v>
      </c>
      <c r="GY138" t="e">
        <f>Nodes!J1122+"'E4!'P)"</f>
        <v>#VALUE!</v>
      </c>
      <c r="GZ138" t="e">
        <f>Nodes!K1122+"'E4!'P."</f>
        <v>#VALUE!</v>
      </c>
      <c r="HA138" t="e">
        <f>Nodes!L1122+"'E4!'P/"</f>
        <v>#VALUE!</v>
      </c>
      <c r="HB138" t="e">
        <f>Nodes!M1122+"'E4!'P0"</f>
        <v>#VALUE!</v>
      </c>
      <c r="HC138" t="e">
        <f>Nodes!N1122+"'E4!'P1"</f>
        <v>#VALUE!</v>
      </c>
      <c r="HD138" t="e">
        <f>Nodes!O1122+"'E4!'P2"</f>
        <v>#VALUE!</v>
      </c>
      <c r="HE138" t="e">
        <f>Nodes!P1122+"'E4!'P3"</f>
        <v>#VALUE!</v>
      </c>
      <c r="HF138" t="e">
        <f>Nodes!Q1122+"'E4!'P4"</f>
        <v>#VALUE!</v>
      </c>
      <c r="HG138" t="e">
        <f>Nodes!R1122+"'E4!'P5"</f>
        <v>#VALUE!</v>
      </c>
      <c r="HH138" s="547" t="e">
        <f>Nodes!S1122+"'E4!'P6"</f>
        <v>#VALUE!</v>
      </c>
      <c r="HI138" s="547" t="e">
        <f>Nodes!T1122+"'E4!'P7"</f>
        <v>#VALUE!</v>
      </c>
      <c r="HJ138" s="548" t="e">
        <f>Nodes!U1122+"'E4!'P8"</f>
        <v>#VALUE!</v>
      </c>
      <c r="HK138" s="548" t="e">
        <f>Nodes!V1122+"'E4!'P9"</f>
        <v>#VALUE!</v>
      </c>
      <c r="HL138" s="547" t="e">
        <f>Nodes!W1122+"'E4!'P:"</f>
        <v>#VALUE!</v>
      </c>
      <c r="HM138" t="e">
        <f>Nodes!X1122+"'E4!'P;"</f>
        <v>#VALUE!</v>
      </c>
      <c r="HN138" t="e">
        <f>Nodes!Y1122+"'E4!'P&lt;"</f>
        <v>#VALUE!</v>
      </c>
      <c r="HO138" t="e">
        <f>Nodes!Z1122+"'E4!'P="</f>
        <v>#VALUE!</v>
      </c>
      <c r="HP138" t="e">
        <f>Nodes!AA1122+"'E4!'P&gt;"</f>
        <v>#VALUE!</v>
      </c>
      <c r="HQ138" s="547" t="e">
        <f>Nodes!AB1122+"'E4!'P?"</f>
        <v>#VALUE!</v>
      </c>
      <c r="HR138" t="e">
        <f>Nodes!AC1122+"'E4!'P@"</f>
        <v>#VALUE!</v>
      </c>
      <c r="HS138" t="e">
        <f>Nodes!A1123+"'E4!'PA"</f>
        <v>#VALUE!</v>
      </c>
      <c r="HT138" t="e">
        <f>Nodes!B1123+"'E4!'PB"</f>
        <v>#VALUE!</v>
      </c>
      <c r="HU138" t="e">
        <f>Nodes!C1123+"'E4!'PC"</f>
        <v>#VALUE!</v>
      </c>
      <c r="HV138" t="e">
        <f>Nodes!D1123+"'E4!'PD"</f>
        <v>#VALUE!</v>
      </c>
      <c r="HW138" t="e">
        <f>Nodes!E1123+"'E4!'PE"</f>
        <v>#VALUE!</v>
      </c>
      <c r="HX138" t="e">
        <f>Nodes!F1123+"'E4!'PF"</f>
        <v>#VALUE!</v>
      </c>
      <c r="HY138" t="e">
        <f>Nodes!G1123+"'E4!'PG"</f>
        <v>#VALUE!</v>
      </c>
      <c r="HZ138" t="e">
        <f>Nodes!H1123+"'E4!'PH"</f>
        <v>#VALUE!</v>
      </c>
      <c r="IA138" t="e">
        <f>Nodes!I1123+"'E4!'PI"</f>
        <v>#VALUE!</v>
      </c>
      <c r="IB138" t="e">
        <f>Nodes!J1123+"'E4!'PJ"</f>
        <v>#VALUE!</v>
      </c>
      <c r="IC138" t="e">
        <f>Nodes!K1123+"'E4!'PK"</f>
        <v>#VALUE!</v>
      </c>
      <c r="ID138" t="e">
        <f>Nodes!L1123+"'E4!'PL"</f>
        <v>#VALUE!</v>
      </c>
      <c r="IE138" t="e">
        <f>Nodes!M1123+"'E4!'PM"</f>
        <v>#VALUE!</v>
      </c>
      <c r="IF138" t="e">
        <f>Nodes!N1123+"'E4!'PN"</f>
        <v>#VALUE!</v>
      </c>
      <c r="IG138" t="e">
        <f>Nodes!O1123+"'E4!'PO"</f>
        <v>#VALUE!</v>
      </c>
      <c r="IH138" t="e">
        <f>Nodes!P1123+"'E4!'PP"</f>
        <v>#VALUE!</v>
      </c>
      <c r="II138" t="e">
        <f>Nodes!Q1123+"'E4!'PQ"</f>
        <v>#VALUE!</v>
      </c>
      <c r="IJ138" t="e">
        <f>Nodes!R1123+"'E4!'PR"</f>
        <v>#VALUE!</v>
      </c>
      <c r="IK138" s="547" t="e">
        <f>Nodes!S1123+"'E4!'PS"</f>
        <v>#VALUE!</v>
      </c>
      <c r="IL138" s="547" t="e">
        <f>Nodes!T1123+"'E4!'PT"</f>
        <v>#VALUE!</v>
      </c>
      <c r="IM138" s="548" t="e">
        <f>Nodes!U1123+"'E4!'PU"</f>
        <v>#VALUE!</v>
      </c>
      <c r="IN138" s="548" t="e">
        <f>Nodes!V1123+"'E4!'PV"</f>
        <v>#VALUE!</v>
      </c>
      <c r="IO138" s="547" t="e">
        <f>Nodes!W1123+"'E4!'PW"</f>
        <v>#VALUE!</v>
      </c>
      <c r="IP138" t="e">
        <f>Nodes!X1123+"'E4!'PX"</f>
        <v>#VALUE!</v>
      </c>
      <c r="IQ138" t="e">
        <f>Nodes!Y1123+"'E4!'PY"</f>
        <v>#VALUE!</v>
      </c>
      <c r="IR138" t="e">
        <f>Nodes!Z1123+"'E4!'PZ"</f>
        <v>#VALUE!</v>
      </c>
      <c r="IS138" t="e">
        <f>Nodes!AA1123+"'E4!'P["</f>
        <v>#VALUE!</v>
      </c>
      <c r="IT138" s="547" t="e">
        <f>Nodes!AB1123+"'E4!'P\"</f>
        <v>#VALUE!</v>
      </c>
      <c r="IU138" t="e">
        <f>Nodes!AC1123+"'E4!'P]"</f>
        <v>#VALUE!</v>
      </c>
      <c r="IV138" t="e">
        <f>Nodes!A1124+"'E4!'P^"</f>
        <v>#VALUE!</v>
      </c>
    </row>
    <row r="139" spans="6:256">
      <c r="F139" t="e">
        <f>Nodes!B1124+"'E4!'P_"</f>
        <v>#VALUE!</v>
      </c>
      <c r="G139" t="e">
        <f>Nodes!C1124+"'E4!'P`"</f>
        <v>#VALUE!</v>
      </c>
      <c r="H139" t="e">
        <f>Nodes!D1124+"'E4!'Pa"</f>
        <v>#VALUE!</v>
      </c>
      <c r="I139" t="e">
        <f>Nodes!E1124+"'E4!'Pb"</f>
        <v>#VALUE!</v>
      </c>
      <c r="J139" t="e">
        <f>Nodes!F1124+"'E4!'Pc"</f>
        <v>#VALUE!</v>
      </c>
      <c r="K139" t="e">
        <f>Nodes!G1124+"'E4!'Pd"</f>
        <v>#VALUE!</v>
      </c>
      <c r="L139" t="e">
        <f>Nodes!H1124+"'E4!'Pe"</f>
        <v>#VALUE!</v>
      </c>
      <c r="M139" t="e">
        <f>Nodes!I1124+"'E4!'Pf"</f>
        <v>#VALUE!</v>
      </c>
      <c r="N139" t="e">
        <f>Nodes!J1124+"'E4!'Pg"</f>
        <v>#VALUE!</v>
      </c>
      <c r="O139" t="e">
        <f>Nodes!K1124+"'E4!'Ph"</f>
        <v>#VALUE!</v>
      </c>
      <c r="P139" t="e">
        <f>Nodes!L1124+"'E4!'Pi"</f>
        <v>#VALUE!</v>
      </c>
      <c r="Q139" t="e">
        <f>Nodes!M1124+"'E4!'Pj"</f>
        <v>#VALUE!</v>
      </c>
      <c r="R139" t="e">
        <f>Nodes!N1124+"'E4!'Pk"</f>
        <v>#VALUE!</v>
      </c>
      <c r="S139" t="e">
        <f>Nodes!O1124+"'E4!'Pl"</f>
        <v>#VALUE!</v>
      </c>
      <c r="T139" t="e">
        <f>Nodes!P1124+"'E4!'Pm"</f>
        <v>#VALUE!</v>
      </c>
      <c r="U139" t="e">
        <f>Nodes!Q1124+"'E4!'Pn"</f>
        <v>#VALUE!</v>
      </c>
      <c r="V139" t="e">
        <f>Nodes!R1124+"'E4!'Po"</f>
        <v>#VALUE!</v>
      </c>
      <c r="W139" s="547" t="e">
        <f>Nodes!S1124+"'E4!'Pp"</f>
        <v>#VALUE!</v>
      </c>
      <c r="X139" s="547" t="e">
        <f>Nodes!T1124+"'E4!'Pq"</f>
        <v>#VALUE!</v>
      </c>
      <c r="Y139" s="548" t="e">
        <f>Nodes!U1124+"'E4!'Pr"</f>
        <v>#VALUE!</v>
      </c>
      <c r="Z139" s="548" t="e">
        <f>Nodes!V1124+"'E4!'Ps"</f>
        <v>#VALUE!</v>
      </c>
      <c r="AA139" s="547" t="e">
        <f>Nodes!W1124+"'E4!'Pt"</f>
        <v>#VALUE!</v>
      </c>
      <c r="AB139" t="e">
        <f>Nodes!X1124+"'E4!'Pu"</f>
        <v>#VALUE!</v>
      </c>
      <c r="AC139" t="e">
        <f>Nodes!Y1124+"'E4!'Pv"</f>
        <v>#VALUE!</v>
      </c>
      <c r="AD139" t="e">
        <f>Nodes!Z1124+"'E4!'Pw"</f>
        <v>#VALUE!</v>
      </c>
      <c r="AE139" t="e">
        <f>Nodes!AA1124+"'E4!'Px"</f>
        <v>#VALUE!</v>
      </c>
      <c r="AF139" s="547" t="e">
        <f>Nodes!AB1124+"'E4!'Py"</f>
        <v>#VALUE!</v>
      </c>
      <c r="AG139" t="e">
        <f>Nodes!AC1124+"'E4!'Pz"</f>
        <v>#VALUE!</v>
      </c>
      <c r="AH139" t="e">
        <f>Nodes!A1125+"'E4!'P{"</f>
        <v>#VALUE!</v>
      </c>
      <c r="AI139" t="e">
        <f>Nodes!B1125+"'E4!'P|"</f>
        <v>#VALUE!</v>
      </c>
      <c r="AJ139" t="e">
        <f>Nodes!C1125+"'E4!'P}"</f>
        <v>#VALUE!</v>
      </c>
      <c r="AK139" t="e">
        <f>Nodes!D1125+"'E4!'P~"</f>
        <v>#VALUE!</v>
      </c>
      <c r="AL139" t="e">
        <f>Nodes!E1125+"'E4!'Q#"</f>
        <v>#VALUE!</v>
      </c>
      <c r="AM139" t="e">
        <f>Nodes!F1125+"'E4!'Q$"</f>
        <v>#VALUE!</v>
      </c>
      <c r="AN139" t="e">
        <f>Nodes!G1125+"'E4!'Q%"</f>
        <v>#VALUE!</v>
      </c>
      <c r="AO139" t="e">
        <f>Nodes!H1125+"'E4!'Q&amp;"</f>
        <v>#VALUE!</v>
      </c>
      <c r="AP139" t="e">
        <f>Nodes!I1125+"'E4!'Q'"</f>
        <v>#VALUE!</v>
      </c>
      <c r="AQ139" t="e">
        <f>Nodes!J1125+"'E4!'Q("</f>
        <v>#VALUE!</v>
      </c>
      <c r="AR139" t="e">
        <f>Nodes!K1125+"'E4!'Q)"</f>
        <v>#VALUE!</v>
      </c>
      <c r="AS139" t="e">
        <f>Nodes!L1125+"'E4!'Q."</f>
        <v>#VALUE!</v>
      </c>
      <c r="AT139" t="e">
        <f>Nodes!M1125+"'E4!'Q/"</f>
        <v>#VALUE!</v>
      </c>
      <c r="AU139" t="e">
        <f>Nodes!N1125+"'E4!'Q0"</f>
        <v>#VALUE!</v>
      </c>
      <c r="AV139" t="e">
        <f>Nodes!O1125+"'E4!'Q1"</f>
        <v>#VALUE!</v>
      </c>
      <c r="AW139" t="e">
        <f>Nodes!P1125+"'E4!'Q2"</f>
        <v>#VALUE!</v>
      </c>
      <c r="AX139" t="e">
        <f>Nodes!Q1125+"'E4!'Q3"</f>
        <v>#VALUE!</v>
      </c>
      <c r="AY139" t="e">
        <f>Nodes!R1125+"'E4!'Q4"</f>
        <v>#VALUE!</v>
      </c>
      <c r="AZ139" s="547" t="e">
        <f>Nodes!S1125+"'E4!'Q5"</f>
        <v>#VALUE!</v>
      </c>
      <c r="BA139" s="547" t="e">
        <f>Nodes!T1125+"'E4!'Q6"</f>
        <v>#VALUE!</v>
      </c>
      <c r="BB139" s="548" t="e">
        <f>Nodes!U1125+"'E4!'Q7"</f>
        <v>#VALUE!</v>
      </c>
      <c r="BC139" s="548" t="e">
        <f>Nodes!V1125+"'E4!'Q8"</f>
        <v>#VALUE!</v>
      </c>
      <c r="BD139" s="547" t="e">
        <f>Nodes!W1125+"'E4!'Q9"</f>
        <v>#VALUE!</v>
      </c>
      <c r="BE139" t="e">
        <f>Nodes!X1125+"'E4!'Q:"</f>
        <v>#VALUE!</v>
      </c>
      <c r="BF139" t="e">
        <f>Nodes!Y1125+"'E4!'Q;"</f>
        <v>#VALUE!</v>
      </c>
      <c r="BG139" t="e">
        <f>Nodes!Z1125+"'E4!'Q&lt;"</f>
        <v>#VALUE!</v>
      </c>
      <c r="BH139" t="e">
        <f>Nodes!AA1125+"'E4!'Q="</f>
        <v>#VALUE!</v>
      </c>
      <c r="BI139" s="547" t="e">
        <f>Nodes!AB1125+"'E4!'Q&gt;"</f>
        <v>#VALUE!</v>
      </c>
      <c r="BJ139" t="e">
        <f>Nodes!AC1125+"'E4!'Q?"</f>
        <v>#VALUE!</v>
      </c>
      <c r="BK139" t="e">
        <f>Nodes!A1126+"'E4!'Q@"</f>
        <v>#VALUE!</v>
      </c>
      <c r="BL139" t="e">
        <f>Nodes!B1126+"'E4!'QA"</f>
        <v>#VALUE!</v>
      </c>
      <c r="BM139" t="e">
        <f>Nodes!C1126+"'E4!'QB"</f>
        <v>#VALUE!</v>
      </c>
      <c r="BN139" t="e">
        <f>Nodes!D1126+"'E4!'QC"</f>
        <v>#VALUE!</v>
      </c>
      <c r="BO139" t="e">
        <f>Nodes!E1126+"'E4!'QD"</f>
        <v>#VALUE!</v>
      </c>
      <c r="BP139" t="e">
        <f>Nodes!F1126+"'E4!'QE"</f>
        <v>#VALUE!</v>
      </c>
      <c r="BQ139" t="e">
        <f>Nodes!G1126+"'E4!'QF"</f>
        <v>#VALUE!</v>
      </c>
      <c r="BR139" t="e">
        <f>Nodes!H1126+"'E4!'QG"</f>
        <v>#VALUE!</v>
      </c>
      <c r="BS139" t="e">
        <f>Nodes!I1126+"'E4!'QH"</f>
        <v>#VALUE!</v>
      </c>
      <c r="BT139" t="e">
        <f>Nodes!J1126+"'E4!'QI"</f>
        <v>#VALUE!</v>
      </c>
      <c r="BU139" t="e">
        <f>Nodes!K1126+"'E4!'QJ"</f>
        <v>#VALUE!</v>
      </c>
      <c r="BV139" t="e">
        <f>Nodes!L1126+"'E4!'QK"</f>
        <v>#VALUE!</v>
      </c>
      <c r="BW139" t="e">
        <f>Nodes!M1126+"'E4!'QL"</f>
        <v>#VALUE!</v>
      </c>
      <c r="BX139" t="e">
        <f>Nodes!N1126+"'E4!'QM"</f>
        <v>#VALUE!</v>
      </c>
      <c r="BY139" t="e">
        <f>Nodes!O1126+"'E4!'QN"</f>
        <v>#VALUE!</v>
      </c>
      <c r="BZ139" t="e">
        <f>Nodes!P1126+"'E4!'QO"</f>
        <v>#VALUE!</v>
      </c>
      <c r="CA139" t="e">
        <f>Nodes!Q1126+"'E4!'QP"</f>
        <v>#VALUE!</v>
      </c>
      <c r="CB139" t="e">
        <f>Nodes!R1126+"'E4!'QQ"</f>
        <v>#VALUE!</v>
      </c>
      <c r="CC139" s="547" t="e">
        <f>Nodes!S1126+"'E4!'QR"</f>
        <v>#VALUE!</v>
      </c>
      <c r="CD139" s="547" t="e">
        <f>Nodes!T1126+"'E4!'QS"</f>
        <v>#VALUE!</v>
      </c>
      <c r="CE139" s="548" t="e">
        <f>Nodes!U1126+"'E4!'QT"</f>
        <v>#VALUE!</v>
      </c>
      <c r="CF139" s="548" t="e">
        <f>Nodes!V1126+"'E4!'QU"</f>
        <v>#VALUE!</v>
      </c>
      <c r="CG139" s="547" t="e">
        <f>Nodes!W1126+"'E4!'QV"</f>
        <v>#VALUE!</v>
      </c>
      <c r="CH139" t="e">
        <f>Nodes!X1126+"'E4!'QW"</f>
        <v>#VALUE!</v>
      </c>
      <c r="CI139" t="e">
        <f>Nodes!Y1126+"'E4!'QX"</f>
        <v>#VALUE!</v>
      </c>
      <c r="CJ139" t="e">
        <f>Nodes!Z1126+"'E4!'QY"</f>
        <v>#VALUE!</v>
      </c>
      <c r="CK139" t="e">
        <f>Nodes!AA1126+"'E4!'QZ"</f>
        <v>#VALUE!</v>
      </c>
      <c r="CL139" s="547" t="e">
        <f>Nodes!AB1126+"'E4!'Q["</f>
        <v>#VALUE!</v>
      </c>
      <c r="CM139" t="e">
        <f>Nodes!AC1126+"'E4!'Q\"</f>
        <v>#VALUE!</v>
      </c>
      <c r="CN139" t="e">
        <f>Nodes!A1127+"'E4!'Q]"</f>
        <v>#VALUE!</v>
      </c>
      <c r="CO139" t="e">
        <f>Nodes!B1127+"'E4!'Q^"</f>
        <v>#VALUE!</v>
      </c>
      <c r="CP139" t="e">
        <f>Nodes!C1127+"'E4!'Q_"</f>
        <v>#VALUE!</v>
      </c>
      <c r="CQ139" t="e">
        <f>Nodes!D1127+"'E4!'Q`"</f>
        <v>#VALUE!</v>
      </c>
      <c r="CR139" t="e">
        <f>Nodes!E1127+"'E4!'Qa"</f>
        <v>#VALUE!</v>
      </c>
      <c r="CS139" t="e">
        <f>Nodes!F1127+"'E4!'Qb"</f>
        <v>#VALUE!</v>
      </c>
      <c r="CT139" t="e">
        <f>Nodes!G1127+"'E4!'Qc"</f>
        <v>#VALUE!</v>
      </c>
      <c r="CU139" t="e">
        <f>Nodes!H1127+"'E4!'Qd"</f>
        <v>#VALUE!</v>
      </c>
      <c r="CV139" t="e">
        <f>Nodes!I1127+"'E4!'Qe"</f>
        <v>#VALUE!</v>
      </c>
      <c r="CW139" t="e">
        <f>Nodes!J1127+"'E4!'Qf"</f>
        <v>#VALUE!</v>
      </c>
      <c r="CX139" t="e">
        <f>Nodes!K1127+"'E4!'Qg"</f>
        <v>#VALUE!</v>
      </c>
      <c r="CY139" t="e">
        <f>Nodes!L1127+"'E4!'Qh"</f>
        <v>#VALUE!</v>
      </c>
      <c r="CZ139" t="e">
        <f>Nodes!M1127+"'E4!'Qi"</f>
        <v>#VALUE!</v>
      </c>
      <c r="DA139" t="e">
        <f>Nodes!N1127+"'E4!'Qj"</f>
        <v>#VALUE!</v>
      </c>
      <c r="DB139" t="e">
        <f>Nodes!O1127+"'E4!'Qk"</f>
        <v>#VALUE!</v>
      </c>
      <c r="DC139" t="e">
        <f>Nodes!P1127+"'E4!'Ql"</f>
        <v>#VALUE!</v>
      </c>
      <c r="DD139" t="e">
        <f>Nodes!Q1127+"'E4!'Qm"</f>
        <v>#VALUE!</v>
      </c>
      <c r="DE139" t="e">
        <f>Nodes!R1127+"'E4!'Qn"</f>
        <v>#VALUE!</v>
      </c>
      <c r="DF139" s="547" t="e">
        <f>Nodes!S1127+"'E4!'Qo"</f>
        <v>#VALUE!</v>
      </c>
      <c r="DG139" s="547" t="e">
        <f>Nodes!T1127+"'E4!'Qp"</f>
        <v>#VALUE!</v>
      </c>
      <c r="DH139" s="548" t="e">
        <f>Nodes!U1127+"'E4!'Qq"</f>
        <v>#VALUE!</v>
      </c>
      <c r="DI139" s="548" t="e">
        <f>Nodes!V1127+"'E4!'Qr"</f>
        <v>#VALUE!</v>
      </c>
      <c r="DJ139" s="547" t="e">
        <f>Nodes!W1127+"'E4!'Qs"</f>
        <v>#VALUE!</v>
      </c>
      <c r="DK139" t="e">
        <f>Nodes!X1127+"'E4!'Qt"</f>
        <v>#VALUE!</v>
      </c>
      <c r="DL139" t="e">
        <f>Nodes!Y1127+"'E4!'Qu"</f>
        <v>#VALUE!</v>
      </c>
      <c r="DM139" t="e">
        <f>Nodes!Z1127+"'E4!'Qv"</f>
        <v>#VALUE!</v>
      </c>
      <c r="DN139" t="e">
        <f>Nodes!AA1127+"'E4!'Qw"</f>
        <v>#VALUE!</v>
      </c>
      <c r="DO139" s="547" t="e">
        <f>Nodes!AB1127+"'E4!'Qx"</f>
        <v>#VALUE!</v>
      </c>
      <c r="DP139" t="e">
        <f>Nodes!AC1127+"'E4!'Qy"</f>
        <v>#VALUE!</v>
      </c>
      <c r="DQ139" t="e">
        <f>Nodes!A1128+"'E4!'Qz"</f>
        <v>#VALUE!</v>
      </c>
      <c r="DR139" t="e">
        <f>Nodes!B1128+"'E4!'Q{"</f>
        <v>#VALUE!</v>
      </c>
      <c r="DS139" t="e">
        <f>Nodes!C1128+"'E4!'Q|"</f>
        <v>#VALUE!</v>
      </c>
      <c r="DT139" t="e">
        <f>Nodes!D1128+"'E4!'Q}"</f>
        <v>#VALUE!</v>
      </c>
      <c r="DU139" t="e">
        <f>Nodes!E1128+"'E4!'Q~"</f>
        <v>#VALUE!</v>
      </c>
      <c r="DV139" t="e">
        <f>Nodes!F1128+"'E4!'R#"</f>
        <v>#VALUE!</v>
      </c>
      <c r="DW139" t="e">
        <f>Nodes!G1128+"'E4!'R$"</f>
        <v>#VALUE!</v>
      </c>
      <c r="DX139" t="e">
        <f>Nodes!H1128+"'E4!'R%"</f>
        <v>#VALUE!</v>
      </c>
      <c r="DY139" t="e">
        <f>Nodes!I1128+"'E4!'R&amp;"</f>
        <v>#VALUE!</v>
      </c>
      <c r="DZ139" t="e">
        <f>Nodes!J1128+"'E4!'R'"</f>
        <v>#VALUE!</v>
      </c>
      <c r="EA139" t="e">
        <f>Nodes!K1128+"'E4!'R("</f>
        <v>#VALUE!</v>
      </c>
      <c r="EB139" t="e">
        <f>Nodes!L1128+"'E4!'R)"</f>
        <v>#VALUE!</v>
      </c>
      <c r="EC139" t="e">
        <f>Nodes!M1128+"'E4!'R."</f>
        <v>#VALUE!</v>
      </c>
      <c r="ED139" t="e">
        <f>Nodes!N1128+"'E4!'R/"</f>
        <v>#VALUE!</v>
      </c>
      <c r="EE139" t="e">
        <f>Nodes!O1128+"'E4!'R0"</f>
        <v>#VALUE!</v>
      </c>
      <c r="EF139" t="e">
        <f>Nodes!P1128+"'E4!'R1"</f>
        <v>#VALUE!</v>
      </c>
      <c r="EG139" t="e">
        <f>Nodes!Q1128+"'E4!'R2"</f>
        <v>#VALUE!</v>
      </c>
      <c r="EH139" t="e">
        <f>Nodes!R1128+"'E4!'R3"</f>
        <v>#VALUE!</v>
      </c>
      <c r="EI139" s="547" t="e">
        <f>Nodes!S1128+"'E4!'R4"</f>
        <v>#VALUE!</v>
      </c>
      <c r="EJ139" s="547" t="e">
        <f>Nodes!T1128+"'E4!'R5"</f>
        <v>#VALUE!</v>
      </c>
      <c r="EK139" s="548" t="e">
        <f>Nodes!U1128+"'E4!'R6"</f>
        <v>#VALUE!</v>
      </c>
      <c r="EL139" s="548" t="e">
        <f>Nodes!V1128+"'E4!'R7"</f>
        <v>#VALUE!</v>
      </c>
      <c r="EM139" s="547" t="e">
        <f>Nodes!W1128+"'E4!'R8"</f>
        <v>#VALUE!</v>
      </c>
      <c r="EN139" t="e">
        <f>Nodes!X1128+"'E4!'R9"</f>
        <v>#VALUE!</v>
      </c>
      <c r="EO139" t="e">
        <f>Nodes!Y1128+"'E4!'R:"</f>
        <v>#VALUE!</v>
      </c>
      <c r="EP139" t="e">
        <f>Nodes!Z1128+"'E4!'R;"</f>
        <v>#VALUE!</v>
      </c>
      <c r="EQ139" t="e">
        <f>Nodes!AA1128+"'E4!'R&lt;"</f>
        <v>#VALUE!</v>
      </c>
      <c r="ER139" s="547" t="e">
        <f>Nodes!AB1128+"'E4!'R="</f>
        <v>#VALUE!</v>
      </c>
      <c r="ES139" t="e">
        <f>Nodes!AC1128+"'E4!'R&gt;"</f>
        <v>#VALUE!</v>
      </c>
      <c r="ET139" t="e">
        <f>Nodes!A1129+"'E4!'R?"</f>
        <v>#VALUE!</v>
      </c>
      <c r="EU139" t="e">
        <f>Nodes!B1129+"'E4!'R@"</f>
        <v>#VALUE!</v>
      </c>
      <c r="EV139" t="e">
        <f>Nodes!C1129+"'E4!'RA"</f>
        <v>#VALUE!</v>
      </c>
      <c r="EW139" t="e">
        <f>Nodes!D1129+"'E4!'RB"</f>
        <v>#VALUE!</v>
      </c>
      <c r="EX139" t="e">
        <f>Nodes!E1129+"'E4!'RC"</f>
        <v>#VALUE!</v>
      </c>
      <c r="EY139" t="e">
        <f>Nodes!F1129+"'E4!'RD"</f>
        <v>#VALUE!</v>
      </c>
      <c r="EZ139" t="e">
        <f>Nodes!G1129+"'E4!'RE"</f>
        <v>#VALUE!</v>
      </c>
      <c r="FA139" t="e">
        <f>Nodes!H1129+"'E4!'RF"</f>
        <v>#VALUE!</v>
      </c>
      <c r="FB139" t="e">
        <f>Nodes!I1129+"'E4!'RG"</f>
        <v>#VALUE!</v>
      </c>
      <c r="FC139" t="e">
        <f>Nodes!J1129+"'E4!'RH"</f>
        <v>#VALUE!</v>
      </c>
      <c r="FD139" t="e">
        <f>Nodes!K1129+"'E4!'RI"</f>
        <v>#VALUE!</v>
      </c>
      <c r="FE139" t="e">
        <f>Nodes!L1129+"'E4!'RJ"</f>
        <v>#VALUE!</v>
      </c>
      <c r="FF139" t="e">
        <f>Nodes!M1129+"'E4!'RK"</f>
        <v>#VALUE!</v>
      </c>
      <c r="FG139" t="e">
        <f>Nodes!N1129+"'E4!'RL"</f>
        <v>#VALUE!</v>
      </c>
      <c r="FH139" t="e">
        <f>Nodes!O1129+"'E4!'RM"</f>
        <v>#VALUE!</v>
      </c>
      <c r="FI139" t="e">
        <f>Nodes!P1129+"'E4!'RN"</f>
        <v>#VALUE!</v>
      </c>
      <c r="FJ139" t="e">
        <f>Nodes!Q1129+"'E4!'RO"</f>
        <v>#VALUE!</v>
      </c>
      <c r="FK139" t="e">
        <f>Nodes!R1129+"'E4!'RP"</f>
        <v>#VALUE!</v>
      </c>
      <c r="FL139" s="547" t="e">
        <f>Nodes!S1129+"'E4!'RQ"</f>
        <v>#VALUE!</v>
      </c>
      <c r="FM139" s="547" t="e">
        <f>Nodes!T1129+"'E4!'RR"</f>
        <v>#VALUE!</v>
      </c>
      <c r="FN139" s="548" t="e">
        <f>Nodes!U1129+"'E4!'RS"</f>
        <v>#VALUE!</v>
      </c>
      <c r="FO139" s="548" t="e">
        <f>Nodes!V1129+"'E4!'RT"</f>
        <v>#VALUE!</v>
      </c>
      <c r="FP139" s="547" t="e">
        <f>Nodes!W1129+"'E4!'RU"</f>
        <v>#VALUE!</v>
      </c>
      <c r="FQ139" t="e">
        <f>Nodes!X1129+"'E4!'RV"</f>
        <v>#VALUE!</v>
      </c>
      <c r="FR139" t="e">
        <f>Nodes!Y1129+"'E4!'RW"</f>
        <v>#VALUE!</v>
      </c>
      <c r="FS139" t="e">
        <f>Nodes!Z1129+"'E4!'RX"</f>
        <v>#VALUE!</v>
      </c>
      <c r="FT139" t="e">
        <f>Nodes!AA1129+"'E4!'RY"</f>
        <v>#VALUE!</v>
      </c>
      <c r="FU139" s="547" t="e">
        <f>Nodes!AB1129+"'E4!'RZ"</f>
        <v>#VALUE!</v>
      </c>
      <c r="FV139" t="e">
        <f>Nodes!AC1129+"'E4!'R["</f>
        <v>#VALUE!</v>
      </c>
      <c r="FW139" t="e">
        <f>Nodes!A1130+"'E4!'R\"</f>
        <v>#VALUE!</v>
      </c>
      <c r="FX139" t="e">
        <f>Nodes!B1130+"'E4!'R]"</f>
        <v>#VALUE!</v>
      </c>
      <c r="FY139" t="e">
        <f>Nodes!C1130+"'E4!'R^"</f>
        <v>#VALUE!</v>
      </c>
      <c r="FZ139" t="e">
        <f>Nodes!D1130+"'E4!'R_"</f>
        <v>#VALUE!</v>
      </c>
      <c r="GA139" t="e">
        <f>Nodes!E1130+"'E4!'R`"</f>
        <v>#VALUE!</v>
      </c>
      <c r="GB139" t="e">
        <f>Nodes!F1130+"'E4!'Ra"</f>
        <v>#VALUE!</v>
      </c>
      <c r="GC139" t="e">
        <f>Nodes!G1130+"'E4!'Rb"</f>
        <v>#VALUE!</v>
      </c>
      <c r="GD139" t="e">
        <f>Nodes!H1130+"'E4!'Rc"</f>
        <v>#VALUE!</v>
      </c>
      <c r="GE139" t="e">
        <f>Nodes!I1130+"'E4!'Rd"</f>
        <v>#VALUE!</v>
      </c>
      <c r="GF139" t="e">
        <f>Nodes!J1130+"'E4!'Re"</f>
        <v>#VALUE!</v>
      </c>
      <c r="GG139" t="e">
        <f>Nodes!K1130+"'E4!'Rf"</f>
        <v>#VALUE!</v>
      </c>
      <c r="GH139" t="e">
        <f>Nodes!L1130+"'E4!'Rg"</f>
        <v>#VALUE!</v>
      </c>
      <c r="GI139" t="e">
        <f>Nodes!M1130+"'E4!'Rh"</f>
        <v>#VALUE!</v>
      </c>
      <c r="GJ139" t="e">
        <f>Nodes!N1130+"'E4!'Ri"</f>
        <v>#VALUE!</v>
      </c>
      <c r="GK139" t="e">
        <f>Nodes!O1130+"'E4!'Rj"</f>
        <v>#VALUE!</v>
      </c>
      <c r="GL139" t="e">
        <f>Nodes!P1130+"'E4!'Rk"</f>
        <v>#VALUE!</v>
      </c>
      <c r="GM139" t="e">
        <f>Nodes!Q1130+"'E4!'Rl"</f>
        <v>#VALUE!</v>
      </c>
      <c r="GN139" t="e">
        <f>Nodes!R1130+"'E4!'Rm"</f>
        <v>#VALUE!</v>
      </c>
      <c r="GO139" s="547" t="e">
        <f>Nodes!S1130+"'E4!'Rn"</f>
        <v>#VALUE!</v>
      </c>
      <c r="GP139" s="547" t="e">
        <f>Nodes!T1130+"'E4!'Ro"</f>
        <v>#VALUE!</v>
      </c>
      <c r="GQ139" s="548" t="e">
        <f>Nodes!U1130+"'E4!'Rp"</f>
        <v>#VALUE!</v>
      </c>
      <c r="GR139" s="548" t="e">
        <f>Nodes!V1130+"'E4!'Rq"</f>
        <v>#VALUE!</v>
      </c>
      <c r="GS139" s="547" t="e">
        <f>Nodes!W1130+"'E4!'Rr"</f>
        <v>#VALUE!</v>
      </c>
      <c r="GT139" t="e">
        <f>Nodes!X1130+"'E4!'Rs"</f>
        <v>#VALUE!</v>
      </c>
      <c r="GU139" t="e">
        <f>Nodes!Y1130+"'E4!'Rt"</f>
        <v>#VALUE!</v>
      </c>
      <c r="GV139" t="e">
        <f>Nodes!Z1130+"'E4!'Ru"</f>
        <v>#VALUE!</v>
      </c>
      <c r="GW139" t="e">
        <f>Nodes!AA1130+"'E4!'Rv"</f>
        <v>#VALUE!</v>
      </c>
      <c r="GX139" s="547" t="e">
        <f>Nodes!AB1130+"'E4!'Rw"</f>
        <v>#VALUE!</v>
      </c>
      <c r="GY139" t="e">
        <f>Nodes!AC1130+"'E4!'Rx"</f>
        <v>#VALUE!</v>
      </c>
      <c r="GZ139" t="e">
        <f>Nodes!A1131+"'E4!'Ry"</f>
        <v>#VALUE!</v>
      </c>
      <c r="HA139" t="e">
        <f>Nodes!B1131+"'E4!'Rz"</f>
        <v>#VALUE!</v>
      </c>
      <c r="HB139" t="e">
        <f>Nodes!C1131+"'E4!'R{"</f>
        <v>#VALUE!</v>
      </c>
      <c r="HC139" t="e">
        <f>Nodes!D1131+"'E4!'R|"</f>
        <v>#VALUE!</v>
      </c>
      <c r="HD139" t="e">
        <f>Nodes!E1131+"'E4!'R}"</f>
        <v>#VALUE!</v>
      </c>
      <c r="HE139" t="e">
        <f>Nodes!F1131+"'E4!'R~"</f>
        <v>#VALUE!</v>
      </c>
      <c r="HF139" t="e">
        <f>Nodes!G1131+"'E4!'S#"</f>
        <v>#VALUE!</v>
      </c>
      <c r="HG139" t="e">
        <f>Nodes!H1131+"'E4!'S$"</f>
        <v>#VALUE!</v>
      </c>
      <c r="HH139" t="e">
        <f>Nodes!I1131+"'E4!'S%"</f>
        <v>#VALUE!</v>
      </c>
      <c r="HI139" t="e">
        <f>Nodes!J1131+"'E4!'S&amp;"</f>
        <v>#VALUE!</v>
      </c>
      <c r="HJ139" t="e">
        <f>Nodes!K1131+"'E4!'S'"</f>
        <v>#VALUE!</v>
      </c>
      <c r="HK139" t="e">
        <f>Nodes!L1131+"'E4!'S("</f>
        <v>#VALUE!</v>
      </c>
      <c r="HL139" t="e">
        <f>Nodes!M1131+"'E4!'S)"</f>
        <v>#VALUE!</v>
      </c>
      <c r="HM139" t="e">
        <f>Nodes!N1131+"'E4!'S."</f>
        <v>#VALUE!</v>
      </c>
      <c r="HN139" t="e">
        <f>Nodes!O1131+"'E4!'S/"</f>
        <v>#VALUE!</v>
      </c>
      <c r="HO139" t="e">
        <f>Nodes!P1131+"'E4!'S0"</f>
        <v>#VALUE!</v>
      </c>
      <c r="HP139" t="e">
        <f>Nodes!Q1131+"'E4!'S1"</f>
        <v>#VALUE!</v>
      </c>
      <c r="HQ139" t="e">
        <f>Nodes!R1131+"'E4!'S2"</f>
        <v>#VALUE!</v>
      </c>
      <c r="HR139" s="547" t="e">
        <f>Nodes!S1131+"'E4!'S3"</f>
        <v>#VALUE!</v>
      </c>
      <c r="HS139" s="547" t="e">
        <f>Nodes!T1131+"'E4!'S4"</f>
        <v>#VALUE!</v>
      </c>
      <c r="HT139" s="548" t="e">
        <f>Nodes!U1131+"'E4!'S5"</f>
        <v>#VALUE!</v>
      </c>
      <c r="HU139" s="548" t="e">
        <f>Nodes!V1131+"'E4!'S6"</f>
        <v>#VALUE!</v>
      </c>
      <c r="HV139" s="547" t="e">
        <f>Nodes!W1131+"'E4!'S7"</f>
        <v>#VALUE!</v>
      </c>
      <c r="HW139" t="e">
        <f>Nodes!X1131+"'E4!'S8"</f>
        <v>#VALUE!</v>
      </c>
      <c r="HX139" t="e">
        <f>Nodes!Y1131+"'E4!'S9"</f>
        <v>#VALUE!</v>
      </c>
      <c r="HY139" t="e">
        <f>Nodes!Z1131+"'E4!'S:"</f>
        <v>#VALUE!</v>
      </c>
      <c r="HZ139" t="e">
        <f>Nodes!AA1131+"'E4!'S;"</f>
        <v>#VALUE!</v>
      </c>
      <c r="IA139" t="e">
        <f>Nodes!AB1131+"'E4!'S&lt;"</f>
        <v>#VALUE!</v>
      </c>
      <c r="IB139" t="e">
        <f>Nodes!AC1131+"'E4!'S="</f>
        <v>#VALUE!</v>
      </c>
      <c r="IC139" t="e">
        <f>Nodes!A1132+"'E4!'S&gt;"</f>
        <v>#VALUE!</v>
      </c>
      <c r="ID139" t="e">
        <f>Nodes!B1132+"'E4!'S?"</f>
        <v>#VALUE!</v>
      </c>
      <c r="IE139" t="e">
        <f>Nodes!C1132+"'E4!'S@"</f>
        <v>#VALUE!</v>
      </c>
      <c r="IF139" t="e">
        <f>Nodes!D1132+"'E4!'SA"</f>
        <v>#VALUE!</v>
      </c>
      <c r="IG139" t="e">
        <f>Nodes!E1132+"'E4!'SB"</f>
        <v>#VALUE!</v>
      </c>
      <c r="IH139" t="e">
        <f>Nodes!F1132+"'E4!'SC"</f>
        <v>#VALUE!</v>
      </c>
      <c r="II139" t="e">
        <f>Nodes!G1132+"'E4!'SD"</f>
        <v>#VALUE!</v>
      </c>
      <c r="IJ139" t="e">
        <f>Nodes!H1132+"'E4!'SE"</f>
        <v>#VALUE!</v>
      </c>
      <c r="IK139" t="e">
        <f>Nodes!I1132+"'E4!'SF"</f>
        <v>#VALUE!</v>
      </c>
      <c r="IL139" t="e">
        <f>Nodes!J1132+"'E4!'SG"</f>
        <v>#VALUE!</v>
      </c>
      <c r="IM139" t="e">
        <f>Nodes!K1132+"'E4!'SH"</f>
        <v>#VALUE!</v>
      </c>
      <c r="IN139" t="e">
        <f>Nodes!L1132+"'E4!'SI"</f>
        <v>#VALUE!</v>
      </c>
      <c r="IO139" t="e">
        <f>Nodes!M1132+"'E4!'SJ"</f>
        <v>#VALUE!</v>
      </c>
      <c r="IP139" t="e">
        <f>Nodes!N1132+"'E4!'SK"</f>
        <v>#VALUE!</v>
      </c>
      <c r="IQ139" t="e">
        <f>Nodes!O1132+"'E4!'SL"</f>
        <v>#VALUE!</v>
      </c>
      <c r="IR139" t="e">
        <f>Nodes!P1132+"'E4!'SM"</f>
        <v>#VALUE!</v>
      </c>
      <c r="IS139" t="e">
        <f>Nodes!Q1132+"'E4!'SN"</f>
        <v>#VALUE!</v>
      </c>
      <c r="IT139" t="e">
        <f>Nodes!R1132+"'E4!'SO"</f>
        <v>#VALUE!</v>
      </c>
      <c r="IU139" s="547" t="e">
        <f>Nodes!S1132+"'E4!'SP"</f>
        <v>#VALUE!</v>
      </c>
      <c r="IV139" s="547" t="e">
        <f>Nodes!T1132+"'E4!'SQ"</f>
        <v>#VALUE!</v>
      </c>
    </row>
    <row r="140" spans="6:256">
      <c r="F140" s="548" t="e">
        <f>Nodes!U1132+"'E4!'SR"</f>
        <v>#VALUE!</v>
      </c>
      <c r="G140" s="548" t="e">
        <f>Nodes!V1132+"'E4!'SS"</f>
        <v>#VALUE!</v>
      </c>
      <c r="H140" s="547" t="e">
        <f>Nodes!W1132+"'E4!'ST"</f>
        <v>#VALUE!</v>
      </c>
      <c r="I140" t="e">
        <f>Nodes!X1132+"'E4!'SU"</f>
        <v>#VALUE!</v>
      </c>
      <c r="J140" t="e">
        <f>Nodes!Y1132+"'E4!'SV"</f>
        <v>#VALUE!</v>
      </c>
      <c r="K140" t="e">
        <f>Nodes!Z1132+"'E4!'SW"</f>
        <v>#VALUE!</v>
      </c>
      <c r="L140" t="e">
        <f>Nodes!AA1132+"'E4!'SX"</f>
        <v>#VALUE!</v>
      </c>
      <c r="M140" s="547" t="e">
        <f>Nodes!AB1132+"'E4!'SY"</f>
        <v>#VALUE!</v>
      </c>
      <c r="N140" t="e">
        <f>Nodes!AC1132+"'E4!'SZ"</f>
        <v>#VALUE!</v>
      </c>
      <c r="O140" t="e">
        <f>Nodes!A1133+"'E4!'S["</f>
        <v>#VALUE!</v>
      </c>
      <c r="P140" t="e">
        <f>Nodes!B1133+"'E4!'S\"</f>
        <v>#VALUE!</v>
      </c>
      <c r="Q140" t="e">
        <f>Nodes!C1133+"'E4!'S]"</f>
        <v>#VALUE!</v>
      </c>
      <c r="R140" t="e">
        <f>Nodes!D1133+"'E4!'S^"</f>
        <v>#VALUE!</v>
      </c>
      <c r="S140" t="e">
        <f>Nodes!E1133+"'E4!'S_"</f>
        <v>#VALUE!</v>
      </c>
      <c r="T140" t="e">
        <f>Nodes!F1133+"'E4!'S`"</f>
        <v>#VALUE!</v>
      </c>
      <c r="U140" t="e">
        <f>Nodes!G1133+"'E4!'Sa"</f>
        <v>#VALUE!</v>
      </c>
      <c r="V140" t="e">
        <f>Nodes!H1133+"'E4!'Sb"</f>
        <v>#VALUE!</v>
      </c>
      <c r="W140" t="e">
        <f>Nodes!I1133+"'E4!'Sc"</f>
        <v>#VALUE!</v>
      </c>
      <c r="X140" t="e">
        <f>Nodes!J1133+"'E4!'Sd"</f>
        <v>#VALUE!</v>
      </c>
      <c r="Y140" t="e">
        <f>Nodes!K1133+"'E4!'Se"</f>
        <v>#VALUE!</v>
      </c>
      <c r="Z140" t="e">
        <f>Nodes!L1133+"'E4!'Sf"</f>
        <v>#VALUE!</v>
      </c>
      <c r="AA140" t="e">
        <f>Nodes!M1133+"'E4!'Sg"</f>
        <v>#VALUE!</v>
      </c>
      <c r="AB140" t="e">
        <f>Nodes!N1133+"'E4!'Sh"</f>
        <v>#VALUE!</v>
      </c>
      <c r="AC140" t="e">
        <f>Nodes!O1133+"'E4!'Si"</f>
        <v>#VALUE!</v>
      </c>
      <c r="AD140" t="e">
        <f>Nodes!P1133+"'E4!'Sj"</f>
        <v>#VALUE!</v>
      </c>
      <c r="AE140" t="e">
        <f>Nodes!Q1133+"'E4!'Sk"</f>
        <v>#VALUE!</v>
      </c>
      <c r="AF140" t="e">
        <f>Nodes!R1133+"'E4!'Sl"</f>
        <v>#VALUE!</v>
      </c>
      <c r="AG140" s="547" t="e">
        <f>Nodes!S1133+"'E4!'Sm"</f>
        <v>#VALUE!</v>
      </c>
      <c r="AH140" s="547" t="e">
        <f>Nodes!T1133+"'E4!'Sn"</f>
        <v>#VALUE!</v>
      </c>
      <c r="AI140" s="548" t="e">
        <f>Nodes!U1133+"'E4!'So"</f>
        <v>#VALUE!</v>
      </c>
      <c r="AJ140" s="548" t="e">
        <f>Nodes!V1133+"'E4!'Sp"</f>
        <v>#VALUE!</v>
      </c>
      <c r="AK140" s="547" t="e">
        <f>Nodes!W1133+"'E4!'Sq"</f>
        <v>#VALUE!</v>
      </c>
      <c r="AL140" t="e">
        <f>Nodes!X1133+"'E4!'Sr"</f>
        <v>#VALUE!</v>
      </c>
      <c r="AM140" t="e">
        <f>Nodes!Y1133+"'E4!'Ss"</f>
        <v>#VALUE!</v>
      </c>
      <c r="AN140" t="e">
        <f>Nodes!Z1133+"'E4!'St"</f>
        <v>#VALUE!</v>
      </c>
      <c r="AO140" t="e">
        <f>Nodes!AA1133+"'E4!'Su"</f>
        <v>#VALUE!</v>
      </c>
      <c r="AP140" s="547" t="e">
        <f>Nodes!AB1133+"'E4!'Sv"</f>
        <v>#VALUE!</v>
      </c>
      <c r="AQ140" t="e">
        <f>Nodes!AC1133+"'E4!'Sw"</f>
        <v>#VALUE!</v>
      </c>
      <c r="AR140" t="e">
        <f>Nodes!A1134+"'E4!'Sx"</f>
        <v>#VALUE!</v>
      </c>
      <c r="AS140" t="e">
        <f>Nodes!B1134+"'E4!'Sy"</f>
        <v>#VALUE!</v>
      </c>
      <c r="AT140" t="e">
        <f>Nodes!C1134+"'E4!'Sz"</f>
        <v>#VALUE!</v>
      </c>
      <c r="AU140" t="e">
        <f>Nodes!D1134+"'E4!'S{"</f>
        <v>#VALUE!</v>
      </c>
      <c r="AV140" t="e">
        <f>Nodes!E1134+"'E4!'S|"</f>
        <v>#VALUE!</v>
      </c>
      <c r="AW140" t="e">
        <f>Nodes!F1134+"'E4!'S}"</f>
        <v>#VALUE!</v>
      </c>
      <c r="AX140" t="e">
        <f>Nodes!G1134+"'E4!'S~"</f>
        <v>#VALUE!</v>
      </c>
      <c r="AY140" t="e">
        <f>Nodes!H1134+"'E4!'T#"</f>
        <v>#VALUE!</v>
      </c>
      <c r="AZ140" t="e">
        <f>Nodes!I1134+"'E4!'T$"</f>
        <v>#VALUE!</v>
      </c>
      <c r="BA140" t="e">
        <f>Nodes!J1134+"'E4!'T%"</f>
        <v>#VALUE!</v>
      </c>
      <c r="BB140" t="e">
        <f>Nodes!K1134+"'E4!'T&amp;"</f>
        <v>#VALUE!</v>
      </c>
      <c r="BC140" t="e">
        <f>Nodes!L1134+"'E4!'T'"</f>
        <v>#VALUE!</v>
      </c>
      <c r="BD140" t="e">
        <f>Nodes!M1134+"'E4!'T("</f>
        <v>#VALUE!</v>
      </c>
      <c r="BE140" t="e">
        <f>Nodes!N1134+"'E4!'T)"</f>
        <v>#VALUE!</v>
      </c>
      <c r="BF140" t="e">
        <f>Nodes!O1134+"'E4!'T."</f>
        <v>#VALUE!</v>
      </c>
      <c r="BG140" t="e">
        <f>Nodes!P1134+"'E4!'T/"</f>
        <v>#VALUE!</v>
      </c>
      <c r="BH140" t="e">
        <f>Nodes!Q1134+"'E4!'T0"</f>
        <v>#VALUE!</v>
      </c>
      <c r="BI140" t="e">
        <f>Nodes!R1134+"'E4!'T1"</f>
        <v>#VALUE!</v>
      </c>
      <c r="BJ140" s="547" t="e">
        <f>Nodes!S1134+"'E4!'T2"</f>
        <v>#VALUE!</v>
      </c>
      <c r="BK140" s="547" t="e">
        <f>Nodes!T1134+"'E4!'T3"</f>
        <v>#VALUE!</v>
      </c>
      <c r="BL140" s="548" t="e">
        <f>Nodes!U1134+"'E4!'T4"</f>
        <v>#VALUE!</v>
      </c>
      <c r="BM140" s="548" t="e">
        <f>Nodes!V1134+"'E4!'T5"</f>
        <v>#VALUE!</v>
      </c>
      <c r="BN140" s="547" t="e">
        <f>Nodes!W1134+"'E4!'T6"</f>
        <v>#VALUE!</v>
      </c>
      <c r="BO140" t="e">
        <f>Nodes!X1134+"'E4!'T7"</f>
        <v>#VALUE!</v>
      </c>
      <c r="BP140" t="e">
        <f>Nodes!Y1134+"'E4!'T8"</f>
        <v>#VALUE!</v>
      </c>
      <c r="BQ140" t="e">
        <f>Nodes!Z1134+"'E4!'T9"</f>
        <v>#VALUE!</v>
      </c>
      <c r="BR140" t="e">
        <f>Nodes!AA1134+"'E4!'T:"</f>
        <v>#VALUE!</v>
      </c>
      <c r="BS140" s="547" t="e">
        <f>Nodes!AB1134+"'E4!'T;"</f>
        <v>#VALUE!</v>
      </c>
      <c r="BT140" t="e">
        <f>Nodes!AC1134+"'E4!'T&lt;"</f>
        <v>#VALUE!</v>
      </c>
      <c r="BU140" t="e">
        <f>Nodes!A1135+"'E4!'T="</f>
        <v>#VALUE!</v>
      </c>
      <c r="BV140" t="e">
        <f>Nodes!B1135+"'E4!'T&gt;"</f>
        <v>#VALUE!</v>
      </c>
      <c r="BW140" t="e">
        <f>Nodes!C1135+"'E4!'T?"</f>
        <v>#VALUE!</v>
      </c>
      <c r="BX140" t="e">
        <f>Nodes!D1135+"'E4!'T@"</f>
        <v>#VALUE!</v>
      </c>
      <c r="BY140" t="e">
        <f>Nodes!E1135+"'E4!'TA"</f>
        <v>#VALUE!</v>
      </c>
      <c r="BZ140" t="e">
        <f>Nodes!F1135+"'E4!'TB"</f>
        <v>#VALUE!</v>
      </c>
      <c r="CA140" t="e">
        <f>Nodes!G1135+"'E4!'TC"</f>
        <v>#VALUE!</v>
      </c>
      <c r="CB140" t="e">
        <f>Nodes!H1135+"'E4!'TD"</f>
        <v>#VALUE!</v>
      </c>
      <c r="CC140" t="e">
        <f>Nodes!I1135+"'E4!'TE"</f>
        <v>#VALUE!</v>
      </c>
      <c r="CD140" t="e">
        <f>Nodes!J1135+"'E4!'TF"</f>
        <v>#VALUE!</v>
      </c>
      <c r="CE140" t="e">
        <f>Nodes!K1135+"'E4!'TG"</f>
        <v>#VALUE!</v>
      </c>
      <c r="CF140" t="e">
        <f>Nodes!L1135+"'E4!'TH"</f>
        <v>#VALUE!</v>
      </c>
      <c r="CG140" t="e">
        <f>Nodes!M1135+"'E4!'TI"</f>
        <v>#VALUE!</v>
      </c>
      <c r="CH140" t="e">
        <f>Nodes!N1135+"'E4!'TJ"</f>
        <v>#VALUE!</v>
      </c>
      <c r="CI140" t="e">
        <f>Nodes!O1135+"'E4!'TK"</f>
        <v>#VALUE!</v>
      </c>
      <c r="CJ140" t="e">
        <f>Nodes!P1135+"'E4!'TL"</f>
        <v>#VALUE!</v>
      </c>
      <c r="CK140" t="e">
        <f>Nodes!Q1135+"'E4!'TM"</f>
        <v>#VALUE!</v>
      </c>
      <c r="CL140" t="e">
        <f>Nodes!R1135+"'E4!'TN"</f>
        <v>#VALUE!</v>
      </c>
      <c r="CM140" s="547" t="e">
        <f>Nodes!S1135+"'E4!'TO"</f>
        <v>#VALUE!</v>
      </c>
      <c r="CN140" s="547" t="e">
        <f>Nodes!T1135+"'E4!'TP"</f>
        <v>#VALUE!</v>
      </c>
      <c r="CO140" s="548" t="e">
        <f>Nodes!U1135+"'E4!'TQ"</f>
        <v>#VALUE!</v>
      </c>
      <c r="CP140" s="548" t="e">
        <f>Nodes!V1135+"'E4!'TR"</f>
        <v>#VALUE!</v>
      </c>
      <c r="CQ140" s="547" t="e">
        <f>Nodes!W1135+"'E4!'TS"</f>
        <v>#VALUE!</v>
      </c>
      <c r="CR140" t="e">
        <f>Nodes!X1135+"'E4!'TT"</f>
        <v>#VALUE!</v>
      </c>
      <c r="CS140" t="e">
        <f>Nodes!Y1135+"'E4!'TU"</f>
        <v>#VALUE!</v>
      </c>
      <c r="CT140" t="e">
        <f>Nodes!Z1135+"'E4!'TV"</f>
        <v>#VALUE!</v>
      </c>
      <c r="CU140" t="e">
        <f>Nodes!AA1135+"'E4!'TW"</f>
        <v>#VALUE!</v>
      </c>
      <c r="CV140" s="547" t="e">
        <f>Nodes!AB1135+"'E4!'TX"</f>
        <v>#VALUE!</v>
      </c>
      <c r="CW140" t="e">
        <f>Nodes!AC1135+"'E4!'TY"</f>
        <v>#VALUE!</v>
      </c>
      <c r="CX140" t="e">
        <f>Nodes!A1136+"'E4!'TZ"</f>
        <v>#VALUE!</v>
      </c>
      <c r="CY140" t="e">
        <f>Nodes!B1136+"'E4!'T["</f>
        <v>#VALUE!</v>
      </c>
      <c r="CZ140" t="e">
        <f>Nodes!C1136+"'E4!'T\"</f>
        <v>#VALUE!</v>
      </c>
      <c r="DA140" t="e">
        <f>Nodes!D1136+"'E4!'T]"</f>
        <v>#VALUE!</v>
      </c>
      <c r="DB140" t="e">
        <f>Nodes!E1136+"'E4!'T^"</f>
        <v>#VALUE!</v>
      </c>
      <c r="DC140" t="e">
        <f>Nodes!F1136+"'E4!'T_"</f>
        <v>#VALUE!</v>
      </c>
      <c r="DD140" t="e">
        <f>Nodes!G1136+"'E4!'T`"</f>
        <v>#VALUE!</v>
      </c>
      <c r="DE140" t="e">
        <f>Nodes!H1136+"'E4!'Ta"</f>
        <v>#VALUE!</v>
      </c>
      <c r="DF140" t="e">
        <f>Nodes!I1136+"'E4!'Tb"</f>
        <v>#VALUE!</v>
      </c>
      <c r="DG140" t="e">
        <f>Nodes!J1136+"'E4!'Tc"</f>
        <v>#VALUE!</v>
      </c>
      <c r="DH140" t="e">
        <f>Nodes!K1136+"'E4!'Td"</f>
        <v>#VALUE!</v>
      </c>
      <c r="DI140" t="e">
        <f>Nodes!L1136+"'E4!'Te"</f>
        <v>#VALUE!</v>
      </c>
      <c r="DJ140" t="e">
        <f>Nodes!M1136+"'E4!'Tf"</f>
        <v>#VALUE!</v>
      </c>
      <c r="DK140" t="e">
        <f>Nodes!N1136+"'E4!'Tg"</f>
        <v>#VALUE!</v>
      </c>
      <c r="DL140" t="e">
        <f>Nodes!O1136+"'E4!'Th"</f>
        <v>#VALUE!</v>
      </c>
      <c r="DM140" t="e">
        <f>Nodes!P1136+"'E4!'Ti"</f>
        <v>#VALUE!</v>
      </c>
      <c r="DN140" t="e">
        <f>Nodes!Q1136+"'E4!'Tj"</f>
        <v>#VALUE!</v>
      </c>
      <c r="DO140" t="e">
        <f>Nodes!R1136+"'E4!'Tk"</f>
        <v>#VALUE!</v>
      </c>
      <c r="DP140" s="547" t="e">
        <f>Nodes!S1136+"'E4!'Tl"</f>
        <v>#VALUE!</v>
      </c>
      <c r="DQ140" s="547" t="e">
        <f>Nodes!T1136+"'E4!'Tm"</f>
        <v>#VALUE!</v>
      </c>
      <c r="DR140" s="548" t="e">
        <f>Nodes!U1136+"'E4!'Tn"</f>
        <v>#VALUE!</v>
      </c>
      <c r="DS140" s="548" t="e">
        <f>Nodes!V1136+"'E4!'To"</f>
        <v>#VALUE!</v>
      </c>
      <c r="DT140" s="547" t="e">
        <f>Nodes!W1136+"'E4!'Tp"</f>
        <v>#VALUE!</v>
      </c>
      <c r="DU140" t="e">
        <f>Nodes!X1136+"'E4!'Tq"</f>
        <v>#VALUE!</v>
      </c>
      <c r="DV140" t="e">
        <f>Nodes!Y1136+"'E4!'Tr"</f>
        <v>#VALUE!</v>
      </c>
      <c r="DW140" t="e">
        <f>Nodes!Z1136+"'E4!'Ts"</f>
        <v>#VALUE!</v>
      </c>
      <c r="DX140" t="e">
        <f>Nodes!AA1136+"'E4!'Tt"</f>
        <v>#VALUE!</v>
      </c>
      <c r="DY140" s="547" t="e">
        <f>Nodes!AB1136+"'E4!'Tu"</f>
        <v>#VALUE!</v>
      </c>
      <c r="DZ140" t="e">
        <f>Nodes!AC1136+"'E4!'Tv"</f>
        <v>#VALUE!</v>
      </c>
      <c r="EA140" t="e">
        <f>Nodes!A1137+"'E4!'Tw"</f>
        <v>#VALUE!</v>
      </c>
      <c r="EB140" t="e">
        <f>Nodes!B1137+"'E4!'Tx"</f>
        <v>#VALUE!</v>
      </c>
      <c r="EC140" t="e">
        <f>Nodes!C1137+"'E4!'Ty"</f>
        <v>#VALUE!</v>
      </c>
      <c r="ED140" t="e">
        <f>Nodes!D1137+"'E4!'Tz"</f>
        <v>#VALUE!</v>
      </c>
      <c r="EE140" t="e">
        <f>Nodes!E1137+"'E4!'T{"</f>
        <v>#VALUE!</v>
      </c>
      <c r="EF140" t="e">
        <f>Nodes!F1137+"'E4!'T|"</f>
        <v>#VALUE!</v>
      </c>
      <c r="EG140" t="e">
        <f>Nodes!G1137+"'E4!'T}"</f>
        <v>#VALUE!</v>
      </c>
      <c r="EH140" t="e">
        <f>Nodes!H1137+"'E4!'T~"</f>
        <v>#VALUE!</v>
      </c>
      <c r="EI140" t="e">
        <f>Nodes!I1137+"'E4!'U#"</f>
        <v>#VALUE!</v>
      </c>
      <c r="EJ140" t="e">
        <f>Nodes!J1137+"'E4!'U$"</f>
        <v>#VALUE!</v>
      </c>
      <c r="EK140" t="e">
        <f>Nodes!K1137+"'E4!'U%"</f>
        <v>#VALUE!</v>
      </c>
      <c r="EL140" t="e">
        <f>Nodes!L1137+"'E4!'U&amp;"</f>
        <v>#VALUE!</v>
      </c>
      <c r="EM140" t="e">
        <f>Nodes!M1137+"'E4!'U'"</f>
        <v>#VALUE!</v>
      </c>
      <c r="EN140" t="e">
        <f>Nodes!N1137+"'E4!'U("</f>
        <v>#VALUE!</v>
      </c>
      <c r="EO140" t="e">
        <f>Nodes!O1137+"'E4!'U)"</f>
        <v>#VALUE!</v>
      </c>
      <c r="EP140" t="e">
        <f>Nodes!P1137+"'E4!'U."</f>
        <v>#VALUE!</v>
      </c>
      <c r="EQ140" t="e">
        <f>Nodes!Q1137+"'E4!'U/"</f>
        <v>#VALUE!</v>
      </c>
      <c r="ER140" t="e">
        <f>Nodes!R1137+"'E4!'U0"</f>
        <v>#VALUE!</v>
      </c>
      <c r="ES140" s="547" t="e">
        <f>Nodes!S1137+"'E4!'U1"</f>
        <v>#VALUE!</v>
      </c>
      <c r="ET140" s="547" t="e">
        <f>Nodes!T1137+"'E4!'U2"</f>
        <v>#VALUE!</v>
      </c>
      <c r="EU140" s="548" t="e">
        <f>Nodes!U1137+"'E4!'U3"</f>
        <v>#VALUE!</v>
      </c>
      <c r="EV140" s="548" t="e">
        <f>Nodes!V1137+"'E4!'U4"</f>
        <v>#VALUE!</v>
      </c>
      <c r="EW140" s="547" t="e">
        <f>Nodes!W1137+"'E4!'U5"</f>
        <v>#VALUE!</v>
      </c>
      <c r="EX140" t="e">
        <f>Nodes!X1137+"'E4!'U6"</f>
        <v>#VALUE!</v>
      </c>
      <c r="EY140" t="e">
        <f>Nodes!Y1137+"'E4!'U7"</f>
        <v>#VALUE!</v>
      </c>
      <c r="EZ140" t="e">
        <f>Nodes!Z1137+"'E4!'U8"</f>
        <v>#VALUE!</v>
      </c>
      <c r="FA140" t="e">
        <f>Nodes!AA1137+"'E4!'U9"</f>
        <v>#VALUE!</v>
      </c>
      <c r="FB140" s="547" t="e">
        <f>Nodes!AB1137+"'E4!'U:"</f>
        <v>#VALUE!</v>
      </c>
      <c r="FC140" t="e">
        <f>Nodes!AC1137+"'E4!'U;"</f>
        <v>#VALUE!</v>
      </c>
      <c r="FD140" t="e">
        <f>Nodes!A1138+"'E4!'U&lt;"</f>
        <v>#VALUE!</v>
      </c>
      <c r="FE140" t="e">
        <f>Nodes!B1138+"'E4!'U="</f>
        <v>#VALUE!</v>
      </c>
      <c r="FF140" t="e">
        <f>Nodes!C1138+"'E4!'U&gt;"</f>
        <v>#VALUE!</v>
      </c>
      <c r="FG140" t="e">
        <f>Nodes!D1138+"'E4!'U?"</f>
        <v>#VALUE!</v>
      </c>
      <c r="FH140" t="e">
        <f>Nodes!E1138+"'E4!'U@"</f>
        <v>#VALUE!</v>
      </c>
      <c r="FI140" t="e">
        <f>Nodes!F1138+"'E4!'UA"</f>
        <v>#VALUE!</v>
      </c>
      <c r="FJ140" t="e">
        <f>Nodes!G1138+"'E4!'UB"</f>
        <v>#VALUE!</v>
      </c>
      <c r="FK140" t="e">
        <f>Nodes!H1138+"'E4!'UC"</f>
        <v>#VALUE!</v>
      </c>
      <c r="FL140" t="e">
        <f>Nodes!I1138+"'E4!'UD"</f>
        <v>#VALUE!</v>
      </c>
      <c r="FM140" t="e">
        <f>Nodes!J1138+"'E4!'UE"</f>
        <v>#VALUE!</v>
      </c>
      <c r="FN140" t="e">
        <f>Nodes!K1138+"'E4!'UF"</f>
        <v>#VALUE!</v>
      </c>
      <c r="FO140" t="e">
        <f>Nodes!L1138+"'E4!'UG"</f>
        <v>#VALUE!</v>
      </c>
      <c r="FP140" t="e">
        <f>Nodes!M1138+"'E4!'UH"</f>
        <v>#VALUE!</v>
      </c>
      <c r="FQ140" t="e">
        <f>Nodes!N1138+"'E4!'UI"</f>
        <v>#VALUE!</v>
      </c>
      <c r="FR140" t="e">
        <f>Nodes!O1138+"'E4!'UJ"</f>
        <v>#VALUE!</v>
      </c>
      <c r="FS140" t="e">
        <f>Nodes!P1138+"'E4!'UK"</f>
        <v>#VALUE!</v>
      </c>
      <c r="FT140" t="e">
        <f>Nodes!Q1138+"'E4!'UL"</f>
        <v>#VALUE!</v>
      </c>
      <c r="FU140" t="e">
        <f>Nodes!R1138+"'E4!'UM"</f>
        <v>#VALUE!</v>
      </c>
      <c r="FV140" s="547" t="e">
        <f>Nodes!S1138+"'E4!'UN"</f>
        <v>#VALUE!</v>
      </c>
      <c r="FW140" s="547" t="e">
        <f>Nodes!T1138+"'E4!'UO"</f>
        <v>#VALUE!</v>
      </c>
      <c r="FX140" s="548" t="e">
        <f>Nodes!U1138+"'E4!'UP"</f>
        <v>#VALUE!</v>
      </c>
      <c r="FY140" s="548" t="e">
        <f>Nodes!V1138+"'E4!'UQ"</f>
        <v>#VALUE!</v>
      </c>
      <c r="FZ140" s="547" t="e">
        <f>Nodes!W1138+"'E4!'UR"</f>
        <v>#VALUE!</v>
      </c>
      <c r="GA140" t="e">
        <f>Nodes!X1138+"'E4!'US"</f>
        <v>#VALUE!</v>
      </c>
      <c r="GB140" t="e">
        <f>Nodes!Y1138+"'E4!'UT"</f>
        <v>#VALUE!</v>
      </c>
      <c r="GC140" t="e">
        <f>Nodes!Z1138+"'E4!'UU"</f>
        <v>#VALUE!</v>
      </c>
      <c r="GD140" t="e">
        <f>Nodes!AA1138+"'E4!'UV"</f>
        <v>#VALUE!</v>
      </c>
      <c r="GE140" s="547" t="e">
        <f>Nodes!AB1138+"'E4!'UW"</f>
        <v>#VALUE!</v>
      </c>
      <c r="GF140" s="547" t="e">
        <f>Nodes!AC1138+"'E4!'UX"</f>
        <v>#VALUE!</v>
      </c>
      <c r="GG140" t="e">
        <f>Nodes!A1139+"'E4!'UY"</f>
        <v>#VALUE!</v>
      </c>
      <c r="GH140" t="e">
        <f>Nodes!B1139+"'E4!'UZ"</f>
        <v>#VALUE!</v>
      </c>
      <c r="GI140" t="e">
        <f>Nodes!C1139+"'E4!'U["</f>
        <v>#VALUE!</v>
      </c>
      <c r="GJ140" t="e">
        <f>Nodes!D1139+"'E4!'U\"</f>
        <v>#VALUE!</v>
      </c>
      <c r="GK140" t="e">
        <f>Nodes!E1139+"'E4!'U]"</f>
        <v>#VALUE!</v>
      </c>
      <c r="GL140" t="e">
        <f>Nodes!F1139+"'E4!'U^"</f>
        <v>#VALUE!</v>
      </c>
      <c r="GM140" t="e">
        <f>Nodes!G1139+"'E4!'U_"</f>
        <v>#VALUE!</v>
      </c>
      <c r="GN140" t="e">
        <f>Nodes!H1139+"'E4!'U`"</f>
        <v>#VALUE!</v>
      </c>
      <c r="GO140" t="e">
        <f>Nodes!I1139+"'E4!'Ua"</f>
        <v>#VALUE!</v>
      </c>
      <c r="GP140" t="e">
        <f>Nodes!J1139+"'E4!'Ub"</f>
        <v>#VALUE!</v>
      </c>
      <c r="GQ140" t="e">
        <f>Nodes!K1139+"'E4!'Uc"</f>
        <v>#VALUE!</v>
      </c>
      <c r="GR140" t="e">
        <f>Nodes!L1139+"'E4!'Ud"</f>
        <v>#VALUE!</v>
      </c>
      <c r="GS140" t="e">
        <f>Nodes!M1139+"'E4!'Ue"</f>
        <v>#VALUE!</v>
      </c>
      <c r="GT140" t="e">
        <f>Nodes!N1139+"'E4!'Uf"</f>
        <v>#VALUE!</v>
      </c>
      <c r="GU140" t="e">
        <f>Nodes!O1139+"'E4!'Ug"</f>
        <v>#VALUE!</v>
      </c>
      <c r="GV140" t="e">
        <f>Nodes!P1139+"'E4!'Uh"</f>
        <v>#VALUE!</v>
      </c>
      <c r="GW140" t="e">
        <f>Nodes!Q1139+"'E4!'Ui"</f>
        <v>#VALUE!</v>
      </c>
      <c r="GX140" t="e">
        <f>Nodes!R1139+"'E4!'Uj"</f>
        <v>#VALUE!</v>
      </c>
      <c r="GY140" s="547" t="e">
        <f>Nodes!S1139+"'E4!'Uk"</f>
        <v>#VALUE!</v>
      </c>
      <c r="GZ140" s="547" t="e">
        <f>Nodes!T1139+"'E4!'Ul"</f>
        <v>#VALUE!</v>
      </c>
      <c r="HA140" s="548" t="e">
        <f>Nodes!U1139+"'E4!'Um"</f>
        <v>#VALUE!</v>
      </c>
      <c r="HB140" s="548" t="e">
        <f>Nodes!V1139+"'E4!'Un"</f>
        <v>#VALUE!</v>
      </c>
      <c r="HC140" s="547" t="e">
        <f>Nodes!W1139+"'E4!'Uo"</f>
        <v>#VALUE!</v>
      </c>
      <c r="HD140" t="e">
        <f>Nodes!X1139+"'E4!'Up"</f>
        <v>#VALUE!</v>
      </c>
      <c r="HE140" t="e">
        <f>Nodes!Y1139+"'E4!'Uq"</f>
        <v>#VALUE!</v>
      </c>
      <c r="HF140" t="e">
        <f>Nodes!Z1139+"'E4!'Ur"</f>
        <v>#VALUE!</v>
      </c>
      <c r="HG140" t="e">
        <f>Nodes!AA1139+"'E4!'Us"</f>
        <v>#VALUE!</v>
      </c>
      <c r="HH140" s="547" t="e">
        <f>Nodes!AB1139+"'E4!'Ut"</f>
        <v>#VALUE!</v>
      </c>
      <c r="HI140" t="e">
        <f>Nodes!AC1139+"'E4!'Uu"</f>
        <v>#VALUE!</v>
      </c>
      <c r="HJ140" t="e">
        <f>Nodes!A1140+"'E4!'Uv"</f>
        <v>#VALUE!</v>
      </c>
      <c r="HK140" t="e">
        <f>Nodes!B1140+"'E4!'Uw"</f>
        <v>#VALUE!</v>
      </c>
      <c r="HL140" t="e">
        <f>Nodes!C1140+"'E4!'Ux"</f>
        <v>#VALUE!</v>
      </c>
      <c r="HM140" t="e">
        <f>Nodes!D1140+"'E4!'Uy"</f>
        <v>#VALUE!</v>
      </c>
      <c r="HN140" t="e">
        <f>Nodes!E1140+"'E4!'Uz"</f>
        <v>#VALUE!</v>
      </c>
      <c r="HO140" t="e">
        <f>Nodes!F1140+"'E4!'U{"</f>
        <v>#VALUE!</v>
      </c>
      <c r="HP140" t="e">
        <f>Nodes!G1140+"'E4!'U|"</f>
        <v>#VALUE!</v>
      </c>
      <c r="HQ140" t="e">
        <f>Nodes!H1140+"'E4!'U}"</f>
        <v>#VALUE!</v>
      </c>
      <c r="HR140" t="e">
        <f>Nodes!I1140+"'E4!'U~"</f>
        <v>#VALUE!</v>
      </c>
      <c r="HS140" t="e">
        <f>Nodes!J1140+"'E4!'V#"</f>
        <v>#VALUE!</v>
      </c>
      <c r="HT140" t="e">
        <f>Nodes!K1140+"'E4!'V$"</f>
        <v>#VALUE!</v>
      </c>
      <c r="HU140" t="e">
        <f>Nodes!L1140+"'E4!'V%"</f>
        <v>#VALUE!</v>
      </c>
      <c r="HV140" t="e">
        <f>Nodes!M1140+"'E4!'V&amp;"</f>
        <v>#VALUE!</v>
      </c>
      <c r="HW140" t="e">
        <f>Nodes!N1140+"'E4!'V'"</f>
        <v>#VALUE!</v>
      </c>
      <c r="HX140" t="e">
        <f>Nodes!O1140+"'E4!'V("</f>
        <v>#VALUE!</v>
      </c>
      <c r="HY140" t="e">
        <f>Nodes!P1140+"'E4!'V)"</f>
        <v>#VALUE!</v>
      </c>
      <c r="HZ140" t="e">
        <f>Nodes!Q1140+"'E4!'V."</f>
        <v>#VALUE!</v>
      </c>
      <c r="IA140" t="e">
        <f>Nodes!R1140+"'E4!'V/"</f>
        <v>#VALUE!</v>
      </c>
      <c r="IB140" s="547" t="e">
        <f>Nodes!S1140+"'E4!'V0"</f>
        <v>#VALUE!</v>
      </c>
      <c r="IC140" s="547" t="e">
        <f>Nodes!T1140+"'E4!'V1"</f>
        <v>#VALUE!</v>
      </c>
      <c r="ID140" s="548" t="e">
        <f>Nodes!U1140+"'E4!'V2"</f>
        <v>#VALUE!</v>
      </c>
      <c r="IE140" s="548" t="e">
        <f>Nodes!V1140+"'E4!'V3"</f>
        <v>#VALUE!</v>
      </c>
      <c r="IF140" s="547" t="e">
        <f>Nodes!W1140+"'E4!'V4"</f>
        <v>#VALUE!</v>
      </c>
      <c r="IG140" t="e">
        <f>Nodes!X1140+"'E4!'V5"</f>
        <v>#VALUE!</v>
      </c>
      <c r="IH140" t="e">
        <f>Nodes!Y1140+"'E4!'V6"</f>
        <v>#VALUE!</v>
      </c>
      <c r="II140" t="e">
        <f>Nodes!Z1140+"'E4!'V7"</f>
        <v>#VALUE!</v>
      </c>
      <c r="IJ140" t="e">
        <f>Nodes!AA1140+"'E4!'V8"</f>
        <v>#VALUE!</v>
      </c>
      <c r="IK140" s="547" t="e">
        <f>Nodes!AB1140+"'E4!'V9"</f>
        <v>#VALUE!</v>
      </c>
      <c r="IL140" t="e">
        <f>Nodes!AC1140+"'E4!'V:"</f>
        <v>#VALUE!</v>
      </c>
      <c r="IM140" t="e">
        <f>Nodes!A1141+"'E4!'V;"</f>
        <v>#VALUE!</v>
      </c>
      <c r="IN140" t="e">
        <f>Nodes!B1141+"'E4!'V&lt;"</f>
        <v>#VALUE!</v>
      </c>
      <c r="IO140" t="e">
        <f>Nodes!C1141+"'E4!'V="</f>
        <v>#VALUE!</v>
      </c>
      <c r="IP140" t="e">
        <f>Nodes!D1141+"'E4!'V&gt;"</f>
        <v>#VALUE!</v>
      </c>
      <c r="IQ140" t="e">
        <f>Nodes!E1141+"'E4!'V?"</f>
        <v>#VALUE!</v>
      </c>
      <c r="IR140" t="e">
        <f>Nodes!F1141+"'E4!'V@"</f>
        <v>#VALUE!</v>
      </c>
      <c r="IS140" t="e">
        <f>Nodes!G1141+"'E4!'VA"</f>
        <v>#VALUE!</v>
      </c>
      <c r="IT140" t="e">
        <f>Nodes!H1141+"'E4!'VB"</f>
        <v>#VALUE!</v>
      </c>
      <c r="IU140" t="e">
        <f>Nodes!I1141+"'E4!'VC"</f>
        <v>#VALUE!</v>
      </c>
      <c r="IV140" t="e">
        <f>Nodes!J1141+"'E4!'VD"</f>
        <v>#VALUE!</v>
      </c>
    </row>
    <row r="141" spans="6:256">
      <c r="F141" t="e">
        <f>Nodes!K1141+"'E4!'VE"</f>
        <v>#VALUE!</v>
      </c>
      <c r="G141" t="e">
        <f>Nodes!L1141+"'E4!'VF"</f>
        <v>#VALUE!</v>
      </c>
      <c r="H141" t="e">
        <f>Nodes!M1141+"'E4!'VG"</f>
        <v>#VALUE!</v>
      </c>
      <c r="I141" t="e">
        <f>Nodes!N1141+"'E4!'VH"</f>
        <v>#VALUE!</v>
      </c>
      <c r="J141" t="e">
        <f>Nodes!O1141+"'E4!'VI"</f>
        <v>#VALUE!</v>
      </c>
      <c r="K141" t="e">
        <f>Nodes!P1141+"'E4!'VJ"</f>
        <v>#VALUE!</v>
      </c>
      <c r="L141" t="e">
        <f>Nodes!Q1141+"'E4!'VK"</f>
        <v>#VALUE!</v>
      </c>
      <c r="M141" t="e">
        <f>Nodes!R1141+"'E4!'VL"</f>
        <v>#VALUE!</v>
      </c>
      <c r="N141" s="547" t="e">
        <f>Nodes!S1141+"'E4!'VM"</f>
        <v>#VALUE!</v>
      </c>
      <c r="O141" s="547" t="e">
        <f>Nodes!T1141+"'E4!'VN"</f>
        <v>#VALUE!</v>
      </c>
      <c r="P141" s="548" t="e">
        <f>Nodes!U1141+"'E4!'VO"</f>
        <v>#VALUE!</v>
      </c>
      <c r="Q141" s="548" t="e">
        <f>Nodes!V1141+"'E4!'VP"</f>
        <v>#VALUE!</v>
      </c>
      <c r="R141" s="547" t="e">
        <f>Nodes!W1141+"'E4!'VQ"</f>
        <v>#VALUE!</v>
      </c>
      <c r="S141" t="e">
        <f>Nodes!X1141+"'E4!'VR"</f>
        <v>#VALUE!</v>
      </c>
      <c r="T141" t="e">
        <f>Nodes!Y1141+"'E4!'VS"</f>
        <v>#VALUE!</v>
      </c>
      <c r="U141" t="e">
        <f>Nodes!Z1141+"'E4!'VT"</f>
        <v>#VALUE!</v>
      </c>
      <c r="V141" t="e">
        <f>Nodes!AA1141+"'E4!'VU"</f>
        <v>#VALUE!</v>
      </c>
      <c r="W141" s="547" t="e">
        <f>Nodes!AB1141+"'E4!'VV"</f>
        <v>#VALUE!</v>
      </c>
      <c r="X141" t="e">
        <f>Nodes!AC1141+"'E4!'VW"</f>
        <v>#VALUE!</v>
      </c>
      <c r="Y141" t="e">
        <f>Nodes!A1142+"'E4!'VX"</f>
        <v>#VALUE!</v>
      </c>
      <c r="Z141" t="e">
        <f>Nodes!B1142+"'E4!'VY"</f>
        <v>#VALUE!</v>
      </c>
      <c r="AA141" t="e">
        <f>Nodes!C1142+"'E4!'VZ"</f>
        <v>#VALUE!</v>
      </c>
      <c r="AB141" t="e">
        <f>Nodes!D1142+"'E4!'V["</f>
        <v>#VALUE!</v>
      </c>
      <c r="AC141" t="e">
        <f>Nodes!E1142+"'E4!'V\"</f>
        <v>#VALUE!</v>
      </c>
      <c r="AD141" t="e">
        <f>Nodes!F1142+"'E4!'V]"</f>
        <v>#VALUE!</v>
      </c>
      <c r="AE141" t="e">
        <f>Nodes!G1142+"'E4!'V^"</f>
        <v>#VALUE!</v>
      </c>
      <c r="AF141" t="e">
        <f>Nodes!H1142+"'E4!'V_"</f>
        <v>#VALUE!</v>
      </c>
      <c r="AG141" t="e">
        <f>Nodes!I1142+"'E4!'V`"</f>
        <v>#VALUE!</v>
      </c>
      <c r="AH141" t="e">
        <f>Nodes!J1142+"'E4!'Va"</f>
        <v>#VALUE!</v>
      </c>
      <c r="AI141" t="e">
        <f>Nodes!K1142+"'E4!'Vb"</f>
        <v>#VALUE!</v>
      </c>
      <c r="AJ141" t="e">
        <f>Nodes!L1142+"'E4!'Vc"</f>
        <v>#VALUE!</v>
      </c>
      <c r="AK141" t="e">
        <f>Nodes!M1142+"'E4!'Vd"</f>
        <v>#VALUE!</v>
      </c>
      <c r="AL141" t="e">
        <f>Nodes!N1142+"'E4!'Ve"</f>
        <v>#VALUE!</v>
      </c>
      <c r="AM141" t="e">
        <f>Nodes!O1142+"'E4!'Vf"</f>
        <v>#VALUE!</v>
      </c>
      <c r="AN141" t="e">
        <f>Nodes!P1142+"'E4!'Vg"</f>
        <v>#VALUE!</v>
      </c>
      <c r="AO141" t="e">
        <f>Nodes!Q1142+"'E4!'Vh"</f>
        <v>#VALUE!</v>
      </c>
      <c r="AP141" t="e">
        <f>Nodes!R1142+"'E4!'Vi"</f>
        <v>#VALUE!</v>
      </c>
      <c r="AQ141" s="547" t="e">
        <f>Nodes!S1142+"'E4!'Vj"</f>
        <v>#VALUE!</v>
      </c>
      <c r="AR141" s="547" t="e">
        <f>Nodes!T1142+"'E4!'Vk"</f>
        <v>#VALUE!</v>
      </c>
      <c r="AS141" s="548" t="e">
        <f>Nodes!U1142+"'E4!'Vl"</f>
        <v>#VALUE!</v>
      </c>
      <c r="AT141" s="548" t="e">
        <f>Nodes!V1142+"'E4!'Vm"</f>
        <v>#VALUE!</v>
      </c>
      <c r="AU141" s="547" t="e">
        <f>Nodes!W1142+"'E4!'Vn"</f>
        <v>#VALUE!</v>
      </c>
      <c r="AV141" t="e">
        <f>Nodes!X1142+"'E4!'Vo"</f>
        <v>#VALUE!</v>
      </c>
      <c r="AW141" t="e">
        <f>Nodes!Y1142+"'E4!'Vp"</f>
        <v>#VALUE!</v>
      </c>
      <c r="AX141" t="e">
        <f>Nodes!Z1142+"'E4!'Vq"</f>
        <v>#VALUE!</v>
      </c>
      <c r="AY141" t="e">
        <f>Nodes!AA1142+"'E4!'Vr"</f>
        <v>#VALUE!</v>
      </c>
      <c r="AZ141" s="547" t="e">
        <f>Nodes!AB1142+"'E4!'Vs"</f>
        <v>#VALUE!</v>
      </c>
      <c r="BA141" t="e">
        <f>Nodes!AC1142+"'E4!'Vt"</f>
        <v>#VALUE!</v>
      </c>
      <c r="BB141" t="e">
        <f>Nodes!A1143+"'E4!'Vu"</f>
        <v>#VALUE!</v>
      </c>
      <c r="BC141" t="e">
        <f>Nodes!B1143+"'E4!'Vv"</f>
        <v>#VALUE!</v>
      </c>
      <c r="BD141" t="e">
        <f>Nodes!C1143+"'E4!'Vw"</f>
        <v>#VALUE!</v>
      </c>
      <c r="BE141" t="e">
        <f>Nodes!D1143+"'E4!'Vx"</f>
        <v>#VALUE!</v>
      </c>
      <c r="BF141" t="e">
        <f>Nodes!E1143+"'E4!'Vy"</f>
        <v>#VALUE!</v>
      </c>
      <c r="BG141" t="e">
        <f>Nodes!F1143+"'E4!'Vz"</f>
        <v>#VALUE!</v>
      </c>
      <c r="BH141" t="e">
        <f>Nodes!G1143+"'E4!'V{"</f>
        <v>#VALUE!</v>
      </c>
      <c r="BI141" t="e">
        <f>Nodes!H1143+"'E4!'V|"</f>
        <v>#VALUE!</v>
      </c>
      <c r="BJ141" t="e">
        <f>Nodes!I1143+"'E4!'V}"</f>
        <v>#VALUE!</v>
      </c>
      <c r="BK141" t="e">
        <f>Nodes!J1143+"'E4!'V~"</f>
        <v>#VALUE!</v>
      </c>
      <c r="BL141" t="e">
        <f>Nodes!K1143+"'E4!'W#"</f>
        <v>#VALUE!</v>
      </c>
      <c r="BM141" t="e">
        <f>Nodes!L1143+"'E4!'W$"</f>
        <v>#VALUE!</v>
      </c>
      <c r="BN141" t="e">
        <f>Nodes!M1143+"'E4!'W%"</f>
        <v>#VALUE!</v>
      </c>
      <c r="BO141" t="e">
        <f>Nodes!N1143+"'E4!'W&amp;"</f>
        <v>#VALUE!</v>
      </c>
      <c r="BP141" t="e">
        <f>Nodes!O1143+"'E4!'W'"</f>
        <v>#VALUE!</v>
      </c>
      <c r="BQ141" t="e">
        <f>Nodes!P1143+"'E4!'W("</f>
        <v>#VALUE!</v>
      </c>
      <c r="BR141" t="e">
        <f>Nodes!Q1143+"'E4!'W)"</f>
        <v>#VALUE!</v>
      </c>
      <c r="BS141" t="e">
        <f>Nodes!R1143+"'E4!'W."</f>
        <v>#VALUE!</v>
      </c>
      <c r="BT141" s="547" t="e">
        <f>Nodes!S1143+"'E4!'W/"</f>
        <v>#VALUE!</v>
      </c>
      <c r="BU141" s="547" t="e">
        <f>Nodes!T1143+"'E4!'W0"</f>
        <v>#VALUE!</v>
      </c>
      <c r="BV141" s="548" t="e">
        <f>Nodes!U1143+"'E4!'W1"</f>
        <v>#VALUE!</v>
      </c>
      <c r="BW141" s="548" t="e">
        <f>Nodes!V1143+"'E4!'W2"</f>
        <v>#VALUE!</v>
      </c>
      <c r="BX141" s="547" t="e">
        <f>Nodes!W1143+"'E4!'W3"</f>
        <v>#VALUE!</v>
      </c>
      <c r="BY141" t="e">
        <f>Nodes!X1143+"'E4!'W4"</f>
        <v>#VALUE!</v>
      </c>
      <c r="BZ141" t="e">
        <f>Nodes!Y1143+"'E4!'W5"</f>
        <v>#VALUE!</v>
      </c>
      <c r="CA141" t="e">
        <f>Nodes!Z1143+"'E4!'W6"</f>
        <v>#VALUE!</v>
      </c>
      <c r="CB141" t="e">
        <f>Nodes!AA1143+"'E4!'W7"</f>
        <v>#VALUE!</v>
      </c>
      <c r="CC141" s="547" t="e">
        <f>Nodes!AB1143+"'E4!'W8"</f>
        <v>#VALUE!</v>
      </c>
      <c r="CD141" s="547" t="e">
        <f>Nodes!AC1143+"'E4!'W9"</f>
        <v>#VALUE!</v>
      </c>
      <c r="CE141" t="e">
        <f>Nodes!A1144+"'E4!'W:"</f>
        <v>#VALUE!</v>
      </c>
      <c r="CF141" t="e">
        <f>Nodes!B1144+"'E4!'W;"</f>
        <v>#VALUE!</v>
      </c>
      <c r="CG141" t="e">
        <f>Nodes!C1144+"'E4!'W&lt;"</f>
        <v>#VALUE!</v>
      </c>
      <c r="CH141" t="e">
        <f>Nodes!D1144+"'E4!'W="</f>
        <v>#VALUE!</v>
      </c>
      <c r="CI141" t="e">
        <f>Nodes!E1144+"'E4!'W&gt;"</f>
        <v>#VALUE!</v>
      </c>
      <c r="CJ141" t="e">
        <f>Nodes!F1144+"'E4!'W?"</f>
        <v>#VALUE!</v>
      </c>
      <c r="CK141" t="e">
        <f>Nodes!G1144+"'E4!'W@"</f>
        <v>#VALUE!</v>
      </c>
      <c r="CL141" t="e">
        <f>Nodes!H1144+"'E4!'WA"</f>
        <v>#VALUE!</v>
      </c>
      <c r="CM141" t="e">
        <f>Nodes!I1144+"'E4!'WB"</f>
        <v>#VALUE!</v>
      </c>
      <c r="CN141" t="e">
        <f>Nodes!J1144+"'E4!'WC"</f>
        <v>#VALUE!</v>
      </c>
      <c r="CO141" t="e">
        <f>Nodes!K1144+"'E4!'WD"</f>
        <v>#VALUE!</v>
      </c>
      <c r="CP141" t="e">
        <f>Nodes!L1144+"'E4!'WE"</f>
        <v>#VALUE!</v>
      </c>
      <c r="CQ141" t="e">
        <f>Nodes!M1144+"'E4!'WF"</f>
        <v>#VALUE!</v>
      </c>
      <c r="CR141" t="e">
        <f>Nodes!N1144+"'E4!'WG"</f>
        <v>#VALUE!</v>
      </c>
      <c r="CS141" t="e">
        <f>Nodes!O1144+"'E4!'WH"</f>
        <v>#VALUE!</v>
      </c>
      <c r="CT141" t="e">
        <f>Nodes!P1144+"'E4!'WI"</f>
        <v>#VALUE!</v>
      </c>
      <c r="CU141" t="e">
        <f>Nodes!Q1144+"'E4!'WJ"</f>
        <v>#VALUE!</v>
      </c>
      <c r="CV141" t="e">
        <f>Nodes!R1144+"'E4!'WK"</f>
        <v>#VALUE!</v>
      </c>
      <c r="CW141" s="547" t="e">
        <f>Nodes!S1144+"'E4!'WL"</f>
        <v>#VALUE!</v>
      </c>
      <c r="CX141" s="547" t="e">
        <f>Nodes!T1144+"'E4!'WM"</f>
        <v>#VALUE!</v>
      </c>
      <c r="CY141" s="548" t="e">
        <f>Nodes!U1144+"'E4!'WN"</f>
        <v>#VALUE!</v>
      </c>
      <c r="CZ141" s="548" t="e">
        <f>Nodes!V1144+"'E4!'WO"</f>
        <v>#VALUE!</v>
      </c>
      <c r="DA141" s="547" t="e">
        <f>Nodes!W1144+"'E4!'WP"</f>
        <v>#VALUE!</v>
      </c>
      <c r="DB141" t="e">
        <f>Nodes!X1144+"'E4!'WQ"</f>
        <v>#VALUE!</v>
      </c>
      <c r="DC141" t="e">
        <f>Nodes!Y1144+"'E4!'WR"</f>
        <v>#VALUE!</v>
      </c>
      <c r="DD141" t="e">
        <f>Nodes!Z1144+"'E4!'WS"</f>
        <v>#VALUE!</v>
      </c>
      <c r="DE141" t="e">
        <f>Nodes!AA1144+"'E4!'WT"</f>
        <v>#VALUE!</v>
      </c>
      <c r="DF141" s="547" t="e">
        <f>Nodes!AB1144+"'E4!'WU"</f>
        <v>#VALUE!</v>
      </c>
      <c r="DG141" s="547" t="e">
        <f>Nodes!AC1144+"'E4!'WV"</f>
        <v>#VALUE!</v>
      </c>
      <c r="DH141" t="e">
        <f>Nodes!A1145+"'E4!'WW"</f>
        <v>#VALUE!</v>
      </c>
      <c r="DI141" t="e">
        <f>Nodes!B1145+"'E4!'WX"</f>
        <v>#VALUE!</v>
      </c>
      <c r="DJ141" t="e">
        <f>Nodes!C1145+"'E4!'WY"</f>
        <v>#VALUE!</v>
      </c>
      <c r="DK141" t="e">
        <f>Nodes!D1145+"'E4!'WZ"</f>
        <v>#VALUE!</v>
      </c>
      <c r="DL141" t="e">
        <f>Nodes!E1145+"'E4!'W["</f>
        <v>#VALUE!</v>
      </c>
      <c r="DM141" t="e">
        <f>Nodes!F1145+"'E4!'W\"</f>
        <v>#VALUE!</v>
      </c>
      <c r="DN141" t="e">
        <f>Nodes!G1145+"'E4!'W]"</f>
        <v>#VALUE!</v>
      </c>
      <c r="DO141" t="e">
        <f>Nodes!H1145+"'E4!'W^"</f>
        <v>#VALUE!</v>
      </c>
      <c r="DP141" t="e">
        <f>Nodes!I1145+"'E4!'W_"</f>
        <v>#VALUE!</v>
      </c>
      <c r="DQ141" t="e">
        <f>Nodes!J1145+"'E4!'W`"</f>
        <v>#VALUE!</v>
      </c>
      <c r="DR141" t="e">
        <f>Nodes!K1145+"'E4!'Wa"</f>
        <v>#VALUE!</v>
      </c>
      <c r="DS141" t="e">
        <f>Nodes!L1145+"'E4!'Wb"</f>
        <v>#VALUE!</v>
      </c>
      <c r="DT141" t="e">
        <f>Nodes!M1145+"'E4!'Wc"</f>
        <v>#VALUE!</v>
      </c>
      <c r="DU141" t="e">
        <f>Nodes!N1145+"'E4!'Wd"</f>
        <v>#VALUE!</v>
      </c>
      <c r="DV141" t="e">
        <f>Nodes!O1145+"'E4!'We"</f>
        <v>#VALUE!</v>
      </c>
      <c r="DW141" t="e">
        <f>Nodes!P1145+"'E4!'Wf"</f>
        <v>#VALUE!</v>
      </c>
      <c r="DX141" t="e">
        <f>Nodes!Q1145+"'E4!'Wg"</f>
        <v>#VALUE!</v>
      </c>
      <c r="DY141" t="e">
        <f>Nodes!R1145+"'E4!'Wh"</f>
        <v>#VALUE!</v>
      </c>
      <c r="DZ141" s="547" t="e">
        <f>Nodes!S1145+"'E4!'Wi"</f>
        <v>#VALUE!</v>
      </c>
      <c r="EA141" s="547" t="e">
        <f>Nodes!T1145+"'E4!'Wj"</f>
        <v>#VALUE!</v>
      </c>
      <c r="EB141" s="548" t="e">
        <f>Nodes!U1145+"'E4!'Wk"</f>
        <v>#VALUE!</v>
      </c>
      <c r="EC141" s="548" t="e">
        <f>Nodes!V1145+"'E4!'Wl"</f>
        <v>#VALUE!</v>
      </c>
      <c r="ED141" s="547" t="e">
        <f>Nodes!W1145+"'E4!'Wm"</f>
        <v>#VALUE!</v>
      </c>
      <c r="EE141" t="e">
        <f>Nodes!X1145+"'E4!'Wn"</f>
        <v>#VALUE!</v>
      </c>
      <c r="EF141" t="e">
        <f>Nodes!Y1145+"'E4!'Wo"</f>
        <v>#VALUE!</v>
      </c>
      <c r="EG141" t="e">
        <f>Nodes!Z1145+"'E4!'Wp"</f>
        <v>#VALUE!</v>
      </c>
      <c r="EH141" t="e">
        <f>Nodes!AA1145+"'E4!'Wq"</f>
        <v>#VALUE!</v>
      </c>
      <c r="EI141" s="547" t="e">
        <f>Nodes!AB1145+"'E4!'Wr"</f>
        <v>#VALUE!</v>
      </c>
      <c r="EJ141" s="547" t="e">
        <f>Nodes!AC1145+"'E4!'Ws"</f>
        <v>#VALUE!</v>
      </c>
      <c r="EK141" t="e">
        <f>Nodes!A1146+"'E4!'Wt"</f>
        <v>#VALUE!</v>
      </c>
      <c r="EL141" t="e">
        <f>Nodes!B1146+"'E4!'Wu"</f>
        <v>#VALUE!</v>
      </c>
      <c r="EM141" t="e">
        <f>Nodes!C1146+"'E4!'Wv"</f>
        <v>#VALUE!</v>
      </c>
      <c r="EN141" t="e">
        <f>Nodes!D1146+"'E4!'Ww"</f>
        <v>#VALUE!</v>
      </c>
      <c r="EO141" t="e">
        <f>Nodes!E1146+"'E4!'Wx"</f>
        <v>#VALUE!</v>
      </c>
      <c r="EP141" t="e">
        <f>Nodes!F1146+"'E4!'Wy"</f>
        <v>#VALUE!</v>
      </c>
      <c r="EQ141" t="e">
        <f>Nodes!G1146+"'E4!'Wz"</f>
        <v>#VALUE!</v>
      </c>
      <c r="ER141" t="e">
        <f>Nodes!H1146+"'E4!'W{"</f>
        <v>#VALUE!</v>
      </c>
      <c r="ES141" t="e">
        <f>Nodes!I1146+"'E4!'W|"</f>
        <v>#VALUE!</v>
      </c>
      <c r="ET141" t="e">
        <f>Nodes!J1146+"'E4!'W}"</f>
        <v>#VALUE!</v>
      </c>
      <c r="EU141" t="e">
        <f>Nodes!K1146+"'E4!'W~"</f>
        <v>#VALUE!</v>
      </c>
      <c r="EV141" t="e">
        <f>Nodes!L1146+"'E4!'X#"</f>
        <v>#VALUE!</v>
      </c>
      <c r="EW141" t="e">
        <f>Nodes!M1146+"'E4!'X$"</f>
        <v>#VALUE!</v>
      </c>
      <c r="EX141" t="e">
        <f>Nodes!N1146+"'E4!'X%"</f>
        <v>#VALUE!</v>
      </c>
      <c r="EY141" t="e">
        <f>Nodes!O1146+"'E4!'X&amp;"</f>
        <v>#VALUE!</v>
      </c>
      <c r="EZ141" t="e">
        <f>Nodes!P1146+"'E4!'X'"</f>
        <v>#VALUE!</v>
      </c>
      <c r="FA141" t="e">
        <f>Nodes!Q1146+"'E4!'X("</f>
        <v>#VALUE!</v>
      </c>
      <c r="FB141" t="e">
        <f>Nodes!R1146+"'E4!'X)"</f>
        <v>#VALUE!</v>
      </c>
      <c r="FC141" s="547" t="e">
        <f>Nodes!S1146+"'E4!'X."</f>
        <v>#VALUE!</v>
      </c>
      <c r="FD141" s="547" t="e">
        <f>Nodes!T1146+"'E4!'X/"</f>
        <v>#VALUE!</v>
      </c>
      <c r="FE141" s="548" t="e">
        <f>Nodes!U1146+"'E4!'X0"</f>
        <v>#VALUE!</v>
      </c>
      <c r="FF141" s="548" t="e">
        <f>Nodes!V1146+"'E4!'X1"</f>
        <v>#VALUE!</v>
      </c>
      <c r="FG141" s="547" t="e">
        <f>Nodes!W1146+"'E4!'X2"</f>
        <v>#VALUE!</v>
      </c>
      <c r="FH141" t="e">
        <f>Nodes!X1146+"'E4!'X3"</f>
        <v>#VALUE!</v>
      </c>
      <c r="FI141" t="e">
        <f>Nodes!Y1146+"'E4!'X4"</f>
        <v>#VALUE!</v>
      </c>
      <c r="FJ141" t="e">
        <f>Nodes!Z1146+"'E4!'X5"</f>
        <v>#VALUE!</v>
      </c>
      <c r="FK141" t="e">
        <f>Nodes!AA1146+"'E4!'X6"</f>
        <v>#VALUE!</v>
      </c>
      <c r="FL141" s="547" t="e">
        <f>Nodes!AB1146+"'E4!'X7"</f>
        <v>#VALUE!</v>
      </c>
      <c r="FM141" t="e">
        <f>Nodes!AC1146+"'E4!'X8"</f>
        <v>#VALUE!</v>
      </c>
      <c r="FN141" t="e">
        <f>Nodes!A1147+"'E4!'X9"</f>
        <v>#VALUE!</v>
      </c>
      <c r="FO141" t="e">
        <f>Nodes!B1147+"'E4!'X:"</f>
        <v>#VALUE!</v>
      </c>
      <c r="FP141" t="e">
        <f>Nodes!C1147+"'E4!'X;"</f>
        <v>#VALUE!</v>
      </c>
      <c r="FQ141" t="e">
        <f>Nodes!D1147+"'E4!'X&lt;"</f>
        <v>#VALUE!</v>
      </c>
      <c r="FR141" t="e">
        <f>Nodes!E1147+"'E4!'X="</f>
        <v>#VALUE!</v>
      </c>
      <c r="FS141" t="e">
        <f>Nodes!F1147+"'E4!'X&gt;"</f>
        <v>#VALUE!</v>
      </c>
      <c r="FT141" t="e">
        <f>Nodes!G1147+"'E4!'X?"</f>
        <v>#VALUE!</v>
      </c>
      <c r="FU141" t="e">
        <f>Nodes!H1147+"'E4!'X@"</f>
        <v>#VALUE!</v>
      </c>
      <c r="FV141" t="e">
        <f>Nodes!I1147+"'E4!'XA"</f>
        <v>#VALUE!</v>
      </c>
      <c r="FW141" t="e">
        <f>Nodes!J1147+"'E4!'XB"</f>
        <v>#VALUE!</v>
      </c>
      <c r="FX141" t="e">
        <f>Nodes!K1147+"'E4!'XC"</f>
        <v>#VALUE!</v>
      </c>
      <c r="FY141" t="e">
        <f>Nodes!L1147+"'E4!'XD"</f>
        <v>#VALUE!</v>
      </c>
      <c r="FZ141" t="e">
        <f>Nodes!M1147+"'E4!'XE"</f>
        <v>#VALUE!</v>
      </c>
      <c r="GA141" t="e">
        <f>Nodes!N1147+"'E4!'XF"</f>
        <v>#VALUE!</v>
      </c>
      <c r="GB141" t="e">
        <f>Nodes!O1147+"'E4!'XG"</f>
        <v>#VALUE!</v>
      </c>
      <c r="GC141" t="e">
        <f>Nodes!P1147+"'E4!'XH"</f>
        <v>#VALUE!</v>
      </c>
      <c r="GD141" t="e">
        <f>Nodes!Q1147+"'E4!'XI"</f>
        <v>#VALUE!</v>
      </c>
      <c r="GE141" t="e">
        <f>Nodes!R1147+"'E4!'XJ"</f>
        <v>#VALUE!</v>
      </c>
      <c r="GF141" s="547" t="e">
        <f>Nodes!S1147+"'E4!'XK"</f>
        <v>#VALUE!</v>
      </c>
      <c r="GG141" s="547" t="e">
        <f>Nodes!T1147+"'E4!'XL"</f>
        <v>#VALUE!</v>
      </c>
      <c r="GH141" s="548" t="e">
        <f>Nodes!U1147+"'E4!'XM"</f>
        <v>#VALUE!</v>
      </c>
      <c r="GI141" s="548" t="e">
        <f>Nodes!V1147+"'E4!'XN"</f>
        <v>#VALUE!</v>
      </c>
      <c r="GJ141" s="547" t="e">
        <f>Nodes!W1147+"'E4!'XO"</f>
        <v>#VALUE!</v>
      </c>
      <c r="GK141" t="e">
        <f>Nodes!X1147+"'E4!'XP"</f>
        <v>#VALUE!</v>
      </c>
      <c r="GL141" t="e">
        <f>Nodes!Y1147+"'E4!'XQ"</f>
        <v>#VALUE!</v>
      </c>
      <c r="GM141" t="e">
        <f>Nodes!Z1147+"'E4!'XR"</f>
        <v>#VALUE!</v>
      </c>
      <c r="GN141" t="e">
        <f>Nodes!AA1147+"'E4!'XS"</f>
        <v>#VALUE!</v>
      </c>
      <c r="GO141" s="547" t="e">
        <f>Nodes!AB1147+"'E4!'XT"</f>
        <v>#VALUE!</v>
      </c>
      <c r="GP141" s="547" t="e">
        <f>Nodes!AC1147+"'E4!'XU"</f>
        <v>#VALUE!</v>
      </c>
      <c r="GQ141" t="e">
        <f>Nodes!A1148+"'E4!'XV"</f>
        <v>#VALUE!</v>
      </c>
      <c r="GR141" t="e">
        <f>Nodes!B1148+"'E4!'XW"</f>
        <v>#VALUE!</v>
      </c>
      <c r="GS141" t="e">
        <f>Nodes!C1148+"'E4!'XX"</f>
        <v>#VALUE!</v>
      </c>
      <c r="GT141" t="e">
        <f>Nodes!D1148+"'E4!'XY"</f>
        <v>#VALUE!</v>
      </c>
      <c r="GU141" t="e">
        <f>Nodes!E1148+"'E4!'XZ"</f>
        <v>#VALUE!</v>
      </c>
      <c r="GV141" t="e">
        <f>Nodes!F1148+"'E4!'X["</f>
        <v>#VALUE!</v>
      </c>
      <c r="GW141" t="e">
        <f>Nodes!G1148+"'E4!'X\"</f>
        <v>#VALUE!</v>
      </c>
      <c r="GX141" t="e">
        <f>Nodes!H1148+"'E4!'X]"</f>
        <v>#VALUE!</v>
      </c>
      <c r="GY141" t="e">
        <f>Nodes!I1148+"'E4!'X^"</f>
        <v>#VALUE!</v>
      </c>
      <c r="GZ141" t="e">
        <f>Nodes!J1148+"'E4!'X_"</f>
        <v>#VALUE!</v>
      </c>
      <c r="HA141" t="e">
        <f>Nodes!K1148+"'E4!'X`"</f>
        <v>#VALUE!</v>
      </c>
      <c r="HB141" t="e">
        <f>Nodes!L1148+"'E4!'Xa"</f>
        <v>#VALUE!</v>
      </c>
      <c r="HC141" t="e">
        <f>Nodes!M1148+"'E4!'Xb"</f>
        <v>#VALUE!</v>
      </c>
      <c r="HD141" t="e">
        <f>Nodes!N1148+"'E4!'Xc"</f>
        <v>#VALUE!</v>
      </c>
      <c r="HE141" t="e">
        <f>Nodes!O1148+"'E4!'Xd"</f>
        <v>#VALUE!</v>
      </c>
      <c r="HF141" t="e">
        <f>Nodes!P1148+"'E4!'Xe"</f>
        <v>#VALUE!</v>
      </c>
      <c r="HG141" t="e">
        <f>Nodes!Q1148+"'E4!'Xf"</f>
        <v>#VALUE!</v>
      </c>
      <c r="HH141" t="e">
        <f>Nodes!R1148+"'E4!'Xg"</f>
        <v>#VALUE!</v>
      </c>
      <c r="HI141" s="547" t="e">
        <f>Nodes!S1148+"'E4!'Xh"</f>
        <v>#VALUE!</v>
      </c>
      <c r="HJ141" s="547" t="e">
        <f>Nodes!T1148+"'E4!'Xi"</f>
        <v>#VALUE!</v>
      </c>
      <c r="HK141" s="548" t="e">
        <f>Nodes!U1148+"'E4!'Xj"</f>
        <v>#VALUE!</v>
      </c>
      <c r="HL141" s="548" t="e">
        <f>Nodes!V1148+"'E4!'Xk"</f>
        <v>#VALUE!</v>
      </c>
      <c r="HM141" s="547" t="e">
        <f>Nodes!W1148+"'E4!'Xl"</f>
        <v>#VALUE!</v>
      </c>
      <c r="HN141" t="e">
        <f>Nodes!X1148+"'E4!'Xm"</f>
        <v>#VALUE!</v>
      </c>
      <c r="HO141" t="e">
        <f>Nodes!Y1148+"'E4!'Xn"</f>
        <v>#VALUE!</v>
      </c>
      <c r="HP141" t="e">
        <f>Nodes!Z1148+"'E4!'Xo"</f>
        <v>#VALUE!</v>
      </c>
      <c r="HQ141" t="e">
        <f>Nodes!AA1148+"'E4!'Xp"</f>
        <v>#VALUE!</v>
      </c>
      <c r="HR141" s="547" t="e">
        <f>Nodes!AB1148+"'E4!'Xq"</f>
        <v>#VALUE!</v>
      </c>
      <c r="HS141" s="547" t="e">
        <f>Nodes!AC1148+"'E4!'Xr"</f>
        <v>#VALUE!</v>
      </c>
      <c r="HT141" t="e">
        <f>Nodes!A1149+"'E4!'Xs"</f>
        <v>#VALUE!</v>
      </c>
      <c r="HU141" t="e">
        <f>Nodes!B1149+"'E4!'Xt"</f>
        <v>#VALUE!</v>
      </c>
      <c r="HV141" t="e">
        <f>Nodes!C1149+"'E4!'Xu"</f>
        <v>#VALUE!</v>
      </c>
      <c r="HW141" t="e">
        <f>Nodes!D1149+"'E4!'Xv"</f>
        <v>#VALUE!</v>
      </c>
      <c r="HX141" t="e">
        <f>Nodes!E1149+"'E4!'Xw"</f>
        <v>#VALUE!</v>
      </c>
      <c r="HY141" t="e">
        <f>Nodes!F1149+"'E4!'Xx"</f>
        <v>#VALUE!</v>
      </c>
      <c r="HZ141" t="e">
        <f>Nodes!G1149+"'E4!'Xy"</f>
        <v>#VALUE!</v>
      </c>
      <c r="IA141" t="e">
        <f>Nodes!H1149+"'E4!'Xz"</f>
        <v>#VALUE!</v>
      </c>
      <c r="IB141" t="e">
        <f>Nodes!I1149+"'E4!'X{"</f>
        <v>#VALUE!</v>
      </c>
      <c r="IC141" t="e">
        <f>Nodes!J1149+"'E4!'X|"</f>
        <v>#VALUE!</v>
      </c>
      <c r="ID141" t="e">
        <f>Nodes!K1149+"'E4!'X}"</f>
        <v>#VALUE!</v>
      </c>
      <c r="IE141" t="e">
        <f>Nodes!L1149+"'E4!'X~"</f>
        <v>#VALUE!</v>
      </c>
      <c r="IF141" t="e">
        <f>Nodes!M1149+"'E4!'Y#"</f>
        <v>#VALUE!</v>
      </c>
      <c r="IG141" t="e">
        <f>Nodes!N1149+"'E4!'Y$"</f>
        <v>#VALUE!</v>
      </c>
      <c r="IH141" t="e">
        <f>Nodes!O1149+"'E4!'Y%"</f>
        <v>#VALUE!</v>
      </c>
      <c r="II141" t="e">
        <f>Nodes!P1149+"'E4!'Y&amp;"</f>
        <v>#VALUE!</v>
      </c>
      <c r="IJ141" t="e">
        <f>Nodes!Q1149+"'E4!'Y'"</f>
        <v>#VALUE!</v>
      </c>
      <c r="IK141" t="e">
        <f>Nodes!R1149+"'E4!'Y("</f>
        <v>#VALUE!</v>
      </c>
      <c r="IL141" s="547" t="e">
        <f>Nodes!S1149+"'E4!'Y)"</f>
        <v>#VALUE!</v>
      </c>
      <c r="IM141" s="547" t="e">
        <f>Nodes!T1149+"'E4!'Y."</f>
        <v>#VALUE!</v>
      </c>
      <c r="IN141" s="548" t="e">
        <f>Nodes!U1149+"'E4!'Y/"</f>
        <v>#VALUE!</v>
      </c>
      <c r="IO141" s="548" t="e">
        <f>Nodes!V1149+"'E4!'Y0"</f>
        <v>#VALUE!</v>
      </c>
      <c r="IP141" s="547" t="e">
        <f>Nodes!W1149+"'E4!'Y1"</f>
        <v>#VALUE!</v>
      </c>
      <c r="IQ141" t="e">
        <f>Nodes!X1149+"'E4!'Y2"</f>
        <v>#VALUE!</v>
      </c>
      <c r="IR141" t="e">
        <f>Nodes!Y1149+"'E4!'Y3"</f>
        <v>#VALUE!</v>
      </c>
      <c r="IS141" t="e">
        <f>Nodes!Z1149+"'E4!'Y4"</f>
        <v>#VALUE!</v>
      </c>
      <c r="IT141" t="e">
        <f>Nodes!AA1149+"'E4!'Y5"</f>
        <v>#VALUE!</v>
      </c>
      <c r="IU141" s="547" t="e">
        <f>Nodes!AB1149+"'E4!'Y6"</f>
        <v>#VALUE!</v>
      </c>
      <c r="IV141" s="547" t="e">
        <f>Nodes!AC1149+"'E4!'Y7"</f>
        <v>#VALUE!</v>
      </c>
    </row>
    <row r="142" spans="6:256">
      <c r="F142" t="e">
        <f>Nodes!A1150+"'E4!'Y8"</f>
        <v>#VALUE!</v>
      </c>
      <c r="G142" t="e">
        <f>Nodes!B1150+"'E4!'Y9"</f>
        <v>#VALUE!</v>
      </c>
      <c r="H142" t="e">
        <f>Nodes!C1150+"'E4!'Y:"</f>
        <v>#VALUE!</v>
      </c>
      <c r="I142" t="e">
        <f>Nodes!D1150+"'E4!'Y;"</f>
        <v>#VALUE!</v>
      </c>
      <c r="J142" t="e">
        <f>Nodes!E1150+"'E4!'Y&lt;"</f>
        <v>#VALUE!</v>
      </c>
      <c r="K142" t="e">
        <f>Nodes!F1150+"'E4!'Y="</f>
        <v>#VALUE!</v>
      </c>
      <c r="L142" t="e">
        <f>Nodes!G1150+"'E4!'Y&gt;"</f>
        <v>#VALUE!</v>
      </c>
      <c r="M142" t="e">
        <f>Nodes!H1150+"'E4!'Y?"</f>
        <v>#VALUE!</v>
      </c>
      <c r="N142" t="e">
        <f>Nodes!I1150+"'E4!'Y@"</f>
        <v>#VALUE!</v>
      </c>
      <c r="O142" t="e">
        <f>Nodes!J1150+"'E4!'YA"</f>
        <v>#VALUE!</v>
      </c>
      <c r="P142" t="e">
        <f>Nodes!K1150+"'E4!'YB"</f>
        <v>#VALUE!</v>
      </c>
      <c r="Q142" t="e">
        <f>Nodes!L1150+"'E4!'YC"</f>
        <v>#VALUE!</v>
      </c>
      <c r="R142" t="e">
        <f>Nodes!M1150+"'E4!'YD"</f>
        <v>#VALUE!</v>
      </c>
      <c r="S142" t="e">
        <f>Nodes!N1150+"'E4!'YE"</f>
        <v>#VALUE!</v>
      </c>
      <c r="T142" t="e">
        <f>Nodes!O1150+"'E4!'YF"</f>
        <v>#VALUE!</v>
      </c>
      <c r="U142" t="e">
        <f>Nodes!P1150+"'E4!'YG"</f>
        <v>#VALUE!</v>
      </c>
      <c r="V142" t="e">
        <f>Nodes!Q1150+"'E4!'YH"</f>
        <v>#VALUE!</v>
      </c>
      <c r="W142" t="e">
        <f>Nodes!R1150+"'E4!'YI"</f>
        <v>#VALUE!</v>
      </c>
      <c r="X142" s="547" t="e">
        <f>Nodes!S1150+"'E4!'YJ"</f>
        <v>#VALUE!</v>
      </c>
      <c r="Y142" s="547" t="e">
        <f>Nodes!T1150+"'E4!'YK"</f>
        <v>#VALUE!</v>
      </c>
      <c r="Z142" s="548" t="e">
        <f>Nodes!U1150+"'E4!'YL"</f>
        <v>#VALUE!</v>
      </c>
      <c r="AA142" s="548" t="e">
        <f>Nodes!V1150+"'E4!'YM"</f>
        <v>#VALUE!</v>
      </c>
      <c r="AB142" s="547" t="e">
        <f>Nodes!W1150+"'E4!'YN"</f>
        <v>#VALUE!</v>
      </c>
      <c r="AC142" t="e">
        <f>Nodes!X1150+"'E4!'YO"</f>
        <v>#VALUE!</v>
      </c>
      <c r="AD142" t="e">
        <f>Nodes!Y1150+"'E4!'YP"</f>
        <v>#VALUE!</v>
      </c>
      <c r="AE142" t="e">
        <f>Nodes!Z1150+"'E4!'YQ"</f>
        <v>#VALUE!</v>
      </c>
      <c r="AF142" t="e">
        <f>Nodes!AA1150+"'E4!'YR"</f>
        <v>#VALUE!</v>
      </c>
      <c r="AG142" s="547" t="e">
        <f>Nodes!AB1150+"'E4!'YS"</f>
        <v>#VALUE!</v>
      </c>
      <c r="AH142" s="547" t="e">
        <f>Nodes!AC1150+"'E4!'YT"</f>
        <v>#VALUE!</v>
      </c>
      <c r="AI142" t="e">
        <f>Nodes!A1151+"'E4!'YU"</f>
        <v>#VALUE!</v>
      </c>
      <c r="AJ142" t="e">
        <f>Nodes!B1151+"'E4!'YV"</f>
        <v>#VALUE!</v>
      </c>
      <c r="AK142" t="e">
        <f>Nodes!C1151+"'E4!'YW"</f>
        <v>#VALUE!</v>
      </c>
      <c r="AL142" t="e">
        <f>Nodes!D1151+"'E4!'YX"</f>
        <v>#VALUE!</v>
      </c>
      <c r="AM142" t="e">
        <f>Nodes!E1151+"'E4!'YY"</f>
        <v>#VALUE!</v>
      </c>
      <c r="AN142" t="e">
        <f>Nodes!F1151+"'E4!'YZ"</f>
        <v>#VALUE!</v>
      </c>
      <c r="AO142" t="e">
        <f>Nodes!G1151+"'E4!'Y["</f>
        <v>#VALUE!</v>
      </c>
      <c r="AP142" t="e">
        <f>Nodes!H1151+"'E4!'Y\"</f>
        <v>#VALUE!</v>
      </c>
      <c r="AQ142" t="e">
        <f>Nodes!I1151+"'E4!'Y]"</f>
        <v>#VALUE!</v>
      </c>
      <c r="AR142" t="e">
        <f>Nodes!J1151+"'E4!'Y^"</f>
        <v>#VALUE!</v>
      </c>
      <c r="AS142" t="e">
        <f>Nodes!K1151+"'E4!'Y_"</f>
        <v>#VALUE!</v>
      </c>
      <c r="AT142" t="e">
        <f>Nodes!L1151+"'E4!'Y`"</f>
        <v>#VALUE!</v>
      </c>
      <c r="AU142" t="e">
        <f>Nodes!M1151+"'E4!'Ya"</f>
        <v>#VALUE!</v>
      </c>
      <c r="AV142" t="e">
        <f>Nodes!N1151+"'E4!'Yb"</f>
        <v>#VALUE!</v>
      </c>
      <c r="AW142" t="e">
        <f>Nodes!O1151+"'E4!'Yc"</f>
        <v>#VALUE!</v>
      </c>
      <c r="AX142" t="e">
        <f>Nodes!P1151+"'E4!'Yd"</f>
        <v>#VALUE!</v>
      </c>
      <c r="AY142" t="e">
        <f>Nodes!Q1151+"'E4!'Ye"</f>
        <v>#VALUE!</v>
      </c>
      <c r="AZ142" t="e">
        <f>Nodes!R1151+"'E4!'Yf"</f>
        <v>#VALUE!</v>
      </c>
      <c r="BA142" s="547" t="e">
        <f>Nodes!S1151+"'E4!'Yg"</f>
        <v>#VALUE!</v>
      </c>
      <c r="BB142" s="547" t="e">
        <f>Nodes!T1151+"'E4!'Yh"</f>
        <v>#VALUE!</v>
      </c>
      <c r="BC142" s="548" t="e">
        <f>Nodes!U1151+"'E4!'Yi"</f>
        <v>#VALUE!</v>
      </c>
      <c r="BD142" s="548" t="e">
        <f>Nodes!V1151+"'E4!'Yj"</f>
        <v>#VALUE!</v>
      </c>
      <c r="BE142" s="547" t="e">
        <f>Nodes!W1151+"'E4!'Yk"</f>
        <v>#VALUE!</v>
      </c>
      <c r="BF142" t="e">
        <f>Nodes!X1151+"'E4!'Yl"</f>
        <v>#VALUE!</v>
      </c>
      <c r="BG142" t="e">
        <f>Nodes!Y1151+"'E4!'Ym"</f>
        <v>#VALUE!</v>
      </c>
      <c r="BH142" t="e">
        <f>Nodes!Z1151+"'E4!'Yn"</f>
        <v>#VALUE!</v>
      </c>
      <c r="BI142" t="e">
        <f>Nodes!AA1151+"'E4!'Yo"</f>
        <v>#VALUE!</v>
      </c>
      <c r="BJ142" s="547" t="e">
        <f>Nodes!AB1151+"'E4!'Yp"</f>
        <v>#VALUE!</v>
      </c>
      <c r="BK142" t="e">
        <f>Nodes!AC1151+"'E4!'Yq"</f>
        <v>#VALUE!</v>
      </c>
      <c r="BL142" t="e">
        <f>Nodes!A1152+"'E4!'Yr"</f>
        <v>#VALUE!</v>
      </c>
      <c r="BM142" t="e">
        <f>Nodes!B1152+"'E4!'Ys"</f>
        <v>#VALUE!</v>
      </c>
      <c r="BN142" t="e">
        <f>Nodes!C1152+"'E4!'Yt"</f>
        <v>#VALUE!</v>
      </c>
      <c r="BO142" t="e">
        <f>Nodes!D1152+"'E4!'Yu"</f>
        <v>#VALUE!</v>
      </c>
      <c r="BP142" t="e">
        <f>Nodes!E1152+"'E4!'Yv"</f>
        <v>#VALUE!</v>
      </c>
      <c r="BQ142" t="e">
        <f>Nodes!F1152+"'E4!'Yw"</f>
        <v>#VALUE!</v>
      </c>
      <c r="BR142" t="e">
        <f>Nodes!G1152+"'E4!'Yx"</f>
        <v>#VALUE!</v>
      </c>
      <c r="BS142" t="e">
        <f>Nodes!H1152+"'E4!'Yy"</f>
        <v>#VALUE!</v>
      </c>
      <c r="BT142" t="e">
        <f>Nodes!I1152+"'E4!'Yz"</f>
        <v>#VALUE!</v>
      </c>
      <c r="BU142" t="e">
        <f>Nodes!J1152+"'E4!'Y{"</f>
        <v>#VALUE!</v>
      </c>
      <c r="BV142" t="e">
        <f>Nodes!K1152+"'E4!'Y|"</f>
        <v>#VALUE!</v>
      </c>
      <c r="BW142" t="e">
        <f>Nodes!L1152+"'E4!'Y}"</f>
        <v>#VALUE!</v>
      </c>
      <c r="BX142" t="e">
        <f>Nodes!M1152+"'E4!'Y~"</f>
        <v>#VALUE!</v>
      </c>
      <c r="BY142" t="e">
        <f>Nodes!N1152+"'E4!'Z#"</f>
        <v>#VALUE!</v>
      </c>
      <c r="BZ142" t="e">
        <f>Nodes!O1152+"'E4!'Z$"</f>
        <v>#VALUE!</v>
      </c>
      <c r="CA142" t="e">
        <f>Nodes!P1152+"'E4!'Z%"</f>
        <v>#VALUE!</v>
      </c>
      <c r="CB142" t="e">
        <f>Nodes!Q1152+"'E4!'Z&amp;"</f>
        <v>#VALUE!</v>
      </c>
      <c r="CC142" t="e">
        <f>Nodes!R1152+"'E4!'Z'"</f>
        <v>#VALUE!</v>
      </c>
      <c r="CD142" s="547" t="e">
        <f>Nodes!S1152+"'E4!'Z("</f>
        <v>#VALUE!</v>
      </c>
      <c r="CE142" s="547" t="e">
        <f>Nodes!T1152+"'E4!'Z)"</f>
        <v>#VALUE!</v>
      </c>
      <c r="CF142" s="548" t="e">
        <f>Nodes!U1152+"'E4!'Z."</f>
        <v>#VALUE!</v>
      </c>
      <c r="CG142" s="548" t="e">
        <f>Nodes!V1152+"'E4!'Z/"</f>
        <v>#VALUE!</v>
      </c>
      <c r="CH142" s="547" t="e">
        <f>Nodes!W1152+"'E4!'Z0"</f>
        <v>#VALUE!</v>
      </c>
      <c r="CI142" t="e">
        <f>Nodes!X1152+"'E4!'Z1"</f>
        <v>#VALUE!</v>
      </c>
      <c r="CJ142" t="e">
        <f>Nodes!Y1152+"'E4!'Z2"</f>
        <v>#VALUE!</v>
      </c>
      <c r="CK142" t="e">
        <f>Nodes!Z1152+"'E4!'Z3"</f>
        <v>#VALUE!</v>
      </c>
      <c r="CL142" t="e">
        <f>Nodes!AA1152+"'E4!'Z4"</f>
        <v>#VALUE!</v>
      </c>
      <c r="CM142" s="547" t="e">
        <f>Nodes!AB1152+"'E4!'Z5"</f>
        <v>#VALUE!</v>
      </c>
      <c r="CN142" t="e">
        <f>Nodes!AC1152+"'E4!'Z6"</f>
        <v>#VALUE!</v>
      </c>
      <c r="CO142" t="e">
        <f>Nodes!A1153+"'E4!'Z7"</f>
        <v>#VALUE!</v>
      </c>
      <c r="CP142" t="e">
        <f>Nodes!B1153+"'E4!'Z8"</f>
        <v>#VALUE!</v>
      </c>
      <c r="CQ142" t="e">
        <f>Nodes!C1153+"'E4!'Z9"</f>
        <v>#VALUE!</v>
      </c>
      <c r="CR142" t="e">
        <f>Nodes!D1153+"'E4!'Z:"</f>
        <v>#VALUE!</v>
      </c>
      <c r="CS142" t="e">
        <f>Nodes!E1153+"'E4!'Z;"</f>
        <v>#VALUE!</v>
      </c>
      <c r="CT142" t="e">
        <f>Nodes!F1153+"'E4!'Z&lt;"</f>
        <v>#VALUE!</v>
      </c>
      <c r="CU142" t="e">
        <f>Nodes!G1153+"'E4!'Z="</f>
        <v>#VALUE!</v>
      </c>
      <c r="CV142" t="e">
        <f>Nodes!H1153+"'E4!'Z&gt;"</f>
        <v>#VALUE!</v>
      </c>
      <c r="CW142" t="e">
        <f>Nodes!I1153+"'E4!'Z?"</f>
        <v>#VALUE!</v>
      </c>
      <c r="CX142" t="e">
        <f>Nodes!J1153+"'E4!'Z@"</f>
        <v>#VALUE!</v>
      </c>
      <c r="CY142" t="e">
        <f>Nodes!K1153+"'E4!'ZA"</f>
        <v>#VALUE!</v>
      </c>
      <c r="CZ142" t="e">
        <f>Nodes!L1153+"'E4!'ZB"</f>
        <v>#VALUE!</v>
      </c>
      <c r="DA142" t="e">
        <f>Nodes!M1153+"'E4!'ZC"</f>
        <v>#VALUE!</v>
      </c>
      <c r="DB142" t="e">
        <f>Nodes!N1153+"'E4!'ZD"</f>
        <v>#VALUE!</v>
      </c>
      <c r="DC142" t="e">
        <f>Nodes!O1153+"'E4!'ZE"</f>
        <v>#VALUE!</v>
      </c>
      <c r="DD142" t="e">
        <f>Nodes!P1153+"'E4!'ZF"</f>
        <v>#VALUE!</v>
      </c>
      <c r="DE142" t="e">
        <f>Nodes!Q1153+"'E4!'ZG"</f>
        <v>#VALUE!</v>
      </c>
      <c r="DF142" t="e">
        <f>Nodes!R1153+"'E4!'ZH"</f>
        <v>#VALUE!</v>
      </c>
      <c r="DG142" s="547" t="e">
        <f>Nodes!S1153+"'E4!'ZI"</f>
        <v>#VALUE!</v>
      </c>
      <c r="DH142" s="547" t="e">
        <f>Nodes!T1153+"'E4!'ZJ"</f>
        <v>#VALUE!</v>
      </c>
      <c r="DI142" s="548" t="e">
        <f>Nodes!U1153+"'E4!'ZK"</f>
        <v>#VALUE!</v>
      </c>
      <c r="DJ142" s="548" t="e">
        <f>Nodes!V1153+"'E4!'ZL"</f>
        <v>#VALUE!</v>
      </c>
      <c r="DK142" s="547" t="e">
        <f>Nodes!W1153+"'E4!'ZM"</f>
        <v>#VALUE!</v>
      </c>
      <c r="DL142" t="e">
        <f>Nodes!X1153+"'E4!'ZN"</f>
        <v>#VALUE!</v>
      </c>
      <c r="DM142" t="e">
        <f>Nodes!Y1153+"'E4!'ZO"</f>
        <v>#VALUE!</v>
      </c>
      <c r="DN142" t="e">
        <f>Nodes!Z1153+"'E4!'ZP"</f>
        <v>#VALUE!</v>
      </c>
      <c r="DO142" t="e">
        <f>Nodes!AA1153+"'E4!'ZQ"</f>
        <v>#VALUE!</v>
      </c>
      <c r="DP142" s="547" t="e">
        <f>Nodes!AB1153+"'E4!'ZR"</f>
        <v>#VALUE!</v>
      </c>
      <c r="DQ142" s="547" t="e">
        <f>Nodes!AC1153+"'E4!'ZS"</f>
        <v>#VALUE!</v>
      </c>
      <c r="DR142" t="e">
        <f>Nodes!A1154+"'E4!'ZT"</f>
        <v>#VALUE!</v>
      </c>
      <c r="DS142" t="e">
        <f>Nodes!B1154+"'E4!'ZU"</f>
        <v>#VALUE!</v>
      </c>
      <c r="DT142" t="e">
        <f>Nodes!C1154+"'E4!'ZV"</f>
        <v>#VALUE!</v>
      </c>
      <c r="DU142" t="e">
        <f>Nodes!D1154+"'E4!'ZW"</f>
        <v>#VALUE!</v>
      </c>
      <c r="DV142" t="e">
        <f>Nodes!E1154+"'E4!'ZX"</f>
        <v>#VALUE!</v>
      </c>
      <c r="DW142" t="e">
        <f>Nodes!F1154+"'E4!'ZY"</f>
        <v>#VALUE!</v>
      </c>
      <c r="DX142" t="e">
        <f>Nodes!G1154+"'E4!'ZZ"</f>
        <v>#VALUE!</v>
      </c>
      <c r="DY142" t="e">
        <f>Nodes!H1154+"'E4!'Z["</f>
        <v>#VALUE!</v>
      </c>
      <c r="DZ142" t="e">
        <f>Nodes!I1154+"'E4!'Z\"</f>
        <v>#VALUE!</v>
      </c>
      <c r="EA142" t="e">
        <f>Nodes!J1154+"'E4!'Z]"</f>
        <v>#VALUE!</v>
      </c>
      <c r="EB142" t="e">
        <f>Nodes!K1154+"'E4!'Z^"</f>
        <v>#VALUE!</v>
      </c>
      <c r="EC142" t="e">
        <f>Nodes!L1154+"'E4!'Z_"</f>
        <v>#VALUE!</v>
      </c>
      <c r="ED142" t="e">
        <f>Nodes!M1154+"'E4!'Z`"</f>
        <v>#VALUE!</v>
      </c>
      <c r="EE142" t="e">
        <f>Nodes!N1154+"'E4!'Za"</f>
        <v>#VALUE!</v>
      </c>
      <c r="EF142" t="e">
        <f>Nodes!O1154+"'E4!'Zb"</f>
        <v>#VALUE!</v>
      </c>
      <c r="EG142" t="e">
        <f>Nodes!P1154+"'E4!'Zc"</f>
        <v>#VALUE!</v>
      </c>
      <c r="EH142" t="e">
        <f>Nodes!Q1154+"'E4!'Zd"</f>
        <v>#VALUE!</v>
      </c>
      <c r="EI142" t="e">
        <f>Nodes!R1154+"'E4!'Ze"</f>
        <v>#VALUE!</v>
      </c>
      <c r="EJ142" s="547" t="e">
        <f>Nodes!S1154+"'E4!'Zf"</f>
        <v>#VALUE!</v>
      </c>
      <c r="EK142" s="547" t="e">
        <f>Nodes!T1154+"'E4!'Zg"</f>
        <v>#VALUE!</v>
      </c>
      <c r="EL142" s="548" t="e">
        <f>Nodes!U1154+"'E4!'Zh"</f>
        <v>#VALUE!</v>
      </c>
      <c r="EM142" s="548" t="e">
        <f>Nodes!V1154+"'E4!'Zi"</f>
        <v>#VALUE!</v>
      </c>
      <c r="EN142" s="547" t="e">
        <f>Nodes!W1154+"'E4!'Zj"</f>
        <v>#VALUE!</v>
      </c>
      <c r="EO142" t="e">
        <f>Nodes!X1154+"'E4!'Zk"</f>
        <v>#VALUE!</v>
      </c>
      <c r="EP142" t="e">
        <f>Nodes!Y1154+"'E4!'Zl"</f>
        <v>#VALUE!</v>
      </c>
      <c r="EQ142" t="e">
        <f>Nodes!Z1154+"'E4!'Zm"</f>
        <v>#VALUE!</v>
      </c>
      <c r="ER142" t="e">
        <f>Nodes!AA1154+"'E4!'Zn"</f>
        <v>#VALUE!</v>
      </c>
      <c r="ES142" s="547" t="e">
        <f>Nodes!AB1154+"'E4!'Zo"</f>
        <v>#VALUE!</v>
      </c>
      <c r="ET142" s="547" t="e">
        <f>Nodes!AC1154+"'E4!'Zp"</f>
        <v>#VALUE!</v>
      </c>
      <c r="EU142" t="e">
        <f>Nodes!A1155+"'E4!'Zq"</f>
        <v>#VALUE!</v>
      </c>
      <c r="EV142" t="e">
        <f>Nodes!B1155+"'E4!'Zr"</f>
        <v>#VALUE!</v>
      </c>
      <c r="EW142" t="e">
        <f>Nodes!C1155+"'E4!'Zs"</f>
        <v>#VALUE!</v>
      </c>
      <c r="EX142" t="e">
        <f>Nodes!D1155+"'E4!'Zt"</f>
        <v>#VALUE!</v>
      </c>
      <c r="EY142" t="e">
        <f>Nodes!E1155+"'E4!'Zu"</f>
        <v>#VALUE!</v>
      </c>
      <c r="EZ142" t="e">
        <f>Nodes!F1155+"'E4!'Zv"</f>
        <v>#VALUE!</v>
      </c>
      <c r="FA142" t="e">
        <f>Nodes!G1155+"'E4!'Zw"</f>
        <v>#VALUE!</v>
      </c>
      <c r="FB142" t="e">
        <f>Nodes!H1155+"'E4!'Zx"</f>
        <v>#VALUE!</v>
      </c>
      <c r="FC142" t="e">
        <f>Nodes!I1155+"'E4!'Zy"</f>
        <v>#VALUE!</v>
      </c>
      <c r="FD142" t="e">
        <f>Nodes!J1155+"'E4!'Zz"</f>
        <v>#VALUE!</v>
      </c>
      <c r="FE142" t="e">
        <f>Nodes!K1155+"'E4!'Z{"</f>
        <v>#VALUE!</v>
      </c>
      <c r="FF142" t="e">
        <f>Nodes!L1155+"'E4!'Z|"</f>
        <v>#VALUE!</v>
      </c>
      <c r="FG142" t="e">
        <f>Nodes!M1155+"'E4!'Z}"</f>
        <v>#VALUE!</v>
      </c>
      <c r="FH142" t="e">
        <f>Nodes!N1155+"'E4!'Z~"</f>
        <v>#VALUE!</v>
      </c>
      <c r="FI142" t="e">
        <f>Nodes!O1155+"'E4!'[#"</f>
        <v>#VALUE!</v>
      </c>
      <c r="FJ142" t="e">
        <f>Nodes!P1155+"'E4!'[$"</f>
        <v>#VALUE!</v>
      </c>
      <c r="FK142" t="e">
        <f>Nodes!Q1155+"'E4!'[%"</f>
        <v>#VALUE!</v>
      </c>
      <c r="FL142" t="e">
        <f>Nodes!R1155+"'E4!'[&amp;"</f>
        <v>#VALUE!</v>
      </c>
      <c r="FM142" s="547" t="e">
        <f>Nodes!S1155+"'E4!'['"</f>
        <v>#VALUE!</v>
      </c>
      <c r="FN142" s="547" t="e">
        <f>Nodes!T1155+"'E4!'[("</f>
        <v>#VALUE!</v>
      </c>
      <c r="FO142" s="548" t="e">
        <f>Nodes!U1155+"'E4!'[)"</f>
        <v>#VALUE!</v>
      </c>
      <c r="FP142" s="548" t="e">
        <f>Nodes!V1155+"'E4!'[."</f>
        <v>#VALUE!</v>
      </c>
      <c r="FQ142" s="547" t="e">
        <f>Nodes!W1155+"'E4!'[/"</f>
        <v>#VALUE!</v>
      </c>
      <c r="FR142" t="e">
        <f>Nodes!X1155+"'E4!'[0"</f>
        <v>#VALUE!</v>
      </c>
      <c r="FS142" t="e">
        <f>Nodes!Y1155+"'E4!'[1"</f>
        <v>#VALUE!</v>
      </c>
      <c r="FT142" t="e">
        <f>Nodes!Z1155+"'E4!'[2"</f>
        <v>#VALUE!</v>
      </c>
      <c r="FU142" t="e">
        <f>Nodes!AA1155+"'E4!'[3"</f>
        <v>#VALUE!</v>
      </c>
      <c r="FV142" s="547" t="e">
        <f>Nodes!AB1155+"'E4!'[4"</f>
        <v>#VALUE!</v>
      </c>
      <c r="FW142" t="e">
        <f>Nodes!AC1155+"'E4!'[5"</f>
        <v>#VALUE!</v>
      </c>
      <c r="FX142" t="e">
        <f>Nodes!A1156+"'E4!'[6"</f>
        <v>#VALUE!</v>
      </c>
      <c r="FY142" t="e">
        <f>Nodes!B1156+"'E4!'[7"</f>
        <v>#VALUE!</v>
      </c>
      <c r="FZ142" t="e">
        <f>Nodes!C1156+"'E4!'[8"</f>
        <v>#VALUE!</v>
      </c>
      <c r="GA142" t="e">
        <f>Nodes!D1156+"'E4!'[9"</f>
        <v>#VALUE!</v>
      </c>
      <c r="GB142" t="e">
        <f>Nodes!E1156+"'E4!'[:"</f>
        <v>#VALUE!</v>
      </c>
      <c r="GC142" t="e">
        <f>Nodes!F1156+"'E4!'[;"</f>
        <v>#VALUE!</v>
      </c>
      <c r="GD142" t="e">
        <f>Nodes!G1156+"'E4!'[&lt;"</f>
        <v>#VALUE!</v>
      </c>
      <c r="GE142" t="e">
        <f>Nodes!H1156+"'E4!'[="</f>
        <v>#VALUE!</v>
      </c>
      <c r="GF142" t="e">
        <f>Nodes!I1156+"'E4!'[&gt;"</f>
        <v>#VALUE!</v>
      </c>
      <c r="GG142" t="e">
        <f>Nodes!J1156+"'E4!'[?"</f>
        <v>#VALUE!</v>
      </c>
      <c r="GH142" t="e">
        <f>Nodes!K1156+"'E4!'[@"</f>
        <v>#VALUE!</v>
      </c>
      <c r="GI142" t="e">
        <f>Nodes!L1156+"'E4!'[A"</f>
        <v>#VALUE!</v>
      </c>
      <c r="GJ142" t="e">
        <f>Nodes!M1156+"'E4!'[B"</f>
        <v>#VALUE!</v>
      </c>
      <c r="GK142" t="e">
        <f>Nodes!N1156+"'E4!'[C"</f>
        <v>#VALUE!</v>
      </c>
      <c r="GL142" t="e">
        <f>Nodes!O1156+"'E4!'[D"</f>
        <v>#VALUE!</v>
      </c>
      <c r="GM142" t="e">
        <f>Nodes!P1156+"'E4!'[E"</f>
        <v>#VALUE!</v>
      </c>
      <c r="GN142" t="e">
        <f>Nodes!Q1156+"'E4!'[F"</f>
        <v>#VALUE!</v>
      </c>
      <c r="GO142" t="e">
        <f>Nodes!R1156+"'E4!'[G"</f>
        <v>#N/A</v>
      </c>
      <c r="GP142" s="547" t="e">
        <f>Nodes!S1156+"'E4!'[H"</f>
        <v>#N/A</v>
      </c>
      <c r="GQ142" s="547" t="e">
        <f>Nodes!T1156+"'E4!'[I"</f>
        <v>#VALUE!</v>
      </c>
      <c r="GR142" s="548" t="e">
        <f>Nodes!U1156+"'E4!'[J"</f>
        <v>#N/A</v>
      </c>
      <c r="GS142" s="548" t="e">
        <f>Nodes!V1156+"'E4!'[K"</f>
        <v>#N/A</v>
      </c>
      <c r="GT142" s="547" t="e">
        <f>Nodes!W1156+"'E4!'[L"</f>
        <v>#VALUE!</v>
      </c>
      <c r="GU142" t="e">
        <f>Nodes!X1156+"'E4!'[M"</f>
        <v>#VALUE!</v>
      </c>
      <c r="GV142" t="e">
        <f>Nodes!Y1156+"'E4!'[N"</f>
        <v>#VALUE!</v>
      </c>
      <c r="GW142" t="e">
        <f>Nodes!Z1156+"'E4!'[O"</f>
        <v>#VALUE!</v>
      </c>
      <c r="GX142" t="e">
        <f>Nodes!AA1156+"'E4!'[P"</f>
        <v>#VALUE!</v>
      </c>
      <c r="GY142" s="547" t="e">
        <f>Nodes!AB1156+"'E4!'[Q"</f>
        <v>#VALUE!</v>
      </c>
      <c r="GZ142" t="e">
        <f>Nodes!AC1156+"'E4!'[R"</f>
        <v>#VALUE!</v>
      </c>
      <c r="HA142" t="e">
        <f>Nodes!A1157+"'E4!'[S"</f>
        <v>#VALUE!</v>
      </c>
      <c r="HB142" t="e">
        <f>Nodes!B1157+"'E4!'[T"</f>
        <v>#VALUE!</v>
      </c>
      <c r="HC142" t="e">
        <f>Nodes!C1157+"'E4!'[U"</f>
        <v>#VALUE!</v>
      </c>
      <c r="HD142" t="e">
        <f>Nodes!D1157+"'E4!'[V"</f>
        <v>#VALUE!</v>
      </c>
      <c r="HE142" t="e">
        <f>Nodes!E1157+"'E4!'[W"</f>
        <v>#VALUE!</v>
      </c>
      <c r="HF142" t="e">
        <f>Nodes!F1157+"'E4!'[X"</f>
        <v>#VALUE!</v>
      </c>
      <c r="HG142" t="e">
        <f>Nodes!G1157+"'E4!'[Y"</f>
        <v>#VALUE!</v>
      </c>
      <c r="HH142" t="e">
        <f>Nodes!H1157+"'E4!'[Z"</f>
        <v>#VALUE!</v>
      </c>
      <c r="HI142" t="e">
        <f>Nodes!I1157+"'E4!'[["</f>
        <v>#VALUE!</v>
      </c>
      <c r="HJ142" t="e">
        <f>Nodes!J1157+"'E4!'[\"</f>
        <v>#VALUE!</v>
      </c>
      <c r="HK142" t="e">
        <f>Nodes!K1157+"'E4!'[]"</f>
        <v>#VALUE!</v>
      </c>
      <c r="HL142" t="e">
        <f>Nodes!L1157+"'E4!'[^"</f>
        <v>#VALUE!</v>
      </c>
      <c r="HM142" t="e">
        <f>Nodes!M1157+"'E4!'[_"</f>
        <v>#VALUE!</v>
      </c>
      <c r="HN142" t="e">
        <f>Nodes!N1157+"'E4!'[`"</f>
        <v>#VALUE!</v>
      </c>
      <c r="HO142" t="e">
        <f>Nodes!O1157+"'E4!'[a"</f>
        <v>#VALUE!</v>
      </c>
      <c r="HP142" t="e">
        <f>Nodes!P1157+"'E4!'[b"</f>
        <v>#VALUE!</v>
      </c>
      <c r="HQ142" t="e">
        <f>Nodes!Q1157+"'E4!'[c"</f>
        <v>#VALUE!</v>
      </c>
      <c r="HR142" t="e">
        <f>Nodes!R1157+"'E4!'[d"</f>
        <v>#VALUE!</v>
      </c>
      <c r="HS142" s="547" t="e">
        <f>Nodes!S1157+"'E4!'[e"</f>
        <v>#VALUE!</v>
      </c>
      <c r="HT142" s="547" t="e">
        <f>Nodes!T1157+"'E4!'[f"</f>
        <v>#VALUE!</v>
      </c>
      <c r="HU142" s="548" t="e">
        <f>Nodes!U1157+"'E4!'[g"</f>
        <v>#VALUE!</v>
      </c>
      <c r="HV142" s="548" t="e">
        <f>Nodes!V1157+"'E4!'[h"</f>
        <v>#VALUE!</v>
      </c>
      <c r="HW142" s="547" t="e">
        <f>Nodes!W1157+"'E4!'[i"</f>
        <v>#VALUE!</v>
      </c>
      <c r="HX142" t="e">
        <f>Nodes!X1157+"'E4!'[j"</f>
        <v>#VALUE!</v>
      </c>
      <c r="HY142" t="e">
        <f>Nodes!Y1157+"'E4!'[k"</f>
        <v>#VALUE!</v>
      </c>
      <c r="HZ142" t="e">
        <f>Nodes!Z1157+"'E4!'[l"</f>
        <v>#VALUE!</v>
      </c>
      <c r="IA142" t="e">
        <f>Nodes!AA1157+"'E4!'[m"</f>
        <v>#VALUE!</v>
      </c>
      <c r="IB142" s="547" t="e">
        <f>Nodes!AB1157+"'E4!'[n"</f>
        <v>#VALUE!</v>
      </c>
      <c r="IC142" t="e">
        <f>Nodes!AC1157+"'E4!'[o"</f>
        <v>#VALUE!</v>
      </c>
      <c r="ID142" t="e">
        <f>Nodes!A1158+"'E4!'[p"</f>
        <v>#VALUE!</v>
      </c>
      <c r="IE142" t="e">
        <f>Nodes!B1158+"'E4!'[q"</f>
        <v>#VALUE!</v>
      </c>
      <c r="IF142" t="e">
        <f>Nodes!C1158+"'E4!'[r"</f>
        <v>#VALUE!</v>
      </c>
      <c r="IG142" t="e">
        <f>Nodes!D1158+"'E4!'[s"</f>
        <v>#VALUE!</v>
      </c>
      <c r="IH142" t="e">
        <f>Nodes!E1158+"'E4!'[t"</f>
        <v>#VALUE!</v>
      </c>
      <c r="II142" t="e">
        <f>Nodes!F1158+"'E4!'[u"</f>
        <v>#VALUE!</v>
      </c>
      <c r="IJ142" t="e">
        <f>Nodes!G1158+"'E4!'[v"</f>
        <v>#VALUE!</v>
      </c>
      <c r="IK142" t="e">
        <f>Nodes!H1158+"'E4!'[w"</f>
        <v>#VALUE!</v>
      </c>
      <c r="IL142" t="e">
        <f>Nodes!I1158+"'E4!'[x"</f>
        <v>#VALUE!</v>
      </c>
      <c r="IM142" t="e">
        <f>Nodes!J1158+"'E4!'[y"</f>
        <v>#VALUE!</v>
      </c>
      <c r="IN142" t="e">
        <f>Nodes!K1158+"'E4!'[z"</f>
        <v>#VALUE!</v>
      </c>
      <c r="IO142" t="e">
        <f>Nodes!L1158+"'E4!'[{"</f>
        <v>#VALUE!</v>
      </c>
      <c r="IP142" t="e">
        <f>Nodes!M1158+"'E4!'[|"</f>
        <v>#VALUE!</v>
      </c>
      <c r="IQ142" t="e">
        <f>Nodes!N1158+"'E4!'[}"</f>
        <v>#VALUE!</v>
      </c>
      <c r="IR142" t="e">
        <f>Nodes!O1158+"'E4!'[~"</f>
        <v>#VALUE!</v>
      </c>
      <c r="IS142" t="e">
        <f>Nodes!P1158+"'E4!'\#"</f>
        <v>#VALUE!</v>
      </c>
      <c r="IT142" t="e">
        <f>Nodes!Q1158+"'E4!'\$"</f>
        <v>#VALUE!</v>
      </c>
      <c r="IU142" t="e">
        <f>Nodes!R1158+"'E4!'\%"</f>
        <v>#VALUE!</v>
      </c>
      <c r="IV142" s="547" t="e">
        <f>Nodes!S1158+"'E4!'\&amp;"</f>
        <v>#VALUE!</v>
      </c>
    </row>
    <row r="143" spans="6:256">
      <c r="F143" s="547" t="e">
        <f>Nodes!T1158+"'E4!'\'"</f>
        <v>#VALUE!</v>
      </c>
      <c r="G143" s="548" t="e">
        <f>Nodes!U1158+"'E4!'\("</f>
        <v>#VALUE!</v>
      </c>
      <c r="H143" s="548" t="e">
        <f>Nodes!V1158+"'E4!'\)"</f>
        <v>#VALUE!</v>
      </c>
      <c r="I143" s="547" t="e">
        <f>Nodes!W1158+"'E4!'\."</f>
        <v>#VALUE!</v>
      </c>
      <c r="J143" t="e">
        <f>Nodes!X1158+"'E4!'\/"</f>
        <v>#VALUE!</v>
      </c>
      <c r="K143" t="e">
        <f>Nodes!Y1158+"'E4!'\0"</f>
        <v>#VALUE!</v>
      </c>
      <c r="L143" t="e">
        <f>Nodes!Z1158+"'E4!'\1"</f>
        <v>#VALUE!</v>
      </c>
      <c r="M143" t="e">
        <f>Nodes!AA1158+"'E4!'\2"</f>
        <v>#VALUE!</v>
      </c>
      <c r="N143" s="547" t="e">
        <f>Nodes!AB1158+"'E4!'\3"</f>
        <v>#VALUE!</v>
      </c>
      <c r="O143" t="e">
        <f>Nodes!AC1158+"'E4!'\4"</f>
        <v>#VALUE!</v>
      </c>
      <c r="P143" t="e">
        <f>Nodes!A1159+"'E4!'\5"</f>
        <v>#VALUE!</v>
      </c>
      <c r="Q143" t="e">
        <f>Nodes!B1159+"'E4!'\6"</f>
        <v>#VALUE!</v>
      </c>
      <c r="R143" t="e">
        <f>Nodes!C1159+"'E4!'\7"</f>
        <v>#VALUE!</v>
      </c>
      <c r="S143" t="e">
        <f>Nodes!D1159+"'E4!'\8"</f>
        <v>#VALUE!</v>
      </c>
      <c r="T143" t="e">
        <f>Nodes!E1159+"'E4!'\9"</f>
        <v>#VALUE!</v>
      </c>
      <c r="U143" t="e">
        <f>Nodes!F1159+"'E4!'\:"</f>
        <v>#VALUE!</v>
      </c>
      <c r="V143" t="e">
        <f>Nodes!G1159+"'E4!'\;"</f>
        <v>#VALUE!</v>
      </c>
      <c r="W143" t="e">
        <f>Nodes!H1159+"'E4!'\&lt;"</f>
        <v>#VALUE!</v>
      </c>
      <c r="X143" t="e">
        <f>Nodes!I1159+"'E4!'\="</f>
        <v>#VALUE!</v>
      </c>
      <c r="Y143" t="e">
        <f>Nodes!J1159+"'E4!'\&gt;"</f>
        <v>#VALUE!</v>
      </c>
      <c r="Z143" t="e">
        <f>Nodes!K1159+"'E4!'\?"</f>
        <v>#VALUE!</v>
      </c>
      <c r="AA143" t="e">
        <f>Nodes!L1159+"'E4!'\@"</f>
        <v>#VALUE!</v>
      </c>
      <c r="AB143" t="e">
        <f>Nodes!M1159+"'E4!'\A"</f>
        <v>#VALUE!</v>
      </c>
      <c r="AC143" t="e">
        <f>Nodes!N1159+"'E4!'\B"</f>
        <v>#VALUE!</v>
      </c>
      <c r="AD143" t="e">
        <f>Nodes!O1159+"'E4!'\C"</f>
        <v>#VALUE!</v>
      </c>
      <c r="AE143" t="e">
        <f>Nodes!P1159+"'E4!'\D"</f>
        <v>#VALUE!</v>
      </c>
      <c r="AF143" t="e">
        <f>Nodes!Q1159+"'E4!'\E"</f>
        <v>#VALUE!</v>
      </c>
      <c r="AG143" t="e">
        <f>Nodes!R1159+"'E4!'\F"</f>
        <v>#VALUE!</v>
      </c>
      <c r="AH143" s="547" t="e">
        <f>Nodes!S1159+"'E4!'\G"</f>
        <v>#VALUE!</v>
      </c>
      <c r="AI143" s="547" t="e">
        <f>Nodes!T1159+"'E4!'\H"</f>
        <v>#VALUE!</v>
      </c>
      <c r="AJ143" s="548" t="e">
        <f>Nodes!U1159+"'E4!'\I"</f>
        <v>#VALUE!</v>
      </c>
      <c r="AK143" s="548" t="e">
        <f>Nodes!V1159+"'E4!'\J"</f>
        <v>#VALUE!</v>
      </c>
      <c r="AL143" s="547" t="e">
        <f>Nodes!W1159+"'E4!'\K"</f>
        <v>#VALUE!</v>
      </c>
      <c r="AM143" t="e">
        <f>Nodes!X1159+"'E4!'\L"</f>
        <v>#VALUE!</v>
      </c>
      <c r="AN143" t="e">
        <f>Nodes!Y1159+"'E4!'\M"</f>
        <v>#VALUE!</v>
      </c>
      <c r="AO143" t="e">
        <f>Nodes!Z1159+"'E4!'\N"</f>
        <v>#VALUE!</v>
      </c>
      <c r="AP143" t="e">
        <f>Nodes!AA1159+"'E4!'\O"</f>
        <v>#VALUE!</v>
      </c>
      <c r="AQ143" s="547" t="e">
        <f>Nodes!AB1159+"'E4!'\P"</f>
        <v>#VALUE!</v>
      </c>
      <c r="AR143" s="547" t="e">
        <f>Nodes!AC1159+"'E4!'\Q"</f>
        <v>#VALUE!</v>
      </c>
      <c r="AS143" t="e">
        <f>Nodes!A1160+"'E4!'\R"</f>
        <v>#VALUE!</v>
      </c>
      <c r="AT143" t="e">
        <f>Nodes!B1160+"'E4!'\S"</f>
        <v>#VALUE!</v>
      </c>
      <c r="AU143" t="e">
        <f>Nodes!C1160+"'E4!'\T"</f>
        <v>#VALUE!</v>
      </c>
      <c r="AV143" t="e">
        <f>Nodes!D1160+"'E4!'\U"</f>
        <v>#VALUE!</v>
      </c>
      <c r="AW143" t="e">
        <f>Nodes!E1160+"'E4!'\V"</f>
        <v>#VALUE!</v>
      </c>
      <c r="AX143" t="e">
        <f>Nodes!F1160+"'E4!'\W"</f>
        <v>#VALUE!</v>
      </c>
      <c r="AY143" t="e">
        <f>Nodes!G1160+"'E4!'\X"</f>
        <v>#VALUE!</v>
      </c>
      <c r="AZ143" t="e">
        <f>Nodes!H1160+"'E4!'\Y"</f>
        <v>#VALUE!</v>
      </c>
      <c r="BA143" t="e">
        <f>Nodes!I1160+"'E4!'\Z"</f>
        <v>#VALUE!</v>
      </c>
      <c r="BB143" t="e">
        <f>Nodes!J1160+"'E4!'\["</f>
        <v>#VALUE!</v>
      </c>
      <c r="BC143" t="e">
        <f>Nodes!K1160+"'E4!'\\"</f>
        <v>#VALUE!</v>
      </c>
      <c r="BD143" t="e">
        <f>Nodes!L1160+"'E4!'\]"</f>
        <v>#VALUE!</v>
      </c>
      <c r="BE143" t="e">
        <f>Nodes!M1160+"'E4!'\^"</f>
        <v>#VALUE!</v>
      </c>
      <c r="BF143" t="e">
        <f>Nodes!N1160+"'E4!'\_"</f>
        <v>#VALUE!</v>
      </c>
      <c r="BG143" t="e">
        <f>Nodes!O1160+"'E4!'\`"</f>
        <v>#VALUE!</v>
      </c>
      <c r="BH143" t="e">
        <f>Nodes!P1160+"'E4!'\a"</f>
        <v>#VALUE!</v>
      </c>
      <c r="BI143" t="e">
        <f>Nodes!Q1160+"'E4!'\b"</f>
        <v>#VALUE!</v>
      </c>
      <c r="BJ143" t="e">
        <f>Nodes!R1160+"'E4!'\c"</f>
        <v>#VALUE!</v>
      </c>
      <c r="BK143" s="547" t="e">
        <f>Nodes!S1160+"'E4!'\d"</f>
        <v>#VALUE!</v>
      </c>
      <c r="BL143" s="547" t="e">
        <f>Nodes!T1160+"'E4!'\e"</f>
        <v>#VALUE!</v>
      </c>
      <c r="BM143" s="548" t="e">
        <f>Nodes!U1160+"'E4!'\f"</f>
        <v>#VALUE!</v>
      </c>
      <c r="BN143" s="548" t="e">
        <f>Nodes!V1160+"'E4!'\g"</f>
        <v>#VALUE!</v>
      </c>
      <c r="BO143" s="547" t="e">
        <f>Nodes!W1160+"'E4!'\h"</f>
        <v>#VALUE!</v>
      </c>
      <c r="BP143" t="e">
        <f>Nodes!X1160+"'E4!'\i"</f>
        <v>#VALUE!</v>
      </c>
      <c r="BQ143" t="e">
        <f>Nodes!Y1160+"'E4!'\j"</f>
        <v>#VALUE!</v>
      </c>
      <c r="BR143" t="e">
        <f>Nodes!Z1160+"'E4!'\k"</f>
        <v>#VALUE!</v>
      </c>
      <c r="BS143" t="e">
        <f>Nodes!AA1160+"'E4!'\l"</f>
        <v>#VALUE!</v>
      </c>
      <c r="BT143" s="547" t="e">
        <f>Nodes!AB1160+"'E4!'\m"</f>
        <v>#VALUE!</v>
      </c>
      <c r="BU143" s="547" t="e">
        <f>Nodes!AC1160+"'E4!'\n"</f>
        <v>#VALUE!</v>
      </c>
      <c r="BV143" t="e">
        <f>Nodes!A1161+"'E4!'\o"</f>
        <v>#VALUE!</v>
      </c>
      <c r="BW143" t="e">
        <f>Nodes!B1161+"'E4!'\p"</f>
        <v>#VALUE!</v>
      </c>
      <c r="BX143" t="e">
        <f>Nodes!C1161+"'E4!'\q"</f>
        <v>#VALUE!</v>
      </c>
      <c r="BY143" t="e">
        <f>Nodes!D1161+"'E4!'\r"</f>
        <v>#VALUE!</v>
      </c>
      <c r="BZ143" t="e">
        <f>Nodes!E1161+"'E4!'\s"</f>
        <v>#VALUE!</v>
      </c>
      <c r="CA143" t="e">
        <f>Nodes!F1161+"'E4!'\t"</f>
        <v>#VALUE!</v>
      </c>
      <c r="CB143" t="e">
        <f>Nodes!G1161+"'E4!'\u"</f>
        <v>#VALUE!</v>
      </c>
      <c r="CC143" t="e">
        <f>Nodes!H1161+"'E4!'\v"</f>
        <v>#VALUE!</v>
      </c>
      <c r="CD143" t="e">
        <f>Nodes!I1161+"'E4!'\w"</f>
        <v>#VALUE!</v>
      </c>
      <c r="CE143" t="e">
        <f>Nodes!J1161+"'E4!'\x"</f>
        <v>#VALUE!</v>
      </c>
      <c r="CF143" t="e">
        <f>Nodes!K1161+"'E4!'\y"</f>
        <v>#VALUE!</v>
      </c>
      <c r="CG143" t="e">
        <f>Nodes!L1161+"'E4!'\z"</f>
        <v>#VALUE!</v>
      </c>
      <c r="CH143" t="e">
        <f>Nodes!M1161+"'E4!'\{"</f>
        <v>#VALUE!</v>
      </c>
      <c r="CI143" t="e">
        <f>Nodes!N1161+"'E4!'\|"</f>
        <v>#VALUE!</v>
      </c>
      <c r="CJ143" t="e">
        <f>Nodes!O1161+"'E4!'\}"</f>
        <v>#VALUE!</v>
      </c>
      <c r="CK143" t="e">
        <f>Nodes!P1161+"'E4!'\~"</f>
        <v>#VALUE!</v>
      </c>
      <c r="CL143" t="e">
        <f>Nodes!Q1161+"'E4!']#"</f>
        <v>#VALUE!</v>
      </c>
      <c r="CM143" t="e">
        <f>Nodes!R1161+"'E4!']$"</f>
        <v>#VALUE!</v>
      </c>
      <c r="CN143" s="547" t="e">
        <f>Nodes!S1161+"'E4!']%"</f>
        <v>#VALUE!</v>
      </c>
      <c r="CO143" s="547" t="e">
        <f>Nodes!T1161+"'E4!']&amp;"</f>
        <v>#VALUE!</v>
      </c>
      <c r="CP143" s="548" t="e">
        <f>Nodes!U1161+"'E4!']'"</f>
        <v>#VALUE!</v>
      </c>
      <c r="CQ143" s="548" t="e">
        <f>Nodes!V1161+"'E4!']("</f>
        <v>#VALUE!</v>
      </c>
      <c r="CR143" s="547" t="e">
        <f>Nodes!W1161+"'E4!'])"</f>
        <v>#VALUE!</v>
      </c>
      <c r="CS143" t="e">
        <f>Nodes!X1161+"'E4!']."</f>
        <v>#VALUE!</v>
      </c>
      <c r="CT143" t="e">
        <f>Nodes!Y1161+"'E4!']/"</f>
        <v>#VALUE!</v>
      </c>
      <c r="CU143" t="e">
        <f>Nodes!Z1161+"'E4!']0"</f>
        <v>#VALUE!</v>
      </c>
      <c r="CV143" t="e">
        <f>Nodes!AA1161+"'E4!']1"</f>
        <v>#VALUE!</v>
      </c>
      <c r="CW143" s="547" t="e">
        <f>Nodes!AB1161+"'E4!']2"</f>
        <v>#VALUE!</v>
      </c>
      <c r="CX143" s="547" t="e">
        <f>Nodes!AC1161+"'E4!']3"</f>
        <v>#VALUE!</v>
      </c>
      <c r="CY143" t="e">
        <f>Nodes!A1162+"'E4!']4"</f>
        <v>#VALUE!</v>
      </c>
      <c r="CZ143" t="e">
        <f>Nodes!B1162+"'E4!']5"</f>
        <v>#VALUE!</v>
      </c>
      <c r="DA143" t="e">
        <f>Nodes!C1162+"'E4!']6"</f>
        <v>#VALUE!</v>
      </c>
      <c r="DB143" t="e">
        <f>Nodes!D1162+"'E4!']7"</f>
        <v>#VALUE!</v>
      </c>
      <c r="DC143" t="e">
        <f>Nodes!E1162+"'E4!']8"</f>
        <v>#VALUE!</v>
      </c>
      <c r="DD143" t="e">
        <f>Nodes!F1162+"'E4!']9"</f>
        <v>#VALUE!</v>
      </c>
      <c r="DE143" t="e">
        <f>Nodes!G1162+"'E4!']:"</f>
        <v>#VALUE!</v>
      </c>
      <c r="DF143" t="e">
        <f>Nodes!H1162+"'E4!'];"</f>
        <v>#VALUE!</v>
      </c>
      <c r="DG143" t="e">
        <f>Nodes!I1162+"'E4!']&lt;"</f>
        <v>#VALUE!</v>
      </c>
      <c r="DH143" t="e">
        <f>Nodes!J1162+"'E4!']="</f>
        <v>#VALUE!</v>
      </c>
      <c r="DI143" t="e">
        <f>Nodes!K1162+"'E4!']&gt;"</f>
        <v>#VALUE!</v>
      </c>
      <c r="DJ143" t="e">
        <f>Nodes!L1162+"'E4!']?"</f>
        <v>#VALUE!</v>
      </c>
      <c r="DK143" t="e">
        <f>Nodes!M1162+"'E4!']@"</f>
        <v>#VALUE!</v>
      </c>
      <c r="DL143" t="e">
        <f>Nodes!N1162+"'E4!']A"</f>
        <v>#VALUE!</v>
      </c>
      <c r="DM143" t="e">
        <f>Nodes!O1162+"'E4!']B"</f>
        <v>#VALUE!</v>
      </c>
      <c r="DN143" t="e">
        <f>Nodes!P1162+"'E4!']C"</f>
        <v>#VALUE!</v>
      </c>
      <c r="DO143" t="e">
        <f>Nodes!Q1162+"'E4!']D"</f>
        <v>#VALUE!</v>
      </c>
      <c r="DP143" t="e">
        <f>Nodes!R1162+"'E4!']E"</f>
        <v>#VALUE!</v>
      </c>
      <c r="DQ143" s="547" t="e">
        <f>Nodes!S1162+"'E4!']F"</f>
        <v>#VALUE!</v>
      </c>
      <c r="DR143" s="547" t="e">
        <f>Nodes!T1162+"'E4!']G"</f>
        <v>#VALUE!</v>
      </c>
      <c r="DS143" s="548" t="e">
        <f>Nodes!U1162+"'E4!']H"</f>
        <v>#VALUE!</v>
      </c>
      <c r="DT143" s="548" t="e">
        <f>Nodes!V1162+"'E4!']I"</f>
        <v>#VALUE!</v>
      </c>
      <c r="DU143" s="547" t="e">
        <f>Nodes!W1162+"'E4!']J"</f>
        <v>#VALUE!</v>
      </c>
      <c r="DV143" t="e">
        <f>Nodes!X1162+"'E4!']K"</f>
        <v>#VALUE!</v>
      </c>
      <c r="DW143" t="e">
        <f>Nodes!Y1162+"'E4!']L"</f>
        <v>#VALUE!</v>
      </c>
      <c r="DX143" t="e">
        <f>Nodes!Z1162+"'E4!']M"</f>
        <v>#VALUE!</v>
      </c>
      <c r="DY143" t="e">
        <f>Nodes!AA1162+"'E4!']N"</f>
        <v>#VALUE!</v>
      </c>
      <c r="DZ143" s="547" t="e">
        <f>Nodes!AB1162+"'E4!']O"</f>
        <v>#VALUE!</v>
      </c>
      <c r="EA143" s="547" t="e">
        <f>Nodes!AC1162+"'E4!']P"</f>
        <v>#VALUE!</v>
      </c>
      <c r="EB143" t="e">
        <f>Nodes!A1163+"'E4!']Q"</f>
        <v>#VALUE!</v>
      </c>
      <c r="EC143" t="e">
        <f>Nodes!B1163+"'E4!']R"</f>
        <v>#VALUE!</v>
      </c>
      <c r="ED143" t="e">
        <f>Nodes!C1163+"'E4!']S"</f>
        <v>#VALUE!</v>
      </c>
      <c r="EE143" t="e">
        <f>Nodes!D1163+"'E4!']T"</f>
        <v>#VALUE!</v>
      </c>
      <c r="EF143" t="e">
        <f>Nodes!E1163+"'E4!']U"</f>
        <v>#VALUE!</v>
      </c>
      <c r="EG143" t="e">
        <f>Nodes!F1163+"'E4!']V"</f>
        <v>#VALUE!</v>
      </c>
      <c r="EH143" t="e">
        <f>Nodes!G1163+"'E4!']W"</f>
        <v>#VALUE!</v>
      </c>
      <c r="EI143" t="e">
        <f>Nodes!H1163+"'E4!']X"</f>
        <v>#VALUE!</v>
      </c>
      <c r="EJ143" t="e">
        <f>Nodes!I1163+"'E4!']Y"</f>
        <v>#VALUE!</v>
      </c>
      <c r="EK143" t="e">
        <f>Nodes!J1163+"'E4!']Z"</f>
        <v>#VALUE!</v>
      </c>
      <c r="EL143" t="e">
        <f>Nodes!K1163+"'E4!']["</f>
        <v>#VALUE!</v>
      </c>
      <c r="EM143" t="e">
        <f>Nodes!L1163+"'E4!']\"</f>
        <v>#VALUE!</v>
      </c>
      <c r="EN143" t="e">
        <f>Nodes!M1163+"'E4!']]"</f>
        <v>#VALUE!</v>
      </c>
      <c r="EO143" t="e">
        <f>Nodes!N1163+"'E4!']^"</f>
        <v>#VALUE!</v>
      </c>
      <c r="EP143" t="e">
        <f>Nodes!O1163+"'E4!']_"</f>
        <v>#VALUE!</v>
      </c>
      <c r="EQ143" t="e">
        <f>Nodes!P1163+"'E4!']`"</f>
        <v>#VALUE!</v>
      </c>
      <c r="ER143" t="e">
        <f>Nodes!Q1163+"'E4!']a"</f>
        <v>#VALUE!</v>
      </c>
      <c r="ES143" t="e">
        <f>Nodes!R1163+"'E4!']b"</f>
        <v>#VALUE!</v>
      </c>
      <c r="ET143" s="547" t="e">
        <f>Nodes!S1163+"'E4!']c"</f>
        <v>#VALUE!</v>
      </c>
      <c r="EU143" s="547" t="e">
        <f>Nodes!T1163+"'E4!']d"</f>
        <v>#VALUE!</v>
      </c>
      <c r="EV143" s="548" t="e">
        <f>Nodes!U1163+"'E4!']e"</f>
        <v>#VALUE!</v>
      </c>
      <c r="EW143" s="548" t="e">
        <f>Nodes!V1163+"'E4!']f"</f>
        <v>#VALUE!</v>
      </c>
      <c r="EX143" s="547" t="e">
        <f>Nodes!W1163+"'E4!']g"</f>
        <v>#VALUE!</v>
      </c>
      <c r="EY143" t="e">
        <f>Nodes!X1163+"'E4!']h"</f>
        <v>#VALUE!</v>
      </c>
      <c r="EZ143" t="e">
        <f>Nodes!Y1163+"'E4!']i"</f>
        <v>#VALUE!</v>
      </c>
      <c r="FA143" t="e">
        <f>Nodes!Z1163+"'E4!']j"</f>
        <v>#VALUE!</v>
      </c>
      <c r="FB143" t="e">
        <f>Nodes!AA1163+"'E4!']k"</f>
        <v>#VALUE!</v>
      </c>
      <c r="FC143" t="e">
        <f>Nodes!AB1163+"'E4!']l"</f>
        <v>#VALUE!</v>
      </c>
      <c r="FD143" s="547" t="e">
        <f>Nodes!AC1163+"'E4!']m"</f>
        <v>#VALUE!</v>
      </c>
      <c r="FE143" t="e">
        <f>Nodes!A1164+"'E4!']n"</f>
        <v>#VALUE!</v>
      </c>
      <c r="FF143" t="e">
        <f>Nodes!B1164+"'E4!']o"</f>
        <v>#VALUE!</v>
      </c>
      <c r="FG143" t="e">
        <f>Nodes!C1164+"'E4!']p"</f>
        <v>#VALUE!</v>
      </c>
      <c r="FH143" t="e">
        <f>Nodes!D1164+"'E4!']q"</f>
        <v>#VALUE!</v>
      </c>
      <c r="FI143" t="e">
        <f>Nodes!E1164+"'E4!']r"</f>
        <v>#VALUE!</v>
      </c>
      <c r="FJ143" t="e">
        <f>Nodes!F1164+"'E4!']s"</f>
        <v>#VALUE!</v>
      </c>
      <c r="FK143" t="e">
        <f>Nodes!G1164+"'E4!']t"</f>
        <v>#VALUE!</v>
      </c>
      <c r="FL143" t="e">
        <f>Nodes!H1164+"'E4!']u"</f>
        <v>#VALUE!</v>
      </c>
      <c r="FM143" t="e">
        <f>Nodes!I1164+"'E4!']v"</f>
        <v>#VALUE!</v>
      </c>
      <c r="FN143" t="e">
        <f>Nodes!J1164+"'E4!']w"</f>
        <v>#VALUE!</v>
      </c>
      <c r="FO143" t="e">
        <f>Nodes!K1164+"'E4!']x"</f>
        <v>#VALUE!</v>
      </c>
      <c r="FP143" t="e">
        <f>Nodes!L1164+"'E4!']y"</f>
        <v>#VALUE!</v>
      </c>
      <c r="FQ143" t="e">
        <f>Nodes!M1164+"'E4!']z"</f>
        <v>#VALUE!</v>
      </c>
      <c r="FR143" t="e">
        <f>Nodes!N1164+"'E4!']{"</f>
        <v>#VALUE!</v>
      </c>
      <c r="FS143" t="e">
        <f>Nodes!O1164+"'E4!']|"</f>
        <v>#VALUE!</v>
      </c>
      <c r="FT143" t="e">
        <f>Nodes!P1164+"'E4!']}"</f>
        <v>#VALUE!</v>
      </c>
      <c r="FU143" t="e">
        <f>Nodes!Q1164+"'E4!']~"</f>
        <v>#VALUE!</v>
      </c>
      <c r="FV143" t="e">
        <f>Nodes!R1164+"'E4!'^#"</f>
        <v>#N/A</v>
      </c>
      <c r="FW143" s="547" t="e">
        <f>Nodes!S1164+"'E4!'^$"</f>
        <v>#N/A</v>
      </c>
      <c r="FX143" s="547" t="e">
        <f>Nodes!T1164+"'E4!'^%"</f>
        <v>#VALUE!</v>
      </c>
      <c r="FY143" s="548" t="e">
        <f>Nodes!U1164+"'E4!'^&amp;"</f>
        <v>#N/A</v>
      </c>
      <c r="FZ143" s="548" t="e">
        <f>Nodes!V1164+"'E4!'^'"</f>
        <v>#N/A</v>
      </c>
      <c r="GA143" s="547" t="e">
        <f>Nodes!W1164+"'E4!'^("</f>
        <v>#VALUE!</v>
      </c>
      <c r="GB143" t="e">
        <f>Nodes!X1164+"'E4!'^)"</f>
        <v>#VALUE!</v>
      </c>
      <c r="GC143" t="e">
        <f>Nodes!Y1164+"'E4!'^."</f>
        <v>#VALUE!</v>
      </c>
      <c r="GD143" t="e">
        <f>Nodes!Z1164+"'E4!'^/"</f>
        <v>#VALUE!</v>
      </c>
      <c r="GE143" t="e">
        <f>Nodes!AA1164+"'E4!'^0"</f>
        <v>#VALUE!</v>
      </c>
      <c r="GF143" t="e">
        <f>Nodes!AB1164+"'E4!'^1"</f>
        <v>#VALUE!</v>
      </c>
      <c r="GG143" s="547" t="e">
        <f>Nodes!AC1164+"'E4!'^2"</f>
        <v>#VALUE!</v>
      </c>
      <c r="GH143" t="e">
        <f>Nodes!A1165+"'E4!'^3"</f>
        <v>#VALUE!</v>
      </c>
      <c r="GI143" t="e">
        <f>Nodes!B1165+"'E4!'^4"</f>
        <v>#VALUE!</v>
      </c>
      <c r="GJ143" t="e">
        <f>Nodes!C1165+"'E4!'^5"</f>
        <v>#VALUE!</v>
      </c>
      <c r="GK143" t="e">
        <f>Nodes!D1165+"'E4!'^6"</f>
        <v>#VALUE!</v>
      </c>
      <c r="GL143" t="e">
        <f>Nodes!E1165+"'E4!'^7"</f>
        <v>#VALUE!</v>
      </c>
      <c r="GM143" t="e">
        <f>Nodes!F1165+"'E4!'^8"</f>
        <v>#VALUE!</v>
      </c>
      <c r="GN143" t="e">
        <f>Nodes!G1165+"'E4!'^9"</f>
        <v>#VALUE!</v>
      </c>
      <c r="GO143" t="e">
        <f>Nodes!H1165+"'E4!'^:"</f>
        <v>#VALUE!</v>
      </c>
      <c r="GP143" t="e">
        <f>Nodes!I1165+"'E4!'^;"</f>
        <v>#VALUE!</v>
      </c>
      <c r="GQ143" t="e">
        <f>Nodes!J1165+"'E4!'^&lt;"</f>
        <v>#VALUE!</v>
      </c>
      <c r="GR143" t="e">
        <f>Nodes!K1165+"'E4!'^="</f>
        <v>#VALUE!</v>
      </c>
      <c r="GS143" t="e">
        <f>Nodes!L1165+"'E4!'^&gt;"</f>
        <v>#VALUE!</v>
      </c>
      <c r="GT143" t="e">
        <f>Nodes!M1165+"'E4!'^?"</f>
        <v>#VALUE!</v>
      </c>
      <c r="GU143" t="e">
        <f>Nodes!N1165+"'E4!'^@"</f>
        <v>#VALUE!</v>
      </c>
      <c r="GV143" t="e">
        <f>Nodes!O1165+"'E4!'^A"</f>
        <v>#VALUE!</v>
      </c>
      <c r="GW143" t="e">
        <f>Nodes!P1165+"'E4!'^B"</f>
        <v>#VALUE!</v>
      </c>
      <c r="GX143" t="e">
        <f>Nodes!Q1165+"'E4!'^C"</f>
        <v>#VALUE!</v>
      </c>
      <c r="GY143" t="e">
        <f>Nodes!R1165+"'E4!'^D"</f>
        <v>#VALUE!</v>
      </c>
      <c r="GZ143" s="547" t="e">
        <f>Nodes!S1165+"'E4!'^E"</f>
        <v>#VALUE!</v>
      </c>
      <c r="HA143" s="547" t="e">
        <f>Nodes!T1165+"'E4!'^F"</f>
        <v>#VALUE!</v>
      </c>
      <c r="HB143" s="548" t="e">
        <f>Nodes!U1165+"'E4!'^G"</f>
        <v>#VALUE!</v>
      </c>
      <c r="HC143" s="548" t="e">
        <f>Nodes!V1165+"'E4!'^H"</f>
        <v>#VALUE!</v>
      </c>
      <c r="HD143" s="547" t="e">
        <f>Nodes!W1165+"'E4!'^I"</f>
        <v>#VALUE!</v>
      </c>
      <c r="HE143" t="e">
        <f>Nodes!X1165+"'E4!'^J"</f>
        <v>#VALUE!</v>
      </c>
      <c r="HF143" t="e">
        <f>Nodes!Y1165+"'E4!'^K"</f>
        <v>#VALUE!</v>
      </c>
      <c r="HG143" t="e">
        <f>Nodes!Z1165+"'E4!'^L"</f>
        <v>#VALUE!</v>
      </c>
      <c r="HH143" t="e">
        <f>Nodes!AA1165+"'E4!'^M"</f>
        <v>#VALUE!</v>
      </c>
      <c r="HI143" t="e">
        <f>Nodes!AB1165+"'E4!'^N"</f>
        <v>#VALUE!</v>
      </c>
      <c r="HJ143" s="547" t="e">
        <f>Nodes!AC1165+"'E4!'^O"</f>
        <v>#VALUE!</v>
      </c>
      <c r="HK143" t="e">
        <f>Nodes!A1166+"'E4!'^P"</f>
        <v>#VALUE!</v>
      </c>
      <c r="HL143" t="e">
        <f>Nodes!B1166+"'E4!'^Q"</f>
        <v>#VALUE!</v>
      </c>
      <c r="HM143" t="e">
        <f>Nodes!C1166+"'E4!'^R"</f>
        <v>#VALUE!</v>
      </c>
      <c r="HN143" t="e">
        <f>Nodes!D1166+"'E4!'^S"</f>
        <v>#VALUE!</v>
      </c>
      <c r="HO143" t="e">
        <f>Nodes!E1166+"'E4!'^T"</f>
        <v>#VALUE!</v>
      </c>
      <c r="HP143" t="e">
        <f>Nodes!F1166+"'E4!'^U"</f>
        <v>#VALUE!</v>
      </c>
      <c r="HQ143" t="e">
        <f>Nodes!G1166+"'E4!'^V"</f>
        <v>#VALUE!</v>
      </c>
      <c r="HR143" t="e">
        <f>Nodes!H1166+"'E4!'^W"</f>
        <v>#VALUE!</v>
      </c>
      <c r="HS143" t="e">
        <f>Nodes!I1166+"'E4!'^X"</f>
        <v>#VALUE!</v>
      </c>
      <c r="HT143" t="e">
        <f>Nodes!J1166+"'E4!'^Y"</f>
        <v>#VALUE!</v>
      </c>
      <c r="HU143" t="e">
        <f>Nodes!K1166+"'E4!'^Z"</f>
        <v>#VALUE!</v>
      </c>
      <c r="HV143" t="e">
        <f>Nodes!L1166+"'E4!'^["</f>
        <v>#VALUE!</v>
      </c>
      <c r="HW143" t="e">
        <f>Nodes!M1166+"'E4!'^\"</f>
        <v>#VALUE!</v>
      </c>
      <c r="HX143" t="e">
        <f>Nodes!N1166+"'E4!'^]"</f>
        <v>#VALUE!</v>
      </c>
      <c r="HY143" t="e">
        <f>Nodes!O1166+"'E4!'^^"</f>
        <v>#VALUE!</v>
      </c>
      <c r="HZ143" t="e">
        <f>Nodes!P1166+"'E4!'^_"</f>
        <v>#VALUE!</v>
      </c>
      <c r="IA143" t="e">
        <f>Nodes!Q1166+"'E4!'^`"</f>
        <v>#VALUE!</v>
      </c>
      <c r="IB143" t="e">
        <f>Nodes!R1166+"'E4!'^a"</f>
        <v>#N/A</v>
      </c>
      <c r="IC143" s="547" t="e">
        <f>Nodes!S1166+"'E4!'^b"</f>
        <v>#N/A</v>
      </c>
      <c r="ID143" s="547" t="e">
        <f>Nodes!T1166+"'E4!'^c"</f>
        <v>#VALUE!</v>
      </c>
      <c r="IE143" s="548" t="e">
        <f>Nodes!U1166+"'E4!'^d"</f>
        <v>#N/A</v>
      </c>
      <c r="IF143" s="548" t="e">
        <f>Nodes!V1166+"'E4!'^e"</f>
        <v>#N/A</v>
      </c>
      <c r="IG143" s="547" t="e">
        <f>Nodes!W1166+"'E4!'^f"</f>
        <v>#VALUE!</v>
      </c>
      <c r="IH143" t="e">
        <f>Nodes!X1166+"'E4!'^g"</f>
        <v>#VALUE!</v>
      </c>
      <c r="II143" t="e">
        <f>Nodes!Y1166+"'E4!'^h"</f>
        <v>#VALUE!</v>
      </c>
      <c r="IJ143" t="e">
        <f>Nodes!Z1166+"'E4!'^i"</f>
        <v>#VALUE!</v>
      </c>
      <c r="IK143" t="e">
        <f>Nodes!AA1166+"'E4!'^j"</f>
        <v>#VALUE!</v>
      </c>
      <c r="IL143" t="e">
        <f>Nodes!AB1166+"'E4!'^k"</f>
        <v>#VALUE!</v>
      </c>
      <c r="IM143" s="547" t="e">
        <f>Nodes!AC1166+"'E4!'^l"</f>
        <v>#VALUE!</v>
      </c>
      <c r="IN143" t="e">
        <f>Nodes!A1167+"'E4!'^m"</f>
        <v>#VALUE!</v>
      </c>
      <c r="IO143" t="e">
        <f>Nodes!B1167+"'E4!'^n"</f>
        <v>#VALUE!</v>
      </c>
      <c r="IP143" t="e">
        <f>Nodes!C1167+"'E4!'^o"</f>
        <v>#VALUE!</v>
      </c>
      <c r="IQ143" t="e">
        <f>Nodes!D1167+"'E4!'^p"</f>
        <v>#VALUE!</v>
      </c>
      <c r="IR143" t="e">
        <f>Nodes!E1167+"'E4!'^q"</f>
        <v>#VALUE!</v>
      </c>
      <c r="IS143" t="e">
        <f>Nodes!F1167+"'E4!'^r"</f>
        <v>#VALUE!</v>
      </c>
      <c r="IT143" t="e">
        <f>Nodes!G1167+"'E4!'^s"</f>
        <v>#VALUE!</v>
      </c>
      <c r="IU143" t="e">
        <f>Nodes!H1167+"'E4!'^t"</f>
        <v>#VALUE!</v>
      </c>
      <c r="IV143" t="e">
        <f>Nodes!I1167+"'E4!'^u"</f>
        <v>#VALUE!</v>
      </c>
    </row>
    <row r="144" spans="6:256">
      <c r="F144" t="e">
        <f>Nodes!J1167+"'E4!'^v"</f>
        <v>#VALUE!</v>
      </c>
      <c r="G144" t="e">
        <f>Nodes!K1167+"'E4!'^w"</f>
        <v>#VALUE!</v>
      </c>
      <c r="H144" t="e">
        <f>Nodes!L1167+"'E4!'^x"</f>
        <v>#VALUE!</v>
      </c>
      <c r="I144" t="e">
        <f>Nodes!M1167+"'E4!'^y"</f>
        <v>#VALUE!</v>
      </c>
      <c r="J144" t="e">
        <f>Nodes!N1167+"'E4!'^z"</f>
        <v>#VALUE!</v>
      </c>
      <c r="K144" t="e">
        <f>Nodes!O1167+"'E4!'^{"</f>
        <v>#VALUE!</v>
      </c>
      <c r="L144" t="e">
        <f>Nodes!P1167+"'E4!'^|"</f>
        <v>#VALUE!</v>
      </c>
      <c r="M144" t="e">
        <f>Nodes!Q1167+"'E4!'^}"</f>
        <v>#VALUE!</v>
      </c>
      <c r="N144" t="e">
        <f>Nodes!R1167+"'E4!'^~"</f>
        <v>#VALUE!</v>
      </c>
      <c r="O144" s="547" t="e">
        <f>Nodes!S1167+"'E4!'_#"</f>
        <v>#VALUE!</v>
      </c>
      <c r="P144" s="547" t="e">
        <f>Nodes!T1167+"'E4!'_$"</f>
        <v>#VALUE!</v>
      </c>
      <c r="Q144" s="548" t="e">
        <f>Nodes!U1167+"'E4!'_%"</f>
        <v>#VALUE!</v>
      </c>
      <c r="R144" s="548" t="e">
        <f>Nodes!V1167+"'E4!'_&amp;"</f>
        <v>#VALUE!</v>
      </c>
      <c r="S144" s="547" t="e">
        <f>Nodes!W1167+"'E4!'_'"</f>
        <v>#VALUE!</v>
      </c>
      <c r="T144" t="e">
        <f>Nodes!X1167+"'E4!'_("</f>
        <v>#VALUE!</v>
      </c>
      <c r="U144" t="e">
        <f>Nodes!Y1167+"'E4!'_)"</f>
        <v>#VALUE!</v>
      </c>
      <c r="V144" t="e">
        <f>Nodes!Z1167+"'E4!'_."</f>
        <v>#VALUE!</v>
      </c>
      <c r="W144" t="e">
        <f>Nodes!AA1167+"'E4!'_/"</f>
        <v>#VALUE!</v>
      </c>
      <c r="X144" t="e">
        <f>Nodes!AB1167+"'E4!'_0"</f>
        <v>#VALUE!</v>
      </c>
      <c r="Y144" s="547" t="e">
        <f>Nodes!AC1167+"'E4!'_1"</f>
        <v>#VALUE!</v>
      </c>
      <c r="Z144" t="e">
        <f>Nodes!A1168+"'E4!'_2"</f>
        <v>#VALUE!</v>
      </c>
      <c r="AA144" t="e">
        <f>Nodes!B1168+"'E4!'_3"</f>
        <v>#VALUE!</v>
      </c>
      <c r="AB144" t="e">
        <f>Nodes!C1168+"'E4!'_4"</f>
        <v>#VALUE!</v>
      </c>
      <c r="AC144" t="e">
        <f>Nodes!D1168+"'E4!'_5"</f>
        <v>#VALUE!</v>
      </c>
      <c r="AD144" t="e">
        <f>Nodes!E1168+"'E4!'_6"</f>
        <v>#VALUE!</v>
      </c>
      <c r="AE144" t="e">
        <f>Nodes!F1168+"'E4!'_7"</f>
        <v>#VALUE!</v>
      </c>
      <c r="AF144" t="e">
        <f>Nodes!G1168+"'E4!'_8"</f>
        <v>#VALUE!</v>
      </c>
      <c r="AG144" t="e">
        <f>Nodes!H1168+"'E4!'_9"</f>
        <v>#VALUE!</v>
      </c>
      <c r="AH144" t="e">
        <f>Nodes!I1168+"'E4!'_:"</f>
        <v>#VALUE!</v>
      </c>
      <c r="AI144" t="e">
        <f>Nodes!J1168+"'E4!'_;"</f>
        <v>#VALUE!</v>
      </c>
      <c r="AJ144" t="e">
        <f>Nodes!K1168+"'E4!'_&lt;"</f>
        <v>#VALUE!</v>
      </c>
      <c r="AK144" t="e">
        <f>Nodes!L1168+"'E4!'_="</f>
        <v>#VALUE!</v>
      </c>
      <c r="AL144" t="e">
        <f>Nodes!M1168+"'E4!'_&gt;"</f>
        <v>#VALUE!</v>
      </c>
      <c r="AM144" t="e">
        <f>Nodes!N1168+"'E4!'_?"</f>
        <v>#VALUE!</v>
      </c>
      <c r="AN144" t="e">
        <f>Nodes!O1168+"'E4!'_@"</f>
        <v>#VALUE!</v>
      </c>
      <c r="AO144" t="e">
        <f>Nodes!P1168+"'E4!'_A"</f>
        <v>#VALUE!</v>
      </c>
      <c r="AP144" t="e">
        <f>Nodes!Q1168+"'E4!'_B"</f>
        <v>#VALUE!</v>
      </c>
      <c r="AQ144" t="e">
        <f>Nodes!R1168+"'E4!'_C"</f>
        <v>#VALUE!</v>
      </c>
      <c r="AR144" s="547" t="e">
        <f>Nodes!S1168+"'E4!'_D"</f>
        <v>#VALUE!</v>
      </c>
      <c r="AS144" s="547" t="e">
        <f>Nodes!T1168+"'E4!'_E"</f>
        <v>#VALUE!</v>
      </c>
      <c r="AT144" s="548" t="e">
        <f>Nodes!U1168+"'E4!'_F"</f>
        <v>#VALUE!</v>
      </c>
      <c r="AU144" s="548" t="e">
        <f>Nodes!V1168+"'E4!'_G"</f>
        <v>#VALUE!</v>
      </c>
      <c r="AV144" s="547" t="e">
        <f>Nodes!W1168+"'E4!'_H"</f>
        <v>#VALUE!</v>
      </c>
      <c r="AW144" t="e">
        <f>Nodes!X1168+"'E4!'_I"</f>
        <v>#VALUE!</v>
      </c>
      <c r="AX144" t="e">
        <f>Nodes!Y1168+"'E4!'_J"</f>
        <v>#VALUE!</v>
      </c>
      <c r="AY144" t="e">
        <f>Nodes!Z1168+"'E4!'_K"</f>
        <v>#VALUE!</v>
      </c>
      <c r="AZ144" t="e">
        <f>Nodes!AA1168+"'E4!'_L"</f>
        <v>#VALUE!</v>
      </c>
      <c r="BA144" t="e">
        <f>Nodes!AB1168+"'E4!'_M"</f>
        <v>#VALUE!</v>
      </c>
      <c r="BB144" s="547" t="e">
        <f>Nodes!AC1168+"'E4!'_N"</f>
        <v>#VALUE!</v>
      </c>
      <c r="BC144" t="e">
        <f>Nodes!A1169+"'E4!'_O"</f>
        <v>#VALUE!</v>
      </c>
      <c r="BD144" t="e">
        <f>Nodes!B1169+"'E4!'_P"</f>
        <v>#VALUE!</v>
      </c>
      <c r="BE144" t="e">
        <f>Nodes!C1169+"'E4!'_Q"</f>
        <v>#VALUE!</v>
      </c>
      <c r="BF144" t="e">
        <f>Nodes!D1169+"'E4!'_R"</f>
        <v>#VALUE!</v>
      </c>
      <c r="BG144" t="e">
        <f>Nodes!E1169+"'E4!'_S"</f>
        <v>#VALUE!</v>
      </c>
      <c r="BH144" t="e">
        <f>Nodes!F1169+"'E4!'_T"</f>
        <v>#VALUE!</v>
      </c>
      <c r="BI144" t="e">
        <f>Nodes!G1169+"'E4!'_U"</f>
        <v>#VALUE!</v>
      </c>
      <c r="BJ144" t="e">
        <f>Nodes!H1169+"'E4!'_V"</f>
        <v>#VALUE!</v>
      </c>
      <c r="BK144" t="e">
        <f>Nodes!I1169+"'E4!'_W"</f>
        <v>#VALUE!</v>
      </c>
      <c r="BL144" t="e">
        <f>Nodes!J1169+"'E4!'_X"</f>
        <v>#VALUE!</v>
      </c>
      <c r="BM144" t="e">
        <f>Nodes!K1169+"'E4!'_Y"</f>
        <v>#VALUE!</v>
      </c>
      <c r="BN144" t="e">
        <f>Nodes!L1169+"'E4!'_Z"</f>
        <v>#VALUE!</v>
      </c>
      <c r="BO144" t="e">
        <f>Nodes!M1169+"'E4!'_["</f>
        <v>#VALUE!</v>
      </c>
      <c r="BP144" t="e">
        <f>Nodes!N1169+"'E4!'_\"</f>
        <v>#VALUE!</v>
      </c>
      <c r="BQ144" t="e">
        <f>Nodes!O1169+"'E4!'_]"</f>
        <v>#VALUE!</v>
      </c>
      <c r="BR144" t="e">
        <f>Nodes!P1169+"'E4!'_^"</f>
        <v>#VALUE!</v>
      </c>
      <c r="BS144" t="e">
        <f>Nodes!Q1169+"'E4!'__"</f>
        <v>#VALUE!</v>
      </c>
      <c r="BT144" t="e">
        <f>Nodes!R1169+"'E4!'_`"</f>
        <v>#VALUE!</v>
      </c>
      <c r="BU144" s="547" t="e">
        <f>Nodes!S1169+"'E4!'_a"</f>
        <v>#VALUE!</v>
      </c>
      <c r="BV144" s="547" t="e">
        <f>Nodes!T1169+"'E4!'_b"</f>
        <v>#VALUE!</v>
      </c>
      <c r="BW144" s="548" t="e">
        <f>Nodes!U1169+"'E4!'_c"</f>
        <v>#VALUE!</v>
      </c>
      <c r="BX144" s="548" t="e">
        <f>Nodes!V1169+"'E4!'_d"</f>
        <v>#VALUE!</v>
      </c>
      <c r="BY144" s="547" t="e">
        <f>Nodes!W1169+"'E4!'_e"</f>
        <v>#VALUE!</v>
      </c>
      <c r="BZ144" t="e">
        <f>Nodes!X1169+"'E4!'_f"</f>
        <v>#VALUE!</v>
      </c>
      <c r="CA144" t="e">
        <f>Nodes!Y1169+"'E4!'_g"</f>
        <v>#VALUE!</v>
      </c>
      <c r="CB144" t="e">
        <f>Nodes!Z1169+"'E4!'_h"</f>
        <v>#VALUE!</v>
      </c>
      <c r="CC144" t="e">
        <f>Nodes!AA1169+"'E4!'_i"</f>
        <v>#VALUE!</v>
      </c>
      <c r="CD144" t="e">
        <f>Nodes!AB1169+"'E4!'_j"</f>
        <v>#VALUE!</v>
      </c>
      <c r="CE144" s="547" t="e">
        <f>Nodes!AC1169+"'E4!'_k"</f>
        <v>#VALUE!</v>
      </c>
      <c r="CF144" t="e">
        <f>Nodes!A1170+"'E4!'_l"</f>
        <v>#VALUE!</v>
      </c>
      <c r="CG144" t="e">
        <f>Nodes!B1170+"'E4!'_m"</f>
        <v>#VALUE!</v>
      </c>
      <c r="CH144" t="e">
        <f>Nodes!C1170+"'E4!'_n"</f>
        <v>#VALUE!</v>
      </c>
      <c r="CI144" t="e">
        <f>Nodes!D1170+"'E4!'_o"</f>
        <v>#VALUE!</v>
      </c>
      <c r="CJ144" t="e">
        <f>Nodes!E1170+"'E4!'_p"</f>
        <v>#VALUE!</v>
      </c>
      <c r="CK144" t="e">
        <f>Nodes!F1170+"'E4!'_q"</f>
        <v>#VALUE!</v>
      </c>
      <c r="CL144" t="e">
        <f>Nodes!G1170+"'E4!'_r"</f>
        <v>#VALUE!</v>
      </c>
      <c r="CM144" t="e">
        <f>Nodes!H1170+"'E4!'_s"</f>
        <v>#VALUE!</v>
      </c>
      <c r="CN144" t="e">
        <f>Nodes!I1170+"'E4!'_t"</f>
        <v>#VALUE!</v>
      </c>
      <c r="CO144" t="e">
        <f>Nodes!J1170+"'E4!'_u"</f>
        <v>#VALUE!</v>
      </c>
      <c r="CP144" t="e">
        <f>Nodes!K1170+"'E4!'_v"</f>
        <v>#VALUE!</v>
      </c>
      <c r="CQ144" t="e">
        <f>Nodes!L1170+"'E4!'_w"</f>
        <v>#VALUE!</v>
      </c>
      <c r="CR144" t="e">
        <f>Nodes!M1170+"'E4!'_x"</f>
        <v>#VALUE!</v>
      </c>
      <c r="CS144" t="e">
        <f>Nodes!N1170+"'E4!'_y"</f>
        <v>#VALUE!</v>
      </c>
      <c r="CT144" t="e">
        <f>Nodes!O1170+"'E4!'_z"</f>
        <v>#VALUE!</v>
      </c>
      <c r="CU144" t="e">
        <f>Nodes!P1170+"'E4!'_{"</f>
        <v>#VALUE!</v>
      </c>
      <c r="CV144" t="e">
        <f>Nodes!Q1170+"'E4!'_|"</f>
        <v>#VALUE!</v>
      </c>
      <c r="CW144" t="e">
        <f>Nodes!R1170+"'E4!'_}"</f>
        <v>#VALUE!</v>
      </c>
      <c r="CX144" s="547" t="e">
        <f>Nodes!S1170+"'E4!'_~"</f>
        <v>#VALUE!</v>
      </c>
      <c r="CY144" s="547" t="e">
        <f>Nodes!T1170+"'E4!'`#"</f>
        <v>#VALUE!</v>
      </c>
      <c r="CZ144" s="548" t="e">
        <f>Nodes!U1170+"'E4!'`$"</f>
        <v>#VALUE!</v>
      </c>
      <c r="DA144" s="548" t="e">
        <f>Nodes!V1170+"'E4!'`%"</f>
        <v>#VALUE!</v>
      </c>
      <c r="DB144" s="547" t="e">
        <f>Nodes!W1170+"'E4!'`&amp;"</f>
        <v>#VALUE!</v>
      </c>
      <c r="DC144" t="e">
        <f>Nodes!X1170+"'E4!'`'"</f>
        <v>#VALUE!</v>
      </c>
      <c r="DD144" t="e">
        <f>Nodes!Y1170+"'E4!'`("</f>
        <v>#VALUE!</v>
      </c>
      <c r="DE144" t="e">
        <f>Nodes!Z1170+"'E4!'`)"</f>
        <v>#VALUE!</v>
      </c>
      <c r="DF144" t="e">
        <f>Nodes!AA1170+"'E4!'`."</f>
        <v>#VALUE!</v>
      </c>
      <c r="DG144" t="e">
        <f>Nodes!AB1170+"'E4!'`/"</f>
        <v>#VALUE!</v>
      </c>
      <c r="DH144" s="547" t="e">
        <f>Nodes!AC1170+"'E4!'`0"</f>
        <v>#VALUE!</v>
      </c>
      <c r="DI144" t="e">
        <f>Nodes!A1171+"'E4!'`1"</f>
        <v>#VALUE!</v>
      </c>
      <c r="DJ144" t="e">
        <f>Nodes!B1171+"'E4!'`2"</f>
        <v>#VALUE!</v>
      </c>
      <c r="DK144" t="e">
        <f>Nodes!C1171+"'E4!'`3"</f>
        <v>#VALUE!</v>
      </c>
      <c r="DL144" t="e">
        <f>Nodes!D1171+"'E4!'`4"</f>
        <v>#VALUE!</v>
      </c>
      <c r="DM144" t="e">
        <f>Nodes!E1171+"'E4!'`5"</f>
        <v>#VALUE!</v>
      </c>
      <c r="DN144" t="e">
        <f>Nodes!F1171+"'E4!'`6"</f>
        <v>#VALUE!</v>
      </c>
      <c r="DO144" t="e">
        <f>Nodes!G1171+"'E4!'`7"</f>
        <v>#VALUE!</v>
      </c>
      <c r="DP144" t="e">
        <f>Nodes!H1171+"'E4!'`8"</f>
        <v>#VALUE!</v>
      </c>
      <c r="DQ144" t="e">
        <f>Nodes!I1171+"'E4!'`9"</f>
        <v>#VALUE!</v>
      </c>
      <c r="DR144" t="e">
        <f>Nodes!J1171+"'E4!'`:"</f>
        <v>#VALUE!</v>
      </c>
      <c r="DS144" t="e">
        <f>Nodes!K1171+"'E4!'`;"</f>
        <v>#VALUE!</v>
      </c>
      <c r="DT144" t="e">
        <f>Nodes!L1171+"'E4!'`&lt;"</f>
        <v>#VALUE!</v>
      </c>
      <c r="DU144" t="e">
        <f>Nodes!M1171+"'E4!'`="</f>
        <v>#VALUE!</v>
      </c>
      <c r="DV144" t="e">
        <f>Nodes!N1171+"'E4!'`&gt;"</f>
        <v>#VALUE!</v>
      </c>
      <c r="DW144" t="e">
        <f>Nodes!O1171+"'E4!'`?"</f>
        <v>#VALUE!</v>
      </c>
      <c r="DX144" t="e">
        <f>Nodes!P1171+"'E4!'`@"</f>
        <v>#VALUE!</v>
      </c>
      <c r="DY144" t="e">
        <f>Nodes!Q1171+"'E4!'`A"</f>
        <v>#VALUE!</v>
      </c>
      <c r="DZ144" t="e">
        <f>Nodes!R1171+"'E4!'`B"</f>
        <v>#VALUE!</v>
      </c>
      <c r="EA144" s="547" t="e">
        <f>Nodes!S1171+"'E4!'`C"</f>
        <v>#VALUE!</v>
      </c>
      <c r="EB144" s="547" t="e">
        <f>Nodes!T1171+"'E4!'`D"</f>
        <v>#VALUE!</v>
      </c>
      <c r="EC144" s="548" t="e">
        <f>Nodes!U1171+"'E4!'`E"</f>
        <v>#VALUE!</v>
      </c>
      <c r="ED144" s="548" t="e">
        <f>Nodes!V1171+"'E4!'`F"</f>
        <v>#VALUE!</v>
      </c>
      <c r="EE144" s="547" t="e">
        <f>Nodes!W1171+"'E4!'`G"</f>
        <v>#VALUE!</v>
      </c>
      <c r="EF144" t="e">
        <f>Nodes!X1171+"'E4!'`H"</f>
        <v>#VALUE!</v>
      </c>
      <c r="EG144" t="e">
        <f>Nodes!Y1171+"'E4!'`I"</f>
        <v>#VALUE!</v>
      </c>
      <c r="EH144" t="e">
        <f>Nodes!Z1171+"'E4!'`J"</f>
        <v>#VALUE!</v>
      </c>
      <c r="EI144" t="e">
        <f>Nodes!AA1171+"'E4!'`K"</f>
        <v>#VALUE!</v>
      </c>
      <c r="EJ144" t="e">
        <f>Nodes!AB1171+"'E4!'`L"</f>
        <v>#VALUE!</v>
      </c>
      <c r="EK144" s="547" t="e">
        <f>Nodes!AC1171+"'E4!'`M"</f>
        <v>#VALUE!</v>
      </c>
      <c r="EL144" t="e">
        <f>Nodes!A1172+"'E4!'`N"</f>
        <v>#VALUE!</v>
      </c>
      <c r="EM144" t="e">
        <f>Nodes!B1172+"'E4!'`O"</f>
        <v>#VALUE!</v>
      </c>
      <c r="EN144" t="e">
        <f>Nodes!C1172+"'E4!'`P"</f>
        <v>#VALUE!</v>
      </c>
      <c r="EO144" t="e">
        <f>Nodes!D1172+"'E4!'`Q"</f>
        <v>#VALUE!</v>
      </c>
      <c r="EP144" t="e">
        <f>Nodes!E1172+"'E4!'`R"</f>
        <v>#VALUE!</v>
      </c>
      <c r="EQ144" t="e">
        <f>Nodes!F1172+"'E4!'`S"</f>
        <v>#VALUE!</v>
      </c>
      <c r="ER144" t="e">
        <f>Nodes!G1172+"'E4!'`T"</f>
        <v>#VALUE!</v>
      </c>
      <c r="ES144" t="e">
        <f>Nodes!H1172+"'E4!'`U"</f>
        <v>#VALUE!</v>
      </c>
      <c r="ET144" t="e">
        <f>Nodes!I1172+"'E4!'`V"</f>
        <v>#VALUE!</v>
      </c>
      <c r="EU144" t="e">
        <f>Nodes!J1172+"'E4!'`W"</f>
        <v>#VALUE!</v>
      </c>
      <c r="EV144" t="e">
        <f>Nodes!K1172+"'E4!'`X"</f>
        <v>#VALUE!</v>
      </c>
      <c r="EW144" t="e">
        <f>Nodes!L1172+"'E4!'`Y"</f>
        <v>#VALUE!</v>
      </c>
      <c r="EX144" t="e">
        <f>Nodes!M1172+"'E4!'`Z"</f>
        <v>#VALUE!</v>
      </c>
      <c r="EY144" t="e">
        <f>Nodes!N1172+"'E4!'`["</f>
        <v>#VALUE!</v>
      </c>
      <c r="EZ144" t="e">
        <f>Nodes!O1172+"'E4!'`\"</f>
        <v>#VALUE!</v>
      </c>
      <c r="FA144" t="e">
        <f>Nodes!P1172+"'E4!'`]"</f>
        <v>#VALUE!</v>
      </c>
      <c r="FB144" t="e">
        <f>Nodes!Q1172+"'E4!'`^"</f>
        <v>#VALUE!</v>
      </c>
      <c r="FC144" t="e">
        <f>Nodes!R1172+"'E4!'`_"</f>
        <v>#VALUE!</v>
      </c>
      <c r="FD144" s="547" t="e">
        <f>Nodes!S1172+"'E4!'``"</f>
        <v>#VALUE!</v>
      </c>
      <c r="FE144" s="547" t="e">
        <f>Nodes!T1172+"'E4!'`a"</f>
        <v>#VALUE!</v>
      </c>
      <c r="FF144" s="548" t="e">
        <f>Nodes!U1172+"'E4!'`b"</f>
        <v>#VALUE!</v>
      </c>
      <c r="FG144" s="548" t="e">
        <f>Nodes!V1172+"'E4!'`c"</f>
        <v>#VALUE!</v>
      </c>
      <c r="FH144" s="547" t="e">
        <f>Nodes!W1172+"'E4!'`d"</f>
        <v>#VALUE!</v>
      </c>
      <c r="FI144" t="e">
        <f>Nodes!X1172+"'E4!'`e"</f>
        <v>#VALUE!</v>
      </c>
      <c r="FJ144" t="e">
        <f>Nodes!Y1172+"'E4!'`f"</f>
        <v>#VALUE!</v>
      </c>
      <c r="FK144" t="e">
        <f>Nodes!Z1172+"'E4!'`g"</f>
        <v>#VALUE!</v>
      </c>
      <c r="FL144" t="e">
        <f>Nodes!AA1172+"'E4!'`h"</f>
        <v>#VALUE!</v>
      </c>
      <c r="FM144" t="e">
        <f>Nodes!AB1172+"'E4!'`i"</f>
        <v>#VALUE!</v>
      </c>
      <c r="FN144" s="547" t="e">
        <f>Nodes!AC1172+"'E4!'`j"</f>
        <v>#VALUE!</v>
      </c>
      <c r="FO144" t="e">
        <f>Nodes!A1173+"'E4!'`k"</f>
        <v>#VALUE!</v>
      </c>
      <c r="FP144" t="e">
        <f>Nodes!B1173+"'E4!'`l"</f>
        <v>#VALUE!</v>
      </c>
      <c r="FQ144" t="e">
        <f>Nodes!C1173+"'E4!'`m"</f>
        <v>#VALUE!</v>
      </c>
      <c r="FR144" t="e">
        <f>Nodes!D1173+"'E4!'`n"</f>
        <v>#VALUE!</v>
      </c>
      <c r="FS144" t="e">
        <f>Nodes!E1173+"'E4!'`o"</f>
        <v>#VALUE!</v>
      </c>
      <c r="FT144" t="e">
        <f>Nodes!F1173+"'E4!'`p"</f>
        <v>#VALUE!</v>
      </c>
      <c r="FU144" t="e">
        <f>Nodes!G1173+"'E4!'`q"</f>
        <v>#VALUE!</v>
      </c>
      <c r="FV144" t="e">
        <f>Nodes!H1173+"'E4!'`r"</f>
        <v>#VALUE!</v>
      </c>
      <c r="FW144" t="e">
        <f>Nodes!I1173+"'E4!'`s"</f>
        <v>#VALUE!</v>
      </c>
      <c r="FX144" t="e">
        <f>Nodes!J1173+"'E4!'`t"</f>
        <v>#VALUE!</v>
      </c>
      <c r="FY144" t="e">
        <f>Nodes!K1173+"'E4!'`u"</f>
        <v>#VALUE!</v>
      </c>
      <c r="FZ144" t="e">
        <f>Nodes!L1173+"'E4!'`v"</f>
        <v>#VALUE!</v>
      </c>
      <c r="GA144" t="e">
        <f>Nodes!M1173+"'E4!'`w"</f>
        <v>#VALUE!</v>
      </c>
      <c r="GB144" t="e">
        <f>Nodes!N1173+"'E4!'`x"</f>
        <v>#VALUE!</v>
      </c>
      <c r="GC144" t="e">
        <f>Nodes!O1173+"'E4!'`y"</f>
        <v>#VALUE!</v>
      </c>
      <c r="GD144" t="e">
        <f>Nodes!P1173+"'E4!'`z"</f>
        <v>#VALUE!</v>
      </c>
      <c r="GE144" t="e">
        <f>Nodes!Q1173+"'E4!'`{"</f>
        <v>#VALUE!</v>
      </c>
      <c r="GF144" t="e">
        <f>Nodes!R1173+"'E4!'`|"</f>
        <v>#VALUE!</v>
      </c>
      <c r="GG144" s="547" t="e">
        <f>Nodes!S1173+"'E4!'`}"</f>
        <v>#VALUE!</v>
      </c>
      <c r="GH144" s="547" t="e">
        <f>Nodes!T1173+"'E4!'`~"</f>
        <v>#VALUE!</v>
      </c>
      <c r="GI144" s="548" t="e">
        <f>Nodes!U1173+"'E4!'a#"</f>
        <v>#VALUE!</v>
      </c>
      <c r="GJ144" s="548" t="e">
        <f>Nodes!V1173+"'E4!'a$"</f>
        <v>#VALUE!</v>
      </c>
      <c r="GK144" s="547" t="e">
        <f>Nodes!W1173+"'E4!'a%"</f>
        <v>#VALUE!</v>
      </c>
      <c r="GL144" t="e">
        <f>Nodes!X1173+"'E4!'a&amp;"</f>
        <v>#VALUE!</v>
      </c>
      <c r="GM144" t="e">
        <f>Nodes!Y1173+"'E4!'a'"</f>
        <v>#VALUE!</v>
      </c>
      <c r="GN144" t="e">
        <f>Nodes!Z1173+"'E4!'a("</f>
        <v>#VALUE!</v>
      </c>
      <c r="GO144" t="e">
        <f>Nodes!AA1173+"'E4!'a)"</f>
        <v>#VALUE!</v>
      </c>
      <c r="GP144" s="547" t="e">
        <f>Nodes!AB1173+"'E4!'a."</f>
        <v>#VALUE!</v>
      </c>
      <c r="GQ144" s="547" t="e">
        <f>Nodes!AC1173+"'E4!'a/"</f>
        <v>#VALUE!</v>
      </c>
      <c r="GR144" t="e">
        <f>Nodes!A1174+"'E4!'a0"</f>
        <v>#VALUE!</v>
      </c>
      <c r="GS144" t="e">
        <f>Nodes!B1174+"'E4!'a1"</f>
        <v>#VALUE!</v>
      </c>
      <c r="GT144" t="e">
        <f>Nodes!C1174+"'E4!'a2"</f>
        <v>#VALUE!</v>
      </c>
      <c r="GU144" t="e">
        <f>Nodes!D1174+"'E4!'a3"</f>
        <v>#VALUE!</v>
      </c>
      <c r="GV144" t="e">
        <f>Nodes!E1174+"'E4!'a4"</f>
        <v>#VALUE!</v>
      </c>
      <c r="GW144" t="e">
        <f>Nodes!F1174+"'E4!'a5"</f>
        <v>#VALUE!</v>
      </c>
      <c r="GX144" t="e">
        <f>Nodes!G1174+"'E4!'a6"</f>
        <v>#VALUE!</v>
      </c>
      <c r="GY144" t="e">
        <f>Nodes!H1174+"'E4!'a7"</f>
        <v>#VALUE!</v>
      </c>
      <c r="GZ144" t="e">
        <f>Nodes!I1174+"'E4!'a8"</f>
        <v>#VALUE!</v>
      </c>
      <c r="HA144" t="e">
        <f>Nodes!J1174+"'E4!'a9"</f>
        <v>#VALUE!</v>
      </c>
      <c r="HB144" t="e">
        <f>Nodes!K1174+"'E4!'a:"</f>
        <v>#VALUE!</v>
      </c>
      <c r="HC144" t="e">
        <f>Nodes!L1174+"'E4!'a;"</f>
        <v>#VALUE!</v>
      </c>
      <c r="HD144" t="e">
        <f>Nodes!M1174+"'E4!'a&lt;"</f>
        <v>#VALUE!</v>
      </c>
      <c r="HE144" t="e">
        <f>Nodes!N1174+"'E4!'a="</f>
        <v>#VALUE!</v>
      </c>
      <c r="HF144" t="e">
        <f>Nodes!O1174+"'E4!'a&gt;"</f>
        <v>#VALUE!</v>
      </c>
      <c r="HG144" t="e">
        <f>Nodes!P1174+"'E4!'a?"</f>
        <v>#VALUE!</v>
      </c>
      <c r="HH144" t="e">
        <f>Nodes!Q1174+"'E4!'a@"</f>
        <v>#VALUE!</v>
      </c>
      <c r="HI144" t="e">
        <f>Nodes!R1174+"'E4!'aA"</f>
        <v>#VALUE!</v>
      </c>
      <c r="HJ144" s="547" t="e">
        <f>Nodes!S1174+"'E4!'aB"</f>
        <v>#VALUE!</v>
      </c>
      <c r="HK144" s="547" t="e">
        <f>Nodes!T1174+"'E4!'aC"</f>
        <v>#VALUE!</v>
      </c>
      <c r="HL144" s="548" t="e">
        <f>Nodes!U1174+"'E4!'aD"</f>
        <v>#VALUE!</v>
      </c>
      <c r="HM144" s="548" t="e">
        <f>Nodes!V1174+"'E4!'aE"</f>
        <v>#VALUE!</v>
      </c>
      <c r="HN144" s="547" t="e">
        <f>Nodes!W1174+"'E4!'aF"</f>
        <v>#VALUE!</v>
      </c>
      <c r="HO144" t="e">
        <f>Nodes!X1174+"'E4!'aG"</f>
        <v>#VALUE!</v>
      </c>
      <c r="HP144" t="e">
        <f>Nodes!Y1174+"'E4!'aH"</f>
        <v>#VALUE!</v>
      </c>
      <c r="HQ144" t="e">
        <f>Nodes!Z1174+"'E4!'aI"</f>
        <v>#VALUE!</v>
      </c>
      <c r="HR144" t="e">
        <f>Nodes!AA1174+"'E4!'aJ"</f>
        <v>#VALUE!</v>
      </c>
      <c r="HS144" s="547" t="e">
        <f>Nodes!AB1174+"'E4!'aK"</f>
        <v>#VALUE!</v>
      </c>
      <c r="HT144" s="547" t="e">
        <f>Nodes!AC1174+"'E4!'aL"</f>
        <v>#VALUE!</v>
      </c>
      <c r="HU144" t="e">
        <f>Nodes!A1175+"'E4!'aM"</f>
        <v>#VALUE!</v>
      </c>
      <c r="HV144" t="e">
        <f>Nodes!B1175+"'E4!'aN"</f>
        <v>#VALUE!</v>
      </c>
      <c r="HW144" t="e">
        <f>Nodes!C1175+"'E4!'aO"</f>
        <v>#VALUE!</v>
      </c>
      <c r="HX144" t="e">
        <f>Nodes!D1175+"'E4!'aP"</f>
        <v>#VALUE!</v>
      </c>
      <c r="HY144" t="e">
        <f>Nodes!E1175+"'E4!'aQ"</f>
        <v>#VALUE!</v>
      </c>
      <c r="HZ144" t="e">
        <f>Nodes!F1175+"'E4!'aR"</f>
        <v>#VALUE!</v>
      </c>
      <c r="IA144" t="e">
        <f>Nodes!G1175+"'E4!'aS"</f>
        <v>#VALUE!</v>
      </c>
      <c r="IB144" t="e">
        <f>Nodes!H1175+"'E4!'aT"</f>
        <v>#VALUE!</v>
      </c>
      <c r="IC144" t="e">
        <f>Nodes!I1175+"'E4!'aU"</f>
        <v>#VALUE!</v>
      </c>
      <c r="ID144" t="e">
        <f>Nodes!J1175+"'E4!'aV"</f>
        <v>#VALUE!</v>
      </c>
      <c r="IE144" t="e">
        <f>Nodes!K1175+"'E4!'aW"</f>
        <v>#VALUE!</v>
      </c>
      <c r="IF144" t="e">
        <f>Nodes!L1175+"'E4!'aX"</f>
        <v>#VALUE!</v>
      </c>
      <c r="IG144" t="e">
        <f>Nodes!M1175+"'E4!'aY"</f>
        <v>#VALUE!</v>
      </c>
      <c r="IH144" t="e">
        <f>Nodes!N1175+"'E4!'aZ"</f>
        <v>#VALUE!</v>
      </c>
      <c r="II144" t="e">
        <f>Nodes!O1175+"'E4!'a["</f>
        <v>#VALUE!</v>
      </c>
      <c r="IJ144" t="e">
        <f>Nodes!P1175+"'E4!'a\"</f>
        <v>#VALUE!</v>
      </c>
      <c r="IK144" t="e">
        <f>Nodes!Q1175+"'E4!'a]"</f>
        <v>#VALUE!</v>
      </c>
      <c r="IL144" t="e">
        <f>Nodes!R1175+"'E4!'a^"</f>
        <v>#VALUE!</v>
      </c>
      <c r="IM144" s="547" t="e">
        <f>Nodes!S1175+"'E4!'a_"</f>
        <v>#VALUE!</v>
      </c>
      <c r="IN144" s="547" t="e">
        <f>Nodes!T1175+"'E4!'a`"</f>
        <v>#VALUE!</v>
      </c>
      <c r="IO144" s="548" t="e">
        <f>Nodes!U1175+"'E4!'aa"</f>
        <v>#VALUE!</v>
      </c>
      <c r="IP144" s="548" t="e">
        <f>Nodes!V1175+"'E4!'ab"</f>
        <v>#VALUE!</v>
      </c>
      <c r="IQ144" s="547" t="e">
        <f>Nodes!W1175+"'E4!'ac"</f>
        <v>#VALUE!</v>
      </c>
      <c r="IR144" t="e">
        <f>Nodes!X1175+"'E4!'ad"</f>
        <v>#VALUE!</v>
      </c>
      <c r="IS144" t="e">
        <f>Nodes!Y1175+"'E4!'ae"</f>
        <v>#VALUE!</v>
      </c>
      <c r="IT144" t="e">
        <f>Nodes!Z1175+"'E4!'af"</f>
        <v>#VALUE!</v>
      </c>
      <c r="IU144" t="e">
        <f>Nodes!AA1175+"'E4!'ag"</f>
        <v>#VALUE!</v>
      </c>
      <c r="IV144" s="547" t="e">
        <f>Nodes!AB1175+"'E4!'ah"</f>
        <v>#VALUE!</v>
      </c>
    </row>
    <row r="145" spans="6:256">
      <c r="F145" s="547" t="e">
        <f>Nodes!AC1175+"'E4!'ai"</f>
        <v>#VALUE!</v>
      </c>
      <c r="G145" t="e">
        <f>Nodes!A1176+"'E4!'aj"</f>
        <v>#VALUE!</v>
      </c>
      <c r="H145" t="e">
        <f>Nodes!B1176+"'E4!'ak"</f>
        <v>#VALUE!</v>
      </c>
      <c r="I145" t="e">
        <f>Nodes!C1176+"'E4!'al"</f>
        <v>#VALUE!</v>
      </c>
      <c r="J145" t="e">
        <f>Nodes!D1176+"'E4!'am"</f>
        <v>#VALUE!</v>
      </c>
      <c r="K145" t="e">
        <f>Nodes!E1176+"'E4!'an"</f>
        <v>#VALUE!</v>
      </c>
      <c r="L145" t="e">
        <f>Nodes!F1176+"'E4!'ao"</f>
        <v>#VALUE!</v>
      </c>
      <c r="M145" t="e">
        <f>Nodes!G1176+"'E4!'ap"</f>
        <v>#VALUE!</v>
      </c>
      <c r="N145" t="e">
        <f>Nodes!H1176+"'E4!'aq"</f>
        <v>#VALUE!</v>
      </c>
      <c r="O145" t="e">
        <f>Nodes!I1176+"'E4!'ar"</f>
        <v>#VALUE!</v>
      </c>
      <c r="P145" t="e">
        <f>Nodes!J1176+"'E4!'as"</f>
        <v>#VALUE!</v>
      </c>
      <c r="Q145" t="e">
        <f>Nodes!K1176+"'E4!'at"</f>
        <v>#VALUE!</v>
      </c>
      <c r="R145" t="e">
        <f>Nodes!L1176+"'E4!'au"</f>
        <v>#VALUE!</v>
      </c>
      <c r="S145" t="e">
        <f>Nodes!M1176+"'E4!'av"</f>
        <v>#VALUE!</v>
      </c>
      <c r="T145" t="e">
        <f>Nodes!N1176+"'E4!'aw"</f>
        <v>#VALUE!</v>
      </c>
      <c r="U145" t="e">
        <f>Nodes!O1176+"'E4!'ax"</f>
        <v>#VALUE!</v>
      </c>
      <c r="V145" t="e">
        <f>Nodes!P1176+"'E4!'ay"</f>
        <v>#VALUE!</v>
      </c>
      <c r="W145" t="e">
        <f>Nodes!Q1176+"'E4!'az"</f>
        <v>#VALUE!</v>
      </c>
      <c r="X145" t="e">
        <f>Nodes!R1176+"'E4!'a{"</f>
        <v>#VALUE!</v>
      </c>
      <c r="Y145" s="547" t="e">
        <f>Nodes!S1176+"'E4!'a|"</f>
        <v>#VALUE!</v>
      </c>
      <c r="Z145" s="547" t="e">
        <f>Nodes!T1176+"'E4!'a}"</f>
        <v>#VALUE!</v>
      </c>
      <c r="AA145" s="548" t="e">
        <f>Nodes!U1176+"'E4!'a~"</f>
        <v>#VALUE!</v>
      </c>
      <c r="AB145" s="548" t="e">
        <f>Nodes!V1176+"'E4!'b#"</f>
        <v>#VALUE!</v>
      </c>
      <c r="AC145" s="547" t="e">
        <f>Nodes!W1176+"'E4!'b$"</f>
        <v>#VALUE!</v>
      </c>
      <c r="AD145" t="e">
        <f>Nodes!X1176+"'E4!'b%"</f>
        <v>#VALUE!</v>
      </c>
      <c r="AE145" t="e">
        <f>Nodes!Y1176+"'E4!'b&amp;"</f>
        <v>#VALUE!</v>
      </c>
      <c r="AF145" t="e">
        <f>Nodes!Z1176+"'E4!'b'"</f>
        <v>#VALUE!</v>
      </c>
      <c r="AG145" t="e">
        <f>Nodes!AA1176+"'E4!'b("</f>
        <v>#VALUE!</v>
      </c>
      <c r="AH145" t="e">
        <f>Nodes!AB1176+"'E4!'b)"</f>
        <v>#VALUE!</v>
      </c>
      <c r="AI145" s="547" t="e">
        <f>Nodes!AC1176+"'E4!'b."</f>
        <v>#VALUE!</v>
      </c>
      <c r="AJ145" t="e">
        <f>Nodes!A1177+"'E4!'b/"</f>
        <v>#VALUE!</v>
      </c>
      <c r="AK145" t="e">
        <f>Nodes!B1177+"'E4!'b0"</f>
        <v>#VALUE!</v>
      </c>
      <c r="AL145" t="e">
        <f>Nodes!C1177+"'E4!'b1"</f>
        <v>#VALUE!</v>
      </c>
      <c r="AM145" t="e">
        <f>Nodes!D1177+"'E4!'b2"</f>
        <v>#VALUE!</v>
      </c>
      <c r="AN145" t="e">
        <f>Nodes!E1177+"'E4!'b3"</f>
        <v>#VALUE!</v>
      </c>
      <c r="AO145" t="e">
        <f>Nodes!F1177+"'E4!'b4"</f>
        <v>#VALUE!</v>
      </c>
      <c r="AP145" t="e">
        <f>Nodes!G1177+"'E4!'b5"</f>
        <v>#VALUE!</v>
      </c>
      <c r="AQ145" t="e">
        <f>Nodes!H1177+"'E4!'b6"</f>
        <v>#VALUE!</v>
      </c>
      <c r="AR145" t="e">
        <f>Nodes!I1177+"'E4!'b7"</f>
        <v>#VALUE!</v>
      </c>
      <c r="AS145" t="e">
        <f>Nodes!J1177+"'E4!'b8"</f>
        <v>#VALUE!</v>
      </c>
      <c r="AT145" t="e">
        <f>Nodes!K1177+"'E4!'b9"</f>
        <v>#VALUE!</v>
      </c>
      <c r="AU145" t="e">
        <f>Nodes!L1177+"'E4!'b:"</f>
        <v>#VALUE!</v>
      </c>
      <c r="AV145" t="e">
        <f>Nodes!M1177+"'E4!'b;"</f>
        <v>#VALUE!</v>
      </c>
      <c r="AW145" t="e">
        <f>Nodes!N1177+"'E4!'b&lt;"</f>
        <v>#VALUE!</v>
      </c>
      <c r="AX145" t="e">
        <f>Nodes!O1177+"'E4!'b="</f>
        <v>#VALUE!</v>
      </c>
      <c r="AY145" t="e">
        <f>Nodes!P1177+"'E4!'b&gt;"</f>
        <v>#VALUE!</v>
      </c>
      <c r="AZ145" t="e">
        <f>Nodes!Q1177+"'E4!'b?"</f>
        <v>#VALUE!</v>
      </c>
      <c r="BA145" t="e">
        <f>Nodes!R1177+"'E4!'b@"</f>
        <v>#VALUE!</v>
      </c>
      <c r="BB145" s="547" t="e">
        <f>Nodes!S1177+"'E4!'bA"</f>
        <v>#VALUE!</v>
      </c>
      <c r="BC145" s="547" t="e">
        <f>Nodes!T1177+"'E4!'bB"</f>
        <v>#VALUE!</v>
      </c>
      <c r="BD145" s="548" t="e">
        <f>Nodes!U1177+"'E4!'bC"</f>
        <v>#VALUE!</v>
      </c>
      <c r="BE145" s="548" t="e">
        <f>Nodes!V1177+"'E4!'bD"</f>
        <v>#VALUE!</v>
      </c>
      <c r="BF145" s="547" t="e">
        <f>Nodes!W1177+"'E4!'bE"</f>
        <v>#VALUE!</v>
      </c>
      <c r="BG145" t="e">
        <f>Nodes!X1177+"'E4!'bF"</f>
        <v>#VALUE!</v>
      </c>
      <c r="BH145" t="e">
        <f>Nodes!Y1177+"'E4!'bG"</f>
        <v>#VALUE!</v>
      </c>
      <c r="BI145" t="e">
        <f>Nodes!Z1177+"'E4!'bH"</f>
        <v>#VALUE!</v>
      </c>
      <c r="BJ145" t="e">
        <f>Nodes!AA1177+"'E4!'bI"</f>
        <v>#VALUE!</v>
      </c>
      <c r="BK145" t="e">
        <f>Nodes!AB1177+"'E4!'bJ"</f>
        <v>#VALUE!</v>
      </c>
      <c r="BL145" s="547" t="e">
        <f>Nodes!AC1177+"'E4!'bK"</f>
        <v>#VALUE!</v>
      </c>
      <c r="BM145" t="e">
        <f>Nodes!A1178+"'E4!'bL"</f>
        <v>#VALUE!</v>
      </c>
      <c r="BN145" t="e">
        <f>Nodes!B1178+"'E4!'bM"</f>
        <v>#VALUE!</v>
      </c>
      <c r="BO145" t="e">
        <f>Nodes!C1178+"'E4!'bN"</f>
        <v>#VALUE!</v>
      </c>
      <c r="BP145" t="e">
        <f>Nodes!D1178+"'E4!'bO"</f>
        <v>#VALUE!</v>
      </c>
      <c r="BQ145" t="e">
        <f>Nodes!E1178+"'E4!'bP"</f>
        <v>#VALUE!</v>
      </c>
      <c r="BR145" t="e">
        <f>Nodes!F1178+"'E4!'bQ"</f>
        <v>#VALUE!</v>
      </c>
      <c r="BS145" t="e">
        <f>Nodes!G1178+"'E4!'bR"</f>
        <v>#VALUE!</v>
      </c>
      <c r="BT145" t="e">
        <f>Nodes!H1178+"'E4!'bS"</f>
        <v>#VALUE!</v>
      </c>
      <c r="BU145" t="e">
        <f>Nodes!I1178+"'E4!'bT"</f>
        <v>#VALUE!</v>
      </c>
      <c r="BV145" t="e">
        <f>Nodes!J1178+"'E4!'bU"</f>
        <v>#VALUE!</v>
      </c>
      <c r="BW145" t="e">
        <f>Nodes!K1178+"'E4!'bV"</f>
        <v>#VALUE!</v>
      </c>
      <c r="BX145" t="e">
        <f>Nodes!L1178+"'E4!'bW"</f>
        <v>#VALUE!</v>
      </c>
      <c r="BY145" t="e">
        <f>Nodes!M1178+"'E4!'bX"</f>
        <v>#VALUE!</v>
      </c>
      <c r="BZ145" t="e">
        <f>Nodes!N1178+"'E4!'bY"</f>
        <v>#VALUE!</v>
      </c>
      <c r="CA145" t="e">
        <f>Nodes!O1178+"'E4!'bZ"</f>
        <v>#VALUE!</v>
      </c>
      <c r="CB145" t="e">
        <f>Nodes!P1178+"'E4!'b["</f>
        <v>#VALUE!</v>
      </c>
      <c r="CC145" t="e">
        <f>Nodes!Q1178+"'E4!'b\"</f>
        <v>#VALUE!</v>
      </c>
      <c r="CD145" t="e">
        <f>Nodes!R1178+"'E4!'b]"</f>
        <v>#VALUE!</v>
      </c>
      <c r="CE145" s="547" t="e">
        <f>Nodes!S1178+"'E4!'b^"</f>
        <v>#VALUE!</v>
      </c>
      <c r="CF145" s="547" t="e">
        <f>Nodes!T1178+"'E4!'b_"</f>
        <v>#VALUE!</v>
      </c>
      <c r="CG145" s="548" t="e">
        <f>Nodes!U1178+"'E4!'b`"</f>
        <v>#VALUE!</v>
      </c>
      <c r="CH145" s="548" t="e">
        <f>Nodes!V1178+"'E4!'ba"</f>
        <v>#VALUE!</v>
      </c>
      <c r="CI145" s="547" t="e">
        <f>Nodes!W1178+"'E4!'bb"</f>
        <v>#VALUE!</v>
      </c>
      <c r="CJ145" t="e">
        <f>Nodes!X1178+"'E4!'bc"</f>
        <v>#VALUE!</v>
      </c>
      <c r="CK145" t="e">
        <f>Nodes!Y1178+"'E4!'bd"</f>
        <v>#VALUE!</v>
      </c>
      <c r="CL145" t="e">
        <f>Nodes!Z1178+"'E4!'be"</f>
        <v>#VALUE!</v>
      </c>
      <c r="CM145" t="e">
        <f>Nodes!AA1178+"'E4!'bf"</f>
        <v>#VALUE!</v>
      </c>
      <c r="CN145" t="e">
        <f>Nodes!AB1178+"'E4!'bg"</f>
        <v>#VALUE!</v>
      </c>
      <c r="CO145" s="547" t="e">
        <f>Nodes!AC1178+"'E4!'bh"</f>
        <v>#VALUE!</v>
      </c>
      <c r="CP145" t="e">
        <f>Nodes!A1179+"'E4!'bi"</f>
        <v>#VALUE!</v>
      </c>
      <c r="CQ145" t="e">
        <f>Nodes!B1179+"'E4!'bj"</f>
        <v>#VALUE!</v>
      </c>
      <c r="CR145" t="e">
        <f>Nodes!C1179+"'E4!'bk"</f>
        <v>#VALUE!</v>
      </c>
      <c r="CS145" t="e">
        <f>Nodes!D1179+"'E4!'bl"</f>
        <v>#VALUE!</v>
      </c>
      <c r="CT145" t="e">
        <f>Nodes!E1179+"'E4!'bm"</f>
        <v>#VALUE!</v>
      </c>
      <c r="CU145" t="e">
        <f>Nodes!F1179+"'E4!'bn"</f>
        <v>#VALUE!</v>
      </c>
      <c r="CV145" t="e">
        <f>Nodes!G1179+"'E4!'bo"</f>
        <v>#VALUE!</v>
      </c>
      <c r="CW145" t="e">
        <f>Nodes!H1179+"'E4!'bp"</f>
        <v>#VALUE!</v>
      </c>
      <c r="CX145" t="e">
        <f>Nodes!I1179+"'E4!'bq"</f>
        <v>#VALUE!</v>
      </c>
      <c r="CY145" t="e">
        <f>Nodes!J1179+"'E4!'br"</f>
        <v>#VALUE!</v>
      </c>
      <c r="CZ145" t="e">
        <f>Nodes!K1179+"'E4!'bs"</f>
        <v>#VALUE!</v>
      </c>
      <c r="DA145" t="e">
        <f>Nodes!L1179+"'E4!'bt"</f>
        <v>#VALUE!</v>
      </c>
      <c r="DB145" t="e">
        <f>Nodes!M1179+"'E4!'bu"</f>
        <v>#VALUE!</v>
      </c>
      <c r="DC145" t="e">
        <f>Nodes!N1179+"'E4!'bv"</f>
        <v>#VALUE!</v>
      </c>
      <c r="DD145" t="e">
        <f>Nodes!O1179+"'E4!'bw"</f>
        <v>#VALUE!</v>
      </c>
      <c r="DE145" t="e">
        <f>Nodes!P1179+"'E4!'bx"</f>
        <v>#VALUE!</v>
      </c>
      <c r="DF145" t="e">
        <f>Nodes!Q1179+"'E4!'by"</f>
        <v>#VALUE!</v>
      </c>
      <c r="DG145" t="e">
        <f>Nodes!R1179+"'E4!'bz"</f>
        <v>#VALUE!</v>
      </c>
      <c r="DH145" s="547" t="e">
        <f>Nodes!S1179+"'E4!'b{"</f>
        <v>#VALUE!</v>
      </c>
      <c r="DI145" s="547" t="e">
        <f>Nodes!T1179+"'E4!'b|"</f>
        <v>#VALUE!</v>
      </c>
      <c r="DJ145" s="548" t="e">
        <f>Nodes!U1179+"'E4!'b}"</f>
        <v>#VALUE!</v>
      </c>
      <c r="DK145" s="548" t="e">
        <f>Nodes!V1179+"'E4!'b~"</f>
        <v>#VALUE!</v>
      </c>
      <c r="DL145" s="547" t="e">
        <f>Nodes!W1179+"'E4!'c#"</f>
        <v>#VALUE!</v>
      </c>
      <c r="DM145" t="e">
        <f>Nodes!X1179+"'E4!'c$"</f>
        <v>#VALUE!</v>
      </c>
      <c r="DN145" t="e">
        <f>Nodes!Y1179+"'E4!'c%"</f>
        <v>#VALUE!</v>
      </c>
      <c r="DO145" t="e">
        <f>Nodes!Z1179+"'E4!'c&amp;"</f>
        <v>#VALUE!</v>
      </c>
      <c r="DP145" t="e">
        <f>Nodes!AA1179+"'E4!'c'"</f>
        <v>#VALUE!</v>
      </c>
      <c r="DQ145" t="e">
        <f>Nodes!AB1179+"'E4!'c("</f>
        <v>#VALUE!</v>
      </c>
      <c r="DR145" s="547" t="e">
        <f>Nodes!AC1179+"'E4!'c)"</f>
        <v>#VALUE!</v>
      </c>
      <c r="DS145" t="e">
        <f>Nodes!A1180+"'E4!'c."</f>
        <v>#VALUE!</v>
      </c>
      <c r="DT145" t="e">
        <f>Nodes!B1180+"'E4!'c/"</f>
        <v>#VALUE!</v>
      </c>
      <c r="DU145" t="e">
        <f>Nodes!C1180+"'E4!'c0"</f>
        <v>#VALUE!</v>
      </c>
      <c r="DV145" t="e">
        <f>Nodes!D1180+"'E4!'c1"</f>
        <v>#VALUE!</v>
      </c>
      <c r="DW145" t="e">
        <f>Nodes!E1180+"'E4!'c2"</f>
        <v>#VALUE!</v>
      </c>
      <c r="DX145" t="e">
        <f>Nodes!F1180+"'E4!'c3"</f>
        <v>#VALUE!</v>
      </c>
      <c r="DY145" t="e">
        <f>Nodes!G1180+"'E4!'c4"</f>
        <v>#VALUE!</v>
      </c>
      <c r="DZ145" t="e">
        <f>Nodes!H1180+"'E4!'c5"</f>
        <v>#VALUE!</v>
      </c>
      <c r="EA145" t="e">
        <f>Nodes!I1180+"'E4!'c6"</f>
        <v>#VALUE!</v>
      </c>
      <c r="EB145" t="e">
        <f>Nodes!J1180+"'E4!'c7"</f>
        <v>#VALUE!</v>
      </c>
      <c r="EC145" t="e">
        <f>Nodes!K1180+"'E4!'c8"</f>
        <v>#VALUE!</v>
      </c>
      <c r="ED145" t="e">
        <f>Nodes!L1180+"'E4!'c9"</f>
        <v>#VALUE!</v>
      </c>
      <c r="EE145" t="e">
        <f>Nodes!M1180+"'E4!'c:"</f>
        <v>#VALUE!</v>
      </c>
      <c r="EF145" t="e">
        <f>Nodes!N1180+"'E4!'c;"</f>
        <v>#VALUE!</v>
      </c>
      <c r="EG145" t="e">
        <f>Nodes!O1180+"'E4!'c&lt;"</f>
        <v>#VALUE!</v>
      </c>
      <c r="EH145" t="e">
        <f>Nodes!P1180+"'E4!'c="</f>
        <v>#VALUE!</v>
      </c>
      <c r="EI145" t="e">
        <f>Nodes!Q1180+"'E4!'c&gt;"</f>
        <v>#VALUE!</v>
      </c>
      <c r="EJ145" t="e">
        <f>Nodes!R1180+"'E4!'c?"</f>
        <v>#VALUE!</v>
      </c>
      <c r="EK145" s="547" t="e">
        <f>Nodes!S1180+"'E4!'c@"</f>
        <v>#VALUE!</v>
      </c>
      <c r="EL145" s="547" t="e">
        <f>Nodes!T1180+"'E4!'cA"</f>
        <v>#VALUE!</v>
      </c>
      <c r="EM145" s="548" t="e">
        <f>Nodes!U1180+"'E4!'cB"</f>
        <v>#VALUE!</v>
      </c>
      <c r="EN145" s="548" t="e">
        <f>Nodes!V1180+"'E4!'cC"</f>
        <v>#VALUE!</v>
      </c>
      <c r="EO145" s="547" t="e">
        <f>Nodes!W1180+"'E4!'cD"</f>
        <v>#VALUE!</v>
      </c>
      <c r="EP145" t="e">
        <f>Nodes!X1180+"'E4!'cE"</f>
        <v>#VALUE!</v>
      </c>
      <c r="EQ145" t="e">
        <f>Nodes!Y1180+"'E4!'cF"</f>
        <v>#VALUE!</v>
      </c>
      <c r="ER145" t="e">
        <f>Nodes!Z1180+"'E4!'cG"</f>
        <v>#VALUE!</v>
      </c>
      <c r="ES145" t="e">
        <f>Nodes!AA1180+"'E4!'cH"</f>
        <v>#VALUE!</v>
      </c>
      <c r="ET145" t="e">
        <f>Nodes!AB1180+"'E4!'cI"</f>
        <v>#VALUE!</v>
      </c>
      <c r="EU145" s="547" t="e">
        <f>Nodes!AC1180+"'E4!'cJ"</f>
        <v>#VALUE!</v>
      </c>
      <c r="EV145" t="e">
        <f>Nodes!A1181+"'E4!'cK"</f>
        <v>#VALUE!</v>
      </c>
      <c r="EW145" t="e">
        <f>Nodes!B1181+"'E4!'cL"</f>
        <v>#VALUE!</v>
      </c>
      <c r="EX145" t="e">
        <f>Nodes!C1181+"'E4!'cM"</f>
        <v>#VALUE!</v>
      </c>
      <c r="EY145" t="e">
        <f>Nodes!D1181+"'E4!'cN"</f>
        <v>#VALUE!</v>
      </c>
      <c r="EZ145" t="e">
        <f>Nodes!E1181+"'E4!'cO"</f>
        <v>#VALUE!</v>
      </c>
      <c r="FA145" t="e">
        <f>Nodes!F1181+"'E4!'cP"</f>
        <v>#VALUE!</v>
      </c>
      <c r="FB145" t="e">
        <f>Nodes!G1181+"'E4!'cQ"</f>
        <v>#VALUE!</v>
      </c>
      <c r="FC145" t="e">
        <f>Nodes!H1181+"'E4!'cR"</f>
        <v>#VALUE!</v>
      </c>
      <c r="FD145" t="e">
        <f>Nodes!I1181+"'E4!'cS"</f>
        <v>#VALUE!</v>
      </c>
      <c r="FE145" t="e">
        <f>Nodes!J1181+"'E4!'cT"</f>
        <v>#VALUE!</v>
      </c>
      <c r="FF145" t="e">
        <f>Nodes!K1181+"'E4!'cU"</f>
        <v>#VALUE!</v>
      </c>
      <c r="FG145" t="e">
        <f>Nodes!L1181+"'E4!'cV"</f>
        <v>#VALUE!</v>
      </c>
      <c r="FH145" t="e">
        <f>Nodes!M1181+"'E4!'cW"</f>
        <v>#VALUE!</v>
      </c>
      <c r="FI145" t="e">
        <f>Nodes!N1181+"'E4!'cX"</f>
        <v>#VALUE!</v>
      </c>
      <c r="FJ145" t="e">
        <f>Nodes!O1181+"'E4!'cY"</f>
        <v>#VALUE!</v>
      </c>
      <c r="FK145" t="e">
        <f>Nodes!P1181+"'E4!'cZ"</f>
        <v>#VALUE!</v>
      </c>
      <c r="FL145" t="e">
        <f>Nodes!Q1181+"'E4!'c["</f>
        <v>#VALUE!</v>
      </c>
      <c r="FM145" t="e">
        <f>Nodes!R1181+"'E4!'c\"</f>
        <v>#VALUE!</v>
      </c>
      <c r="FN145" s="547" t="e">
        <f>Nodes!S1181+"'E4!'c]"</f>
        <v>#VALUE!</v>
      </c>
      <c r="FO145" s="547" t="e">
        <f>Nodes!T1181+"'E4!'c^"</f>
        <v>#VALUE!</v>
      </c>
      <c r="FP145" s="548" t="e">
        <f>Nodes!U1181+"'E4!'c_"</f>
        <v>#VALUE!</v>
      </c>
      <c r="FQ145" s="548" t="e">
        <f>Nodes!V1181+"'E4!'c`"</f>
        <v>#VALUE!</v>
      </c>
      <c r="FR145" s="547" t="e">
        <f>Nodes!W1181+"'E4!'ca"</f>
        <v>#VALUE!</v>
      </c>
      <c r="FS145" t="e">
        <f>Nodes!X1181+"'E4!'cb"</f>
        <v>#VALUE!</v>
      </c>
      <c r="FT145" t="e">
        <f>Nodes!Y1181+"'E4!'cc"</f>
        <v>#VALUE!</v>
      </c>
      <c r="FU145" t="e">
        <f>Nodes!Z1181+"'E4!'cd"</f>
        <v>#VALUE!</v>
      </c>
      <c r="FV145" t="e">
        <f>Nodes!AA1181+"'E4!'ce"</f>
        <v>#VALUE!</v>
      </c>
      <c r="FW145" t="e">
        <f>Nodes!AB1181+"'E4!'cf"</f>
        <v>#VALUE!</v>
      </c>
      <c r="FX145" s="547" t="e">
        <f>Nodes!AC1181+"'E4!'cg"</f>
        <v>#VALUE!</v>
      </c>
      <c r="FY145" t="e">
        <f>Nodes!A1182+"'E4!'ch"</f>
        <v>#VALUE!</v>
      </c>
      <c r="FZ145" t="e">
        <f>Nodes!B1182+"'E4!'ci"</f>
        <v>#VALUE!</v>
      </c>
      <c r="GA145" t="e">
        <f>Nodes!C1182+"'E4!'cj"</f>
        <v>#VALUE!</v>
      </c>
      <c r="GB145" t="e">
        <f>Nodes!D1182+"'E4!'ck"</f>
        <v>#VALUE!</v>
      </c>
      <c r="GC145" t="e">
        <f>Nodes!E1182+"'E4!'cl"</f>
        <v>#VALUE!</v>
      </c>
      <c r="GD145" t="e">
        <f>Nodes!F1182+"'E4!'cm"</f>
        <v>#VALUE!</v>
      </c>
      <c r="GE145" t="e">
        <f>Nodes!G1182+"'E4!'cn"</f>
        <v>#VALUE!</v>
      </c>
      <c r="GF145" t="e">
        <f>Nodes!H1182+"'E4!'co"</f>
        <v>#VALUE!</v>
      </c>
      <c r="GG145" t="e">
        <f>Nodes!I1182+"'E4!'cp"</f>
        <v>#VALUE!</v>
      </c>
      <c r="GH145" t="e">
        <f>Nodes!J1182+"'E4!'cq"</f>
        <v>#VALUE!</v>
      </c>
      <c r="GI145" t="e">
        <f>Nodes!K1182+"'E4!'cr"</f>
        <v>#VALUE!</v>
      </c>
      <c r="GJ145" t="e">
        <f>Nodes!L1182+"'E4!'cs"</f>
        <v>#VALUE!</v>
      </c>
      <c r="GK145" t="e">
        <f>Nodes!M1182+"'E4!'ct"</f>
        <v>#VALUE!</v>
      </c>
      <c r="GL145" t="e">
        <f>Nodes!N1182+"'E4!'cu"</f>
        <v>#VALUE!</v>
      </c>
      <c r="GM145" t="e">
        <f>Nodes!O1182+"'E4!'cv"</f>
        <v>#VALUE!</v>
      </c>
      <c r="GN145" t="e">
        <f>Nodes!P1182+"'E4!'cw"</f>
        <v>#VALUE!</v>
      </c>
      <c r="GO145" t="e">
        <f>Nodes!Q1182+"'E4!'cx"</f>
        <v>#VALUE!</v>
      </c>
      <c r="GP145" t="e">
        <f>Nodes!R1182+"'E4!'cy"</f>
        <v>#VALUE!</v>
      </c>
      <c r="GQ145" s="547" t="e">
        <f>Nodes!S1182+"'E4!'cz"</f>
        <v>#VALUE!</v>
      </c>
      <c r="GR145" s="547" t="e">
        <f>Nodes!T1182+"'E4!'c{"</f>
        <v>#VALUE!</v>
      </c>
      <c r="GS145" s="548" t="e">
        <f>Nodes!U1182+"'E4!'c|"</f>
        <v>#VALUE!</v>
      </c>
      <c r="GT145" s="548" t="e">
        <f>Nodes!V1182+"'E4!'c}"</f>
        <v>#VALUE!</v>
      </c>
      <c r="GU145" s="547" t="e">
        <f>Nodes!W1182+"'E4!'c~"</f>
        <v>#VALUE!</v>
      </c>
      <c r="GV145" t="e">
        <f>Nodes!X1182+"'E4!'d#"</f>
        <v>#VALUE!</v>
      </c>
      <c r="GW145" t="e">
        <f>Nodes!Y1182+"'E4!'d$"</f>
        <v>#VALUE!</v>
      </c>
      <c r="GX145" t="e">
        <f>Nodes!Z1182+"'E4!'d%"</f>
        <v>#VALUE!</v>
      </c>
      <c r="GY145" t="e">
        <f>Nodes!AA1182+"'E4!'d&amp;"</f>
        <v>#VALUE!</v>
      </c>
      <c r="GZ145" t="e">
        <f>Nodes!AB1182+"'E4!'d'"</f>
        <v>#VALUE!</v>
      </c>
      <c r="HA145" s="547" t="e">
        <f>Nodes!AC1182+"'E4!'d("</f>
        <v>#VALUE!</v>
      </c>
      <c r="HB145" t="e">
        <f>Nodes!A1183+"'E4!'d)"</f>
        <v>#VALUE!</v>
      </c>
      <c r="HC145" t="e">
        <f>Nodes!B1183+"'E4!'d."</f>
        <v>#VALUE!</v>
      </c>
      <c r="HD145" t="e">
        <f>Nodes!C1183+"'E4!'d/"</f>
        <v>#VALUE!</v>
      </c>
      <c r="HE145" t="e">
        <f>Nodes!D1183+"'E4!'d0"</f>
        <v>#VALUE!</v>
      </c>
      <c r="HF145" t="e">
        <f>Nodes!E1183+"'E4!'d1"</f>
        <v>#VALUE!</v>
      </c>
      <c r="HG145" t="e">
        <f>Nodes!F1183+"'E4!'d2"</f>
        <v>#VALUE!</v>
      </c>
      <c r="HH145" t="e">
        <f>Nodes!G1183+"'E4!'d3"</f>
        <v>#VALUE!</v>
      </c>
      <c r="HI145" t="e">
        <f>Nodes!H1183+"'E4!'d4"</f>
        <v>#VALUE!</v>
      </c>
      <c r="HJ145" t="e">
        <f>Nodes!I1183+"'E4!'d5"</f>
        <v>#VALUE!</v>
      </c>
      <c r="HK145" t="e">
        <f>Nodes!J1183+"'E4!'d6"</f>
        <v>#VALUE!</v>
      </c>
      <c r="HL145" t="e">
        <f>Nodes!K1183+"'E4!'d7"</f>
        <v>#VALUE!</v>
      </c>
      <c r="HM145" t="e">
        <f>Nodes!L1183+"'E4!'d8"</f>
        <v>#VALUE!</v>
      </c>
      <c r="HN145" t="e">
        <f>Nodes!M1183+"'E4!'d9"</f>
        <v>#VALUE!</v>
      </c>
      <c r="HO145" t="e">
        <f>Nodes!N1183+"'E4!'d:"</f>
        <v>#VALUE!</v>
      </c>
      <c r="HP145" t="e">
        <f>Nodes!O1183+"'E4!'d;"</f>
        <v>#VALUE!</v>
      </c>
      <c r="HQ145" t="e">
        <f>Nodes!P1183+"'E4!'d&lt;"</f>
        <v>#VALUE!</v>
      </c>
      <c r="HR145" t="e">
        <f>Nodes!Q1183+"'E4!'d="</f>
        <v>#VALUE!</v>
      </c>
      <c r="HS145" t="e">
        <f>Nodes!R1183+"'E4!'d&gt;"</f>
        <v>#VALUE!</v>
      </c>
      <c r="HT145" s="547" t="e">
        <f>Nodes!S1183+"'E4!'d?"</f>
        <v>#VALUE!</v>
      </c>
      <c r="HU145" s="547" t="e">
        <f>Nodes!T1183+"'E4!'d@"</f>
        <v>#VALUE!</v>
      </c>
      <c r="HV145" s="548" t="e">
        <f>Nodes!U1183+"'E4!'dA"</f>
        <v>#VALUE!</v>
      </c>
      <c r="HW145" s="548" t="e">
        <f>Nodes!V1183+"'E4!'dB"</f>
        <v>#VALUE!</v>
      </c>
      <c r="HX145" s="547" t="e">
        <f>Nodes!W1183+"'E4!'dC"</f>
        <v>#VALUE!</v>
      </c>
      <c r="HY145" t="e">
        <f>Nodes!X1183+"'E4!'dD"</f>
        <v>#VALUE!</v>
      </c>
      <c r="HZ145" t="e">
        <f>Nodes!Y1183+"'E4!'dE"</f>
        <v>#VALUE!</v>
      </c>
      <c r="IA145" t="e">
        <f>Nodes!Z1183+"'E4!'dF"</f>
        <v>#VALUE!</v>
      </c>
      <c r="IB145" t="e">
        <f>Nodes!AA1183+"'E4!'dG"</f>
        <v>#VALUE!</v>
      </c>
      <c r="IC145" s="547" t="e">
        <f>Nodes!AB1183+"'E4!'dH"</f>
        <v>#VALUE!</v>
      </c>
      <c r="ID145" s="547" t="e">
        <f>Nodes!AC1183+"'E4!'dI"</f>
        <v>#VALUE!</v>
      </c>
      <c r="IE145" t="e">
        <f>Nodes!A1184+"'E4!'dJ"</f>
        <v>#VALUE!</v>
      </c>
      <c r="IF145" t="e">
        <f>Nodes!B1184+"'E4!'dK"</f>
        <v>#VALUE!</v>
      </c>
      <c r="IG145" t="e">
        <f>Nodes!C1184+"'E4!'dL"</f>
        <v>#VALUE!</v>
      </c>
      <c r="IH145" t="e">
        <f>Nodes!D1184+"'E4!'dM"</f>
        <v>#VALUE!</v>
      </c>
      <c r="II145" t="e">
        <f>Nodes!E1184+"'E4!'dN"</f>
        <v>#VALUE!</v>
      </c>
      <c r="IJ145" t="e">
        <f>Nodes!F1184+"'E4!'dO"</f>
        <v>#VALUE!</v>
      </c>
      <c r="IK145" t="e">
        <f>Nodes!G1184+"'E4!'dP"</f>
        <v>#VALUE!</v>
      </c>
      <c r="IL145" t="e">
        <f>Nodes!H1184+"'E4!'dQ"</f>
        <v>#VALUE!</v>
      </c>
      <c r="IM145" t="e">
        <f>Nodes!I1184+"'E4!'dR"</f>
        <v>#VALUE!</v>
      </c>
      <c r="IN145" t="e">
        <f>Nodes!J1184+"'E4!'dS"</f>
        <v>#VALUE!</v>
      </c>
      <c r="IO145" t="e">
        <f>Nodes!K1184+"'E4!'dT"</f>
        <v>#VALUE!</v>
      </c>
      <c r="IP145" t="e">
        <f>Nodes!L1184+"'E4!'dU"</f>
        <v>#VALUE!</v>
      </c>
      <c r="IQ145" t="e">
        <f>Nodes!M1184+"'E4!'dV"</f>
        <v>#VALUE!</v>
      </c>
      <c r="IR145" t="e">
        <f>Nodes!N1184+"'E4!'dW"</f>
        <v>#VALUE!</v>
      </c>
      <c r="IS145" t="e">
        <f>Nodes!O1184+"'E4!'dX"</f>
        <v>#VALUE!</v>
      </c>
      <c r="IT145" t="e">
        <f>Nodes!P1184+"'E4!'dY"</f>
        <v>#VALUE!</v>
      </c>
      <c r="IU145" t="e">
        <f>Nodes!Q1184+"'E4!'dZ"</f>
        <v>#VALUE!</v>
      </c>
      <c r="IV145" t="e">
        <f>Nodes!R1184+"'E4!'d["</f>
        <v>#VALUE!</v>
      </c>
    </row>
    <row r="146" spans="6:256">
      <c r="F146" s="547" t="e">
        <f>Nodes!S1184+"'E4!'d\"</f>
        <v>#VALUE!</v>
      </c>
      <c r="G146" s="547" t="e">
        <f>Nodes!T1184+"'E4!'d]"</f>
        <v>#VALUE!</v>
      </c>
      <c r="H146" s="548" t="e">
        <f>Nodes!U1184+"'E4!'d^"</f>
        <v>#VALUE!</v>
      </c>
      <c r="I146" s="548" t="e">
        <f>Nodes!V1184+"'E4!'d_"</f>
        <v>#VALUE!</v>
      </c>
      <c r="J146" s="547" t="e">
        <f>Nodes!W1184+"'E4!'d`"</f>
        <v>#VALUE!</v>
      </c>
      <c r="K146" t="e">
        <f>Nodes!X1184+"'E4!'da"</f>
        <v>#VALUE!</v>
      </c>
      <c r="L146" t="e">
        <f>Nodes!Y1184+"'E4!'db"</f>
        <v>#VALUE!</v>
      </c>
      <c r="M146" t="e">
        <f>Nodes!Z1184+"'E4!'dc"</f>
        <v>#VALUE!</v>
      </c>
      <c r="N146" t="e">
        <f>Nodes!AA1184+"'E4!'dd"</f>
        <v>#VALUE!</v>
      </c>
      <c r="O146" s="547" t="e">
        <f>Nodes!AB1184+"'E4!'de"</f>
        <v>#VALUE!</v>
      </c>
      <c r="P146" s="547" t="e">
        <f>Nodes!AC1184+"'E4!'df"</f>
        <v>#VALUE!</v>
      </c>
      <c r="Q146" t="e">
        <f>Nodes!A1185+"'E4!'dg"</f>
        <v>#VALUE!</v>
      </c>
      <c r="R146" t="e">
        <f>Nodes!B1185+"'E4!'dh"</f>
        <v>#VALUE!</v>
      </c>
      <c r="S146" t="e">
        <f>Nodes!C1185+"'E4!'di"</f>
        <v>#VALUE!</v>
      </c>
      <c r="T146" t="e">
        <f>Nodes!D1185+"'E4!'dj"</f>
        <v>#VALUE!</v>
      </c>
      <c r="U146" t="e">
        <f>Nodes!E1185+"'E4!'dk"</f>
        <v>#VALUE!</v>
      </c>
      <c r="V146" t="e">
        <f>Nodes!F1185+"'E4!'dl"</f>
        <v>#VALUE!</v>
      </c>
      <c r="W146" t="e">
        <f>Nodes!G1185+"'E4!'dm"</f>
        <v>#VALUE!</v>
      </c>
      <c r="X146" t="e">
        <f>Nodes!H1185+"'E4!'dn"</f>
        <v>#VALUE!</v>
      </c>
      <c r="Y146" t="e">
        <f>Nodes!I1185+"'E4!'do"</f>
        <v>#VALUE!</v>
      </c>
      <c r="Z146" t="e">
        <f>Nodes!J1185+"'E4!'dp"</f>
        <v>#VALUE!</v>
      </c>
      <c r="AA146" t="e">
        <f>Nodes!K1185+"'E4!'dq"</f>
        <v>#VALUE!</v>
      </c>
      <c r="AB146" t="e">
        <f>Nodes!L1185+"'E4!'dr"</f>
        <v>#VALUE!</v>
      </c>
      <c r="AC146" t="e">
        <f>Nodes!M1185+"'E4!'ds"</f>
        <v>#VALUE!</v>
      </c>
      <c r="AD146" t="e">
        <f>Nodes!N1185+"'E4!'dt"</f>
        <v>#VALUE!</v>
      </c>
      <c r="AE146" t="e">
        <f>Nodes!O1185+"'E4!'du"</f>
        <v>#VALUE!</v>
      </c>
      <c r="AF146" t="e">
        <f>Nodes!P1185+"'E4!'dv"</f>
        <v>#VALUE!</v>
      </c>
      <c r="AG146" t="e">
        <f>Nodes!Q1185+"'E4!'dw"</f>
        <v>#VALUE!</v>
      </c>
      <c r="AH146" t="e">
        <f>Nodes!R1185+"'E4!'dx"</f>
        <v>#VALUE!</v>
      </c>
      <c r="AI146" s="547" t="e">
        <f>Nodes!S1185+"'E4!'dy"</f>
        <v>#VALUE!</v>
      </c>
      <c r="AJ146" s="547" t="e">
        <f>Nodes!T1185+"'E4!'dz"</f>
        <v>#VALUE!</v>
      </c>
      <c r="AK146" s="548" t="e">
        <f>Nodes!U1185+"'E4!'d{"</f>
        <v>#VALUE!</v>
      </c>
      <c r="AL146" s="548" t="e">
        <f>Nodes!V1185+"'E4!'d|"</f>
        <v>#VALUE!</v>
      </c>
      <c r="AM146" s="547" t="e">
        <f>Nodes!W1185+"'E4!'d}"</f>
        <v>#VALUE!</v>
      </c>
      <c r="AN146" t="e">
        <f>Nodes!X1185+"'E4!'d~"</f>
        <v>#VALUE!</v>
      </c>
      <c r="AO146" t="e">
        <f>Nodes!Y1185+"'E4!'e#"</f>
        <v>#VALUE!</v>
      </c>
      <c r="AP146" t="e">
        <f>Nodes!Z1185+"'E4!'e$"</f>
        <v>#VALUE!</v>
      </c>
      <c r="AQ146" t="e">
        <f>Nodes!AA1185+"'E4!'e%"</f>
        <v>#VALUE!</v>
      </c>
      <c r="AR146" s="547" t="e">
        <f>Nodes!AB1185+"'E4!'e&amp;"</f>
        <v>#VALUE!</v>
      </c>
      <c r="AS146" s="547" t="e">
        <f>Nodes!AC1185+"'E4!'e'"</f>
        <v>#VALUE!</v>
      </c>
      <c r="AT146" t="e">
        <f>Nodes!A1186+"'E4!'e("</f>
        <v>#VALUE!</v>
      </c>
      <c r="AU146" t="e">
        <f>Nodes!B1186+"'E4!'e)"</f>
        <v>#VALUE!</v>
      </c>
      <c r="AV146" t="e">
        <f>Nodes!C1186+"'E4!'e."</f>
        <v>#VALUE!</v>
      </c>
      <c r="AW146" t="e">
        <f>Nodes!D1186+"'E4!'e/"</f>
        <v>#VALUE!</v>
      </c>
      <c r="AX146" t="e">
        <f>Nodes!E1186+"'E4!'e0"</f>
        <v>#VALUE!</v>
      </c>
      <c r="AY146" t="e">
        <f>Nodes!F1186+"'E4!'e1"</f>
        <v>#VALUE!</v>
      </c>
      <c r="AZ146" t="e">
        <f>Nodes!G1186+"'E4!'e2"</f>
        <v>#VALUE!</v>
      </c>
      <c r="BA146" t="e">
        <f>Nodes!H1186+"'E4!'e3"</f>
        <v>#VALUE!</v>
      </c>
      <c r="BB146" t="e">
        <f>Nodes!I1186+"'E4!'e4"</f>
        <v>#VALUE!</v>
      </c>
      <c r="BC146" t="e">
        <f>Nodes!J1186+"'E4!'e5"</f>
        <v>#VALUE!</v>
      </c>
      <c r="BD146" t="e">
        <f>Nodes!K1186+"'E4!'e6"</f>
        <v>#VALUE!</v>
      </c>
      <c r="BE146" t="e">
        <f>Nodes!L1186+"'E4!'e7"</f>
        <v>#VALUE!</v>
      </c>
      <c r="BF146" t="e">
        <f>Nodes!M1186+"'E4!'e8"</f>
        <v>#VALUE!</v>
      </c>
      <c r="BG146" t="e">
        <f>Nodes!N1186+"'E4!'e9"</f>
        <v>#VALUE!</v>
      </c>
      <c r="BH146" t="e">
        <f>Nodes!O1186+"'E4!'e:"</f>
        <v>#VALUE!</v>
      </c>
      <c r="BI146" t="e">
        <f>Nodes!P1186+"'E4!'e;"</f>
        <v>#VALUE!</v>
      </c>
      <c r="BJ146" t="e">
        <f>Nodes!Q1186+"'E4!'e&lt;"</f>
        <v>#VALUE!</v>
      </c>
      <c r="BK146" t="e">
        <f>Nodes!R1186+"'E4!'e="</f>
        <v>#N/A</v>
      </c>
      <c r="BL146" s="547" t="e">
        <f>Nodes!S1186+"'E4!'e&gt;"</f>
        <v>#N/A</v>
      </c>
      <c r="BM146" s="547" t="e">
        <f>Nodes!T1186+"'E4!'e?"</f>
        <v>#VALUE!</v>
      </c>
      <c r="BN146" s="548" t="e">
        <f>Nodes!U1186+"'E4!'e@"</f>
        <v>#N/A</v>
      </c>
      <c r="BO146" s="548" t="e">
        <f>Nodes!V1186+"'E4!'eA"</f>
        <v>#N/A</v>
      </c>
      <c r="BP146" s="547" t="e">
        <f>Nodes!W1186+"'E4!'eB"</f>
        <v>#VALUE!</v>
      </c>
      <c r="BQ146" t="e">
        <f>Nodes!X1186+"'E4!'eC"</f>
        <v>#VALUE!</v>
      </c>
      <c r="BR146" t="e">
        <f>Nodes!Y1186+"'E4!'eD"</f>
        <v>#VALUE!</v>
      </c>
      <c r="BS146" t="e">
        <f>Nodes!Z1186+"'E4!'eE"</f>
        <v>#VALUE!</v>
      </c>
      <c r="BT146" t="e">
        <f>Nodes!AA1186+"'E4!'eF"</f>
        <v>#VALUE!</v>
      </c>
      <c r="BU146" s="547" t="e">
        <f>Nodes!AB1186+"'E4!'eG"</f>
        <v>#VALUE!</v>
      </c>
      <c r="BV146" s="547" t="e">
        <f>Nodes!AC1186+"'E4!'eH"</f>
        <v>#VALUE!</v>
      </c>
      <c r="BW146" t="e">
        <f>Nodes!A1187+"'E4!'eI"</f>
        <v>#VALUE!</v>
      </c>
      <c r="BX146" t="e">
        <f>Nodes!B1187+"'E4!'eJ"</f>
        <v>#VALUE!</v>
      </c>
      <c r="BY146" t="e">
        <f>Nodes!C1187+"'E4!'eK"</f>
        <v>#VALUE!</v>
      </c>
      <c r="BZ146" t="e">
        <f>Nodes!D1187+"'E4!'eL"</f>
        <v>#VALUE!</v>
      </c>
      <c r="CA146" t="e">
        <f>Nodes!E1187+"'E4!'eM"</f>
        <v>#VALUE!</v>
      </c>
      <c r="CB146" t="e">
        <f>Nodes!F1187+"'E4!'eN"</f>
        <v>#VALUE!</v>
      </c>
      <c r="CC146" t="e">
        <f>Nodes!G1187+"'E4!'eO"</f>
        <v>#VALUE!</v>
      </c>
      <c r="CD146" t="e">
        <f>Nodes!H1187+"'E4!'eP"</f>
        <v>#VALUE!</v>
      </c>
      <c r="CE146" t="e">
        <f>Nodes!I1187+"'E4!'eQ"</f>
        <v>#VALUE!</v>
      </c>
      <c r="CF146" t="e">
        <f>Nodes!J1187+"'E4!'eR"</f>
        <v>#VALUE!</v>
      </c>
      <c r="CG146" t="e">
        <f>Nodes!K1187+"'E4!'eS"</f>
        <v>#VALUE!</v>
      </c>
      <c r="CH146" t="e">
        <f>Nodes!L1187+"'E4!'eT"</f>
        <v>#VALUE!</v>
      </c>
      <c r="CI146" t="e">
        <f>Nodes!M1187+"'E4!'eU"</f>
        <v>#VALUE!</v>
      </c>
      <c r="CJ146" t="e">
        <f>Nodes!N1187+"'E4!'eV"</f>
        <v>#VALUE!</v>
      </c>
      <c r="CK146" t="e">
        <f>Nodes!O1187+"'E4!'eW"</f>
        <v>#VALUE!</v>
      </c>
      <c r="CL146" t="e">
        <f>Nodes!P1187+"'E4!'eX"</f>
        <v>#VALUE!</v>
      </c>
      <c r="CM146" t="e">
        <f>Nodes!Q1187+"'E4!'eY"</f>
        <v>#VALUE!</v>
      </c>
      <c r="CN146" t="e">
        <f>Nodes!R1187+"'E4!'eZ"</f>
        <v>#VALUE!</v>
      </c>
      <c r="CO146" s="547" t="e">
        <f>Nodes!S1187+"'E4!'e["</f>
        <v>#VALUE!</v>
      </c>
      <c r="CP146" s="547" t="e">
        <f>Nodes!T1187+"'E4!'e\"</f>
        <v>#VALUE!</v>
      </c>
      <c r="CQ146" s="548" t="e">
        <f>Nodes!U1187+"'E4!'e]"</f>
        <v>#VALUE!</v>
      </c>
      <c r="CR146" s="548" t="e">
        <f>Nodes!V1187+"'E4!'e^"</f>
        <v>#VALUE!</v>
      </c>
      <c r="CS146" s="547" t="e">
        <f>Nodes!W1187+"'E4!'e_"</f>
        <v>#VALUE!</v>
      </c>
      <c r="CT146" t="e">
        <f>Nodes!X1187+"'E4!'e`"</f>
        <v>#VALUE!</v>
      </c>
      <c r="CU146" t="e">
        <f>Nodes!Y1187+"'E4!'ea"</f>
        <v>#VALUE!</v>
      </c>
      <c r="CV146" t="e">
        <f>Nodes!Z1187+"'E4!'eb"</f>
        <v>#VALUE!</v>
      </c>
      <c r="CW146" t="e">
        <f>Nodes!AA1187+"'E4!'ec"</f>
        <v>#VALUE!</v>
      </c>
      <c r="CX146" s="547" t="e">
        <f>Nodes!AB1187+"'E4!'ed"</f>
        <v>#VALUE!</v>
      </c>
      <c r="CY146" s="547" t="e">
        <f>Nodes!AC1187+"'E4!'ee"</f>
        <v>#VALUE!</v>
      </c>
      <c r="CZ146" t="e">
        <f>Nodes!A1188+"'E4!'ef"</f>
        <v>#VALUE!</v>
      </c>
      <c r="DA146" t="e">
        <f>Nodes!B1188+"'E4!'eg"</f>
        <v>#VALUE!</v>
      </c>
      <c r="DB146" t="e">
        <f>Nodes!C1188+"'E4!'eh"</f>
        <v>#VALUE!</v>
      </c>
      <c r="DC146" t="e">
        <f>Nodes!D1188+"'E4!'ei"</f>
        <v>#VALUE!</v>
      </c>
      <c r="DD146" t="e">
        <f>Nodes!E1188+"'E4!'ej"</f>
        <v>#VALUE!</v>
      </c>
      <c r="DE146" t="e">
        <f>Nodes!F1188+"'E4!'ek"</f>
        <v>#VALUE!</v>
      </c>
      <c r="DF146" t="e">
        <f>Nodes!G1188+"'E4!'el"</f>
        <v>#VALUE!</v>
      </c>
      <c r="DG146" t="e">
        <f>Nodes!H1188+"'E4!'em"</f>
        <v>#VALUE!</v>
      </c>
      <c r="DH146" t="e">
        <f>Nodes!I1188+"'E4!'en"</f>
        <v>#VALUE!</v>
      </c>
      <c r="DI146" t="e">
        <f>Nodes!J1188+"'E4!'eo"</f>
        <v>#VALUE!</v>
      </c>
      <c r="DJ146" t="e">
        <f>Nodes!K1188+"'E4!'ep"</f>
        <v>#VALUE!</v>
      </c>
      <c r="DK146" t="e">
        <f>Nodes!L1188+"'E4!'eq"</f>
        <v>#VALUE!</v>
      </c>
      <c r="DL146" t="e">
        <f>Nodes!M1188+"'E4!'er"</f>
        <v>#VALUE!</v>
      </c>
      <c r="DM146" t="e">
        <f>Nodes!N1188+"'E4!'es"</f>
        <v>#VALUE!</v>
      </c>
      <c r="DN146" t="e">
        <f>Nodes!O1188+"'E4!'et"</f>
        <v>#VALUE!</v>
      </c>
      <c r="DO146" t="e">
        <f>Nodes!P1188+"'E4!'eu"</f>
        <v>#VALUE!</v>
      </c>
      <c r="DP146" t="e">
        <f>Nodes!Q1188+"'E4!'ev"</f>
        <v>#VALUE!</v>
      </c>
      <c r="DQ146" t="e">
        <f>Nodes!R1188+"'E4!'ew"</f>
        <v>#VALUE!</v>
      </c>
      <c r="DR146" s="547" t="e">
        <f>Nodes!S1188+"'E4!'ex"</f>
        <v>#VALUE!</v>
      </c>
      <c r="DS146" s="547" t="e">
        <f>Nodes!T1188+"'E4!'ey"</f>
        <v>#VALUE!</v>
      </c>
      <c r="DT146" s="548" t="e">
        <f>Nodes!U1188+"'E4!'ez"</f>
        <v>#VALUE!</v>
      </c>
      <c r="DU146" s="548" t="e">
        <f>Nodes!V1188+"'E4!'e{"</f>
        <v>#VALUE!</v>
      </c>
      <c r="DV146" s="547" t="e">
        <f>Nodes!W1188+"'E4!'e|"</f>
        <v>#VALUE!</v>
      </c>
      <c r="DW146" t="e">
        <f>Nodes!X1188+"'E4!'e}"</f>
        <v>#VALUE!</v>
      </c>
      <c r="DX146" t="e">
        <f>Nodes!Y1188+"'E4!'e~"</f>
        <v>#VALUE!</v>
      </c>
      <c r="DY146" t="e">
        <f>Nodes!Z1188+"'E4!'f#"</f>
        <v>#VALUE!</v>
      </c>
      <c r="DZ146" t="e">
        <f>Nodes!AA1188+"'E4!'f$"</f>
        <v>#VALUE!</v>
      </c>
      <c r="EA146" s="547" t="e">
        <f>Nodes!AB1188+"'E4!'f%"</f>
        <v>#VALUE!</v>
      </c>
      <c r="EB146" s="547" t="e">
        <f>Nodes!AC1188+"'E4!'f&amp;"</f>
        <v>#VALUE!</v>
      </c>
      <c r="EC146" t="e">
        <f>Nodes!A1189+"'E4!'f'"</f>
        <v>#VALUE!</v>
      </c>
      <c r="ED146" t="e">
        <f>Nodes!B1189+"'E4!'f("</f>
        <v>#VALUE!</v>
      </c>
      <c r="EE146" t="e">
        <f>Nodes!C1189+"'E4!'f)"</f>
        <v>#VALUE!</v>
      </c>
      <c r="EF146" t="e">
        <f>Nodes!D1189+"'E4!'f."</f>
        <v>#VALUE!</v>
      </c>
      <c r="EG146" t="e">
        <f>Nodes!E1189+"'E4!'f/"</f>
        <v>#VALUE!</v>
      </c>
      <c r="EH146" t="e">
        <f>Nodes!F1189+"'E4!'f0"</f>
        <v>#VALUE!</v>
      </c>
      <c r="EI146" t="e">
        <f>Nodes!G1189+"'E4!'f1"</f>
        <v>#VALUE!</v>
      </c>
      <c r="EJ146" t="e">
        <f>Nodes!H1189+"'E4!'f2"</f>
        <v>#VALUE!</v>
      </c>
      <c r="EK146" t="e">
        <f>Nodes!I1189+"'E4!'f3"</f>
        <v>#VALUE!</v>
      </c>
      <c r="EL146" t="e">
        <f>Nodes!J1189+"'E4!'f4"</f>
        <v>#VALUE!</v>
      </c>
      <c r="EM146" t="e">
        <f>Nodes!K1189+"'E4!'f5"</f>
        <v>#VALUE!</v>
      </c>
      <c r="EN146" t="e">
        <f>Nodes!L1189+"'E4!'f6"</f>
        <v>#VALUE!</v>
      </c>
      <c r="EO146" t="e">
        <f>Nodes!M1189+"'E4!'f7"</f>
        <v>#VALUE!</v>
      </c>
      <c r="EP146" t="e">
        <f>Nodes!N1189+"'E4!'f8"</f>
        <v>#VALUE!</v>
      </c>
      <c r="EQ146" t="e">
        <f>Nodes!O1189+"'E4!'f9"</f>
        <v>#VALUE!</v>
      </c>
      <c r="ER146" t="e">
        <f>Nodes!P1189+"'E4!'f:"</f>
        <v>#VALUE!</v>
      </c>
      <c r="ES146" t="e">
        <f>Nodes!Q1189+"'E4!'f;"</f>
        <v>#VALUE!</v>
      </c>
      <c r="ET146" t="e">
        <f>Nodes!R1189+"'E4!'f&lt;"</f>
        <v>#VALUE!</v>
      </c>
      <c r="EU146" s="547" t="e">
        <f>Nodes!S1189+"'E4!'f="</f>
        <v>#VALUE!</v>
      </c>
      <c r="EV146" s="547" t="e">
        <f>Nodes!T1189+"'E4!'f&gt;"</f>
        <v>#VALUE!</v>
      </c>
      <c r="EW146" s="548" t="e">
        <f>Nodes!U1189+"'E4!'f?"</f>
        <v>#VALUE!</v>
      </c>
      <c r="EX146" s="548" t="e">
        <f>Nodes!V1189+"'E4!'f@"</f>
        <v>#VALUE!</v>
      </c>
      <c r="EY146" s="547" t="e">
        <f>Nodes!W1189+"'E4!'fA"</f>
        <v>#VALUE!</v>
      </c>
      <c r="EZ146" t="e">
        <f>Nodes!X1189+"'E4!'fB"</f>
        <v>#VALUE!</v>
      </c>
      <c r="FA146" t="e">
        <f>Nodes!Y1189+"'E4!'fC"</f>
        <v>#VALUE!</v>
      </c>
      <c r="FB146" t="e">
        <f>Nodes!Z1189+"'E4!'fD"</f>
        <v>#VALUE!</v>
      </c>
      <c r="FC146" t="e">
        <f>Nodes!AA1189+"'E4!'fE"</f>
        <v>#VALUE!</v>
      </c>
      <c r="FD146" s="547" t="e">
        <f>Nodes!AB1189+"'E4!'fF"</f>
        <v>#VALUE!</v>
      </c>
      <c r="FE146" s="547" t="e">
        <f>Nodes!AC1189+"'E4!'fG"</f>
        <v>#VALUE!</v>
      </c>
      <c r="FF146" t="e">
        <f>Nodes!A1190+"'E4!'fH"</f>
        <v>#VALUE!</v>
      </c>
      <c r="FG146" t="e">
        <f>Nodes!B1190+"'E4!'fI"</f>
        <v>#VALUE!</v>
      </c>
      <c r="FH146" t="e">
        <f>Nodes!C1190+"'E4!'fJ"</f>
        <v>#VALUE!</v>
      </c>
      <c r="FI146" t="e">
        <f>Nodes!D1190+"'E4!'fK"</f>
        <v>#VALUE!</v>
      </c>
      <c r="FJ146" t="e">
        <f>Nodes!E1190+"'E4!'fL"</f>
        <v>#VALUE!</v>
      </c>
      <c r="FK146" t="e">
        <f>Nodes!F1190+"'E4!'fM"</f>
        <v>#VALUE!</v>
      </c>
      <c r="FL146" t="e">
        <f>Nodes!G1190+"'E4!'fN"</f>
        <v>#VALUE!</v>
      </c>
      <c r="FM146" t="e">
        <f>Nodes!H1190+"'E4!'fO"</f>
        <v>#VALUE!</v>
      </c>
      <c r="FN146" t="e">
        <f>Nodes!I1190+"'E4!'fP"</f>
        <v>#VALUE!</v>
      </c>
      <c r="FO146" t="e">
        <f>Nodes!J1190+"'E4!'fQ"</f>
        <v>#VALUE!</v>
      </c>
      <c r="FP146" t="e">
        <f>Nodes!K1190+"'E4!'fR"</f>
        <v>#VALUE!</v>
      </c>
      <c r="FQ146" t="e">
        <f>Nodes!L1190+"'E4!'fS"</f>
        <v>#VALUE!</v>
      </c>
      <c r="FR146" t="e">
        <f>Nodes!M1190+"'E4!'fT"</f>
        <v>#VALUE!</v>
      </c>
      <c r="FS146" t="e">
        <f>Nodes!N1190+"'E4!'fU"</f>
        <v>#VALUE!</v>
      </c>
      <c r="FT146" t="e">
        <f>Nodes!O1190+"'E4!'fV"</f>
        <v>#VALUE!</v>
      </c>
      <c r="FU146" t="e">
        <f>Nodes!P1190+"'E4!'fW"</f>
        <v>#VALUE!</v>
      </c>
      <c r="FV146" t="e">
        <f>Nodes!Q1190+"'E4!'fX"</f>
        <v>#VALUE!</v>
      </c>
      <c r="FW146" t="e">
        <f>Nodes!R1190+"'E4!'fY"</f>
        <v>#VALUE!</v>
      </c>
      <c r="FX146" s="547" t="e">
        <f>Nodes!S1190+"'E4!'fZ"</f>
        <v>#VALUE!</v>
      </c>
      <c r="FY146" s="547" t="e">
        <f>Nodes!T1190+"'E4!'f["</f>
        <v>#VALUE!</v>
      </c>
      <c r="FZ146" s="548" t="e">
        <f>Nodes!U1190+"'E4!'f\"</f>
        <v>#VALUE!</v>
      </c>
      <c r="GA146" s="548" t="e">
        <f>Nodes!V1190+"'E4!'f]"</f>
        <v>#VALUE!</v>
      </c>
      <c r="GB146" s="547" t="e">
        <f>Nodes!W1190+"'E4!'f^"</f>
        <v>#VALUE!</v>
      </c>
      <c r="GC146" t="e">
        <f>Nodes!X1190+"'E4!'f_"</f>
        <v>#VALUE!</v>
      </c>
      <c r="GD146" t="e">
        <f>Nodes!Y1190+"'E4!'f`"</f>
        <v>#VALUE!</v>
      </c>
      <c r="GE146" t="e">
        <f>Nodes!Z1190+"'E4!'fa"</f>
        <v>#VALUE!</v>
      </c>
      <c r="GF146" t="e">
        <f>Nodes!AA1190+"'E4!'fb"</f>
        <v>#VALUE!</v>
      </c>
      <c r="GG146" s="547" t="e">
        <f>Nodes!AB1190+"'E4!'fc"</f>
        <v>#VALUE!</v>
      </c>
      <c r="GH146" t="e">
        <f>Nodes!AC1190+"'E4!'fd"</f>
        <v>#VALUE!</v>
      </c>
      <c r="GI146" t="e">
        <f>Nodes!A1191+"'E4!'fe"</f>
        <v>#VALUE!</v>
      </c>
      <c r="GJ146" t="e">
        <f>Nodes!B1191+"'E4!'ff"</f>
        <v>#VALUE!</v>
      </c>
      <c r="GK146" t="e">
        <f>Nodes!C1191+"'E4!'fg"</f>
        <v>#VALUE!</v>
      </c>
      <c r="GL146" t="e">
        <f>Nodes!D1191+"'E4!'fh"</f>
        <v>#VALUE!</v>
      </c>
      <c r="GM146" t="e">
        <f>Nodes!E1191+"'E4!'fi"</f>
        <v>#VALUE!</v>
      </c>
      <c r="GN146" t="e">
        <f>Nodes!F1191+"'E4!'fj"</f>
        <v>#VALUE!</v>
      </c>
      <c r="GO146" t="e">
        <f>Nodes!G1191+"'E4!'fk"</f>
        <v>#VALUE!</v>
      </c>
      <c r="GP146" t="e">
        <f>Nodes!H1191+"'E4!'fl"</f>
        <v>#VALUE!</v>
      </c>
      <c r="GQ146" t="e">
        <f>Nodes!I1191+"'E4!'fm"</f>
        <v>#VALUE!</v>
      </c>
      <c r="GR146" t="e">
        <f>Nodes!J1191+"'E4!'fn"</f>
        <v>#VALUE!</v>
      </c>
      <c r="GS146" t="e">
        <f>Nodes!K1191+"'E4!'fo"</f>
        <v>#VALUE!</v>
      </c>
      <c r="GT146" t="e">
        <f>Nodes!L1191+"'E4!'fp"</f>
        <v>#VALUE!</v>
      </c>
      <c r="GU146" t="e">
        <f>Nodes!M1191+"'E4!'fq"</f>
        <v>#VALUE!</v>
      </c>
      <c r="GV146" t="e">
        <f>Nodes!N1191+"'E4!'fr"</f>
        <v>#VALUE!</v>
      </c>
      <c r="GW146" t="e">
        <f>Nodes!O1191+"'E4!'fs"</f>
        <v>#VALUE!</v>
      </c>
      <c r="GX146" t="e">
        <f>Nodes!P1191+"'E4!'ft"</f>
        <v>#VALUE!</v>
      </c>
      <c r="GY146" t="e">
        <f>Nodes!Q1191+"'E4!'fu"</f>
        <v>#VALUE!</v>
      </c>
      <c r="GZ146" t="e">
        <f>Nodes!R1191+"'E4!'fv"</f>
        <v>#VALUE!</v>
      </c>
      <c r="HA146" s="547" t="e">
        <f>Nodes!S1191+"'E4!'fw"</f>
        <v>#VALUE!</v>
      </c>
      <c r="HB146" s="547" t="e">
        <f>Nodes!T1191+"'E4!'fx"</f>
        <v>#VALUE!</v>
      </c>
      <c r="HC146" s="548" t="e">
        <f>Nodes!U1191+"'E4!'fy"</f>
        <v>#VALUE!</v>
      </c>
      <c r="HD146" s="548" t="e">
        <f>Nodes!V1191+"'E4!'fz"</f>
        <v>#VALUE!</v>
      </c>
      <c r="HE146" s="547" t="e">
        <f>Nodes!W1191+"'E4!'f{"</f>
        <v>#VALUE!</v>
      </c>
      <c r="HF146" t="e">
        <f>Nodes!X1191+"'E4!'f|"</f>
        <v>#VALUE!</v>
      </c>
      <c r="HG146" t="e">
        <f>Nodes!Y1191+"'E4!'f}"</f>
        <v>#VALUE!</v>
      </c>
      <c r="HH146" t="e">
        <f>Nodes!Z1191+"'E4!'f~"</f>
        <v>#VALUE!</v>
      </c>
      <c r="HI146" t="e">
        <f>Nodes!AA1191+"'E4!'g#"</f>
        <v>#VALUE!</v>
      </c>
      <c r="HJ146" s="547" t="e">
        <f>Nodes!AB1191+"'E4!'g$"</f>
        <v>#VALUE!</v>
      </c>
      <c r="HK146" t="e">
        <f>Nodes!AC1191+"'E4!'g%"</f>
        <v>#VALUE!</v>
      </c>
      <c r="HL146" t="e">
        <f>Nodes!A1192+"'E4!'g&amp;"</f>
        <v>#VALUE!</v>
      </c>
      <c r="HM146" t="e">
        <f>Nodes!B1192+"'E4!'g'"</f>
        <v>#VALUE!</v>
      </c>
      <c r="HN146" t="e">
        <f>Nodes!C1192+"'E4!'g("</f>
        <v>#VALUE!</v>
      </c>
      <c r="HO146" t="e">
        <f>Nodes!D1192+"'E4!'g)"</f>
        <v>#VALUE!</v>
      </c>
      <c r="HP146" t="e">
        <f>Nodes!E1192+"'E4!'g."</f>
        <v>#VALUE!</v>
      </c>
      <c r="HQ146" t="e">
        <f>Nodes!F1192+"'E4!'g/"</f>
        <v>#VALUE!</v>
      </c>
      <c r="HR146" t="e">
        <f>Nodes!G1192+"'E4!'g0"</f>
        <v>#VALUE!</v>
      </c>
      <c r="HS146" t="e">
        <f>Nodes!H1192+"'E4!'g1"</f>
        <v>#VALUE!</v>
      </c>
      <c r="HT146" t="e">
        <f>Nodes!I1192+"'E4!'g2"</f>
        <v>#VALUE!</v>
      </c>
      <c r="HU146" t="e">
        <f>Nodes!J1192+"'E4!'g3"</f>
        <v>#VALUE!</v>
      </c>
      <c r="HV146" t="e">
        <f>Nodes!K1192+"'E4!'g4"</f>
        <v>#VALUE!</v>
      </c>
      <c r="HW146" t="e">
        <f>Nodes!L1192+"'E4!'g5"</f>
        <v>#VALUE!</v>
      </c>
      <c r="HX146" t="e">
        <f>Nodes!M1192+"'E4!'g6"</f>
        <v>#VALUE!</v>
      </c>
      <c r="HY146" t="e">
        <f>Nodes!N1192+"'E4!'g7"</f>
        <v>#VALUE!</v>
      </c>
      <c r="HZ146" t="e">
        <f>Nodes!O1192+"'E4!'g8"</f>
        <v>#VALUE!</v>
      </c>
      <c r="IA146" t="e">
        <f>Nodes!P1192+"'E4!'g9"</f>
        <v>#VALUE!</v>
      </c>
      <c r="IB146" t="e">
        <f>Nodes!Q1192+"'E4!'g:"</f>
        <v>#VALUE!</v>
      </c>
      <c r="IC146" t="e">
        <f>Nodes!R1192+"'E4!'g;"</f>
        <v>#VALUE!</v>
      </c>
      <c r="ID146" s="547" t="e">
        <f>Nodes!S1192+"'E4!'g&lt;"</f>
        <v>#VALUE!</v>
      </c>
      <c r="IE146" s="547" t="e">
        <f>Nodes!T1192+"'E4!'g="</f>
        <v>#VALUE!</v>
      </c>
      <c r="IF146" s="548" t="e">
        <f>Nodes!U1192+"'E4!'g&gt;"</f>
        <v>#VALUE!</v>
      </c>
      <c r="IG146" s="548" t="e">
        <f>Nodes!V1192+"'E4!'g?"</f>
        <v>#VALUE!</v>
      </c>
      <c r="IH146" s="547" t="e">
        <f>Nodes!W1192+"'E4!'g@"</f>
        <v>#VALUE!</v>
      </c>
      <c r="II146" t="e">
        <f>Nodes!X1192+"'E4!'gA"</f>
        <v>#VALUE!</v>
      </c>
      <c r="IJ146" t="e">
        <f>Nodes!Y1192+"'E4!'gB"</f>
        <v>#VALUE!</v>
      </c>
      <c r="IK146" t="e">
        <f>Nodes!Z1192+"'E4!'gC"</f>
        <v>#VALUE!</v>
      </c>
      <c r="IL146" t="e">
        <f>Nodes!AA1192+"'E4!'gD"</f>
        <v>#VALUE!</v>
      </c>
      <c r="IM146" s="547" t="e">
        <f>Nodes!AB1192+"'E4!'gE"</f>
        <v>#VALUE!</v>
      </c>
      <c r="IN146" t="e">
        <f>Nodes!AC1192+"'E4!'gF"</f>
        <v>#VALUE!</v>
      </c>
      <c r="IO146" t="e">
        <f>Nodes!A1193+"'E4!'gG"</f>
        <v>#VALUE!</v>
      </c>
      <c r="IP146" t="e">
        <f>Nodes!B1193+"'E4!'gH"</f>
        <v>#VALUE!</v>
      </c>
      <c r="IQ146" t="e">
        <f>Nodes!C1193+"'E4!'gI"</f>
        <v>#VALUE!</v>
      </c>
      <c r="IR146" t="e">
        <f>Nodes!D1193+"'E4!'gJ"</f>
        <v>#VALUE!</v>
      </c>
      <c r="IS146" t="e">
        <f>Nodes!E1193+"'E4!'gK"</f>
        <v>#VALUE!</v>
      </c>
      <c r="IT146" t="e">
        <f>Nodes!F1193+"'E4!'gL"</f>
        <v>#VALUE!</v>
      </c>
      <c r="IU146" t="e">
        <f>Nodes!G1193+"'E4!'gM"</f>
        <v>#VALUE!</v>
      </c>
      <c r="IV146" t="e">
        <f>Nodes!H1193+"'E4!'gN"</f>
        <v>#VALUE!</v>
      </c>
    </row>
    <row r="147" spans="6:256">
      <c r="F147" t="e">
        <f>Nodes!I1193+"'E4!'gO"</f>
        <v>#VALUE!</v>
      </c>
      <c r="G147" t="e">
        <f>Nodes!J1193+"'E4!'gP"</f>
        <v>#VALUE!</v>
      </c>
      <c r="H147" t="e">
        <f>Nodes!K1193+"'E4!'gQ"</f>
        <v>#VALUE!</v>
      </c>
      <c r="I147" t="e">
        <f>Nodes!L1193+"'E4!'gR"</f>
        <v>#VALUE!</v>
      </c>
      <c r="J147" t="e">
        <f>Nodes!M1193+"'E4!'gS"</f>
        <v>#VALUE!</v>
      </c>
      <c r="K147" t="e">
        <f>Nodes!N1193+"'E4!'gT"</f>
        <v>#VALUE!</v>
      </c>
      <c r="L147" t="e">
        <f>Nodes!O1193+"'E4!'gU"</f>
        <v>#VALUE!</v>
      </c>
      <c r="M147" t="e">
        <f>Nodes!P1193+"'E4!'gV"</f>
        <v>#VALUE!</v>
      </c>
      <c r="N147" t="e">
        <f>Nodes!Q1193+"'E4!'gW"</f>
        <v>#VALUE!</v>
      </c>
      <c r="O147" t="e">
        <f>Nodes!R1193+"'E4!'gX"</f>
        <v>#VALUE!</v>
      </c>
      <c r="P147" s="547" t="e">
        <f>Nodes!S1193+"'E4!'gY"</f>
        <v>#VALUE!</v>
      </c>
      <c r="Q147" s="547" t="e">
        <f>Nodes!T1193+"'E4!'gZ"</f>
        <v>#VALUE!</v>
      </c>
      <c r="R147" s="548" t="e">
        <f>Nodes!U1193+"'E4!'g["</f>
        <v>#VALUE!</v>
      </c>
      <c r="S147" s="548" t="e">
        <f>Nodes!V1193+"'E4!'g\"</f>
        <v>#VALUE!</v>
      </c>
      <c r="T147" s="547" t="e">
        <f>Nodes!W1193+"'E4!'g]"</f>
        <v>#VALUE!</v>
      </c>
      <c r="U147" t="e">
        <f>Nodes!X1193+"'E4!'g^"</f>
        <v>#VALUE!</v>
      </c>
      <c r="V147" t="e">
        <f>Nodes!Y1193+"'E4!'g_"</f>
        <v>#VALUE!</v>
      </c>
      <c r="W147" t="e">
        <f>Nodes!Z1193+"'E4!'g`"</f>
        <v>#VALUE!</v>
      </c>
      <c r="X147" t="e">
        <f>Nodes!AA1193+"'E4!'ga"</f>
        <v>#VALUE!</v>
      </c>
      <c r="Y147" s="547" t="e">
        <f>Nodes!AB1193+"'E4!'gb"</f>
        <v>#VALUE!</v>
      </c>
      <c r="Z147" t="e">
        <f>Nodes!AC1193+"'E4!'gc"</f>
        <v>#VALUE!</v>
      </c>
      <c r="AA147" t="e">
        <f>Nodes!A1194+"'E4!'gd"</f>
        <v>#VALUE!</v>
      </c>
      <c r="AB147" t="e">
        <f>Nodes!B1194+"'E4!'ge"</f>
        <v>#VALUE!</v>
      </c>
      <c r="AC147" t="e">
        <f>Nodes!C1194+"'E4!'gf"</f>
        <v>#VALUE!</v>
      </c>
      <c r="AD147" t="e">
        <f>Nodes!D1194+"'E4!'gg"</f>
        <v>#VALUE!</v>
      </c>
      <c r="AE147" t="e">
        <f>Nodes!E1194+"'E4!'gh"</f>
        <v>#VALUE!</v>
      </c>
      <c r="AF147" t="e">
        <f>Nodes!F1194+"'E4!'gi"</f>
        <v>#VALUE!</v>
      </c>
      <c r="AG147" t="e">
        <f>Nodes!G1194+"'E4!'gj"</f>
        <v>#VALUE!</v>
      </c>
      <c r="AH147" t="e">
        <f>Nodes!H1194+"'E4!'gk"</f>
        <v>#VALUE!</v>
      </c>
      <c r="AI147" t="e">
        <f>Nodes!I1194+"'E4!'gl"</f>
        <v>#VALUE!</v>
      </c>
      <c r="AJ147" t="e">
        <f>Nodes!J1194+"'E4!'gm"</f>
        <v>#VALUE!</v>
      </c>
      <c r="AK147" t="e">
        <f>Nodes!K1194+"'E4!'gn"</f>
        <v>#VALUE!</v>
      </c>
      <c r="AL147" t="e">
        <f>Nodes!L1194+"'E4!'go"</f>
        <v>#VALUE!</v>
      </c>
      <c r="AM147" t="e">
        <f>Nodes!M1194+"'E4!'gp"</f>
        <v>#VALUE!</v>
      </c>
      <c r="AN147" t="e">
        <f>Nodes!N1194+"'E4!'gq"</f>
        <v>#VALUE!</v>
      </c>
      <c r="AO147" t="e">
        <f>Nodes!O1194+"'E4!'gr"</f>
        <v>#VALUE!</v>
      </c>
      <c r="AP147" t="e">
        <f>Nodes!P1194+"'E4!'gs"</f>
        <v>#VALUE!</v>
      </c>
      <c r="AQ147" t="e">
        <f>Nodes!Q1194+"'E4!'gt"</f>
        <v>#VALUE!</v>
      </c>
      <c r="AR147" t="e">
        <f>Nodes!R1194+"'E4!'gu"</f>
        <v>#VALUE!</v>
      </c>
      <c r="AS147" s="547" t="e">
        <f>Nodes!S1194+"'E4!'gv"</f>
        <v>#VALUE!</v>
      </c>
      <c r="AT147" s="547" t="e">
        <f>Nodes!T1194+"'E4!'gw"</f>
        <v>#VALUE!</v>
      </c>
      <c r="AU147" s="548" t="e">
        <f>Nodes!U1194+"'E4!'gx"</f>
        <v>#VALUE!</v>
      </c>
      <c r="AV147" s="548" t="e">
        <f>Nodes!V1194+"'E4!'gy"</f>
        <v>#VALUE!</v>
      </c>
      <c r="AW147" s="547" t="e">
        <f>Nodes!W1194+"'E4!'gz"</f>
        <v>#VALUE!</v>
      </c>
      <c r="AX147" t="e">
        <f>Nodes!X1194+"'E4!'g{"</f>
        <v>#VALUE!</v>
      </c>
      <c r="AY147" t="e">
        <f>Nodes!Y1194+"'E4!'g|"</f>
        <v>#VALUE!</v>
      </c>
      <c r="AZ147" t="e">
        <f>Nodes!Z1194+"'E4!'g}"</f>
        <v>#VALUE!</v>
      </c>
      <c r="BA147" t="e">
        <f>Nodes!AA1194+"'E4!'g~"</f>
        <v>#VALUE!</v>
      </c>
      <c r="BB147" s="547" t="e">
        <f>Nodes!AB1194+"'E4!'h#"</f>
        <v>#VALUE!</v>
      </c>
      <c r="BC147" t="e">
        <f>Nodes!AC1194+"'E4!'h$"</f>
        <v>#VALUE!</v>
      </c>
      <c r="BD147" t="e">
        <f>Nodes!A1195+"'E4!'h%"</f>
        <v>#VALUE!</v>
      </c>
      <c r="BE147" t="e">
        <f>Nodes!B1195+"'E4!'h&amp;"</f>
        <v>#VALUE!</v>
      </c>
      <c r="BF147" t="e">
        <f>Nodes!C1195+"'E4!'h'"</f>
        <v>#VALUE!</v>
      </c>
      <c r="BG147" t="e">
        <f>Nodes!D1195+"'E4!'h("</f>
        <v>#VALUE!</v>
      </c>
      <c r="BH147" t="e">
        <f>Nodes!E1195+"'E4!'h)"</f>
        <v>#VALUE!</v>
      </c>
      <c r="BI147" t="e">
        <f>Nodes!F1195+"'E4!'h."</f>
        <v>#VALUE!</v>
      </c>
      <c r="BJ147" t="e">
        <f>Nodes!G1195+"'E4!'h/"</f>
        <v>#VALUE!</v>
      </c>
      <c r="BK147" t="e">
        <f>Nodes!H1195+"'E4!'h0"</f>
        <v>#VALUE!</v>
      </c>
      <c r="BL147" t="e">
        <f>Nodes!I1195+"'E4!'h1"</f>
        <v>#VALUE!</v>
      </c>
      <c r="BM147" t="e">
        <f>Nodes!J1195+"'E4!'h2"</f>
        <v>#VALUE!</v>
      </c>
      <c r="BN147" t="e">
        <f>Nodes!K1195+"'E4!'h3"</f>
        <v>#VALUE!</v>
      </c>
      <c r="BO147" t="e">
        <f>Nodes!L1195+"'E4!'h4"</f>
        <v>#VALUE!</v>
      </c>
      <c r="BP147" t="e">
        <f>Nodes!M1195+"'E4!'h5"</f>
        <v>#VALUE!</v>
      </c>
      <c r="BQ147" t="e">
        <f>Nodes!N1195+"'E4!'h6"</f>
        <v>#VALUE!</v>
      </c>
      <c r="BR147" t="e">
        <f>Nodes!O1195+"'E4!'h7"</f>
        <v>#VALUE!</v>
      </c>
      <c r="BS147" t="e">
        <f>Nodes!P1195+"'E4!'h8"</f>
        <v>#VALUE!</v>
      </c>
      <c r="BT147" t="e">
        <f>Nodes!Q1195+"'E4!'h9"</f>
        <v>#VALUE!</v>
      </c>
      <c r="BU147" t="e">
        <f>Nodes!R1195+"'E4!'h:"</f>
        <v>#N/A</v>
      </c>
      <c r="BV147" s="547" t="e">
        <f>Nodes!S1195+"'E4!'h;"</f>
        <v>#N/A</v>
      </c>
      <c r="BW147" s="547" t="e">
        <f>Nodes!T1195+"'E4!'h&lt;"</f>
        <v>#VALUE!</v>
      </c>
      <c r="BX147" s="548" t="e">
        <f>Nodes!U1195+"'E4!'h="</f>
        <v>#N/A</v>
      </c>
      <c r="BY147" s="548" t="e">
        <f>Nodes!V1195+"'E4!'h&gt;"</f>
        <v>#N/A</v>
      </c>
      <c r="BZ147" s="547" t="e">
        <f>Nodes!W1195+"'E4!'h?"</f>
        <v>#VALUE!</v>
      </c>
      <c r="CA147" t="e">
        <f>Nodes!X1195+"'E4!'h@"</f>
        <v>#VALUE!</v>
      </c>
      <c r="CB147" t="e">
        <f>Nodes!Y1195+"'E4!'hA"</f>
        <v>#VALUE!</v>
      </c>
      <c r="CC147" t="e">
        <f>Nodes!Z1195+"'E4!'hB"</f>
        <v>#VALUE!</v>
      </c>
      <c r="CD147" t="e">
        <f>Nodes!AA1195+"'E4!'hC"</f>
        <v>#VALUE!</v>
      </c>
      <c r="CE147" s="547" t="e">
        <f>Nodes!AB1195+"'E4!'hD"</f>
        <v>#VALUE!</v>
      </c>
      <c r="CF147" t="e">
        <f>Nodes!AC1195+"'E4!'hE"</f>
        <v>#VALUE!</v>
      </c>
      <c r="CG147" t="e">
        <f>Nodes!A1196+"'E4!'hF"</f>
        <v>#VALUE!</v>
      </c>
      <c r="CH147" t="e">
        <f>Nodes!B1196+"'E4!'hG"</f>
        <v>#VALUE!</v>
      </c>
      <c r="CI147" t="e">
        <f>Nodes!C1196+"'E4!'hH"</f>
        <v>#VALUE!</v>
      </c>
      <c r="CJ147" t="e">
        <f>Nodes!D1196+"'E4!'hI"</f>
        <v>#VALUE!</v>
      </c>
      <c r="CK147" t="e">
        <f>Nodes!E1196+"'E4!'hJ"</f>
        <v>#VALUE!</v>
      </c>
      <c r="CL147" t="e">
        <f>Nodes!F1196+"'E4!'hK"</f>
        <v>#VALUE!</v>
      </c>
      <c r="CM147" t="e">
        <f>Nodes!G1196+"'E4!'hL"</f>
        <v>#VALUE!</v>
      </c>
      <c r="CN147" t="e">
        <f>Nodes!H1196+"'E4!'hM"</f>
        <v>#VALUE!</v>
      </c>
      <c r="CO147" t="e">
        <f>Nodes!I1196+"'E4!'hN"</f>
        <v>#VALUE!</v>
      </c>
      <c r="CP147" t="e">
        <f>Nodes!J1196+"'E4!'hO"</f>
        <v>#VALUE!</v>
      </c>
      <c r="CQ147" t="e">
        <f>Nodes!K1196+"'E4!'hP"</f>
        <v>#VALUE!</v>
      </c>
      <c r="CR147" t="e">
        <f>Nodes!L1196+"'E4!'hQ"</f>
        <v>#VALUE!</v>
      </c>
      <c r="CS147" t="e">
        <f>Nodes!M1196+"'E4!'hR"</f>
        <v>#VALUE!</v>
      </c>
      <c r="CT147" t="e">
        <f>Nodes!N1196+"'E4!'hS"</f>
        <v>#VALUE!</v>
      </c>
      <c r="CU147" t="e">
        <f>Nodes!O1196+"'E4!'hT"</f>
        <v>#VALUE!</v>
      </c>
      <c r="CV147" t="e">
        <f>Nodes!P1196+"'E4!'hU"</f>
        <v>#VALUE!</v>
      </c>
      <c r="CW147" t="e">
        <f>Nodes!Q1196+"'E4!'hV"</f>
        <v>#VALUE!</v>
      </c>
      <c r="CX147" t="e">
        <f>Nodes!R1196+"'E4!'hW"</f>
        <v>#VALUE!</v>
      </c>
      <c r="CY147" s="547" t="e">
        <f>Nodes!S1196+"'E4!'hX"</f>
        <v>#VALUE!</v>
      </c>
      <c r="CZ147" s="547" t="e">
        <f>Nodes!T1196+"'E4!'hY"</f>
        <v>#VALUE!</v>
      </c>
      <c r="DA147" s="548" t="e">
        <f>Nodes!U1196+"'E4!'hZ"</f>
        <v>#VALUE!</v>
      </c>
      <c r="DB147" s="548" t="e">
        <f>Nodes!V1196+"'E4!'h["</f>
        <v>#VALUE!</v>
      </c>
      <c r="DC147" s="547" t="e">
        <f>Nodes!W1196+"'E4!'h\"</f>
        <v>#VALUE!</v>
      </c>
      <c r="DD147" t="e">
        <f>Nodes!X1196+"'E4!'h]"</f>
        <v>#VALUE!</v>
      </c>
      <c r="DE147" t="e">
        <f>Nodes!Y1196+"'E4!'h^"</f>
        <v>#VALUE!</v>
      </c>
      <c r="DF147" t="e">
        <f>Nodes!Z1196+"'E4!'h_"</f>
        <v>#VALUE!</v>
      </c>
      <c r="DG147" t="e">
        <f>Nodes!AA1196+"'E4!'h`"</f>
        <v>#VALUE!</v>
      </c>
      <c r="DH147" s="547" t="e">
        <f>Nodes!AB1196+"'E4!'ha"</f>
        <v>#VALUE!</v>
      </c>
      <c r="DI147" t="e">
        <f>Nodes!AC1196+"'E4!'hb"</f>
        <v>#VALUE!</v>
      </c>
      <c r="DJ147" t="e">
        <f>Nodes!A1197+"'E4!'hc"</f>
        <v>#VALUE!</v>
      </c>
      <c r="DK147" t="e">
        <f>Nodes!B1197+"'E4!'hd"</f>
        <v>#VALUE!</v>
      </c>
      <c r="DL147" t="e">
        <f>Nodes!C1197+"'E4!'he"</f>
        <v>#VALUE!</v>
      </c>
      <c r="DM147" t="e">
        <f>Nodes!D1197+"'E4!'hf"</f>
        <v>#VALUE!</v>
      </c>
      <c r="DN147" t="e">
        <f>Nodes!E1197+"'E4!'hg"</f>
        <v>#VALUE!</v>
      </c>
      <c r="DO147" t="e">
        <f>Nodes!F1197+"'E4!'hh"</f>
        <v>#VALUE!</v>
      </c>
      <c r="DP147" t="e">
        <f>Nodes!G1197+"'E4!'hi"</f>
        <v>#VALUE!</v>
      </c>
      <c r="DQ147" t="e">
        <f>Nodes!H1197+"'E4!'hj"</f>
        <v>#VALUE!</v>
      </c>
      <c r="DR147" t="e">
        <f>Nodes!I1197+"'E4!'hk"</f>
        <v>#VALUE!</v>
      </c>
      <c r="DS147" t="e">
        <f>Nodes!J1197+"'E4!'hl"</f>
        <v>#VALUE!</v>
      </c>
      <c r="DT147" t="e">
        <f>Nodes!K1197+"'E4!'hm"</f>
        <v>#VALUE!</v>
      </c>
      <c r="DU147" t="e">
        <f>Nodes!L1197+"'E4!'hn"</f>
        <v>#VALUE!</v>
      </c>
      <c r="DV147" t="e">
        <f>Nodes!M1197+"'E4!'ho"</f>
        <v>#VALUE!</v>
      </c>
      <c r="DW147" t="e">
        <f>Nodes!N1197+"'E4!'hp"</f>
        <v>#VALUE!</v>
      </c>
      <c r="DX147" t="e">
        <f>Nodes!O1197+"'E4!'hq"</f>
        <v>#VALUE!</v>
      </c>
      <c r="DY147" t="e">
        <f>Nodes!P1197+"'E4!'hr"</f>
        <v>#VALUE!</v>
      </c>
      <c r="DZ147" t="e">
        <f>Nodes!Q1197+"'E4!'hs"</f>
        <v>#VALUE!</v>
      </c>
      <c r="EA147" t="e">
        <f>Nodes!R1197+"'E4!'ht"</f>
        <v>#N/A</v>
      </c>
      <c r="EB147" s="547" t="e">
        <f>Nodes!S1197+"'E4!'hu"</f>
        <v>#N/A</v>
      </c>
      <c r="EC147" s="547" t="e">
        <f>Nodes!T1197+"'E4!'hv"</f>
        <v>#VALUE!</v>
      </c>
      <c r="ED147" s="548" t="e">
        <f>Nodes!U1197+"'E4!'hw"</f>
        <v>#N/A</v>
      </c>
      <c r="EE147" s="548" t="e">
        <f>Nodes!V1197+"'E4!'hx"</f>
        <v>#N/A</v>
      </c>
      <c r="EF147" s="547" t="e">
        <f>Nodes!W1197+"'E4!'hy"</f>
        <v>#VALUE!</v>
      </c>
      <c r="EG147" t="e">
        <f>Nodes!X1197+"'E4!'hz"</f>
        <v>#VALUE!</v>
      </c>
      <c r="EH147" t="e">
        <f>Nodes!Y1197+"'E4!'h{"</f>
        <v>#VALUE!</v>
      </c>
      <c r="EI147" t="e">
        <f>Nodes!Z1197+"'E4!'h|"</f>
        <v>#VALUE!</v>
      </c>
      <c r="EJ147" t="e">
        <f>Nodes!AA1197+"'E4!'h}"</f>
        <v>#VALUE!</v>
      </c>
      <c r="EK147" s="547" t="e">
        <f>Nodes!AB1197+"'E4!'h~"</f>
        <v>#VALUE!</v>
      </c>
      <c r="EL147" t="e">
        <f>Nodes!AC1197+"'E4!'i#"</f>
        <v>#VALUE!</v>
      </c>
      <c r="EM147" t="e">
        <f>Nodes!A1198+"'E4!'i$"</f>
        <v>#VALUE!</v>
      </c>
      <c r="EN147" t="e">
        <f>Nodes!B1198+"'E4!'i%"</f>
        <v>#VALUE!</v>
      </c>
      <c r="EO147" t="e">
        <f>Nodes!C1198+"'E4!'i&amp;"</f>
        <v>#VALUE!</v>
      </c>
      <c r="EP147" t="e">
        <f>Nodes!D1198+"'E4!'i'"</f>
        <v>#VALUE!</v>
      </c>
      <c r="EQ147" t="e">
        <f>Nodes!E1198+"'E4!'i("</f>
        <v>#VALUE!</v>
      </c>
      <c r="ER147" t="e">
        <f>Nodes!F1198+"'E4!'i)"</f>
        <v>#VALUE!</v>
      </c>
      <c r="ES147" t="e">
        <f>Nodes!G1198+"'E4!'i."</f>
        <v>#VALUE!</v>
      </c>
      <c r="ET147" t="e">
        <f>Nodes!H1198+"'E4!'i/"</f>
        <v>#VALUE!</v>
      </c>
      <c r="EU147" t="e">
        <f>Nodes!I1198+"'E4!'i0"</f>
        <v>#VALUE!</v>
      </c>
      <c r="EV147" t="e">
        <f>Nodes!J1198+"'E4!'i1"</f>
        <v>#VALUE!</v>
      </c>
      <c r="EW147" t="e">
        <f>Nodes!K1198+"'E4!'i2"</f>
        <v>#VALUE!</v>
      </c>
      <c r="EX147" t="e">
        <f>Nodes!L1198+"'E4!'i3"</f>
        <v>#VALUE!</v>
      </c>
      <c r="EY147" t="e">
        <f>Nodes!M1198+"'E4!'i4"</f>
        <v>#VALUE!</v>
      </c>
      <c r="EZ147" t="e">
        <f>Nodes!N1198+"'E4!'i5"</f>
        <v>#VALUE!</v>
      </c>
      <c r="FA147" t="e">
        <f>Nodes!O1198+"'E4!'i6"</f>
        <v>#VALUE!</v>
      </c>
      <c r="FB147" t="e">
        <f>Nodes!P1198+"'E4!'i7"</f>
        <v>#VALUE!</v>
      </c>
      <c r="FC147" t="e">
        <f>Nodes!Q1198+"'E4!'i8"</f>
        <v>#VALUE!</v>
      </c>
      <c r="FD147" t="e">
        <f>Nodes!R1198+"'E4!'i9"</f>
        <v>#VALUE!</v>
      </c>
      <c r="FE147" s="547" t="e">
        <f>Nodes!S1198+"'E4!'i:"</f>
        <v>#VALUE!</v>
      </c>
      <c r="FF147" s="547" t="e">
        <f>Nodes!T1198+"'E4!'i;"</f>
        <v>#VALUE!</v>
      </c>
      <c r="FG147" s="548" t="e">
        <f>Nodes!U1198+"'E4!'i&lt;"</f>
        <v>#VALUE!</v>
      </c>
      <c r="FH147" s="548" t="e">
        <f>Nodes!V1198+"'E4!'i="</f>
        <v>#VALUE!</v>
      </c>
      <c r="FI147" s="547" t="e">
        <f>Nodes!W1198+"'E4!'i&gt;"</f>
        <v>#VALUE!</v>
      </c>
      <c r="FJ147" t="e">
        <f>Nodes!X1198+"'E4!'i?"</f>
        <v>#VALUE!</v>
      </c>
      <c r="FK147" t="e">
        <f>Nodes!Y1198+"'E4!'i@"</f>
        <v>#VALUE!</v>
      </c>
      <c r="FL147" t="e">
        <f>Nodes!Z1198+"'E4!'iA"</f>
        <v>#VALUE!</v>
      </c>
      <c r="FM147" t="e">
        <f>Nodes!AA1198+"'E4!'iB"</f>
        <v>#VALUE!</v>
      </c>
      <c r="FN147" s="547" t="e">
        <f>Nodes!AB1198+"'E4!'iC"</f>
        <v>#VALUE!</v>
      </c>
      <c r="FO147" t="e">
        <f>Nodes!AC1198+"'E4!'iD"</f>
        <v>#VALUE!</v>
      </c>
      <c r="FP147" t="e">
        <f>Nodes!A1199+"'E4!'iE"</f>
        <v>#VALUE!</v>
      </c>
      <c r="FQ147" t="e">
        <f>Nodes!B1199+"'E4!'iF"</f>
        <v>#VALUE!</v>
      </c>
      <c r="FR147" t="e">
        <f>Nodes!C1199+"'E4!'iG"</f>
        <v>#VALUE!</v>
      </c>
      <c r="FS147" t="e">
        <f>Nodes!D1199+"'E4!'iH"</f>
        <v>#VALUE!</v>
      </c>
      <c r="FT147" t="e">
        <f>Nodes!E1199+"'E4!'iI"</f>
        <v>#VALUE!</v>
      </c>
      <c r="FU147" t="e">
        <f>Nodes!F1199+"'E4!'iJ"</f>
        <v>#VALUE!</v>
      </c>
      <c r="FV147" t="e">
        <f>Nodes!G1199+"'E4!'iK"</f>
        <v>#VALUE!</v>
      </c>
      <c r="FW147" t="e">
        <f>Nodes!H1199+"'E4!'iL"</f>
        <v>#VALUE!</v>
      </c>
      <c r="FX147" t="e">
        <f>Nodes!I1199+"'E4!'iM"</f>
        <v>#VALUE!</v>
      </c>
      <c r="FY147" t="e">
        <f>Nodes!J1199+"'E4!'iN"</f>
        <v>#VALUE!</v>
      </c>
      <c r="FZ147" t="e">
        <f>Nodes!K1199+"'E4!'iO"</f>
        <v>#VALUE!</v>
      </c>
      <c r="GA147" t="e">
        <f>Nodes!L1199+"'E4!'iP"</f>
        <v>#VALUE!</v>
      </c>
      <c r="GB147" t="e">
        <f>Nodes!M1199+"'E4!'iQ"</f>
        <v>#VALUE!</v>
      </c>
      <c r="GC147" t="e">
        <f>Nodes!N1199+"'E4!'iR"</f>
        <v>#VALUE!</v>
      </c>
      <c r="GD147" t="e">
        <f>Nodes!O1199+"'E4!'iS"</f>
        <v>#VALUE!</v>
      </c>
      <c r="GE147" t="e">
        <f>Nodes!P1199+"'E4!'iT"</f>
        <v>#VALUE!</v>
      </c>
      <c r="GF147" t="e">
        <f>Nodes!Q1199+"'E4!'iU"</f>
        <v>#VALUE!</v>
      </c>
      <c r="GG147" t="e">
        <f>Nodes!R1199+"'E4!'iV"</f>
        <v>#VALUE!</v>
      </c>
      <c r="GH147" s="547" t="e">
        <f>Nodes!S1199+"'E4!'iW"</f>
        <v>#VALUE!</v>
      </c>
      <c r="GI147" s="547" t="e">
        <f>Nodes!T1199+"'E4!'iX"</f>
        <v>#VALUE!</v>
      </c>
      <c r="GJ147" s="548" t="e">
        <f>Nodes!U1199+"'E4!'iY"</f>
        <v>#VALUE!</v>
      </c>
      <c r="GK147" s="548" t="e">
        <f>Nodes!V1199+"'E4!'iZ"</f>
        <v>#VALUE!</v>
      </c>
      <c r="GL147" s="547" t="e">
        <f>Nodes!W1199+"'E4!'i["</f>
        <v>#VALUE!</v>
      </c>
      <c r="GM147" t="e">
        <f>Nodes!X1199+"'E4!'i\"</f>
        <v>#VALUE!</v>
      </c>
      <c r="GN147" t="e">
        <f>Nodes!Y1199+"'E4!'i]"</f>
        <v>#VALUE!</v>
      </c>
      <c r="GO147" t="e">
        <f>Nodes!Z1199+"'E4!'i^"</f>
        <v>#VALUE!</v>
      </c>
      <c r="GP147" t="e">
        <f>Nodes!AA1199+"'E4!'i_"</f>
        <v>#VALUE!</v>
      </c>
      <c r="GQ147" s="547" t="e">
        <f>Nodes!AB1199+"'E4!'i`"</f>
        <v>#VALUE!</v>
      </c>
      <c r="GR147" t="e">
        <f>Nodes!AC1199+"'E4!'ia"</f>
        <v>#VALUE!</v>
      </c>
      <c r="GS147" t="e">
        <f>Nodes!A1200+"'E4!'ib"</f>
        <v>#VALUE!</v>
      </c>
      <c r="GT147" t="e">
        <f>Nodes!B1200+"'E4!'ic"</f>
        <v>#VALUE!</v>
      </c>
      <c r="GU147" t="e">
        <f>Nodes!C1200+"'E4!'id"</f>
        <v>#VALUE!</v>
      </c>
      <c r="GV147" t="e">
        <f>Nodes!D1200+"'E4!'ie"</f>
        <v>#VALUE!</v>
      </c>
      <c r="GW147" t="e">
        <f>Nodes!E1200+"'E4!'if"</f>
        <v>#VALUE!</v>
      </c>
      <c r="GX147" t="e">
        <f>Nodes!F1200+"'E4!'ig"</f>
        <v>#VALUE!</v>
      </c>
      <c r="GY147" t="e">
        <f>Nodes!G1200+"'E4!'ih"</f>
        <v>#VALUE!</v>
      </c>
      <c r="GZ147" t="e">
        <f>Nodes!H1200+"'E4!'ii"</f>
        <v>#VALUE!</v>
      </c>
      <c r="HA147" t="e">
        <f>Nodes!I1200+"'E4!'ij"</f>
        <v>#VALUE!</v>
      </c>
      <c r="HB147" t="e">
        <f>Nodes!J1200+"'E4!'ik"</f>
        <v>#VALUE!</v>
      </c>
      <c r="HC147" t="e">
        <f>Nodes!K1200+"'E4!'il"</f>
        <v>#VALUE!</v>
      </c>
      <c r="HD147" t="e">
        <f>Nodes!L1200+"'E4!'im"</f>
        <v>#VALUE!</v>
      </c>
      <c r="HE147" t="e">
        <f>Nodes!M1200+"'E4!'in"</f>
        <v>#VALUE!</v>
      </c>
      <c r="HF147" t="e">
        <f>Nodes!N1200+"'E4!'io"</f>
        <v>#VALUE!</v>
      </c>
      <c r="HG147" t="e">
        <f>Nodes!O1200+"'E4!'ip"</f>
        <v>#VALUE!</v>
      </c>
      <c r="HH147" t="e">
        <f>Nodes!P1200+"'E4!'iq"</f>
        <v>#VALUE!</v>
      </c>
      <c r="HI147" t="e">
        <f>Nodes!Q1200+"'E4!'ir"</f>
        <v>#VALUE!</v>
      </c>
      <c r="HJ147" t="e">
        <f>Nodes!R1200+"'E4!'is"</f>
        <v>#VALUE!</v>
      </c>
      <c r="HK147" s="547" t="e">
        <f>Nodes!S1200+"'E4!'it"</f>
        <v>#VALUE!</v>
      </c>
      <c r="HL147" s="547" t="e">
        <f>Nodes!T1200+"'E4!'iu"</f>
        <v>#VALUE!</v>
      </c>
      <c r="HM147" s="548" t="e">
        <f>Nodes!U1200+"'E4!'iv"</f>
        <v>#VALUE!</v>
      </c>
      <c r="HN147" s="548" t="e">
        <f>Nodes!V1200+"'E4!'iw"</f>
        <v>#VALUE!</v>
      </c>
      <c r="HO147" s="547" t="e">
        <f>Nodes!W1200+"'E4!'ix"</f>
        <v>#VALUE!</v>
      </c>
      <c r="HP147" t="e">
        <f>Nodes!X1200+"'E4!'iy"</f>
        <v>#VALUE!</v>
      </c>
      <c r="HQ147" t="e">
        <f>Nodes!Y1200+"'E4!'iz"</f>
        <v>#VALUE!</v>
      </c>
      <c r="HR147" t="e">
        <f>Nodes!Z1200+"'E4!'i{"</f>
        <v>#VALUE!</v>
      </c>
      <c r="HS147" t="e">
        <f>Nodes!AA1200+"'E4!'i|"</f>
        <v>#VALUE!</v>
      </c>
      <c r="HT147" s="547" t="e">
        <f>Nodes!AB1200+"'E4!'i}"</f>
        <v>#VALUE!</v>
      </c>
      <c r="HU147" t="e">
        <f>Nodes!AC1200+"'E4!'i~"</f>
        <v>#VALUE!</v>
      </c>
      <c r="HV147" t="e">
        <f>Nodes!A1201+"'E4!'j#"</f>
        <v>#VALUE!</v>
      </c>
      <c r="HW147" t="e">
        <f>Nodes!B1201+"'E4!'j$"</f>
        <v>#VALUE!</v>
      </c>
      <c r="HX147" t="e">
        <f>Nodes!C1201+"'E4!'j%"</f>
        <v>#VALUE!</v>
      </c>
      <c r="HY147" t="e">
        <f>Nodes!D1201+"'E4!'j&amp;"</f>
        <v>#VALUE!</v>
      </c>
      <c r="HZ147" t="e">
        <f>Nodes!E1201+"'E4!'j'"</f>
        <v>#VALUE!</v>
      </c>
      <c r="IA147" t="e">
        <f>Nodes!F1201+"'E4!'j("</f>
        <v>#VALUE!</v>
      </c>
      <c r="IB147" t="e">
        <f>Nodes!G1201+"'E4!'j)"</f>
        <v>#VALUE!</v>
      </c>
      <c r="IC147" t="e">
        <f>Nodes!H1201+"'E4!'j."</f>
        <v>#VALUE!</v>
      </c>
      <c r="ID147" t="e">
        <f>Nodes!I1201+"'E4!'j/"</f>
        <v>#VALUE!</v>
      </c>
      <c r="IE147" t="e">
        <f>Nodes!J1201+"'E4!'j0"</f>
        <v>#VALUE!</v>
      </c>
      <c r="IF147" t="e">
        <f>Nodes!K1201+"'E4!'j1"</f>
        <v>#VALUE!</v>
      </c>
      <c r="IG147" t="e">
        <f>Nodes!L1201+"'E4!'j2"</f>
        <v>#VALUE!</v>
      </c>
      <c r="IH147" t="e">
        <f>Nodes!M1201+"'E4!'j3"</f>
        <v>#VALUE!</v>
      </c>
      <c r="II147" t="e">
        <f>Nodes!N1201+"'E4!'j4"</f>
        <v>#VALUE!</v>
      </c>
      <c r="IJ147" t="e">
        <f>Nodes!O1201+"'E4!'j5"</f>
        <v>#VALUE!</v>
      </c>
      <c r="IK147" t="e">
        <f>Nodes!P1201+"'E4!'j6"</f>
        <v>#VALUE!</v>
      </c>
      <c r="IL147" t="e">
        <f>Nodes!Q1201+"'E4!'j7"</f>
        <v>#VALUE!</v>
      </c>
      <c r="IM147" t="e">
        <f>Nodes!R1201+"'E4!'j8"</f>
        <v>#VALUE!</v>
      </c>
      <c r="IN147" s="547" t="e">
        <f>Nodes!S1201+"'E4!'j9"</f>
        <v>#VALUE!</v>
      </c>
      <c r="IO147" s="547" t="e">
        <f>Nodes!T1201+"'E4!'j:"</f>
        <v>#VALUE!</v>
      </c>
      <c r="IP147" s="548" t="e">
        <f>Nodes!U1201+"'E4!'j;"</f>
        <v>#VALUE!</v>
      </c>
      <c r="IQ147" s="548" t="e">
        <f>Nodes!V1201+"'E4!'j&lt;"</f>
        <v>#VALUE!</v>
      </c>
      <c r="IR147" s="547" t="e">
        <f>Nodes!W1201+"'E4!'j="</f>
        <v>#VALUE!</v>
      </c>
      <c r="IS147" t="e">
        <f>Nodes!X1201+"'E4!'j&gt;"</f>
        <v>#VALUE!</v>
      </c>
      <c r="IT147" t="e">
        <f>Nodes!Y1201+"'E4!'j?"</f>
        <v>#VALUE!</v>
      </c>
      <c r="IU147" t="e">
        <f>Nodes!Z1201+"'E4!'j@"</f>
        <v>#VALUE!</v>
      </c>
      <c r="IV147" t="e">
        <f>Nodes!AA1201+"'E4!'jA"</f>
        <v>#VALUE!</v>
      </c>
    </row>
    <row r="148" spans="6:256">
      <c r="F148" s="547" t="e">
        <f>Nodes!AB1201+"'E4!'jB"</f>
        <v>#VALUE!</v>
      </c>
      <c r="G148" t="e">
        <f>Nodes!AC1201+"'E4!'jC"</f>
        <v>#VALUE!</v>
      </c>
      <c r="H148" t="e">
        <f>Nodes!A1202+"'E4!'jD"</f>
        <v>#VALUE!</v>
      </c>
      <c r="I148" t="e">
        <f>Nodes!B1202+"'E4!'jE"</f>
        <v>#VALUE!</v>
      </c>
      <c r="J148" t="e">
        <f>Nodes!C1202+"'E4!'jF"</f>
        <v>#VALUE!</v>
      </c>
      <c r="K148" t="e">
        <f>Nodes!D1202+"'E4!'jG"</f>
        <v>#VALUE!</v>
      </c>
      <c r="L148" t="e">
        <f>Nodes!E1202+"'E4!'jH"</f>
        <v>#VALUE!</v>
      </c>
      <c r="M148" t="e">
        <f>Nodes!F1202+"'E4!'jI"</f>
        <v>#VALUE!</v>
      </c>
      <c r="N148" t="e">
        <f>Nodes!G1202+"'E4!'jJ"</f>
        <v>#VALUE!</v>
      </c>
      <c r="O148" t="e">
        <f>Nodes!H1202+"'E4!'jK"</f>
        <v>#VALUE!</v>
      </c>
      <c r="P148" t="e">
        <f>Nodes!I1202+"'E4!'jL"</f>
        <v>#VALUE!</v>
      </c>
      <c r="Q148" t="e">
        <f>Nodes!J1202+"'E4!'jM"</f>
        <v>#VALUE!</v>
      </c>
      <c r="R148" t="e">
        <f>Nodes!K1202+"'E4!'jN"</f>
        <v>#VALUE!</v>
      </c>
      <c r="S148" t="e">
        <f>Nodes!L1202+"'E4!'jO"</f>
        <v>#VALUE!</v>
      </c>
      <c r="T148" t="e">
        <f>Nodes!M1202+"'E4!'jP"</f>
        <v>#VALUE!</v>
      </c>
      <c r="U148" t="e">
        <f>Nodes!N1202+"'E4!'jQ"</f>
        <v>#VALUE!</v>
      </c>
      <c r="V148" t="e">
        <f>Nodes!O1202+"'E4!'jR"</f>
        <v>#VALUE!</v>
      </c>
      <c r="W148" t="e">
        <f>Nodes!P1202+"'E4!'jS"</f>
        <v>#VALUE!</v>
      </c>
      <c r="X148" t="e">
        <f>Nodes!Q1202+"'E4!'jT"</f>
        <v>#VALUE!</v>
      </c>
      <c r="Y148" t="e">
        <f>Nodes!R1202+"'E4!'jU"</f>
        <v>#VALUE!</v>
      </c>
      <c r="Z148" s="547" t="e">
        <f>Nodes!S1202+"'E4!'jV"</f>
        <v>#VALUE!</v>
      </c>
      <c r="AA148" s="547" t="e">
        <f>Nodes!T1202+"'E4!'jW"</f>
        <v>#VALUE!</v>
      </c>
      <c r="AB148" s="548" t="e">
        <f>Nodes!U1202+"'E4!'jX"</f>
        <v>#VALUE!</v>
      </c>
      <c r="AC148" s="548" t="e">
        <f>Nodes!V1202+"'E4!'jY"</f>
        <v>#VALUE!</v>
      </c>
      <c r="AD148" s="547" t="e">
        <f>Nodes!W1202+"'E4!'jZ"</f>
        <v>#VALUE!</v>
      </c>
      <c r="AE148" t="e">
        <f>Nodes!X1202+"'E4!'j["</f>
        <v>#VALUE!</v>
      </c>
      <c r="AF148" t="e">
        <f>Nodes!Y1202+"'E4!'j\"</f>
        <v>#VALUE!</v>
      </c>
      <c r="AG148" t="e">
        <f>Nodes!Z1202+"'E4!'j]"</f>
        <v>#VALUE!</v>
      </c>
      <c r="AH148" t="e">
        <f>Nodes!AA1202+"'E4!'j^"</f>
        <v>#VALUE!</v>
      </c>
      <c r="AI148" s="547" t="e">
        <f>Nodes!AB1202+"'E4!'j_"</f>
        <v>#VALUE!</v>
      </c>
      <c r="AJ148" t="e">
        <f>Nodes!AC1202+"'E4!'j`"</f>
        <v>#VALUE!</v>
      </c>
      <c r="AK148" t="e">
        <f>Nodes!A1203+"'E4!'ja"</f>
        <v>#VALUE!</v>
      </c>
      <c r="AL148" t="e">
        <f>Nodes!B1203+"'E4!'jb"</f>
        <v>#VALUE!</v>
      </c>
      <c r="AM148" t="e">
        <f>Nodes!C1203+"'E4!'jc"</f>
        <v>#VALUE!</v>
      </c>
      <c r="AN148" t="e">
        <f>Nodes!D1203+"'E4!'jd"</f>
        <v>#VALUE!</v>
      </c>
      <c r="AO148" t="e">
        <f>Nodes!E1203+"'E4!'je"</f>
        <v>#VALUE!</v>
      </c>
      <c r="AP148" t="e">
        <f>Nodes!F1203+"'E4!'jf"</f>
        <v>#VALUE!</v>
      </c>
      <c r="AQ148" t="e">
        <f>Nodes!G1203+"'E4!'jg"</f>
        <v>#VALUE!</v>
      </c>
      <c r="AR148" t="e">
        <f>Nodes!H1203+"'E4!'jh"</f>
        <v>#VALUE!</v>
      </c>
      <c r="AS148" t="e">
        <f>Nodes!I1203+"'E4!'ji"</f>
        <v>#VALUE!</v>
      </c>
      <c r="AT148" t="e">
        <f>Nodes!J1203+"'E4!'jj"</f>
        <v>#VALUE!</v>
      </c>
      <c r="AU148" t="e">
        <f>Nodes!K1203+"'E4!'jk"</f>
        <v>#VALUE!</v>
      </c>
      <c r="AV148" t="e">
        <f>Nodes!L1203+"'E4!'jl"</f>
        <v>#VALUE!</v>
      </c>
      <c r="AW148" t="e">
        <f>Nodes!M1203+"'E4!'jm"</f>
        <v>#VALUE!</v>
      </c>
      <c r="AX148" t="e">
        <f>Nodes!N1203+"'E4!'jn"</f>
        <v>#VALUE!</v>
      </c>
      <c r="AY148" t="e">
        <f>Nodes!O1203+"'E4!'jo"</f>
        <v>#VALUE!</v>
      </c>
      <c r="AZ148" t="e">
        <f>Nodes!P1203+"'E4!'jp"</f>
        <v>#VALUE!</v>
      </c>
      <c r="BA148" t="e">
        <f>Nodes!Q1203+"'E4!'jq"</f>
        <v>#VALUE!</v>
      </c>
      <c r="BB148" t="e">
        <f>Nodes!R1203+"'E4!'jr"</f>
        <v>#VALUE!</v>
      </c>
      <c r="BC148" s="547" t="e">
        <f>Nodes!S1203+"'E4!'js"</f>
        <v>#VALUE!</v>
      </c>
      <c r="BD148" s="547" t="e">
        <f>Nodes!T1203+"'E4!'jt"</f>
        <v>#VALUE!</v>
      </c>
      <c r="BE148" s="548" t="e">
        <f>Nodes!U1203+"'E4!'ju"</f>
        <v>#VALUE!</v>
      </c>
      <c r="BF148" s="548" t="e">
        <f>Nodes!V1203+"'E4!'jv"</f>
        <v>#VALUE!</v>
      </c>
      <c r="BG148" s="547" t="e">
        <f>Nodes!W1203+"'E4!'jw"</f>
        <v>#VALUE!</v>
      </c>
      <c r="BH148" t="e">
        <f>Nodes!X1203+"'E4!'jx"</f>
        <v>#VALUE!</v>
      </c>
      <c r="BI148" t="e">
        <f>Nodes!Y1203+"'E4!'jy"</f>
        <v>#VALUE!</v>
      </c>
      <c r="BJ148" t="e">
        <f>Nodes!Z1203+"'E4!'jz"</f>
        <v>#VALUE!</v>
      </c>
      <c r="BK148" t="e">
        <f>Nodes!AA1203+"'E4!'j{"</f>
        <v>#VALUE!</v>
      </c>
      <c r="BL148" t="e">
        <f>Nodes!AB1203+"'E4!'j|"</f>
        <v>#VALUE!</v>
      </c>
      <c r="BM148" t="e">
        <f>Nodes!AC1203+"'E4!'j}"</f>
        <v>#VALUE!</v>
      </c>
      <c r="BN148" t="e">
        <f>Nodes!A1204+"'E4!'j~"</f>
        <v>#VALUE!</v>
      </c>
      <c r="BO148" t="e">
        <f>Nodes!B1204+"'E4!'k#"</f>
        <v>#VALUE!</v>
      </c>
      <c r="BP148" t="e">
        <f>Nodes!C1204+"'E4!'k$"</f>
        <v>#VALUE!</v>
      </c>
      <c r="BQ148" t="e">
        <f>Nodes!D1204+"'E4!'k%"</f>
        <v>#VALUE!</v>
      </c>
      <c r="BR148" t="e">
        <f>Nodes!E1204+"'E4!'k&amp;"</f>
        <v>#VALUE!</v>
      </c>
      <c r="BS148" t="e">
        <f>Nodes!F1204+"'E4!'k'"</f>
        <v>#VALUE!</v>
      </c>
      <c r="BT148" t="e">
        <f>Nodes!G1204+"'E4!'k("</f>
        <v>#VALUE!</v>
      </c>
      <c r="BU148" t="e">
        <f>Nodes!H1204+"'E4!'k)"</f>
        <v>#VALUE!</v>
      </c>
      <c r="BV148" t="e">
        <f>Nodes!I1204+"'E4!'k."</f>
        <v>#VALUE!</v>
      </c>
      <c r="BW148" t="e">
        <f>Nodes!J1204+"'E4!'k/"</f>
        <v>#VALUE!</v>
      </c>
      <c r="BX148" t="e">
        <f>Nodes!K1204+"'E4!'k0"</f>
        <v>#VALUE!</v>
      </c>
      <c r="BY148" t="e">
        <f>Nodes!L1204+"'E4!'k1"</f>
        <v>#VALUE!</v>
      </c>
      <c r="BZ148" t="e">
        <f>Nodes!M1204+"'E4!'k2"</f>
        <v>#VALUE!</v>
      </c>
      <c r="CA148" t="e">
        <f>Nodes!N1204+"'E4!'k3"</f>
        <v>#VALUE!</v>
      </c>
      <c r="CB148" t="e">
        <f>Nodes!O1204+"'E4!'k4"</f>
        <v>#VALUE!</v>
      </c>
      <c r="CC148" t="e">
        <f>Nodes!P1204+"'E4!'k5"</f>
        <v>#VALUE!</v>
      </c>
      <c r="CD148" t="e">
        <f>Nodes!Q1204+"'E4!'k6"</f>
        <v>#VALUE!</v>
      </c>
      <c r="CE148" t="e">
        <f>Nodes!R1204+"'E4!'k7"</f>
        <v>#VALUE!</v>
      </c>
      <c r="CF148" s="547" t="e">
        <f>Nodes!S1204+"'E4!'k8"</f>
        <v>#VALUE!</v>
      </c>
      <c r="CG148" s="547" t="e">
        <f>Nodes!T1204+"'E4!'k9"</f>
        <v>#VALUE!</v>
      </c>
      <c r="CH148" s="548" t="e">
        <f>Nodes!U1204+"'E4!'k:"</f>
        <v>#VALUE!</v>
      </c>
      <c r="CI148" s="548" t="e">
        <f>Nodes!V1204+"'E4!'k;"</f>
        <v>#VALUE!</v>
      </c>
      <c r="CJ148" s="547" t="e">
        <f>Nodes!W1204+"'E4!'k&lt;"</f>
        <v>#VALUE!</v>
      </c>
      <c r="CK148" t="e">
        <f>Nodes!X1204+"'E4!'k="</f>
        <v>#VALUE!</v>
      </c>
      <c r="CL148" t="e">
        <f>Nodes!Y1204+"'E4!'k&gt;"</f>
        <v>#VALUE!</v>
      </c>
      <c r="CM148" t="e">
        <f>Nodes!Z1204+"'E4!'k?"</f>
        <v>#VALUE!</v>
      </c>
      <c r="CN148" t="e">
        <f>Nodes!AA1204+"'E4!'k@"</f>
        <v>#VALUE!</v>
      </c>
      <c r="CO148" s="547" t="e">
        <f>Nodes!AB1204+"'E4!'kA"</f>
        <v>#VALUE!</v>
      </c>
      <c r="CP148" t="e">
        <f>Nodes!AC1204+"'E4!'kB"</f>
        <v>#VALUE!</v>
      </c>
      <c r="CQ148" t="e">
        <f>Nodes!A1205+"'E4!'kC"</f>
        <v>#VALUE!</v>
      </c>
      <c r="CR148" t="e">
        <f>Nodes!B1205+"'E4!'kD"</f>
        <v>#VALUE!</v>
      </c>
      <c r="CS148" t="e">
        <f>Nodes!C1205+"'E4!'kE"</f>
        <v>#VALUE!</v>
      </c>
      <c r="CT148" t="e">
        <f>Nodes!D1205+"'E4!'kF"</f>
        <v>#VALUE!</v>
      </c>
      <c r="CU148" t="e">
        <f>Nodes!E1205+"'E4!'kG"</f>
        <v>#VALUE!</v>
      </c>
      <c r="CV148" t="e">
        <f>Nodes!F1205+"'E4!'kH"</f>
        <v>#VALUE!</v>
      </c>
      <c r="CW148" t="e">
        <f>Nodes!G1205+"'E4!'kI"</f>
        <v>#VALUE!</v>
      </c>
      <c r="CX148" t="e">
        <f>Nodes!H1205+"'E4!'kJ"</f>
        <v>#VALUE!</v>
      </c>
      <c r="CY148" t="e">
        <f>Nodes!I1205+"'E4!'kK"</f>
        <v>#VALUE!</v>
      </c>
      <c r="CZ148" t="e">
        <f>Nodes!J1205+"'E4!'kL"</f>
        <v>#VALUE!</v>
      </c>
      <c r="DA148" t="e">
        <f>Nodes!K1205+"'E4!'kM"</f>
        <v>#VALUE!</v>
      </c>
      <c r="DB148" t="e">
        <f>Nodes!L1205+"'E4!'kN"</f>
        <v>#VALUE!</v>
      </c>
      <c r="DC148" t="e">
        <f>Nodes!M1205+"'E4!'kO"</f>
        <v>#VALUE!</v>
      </c>
      <c r="DD148" t="e">
        <f>Nodes!N1205+"'E4!'kP"</f>
        <v>#VALUE!</v>
      </c>
      <c r="DE148" t="e">
        <f>Nodes!O1205+"'E4!'kQ"</f>
        <v>#VALUE!</v>
      </c>
      <c r="DF148" t="e">
        <f>Nodes!P1205+"'E4!'kR"</f>
        <v>#VALUE!</v>
      </c>
      <c r="DG148" t="e">
        <f>Nodes!Q1205+"'E4!'kS"</f>
        <v>#VALUE!</v>
      </c>
      <c r="DH148" t="e">
        <f>Nodes!R1205+"'E4!'kT"</f>
        <v>#VALUE!</v>
      </c>
      <c r="DI148" s="547" t="e">
        <f>Nodes!S1205+"'E4!'kU"</f>
        <v>#VALUE!</v>
      </c>
      <c r="DJ148" s="547" t="e">
        <f>Nodes!T1205+"'E4!'kV"</f>
        <v>#VALUE!</v>
      </c>
      <c r="DK148" s="548" t="e">
        <f>Nodes!U1205+"'E4!'kW"</f>
        <v>#VALUE!</v>
      </c>
      <c r="DL148" s="548" t="e">
        <f>Nodes!V1205+"'E4!'kX"</f>
        <v>#VALUE!</v>
      </c>
      <c r="DM148" s="547" t="e">
        <f>Nodes!W1205+"'E4!'kY"</f>
        <v>#VALUE!</v>
      </c>
      <c r="DN148" t="e">
        <f>Nodes!X1205+"'E4!'kZ"</f>
        <v>#VALUE!</v>
      </c>
      <c r="DO148" t="e">
        <f>Nodes!Y1205+"'E4!'k["</f>
        <v>#VALUE!</v>
      </c>
      <c r="DP148" t="e">
        <f>Nodes!Z1205+"'E4!'k\"</f>
        <v>#VALUE!</v>
      </c>
      <c r="DQ148" t="e">
        <f>Nodes!AA1205+"'E4!'k]"</f>
        <v>#VALUE!</v>
      </c>
      <c r="DR148" s="547" t="e">
        <f>Nodes!AB1205+"'E4!'k^"</f>
        <v>#VALUE!</v>
      </c>
      <c r="DS148" t="e">
        <f>Nodes!AC1205+"'E4!'k_"</f>
        <v>#VALUE!</v>
      </c>
      <c r="DT148" t="e">
        <f>Nodes!A1206+"'E4!'k`"</f>
        <v>#VALUE!</v>
      </c>
      <c r="DU148" t="e">
        <f>Nodes!B1206+"'E4!'ka"</f>
        <v>#VALUE!</v>
      </c>
      <c r="DV148" t="e">
        <f>Nodes!C1206+"'E4!'kb"</f>
        <v>#VALUE!</v>
      </c>
      <c r="DW148" t="e">
        <f>Nodes!D1206+"'E4!'kc"</f>
        <v>#VALUE!</v>
      </c>
      <c r="DX148" t="e">
        <f>Nodes!E1206+"'E4!'kd"</f>
        <v>#VALUE!</v>
      </c>
      <c r="DY148" t="e">
        <f>Nodes!F1206+"'E4!'ke"</f>
        <v>#VALUE!</v>
      </c>
      <c r="DZ148" t="e">
        <f>Nodes!G1206+"'E4!'kf"</f>
        <v>#VALUE!</v>
      </c>
      <c r="EA148" t="e">
        <f>Nodes!H1206+"'E4!'kg"</f>
        <v>#VALUE!</v>
      </c>
      <c r="EB148" t="e">
        <f>Nodes!I1206+"'E4!'kh"</f>
        <v>#VALUE!</v>
      </c>
      <c r="EC148" t="e">
        <f>Nodes!J1206+"'E4!'ki"</f>
        <v>#VALUE!</v>
      </c>
      <c r="ED148" t="e">
        <f>Nodes!K1206+"'E4!'kj"</f>
        <v>#VALUE!</v>
      </c>
      <c r="EE148" t="e">
        <f>Nodes!L1206+"'E4!'kk"</f>
        <v>#VALUE!</v>
      </c>
      <c r="EF148" t="e">
        <f>Nodes!M1206+"'E4!'kl"</f>
        <v>#VALUE!</v>
      </c>
      <c r="EG148" t="e">
        <f>Nodes!N1206+"'E4!'km"</f>
        <v>#VALUE!</v>
      </c>
      <c r="EH148" t="e">
        <f>Nodes!O1206+"'E4!'kn"</f>
        <v>#VALUE!</v>
      </c>
      <c r="EI148" t="e">
        <f>Nodes!P1206+"'E4!'ko"</f>
        <v>#VALUE!</v>
      </c>
      <c r="EJ148" t="e">
        <f>Nodes!Q1206+"'E4!'kp"</f>
        <v>#VALUE!</v>
      </c>
      <c r="EK148" t="e">
        <f>Nodes!R1206+"'E4!'kq"</f>
        <v>#VALUE!</v>
      </c>
      <c r="EL148" s="547" t="e">
        <f>Nodes!S1206+"'E4!'kr"</f>
        <v>#VALUE!</v>
      </c>
      <c r="EM148" s="547" t="e">
        <f>Nodes!T1206+"'E4!'ks"</f>
        <v>#VALUE!</v>
      </c>
      <c r="EN148" s="548" t="e">
        <f>Nodes!U1206+"'E4!'kt"</f>
        <v>#VALUE!</v>
      </c>
      <c r="EO148" s="548" t="e">
        <f>Nodes!V1206+"'E4!'ku"</f>
        <v>#VALUE!</v>
      </c>
      <c r="EP148" s="547" t="e">
        <f>Nodes!W1206+"'E4!'kv"</f>
        <v>#VALUE!</v>
      </c>
      <c r="EQ148" t="e">
        <f>Nodes!X1206+"'E4!'kw"</f>
        <v>#VALUE!</v>
      </c>
      <c r="ER148" t="e">
        <f>Nodes!Y1206+"'E4!'kx"</f>
        <v>#VALUE!</v>
      </c>
      <c r="ES148" t="e">
        <f>Nodes!Z1206+"'E4!'ky"</f>
        <v>#VALUE!</v>
      </c>
      <c r="ET148" t="e">
        <f>Nodes!AA1206+"'E4!'kz"</f>
        <v>#VALUE!</v>
      </c>
      <c r="EU148" s="547" t="e">
        <f>Nodes!AB1206+"'E4!'k{"</f>
        <v>#VALUE!</v>
      </c>
      <c r="EV148" t="e">
        <f>Nodes!AC1206+"'E4!'k|"</f>
        <v>#VALUE!</v>
      </c>
      <c r="EW148" t="e">
        <f>Nodes!A1207+"'E4!'k}"</f>
        <v>#VALUE!</v>
      </c>
      <c r="EX148" t="e">
        <f>Nodes!B1207+"'E4!'k~"</f>
        <v>#VALUE!</v>
      </c>
      <c r="EY148" t="e">
        <f>Nodes!C1207+"'E4!'l#"</f>
        <v>#VALUE!</v>
      </c>
      <c r="EZ148" t="e">
        <f>Nodes!D1207+"'E4!'l$"</f>
        <v>#VALUE!</v>
      </c>
      <c r="FA148" t="e">
        <f>Nodes!E1207+"'E4!'l%"</f>
        <v>#VALUE!</v>
      </c>
      <c r="FB148" t="e">
        <f>Nodes!F1207+"'E4!'l&amp;"</f>
        <v>#VALUE!</v>
      </c>
      <c r="FC148" t="e">
        <f>Nodes!G1207+"'E4!'l'"</f>
        <v>#VALUE!</v>
      </c>
      <c r="FD148" t="e">
        <f>Nodes!H1207+"'E4!'l("</f>
        <v>#VALUE!</v>
      </c>
      <c r="FE148" t="e">
        <f>Nodes!I1207+"'E4!'l)"</f>
        <v>#VALUE!</v>
      </c>
      <c r="FF148" t="e">
        <f>Nodes!J1207+"'E4!'l."</f>
        <v>#VALUE!</v>
      </c>
      <c r="FG148" t="e">
        <f>Nodes!K1207+"'E4!'l/"</f>
        <v>#VALUE!</v>
      </c>
      <c r="FH148" t="e">
        <f>Nodes!L1207+"'E4!'l0"</f>
        <v>#VALUE!</v>
      </c>
      <c r="FI148" t="e">
        <f>Nodes!M1207+"'E4!'l1"</f>
        <v>#VALUE!</v>
      </c>
      <c r="FJ148" t="e">
        <f>Nodes!N1207+"'E4!'l2"</f>
        <v>#VALUE!</v>
      </c>
      <c r="FK148" t="e">
        <f>Nodes!O1207+"'E4!'l3"</f>
        <v>#VALUE!</v>
      </c>
      <c r="FL148" t="e">
        <f>Nodes!P1207+"'E4!'l4"</f>
        <v>#VALUE!</v>
      </c>
      <c r="FM148" t="e">
        <f>Nodes!Q1207+"'E4!'l5"</f>
        <v>#VALUE!</v>
      </c>
      <c r="FN148" t="e">
        <f>Nodes!R1207+"'E4!'l6"</f>
        <v>#VALUE!</v>
      </c>
      <c r="FO148" s="547" t="e">
        <f>Nodes!S1207+"'E4!'l7"</f>
        <v>#VALUE!</v>
      </c>
      <c r="FP148" s="547" t="e">
        <f>Nodes!T1207+"'E4!'l8"</f>
        <v>#VALUE!</v>
      </c>
      <c r="FQ148" s="548" t="e">
        <f>Nodes!U1207+"'E4!'l9"</f>
        <v>#VALUE!</v>
      </c>
      <c r="FR148" s="548" t="e">
        <f>Nodes!V1207+"'E4!'l:"</f>
        <v>#VALUE!</v>
      </c>
      <c r="FS148" s="547" t="e">
        <f>Nodes!W1207+"'E4!'l;"</f>
        <v>#VALUE!</v>
      </c>
      <c r="FT148" t="e">
        <f>Nodes!X1207+"'E4!'l&lt;"</f>
        <v>#VALUE!</v>
      </c>
      <c r="FU148" t="e">
        <f>Nodes!Y1207+"'E4!'l="</f>
        <v>#VALUE!</v>
      </c>
      <c r="FV148" t="e">
        <f>Nodes!Z1207+"'E4!'l&gt;"</f>
        <v>#VALUE!</v>
      </c>
      <c r="FW148" t="e">
        <f>Nodes!AA1207+"'E4!'l?"</f>
        <v>#VALUE!</v>
      </c>
      <c r="FX148" s="547" t="e">
        <f>Nodes!AB1207+"'E4!'l@"</f>
        <v>#VALUE!</v>
      </c>
      <c r="FY148" t="e">
        <f>Nodes!AC1207+"'E4!'lA"</f>
        <v>#VALUE!</v>
      </c>
      <c r="FZ148" t="e">
        <f>Nodes!A1208+"'E4!'lB"</f>
        <v>#VALUE!</v>
      </c>
      <c r="GA148" t="e">
        <f>Nodes!B1208+"'E4!'lC"</f>
        <v>#VALUE!</v>
      </c>
      <c r="GB148" t="e">
        <f>Nodes!C1208+"'E4!'lD"</f>
        <v>#VALUE!</v>
      </c>
      <c r="GC148" t="e">
        <f>Nodes!D1208+"'E4!'lE"</f>
        <v>#VALUE!</v>
      </c>
      <c r="GD148" t="e">
        <f>Nodes!E1208+"'E4!'lF"</f>
        <v>#VALUE!</v>
      </c>
      <c r="GE148" t="e">
        <f>Nodes!F1208+"'E4!'lG"</f>
        <v>#VALUE!</v>
      </c>
      <c r="GF148" t="e">
        <f>Nodes!G1208+"'E4!'lH"</f>
        <v>#VALUE!</v>
      </c>
      <c r="GG148" t="e">
        <f>Nodes!H1208+"'E4!'lI"</f>
        <v>#VALUE!</v>
      </c>
      <c r="GH148" t="e">
        <f>Nodes!I1208+"'E4!'lJ"</f>
        <v>#VALUE!</v>
      </c>
      <c r="GI148" t="e">
        <f>Nodes!J1208+"'E4!'lK"</f>
        <v>#VALUE!</v>
      </c>
      <c r="GJ148" t="e">
        <f>Nodes!K1208+"'E4!'lL"</f>
        <v>#VALUE!</v>
      </c>
      <c r="GK148" t="e">
        <f>Nodes!L1208+"'E4!'lM"</f>
        <v>#VALUE!</v>
      </c>
      <c r="GL148" t="e">
        <f>Nodes!M1208+"'E4!'lN"</f>
        <v>#VALUE!</v>
      </c>
      <c r="GM148" t="e">
        <f>Nodes!N1208+"'E4!'lO"</f>
        <v>#VALUE!</v>
      </c>
      <c r="GN148" t="e">
        <f>Nodes!O1208+"'E4!'lP"</f>
        <v>#VALUE!</v>
      </c>
      <c r="GO148" t="e">
        <f>Nodes!P1208+"'E4!'lQ"</f>
        <v>#VALUE!</v>
      </c>
      <c r="GP148" t="e">
        <f>Nodes!Q1208+"'E4!'lR"</f>
        <v>#VALUE!</v>
      </c>
      <c r="GQ148" t="e">
        <f>Nodes!R1208+"'E4!'lS"</f>
        <v>#VALUE!</v>
      </c>
      <c r="GR148" s="547" t="e">
        <f>Nodes!S1208+"'E4!'lT"</f>
        <v>#VALUE!</v>
      </c>
      <c r="GS148" s="547" t="e">
        <f>Nodes!T1208+"'E4!'lU"</f>
        <v>#VALUE!</v>
      </c>
      <c r="GT148" s="548" t="e">
        <f>Nodes!U1208+"'E4!'lV"</f>
        <v>#VALUE!</v>
      </c>
      <c r="GU148" s="548" t="e">
        <f>Nodes!V1208+"'E4!'lW"</f>
        <v>#VALUE!</v>
      </c>
      <c r="GV148" s="547" t="e">
        <f>Nodes!W1208+"'E4!'lX"</f>
        <v>#VALUE!</v>
      </c>
      <c r="GW148" t="e">
        <f>Nodes!X1208+"'E4!'lY"</f>
        <v>#VALUE!</v>
      </c>
      <c r="GX148" t="e">
        <f>Nodes!Y1208+"'E4!'lZ"</f>
        <v>#VALUE!</v>
      </c>
      <c r="GY148" t="e">
        <f>Nodes!Z1208+"'E4!'l["</f>
        <v>#VALUE!</v>
      </c>
      <c r="GZ148" t="e">
        <f>Nodes!AA1208+"'E4!'l\"</f>
        <v>#VALUE!</v>
      </c>
      <c r="HA148" s="547" t="e">
        <f>Nodes!AB1208+"'E4!'l]"</f>
        <v>#VALUE!</v>
      </c>
      <c r="HB148" t="e">
        <f>Nodes!AC1208+"'E4!'l^"</f>
        <v>#VALUE!</v>
      </c>
      <c r="HC148" t="e">
        <f>Nodes!A1209+"'E4!'l_"</f>
        <v>#VALUE!</v>
      </c>
      <c r="HD148" t="e">
        <f>Nodes!B1209+"'E4!'l`"</f>
        <v>#VALUE!</v>
      </c>
      <c r="HE148" t="e">
        <f>Nodes!C1209+"'E4!'la"</f>
        <v>#VALUE!</v>
      </c>
      <c r="HF148" t="e">
        <f>Nodes!D1209+"'E4!'lb"</f>
        <v>#VALUE!</v>
      </c>
      <c r="HG148" t="e">
        <f>Nodes!E1209+"'E4!'lc"</f>
        <v>#VALUE!</v>
      </c>
      <c r="HH148" t="e">
        <f>Nodes!F1209+"'E4!'ld"</f>
        <v>#VALUE!</v>
      </c>
      <c r="HI148" t="e">
        <f>Nodes!G1209+"'E4!'le"</f>
        <v>#VALUE!</v>
      </c>
      <c r="HJ148" t="e">
        <f>Nodes!H1209+"'E4!'lf"</f>
        <v>#VALUE!</v>
      </c>
      <c r="HK148" t="e">
        <f>Nodes!I1209+"'E4!'lg"</f>
        <v>#VALUE!</v>
      </c>
      <c r="HL148" t="e">
        <f>Nodes!J1209+"'E4!'lh"</f>
        <v>#VALUE!</v>
      </c>
      <c r="HM148" t="e">
        <f>Nodes!K1209+"'E4!'li"</f>
        <v>#VALUE!</v>
      </c>
      <c r="HN148" t="e">
        <f>Nodes!L1209+"'E4!'lj"</f>
        <v>#VALUE!</v>
      </c>
      <c r="HO148" t="e">
        <f>Nodes!M1209+"'E4!'lk"</f>
        <v>#VALUE!</v>
      </c>
      <c r="HP148" t="e">
        <f>Nodes!N1209+"'E4!'ll"</f>
        <v>#VALUE!</v>
      </c>
      <c r="HQ148" t="e">
        <f>Nodes!O1209+"'E4!'lm"</f>
        <v>#VALUE!</v>
      </c>
      <c r="HR148" t="e">
        <f>Nodes!P1209+"'E4!'ln"</f>
        <v>#VALUE!</v>
      </c>
      <c r="HS148" t="e">
        <f>Nodes!Q1209+"'E4!'lo"</f>
        <v>#VALUE!</v>
      </c>
      <c r="HT148" t="e">
        <f>Nodes!R1209+"'E4!'lp"</f>
        <v>#VALUE!</v>
      </c>
      <c r="HU148" s="547" t="e">
        <f>Nodes!S1209+"'E4!'lq"</f>
        <v>#VALUE!</v>
      </c>
      <c r="HV148" s="547" t="e">
        <f>Nodes!T1209+"'E4!'lr"</f>
        <v>#VALUE!</v>
      </c>
      <c r="HW148" s="548" t="e">
        <f>Nodes!U1209+"'E4!'ls"</f>
        <v>#VALUE!</v>
      </c>
      <c r="HX148" s="548" t="e">
        <f>Nodes!V1209+"'E4!'lt"</f>
        <v>#VALUE!</v>
      </c>
      <c r="HY148" s="547" t="e">
        <f>Nodes!W1209+"'E4!'lu"</f>
        <v>#VALUE!</v>
      </c>
      <c r="HZ148" t="e">
        <f>Nodes!X1209+"'E4!'lv"</f>
        <v>#VALUE!</v>
      </c>
      <c r="IA148" t="e">
        <f>Nodes!Y1209+"'E4!'lw"</f>
        <v>#VALUE!</v>
      </c>
      <c r="IB148" t="e">
        <f>Nodes!Z1209+"'E4!'lx"</f>
        <v>#VALUE!</v>
      </c>
      <c r="IC148" t="e">
        <f>Nodes!AA1209+"'E4!'ly"</f>
        <v>#VALUE!</v>
      </c>
      <c r="ID148" s="547" t="e">
        <f>Nodes!AB1209+"'E4!'lz"</f>
        <v>#VALUE!</v>
      </c>
      <c r="IE148" t="e">
        <f>Nodes!AC1209+"'E4!'l{"</f>
        <v>#VALUE!</v>
      </c>
      <c r="IF148" t="e">
        <f>Nodes!A1210+"'E4!'l|"</f>
        <v>#VALUE!</v>
      </c>
      <c r="IG148" t="e">
        <f>Nodes!B1210+"'E4!'l}"</f>
        <v>#VALUE!</v>
      </c>
      <c r="IH148" t="e">
        <f>Nodes!C1210+"'E4!'l~"</f>
        <v>#VALUE!</v>
      </c>
      <c r="II148" t="e">
        <f>Nodes!D1210+"'E4!'m#"</f>
        <v>#VALUE!</v>
      </c>
      <c r="IJ148" t="e">
        <f>Nodes!E1210+"'E4!'m$"</f>
        <v>#VALUE!</v>
      </c>
      <c r="IK148" t="e">
        <f>Nodes!F1210+"'E4!'m%"</f>
        <v>#VALUE!</v>
      </c>
      <c r="IL148" t="e">
        <f>Nodes!G1210+"'E4!'m&amp;"</f>
        <v>#VALUE!</v>
      </c>
      <c r="IM148" t="e">
        <f>Nodes!H1210+"'E4!'m'"</f>
        <v>#VALUE!</v>
      </c>
      <c r="IN148" t="e">
        <f>Nodes!I1210+"'E4!'m("</f>
        <v>#VALUE!</v>
      </c>
      <c r="IO148" t="e">
        <f>Nodes!J1210+"'E4!'m)"</f>
        <v>#VALUE!</v>
      </c>
      <c r="IP148" t="e">
        <f>Nodes!K1210+"'E4!'m."</f>
        <v>#VALUE!</v>
      </c>
      <c r="IQ148" t="e">
        <f>Nodes!L1210+"'E4!'m/"</f>
        <v>#VALUE!</v>
      </c>
      <c r="IR148" t="e">
        <f>Nodes!M1210+"'E4!'m0"</f>
        <v>#VALUE!</v>
      </c>
      <c r="IS148" t="e">
        <f>Nodes!N1210+"'E4!'m1"</f>
        <v>#VALUE!</v>
      </c>
      <c r="IT148" t="e">
        <f>Nodes!O1210+"'E4!'m2"</f>
        <v>#VALUE!</v>
      </c>
      <c r="IU148" t="e">
        <f>Nodes!P1210+"'E4!'m3"</f>
        <v>#VALUE!</v>
      </c>
      <c r="IV148" t="e">
        <f>Nodes!Q1210+"'E4!'m4"</f>
        <v>#VALUE!</v>
      </c>
    </row>
    <row r="149" spans="6:256">
      <c r="F149" t="e">
        <f>Nodes!R1210+"'E4!'m5"</f>
        <v>#N/A</v>
      </c>
      <c r="G149" s="547" t="e">
        <f>Nodes!S1210+"'E4!'m6"</f>
        <v>#N/A</v>
      </c>
      <c r="H149" s="547" t="e">
        <f>Nodes!T1210+"'E4!'m7"</f>
        <v>#VALUE!</v>
      </c>
      <c r="I149" s="548" t="e">
        <f>Nodes!U1210+"'E4!'m8"</f>
        <v>#N/A</v>
      </c>
      <c r="J149" s="548" t="e">
        <f>Nodes!V1210+"'E4!'m9"</f>
        <v>#N/A</v>
      </c>
      <c r="K149" s="547" t="e">
        <f>Nodes!W1210+"'E4!'m:"</f>
        <v>#VALUE!</v>
      </c>
      <c r="L149" t="e">
        <f>Nodes!X1210+"'E4!'m;"</f>
        <v>#VALUE!</v>
      </c>
      <c r="M149" t="e">
        <f>Nodes!Y1210+"'E4!'m&lt;"</f>
        <v>#VALUE!</v>
      </c>
      <c r="N149" t="e">
        <f>Nodes!Z1210+"'E4!'m="</f>
        <v>#VALUE!</v>
      </c>
      <c r="O149" t="e">
        <f>Nodes!AA1210+"'E4!'m&gt;"</f>
        <v>#VALUE!</v>
      </c>
      <c r="P149" s="547" t="e">
        <f>Nodes!AB1210+"'E4!'m?"</f>
        <v>#VALUE!</v>
      </c>
      <c r="Q149" t="e">
        <f>Nodes!AC1210+"'E4!'m@"</f>
        <v>#VALUE!</v>
      </c>
      <c r="R149" t="e">
        <f>Nodes!A1211+"'E4!'mA"</f>
        <v>#VALUE!</v>
      </c>
      <c r="S149" t="e">
        <f>Nodes!B1211+"'E4!'mB"</f>
        <v>#VALUE!</v>
      </c>
      <c r="T149" t="e">
        <f>Nodes!C1211+"'E4!'mC"</f>
        <v>#VALUE!</v>
      </c>
      <c r="U149" t="e">
        <f>Nodes!D1211+"'E4!'mD"</f>
        <v>#VALUE!</v>
      </c>
      <c r="V149" t="e">
        <f>Nodes!E1211+"'E4!'mE"</f>
        <v>#VALUE!</v>
      </c>
      <c r="W149" t="e">
        <f>Nodes!F1211+"'E4!'mF"</f>
        <v>#VALUE!</v>
      </c>
      <c r="X149" t="e">
        <f>Nodes!G1211+"'E4!'mG"</f>
        <v>#VALUE!</v>
      </c>
      <c r="Y149" t="e">
        <f>Nodes!H1211+"'E4!'mH"</f>
        <v>#VALUE!</v>
      </c>
      <c r="Z149" t="e">
        <f>Nodes!I1211+"'E4!'mI"</f>
        <v>#VALUE!</v>
      </c>
      <c r="AA149" t="e">
        <f>Nodes!J1211+"'E4!'mJ"</f>
        <v>#VALUE!</v>
      </c>
      <c r="AB149" t="e">
        <f>Nodes!K1211+"'E4!'mK"</f>
        <v>#VALUE!</v>
      </c>
      <c r="AC149" t="e">
        <f>Nodes!L1211+"'E4!'mL"</f>
        <v>#VALUE!</v>
      </c>
      <c r="AD149" t="e">
        <f>Nodes!M1211+"'E4!'mM"</f>
        <v>#VALUE!</v>
      </c>
      <c r="AE149" t="e">
        <f>Nodes!N1211+"'E4!'mN"</f>
        <v>#VALUE!</v>
      </c>
      <c r="AF149" t="e">
        <f>Nodes!O1211+"'E4!'mO"</f>
        <v>#VALUE!</v>
      </c>
      <c r="AG149" t="e">
        <f>Nodes!P1211+"'E4!'mP"</f>
        <v>#VALUE!</v>
      </c>
      <c r="AH149" t="e">
        <f>Nodes!Q1211+"'E4!'mQ"</f>
        <v>#VALUE!</v>
      </c>
      <c r="AI149" t="e">
        <f>Nodes!R1211+"'E4!'mR"</f>
        <v>#N/A</v>
      </c>
      <c r="AJ149" s="547" t="e">
        <f>Nodes!S1211+"'E4!'mS"</f>
        <v>#N/A</v>
      </c>
      <c r="AK149" s="547" t="e">
        <f>Nodes!T1211+"'E4!'mT"</f>
        <v>#VALUE!</v>
      </c>
      <c r="AL149" s="548" t="e">
        <f>Nodes!U1211+"'E4!'mU"</f>
        <v>#N/A</v>
      </c>
      <c r="AM149" s="548" t="e">
        <f>Nodes!V1211+"'E4!'mV"</f>
        <v>#N/A</v>
      </c>
      <c r="AN149" s="547" t="e">
        <f>Nodes!W1211+"'E4!'mW"</f>
        <v>#VALUE!</v>
      </c>
      <c r="AO149" t="e">
        <f>Nodes!X1211+"'E4!'mX"</f>
        <v>#VALUE!</v>
      </c>
      <c r="AP149" t="e">
        <f>Nodes!Y1211+"'E4!'mY"</f>
        <v>#VALUE!</v>
      </c>
      <c r="AQ149" t="e">
        <f>Nodes!Z1211+"'E4!'mZ"</f>
        <v>#VALUE!</v>
      </c>
      <c r="AR149" t="e">
        <f>Nodes!AA1211+"'E4!'m["</f>
        <v>#VALUE!</v>
      </c>
      <c r="AS149" s="547" t="e">
        <f>Nodes!AB1211+"'E4!'m\"</f>
        <v>#VALUE!</v>
      </c>
      <c r="AT149" t="e">
        <f>Nodes!AC1211+"'E4!'m]"</f>
        <v>#VALUE!</v>
      </c>
      <c r="AU149" t="e">
        <f>Nodes!A1212+"'E4!'m^"</f>
        <v>#VALUE!</v>
      </c>
      <c r="AV149" t="e">
        <f>Nodes!B1212+"'E4!'m_"</f>
        <v>#VALUE!</v>
      </c>
      <c r="AW149" t="e">
        <f>Nodes!C1212+"'E4!'m`"</f>
        <v>#VALUE!</v>
      </c>
      <c r="AX149" t="e">
        <f>Nodes!D1212+"'E4!'ma"</f>
        <v>#VALUE!</v>
      </c>
      <c r="AY149" t="e">
        <f>Nodes!E1212+"'E4!'mb"</f>
        <v>#VALUE!</v>
      </c>
      <c r="AZ149" t="e">
        <f>Nodes!F1212+"'E4!'mc"</f>
        <v>#VALUE!</v>
      </c>
      <c r="BA149" t="e">
        <f>Nodes!G1212+"'E4!'md"</f>
        <v>#VALUE!</v>
      </c>
      <c r="BB149" t="e">
        <f>Nodes!H1212+"'E4!'me"</f>
        <v>#VALUE!</v>
      </c>
      <c r="BC149" t="e">
        <f>Nodes!I1212+"'E4!'mf"</f>
        <v>#VALUE!</v>
      </c>
      <c r="BD149" t="e">
        <f>Nodes!J1212+"'E4!'mg"</f>
        <v>#VALUE!</v>
      </c>
      <c r="BE149" t="e">
        <f>Nodes!K1212+"'E4!'mh"</f>
        <v>#VALUE!</v>
      </c>
      <c r="BF149" t="e">
        <f>Nodes!L1212+"'E4!'mi"</f>
        <v>#VALUE!</v>
      </c>
      <c r="BG149" t="e">
        <f>Nodes!M1212+"'E4!'mj"</f>
        <v>#VALUE!</v>
      </c>
      <c r="BH149" t="e">
        <f>Nodes!N1212+"'E4!'mk"</f>
        <v>#VALUE!</v>
      </c>
      <c r="BI149" t="e">
        <f>Nodes!O1212+"'E4!'ml"</f>
        <v>#VALUE!</v>
      </c>
      <c r="BJ149" t="e">
        <f>Nodes!P1212+"'E4!'mm"</f>
        <v>#VALUE!</v>
      </c>
      <c r="BK149" t="e">
        <f>Nodes!Q1212+"'E4!'mn"</f>
        <v>#VALUE!</v>
      </c>
      <c r="BL149" t="e">
        <f>Nodes!R1212+"'E4!'mo"</f>
        <v>#N/A</v>
      </c>
      <c r="BM149" s="547" t="e">
        <f>Nodes!S1212+"'E4!'mp"</f>
        <v>#N/A</v>
      </c>
      <c r="BN149" s="547" t="e">
        <f>Nodes!T1212+"'E4!'mq"</f>
        <v>#VALUE!</v>
      </c>
      <c r="BO149" s="548" t="e">
        <f>Nodes!U1212+"'E4!'mr"</f>
        <v>#N/A</v>
      </c>
      <c r="BP149" s="548" t="e">
        <f>Nodes!V1212+"'E4!'ms"</f>
        <v>#N/A</v>
      </c>
      <c r="BQ149" s="547" t="e">
        <f>Nodes!W1212+"'E4!'mt"</f>
        <v>#VALUE!</v>
      </c>
      <c r="BR149" t="e">
        <f>Nodes!X1212+"'E4!'mu"</f>
        <v>#VALUE!</v>
      </c>
      <c r="BS149" t="e">
        <f>Nodes!Y1212+"'E4!'mv"</f>
        <v>#VALUE!</v>
      </c>
      <c r="BT149" t="e">
        <f>Nodes!Z1212+"'E4!'mw"</f>
        <v>#VALUE!</v>
      </c>
      <c r="BU149" t="e">
        <f>Nodes!AA1212+"'E4!'mx"</f>
        <v>#VALUE!</v>
      </c>
      <c r="BV149" s="547" t="e">
        <f>Nodes!AB1212+"'E4!'my"</f>
        <v>#VALUE!</v>
      </c>
      <c r="BW149" t="e">
        <f>Nodes!AC1212+"'E4!'mz"</f>
        <v>#VALUE!</v>
      </c>
      <c r="BX149" t="e">
        <f>Nodes!A1213+"'E4!'m{"</f>
        <v>#VALUE!</v>
      </c>
      <c r="BY149" t="e">
        <f>Nodes!B1213+"'E4!'m|"</f>
        <v>#VALUE!</v>
      </c>
      <c r="BZ149" t="e">
        <f>Nodes!C1213+"'E4!'m}"</f>
        <v>#VALUE!</v>
      </c>
      <c r="CA149" t="e">
        <f>Nodes!D1213+"'E4!'m~"</f>
        <v>#VALUE!</v>
      </c>
      <c r="CB149" t="e">
        <f>Nodes!E1213+"'E4!'n#"</f>
        <v>#VALUE!</v>
      </c>
      <c r="CC149" t="e">
        <f>Nodes!F1213+"'E4!'n$"</f>
        <v>#VALUE!</v>
      </c>
      <c r="CD149" t="e">
        <f>Nodes!G1213+"'E4!'n%"</f>
        <v>#VALUE!</v>
      </c>
      <c r="CE149" t="e">
        <f>Nodes!H1213+"'E4!'n&amp;"</f>
        <v>#VALUE!</v>
      </c>
      <c r="CF149" t="e">
        <f>Nodes!I1213+"'E4!'n'"</f>
        <v>#VALUE!</v>
      </c>
      <c r="CG149" t="e">
        <f>Nodes!J1213+"'E4!'n("</f>
        <v>#VALUE!</v>
      </c>
      <c r="CH149" t="e">
        <f>Nodes!K1213+"'E4!'n)"</f>
        <v>#VALUE!</v>
      </c>
      <c r="CI149" t="e">
        <f>Nodes!L1213+"'E4!'n."</f>
        <v>#VALUE!</v>
      </c>
      <c r="CJ149" t="e">
        <f>Nodes!M1213+"'E4!'n/"</f>
        <v>#VALUE!</v>
      </c>
      <c r="CK149" t="e">
        <f>Nodes!N1213+"'E4!'n0"</f>
        <v>#VALUE!</v>
      </c>
      <c r="CL149" t="e">
        <f>Nodes!O1213+"'E4!'n1"</f>
        <v>#VALUE!</v>
      </c>
      <c r="CM149" t="e">
        <f>Nodes!P1213+"'E4!'n2"</f>
        <v>#VALUE!</v>
      </c>
      <c r="CN149" t="e">
        <f>Nodes!Q1213+"'E4!'n3"</f>
        <v>#VALUE!</v>
      </c>
      <c r="CO149" t="e">
        <f>Nodes!R1213+"'E4!'n4"</f>
        <v>#VALUE!</v>
      </c>
      <c r="CP149" s="547" t="e">
        <f>Nodes!S1213+"'E4!'n5"</f>
        <v>#VALUE!</v>
      </c>
      <c r="CQ149" s="547" t="e">
        <f>Nodes!T1213+"'E4!'n6"</f>
        <v>#VALUE!</v>
      </c>
      <c r="CR149" s="548" t="e">
        <f>Nodes!U1213+"'E4!'n7"</f>
        <v>#VALUE!</v>
      </c>
      <c r="CS149" s="548" t="e">
        <f>Nodes!V1213+"'E4!'n8"</f>
        <v>#VALUE!</v>
      </c>
      <c r="CT149" s="547" t="e">
        <f>Nodes!W1213+"'E4!'n9"</f>
        <v>#VALUE!</v>
      </c>
      <c r="CU149" t="e">
        <f>Nodes!X1213+"'E4!'n:"</f>
        <v>#VALUE!</v>
      </c>
      <c r="CV149" t="e">
        <f>Nodes!Y1213+"'E4!'n;"</f>
        <v>#VALUE!</v>
      </c>
      <c r="CW149" t="e">
        <f>Nodes!Z1213+"'E4!'n&lt;"</f>
        <v>#VALUE!</v>
      </c>
      <c r="CX149" t="e">
        <f>Nodes!AA1213+"'E4!'n="</f>
        <v>#VALUE!</v>
      </c>
      <c r="CY149" s="547" t="e">
        <f>Nodes!AB1213+"'E4!'n&gt;"</f>
        <v>#VALUE!</v>
      </c>
      <c r="CZ149" t="e">
        <f>Nodes!AC1213+"'E4!'n?"</f>
        <v>#VALUE!</v>
      </c>
      <c r="DA149" t="e">
        <f>Nodes!A1214+"'E4!'n@"</f>
        <v>#VALUE!</v>
      </c>
      <c r="DB149" t="e">
        <f>Nodes!B1214+"'E4!'nA"</f>
        <v>#VALUE!</v>
      </c>
      <c r="DC149" t="e">
        <f>Nodes!C1214+"'E4!'nB"</f>
        <v>#VALUE!</v>
      </c>
      <c r="DD149" t="e">
        <f>Nodes!D1214+"'E4!'nC"</f>
        <v>#VALUE!</v>
      </c>
      <c r="DE149" t="e">
        <f>Nodes!E1214+"'E4!'nD"</f>
        <v>#VALUE!</v>
      </c>
      <c r="DF149" t="e">
        <f>Nodes!F1214+"'E4!'nE"</f>
        <v>#VALUE!</v>
      </c>
      <c r="DG149" t="e">
        <f>Nodes!G1214+"'E4!'nF"</f>
        <v>#VALUE!</v>
      </c>
      <c r="DH149" t="e">
        <f>Nodes!H1214+"'E4!'nG"</f>
        <v>#VALUE!</v>
      </c>
      <c r="DI149" t="e">
        <f>Nodes!I1214+"'E4!'nH"</f>
        <v>#VALUE!</v>
      </c>
      <c r="DJ149" t="e">
        <f>Nodes!J1214+"'E4!'nI"</f>
        <v>#VALUE!</v>
      </c>
      <c r="DK149" t="e">
        <f>Nodes!K1214+"'E4!'nJ"</f>
        <v>#VALUE!</v>
      </c>
      <c r="DL149" t="e">
        <f>Nodes!L1214+"'E4!'nK"</f>
        <v>#VALUE!</v>
      </c>
      <c r="DM149" t="e">
        <f>Nodes!M1214+"'E4!'nL"</f>
        <v>#VALUE!</v>
      </c>
      <c r="DN149" t="e">
        <f>Nodes!N1214+"'E4!'nM"</f>
        <v>#VALUE!</v>
      </c>
      <c r="DO149" t="e">
        <f>Nodes!O1214+"'E4!'nN"</f>
        <v>#VALUE!</v>
      </c>
      <c r="DP149" t="e">
        <f>Nodes!P1214+"'E4!'nO"</f>
        <v>#VALUE!</v>
      </c>
      <c r="DQ149" t="e">
        <f>Nodes!Q1214+"'E4!'nP"</f>
        <v>#VALUE!</v>
      </c>
      <c r="DR149" t="e">
        <f>Nodes!R1214+"'E4!'nQ"</f>
        <v>#N/A</v>
      </c>
      <c r="DS149" s="547" t="e">
        <f>Nodes!S1214+"'E4!'nR"</f>
        <v>#N/A</v>
      </c>
      <c r="DT149" s="547" t="e">
        <f>Nodes!T1214+"'E4!'nS"</f>
        <v>#VALUE!</v>
      </c>
      <c r="DU149" s="548" t="e">
        <f>Nodes!U1214+"'E4!'nT"</f>
        <v>#N/A</v>
      </c>
      <c r="DV149" s="548" t="e">
        <f>Nodes!V1214+"'E4!'nU"</f>
        <v>#N/A</v>
      </c>
      <c r="DW149" s="547" t="e">
        <f>Nodes!W1214+"'E4!'nV"</f>
        <v>#VALUE!</v>
      </c>
      <c r="DX149" t="e">
        <f>Nodes!X1214+"'E4!'nW"</f>
        <v>#VALUE!</v>
      </c>
      <c r="DY149" t="e">
        <f>Nodes!Y1214+"'E4!'nX"</f>
        <v>#VALUE!</v>
      </c>
      <c r="DZ149" t="e">
        <f>Nodes!Z1214+"'E4!'nY"</f>
        <v>#VALUE!</v>
      </c>
      <c r="EA149" t="e">
        <f>Nodes!AA1214+"'E4!'nZ"</f>
        <v>#VALUE!</v>
      </c>
      <c r="EB149" s="547" t="e">
        <f>Nodes!AB1214+"'E4!'n["</f>
        <v>#VALUE!</v>
      </c>
      <c r="EC149" t="e">
        <f>Nodes!AC1214+"'E4!'n\"</f>
        <v>#VALUE!</v>
      </c>
      <c r="ED149" t="e">
        <f>Nodes!A1215+"'E4!'n]"</f>
        <v>#VALUE!</v>
      </c>
      <c r="EE149" t="e">
        <f>Nodes!B1215+"'E4!'n^"</f>
        <v>#VALUE!</v>
      </c>
      <c r="EF149" t="e">
        <f>Nodes!C1215+"'E4!'n_"</f>
        <v>#VALUE!</v>
      </c>
      <c r="EG149" t="e">
        <f>Nodes!D1215+"'E4!'n`"</f>
        <v>#VALUE!</v>
      </c>
      <c r="EH149" t="e">
        <f>Nodes!E1215+"'E4!'na"</f>
        <v>#VALUE!</v>
      </c>
      <c r="EI149" t="e">
        <f>Nodes!F1215+"'E4!'nb"</f>
        <v>#VALUE!</v>
      </c>
      <c r="EJ149" t="e">
        <f>Nodes!G1215+"'E4!'nc"</f>
        <v>#VALUE!</v>
      </c>
      <c r="EK149" t="e">
        <f>Nodes!H1215+"'E4!'nd"</f>
        <v>#VALUE!</v>
      </c>
      <c r="EL149" t="e">
        <f>Nodes!I1215+"'E4!'ne"</f>
        <v>#VALUE!</v>
      </c>
      <c r="EM149" t="e">
        <f>Nodes!J1215+"'E4!'nf"</f>
        <v>#VALUE!</v>
      </c>
      <c r="EN149" t="e">
        <f>Nodes!K1215+"'E4!'ng"</f>
        <v>#VALUE!</v>
      </c>
      <c r="EO149" t="e">
        <f>Nodes!L1215+"'E4!'nh"</f>
        <v>#VALUE!</v>
      </c>
      <c r="EP149" t="e">
        <f>Nodes!M1215+"'E4!'ni"</f>
        <v>#VALUE!</v>
      </c>
      <c r="EQ149" t="e">
        <f>Nodes!N1215+"'E4!'nj"</f>
        <v>#VALUE!</v>
      </c>
      <c r="ER149" t="e">
        <f>Nodes!O1215+"'E4!'nk"</f>
        <v>#VALUE!</v>
      </c>
      <c r="ES149" t="e">
        <f>Nodes!P1215+"'E4!'nl"</f>
        <v>#VALUE!</v>
      </c>
      <c r="ET149" t="e">
        <f>Nodes!Q1215+"'E4!'nm"</f>
        <v>#VALUE!</v>
      </c>
      <c r="EU149" t="e">
        <f>Nodes!R1215+"'E4!'nn"</f>
        <v>#VALUE!</v>
      </c>
      <c r="EV149" s="547" t="e">
        <f>Nodes!S1215+"'E4!'no"</f>
        <v>#VALUE!</v>
      </c>
      <c r="EW149" s="547" t="e">
        <f>Nodes!T1215+"'E4!'np"</f>
        <v>#VALUE!</v>
      </c>
      <c r="EX149" s="548" t="e">
        <f>Nodes!U1215+"'E4!'nq"</f>
        <v>#VALUE!</v>
      </c>
      <c r="EY149" s="548" t="e">
        <f>Nodes!V1215+"'E4!'nr"</f>
        <v>#VALUE!</v>
      </c>
      <c r="EZ149" s="547" t="e">
        <f>Nodes!W1215+"'E4!'ns"</f>
        <v>#VALUE!</v>
      </c>
      <c r="FA149" t="e">
        <f>Nodes!X1215+"'E4!'nt"</f>
        <v>#VALUE!</v>
      </c>
      <c r="FB149" t="e">
        <f>Nodes!Y1215+"'E4!'nu"</f>
        <v>#VALUE!</v>
      </c>
      <c r="FC149" t="e">
        <f>Nodes!Z1215+"'E4!'nv"</f>
        <v>#VALUE!</v>
      </c>
      <c r="FD149" t="e">
        <f>Nodes!AA1215+"'E4!'nw"</f>
        <v>#VALUE!</v>
      </c>
      <c r="FE149" s="547" t="e">
        <f>Nodes!AB1215+"'E4!'nx"</f>
        <v>#VALUE!</v>
      </c>
      <c r="FF149" t="e">
        <f>Nodes!AC1215+"'E4!'ny"</f>
        <v>#VALUE!</v>
      </c>
      <c r="FG149" t="e">
        <f>Nodes!A1216+"'E4!'nz"</f>
        <v>#VALUE!</v>
      </c>
      <c r="FH149" t="e">
        <f>Nodes!B1216+"'E4!'n{"</f>
        <v>#VALUE!</v>
      </c>
      <c r="FI149" t="e">
        <f>Nodes!C1216+"'E4!'n|"</f>
        <v>#VALUE!</v>
      </c>
      <c r="FJ149" t="e">
        <f>Nodes!D1216+"'E4!'n}"</f>
        <v>#VALUE!</v>
      </c>
      <c r="FK149" t="e">
        <f>Nodes!E1216+"'E4!'n~"</f>
        <v>#VALUE!</v>
      </c>
      <c r="FL149" t="e">
        <f>Nodes!F1216+"'E4!'o#"</f>
        <v>#VALUE!</v>
      </c>
      <c r="FM149" t="e">
        <f>Nodes!G1216+"'E4!'o$"</f>
        <v>#VALUE!</v>
      </c>
      <c r="FN149" t="e">
        <f>Nodes!H1216+"'E4!'o%"</f>
        <v>#VALUE!</v>
      </c>
      <c r="FO149" t="e">
        <f>Nodes!I1216+"'E4!'o&amp;"</f>
        <v>#VALUE!</v>
      </c>
      <c r="FP149" t="e">
        <f>Nodes!J1216+"'E4!'o'"</f>
        <v>#VALUE!</v>
      </c>
      <c r="FQ149" t="e">
        <f>Nodes!K1216+"'E4!'o("</f>
        <v>#VALUE!</v>
      </c>
      <c r="FR149" t="e">
        <f>Nodes!L1216+"'E4!'o)"</f>
        <v>#VALUE!</v>
      </c>
      <c r="FS149" t="e">
        <f>Nodes!M1216+"'E4!'o."</f>
        <v>#VALUE!</v>
      </c>
      <c r="FT149" t="e">
        <f>Nodes!N1216+"'E4!'o/"</f>
        <v>#VALUE!</v>
      </c>
      <c r="FU149" t="e">
        <f>Nodes!O1216+"'E4!'o0"</f>
        <v>#VALUE!</v>
      </c>
      <c r="FV149" t="e">
        <f>Nodes!P1216+"'E4!'o1"</f>
        <v>#VALUE!</v>
      </c>
      <c r="FW149" t="e">
        <f>Nodes!Q1216+"'E4!'o2"</f>
        <v>#VALUE!</v>
      </c>
      <c r="FX149" t="e">
        <f>Nodes!R1216+"'E4!'o3"</f>
        <v>#VALUE!</v>
      </c>
      <c r="FY149" s="547" t="e">
        <f>Nodes!S1216+"'E4!'o4"</f>
        <v>#VALUE!</v>
      </c>
      <c r="FZ149" s="547" t="e">
        <f>Nodes!T1216+"'E4!'o5"</f>
        <v>#VALUE!</v>
      </c>
      <c r="GA149" s="548" t="e">
        <f>Nodes!U1216+"'E4!'o6"</f>
        <v>#VALUE!</v>
      </c>
      <c r="GB149" s="548" t="e">
        <f>Nodes!V1216+"'E4!'o7"</f>
        <v>#VALUE!</v>
      </c>
      <c r="GC149" s="547" t="e">
        <f>Nodes!W1216+"'E4!'o8"</f>
        <v>#VALUE!</v>
      </c>
      <c r="GD149" t="e">
        <f>Nodes!X1216+"'E4!'o9"</f>
        <v>#VALUE!</v>
      </c>
      <c r="GE149" t="e">
        <f>Nodes!Y1216+"'E4!'o:"</f>
        <v>#VALUE!</v>
      </c>
      <c r="GF149" t="e">
        <f>Nodes!Z1216+"'E4!'o;"</f>
        <v>#VALUE!</v>
      </c>
      <c r="GG149" t="e">
        <f>Nodes!AA1216+"'E4!'o&lt;"</f>
        <v>#VALUE!</v>
      </c>
      <c r="GH149" s="547" t="e">
        <f>Nodes!AB1216+"'E4!'o="</f>
        <v>#VALUE!</v>
      </c>
      <c r="GI149" t="e">
        <f>Nodes!AC1216+"'E4!'o&gt;"</f>
        <v>#VALUE!</v>
      </c>
      <c r="GJ149" t="e">
        <f>Nodes!A1217+"'E4!'o?"</f>
        <v>#VALUE!</v>
      </c>
      <c r="GK149" t="e">
        <f>Nodes!B1217+"'E4!'o@"</f>
        <v>#VALUE!</v>
      </c>
      <c r="GL149" t="e">
        <f>Nodes!C1217+"'E4!'oA"</f>
        <v>#VALUE!</v>
      </c>
      <c r="GM149" t="e">
        <f>Nodes!D1217+"'E4!'oB"</f>
        <v>#VALUE!</v>
      </c>
      <c r="GN149" t="e">
        <f>Nodes!E1217+"'E4!'oC"</f>
        <v>#VALUE!</v>
      </c>
      <c r="GO149" t="e">
        <f>Nodes!F1217+"'E4!'oD"</f>
        <v>#VALUE!</v>
      </c>
      <c r="GP149" t="e">
        <f>Nodes!G1217+"'E4!'oE"</f>
        <v>#VALUE!</v>
      </c>
      <c r="GQ149" t="e">
        <f>Nodes!H1217+"'E4!'oF"</f>
        <v>#VALUE!</v>
      </c>
      <c r="GR149" t="e">
        <f>Nodes!I1217+"'E4!'oG"</f>
        <v>#VALUE!</v>
      </c>
      <c r="GS149" t="e">
        <f>Nodes!J1217+"'E4!'oH"</f>
        <v>#VALUE!</v>
      </c>
      <c r="GT149" t="e">
        <f>Nodes!K1217+"'E4!'oI"</f>
        <v>#VALUE!</v>
      </c>
      <c r="GU149" t="e">
        <f>Nodes!L1217+"'E4!'oJ"</f>
        <v>#VALUE!</v>
      </c>
      <c r="GV149" t="e">
        <f>Nodes!M1217+"'E4!'oK"</f>
        <v>#VALUE!</v>
      </c>
      <c r="GW149" t="e">
        <f>Nodes!N1217+"'E4!'oL"</f>
        <v>#VALUE!</v>
      </c>
      <c r="GX149" t="e">
        <f>Nodes!O1217+"'E4!'oM"</f>
        <v>#VALUE!</v>
      </c>
      <c r="GY149" t="e">
        <f>Nodes!P1217+"'E4!'oN"</f>
        <v>#VALUE!</v>
      </c>
      <c r="GZ149" t="e">
        <f>Nodes!Q1217+"'E4!'oO"</f>
        <v>#VALUE!</v>
      </c>
      <c r="HA149" t="e">
        <f>Nodes!R1217+"'E4!'oP"</f>
        <v>#N/A</v>
      </c>
      <c r="HB149" s="547" t="e">
        <f>Nodes!S1217+"'E4!'oQ"</f>
        <v>#N/A</v>
      </c>
      <c r="HC149" s="547" t="e">
        <f>Nodes!T1217+"'E4!'oR"</f>
        <v>#VALUE!</v>
      </c>
      <c r="HD149" s="548" t="e">
        <f>Nodes!U1217+"'E4!'oS"</f>
        <v>#N/A</v>
      </c>
      <c r="HE149" s="548" t="e">
        <f>Nodes!V1217+"'E4!'oT"</f>
        <v>#N/A</v>
      </c>
      <c r="HF149" s="547" t="e">
        <f>Nodes!W1217+"'E4!'oU"</f>
        <v>#VALUE!</v>
      </c>
      <c r="HG149" t="e">
        <f>Nodes!X1217+"'E4!'oV"</f>
        <v>#VALUE!</v>
      </c>
      <c r="HH149" t="e">
        <f>Nodes!Y1217+"'E4!'oW"</f>
        <v>#VALUE!</v>
      </c>
      <c r="HI149" t="e">
        <f>Nodes!Z1217+"'E4!'oX"</f>
        <v>#VALUE!</v>
      </c>
      <c r="HJ149" t="e">
        <f>Nodes!AA1217+"'E4!'oY"</f>
        <v>#VALUE!</v>
      </c>
      <c r="HK149" s="547" t="e">
        <f>Nodes!AB1217+"'E4!'oZ"</f>
        <v>#VALUE!</v>
      </c>
      <c r="HL149" t="e">
        <f>Nodes!AC1217+"'E4!'o["</f>
        <v>#VALUE!</v>
      </c>
      <c r="HM149" t="e">
        <f>Nodes!A1218+"'E4!'o\"</f>
        <v>#VALUE!</v>
      </c>
      <c r="HN149" t="e">
        <f>Nodes!B1218+"'E4!'o]"</f>
        <v>#VALUE!</v>
      </c>
      <c r="HO149" t="e">
        <f>Nodes!C1218+"'E4!'o^"</f>
        <v>#VALUE!</v>
      </c>
      <c r="HP149" t="e">
        <f>Nodes!D1218+"'E4!'o_"</f>
        <v>#VALUE!</v>
      </c>
      <c r="HQ149" t="e">
        <f>Nodes!E1218+"'E4!'o`"</f>
        <v>#VALUE!</v>
      </c>
      <c r="HR149" t="e">
        <f>Nodes!F1218+"'E4!'oa"</f>
        <v>#VALUE!</v>
      </c>
      <c r="HS149" t="e">
        <f>Nodes!G1218+"'E4!'ob"</f>
        <v>#VALUE!</v>
      </c>
      <c r="HT149" t="e">
        <f>Nodes!H1218+"'E4!'oc"</f>
        <v>#VALUE!</v>
      </c>
      <c r="HU149" t="e">
        <f>Nodes!I1218+"'E4!'od"</f>
        <v>#VALUE!</v>
      </c>
      <c r="HV149" t="e">
        <f>Nodes!J1218+"'E4!'oe"</f>
        <v>#VALUE!</v>
      </c>
      <c r="HW149" t="e">
        <f>Nodes!K1218+"'E4!'of"</f>
        <v>#VALUE!</v>
      </c>
      <c r="HX149" t="e">
        <f>Nodes!L1218+"'E4!'og"</f>
        <v>#VALUE!</v>
      </c>
      <c r="HY149" t="e">
        <f>Nodes!M1218+"'E4!'oh"</f>
        <v>#VALUE!</v>
      </c>
      <c r="HZ149" t="e">
        <f>Nodes!N1218+"'E4!'oi"</f>
        <v>#VALUE!</v>
      </c>
      <c r="IA149" t="e">
        <f>Nodes!O1218+"'E4!'oj"</f>
        <v>#VALUE!</v>
      </c>
      <c r="IB149" t="e">
        <f>Nodes!P1218+"'E4!'ok"</f>
        <v>#VALUE!</v>
      </c>
      <c r="IC149" t="e">
        <f>Nodes!Q1218+"'E4!'ol"</f>
        <v>#VALUE!</v>
      </c>
      <c r="ID149" t="e">
        <f>Nodes!R1218+"'E4!'om"</f>
        <v>#N/A</v>
      </c>
      <c r="IE149" s="547" t="e">
        <f>Nodes!S1218+"'E4!'on"</f>
        <v>#N/A</v>
      </c>
      <c r="IF149" s="547" t="e">
        <f>Nodes!T1218+"'E4!'oo"</f>
        <v>#VALUE!</v>
      </c>
      <c r="IG149" s="548" t="e">
        <f>Nodes!U1218+"'E4!'op"</f>
        <v>#N/A</v>
      </c>
      <c r="IH149" s="548" t="e">
        <f>Nodes!V1218+"'E4!'oq"</f>
        <v>#N/A</v>
      </c>
      <c r="II149" s="547" t="e">
        <f>Nodes!W1218+"'E4!'or"</f>
        <v>#VALUE!</v>
      </c>
      <c r="IJ149" t="e">
        <f>Nodes!X1218+"'E4!'os"</f>
        <v>#VALUE!</v>
      </c>
      <c r="IK149" t="e">
        <f>Nodes!Y1218+"'E4!'ot"</f>
        <v>#VALUE!</v>
      </c>
      <c r="IL149" t="e">
        <f>Nodes!Z1218+"'E4!'ou"</f>
        <v>#VALUE!</v>
      </c>
      <c r="IM149" t="e">
        <f>Nodes!AA1218+"'E4!'ov"</f>
        <v>#VALUE!</v>
      </c>
      <c r="IN149" s="547" t="e">
        <f>Nodes!AB1218+"'E4!'ow"</f>
        <v>#VALUE!</v>
      </c>
      <c r="IO149" t="e">
        <f>Nodes!AC1218+"'E4!'ox"</f>
        <v>#VALUE!</v>
      </c>
      <c r="IP149" t="e">
        <f>Nodes!A1219+"'E4!'oy"</f>
        <v>#VALUE!</v>
      </c>
      <c r="IQ149" t="e">
        <f>Nodes!B1219+"'E4!'oz"</f>
        <v>#VALUE!</v>
      </c>
      <c r="IR149" t="e">
        <f>Nodes!C1219+"'E4!'o{"</f>
        <v>#VALUE!</v>
      </c>
      <c r="IS149" t="e">
        <f>Nodes!D1219+"'E4!'o|"</f>
        <v>#VALUE!</v>
      </c>
      <c r="IT149" t="e">
        <f>Nodes!E1219+"'E4!'o}"</f>
        <v>#VALUE!</v>
      </c>
      <c r="IU149" t="e">
        <f>Nodes!F1219+"'E4!'o~"</f>
        <v>#VALUE!</v>
      </c>
      <c r="IV149" t="e">
        <f>Nodes!G1219+"'E4!'p#"</f>
        <v>#VALUE!</v>
      </c>
    </row>
    <row r="150" spans="6:256">
      <c r="F150" t="e">
        <f>Nodes!H1219+"'E4!'p$"</f>
        <v>#VALUE!</v>
      </c>
      <c r="G150" t="e">
        <f>Nodes!I1219+"'E4!'p%"</f>
        <v>#VALUE!</v>
      </c>
      <c r="H150" t="e">
        <f>Nodes!J1219+"'E4!'p&amp;"</f>
        <v>#VALUE!</v>
      </c>
      <c r="I150" t="e">
        <f>Nodes!K1219+"'E4!'p'"</f>
        <v>#VALUE!</v>
      </c>
      <c r="J150" t="e">
        <f>Nodes!L1219+"'E4!'p("</f>
        <v>#VALUE!</v>
      </c>
      <c r="K150" t="e">
        <f>Nodes!M1219+"'E4!'p)"</f>
        <v>#VALUE!</v>
      </c>
      <c r="L150" t="e">
        <f>Nodes!N1219+"'E4!'p."</f>
        <v>#VALUE!</v>
      </c>
      <c r="M150" t="e">
        <f>Nodes!O1219+"'E4!'p/"</f>
        <v>#VALUE!</v>
      </c>
      <c r="N150" t="e">
        <f>Nodes!P1219+"'E4!'p0"</f>
        <v>#VALUE!</v>
      </c>
      <c r="O150" t="e">
        <f>Nodes!Q1219+"'E4!'p1"</f>
        <v>#VALUE!</v>
      </c>
      <c r="P150" t="e">
        <f>Nodes!R1219+"'E4!'p2"</f>
        <v>#VALUE!</v>
      </c>
      <c r="Q150" s="547" t="e">
        <f>Nodes!S1219+"'E4!'p3"</f>
        <v>#VALUE!</v>
      </c>
      <c r="R150" s="547" t="e">
        <f>Nodes!T1219+"'E4!'p4"</f>
        <v>#VALUE!</v>
      </c>
      <c r="S150" s="548" t="e">
        <f>Nodes!U1219+"'E4!'p5"</f>
        <v>#N/A</v>
      </c>
      <c r="T150" s="548" t="e">
        <f>Nodes!V1219+"'E4!'p6"</f>
        <v>#N/A</v>
      </c>
      <c r="U150" s="547" t="e">
        <f>Nodes!W1219+"'E4!'p7"</f>
        <v>#VALUE!</v>
      </c>
      <c r="V150" t="e">
        <f>Nodes!X1219+"'E4!'p8"</f>
        <v>#VALUE!</v>
      </c>
      <c r="W150" t="e">
        <f>Nodes!Y1219+"'E4!'p9"</f>
        <v>#VALUE!</v>
      </c>
      <c r="X150" t="e">
        <f>Nodes!Z1219+"'E4!'p:"</f>
        <v>#VALUE!</v>
      </c>
      <c r="Y150" t="e">
        <f>Nodes!AA1219+"'E4!'p;"</f>
        <v>#VALUE!</v>
      </c>
      <c r="Z150" s="547" t="e">
        <f>Nodes!AB1219+"'E4!'p&lt;"</f>
        <v>#VALUE!</v>
      </c>
      <c r="AA150" t="e">
        <f>Nodes!AC1219+"'E4!'p="</f>
        <v>#VALUE!</v>
      </c>
      <c r="AB150" t="e">
        <f>Nodes!A1220+"'E4!'p&gt;"</f>
        <v>#VALUE!</v>
      </c>
      <c r="AC150" t="e">
        <f>Nodes!B1220+"'E4!'p?"</f>
        <v>#VALUE!</v>
      </c>
      <c r="AD150" t="e">
        <f>Nodes!C1220+"'E4!'p@"</f>
        <v>#VALUE!</v>
      </c>
      <c r="AE150" t="e">
        <f>Nodes!D1220+"'E4!'pA"</f>
        <v>#VALUE!</v>
      </c>
      <c r="AF150" t="e">
        <f>Nodes!E1220+"'E4!'pB"</f>
        <v>#VALUE!</v>
      </c>
      <c r="AG150" t="e">
        <f>Nodes!F1220+"'E4!'pC"</f>
        <v>#VALUE!</v>
      </c>
      <c r="AH150" t="e">
        <f>Nodes!G1220+"'E4!'pD"</f>
        <v>#VALUE!</v>
      </c>
      <c r="AI150" t="e">
        <f>Nodes!H1220+"'E4!'pE"</f>
        <v>#VALUE!</v>
      </c>
      <c r="AJ150" t="e">
        <f>Nodes!I1220+"'E4!'pF"</f>
        <v>#VALUE!</v>
      </c>
      <c r="AK150" t="e">
        <f>Nodes!J1220+"'E4!'pG"</f>
        <v>#VALUE!</v>
      </c>
      <c r="AL150" t="e">
        <f>Nodes!K1220+"'E4!'pH"</f>
        <v>#VALUE!</v>
      </c>
      <c r="AM150" t="e">
        <f>Nodes!L1220+"'E4!'pI"</f>
        <v>#VALUE!</v>
      </c>
      <c r="AN150" t="e">
        <f>Nodes!M1220+"'E4!'pJ"</f>
        <v>#VALUE!</v>
      </c>
      <c r="AO150" t="e">
        <f>Nodes!N1220+"'E4!'pK"</f>
        <v>#VALUE!</v>
      </c>
      <c r="AP150" t="e">
        <f>Nodes!O1220+"'E4!'pL"</f>
        <v>#VALUE!</v>
      </c>
      <c r="AQ150" t="e">
        <f>Nodes!P1220+"'E4!'pM"</f>
        <v>#VALUE!</v>
      </c>
      <c r="AR150" t="e">
        <f>Nodes!Q1220+"'E4!'pN"</f>
        <v>#VALUE!</v>
      </c>
      <c r="AS150" t="e">
        <f>Nodes!R1220+"'E4!'pO"</f>
        <v>#VALUE!</v>
      </c>
      <c r="AT150" s="547" t="e">
        <f>Nodes!S1220+"'E4!'pP"</f>
        <v>#VALUE!</v>
      </c>
      <c r="AU150" s="547" t="e">
        <f>Nodes!T1220+"'E4!'pQ"</f>
        <v>#VALUE!</v>
      </c>
      <c r="AV150" s="548" t="e">
        <f>Nodes!U1220+"'E4!'pR"</f>
        <v>#VALUE!</v>
      </c>
      <c r="AW150" s="548" t="e">
        <f>Nodes!V1220+"'E4!'pS"</f>
        <v>#VALUE!</v>
      </c>
      <c r="AX150" s="547" t="e">
        <f>Nodes!W1220+"'E4!'pT"</f>
        <v>#VALUE!</v>
      </c>
      <c r="AY150" t="e">
        <f>Nodes!X1220+"'E4!'pU"</f>
        <v>#VALUE!</v>
      </c>
      <c r="AZ150" t="e">
        <f>Nodes!Y1220+"'E4!'pV"</f>
        <v>#VALUE!</v>
      </c>
      <c r="BA150" t="e">
        <f>Nodes!Z1220+"'E4!'pW"</f>
        <v>#VALUE!</v>
      </c>
      <c r="BB150" t="e">
        <f>Nodes!AA1220+"'E4!'pX"</f>
        <v>#VALUE!</v>
      </c>
      <c r="BC150" s="547" t="e">
        <f>Nodes!AB1220+"'E4!'pY"</f>
        <v>#VALUE!</v>
      </c>
      <c r="BD150" s="547" t="e">
        <f>Nodes!AC1220+"'E4!'pZ"</f>
        <v>#VALUE!</v>
      </c>
      <c r="BE150" t="e">
        <f>Nodes!A1221+"'E4!'p["</f>
        <v>#VALUE!</v>
      </c>
      <c r="BF150" t="e">
        <f>Nodes!B1221+"'E4!'p\"</f>
        <v>#VALUE!</v>
      </c>
      <c r="BG150" t="e">
        <f>Nodes!C1221+"'E4!'p]"</f>
        <v>#VALUE!</v>
      </c>
      <c r="BH150" t="e">
        <f>Nodes!D1221+"'E4!'p^"</f>
        <v>#VALUE!</v>
      </c>
      <c r="BI150" t="e">
        <f>Nodes!E1221+"'E4!'p_"</f>
        <v>#VALUE!</v>
      </c>
      <c r="BJ150" t="e">
        <f>Nodes!F1221+"'E4!'p`"</f>
        <v>#VALUE!</v>
      </c>
      <c r="BK150" t="e">
        <f>Nodes!G1221+"'E4!'pa"</f>
        <v>#VALUE!</v>
      </c>
      <c r="BL150" t="e">
        <f>Nodes!H1221+"'E4!'pb"</f>
        <v>#VALUE!</v>
      </c>
      <c r="BM150" t="e">
        <f>Nodes!I1221+"'E4!'pc"</f>
        <v>#VALUE!</v>
      </c>
      <c r="BN150" t="e">
        <f>Nodes!J1221+"'E4!'pd"</f>
        <v>#VALUE!</v>
      </c>
      <c r="BO150" t="e">
        <f>Nodes!K1221+"'E4!'pe"</f>
        <v>#VALUE!</v>
      </c>
      <c r="BP150" t="e">
        <f>Nodes!L1221+"'E4!'pf"</f>
        <v>#VALUE!</v>
      </c>
      <c r="BQ150" t="e">
        <f>Nodes!M1221+"'E4!'pg"</f>
        <v>#VALUE!</v>
      </c>
      <c r="BR150" t="e">
        <f>Nodes!N1221+"'E4!'ph"</f>
        <v>#VALUE!</v>
      </c>
      <c r="BS150" t="e">
        <f>Nodes!O1221+"'E4!'pi"</f>
        <v>#VALUE!</v>
      </c>
      <c r="BT150" t="e">
        <f>Nodes!P1221+"'E4!'pj"</f>
        <v>#VALUE!</v>
      </c>
      <c r="BU150" t="e">
        <f>Nodes!Q1221+"'E4!'pk"</f>
        <v>#VALUE!</v>
      </c>
      <c r="BV150" t="e">
        <f>Nodes!R1221+"'E4!'pl"</f>
        <v>#VALUE!</v>
      </c>
      <c r="BW150" s="547" t="e">
        <f>Nodes!S1221+"'E4!'pm"</f>
        <v>#VALUE!</v>
      </c>
      <c r="BX150" s="547" t="e">
        <f>Nodes!T1221+"'E4!'pn"</f>
        <v>#VALUE!</v>
      </c>
      <c r="BY150" s="548" t="e">
        <f>Nodes!U1221+"'E4!'po"</f>
        <v>#VALUE!</v>
      </c>
      <c r="BZ150" s="548" t="e">
        <f>Nodes!V1221+"'E4!'pp"</f>
        <v>#VALUE!</v>
      </c>
      <c r="CA150" s="547" t="e">
        <f>Nodes!W1221+"'E4!'pq"</f>
        <v>#VALUE!</v>
      </c>
      <c r="CB150" t="e">
        <f>Nodes!X1221+"'E4!'pr"</f>
        <v>#VALUE!</v>
      </c>
      <c r="CC150" t="e">
        <f>Nodes!Y1221+"'E4!'ps"</f>
        <v>#VALUE!</v>
      </c>
      <c r="CD150" t="e">
        <f>Nodes!Z1221+"'E4!'pt"</f>
        <v>#VALUE!</v>
      </c>
      <c r="CE150" t="e">
        <f>Nodes!AA1221+"'E4!'pu"</f>
        <v>#VALUE!</v>
      </c>
      <c r="CF150" s="547" t="e">
        <f>Nodes!AB1221+"'E4!'pv"</f>
        <v>#VALUE!</v>
      </c>
      <c r="CG150" s="547" t="e">
        <f>Nodes!AC1221+"'E4!'pw"</f>
        <v>#VALUE!</v>
      </c>
      <c r="CH150" t="e">
        <f>Nodes!A1222+"'E4!'px"</f>
        <v>#VALUE!</v>
      </c>
      <c r="CI150" t="e">
        <f>Nodes!B1222+"'E4!'py"</f>
        <v>#VALUE!</v>
      </c>
      <c r="CJ150" t="e">
        <f>Nodes!C1222+"'E4!'pz"</f>
        <v>#VALUE!</v>
      </c>
      <c r="CK150" t="e">
        <f>Nodes!D1222+"'E4!'p{"</f>
        <v>#VALUE!</v>
      </c>
      <c r="CL150" t="e">
        <f>Nodes!E1222+"'E4!'p|"</f>
        <v>#VALUE!</v>
      </c>
      <c r="CM150" t="e">
        <f>Nodes!F1222+"'E4!'p}"</f>
        <v>#VALUE!</v>
      </c>
      <c r="CN150" t="e">
        <f>Nodes!G1222+"'E4!'p~"</f>
        <v>#VALUE!</v>
      </c>
      <c r="CO150" t="e">
        <f>Nodes!H1222+"'E4!'q#"</f>
        <v>#VALUE!</v>
      </c>
      <c r="CP150" t="e">
        <f>Nodes!I1222+"'E4!'q$"</f>
        <v>#VALUE!</v>
      </c>
      <c r="CQ150" t="e">
        <f>Nodes!J1222+"'E4!'q%"</f>
        <v>#VALUE!</v>
      </c>
      <c r="CR150" t="e">
        <f>Nodes!K1222+"'E4!'q&amp;"</f>
        <v>#VALUE!</v>
      </c>
      <c r="CS150" t="e">
        <f>Nodes!L1222+"'E4!'q'"</f>
        <v>#VALUE!</v>
      </c>
      <c r="CT150" t="e">
        <f>Nodes!M1222+"'E4!'q("</f>
        <v>#VALUE!</v>
      </c>
      <c r="CU150" t="e">
        <f>Nodes!N1222+"'E4!'q)"</f>
        <v>#VALUE!</v>
      </c>
      <c r="CV150" t="e">
        <f>Nodes!O1222+"'E4!'q."</f>
        <v>#VALUE!</v>
      </c>
      <c r="CW150" t="e">
        <f>Nodes!P1222+"'E4!'q/"</f>
        <v>#VALUE!</v>
      </c>
      <c r="CX150" t="e">
        <f>Nodes!Q1222+"'E4!'q0"</f>
        <v>#VALUE!</v>
      </c>
      <c r="CY150" t="e">
        <f>Nodes!R1222+"'E4!'q1"</f>
        <v>#VALUE!</v>
      </c>
      <c r="CZ150" s="547" t="e">
        <f>Nodes!S1222+"'E4!'q2"</f>
        <v>#VALUE!</v>
      </c>
      <c r="DA150" s="547" t="e">
        <f>Nodes!T1222+"'E4!'q3"</f>
        <v>#VALUE!</v>
      </c>
      <c r="DB150" s="548" t="e">
        <f>Nodes!U1222+"'E4!'q4"</f>
        <v>#VALUE!</v>
      </c>
      <c r="DC150" s="548" t="e">
        <f>Nodes!V1222+"'E4!'q5"</f>
        <v>#VALUE!</v>
      </c>
      <c r="DD150" s="547" t="e">
        <f>Nodes!W1222+"'E4!'q6"</f>
        <v>#VALUE!</v>
      </c>
      <c r="DE150" t="e">
        <f>Nodes!X1222+"'E4!'q7"</f>
        <v>#VALUE!</v>
      </c>
      <c r="DF150" t="e">
        <f>Nodes!Y1222+"'E4!'q8"</f>
        <v>#VALUE!</v>
      </c>
      <c r="DG150" t="e">
        <f>Nodes!Z1222+"'E4!'q9"</f>
        <v>#VALUE!</v>
      </c>
      <c r="DH150" t="e">
        <f>Nodes!AA1222+"'E4!'q:"</f>
        <v>#VALUE!</v>
      </c>
      <c r="DI150" s="547" t="e">
        <f>Nodes!AB1222+"'E4!'q;"</f>
        <v>#VALUE!</v>
      </c>
      <c r="DJ150" s="547" t="e">
        <f>Nodes!AC1222+"'E4!'q&lt;"</f>
        <v>#VALUE!</v>
      </c>
      <c r="DK150" t="e">
        <f>Nodes!A1223+"'E4!'q="</f>
        <v>#VALUE!</v>
      </c>
      <c r="DL150" t="e">
        <f>Nodes!B1223+"'E4!'q&gt;"</f>
        <v>#VALUE!</v>
      </c>
      <c r="DM150" t="e">
        <f>Nodes!C1223+"'E4!'q?"</f>
        <v>#VALUE!</v>
      </c>
      <c r="DN150" t="e">
        <f>Nodes!D1223+"'E4!'q@"</f>
        <v>#VALUE!</v>
      </c>
      <c r="DO150" t="e">
        <f>Nodes!E1223+"'E4!'qA"</f>
        <v>#VALUE!</v>
      </c>
      <c r="DP150" t="e">
        <f>Nodes!F1223+"'E4!'qB"</f>
        <v>#VALUE!</v>
      </c>
      <c r="DQ150" t="e">
        <f>Nodes!G1223+"'E4!'qC"</f>
        <v>#VALUE!</v>
      </c>
      <c r="DR150" t="e">
        <f>Nodes!H1223+"'E4!'qD"</f>
        <v>#VALUE!</v>
      </c>
      <c r="DS150" t="e">
        <f>Nodes!I1223+"'E4!'qE"</f>
        <v>#VALUE!</v>
      </c>
      <c r="DT150" t="e">
        <f>Nodes!J1223+"'E4!'qF"</f>
        <v>#VALUE!</v>
      </c>
      <c r="DU150" t="e">
        <f>Nodes!K1223+"'E4!'qG"</f>
        <v>#VALUE!</v>
      </c>
      <c r="DV150" t="e">
        <f>Nodes!L1223+"'E4!'qH"</f>
        <v>#VALUE!</v>
      </c>
      <c r="DW150" t="e">
        <f>Nodes!M1223+"'E4!'qI"</f>
        <v>#VALUE!</v>
      </c>
      <c r="DX150" t="e">
        <f>Nodes!N1223+"'E4!'qJ"</f>
        <v>#VALUE!</v>
      </c>
      <c r="DY150" t="e">
        <f>Nodes!O1223+"'E4!'qK"</f>
        <v>#VALUE!</v>
      </c>
      <c r="DZ150" t="e">
        <f>Nodes!P1223+"'E4!'qL"</f>
        <v>#VALUE!</v>
      </c>
      <c r="EA150" t="e">
        <f>Nodes!Q1223+"'E4!'qM"</f>
        <v>#VALUE!</v>
      </c>
      <c r="EB150" t="e">
        <f>Nodes!R1223+"'E4!'qN"</f>
        <v>#VALUE!</v>
      </c>
      <c r="EC150" s="547" t="e">
        <f>Nodes!S1223+"'E4!'qO"</f>
        <v>#VALUE!</v>
      </c>
      <c r="ED150" s="547" t="e">
        <f>Nodes!T1223+"'E4!'qP"</f>
        <v>#VALUE!</v>
      </c>
      <c r="EE150" s="548" t="e">
        <f>Nodes!U1223+"'E4!'qQ"</f>
        <v>#VALUE!</v>
      </c>
      <c r="EF150" s="548" t="e">
        <f>Nodes!V1223+"'E4!'qR"</f>
        <v>#VALUE!</v>
      </c>
      <c r="EG150" s="547" t="e">
        <f>Nodes!W1223+"'E4!'qS"</f>
        <v>#VALUE!</v>
      </c>
      <c r="EH150" t="e">
        <f>Nodes!X1223+"'E4!'qT"</f>
        <v>#VALUE!</v>
      </c>
      <c r="EI150" t="e">
        <f>Nodes!Y1223+"'E4!'qU"</f>
        <v>#VALUE!</v>
      </c>
      <c r="EJ150" t="e">
        <f>Nodes!Z1223+"'E4!'qV"</f>
        <v>#VALUE!</v>
      </c>
      <c r="EK150" t="e">
        <f>Nodes!AA1223+"'E4!'qW"</f>
        <v>#VALUE!</v>
      </c>
      <c r="EL150" s="547" t="e">
        <f>Nodes!AB1223+"'E4!'qX"</f>
        <v>#VALUE!</v>
      </c>
      <c r="EM150" s="547" t="e">
        <f>Nodes!AC1223+"'E4!'qY"</f>
        <v>#VALUE!</v>
      </c>
      <c r="EN150" t="e">
        <f>Nodes!A1224+"'E4!'qZ"</f>
        <v>#VALUE!</v>
      </c>
      <c r="EO150" t="e">
        <f>Nodes!B1224+"'E4!'q["</f>
        <v>#VALUE!</v>
      </c>
      <c r="EP150" t="e">
        <f>Nodes!C1224+"'E4!'q\"</f>
        <v>#VALUE!</v>
      </c>
      <c r="EQ150" t="e">
        <f>Nodes!D1224+"'E4!'q]"</f>
        <v>#VALUE!</v>
      </c>
      <c r="ER150" t="e">
        <f>Nodes!E1224+"'E4!'q^"</f>
        <v>#VALUE!</v>
      </c>
      <c r="ES150" t="e">
        <f>Nodes!F1224+"'E4!'q_"</f>
        <v>#VALUE!</v>
      </c>
      <c r="ET150" t="e">
        <f>Nodes!G1224+"'E4!'q`"</f>
        <v>#VALUE!</v>
      </c>
      <c r="EU150" t="e">
        <f>Nodes!H1224+"'E4!'qa"</f>
        <v>#VALUE!</v>
      </c>
      <c r="EV150" t="e">
        <f>Nodes!I1224+"'E4!'qb"</f>
        <v>#VALUE!</v>
      </c>
      <c r="EW150" t="e">
        <f>Nodes!J1224+"'E4!'qc"</f>
        <v>#VALUE!</v>
      </c>
      <c r="EX150" t="e">
        <f>Nodes!K1224+"'E4!'qd"</f>
        <v>#VALUE!</v>
      </c>
      <c r="EY150" t="e">
        <f>Nodes!L1224+"'E4!'qe"</f>
        <v>#VALUE!</v>
      </c>
      <c r="EZ150" t="e">
        <f>Nodes!M1224+"'E4!'qf"</f>
        <v>#VALUE!</v>
      </c>
      <c r="FA150" t="e">
        <f>Nodes!N1224+"'E4!'qg"</f>
        <v>#VALUE!</v>
      </c>
      <c r="FB150" t="e">
        <f>Nodes!O1224+"'E4!'qh"</f>
        <v>#VALUE!</v>
      </c>
      <c r="FC150" t="e">
        <f>Nodes!P1224+"'E4!'qi"</f>
        <v>#VALUE!</v>
      </c>
      <c r="FD150" t="e">
        <f>Nodes!Q1224+"'E4!'qj"</f>
        <v>#VALUE!</v>
      </c>
      <c r="FE150" t="e">
        <f>Nodes!R1224+"'E4!'qk"</f>
        <v>#VALUE!</v>
      </c>
      <c r="FF150" s="547" t="e">
        <f>Nodes!S1224+"'E4!'ql"</f>
        <v>#VALUE!</v>
      </c>
      <c r="FG150" s="547" t="e">
        <f>Nodes!T1224+"'E4!'qm"</f>
        <v>#VALUE!</v>
      </c>
      <c r="FH150" s="548" t="e">
        <f>Nodes!U1224+"'E4!'qn"</f>
        <v>#VALUE!</v>
      </c>
      <c r="FI150" s="548" t="e">
        <f>Nodes!V1224+"'E4!'qo"</f>
        <v>#VALUE!</v>
      </c>
      <c r="FJ150" s="547" t="e">
        <f>Nodes!W1224+"'E4!'qp"</f>
        <v>#VALUE!</v>
      </c>
      <c r="FK150" t="e">
        <f>Nodes!X1224+"'E4!'qq"</f>
        <v>#VALUE!</v>
      </c>
      <c r="FL150" t="e">
        <f>Nodes!Y1224+"'E4!'qr"</f>
        <v>#VALUE!</v>
      </c>
      <c r="FM150" t="e">
        <f>Nodes!Z1224+"'E4!'qs"</f>
        <v>#VALUE!</v>
      </c>
      <c r="FN150" t="e">
        <f>Nodes!AA1224+"'E4!'qt"</f>
        <v>#VALUE!</v>
      </c>
      <c r="FO150" s="547" t="e">
        <f>Nodes!AB1224+"'E4!'qu"</f>
        <v>#VALUE!</v>
      </c>
      <c r="FP150" s="547" t="e">
        <f>Nodes!AC1224+"'E4!'qv"</f>
        <v>#VALUE!</v>
      </c>
      <c r="FQ150" t="e">
        <f>Nodes!A1225+"'E4!'qw"</f>
        <v>#VALUE!</v>
      </c>
      <c r="FR150" t="e">
        <f>Nodes!B1225+"'E4!'qx"</f>
        <v>#VALUE!</v>
      </c>
      <c r="FS150" t="e">
        <f>Nodes!C1225+"'E4!'qy"</f>
        <v>#VALUE!</v>
      </c>
      <c r="FT150" t="e">
        <f>Nodes!D1225+"'E4!'qz"</f>
        <v>#VALUE!</v>
      </c>
      <c r="FU150" t="e">
        <f>Nodes!E1225+"'E4!'q{"</f>
        <v>#VALUE!</v>
      </c>
      <c r="FV150" t="e">
        <f>Nodes!F1225+"'E4!'q|"</f>
        <v>#VALUE!</v>
      </c>
      <c r="FW150" t="e">
        <f>Nodes!G1225+"'E4!'q}"</f>
        <v>#VALUE!</v>
      </c>
      <c r="FX150" t="e">
        <f>Nodes!H1225+"'E4!'q~"</f>
        <v>#VALUE!</v>
      </c>
      <c r="FY150" t="e">
        <f>Nodes!I1225+"'E4!'r#"</f>
        <v>#VALUE!</v>
      </c>
      <c r="FZ150" t="e">
        <f>Nodes!J1225+"'E4!'r$"</f>
        <v>#VALUE!</v>
      </c>
      <c r="GA150" t="e">
        <f>Nodes!K1225+"'E4!'r%"</f>
        <v>#VALUE!</v>
      </c>
      <c r="GB150" t="e">
        <f>Nodes!L1225+"'E4!'r&amp;"</f>
        <v>#VALUE!</v>
      </c>
      <c r="GC150" t="e">
        <f>Nodes!M1225+"'E4!'r'"</f>
        <v>#VALUE!</v>
      </c>
      <c r="GD150" t="e">
        <f>Nodes!N1225+"'E4!'r("</f>
        <v>#VALUE!</v>
      </c>
      <c r="GE150" t="e">
        <f>Nodes!O1225+"'E4!'r)"</f>
        <v>#VALUE!</v>
      </c>
      <c r="GF150" t="e">
        <f>Nodes!P1225+"'E4!'r."</f>
        <v>#VALUE!</v>
      </c>
      <c r="GG150" t="e">
        <f>Nodes!Q1225+"'E4!'r/"</f>
        <v>#VALUE!</v>
      </c>
      <c r="GH150" t="e">
        <f>Nodes!R1225+"'E4!'r0"</f>
        <v>#VALUE!</v>
      </c>
      <c r="GI150" s="547" t="e">
        <f>Nodes!S1225+"'E4!'r1"</f>
        <v>#VALUE!</v>
      </c>
      <c r="GJ150" s="547" t="e">
        <f>Nodes!T1225+"'E4!'r2"</f>
        <v>#VALUE!</v>
      </c>
      <c r="GK150" s="548" t="e">
        <f>Nodes!U1225+"'E4!'r3"</f>
        <v>#VALUE!</v>
      </c>
      <c r="GL150" s="548" t="e">
        <f>Nodes!V1225+"'E4!'r4"</f>
        <v>#VALUE!</v>
      </c>
      <c r="GM150" s="547" t="e">
        <f>Nodes!W1225+"'E4!'r5"</f>
        <v>#VALUE!</v>
      </c>
      <c r="GN150" t="e">
        <f>Nodes!X1225+"'E4!'r6"</f>
        <v>#VALUE!</v>
      </c>
      <c r="GO150" t="e">
        <f>Nodes!Y1225+"'E4!'r7"</f>
        <v>#VALUE!</v>
      </c>
      <c r="GP150" t="e">
        <f>Nodes!Z1225+"'E4!'r8"</f>
        <v>#VALUE!</v>
      </c>
      <c r="GQ150" t="e">
        <f>Nodes!AA1225+"'E4!'r9"</f>
        <v>#VALUE!</v>
      </c>
      <c r="GR150" s="547" t="e">
        <f>Nodes!AB1225+"'E4!'r:"</f>
        <v>#VALUE!</v>
      </c>
      <c r="GS150" s="547" t="e">
        <f>Nodes!AC1225+"'E4!'r;"</f>
        <v>#VALUE!</v>
      </c>
      <c r="GT150" t="e">
        <f>Nodes!A1226+"'E4!'r&lt;"</f>
        <v>#VALUE!</v>
      </c>
      <c r="GU150" t="e">
        <f>Nodes!B1226+"'E4!'r="</f>
        <v>#VALUE!</v>
      </c>
      <c r="GV150" t="e">
        <f>Nodes!C1226+"'E4!'r&gt;"</f>
        <v>#VALUE!</v>
      </c>
      <c r="GW150" t="e">
        <f>Nodes!D1226+"'E4!'r?"</f>
        <v>#VALUE!</v>
      </c>
      <c r="GX150" t="e">
        <f>Nodes!E1226+"'E4!'r@"</f>
        <v>#VALUE!</v>
      </c>
      <c r="GY150" t="e">
        <f>Nodes!F1226+"'E4!'rA"</f>
        <v>#VALUE!</v>
      </c>
      <c r="GZ150" t="e">
        <f>Nodes!G1226+"'E4!'rB"</f>
        <v>#VALUE!</v>
      </c>
      <c r="HA150" t="e">
        <f>Nodes!H1226+"'E4!'rC"</f>
        <v>#VALUE!</v>
      </c>
      <c r="HB150" t="e">
        <f>Nodes!I1226+"'E4!'rD"</f>
        <v>#VALUE!</v>
      </c>
      <c r="HC150" t="e">
        <f>Nodes!J1226+"'E4!'rE"</f>
        <v>#VALUE!</v>
      </c>
      <c r="HD150" t="e">
        <f>Nodes!K1226+"'E4!'rF"</f>
        <v>#VALUE!</v>
      </c>
      <c r="HE150" t="e">
        <f>Nodes!L1226+"'E4!'rG"</f>
        <v>#VALUE!</v>
      </c>
      <c r="HF150" t="e">
        <f>Nodes!M1226+"'E4!'rH"</f>
        <v>#VALUE!</v>
      </c>
      <c r="HG150" t="e">
        <f>Nodes!N1226+"'E4!'rI"</f>
        <v>#VALUE!</v>
      </c>
      <c r="HH150" t="e">
        <f>Nodes!O1226+"'E4!'rJ"</f>
        <v>#VALUE!</v>
      </c>
      <c r="HI150" t="e">
        <f>Nodes!P1226+"'E4!'rK"</f>
        <v>#VALUE!</v>
      </c>
      <c r="HJ150" t="e">
        <f>Nodes!Q1226+"'E4!'rL"</f>
        <v>#VALUE!</v>
      </c>
      <c r="HK150" t="e">
        <f>Nodes!R1226+"'E4!'rM"</f>
        <v>#VALUE!</v>
      </c>
      <c r="HL150" s="547" t="e">
        <f>Nodes!S1226+"'E4!'rN"</f>
        <v>#VALUE!</v>
      </c>
      <c r="HM150" s="547" t="e">
        <f>Nodes!T1226+"'E4!'rO"</f>
        <v>#VALUE!</v>
      </c>
      <c r="HN150" s="548" t="e">
        <f>Nodes!U1226+"'E4!'rP"</f>
        <v>#VALUE!</v>
      </c>
      <c r="HO150" s="548" t="e">
        <f>Nodes!V1226+"'E4!'rQ"</f>
        <v>#VALUE!</v>
      </c>
      <c r="HP150" s="547" t="e">
        <f>Nodes!W1226+"'E4!'rR"</f>
        <v>#VALUE!</v>
      </c>
      <c r="HQ150" t="e">
        <f>Nodes!X1226+"'E4!'rS"</f>
        <v>#VALUE!</v>
      </c>
      <c r="HR150" t="e">
        <f>Nodes!Y1226+"'E4!'rT"</f>
        <v>#VALUE!</v>
      </c>
      <c r="HS150" t="e">
        <f>Nodes!Z1226+"'E4!'rU"</f>
        <v>#VALUE!</v>
      </c>
      <c r="HT150" t="e">
        <f>Nodes!AA1226+"'E4!'rV"</f>
        <v>#VALUE!</v>
      </c>
      <c r="HU150" s="547" t="e">
        <f>Nodes!AB1226+"'E4!'rW"</f>
        <v>#VALUE!</v>
      </c>
      <c r="HV150" s="547" t="e">
        <f>Nodes!AC1226+"'E4!'rX"</f>
        <v>#VALUE!</v>
      </c>
      <c r="HW150" t="e">
        <f>Nodes!A1227+"'E4!'rY"</f>
        <v>#VALUE!</v>
      </c>
      <c r="HX150" t="e">
        <f>Nodes!B1227+"'E4!'rZ"</f>
        <v>#VALUE!</v>
      </c>
      <c r="HY150" t="e">
        <f>Nodes!C1227+"'E4!'r["</f>
        <v>#VALUE!</v>
      </c>
      <c r="HZ150" t="e">
        <f>Nodes!D1227+"'E4!'r\"</f>
        <v>#VALUE!</v>
      </c>
      <c r="IA150" t="e">
        <f>Nodes!E1227+"'E4!'r]"</f>
        <v>#VALUE!</v>
      </c>
      <c r="IB150" t="e">
        <f>Nodes!F1227+"'E4!'r^"</f>
        <v>#VALUE!</v>
      </c>
      <c r="IC150" t="e">
        <f>Nodes!G1227+"'E4!'r_"</f>
        <v>#VALUE!</v>
      </c>
      <c r="ID150" t="e">
        <f>Nodes!H1227+"'E4!'r`"</f>
        <v>#VALUE!</v>
      </c>
      <c r="IE150" t="e">
        <f>Nodes!I1227+"'E4!'ra"</f>
        <v>#VALUE!</v>
      </c>
      <c r="IF150" t="e">
        <f>Nodes!J1227+"'E4!'rb"</f>
        <v>#VALUE!</v>
      </c>
      <c r="IG150" t="e">
        <f>Nodes!K1227+"'E4!'rc"</f>
        <v>#VALUE!</v>
      </c>
      <c r="IH150" t="e">
        <f>Nodes!L1227+"'E4!'rd"</f>
        <v>#VALUE!</v>
      </c>
      <c r="II150" t="e">
        <f>Nodes!M1227+"'E4!'re"</f>
        <v>#VALUE!</v>
      </c>
      <c r="IJ150" t="e">
        <f>Nodes!N1227+"'E4!'rf"</f>
        <v>#VALUE!</v>
      </c>
      <c r="IK150" t="e">
        <f>Nodes!O1227+"'E4!'rg"</f>
        <v>#VALUE!</v>
      </c>
      <c r="IL150" t="e">
        <f>Nodes!P1227+"'E4!'rh"</f>
        <v>#VALUE!</v>
      </c>
      <c r="IM150" t="e">
        <f>Nodes!Q1227+"'E4!'ri"</f>
        <v>#VALUE!</v>
      </c>
      <c r="IN150" t="e">
        <f>Nodes!R1227+"'E4!'rj"</f>
        <v>#VALUE!</v>
      </c>
      <c r="IO150" s="547" t="e">
        <f>Nodes!S1227+"'E4!'rk"</f>
        <v>#VALUE!</v>
      </c>
      <c r="IP150" s="547" t="e">
        <f>Nodes!T1227+"'E4!'rl"</f>
        <v>#VALUE!</v>
      </c>
      <c r="IQ150" s="548" t="e">
        <f>Nodes!U1227+"'E4!'rm"</f>
        <v>#VALUE!</v>
      </c>
      <c r="IR150" s="548" t="e">
        <f>Nodes!V1227+"'E4!'rn"</f>
        <v>#VALUE!</v>
      </c>
      <c r="IS150" s="547" t="e">
        <f>Nodes!W1227+"'E4!'ro"</f>
        <v>#VALUE!</v>
      </c>
      <c r="IT150" t="e">
        <f>Nodes!X1227+"'E4!'rp"</f>
        <v>#VALUE!</v>
      </c>
      <c r="IU150" t="e">
        <f>Nodes!Y1227+"'E4!'rq"</f>
        <v>#VALUE!</v>
      </c>
      <c r="IV150" t="e">
        <f>Nodes!Z1227+"'E4!'rr"</f>
        <v>#VALUE!</v>
      </c>
    </row>
    <row r="151" spans="6:256">
      <c r="F151" t="e">
        <f>Nodes!AA1227+"'E4!'rs"</f>
        <v>#VALUE!</v>
      </c>
      <c r="G151" s="547" t="e">
        <f>Nodes!AB1227+"'E4!'rt"</f>
        <v>#VALUE!</v>
      </c>
      <c r="H151" s="547" t="e">
        <f>Nodes!AC1227+"'E4!'ru"</f>
        <v>#VALUE!</v>
      </c>
      <c r="I151" t="e">
        <f>Nodes!A1228+"'E4!'rv"</f>
        <v>#VALUE!</v>
      </c>
      <c r="J151" t="e">
        <f>Nodes!B1228+"'E4!'rw"</f>
        <v>#VALUE!</v>
      </c>
      <c r="K151" t="e">
        <f>Nodes!C1228+"'E4!'rx"</f>
        <v>#VALUE!</v>
      </c>
      <c r="L151" t="e">
        <f>Nodes!D1228+"'E4!'ry"</f>
        <v>#VALUE!</v>
      </c>
      <c r="M151" t="e">
        <f>Nodes!E1228+"'E4!'rz"</f>
        <v>#VALUE!</v>
      </c>
      <c r="N151" t="e">
        <f>Nodes!F1228+"'E4!'r{"</f>
        <v>#VALUE!</v>
      </c>
      <c r="O151" t="e">
        <f>Nodes!G1228+"'E4!'r|"</f>
        <v>#VALUE!</v>
      </c>
      <c r="P151" t="e">
        <f>Nodes!H1228+"'E4!'r}"</f>
        <v>#VALUE!</v>
      </c>
      <c r="Q151" t="e">
        <f>Nodes!I1228+"'E4!'r~"</f>
        <v>#VALUE!</v>
      </c>
      <c r="R151" t="e">
        <f>Nodes!J1228+"'E4!'s#"</f>
        <v>#VALUE!</v>
      </c>
      <c r="S151" t="e">
        <f>Nodes!K1228+"'E4!'s$"</f>
        <v>#VALUE!</v>
      </c>
      <c r="T151" t="e">
        <f>Nodes!L1228+"'E4!'s%"</f>
        <v>#VALUE!</v>
      </c>
      <c r="U151" t="e">
        <f>Nodes!M1228+"'E4!'s&amp;"</f>
        <v>#VALUE!</v>
      </c>
      <c r="V151" t="e">
        <f>Nodes!N1228+"'E4!'s'"</f>
        <v>#VALUE!</v>
      </c>
      <c r="W151" t="e">
        <f>Nodes!O1228+"'E4!'s("</f>
        <v>#VALUE!</v>
      </c>
      <c r="X151" t="e">
        <f>Nodes!P1228+"'E4!'s)"</f>
        <v>#VALUE!</v>
      </c>
      <c r="Y151" t="e">
        <f>Nodes!Q1228+"'E4!'s."</f>
        <v>#VALUE!</v>
      </c>
      <c r="Z151" t="e">
        <f>Nodes!R1228+"'E4!'s/"</f>
        <v>#VALUE!</v>
      </c>
      <c r="AA151" s="547" t="e">
        <f>Nodes!S1228+"'E4!'s0"</f>
        <v>#VALUE!</v>
      </c>
      <c r="AB151" s="547" t="e">
        <f>Nodes!T1228+"'E4!'s1"</f>
        <v>#VALUE!</v>
      </c>
      <c r="AC151" s="548" t="e">
        <f>Nodes!U1228+"'E4!'s2"</f>
        <v>#VALUE!</v>
      </c>
      <c r="AD151" s="548" t="e">
        <f>Nodes!V1228+"'E4!'s3"</f>
        <v>#VALUE!</v>
      </c>
      <c r="AE151" s="547" t="e">
        <f>Nodes!W1228+"'E4!'s4"</f>
        <v>#VALUE!</v>
      </c>
      <c r="AF151" t="e">
        <f>Nodes!X1228+"'E4!'s5"</f>
        <v>#VALUE!</v>
      </c>
      <c r="AG151" t="e">
        <f>Nodes!Y1228+"'E4!'s6"</f>
        <v>#VALUE!</v>
      </c>
      <c r="AH151" t="e">
        <f>Nodes!Z1228+"'E4!'s7"</f>
        <v>#VALUE!</v>
      </c>
      <c r="AI151" t="e">
        <f>Nodes!AA1228+"'E4!'s8"</f>
        <v>#VALUE!</v>
      </c>
      <c r="AJ151" s="547" t="e">
        <f>Nodes!AB1228+"'E4!'s9"</f>
        <v>#VALUE!</v>
      </c>
      <c r="AK151" s="547" t="e">
        <f>Nodes!AC1228+"'E4!'s:"</f>
        <v>#VALUE!</v>
      </c>
      <c r="AL151" t="e">
        <f>Nodes!A1229+"'E4!'s;"</f>
        <v>#VALUE!</v>
      </c>
      <c r="AM151" t="e">
        <f>Nodes!B1229+"'E4!'s&lt;"</f>
        <v>#VALUE!</v>
      </c>
      <c r="AN151" t="e">
        <f>Nodes!C1229+"'E4!'s="</f>
        <v>#VALUE!</v>
      </c>
      <c r="AO151" t="e">
        <f>Nodes!D1229+"'E4!'s&gt;"</f>
        <v>#VALUE!</v>
      </c>
      <c r="AP151" t="e">
        <f>Nodes!E1229+"'E4!'s?"</f>
        <v>#VALUE!</v>
      </c>
      <c r="AQ151" t="e">
        <f>Nodes!F1229+"'E4!'s@"</f>
        <v>#VALUE!</v>
      </c>
      <c r="AR151" t="e">
        <f>Nodes!G1229+"'E4!'sA"</f>
        <v>#VALUE!</v>
      </c>
      <c r="AS151" t="e">
        <f>Nodes!H1229+"'E4!'sB"</f>
        <v>#VALUE!</v>
      </c>
      <c r="AT151" t="e">
        <f>Nodes!I1229+"'E4!'sC"</f>
        <v>#VALUE!</v>
      </c>
      <c r="AU151" t="e">
        <f>Nodes!J1229+"'E4!'sD"</f>
        <v>#VALUE!</v>
      </c>
      <c r="AV151" t="e">
        <f>Nodes!K1229+"'E4!'sE"</f>
        <v>#VALUE!</v>
      </c>
      <c r="AW151" t="e">
        <f>Nodes!L1229+"'E4!'sF"</f>
        <v>#VALUE!</v>
      </c>
      <c r="AX151" t="e">
        <f>Nodes!M1229+"'E4!'sG"</f>
        <v>#VALUE!</v>
      </c>
      <c r="AY151" t="e">
        <f>Nodes!N1229+"'E4!'sH"</f>
        <v>#VALUE!</v>
      </c>
      <c r="AZ151" t="e">
        <f>Nodes!O1229+"'E4!'sI"</f>
        <v>#VALUE!</v>
      </c>
      <c r="BA151" t="e">
        <f>Nodes!P1229+"'E4!'sJ"</f>
        <v>#VALUE!</v>
      </c>
      <c r="BB151" t="e">
        <f>Nodes!Q1229+"'E4!'sK"</f>
        <v>#VALUE!</v>
      </c>
      <c r="BC151" t="e">
        <f>Nodes!R1229+"'E4!'sL"</f>
        <v>#VALUE!</v>
      </c>
      <c r="BD151" s="547" t="e">
        <f>Nodes!S1229+"'E4!'sM"</f>
        <v>#VALUE!</v>
      </c>
      <c r="BE151" s="547" t="e">
        <f>Nodes!T1229+"'E4!'sN"</f>
        <v>#VALUE!</v>
      </c>
      <c r="BF151" s="548" t="e">
        <f>Nodes!U1229+"'E4!'sO"</f>
        <v>#VALUE!</v>
      </c>
      <c r="BG151" s="548" t="e">
        <f>Nodes!V1229+"'E4!'sP"</f>
        <v>#VALUE!</v>
      </c>
      <c r="BH151" s="547" t="e">
        <f>Nodes!W1229+"'E4!'sQ"</f>
        <v>#VALUE!</v>
      </c>
      <c r="BI151" t="e">
        <f>Nodes!X1229+"'E4!'sR"</f>
        <v>#VALUE!</v>
      </c>
      <c r="BJ151" t="e">
        <f>Nodes!Y1229+"'E4!'sS"</f>
        <v>#VALUE!</v>
      </c>
      <c r="BK151" t="e">
        <f>Nodes!Z1229+"'E4!'sT"</f>
        <v>#VALUE!</v>
      </c>
      <c r="BL151" t="e">
        <f>Nodes!AA1229+"'E4!'sU"</f>
        <v>#VALUE!</v>
      </c>
      <c r="BM151" s="547" t="e">
        <f>Nodes!AB1229+"'E4!'sV"</f>
        <v>#VALUE!</v>
      </c>
      <c r="BN151" s="547" t="e">
        <f>Nodes!AC1229+"'E4!'sW"</f>
        <v>#VALUE!</v>
      </c>
      <c r="BO151" t="e">
        <f>Nodes!A1230+"'E4!'sX"</f>
        <v>#VALUE!</v>
      </c>
      <c r="BP151" t="e">
        <f>Nodes!B1230+"'E4!'sY"</f>
        <v>#VALUE!</v>
      </c>
      <c r="BQ151" t="e">
        <f>Nodes!C1230+"'E4!'sZ"</f>
        <v>#VALUE!</v>
      </c>
      <c r="BR151" t="e">
        <f>Nodes!D1230+"'E4!'s["</f>
        <v>#VALUE!</v>
      </c>
      <c r="BS151" t="e">
        <f>Nodes!E1230+"'E4!'s\"</f>
        <v>#VALUE!</v>
      </c>
      <c r="BT151" t="e">
        <f>Nodes!F1230+"'E4!'s]"</f>
        <v>#VALUE!</v>
      </c>
      <c r="BU151" t="e">
        <f>Nodes!G1230+"'E4!'s^"</f>
        <v>#VALUE!</v>
      </c>
      <c r="BV151" t="e">
        <f>Nodes!H1230+"'E4!'s_"</f>
        <v>#VALUE!</v>
      </c>
      <c r="BW151" t="e">
        <f>Nodes!I1230+"'E4!'s`"</f>
        <v>#VALUE!</v>
      </c>
      <c r="BX151" t="e">
        <f>Nodes!J1230+"'E4!'sa"</f>
        <v>#VALUE!</v>
      </c>
      <c r="BY151" t="e">
        <f>Nodes!K1230+"'E4!'sb"</f>
        <v>#VALUE!</v>
      </c>
      <c r="BZ151" t="e">
        <f>Nodes!L1230+"'E4!'sc"</f>
        <v>#VALUE!</v>
      </c>
      <c r="CA151" t="e">
        <f>Nodes!M1230+"'E4!'sd"</f>
        <v>#VALUE!</v>
      </c>
      <c r="CB151" t="e">
        <f>Nodes!N1230+"'E4!'se"</f>
        <v>#VALUE!</v>
      </c>
      <c r="CC151" t="e">
        <f>Nodes!O1230+"'E4!'sf"</f>
        <v>#VALUE!</v>
      </c>
      <c r="CD151" t="e">
        <f>Nodes!P1230+"'E4!'sg"</f>
        <v>#VALUE!</v>
      </c>
      <c r="CE151" t="e">
        <f>Nodes!Q1230+"'E4!'sh"</f>
        <v>#VALUE!</v>
      </c>
      <c r="CF151" t="e">
        <f>Nodes!R1230+"'E4!'si"</f>
        <v>#VALUE!</v>
      </c>
      <c r="CG151" s="547" t="e">
        <f>Nodes!S1230+"'E4!'sj"</f>
        <v>#VALUE!</v>
      </c>
      <c r="CH151" s="547" t="e">
        <f>Nodes!T1230+"'E4!'sk"</f>
        <v>#VALUE!</v>
      </c>
      <c r="CI151" s="548" t="e">
        <f>Nodes!U1230+"'E4!'sl"</f>
        <v>#VALUE!</v>
      </c>
      <c r="CJ151" s="548" t="e">
        <f>Nodes!V1230+"'E4!'sm"</f>
        <v>#VALUE!</v>
      </c>
      <c r="CK151" s="547" t="e">
        <f>Nodes!W1230+"'E4!'sn"</f>
        <v>#VALUE!</v>
      </c>
      <c r="CL151" t="e">
        <f>Nodes!X1230+"'E4!'so"</f>
        <v>#VALUE!</v>
      </c>
      <c r="CM151" t="e">
        <f>Nodes!Y1230+"'E4!'sp"</f>
        <v>#VALUE!</v>
      </c>
      <c r="CN151" t="e">
        <f>Nodes!Z1230+"'E4!'sq"</f>
        <v>#VALUE!</v>
      </c>
      <c r="CO151" t="e">
        <f>Nodes!AA1230+"'E4!'sr"</f>
        <v>#VALUE!</v>
      </c>
      <c r="CP151" s="547" t="e">
        <f>Nodes!AB1230+"'E4!'ss"</f>
        <v>#VALUE!</v>
      </c>
      <c r="CQ151" s="547" t="e">
        <f>Nodes!AC1230+"'E4!'st"</f>
        <v>#VALUE!</v>
      </c>
      <c r="CR151" t="e">
        <f>Nodes!A1231+"'E4!'su"</f>
        <v>#VALUE!</v>
      </c>
      <c r="CS151" t="e">
        <f>Nodes!B1231+"'E4!'sv"</f>
        <v>#VALUE!</v>
      </c>
      <c r="CT151" t="e">
        <f>Nodes!C1231+"'E4!'sw"</f>
        <v>#VALUE!</v>
      </c>
      <c r="CU151" t="e">
        <f>Nodes!D1231+"'E4!'sx"</f>
        <v>#VALUE!</v>
      </c>
      <c r="CV151" t="e">
        <f>Nodes!E1231+"'E4!'sy"</f>
        <v>#VALUE!</v>
      </c>
      <c r="CW151" t="e">
        <f>Nodes!F1231+"'E4!'sz"</f>
        <v>#VALUE!</v>
      </c>
      <c r="CX151" t="e">
        <f>Nodes!G1231+"'E4!'s{"</f>
        <v>#VALUE!</v>
      </c>
      <c r="CY151" t="e">
        <f>Nodes!H1231+"'E4!'s|"</f>
        <v>#VALUE!</v>
      </c>
      <c r="CZ151" t="e">
        <f>Nodes!I1231+"'E4!'s}"</f>
        <v>#VALUE!</v>
      </c>
      <c r="DA151" t="e">
        <f>Nodes!J1231+"'E4!'s~"</f>
        <v>#VALUE!</v>
      </c>
      <c r="DB151" t="e">
        <f>Nodes!K1231+"'E4!'t#"</f>
        <v>#VALUE!</v>
      </c>
      <c r="DC151" t="e">
        <f>Nodes!L1231+"'E4!'t$"</f>
        <v>#VALUE!</v>
      </c>
      <c r="DD151" t="e">
        <f>Nodes!M1231+"'E4!'t%"</f>
        <v>#VALUE!</v>
      </c>
      <c r="DE151" t="e">
        <f>Nodes!N1231+"'E4!'t&amp;"</f>
        <v>#VALUE!</v>
      </c>
      <c r="DF151" t="e">
        <f>Nodes!O1231+"'E4!'t'"</f>
        <v>#VALUE!</v>
      </c>
      <c r="DG151" t="e">
        <f>Nodes!P1231+"'E4!'t("</f>
        <v>#VALUE!</v>
      </c>
      <c r="DH151" t="e">
        <f>Nodes!Q1231+"'E4!'t)"</f>
        <v>#VALUE!</v>
      </c>
      <c r="DI151" t="e">
        <f>Nodes!R1231+"'E4!'t."</f>
        <v>#VALUE!</v>
      </c>
      <c r="DJ151" s="547" t="e">
        <f>Nodes!S1231+"'E4!'t/"</f>
        <v>#VALUE!</v>
      </c>
      <c r="DK151" s="547" t="e">
        <f>Nodes!T1231+"'E4!'t0"</f>
        <v>#VALUE!</v>
      </c>
      <c r="DL151" s="548" t="e">
        <f>Nodes!U1231+"'E4!'t1"</f>
        <v>#VALUE!</v>
      </c>
      <c r="DM151" s="548" t="e">
        <f>Nodes!V1231+"'E4!'t2"</f>
        <v>#VALUE!</v>
      </c>
      <c r="DN151" s="547" t="e">
        <f>Nodes!W1231+"'E4!'t3"</f>
        <v>#VALUE!</v>
      </c>
      <c r="DO151" t="e">
        <f>Nodes!X1231+"'E4!'t4"</f>
        <v>#VALUE!</v>
      </c>
      <c r="DP151" t="e">
        <f>Nodes!Y1231+"'E4!'t5"</f>
        <v>#VALUE!</v>
      </c>
      <c r="DQ151" t="e">
        <f>Nodes!Z1231+"'E4!'t6"</f>
        <v>#VALUE!</v>
      </c>
      <c r="DR151" t="e">
        <f>Nodes!AA1231+"'E4!'t7"</f>
        <v>#VALUE!</v>
      </c>
      <c r="DS151" s="547" t="e">
        <f>Nodes!AB1231+"'E4!'t8"</f>
        <v>#VALUE!</v>
      </c>
      <c r="DT151" s="547" t="e">
        <f>Nodes!AC1231+"'E4!'t9"</f>
        <v>#VALUE!</v>
      </c>
      <c r="DU151" t="e">
        <f>Nodes!A1232+"'E4!'t:"</f>
        <v>#VALUE!</v>
      </c>
      <c r="DV151" t="e">
        <f>Nodes!B1232+"'E4!'t;"</f>
        <v>#VALUE!</v>
      </c>
      <c r="DW151" t="e">
        <f>Nodes!C1232+"'E4!'t&lt;"</f>
        <v>#VALUE!</v>
      </c>
      <c r="DX151" t="e">
        <f>Nodes!D1232+"'E4!'t="</f>
        <v>#VALUE!</v>
      </c>
      <c r="DY151" t="e">
        <f>Nodes!E1232+"'E4!'t&gt;"</f>
        <v>#VALUE!</v>
      </c>
      <c r="DZ151" t="e">
        <f>Nodes!F1232+"'E4!'t?"</f>
        <v>#VALUE!</v>
      </c>
      <c r="EA151" t="e">
        <f>Nodes!G1232+"'E4!'t@"</f>
        <v>#VALUE!</v>
      </c>
      <c r="EB151" t="e">
        <f>Nodes!H1232+"'E4!'tA"</f>
        <v>#VALUE!</v>
      </c>
      <c r="EC151" t="e">
        <f>Nodes!I1232+"'E4!'tB"</f>
        <v>#VALUE!</v>
      </c>
      <c r="ED151" t="e">
        <f>Nodes!J1232+"'E4!'tC"</f>
        <v>#VALUE!</v>
      </c>
      <c r="EE151" t="e">
        <f>Nodes!K1232+"'E4!'tD"</f>
        <v>#VALUE!</v>
      </c>
      <c r="EF151" t="e">
        <f>Nodes!L1232+"'E4!'tE"</f>
        <v>#VALUE!</v>
      </c>
      <c r="EG151" t="e">
        <f>Nodes!M1232+"'E4!'tF"</f>
        <v>#VALUE!</v>
      </c>
      <c r="EH151" t="e">
        <f>Nodes!N1232+"'E4!'tG"</f>
        <v>#VALUE!</v>
      </c>
      <c r="EI151" t="e">
        <f>Nodes!O1232+"'E4!'tH"</f>
        <v>#VALUE!</v>
      </c>
      <c r="EJ151" t="e">
        <f>Nodes!P1232+"'E4!'tI"</f>
        <v>#VALUE!</v>
      </c>
      <c r="EK151" t="e">
        <f>Nodes!Q1232+"'E4!'tJ"</f>
        <v>#VALUE!</v>
      </c>
      <c r="EL151" t="e">
        <f>Nodes!R1232+"'E4!'tK"</f>
        <v>#VALUE!</v>
      </c>
      <c r="EM151" s="547" t="e">
        <f>Nodes!S1232+"'E4!'tL"</f>
        <v>#VALUE!</v>
      </c>
      <c r="EN151" s="547" t="e">
        <f>Nodes!T1232+"'E4!'tM"</f>
        <v>#VALUE!</v>
      </c>
      <c r="EO151" s="548" t="e">
        <f>Nodes!U1232+"'E4!'tN"</f>
        <v>#VALUE!</v>
      </c>
      <c r="EP151" s="548" t="e">
        <f>Nodes!V1232+"'E4!'tO"</f>
        <v>#VALUE!</v>
      </c>
      <c r="EQ151" s="547" t="e">
        <f>Nodes!W1232+"'E4!'tP"</f>
        <v>#VALUE!</v>
      </c>
      <c r="ER151" t="e">
        <f>Nodes!X1232+"'E4!'tQ"</f>
        <v>#VALUE!</v>
      </c>
      <c r="ES151" t="e">
        <f>Nodes!Y1232+"'E4!'tR"</f>
        <v>#VALUE!</v>
      </c>
      <c r="ET151" t="e">
        <f>Nodes!Z1232+"'E4!'tS"</f>
        <v>#VALUE!</v>
      </c>
      <c r="EU151" t="e">
        <f>Nodes!AA1232+"'E4!'tT"</f>
        <v>#VALUE!</v>
      </c>
      <c r="EV151" s="547" t="e">
        <f>Nodes!AB1232+"'E4!'tU"</f>
        <v>#VALUE!</v>
      </c>
      <c r="EW151" s="547" t="e">
        <f>Nodes!AC1232+"'E4!'tV"</f>
        <v>#VALUE!</v>
      </c>
      <c r="EX151" t="e">
        <f>Nodes!A1233+"'E4!'tW"</f>
        <v>#VALUE!</v>
      </c>
      <c r="EY151" t="e">
        <f>Nodes!B1233+"'E4!'tX"</f>
        <v>#VALUE!</v>
      </c>
      <c r="EZ151" t="e">
        <f>Nodes!C1233+"'E4!'tY"</f>
        <v>#VALUE!</v>
      </c>
      <c r="FA151" t="e">
        <f>Nodes!D1233+"'E4!'tZ"</f>
        <v>#VALUE!</v>
      </c>
      <c r="FB151" t="e">
        <f>Nodes!E1233+"'E4!'t["</f>
        <v>#VALUE!</v>
      </c>
      <c r="FC151" t="e">
        <f>Nodes!F1233+"'E4!'t\"</f>
        <v>#VALUE!</v>
      </c>
      <c r="FD151" t="e">
        <f>Nodes!G1233+"'E4!'t]"</f>
        <v>#VALUE!</v>
      </c>
      <c r="FE151" t="e">
        <f>Nodes!H1233+"'E4!'t^"</f>
        <v>#VALUE!</v>
      </c>
      <c r="FF151" t="e">
        <f>Nodes!I1233+"'E4!'t_"</f>
        <v>#VALUE!</v>
      </c>
      <c r="FG151" t="e">
        <f>Nodes!J1233+"'E4!'t`"</f>
        <v>#VALUE!</v>
      </c>
      <c r="FH151" t="e">
        <f>Nodes!K1233+"'E4!'ta"</f>
        <v>#VALUE!</v>
      </c>
      <c r="FI151" t="e">
        <f>Nodes!L1233+"'E4!'tb"</f>
        <v>#VALUE!</v>
      </c>
      <c r="FJ151" t="e">
        <f>Nodes!M1233+"'E4!'tc"</f>
        <v>#VALUE!</v>
      </c>
      <c r="FK151" t="e">
        <f>Nodes!N1233+"'E4!'td"</f>
        <v>#VALUE!</v>
      </c>
      <c r="FL151" t="e">
        <f>Nodes!O1233+"'E4!'te"</f>
        <v>#VALUE!</v>
      </c>
      <c r="FM151" t="e">
        <f>Nodes!P1233+"'E4!'tf"</f>
        <v>#VALUE!</v>
      </c>
      <c r="FN151" t="e">
        <f>Nodes!Q1233+"'E4!'tg"</f>
        <v>#VALUE!</v>
      </c>
      <c r="FO151" t="e">
        <f>Nodes!R1233+"'E4!'th"</f>
        <v>#VALUE!</v>
      </c>
      <c r="FP151" s="547" t="e">
        <f>Nodes!S1233+"'E4!'ti"</f>
        <v>#VALUE!</v>
      </c>
      <c r="FQ151" s="547" t="e">
        <f>Nodes!T1233+"'E4!'tj"</f>
        <v>#VALUE!</v>
      </c>
      <c r="FR151" s="548" t="e">
        <f>Nodes!U1233+"'E4!'tk"</f>
        <v>#VALUE!</v>
      </c>
      <c r="FS151" s="548" t="e">
        <f>Nodes!V1233+"'E4!'tl"</f>
        <v>#VALUE!</v>
      </c>
      <c r="FT151" s="547" t="e">
        <f>Nodes!W1233+"'E4!'tm"</f>
        <v>#VALUE!</v>
      </c>
      <c r="FU151" t="e">
        <f>Nodes!X1233+"'E4!'tn"</f>
        <v>#VALUE!</v>
      </c>
      <c r="FV151" t="e">
        <f>Nodes!Y1233+"'E4!'to"</f>
        <v>#VALUE!</v>
      </c>
      <c r="FW151" t="e">
        <f>Nodes!Z1233+"'E4!'tp"</f>
        <v>#VALUE!</v>
      </c>
      <c r="FX151" t="e">
        <f>Nodes!AA1233+"'E4!'tq"</f>
        <v>#VALUE!</v>
      </c>
      <c r="FY151" s="547" t="e">
        <f>Nodes!AB1233+"'E4!'tr"</f>
        <v>#VALUE!</v>
      </c>
      <c r="FZ151" s="547" t="e">
        <f>Nodes!AC1233+"'E4!'ts"</f>
        <v>#VALUE!</v>
      </c>
      <c r="GA151" t="e">
        <f>Nodes!A1234+"'E4!'tt"</f>
        <v>#VALUE!</v>
      </c>
      <c r="GB151" t="e">
        <f>Nodes!B1234+"'E4!'tu"</f>
        <v>#VALUE!</v>
      </c>
      <c r="GC151" t="e">
        <f>Nodes!C1234+"'E4!'tv"</f>
        <v>#VALUE!</v>
      </c>
      <c r="GD151" t="e">
        <f>Nodes!D1234+"'E4!'tw"</f>
        <v>#VALUE!</v>
      </c>
      <c r="GE151" t="e">
        <f>Nodes!E1234+"'E4!'tx"</f>
        <v>#VALUE!</v>
      </c>
      <c r="GF151" t="e">
        <f>Nodes!F1234+"'E4!'ty"</f>
        <v>#VALUE!</v>
      </c>
      <c r="GG151" t="e">
        <f>Nodes!G1234+"'E4!'tz"</f>
        <v>#VALUE!</v>
      </c>
      <c r="GH151" t="e">
        <f>Nodes!H1234+"'E4!'t{"</f>
        <v>#VALUE!</v>
      </c>
      <c r="GI151" t="e">
        <f>Nodes!I1234+"'E4!'t|"</f>
        <v>#VALUE!</v>
      </c>
      <c r="GJ151" t="e">
        <f>Nodes!J1234+"'E4!'t}"</f>
        <v>#VALUE!</v>
      </c>
      <c r="GK151" t="e">
        <f>Nodes!K1234+"'E4!'t~"</f>
        <v>#VALUE!</v>
      </c>
      <c r="GL151" t="e">
        <f>Nodes!L1234+"'E4!'u#"</f>
        <v>#VALUE!</v>
      </c>
      <c r="GM151" t="e">
        <f>Nodes!M1234+"'E4!'u$"</f>
        <v>#VALUE!</v>
      </c>
      <c r="GN151" t="e">
        <f>Nodes!N1234+"'E4!'u%"</f>
        <v>#VALUE!</v>
      </c>
      <c r="GO151" t="e">
        <f>Nodes!O1234+"'E4!'u&amp;"</f>
        <v>#VALUE!</v>
      </c>
      <c r="GP151" t="e">
        <f>Nodes!P1234+"'E4!'u'"</f>
        <v>#VALUE!</v>
      </c>
      <c r="GQ151" t="e">
        <f>Nodes!Q1234+"'E4!'u("</f>
        <v>#VALUE!</v>
      </c>
      <c r="GR151" t="e">
        <f>Nodes!R1234+"'E4!'u)"</f>
        <v>#VALUE!</v>
      </c>
      <c r="GS151" s="547" t="e">
        <f>Nodes!S1234+"'E4!'u."</f>
        <v>#VALUE!</v>
      </c>
      <c r="GT151" s="547" t="e">
        <f>Nodes!T1234+"'E4!'u/"</f>
        <v>#VALUE!</v>
      </c>
      <c r="GU151" s="548" t="e">
        <f>Nodes!U1234+"'E4!'u0"</f>
        <v>#VALUE!</v>
      </c>
      <c r="GV151" s="548" t="e">
        <f>Nodes!V1234+"'E4!'u1"</f>
        <v>#VALUE!</v>
      </c>
      <c r="GW151" s="547" t="e">
        <f>Nodes!W1234+"'E4!'u2"</f>
        <v>#VALUE!</v>
      </c>
      <c r="GX151" t="e">
        <f>Nodes!X1234+"'E4!'u3"</f>
        <v>#VALUE!</v>
      </c>
      <c r="GY151" t="e">
        <f>Nodes!Y1234+"'E4!'u4"</f>
        <v>#VALUE!</v>
      </c>
      <c r="GZ151" t="e">
        <f>Nodes!Z1234+"'E4!'u5"</f>
        <v>#VALUE!</v>
      </c>
      <c r="HA151" t="e">
        <f>Nodes!AA1234+"'E4!'u6"</f>
        <v>#VALUE!</v>
      </c>
      <c r="HB151" s="547" t="e">
        <f>Nodes!AB1234+"'E4!'u7"</f>
        <v>#VALUE!</v>
      </c>
      <c r="HC151" s="547" t="e">
        <f>Nodes!AC1234+"'E4!'u8"</f>
        <v>#VALUE!</v>
      </c>
      <c r="HD151" t="e">
        <f>Nodes!A1235+"'E4!'u9"</f>
        <v>#VALUE!</v>
      </c>
      <c r="HE151" t="e">
        <f>Nodes!B1235+"'E4!'u:"</f>
        <v>#VALUE!</v>
      </c>
      <c r="HF151" t="e">
        <f>Nodes!C1235+"'E4!'u;"</f>
        <v>#VALUE!</v>
      </c>
      <c r="HG151" t="e">
        <f>Nodes!D1235+"'E4!'u&lt;"</f>
        <v>#VALUE!</v>
      </c>
      <c r="HH151" t="e">
        <f>Nodes!E1235+"'E4!'u="</f>
        <v>#VALUE!</v>
      </c>
      <c r="HI151" t="e">
        <f>Nodes!F1235+"'E4!'u&gt;"</f>
        <v>#VALUE!</v>
      </c>
      <c r="HJ151" t="e">
        <f>Nodes!G1235+"'E4!'u?"</f>
        <v>#VALUE!</v>
      </c>
      <c r="HK151" t="e">
        <f>Nodes!H1235+"'E4!'u@"</f>
        <v>#VALUE!</v>
      </c>
      <c r="HL151" t="e">
        <f>Nodes!I1235+"'E4!'uA"</f>
        <v>#VALUE!</v>
      </c>
      <c r="HM151" t="e">
        <f>Nodes!J1235+"'E4!'uB"</f>
        <v>#VALUE!</v>
      </c>
      <c r="HN151" t="e">
        <f>Nodes!K1235+"'E4!'uC"</f>
        <v>#VALUE!</v>
      </c>
      <c r="HO151" t="e">
        <f>Nodes!L1235+"'E4!'uD"</f>
        <v>#VALUE!</v>
      </c>
      <c r="HP151" t="e">
        <f>Nodes!M1235+"'E4!'uE"</f>
        <v>#VALUE!</v>
      </c>
      <c r="HQ151" t="e">
        <f>Nodes!N1235+"'E4!'uF"</f>
        <v>#VALUE!</v>
      </c>
      <c r="HR151" t="e">
        <f>Nodes!O1235+"'E4!'uG"</f>
        <v>#VALUE!</v>
      </c>
      <c r="HS151" t="e">
        <f>Nodes!P1235+"'E4!'uH"</f>
        <v>#VALUE!</v>
      </c>
      <c r="HT151" t="e">
        <f>Nodes!Q1235+"'E4!'uI"</f>
        <v>#VALUE!</v>
      </c>
      <c r="HU151" t="e">
        <f>Nodes!R1235+"'E4!'uJ"</f>
        <v>#VALUE!</v>
      </c>
      <c r="HV151" s="547" t="e">
        <f>Nodes!S1235+"'E4!'uK"</f>
        <v>#VALUE!</v>
      </c>
      <c r="HW151" s="547" t="e">
        <f>Nodes!T1235+"'E4!'uL"</f>
        <v>#VALUE!</v>
      </c>
      <c r="HX151" s="548" t="e">
        <f>Nodes!U1235+"'E4!'uM"</f>
        <v>#VALUE!</v>
      </c>
      <c r="HY151" s="548" t="e">
        <f>Nodes!V1235+"'E4!'uN"</f>
        <v>#VALUE!</v>
      </c>
      <c r="HZ151" s="547" t="e">
        <f>Nodes!W1235+"'E4!'uO"</f>
        <v>#VALUE!</v>
      </c>
      <c r="IA151" t="e">
        <f>Nodes!X1235+"'E4!'uP"</f>
        <v>#VALUE!</v>
      </c>
      <c r="IB151" t="e">
        <f>Nodes!Y1235+"'E4!'uQ"</f>
        <v>#VALUE!</v>
      </c>
      <c r="IC151" t="e">
        <f>Nodes!Z1235+"'E4!'uR"</f>
        <v>#VALUE!</v>
      </c>
      <c r="ID151" t="e">
        <f>Nodes!AA1235+"'E4!'uS"</f>
        <v>#VALUE!</v>
      </c>
      <c r="IE151" s="547" t="e">
        <f>Nodes!AB1235+"'E4!'uT"</f>
        <v>#VALUE!</v>
      </c>
      <c r="IF151" s="547" t="e">
        <f>Nodes!AC1235+"'E4!'uU"</f>
        <v>#VALUE!</v>
      </c>
      <c r="IG151" t="e">
        <f>Nodes!A1236+"'E4!'uV"</f>
        <v>#VALUE!</v>
      </c>
      <c r="IH151" t="e">
        <f>Nodes!B1236+"'E4!'uW"</f>
        <v>#VALUE!</v>
      </c>
      <c r="II151" t="e">
        <f>Nodes!C1236+"'E4!'uX"</f>
        <v>#VALUE!</v>
      </c>
      <c r="IJ151" t="e">
        <f>Nodes!D1236+"'E4!'uY"</f>
        <v>#VALUE!</v>
      </c>
      <c r="IK151" t="e">
        <f>Nodes!E1236+"'E4!'uZ"</f>
        <v>#VALUE!</v>
      </c>
      <c r="IL151" t="e">
        <f>Nodes!F1236+"'E4!'u["</f>
        <v>#VALUE!</v>
      </c>
      <c r="IM151" t="e">
        <f>Nodes!G1236+"'E4!'u\"</f>
        <v>#VALUE!</v>
      </c>
      <c r="IN151" t="e">
        <f>Nodes!H1236+"'E4!'u]"</f>
        <v>#VALUE!</v>
      </c>
      <c r="IO151" t="e">
        <f>Nodes!I1236+"'E4!'u^"</f>
        <v>#VALUE!</v>
      </c>
      <c r="IP151" t="e">
        <f>Nodes!J1236+"'E4!'u_"</f>
        <v>#VALUE!</v>
      </c>
      <c r="IQ151" t="e">
        <f>Nodes!K1236+"'E4!'u`"</f>
        <v>#VALUE!</v>
      </c>
      <c r="IR151" t="e">
        <f>Nodes!L1236+"'E4!'ua"</f>
        <v>#VALUE!</v>
      </c>
      <c r="IS151" t="e">
        <f>Nodes!M1236+"'E4!'ub"</f>
        <v>#VALUE!</v>
      </c>
      <c r="IT151" t="e">
        <f>Nodes!N1236+"'E4!'uc"</f>
        <v>#VALUE!</v>
      </c>
      <c r="IU151" t="e">
        <f>Nodes!O1236+"'E4!'ud"</f>
        <v>#VALUE!</v>
      </c>
      <c r="IV151" t="e">
        <f>Nodes!P1236+"'E4!'ue"</f>
        <v>#VALUE!</v>
      </c>
    </row>
    <row r="152" spans="6:256">
      <c r="F152" t="e">
        <f>Nodes!Q1236+"'E4!'uf"</f>
        <v>#VALUE!</v>
      </c>
      <c r="G152" t="e">
        <f>Nodes!R1236+"'E4!'ug"</f>
        <v>#VALUE!</v>
      </c>
      <c r="H152" s="547" t="e">
        <f>Nodes!S1236+"'E4!'uh"</f>
        <v>#VALUE!</v>
      </c>
      <c r="I152" s="547" t="e">
        <f>Nodes!T1236+"'E4!'ui"</f>
        <v>#VALUE!</v>
      </c>
      <c r="J152" s="548" t="e">
        <f>Nodes!U1236+"'E4!'uj"</f>
        <v>#VALUE!</v>
      </c>
      <c r="K152" s="548" t="e">
        <f>Nodes!V1236+"'E4!'uk"</f>
        <v>#VALUE!</v>
      </c>
      <c r="L152" s="547" t="e">
        <f>Nodes!W1236+"'E4!'ul"</f>
        <v>#VALUE!</v>
      </c>
      <c r="M152" t="e">
        <f>Nodes!X1236+"'E4!'um"</f>
        <v>#VALUE!</v>
      </c>
      <c r="N152" t="e">
        <f>Nodes!Y1236+"'E4!'un"</f>
        <v>#VALUE!</v>
      </c>
      <c r="O152" t="e">
        <f>Nodes!Z1236+"'E4!'uo"</f>
        <v>#VALUE!</v>
      </c>
      <c r="P152" t="e">
        <f>Nodes!AA1236+"'E4!'up"</f>
        <v>#VALUE!</v>
      </c>
      <c r="Q152" s="547" t="e">
        <f>Nodes!AB1236+"'E4!'uq"</f>
        <v>#VALUE!</v>
      </c>
      <c r="R152" s="547" t="e">
        <f>Nodes!AC1236+"'E4!'ur"</f>
        <v>#VALUE!</v>
      </c>
      <c r="S152" t="e">
        <f>Nodes!A1237+"'E4!'us"</f>
        <v>#VALUE!</v>
      </c>
      <c r="T152" t="e">
        <f>Nodes!B1237+"'E4!'ut"</f>
        <v>#VALUE!</v>
      </c>
      <c r="U152" t="e">
        <f>Nodes!C1237+"'E4!'uu"</f>
        <v>#VALUE!</v>
      </c>
      <c r="V152" t="e">
        <f>Nodes!D1237+"'E4!'uv"</f>
        <v>#VALUE!</v>
      </c>
      <c r="W152" t="e">
        <f>Nodes!E1237+"'E4!'uw"</f>
        <v>#VALUE!</v>
      </c>
      <c r="X152" t="e">
        <f>Nodes!F1237+"'E4!'ux"</f>
        <v>#VALUE!</v>
      </c>
      <c r="Y152" t="e">
        <f>Nodes!G1237+"'E4!'uy"</f>
        <v>#VALUE!</v>
      </c>
      <c r="Z152" t="e">
        <f>Nodes!H1237+"'E4!'uz"</f>
        <v>#VALUE!</v>
      </c>
      <c r="AA152" t="e">
        <f>Nodes!I1237+"'E4!'u{"</f>
        <v>#VALUE!</v>
      </c>
      <c r="AB152" t="e">
        <f>Nodes!J1237+"'E4!'u|"</f>
        <v>#VALUE!</v>
      </c>
      <c r="AC152" t="e">
        <f>Nodes!K1237+"'E4!'u}"</f>
        <v>#VALUE!</v>
      </c>
      <c r="AD152" t="e">
        <f>Nodes!L1237+"'E4!'u~"</f>
        <v>#VALUE!</v>
      </c>
      <c r="AE152" t="e">
        <f>Nodes!M1237+"'E4!'v#"</f>
        <v>#VALUE!</v>
      </c>
      <c r="AF152" t="e">
        <f>Nodes!N1237+"'E4!'v$"</f>
        <v>#VALUE!</v>
      </c>
      <c r="AG152" t="e">
        <f>Nodes!O1237+"'E4!'v%"</f>
        <v>#VALUE!</v>
      </c>
      <c r="AH152" t="e">
        <f>Nodes!P1237+"'E4!'v&amp;"</f>
        <v>#VALUE!</v>
      </c>
      <c r="AI152" t="e">
        <f>Nodes!Q1237+"'E4!'v'"</f>
        <v>#VALUE!</v>
      </c>
      <c r="AJ152" t="e">
        <f>Nodes!R1237+"'E4!'v("</f>
        <v>#VALUE!</v>
      </c>
      <c r="AK152" s="547" t="e">
        <f>Nodes!S1237+"'E4!'v)"</f>
        <v>#VALUE!</v>
      </c>
      <c r="AL152" s="547" t="e">
        <f>Nodes!T1237+"'E4!'v."</f>
        <v>#VALUE!</v>
      </c>
      <c r="AM152" s="548" t="e">
        <f>Nodes!U1237+"'E4!'v/"</f>
        <v>#VALUE!</v>
      </c>
      <c r="AN152" s="548" t="e">
        <f>Nodes!V1237+"'E4!'v0"</f>
        <v>#VALUE!</v>
      </c>
      <c r="AO152" s="547" t="e">
        <f>Nodes!W1237+"'E4!'v1"</f>
        <v>#VALUE!</v>
      </c>
      <c r="AP152" t="e">
        <f>Nodes!X1237+"'E4!'v2"</f>
        <v>#VALUE!</v>
      </c>
      <c r="AQ152" t="e">
        <f>Nodes!Y1237+"'E4!'v3"</f>
        <v>#VALUE!</v>
      </c>
      <c r="AR152" t="e">
        <f>Nodes!Z1237+"'E4!'v4"</f>
        <v>#VALUE!</v>
      </c>
      <c r="AS152" t="e">
        <f>Nodes!AA1237+"'E4!'v5"</f>
        <v>#VALUE!</v>
      </c>
      <c r="AT152" s="547" t="e">
        <f>Nodes!AB1237+"'E4!'v6"</f>
        <v>#VALUE!</v>
      </c>
      <c r="AU152" s="547" t="e">
        <f>Nodes!AC1237+"'E4!'v7"</f>
        <v>#VALUE!</v>
      </c>
      <c r="AV152" t="e">
        <f>Nodes!A1238+"'E4!'v8"</f>
        <v>#VALUE!</v>
      </c>
      <c r="AW152" t="e">
        <f>Nodes!B1238+"'E4!'v9"</f>
        <v>#VALUE!</v>
      </c>
      <c r="AX152" t="e">
        <f>Nodes!C1238+"'E4!'v:"</f>
        <v>#VALUE!</v>
      </c>
      <c r="AY152" t="e">
        <f>Nodes!D1238+"'E4!'v;"</f>
        <v>#VALUE!</v>
      </c>
      <c r="AZ152" t="e">
        <f>Nodes!E1238+"'E4!'v&lt;"</f>
        <v>#VALUE!</v>
      </c>
      <c r="BA152" t="e">
        <f>Nodes!F1238+"'E4!'v="</f>
        <v>#VALUE!</v>
      </c>
      <c r="BB152" t="e">
        <f>Nodes!G1238+"'E4!'v&gt;"</f>
        <v>#VALUE!</v>
      </c>
      <c r="BC152" t="e">
        <f>Nodes!H1238+"'E4!'v?"</f>
        <v>#VALUE!</v>
      </c>
      <c r="BD152" t="e">
        <f>Nodes!I1238+"'E4!'v@"</f>
        <v>#VALUE!</v>
      </c>
      <c r="BE152" t="e">
        <f>Nodes!J1238+"'E4!'vA"</f>
        <v>#VALUE!</v>
      </c>
      <c r="BF152" t="e">
        <f>Nodes!K1238+"'E4!'vB"</f>
        <v>#VALUE!</v>
      </c>
      <c r="BG152" t="e">
        <f>Nodes!L1238+"'E4!'vC"</f>
        <v>#VALUE!</v>
      </c>
      <c r="BH152" t="e">
        <f>Nodes!M1238+"'E4!'vD"</f>
        <v>#VALUE!</v>
      </c>
      <c r="BI152" t="e">
        <f>Nodes!N1238+"'E4!'vE"</f>
        <v>#VALUE!</v>
      </c>
      <c r="BJ152" t="e">
        <f>Nodes!O1238+"'E4!'vF"</f>
        <v>#VALUE!</v>
      </c>
      <c r="BK152" t="e">
        <f>Nodes!P1238+"'E4!'vG"</f>
        <v>#VALUE!</v>
      </c>
      <c r="BL152" t="e">
        <f>Nodes!Q1238+"'E4!'vH"</f>
        <v>#VALUE!</v>
      </c>
      <c r="BM152" t="e">
        <f>Nodes!R1238+"'E4!'vI"</f>
        <v>#VALUE!</v>
      </c>
      <c r="BN152" s="547" t="e">
        <f>Nodes!S1238+"'E4!'vJ"</f>
        <v>#VALUE!</v>
      </c>
      <c r="BO152" s="547" t="e">
        <f>Nodes!T1238+"'E4!'vK"</f>
        <v>#VALUE!</v>
      </c>
      <c r="BP152" s="548" t="e">
        <f>Nodes!U1238+"'E4!'vL"</f>
        <v>#VALUE!</v>
      </c>
      <c r="BQ152" s="548" t="e">
        <f>Nodes!V1238+"'E4!'vM"</f>
        <v>#VALUE!</v>
      </c>
      <c r="BR152" s="547" t="e">
        <f>Nodes!W1238+"'E4!'vN"</f>
        <v>#VALUE!</v>
      </c>
      <c r="BS152" t="e">
        <f>Nodes!X1238+"'E4!'vO"</f>
        <v>#VALUE!</v>
      </c>
      <c r="BT152" t="e">
        <f>Nodes!Y1238+"'E4!'vP"</f>
        <v>#VALUE!</v>
      </c>
      <c r="BU152" t="e">
        <f>Nodes!Z1238+"'E4!'vQ"</f>
        <v>#VALUE!</v>
      </c>
      <c r="BV152" t="e">
        <f>Nodes!AA1238+"'E4!'vR"</f>
        <v>#VALUE!</v>
      </c>
      <c r="BW152" s="547" t="e">
        <f>Nodes!AB1238+"'E4!'vS"</f>
        <v>#VALUE!</v>
      </c>
      <c r="BX152" s="547" t="e">
        <f>Nodes!AC1238+"'E4!'vT"</f>
        <v>#VALUE!</v>
      </c>
      <c r="BY152" t="e">
        <f>Nodes!A1239+"'E4!'vU"</f>
        <v>#VALUE!</v>
      </c>
      <c r="BZ152" t="e">
        <f>Nodes!B1239+"'E4!'vV"</f>
        <v>#VALUE!</v>
      </c>
      <c r="CA152" t="e">
        <f>Nodes!C1239+"'E4!'vW"</f>
        <v>#VALUE!</v>
      </c>
      <c r="CB152" t="e">
        <f>Nodes!D1239+"'E4!'vX"</f>
        <v>#VALUE!</v>
      </c>
      <c r="CC152" t="e">
        <f>Nodes!E1239+"'E4!'vY"</f>
        <v>#VALUE!</v>
      </c>
      <c r="CD152" t="e">
        <f>Nodes!F1239+"'E4!'vZ"</f>
        <v>#VALUE!</v>
      </c>
      <c r="CE152" t="e">
        <f>Nodes!G1239+"'E4!'v["</f>
        <v>#VALUE!</v>
      </c>
      <c r="CF152" t="e">
        <f>Nodes!H1239+"'E4!'v\"</f>
        <v>#VALUE!</v>
      </c>
      <c r="CG152" t="e">
        <f>Nodes!I1239+"'E4!'v]"</f>
        <v>#VALUE!</v>
      </c>
      <c r="CH152" t="e">
        <f>Nodes!J1239+"'E4!'v^"</f>
        <v>#VALUE!</v>
      </c>
      <c r="CI152" t="e">
        <f>Nodes!K1239+"'E4!'v_"</f>
        <v>#VALUE!</v>
      </c>
      <c r="CJ152" t="e">
        <f>Nodes!L1239+"'E4!'v`"</f>
        <v>#VALUE!</v>
      </c>
      <c r="CK152" t="e">
        <f>Nodes!M1239+"'E4!'va"</f>
        <v>#VALUE!</v>
      </c>
      <c r="CL152" t="e">
        <f>Nodes!N1239+"'E4!'vb"</f>
        <v>#VALUE!</v>
      </c>
      <c r="CM152" t="e">
        <f>Nodes!O1239+"'E4!'vc"</f>
        <v>#VALUE!</v>
      </c>
      <c r="CN152" t="e">
        <f>Nodes!P1239+"'E4!'vd"</f>
        <v>#VALUE!</v>
      </c>
      <c r="CO152" t="e">
        <f>Nodes!Q1239+"'E4!'ve"</f>
        <v>#VALUE!</v>
      </c>
      <c r="CP152" t="e">
        <f>Nodes!R1239+"'E4!'vf"</f>
        <v>#VALUE!</v>
      </c>
      <c r="CQ152" s="547" t="e">
        <f>Nodes!S1239+"'E4!'vg"</f>
        <v>#VALUE!</v>
      </c>
      <c r="CR152" s="547" t="e">
        <f>Nodes!T1239+"'E4!'vh"</f>
        <v>#VALUE!</v>
      </c>
      <c r="CS152" s="548" t="e">
        <f>Nodes!U1239+"'E4!'vi"</f>
        <v>#VALUE!</v>
      </c>
      <c r="CT152" s="548" t="e">
        <f>Nodes!V1239+"'E4!'vj"</f>
        <v>#VALUE!</v>
      </c>
      <c r="CU152" s="547" t="e">
        <f>Nodes!W1239+"'E4!'vk"</f>
        <v>#VALUE!</v>
      </c>
      <c r="CV152" t="e">
        <f>Nodes!X1239+"'E4!'vl"</f>
        <v>#VALUE!</v>
      </c>
      <c r="CW152" t="e">
        <f>Nodes!Y1239+"'E4!'vm"</f>
        <v>#VALUE!</v>
      </c>
      <c r="CX152" t="e">
        <f>Nodes!Z1239+"'E4!'vn"</f>
        <v>#VALUE!</v>
      </c>
      <c r="CY152" t="e">
        <f>Nodes!AA1239+"'E4!'vo"</f>
        <v>#VALUE!</v>
      </c>
      <c r="CZ152" s="547" t="e">
        <f>Nodes!AB1239+"'E4!'vp"</f>
        <v>#VALUE!</v>
      </c>
      <c r="DA152" s="547" t="e">
        <f>Nodes!AC1239+"'E4!'vq"</f>
        <v>#VALUE!</v>
      </c>
      <c r="DB152" t="e">
        <f>Nodes!A1240+"'E4!'vr"</f>
        <v>#VALUE!</v>
      </c>
      <c r="DC152" t="e">
        <f>Nodes!B1240+"'E4!'vs"</f>
        <v>#VALUE!</v>
      </c>
      <c r="DD152" t="e">
        <f>Nodes!C1240+"'E4!'vt"</f>
        <v>#VALUE!</v>
      </c>
      <c r="DE152" t="e">
        <f>Nodes!D1240+"'E4!'vu"</f>
        <v>#VALUE!</v>
      </c>
      <c r="DF152" t="e">
        <f>Nodes!E1240+"'E4!'vv"</f>
        <v>#VALUE!</v>
      </c>
      <c r="DG152" t="e">
        <f>Nodes!F1240+"'E4!'vw"</f>
        <v>#VALUE!</v>
      </c>
      <c r="DH152" t="e">
        <f>Nodes!G1240+"'E4!'vx"</f>
        <v>#VALUE!</v>
      </c>
      <c r="DI152" t="e">
        <f>Nodes!H1240+"'E4!'vy"</f>
        <v>#VALUE!</v>
      </c>
      <c r="DJ152" t="e">
        <f>Nodes!I1240+"'E4!'vz"</f>
        <v>#VALUE!</v>
      </c>
      <c r="DK152" t="e">
        <f>Nodes!J1240+"'E4!'v{"</f>
        <v>#VALUE!</v>
      </c>
      <c r="DL152" t="e">
        <f>Nodes!K1240+"'E4!'v|"</f>
        <v>#VALUE!</v>
      </c>
      <c r="DM152" t="e">
        <f>Nodes!L1240+"'E4!'v}"</f>
        <v>#VALUE!</v>
      </c>
      <c r="DN152" t="e">
        <f>Nodes!M1240+"'E4!'v~"</f>
        <v>#VALUE!</v>
      </c>
      <c r="DO152" t="e">
        <f>Nodes!N1240+"'E4!'w#"</f>
        <v>#VALUE!</v>
      </c>
      <c r="DP152" t="e">
        <f>Nodes!O1240+"'E4!'w$"</f>
        <v>#VALUE!</v>
      </c>
      <c r="DQ152" t="e">
        <f>Nodes!P1240+"'E4!'w%"</f>
        <v>#VALUE!</v>
      </c>
      <c r="DR152" t="e">
        <f>Nodes!Q1240+"'E4!'w&amp;"</f>
        <v>#VALUE!</v>
      </c>
      <c r="DS152" t="e">
        <f>Nodes!R1240+"'E4!'w'"</f>
        <v>#VALUE!</v>
      </c>
      <c r="DT152" s="547" t="e">
        <f>Nodes!S1240+"'E4!'w("</f>
        <v>#VALUE!</v>
      </c>
      <c r="DU152" s="547" t="e">
        <f>Nodes!T1240+"'E4!'w)"</f>
        <v>#VALUE!</v>
      </c>
      <c r="DV152" s="548" t="e">
        <f>Nodes!U1240+"'E4!'w."</f>
        <v>#VALUE!</v>
      </c>
      <c r="DW152" s="548" t="e">
        <f>Nodes!V1240+"'E4!'w/"</f>
        <v>#VALUE!</v>
      </c>
      <c r="DX152" s="547" t="e">
        <f>Nodes!W1240+"'E4!'w0"</f>
        <v>#VALUE!</v>
      </c>
      <c r="DY152" t="e">
        <f>Nodes!X1240+"'E4!'w1"</f>
        <v>#VALUE!</v>
      </c>
      <c r="DZ152" t="e">
        <f>Nodes!Y1240+"'E4!'w2"</f>
        <v>#VALUE!</v>
      </c>
      <c r="EA152" t="e">
        <f>Nodes!Z1240+"'E4!'w3"</f>
        <v>#VALUE!</v>
      </c>
      <c r="EB152" t="e">
        <f>Nodes!AA1240+"'E4!'w4"</f>
        <v>#VALUE!</v>
      </c>
      <c r="EC152" s="547" t="e">
        <f>Nodes!AB1240+"'E4!'w5"</f>
        <v>#VALUE!</v>
      </c>
      <c r="ED152" s="547" t="e">
        <f>Nodes!AC1240+"'E4!'w6"</f>
        <v>#VALUE!</v>
      </c>
      <c r="EE152" t="e">
        <f>Nodes!A1241+"'E4!'w7"</f>
        <v>#VALUE!</v>
      </c>
      <c r="EF152" t="e">
        <f>Nodes!B1241+"'E4!'w8"</f>
        <v>#VALUE!</v>
      </c>
      <c r="EG152" t="e">
        <f>Nodes!C1241+"'E4!'w9"</f>
        <v>#VALUE!</v>
      </c>
      <c r="EH152" t="e">
        <f>Nodes!D1241+"'E4!'w:"</f>
        <v>#VALUE!</v>
      </c>
      <c r="EI152" t="e">
        <f>Nodes!E1241+"'E4!'w;"</f>
        <v>#VALUE!</v>
      </c>
      <c r="EJ152" t="e">
        <f>Nodes!F1241+"'E4!'w&lt;"</f>
        <v>#VALUE!</v>
      </c>
      <c r="EK152" t="e">
        <f>Nodes!G1241+"'E4!'w="</f>
        <v>#VALUE!</v>
      </c>
      <c r="EL152" t="e">
        <f>Nodes!H1241+"'E4!'w&gt;"</f>
        <v>#VALUE!</v>
      </c>
      <c r="EM152" t="e">
        <f>Nodes!I1241+"'E4!'w?"</f>
        <v>#VALUE!</v>
      </c>
      <c r="EN152" t="e">
        <f>Nodes!J1241+"'E4!'w@"</f>
        <v>#VALUE!</v>
      </c>
      <c r="EO152" t="e">
        <f>Nodes!K1241+"'E4!'wA"</f>
        <v>#VALUE!</v>
      </c>
      <c r="EP152" t="e">
        <f>Nodes!L1241+"'E4!'wB"</f>
        <v>#VALUE!</v>
      </c>
      <c r="EQ152" t="e">
        <f>Nodes!M1241+"'E4!'wC"</f>
        <v>#VALUE!</v>
      </c>
      <c r="ER152" t="e">
        <f>Nodes!N1241+"'E4!'wD"</f>
        <v>#VALUE!</v>
      </c>
      <c r="ES152" t="e">
        <f>Nodes!O1241+"'E4!'wE"</f>
        <v>#VALUE!</v>
      </c>
      <c r="ET152" t="e">
        <f>Nodes!P1241+"'E4!'wF"</f>
        <v>#VALUE!</v>
      </c>
      <c r="EU152" t="e">
        <f>Nodes!Q1241+"'E4!'wG"</f>
        <v>#VALUE!</v>
      </c>
      <c r="EV152" t="e">
        <f>Nodes!R1241+"'E4!'wH"</f>
        <v>#N/A</v>
      </c>
      <c r="EW152" s="547" t="e">
        <f>Nodes!S1241+"'E4!'wI"</f>
        <v>#N/A</v>
      </c>
      <c r="EX152" s="547" t="e">
        <f>Nodes!T1241+"'E4!'wJ"</f>
        <v>#VALUE!</v>
      </c>
      <c r="EY152" s="548" t="e">
        <f>Nodes!U1241+"'E4!'wK"</f>
        <v>#N/A</v>
      </c>
      <c r="EZ152" s="548" t="e">
        <f>Nodes!V1241+"'E4!'wL"</f>
        <v>#N/A</v>
      </c>
      <c r="FA152" s="547" t="e">
        <f>Nodes!W1241+"'E4!'wM"</f>
        <v>#VALUE!</v>
      </c>
      <c r="FB152" t="e">
        <f>Nodes!X1241+"'E4!'wN"</f>
        <v>#VALUE!</v>
      </c>
      <c r="FC152" t="e">
        <f>Nodes!Y1241+"'E4!'wO"</f>
        <v>#VALUE!</v>
      </c>
      <c r="FD152" t="e">
        <f>Nodes!Z1241+"'E4!'wP"</f>
        <v>#VALUE!</v>
      </c>
      <c r="FE152" t="e">
        <f>Nodes!AA1241+"'E4!'wQ"</f>
        <v>#VALUE!</v>
      </c>
      <c r="FF152" s="547" t="e">
        <f>Nodes!AB1241+"'E4!'wR"</f>
        <v>#VALUE!</v>
      </c>
      <c r="FG152" s="547" t="e">
        <f>Nodes!AC1241+"'E4!'wS"</f>
        <v>#VALUE!</v>
      </c>
      <c r="FH152" t="e">
        <f>Nodes!A1242+"'E4!'wT"</f>
        <v>#VALUE!</v>
      </c>
      <c r="FI152" t="e">
        <f>Nodes!B1242+"'E4!'wU"</f>
        <v>#VALUE!</v>
      </c>
      <c r="FJ152" t="e">
        <f>Nodes!C1242+"'E4!'wV"</f>
        <v>#VALUE!</v>
      </c>
      <c r="FK152" t="e">
        <f>Nodes!D1242+"'E4!'wW"</f>
        <v>#VALUE!</v>
      </c>
      <c r="FL152" t="e">
        <f>Nodes!E1242+"'E4!'wX"</f>
        <v>#VALUE!</v>
      </c>
      <c r="FM152" t="e">
        <f>Nodes!F1242+"'E4!'wY"</f>
        <v>#VALUE!</v>
      </c>
      <c r="FN152" t="e">
        <f>Nodes!G1242+"'E4!'wZ"</f>
        <v>#VALUE!</v>
      </c>
      <c r="FO152" t="e">
        <f>Nodes!H1242+"'E4!'w["</f>
        <v>#VALUE!</v>
      </c>
      <c r="FP152" t="e">
        <f>Nodes!I1242+"'E4!'w\"</f>
        <v>#VALUE!</v>
      </c>
      <c r="FQ152" t="e">
        <f>Nodes!J1242+"'E4!'w]"</f>
        <v>#VALUE!</v>
      </c>
      <c r="FR152" t="e">
        <f>Nodes!K1242+"'E4!'w^"</f>
        <v>#VALUE!</v>
      </c>
      <c r="FS152" t="e">
        <f>Nodes!L1242+"'E4!'w_"</f>
        <v>#VALUE!</v>
      </c>
      <c r="FT152" t="e">
        <f>Nodes!M1242+"'E4!'w`"</f>
        <v>#VALUE!</v>
      </c>
      <c r="FU152" t="e">
        <f>Nodes!N1242+"'E4!'wa"</f>
        <v>#VALUE!</v>
      </c>
      <c r="FV152" t="e">
        <f>Nodes!O1242+"'E4!'wb"</f>
        <v>#VALUE!</v>
      </c>
      <c r="FW152" t="e">
        <f>Nodes!P1242+"'E4!'wc"</f>
        <v>#VALUE!</v>
      </c>
      <c r="FX152" t="e">
        <f>Nodes!Q1242+"'E4!'wd"</f>
        <v>#VALUE!</v>
      </c>
      <c r="FY152" t="e">
        <f>Nodes!R1242+"'E4!'we"</f>
        <v>#VALUE!</v>
      </c>
      <c r="FZ152" s="547" t="e">
        <f>Nodes!S1242+"'E4!'wf"</f>
        <v>#VALUE!</v>
      </c>
      <c r="GA152" s="547" t="e">
        <f>Nodes!T1242+"'E4!'wg"</f>
        <v>#VALUE!</v>
      </c>
      <c r="GB152" s="548" t="e">
        <f>Nodes!U1242+"'E4!'wh"</f>
        <v>#VALUE!</v>
      </c>
      <c r="GC152" s="548" t="e">
        <f>Nodes!V1242+"'E4!'wi"</f>
        <v>#VALUE!</v>
      </c>
      <c r="GD152" s="547" t="e">
        <f>Nodes!W1242+"'E4!'wj"</f>
        <v>#VALUE!</v>
      </c>
      <c r="GE152" t="e">
        <f>Nodes!X1242+"'E4!'wk"</f>
        <v>#VALUE!</v>
      </c>
      <c r="GF152" t="e">
        <f>Nodes!Y1242+"'E4!'wl"</f>
        <v>#VALUE!</v>
      </c>
      <c r="GG152" t="e">
        <f>Nodes!Z1242+"'E4!'wm"</f>
        <v>#VALUE!</v>
      </c>
      <c r="GH152" t="e">
        <f>Nodes!AA1242+"'E4!'wn"</f>
        <v>#VALUE!</v>
      </c>
      <c r="GI152" s="547" t="e">
        <f>Nodes!AB1242+"'E4!'wo"</f>
        <v>#VALUE!</v>
      </c>
      <c r="GJ152" s="547" t="e">
        <f>Nodes!AC1242+"'E4!'wp"</f>
        <v>#VALUE!</v>
      </c>
      <c r="GK152" t="e">
        <f>Nodes!A1243+"'E4!'wq"</f>
        <v>#VALUE!</v>
      </c>
      <c r="GL152" t="e">
        <f>Nodes!B1243+"'E4!'wr"</f>
        <v>#VALUE!</v>
      </c>
      <c r="GM152" t="e">
        <f>Nodes!C1243+"'E4!'ws"</f>
        <v>#VALUE!</v>
      </c>
      <c r="GN152" t="e">
        <f>Nodes!D1243+"'E4!'wt"</f>
        <v>#VALUE!</v>
      </c>
      <c r="GO152" t="e">
        <f>Nodes!E1243+"'E4!'wu"</f>
        <v>#VALUE!</v>
      </c>
      <c r="GP152" t="e">
        <f>Nodes!F1243+"'E4!'wv"</f>
        <v>#VALUE!</v>
      </c>
      <c r="GQ152" t="e">
        <f>Nodes!G1243+"'E4!'ww"</f>
        <v>#VALUE!</v>
      </c>
      <c r="GR152" t="e">
        <f>Nodes!H1243+"'E4!'wx"</f>
        <v>#VALUE!</v>
      </c>
      <c r="GS152" t="e">
        <f>Nodes!I1243+"'E4!'wy"</f>
        <v>#VALUE!</v>
      </c>
      <c r="GT152" t="e">
        <f>Nodes!J1243+"'E4!'wz"</f>
        <v>#VALUE!</v>
      </c>
      <c r="GU152" t="e">
        <f>Nodes!K1243+"'E4!'w{"</f>
        <v>#VALUE!</v>
      </c>
      <c r="GV152" t="e">
        <f>Nodes!L1243+"'E4!'w|"</f>
        <v>#VALUE!</v>
      </c>
      <c r="GW152" t="e">
        <f>Nodes!M1243+"'E4!'w}"</f>
        <v>#VALUE!</v>
      </c>
      <c r="GX152" t="e">
        <f>Nodes!N1243+"'E4!'w~"</f>
        <v>#VALUE!</v>
      </c>
      <c r="GY152" t="e">
        <f>Nodes!O1243+"'E4!'x#"</f>
        <v>#VALUE!</v>
      </c>
      <c r="GZ152" t="e">
        <f>Nodes!P1243+"'E4!'x$"</f>
        <v>#VALUE!</v>
      </c>
      <c r="HA152" t="e">
        <f>Nodes!Q1243+"'E4!'x%"</f>
        <v>#VALUE!</v>
      </c>
      <c r="HB152" t="e">
        <f>Nodes!R1243+"'E4!'x&amp;"</f>
        <v>#VALUE!</v>
      </c>
      <c r="HC152" s="547" t="e">
        <f>Nodes!S1243+"'E4!'x'"</f>
        <v>#VALUE!</v>
      </c>
      <c r="HD152" s="547" t="e">
        <f>Nodes!T1243+"'E4!'x("</f>
        <v>#VALUE!</v>
      </c>
      <c r="HE152" s="548" t="e">
        <f>Nodes!U1243+"'E4!'x)"</f>
        <v>#VALUE!</v>
      </c>
      <c r="HF152" s="548" t="e">
        <f>Nodes!V1243+"'E4!'x."</f>
        <v>#VALUE!</v>
      </c>
      <c r="HG152" s="547" t="e">
        <f>Nodes!W1243+"'E4!'x/"</f>
        <v>#VALUE!</v>
      </c>
      <c r="HH152" t="e">
        <f>Nodes!X1243+"'E4!'x0"</f>
        <v>#VALUE!</v>
      </c>
      <c r="HI152" t="e">
        <f>Nodes!Y1243+"'E4!'x1"</f>
        <v>#VALUE!</v>
      </c>
      <c r="HJ152" t="e">
        <f>Nodes!Z1243+"'E4!'x2"</f>
        <v>#VALUE!</v>
      </c>
      <c r="HK152" t="e">
        <f>Nodes!AA1243+"'E4!'x3"</f>
        <v>#VALUE!</v>
      </c>
      <c r="HL152" s="547" t="e">
        <f>Nodes!AB1243+"'E4!'x4"</f>
        <v>#VALUE!</v>
      </c>
      <c r="HM152" s="547" t="e">
        <f>Nodes!AC1243+"'E4!'x5"</f>
        <v>#VALUE!</v>
      </c>
      <c r="HN152" t="e">
        <f>Nodes!A1244+"'E4!'x6"</f>
        <v>#VALUE!</v>
      </c>
      <c r="HO152" t="e">
        <f>Nodes!B1244+"'E4!'x7"</f>
        <v>#VALUE!</v>
      </c>
      <c r="HP152" t="e">
        <f>Nodes!C1244+"'E4!'x8"</f>
        <v>#VALUE!</v>
      </c>
      <c r="HQ152" t="e">
        <f>Nodes!D1244+"'E4!'x9"</f>
        <v>#VALUE!</v>
      </c>
      <c r="HR152" t="e">
        <f>Nodes!E1244+"'E4!'x:"</f>
        <v>#VALUE!</v>
      </c>
      <c r="HS152" t="e">
        <f>Nodes!F1244+"'E4!'x;"</f>
        <v>#VALUE!</v>
      </c>
      <c r="HT152" t="e">
        <f>Nodes!G1244+"'E4!'x&lt;"</f>
        <v>#VALUE!</v>
      </c>
      <c r="HU152" t="e">
        <f>Nodes!H1244+"'E4!'x="</f>
        <v>#VALUE!</v>
      </c>
      <c r="HV152" t="e">
        <f>Nodes!I1244+"'E4!'x&gt;"</f>
        <v>#VALUE!</v>
      </c>
      <c r="HW152" t="e">
        <f>Nodes!J1244+"'E4!'x?"</f>
        <v>#VALUE!</v>
      </c>
      <c r="HX152" t="e">
        <f>Nodes!K1244+"'E4!'x@"</f>
        <v>#VALUE!</v>
      </c>
      <c r="HY152" t="e">
        <f>Nodes!L1244+"'E4!'xA"</f>
        <v>#VALUE!</v>
      </c>
      <c r="HZ152" t="e">
        <f>Nodes!M1244+"'E4!'xB"</f>
        <v>#VALUE!</v>
      </c>
      <c r="IA152" t="e">
        <f>Nodes!N1244+"'E4!'xC"</f>
        <v>#VALUE!</v>
      </c>
      <c r="IB152" t="e">
        <f>Nodes!O1244+"'E4!'xD"</f>
        <v>#VALUE!</v>
      </c>
      <c r="IC152" t="e">
        <f>Nodes!P1244+"'E4!'xE"</f>
        <v>#VALUE!</v>
      </c>
      <c r="ID152" t="e">
        <f>Nodes!Q1244+"'E4!'xF"</f>
        <v>#VALUE!</v>
      </c>
      <c r="IE152" t="e">
        <f>Nodes!R1244+"'E4!'xG"</f>
        <v>#VALUE!</v>
      </c>
      <c r="IF152" s="547" t="e">
        <f>Nodes!S1244+"'E4!'xH"</f>
        <v>#VALUE!</v>
      </c>
      <c r="IG152" s="547" t="e">
        <f>Nodes!T1244+"'E4!'xI"</f>
        <v>#VALUE!</v>
      </c>
      <c r="IH152" s="548" t="e">
        <f>Nodes!U1244+"'E4!'xJ"</f>
        <v>#VALUE!</v>
      </c>
      <c r="II152" s="548" t="e">
        <f>Nodes!V1244+"'E4!'xK"</f>
        <v>#VALUE!</v>
      </c>
      <c r="IJ152" s="547" t="e">
        <f>Nodes!W1244+"'E4!'xL"</f>
        <v>#VALUE!</v>
      </c>
      <c r="IK152" t="e">
        <f>Nodes!X1244+"'E4!'xM"</f>
        <v>#VALUE!</v>
      </c>
      <c r="IL152" t="e">
        <f>Nodes!Y1244+"'E4!'xN"</f>
        <v>#VALUE!</v>
      </c>
      <c r="IM152" t="e">
        <f>Nodes!Z1244+"'E4!'xO"</f>
        <v>#VALUE!</v>
      </c>
      <c r="IN152" t="e">
        <f>Nodes!AA1244+"'E4!'xP"</f>
        <v>#VALUE!</v>
      </c>
      <c r="IO152" s="547" t="e">
        <f>Nodes!AB1244+"'E4!'xQ"</f>
        <v>#VALUE!</v>
      </c>
      <c r="IP152" s="547" t="e">
        <f>Nodes!AC1244+"'E4!'xR"</f>
        <v>#VALUE!</v>
      </c>
      <c r="IQ152" t="e">
        <f>Nodes!A1245+"'E4!'xS"</f>
        <v>#VALUE!</v>
      </c>
      <c r="IR152" t="e">
        <f>Nodes!B1245+"'E4!'xT"</f>
        <v>#VALUE!</v>
      </c>
      <c r="IS152" t="e">
        <f>Nodes!C1245+"'E4!'xU"</f>
        <v>#VALUE!</v>
      </c>
      <c r="IT152" t="e">
        <f>Nodes!D1245+"'E4!'xV"</f>
        <v>#VALUE!</v>
      </c>
      <c r="IU152" t="e">
        <f>Nodes!E1245+"'E4!'xW"</f>
        <v>#VALUE!</v>
      </c>
      <c r="IV152" t="e">
        <f>Nodes!F1245+"'E4!'xX"</f>
        <v>#VALUE!</v>
      </c>
    </row>
    <row r="153" spans="6:256">
      <c r="F153" t="e">
        <f>Nodes!G1245+"'E4!'xY"</f>
        <v>#VALUE!</v>
      </c>
      <c r="G153" t="e">
        <f>Nodes!H1245+"'E4!'xZ"</f>
        <v>#VALUE!</v>
      </c>
      <c r="H153" t="e">
        <f>Nodes!I1245+"'E4!'x["</f>
        <v>#VALUE!</v>
      </c>
      <c r="I153" t="e">
        <f>Nodes!J1245+"'E4!'x\"</f>
        <v>#VALUE!</v>
      </c>
      <c r="J153" t="e">
        <f>Nodes!K1245+"'E4!'x]"</f>
        <v>#VALUE!</v>
      </c>
      <c r="K153" t="e">
        <f>Nodes!L1245+"'E4!'x^"</f>
        <v>#VALUE!</v>
      </c>
      <c r="L153" t="e">
        <f>Nodes!M1245+"'E4!'x_"</f>
        <v>#VALUE!</v>
      </c>
      <c r="M153" t="e">
        <f>Nodes!N1245+"'E4!'x`"</f>
        <v>#VALUE!</v>
      </c>
      <c r="N153" t="e">
        <f>Nodes!O1245+"'E4!'xa"</f>
        <v>#VALUE!</v>
      </c>
      <c r="O153" t="e">
        <f>Nodes!P1245+"'E4!'xb"</f>
        <v>#VALUE!</v>
      </c>
      <c r="P153" t="e">
        <f>Nodes!Q1245+"'E4!'xc"</f>
        <v>#VALUE!</v>
      </c>
      <c r="Q153" t="e">
        <f>Nodes!R1245+"'E4!'xd"</f>
        <v>#VALUE!</v>
      </c>
      <c r="R153" s="547" t="e">
        <f>Nodes!S1245+"'E4!'xe"</f>
        <v>#VALUE!</v>
      </c>
      <c r="S153" s="547" t="e">
        <f>Nodes!T1245+"'E4!'xf"</f>
        <v>#VALUE!</v>
      </c>
      <c r="T153" s="548" t="e">
        <f>Nodes!U1245+"'E4!'xg"</f>
        <v>#VALUE!</v>
      </c>
      <c r="U153" s="548" t="e">
        <f>Nodes!V1245+"'E4!'xh"</f>
        <v>#VALUE!</v>
      </c>
      <c r="V153" s="547" t="e">
        <f>Nodes!W1245+"'E4!'xi"</f>
        <v>#VALUE!</v>
      </c>
      <c r="W153" t="e">
        <f>Nodes!X1245+"'E4!'xj"</f>
        <v>#VALUE!</v>
      </c>
      <c r="X153" t="e">
        <f>Nodes!Y1245+"'E4!'xk"</f>
        <v>#VALUE!</v>
      </c>
      <c r="Y153" t="e">
        <f>Nodes!Z1245+"'E4!'xl"</f>
        <v>#VALUE!</v>
      </c>
      <c r="Z153" t="e">
        <f>Nodes!AA1245+"'E4!'xm"</f>
        <v>#VALUE!</v>
      </c>
      <c r="AA153" s="547" t="e">
        <f>Nodes!AB1245+"'E4!'xn"</f>
        <v>#VALUE!</v>
      </c>
      <c r="AB153" s="547" t="e">
        <f>Nodes!AC1245+"'E4!'xo"</f>
        <v>#VALUE!</v>
      </c>
      <c r="AC153" t="e">
        <f>Nodes!A1246+"'E4!'xp"</f>
        <v>#VALUE!</v>
      </c>
      <c r="AD153" t="e">
        <f>Nodes!B1246+"'E4!'xq"</f>
        <v>#VALUE!</v>
      </c>
      <c r="AE153" t="e">
        <f>Nodes!C1246+"'E4!'xr"</f>
        <v>#VALUE!</v>
      </c>
      <c r="AF153" t="e">
        <f>Nodes!D1246+"'E4!'xs"</f>
        <v>#VALUE!</v>
      </c>
      <c r="AG153" t="e">
        <f>Nodes!E1246+"'E4!'xt"</f>
        <v>#VALUE!</v>
      </c>
      <c r="AH153" t="e">
        <f>Nodes!F1246+"'E4!'xu"</f>
        <v>#VALUE!</v>
      </c>
      <c r="AI153" t="e">
        <f>Nodes!G1246+"'E4!'xv"</f>
        <v>#VALUE!</v>
      </c>
      <c r="AJ153" t="e">
        <f>Nodes!H1246+"'E4!'xw"</f>
        <v>#VALUE!</v>
      </c>
      <c r="AK153" t="e">
        <f>Nodes!I1246+"'E4!'xx"</f>
        <v>#VALUE!</v>
      </c>
      <c r="AL153" t="e">
        <f>Nodes!J1246+"'E4!'xy"</f>
        <v>#VALUE!</v>
      </c>
      <c r="AM153" t="e">
        <f>Nodes!K1246+"'E4!'xz"</f>
        <v>#VALUE!</v>
      </c>
      <c r="AN153" t="e">
        <f>Nodes!L1246+"'E4!'x{"</f>
        <v>#VALUE!</v>
      </c>
      <c r="AO153" t="e">
        <f>Nodes!M1246+"'E4!'x|"</f>
        <v>#VALUE!</v>
      </c>
      <c r="AP153" t="e">
        <f>Nodes!N1246+"'E4!'x}"</f>
        <v>#VALUE!</v>
      </c>
      <c r="AQ153" t="e">
        <f>Nodes!O1246+"'E4!'x~"</f>
        <v>#VALUE!</v>
      </c>
      <c r="AR153" t="e">
        <f>Nodes!P1246+"'E4!'y#"</f>
        <v>#VALUE!</v>
      </c>
      <c r="AS153" t="e">
        <f>Nodes!Q1246+"'E4!'y$"</f>
        <v>#VALUE!</v>
      </c>
      <c r="AT153" t="e">
        <f>Nodes!R1246+"'E4!'y%"</f>
        <v>#VALUE!</v>
      </c>
      <c r="AU153" s="547" t="e">
        <f>Nodes!S1246+"'E4!'y&amp;"</f>
        <v>#VALUE!</v>
      </c>
      <c r="AV153" s="547" t="e">
        <f>Nodes!T1246+"'E4!'y'"</f>
        <v>#VALUE!</v>
      </c>
      <c r="AW153" s="548" t="e">
        <f>Nodes!U1246+"'E4!'y("</f>
        <v>#VALUE!</v>
      </c>
      <c r="AX153" s="548" t="e">
        <f>Nodes!V1246+"'E4!'y)"</f>
        <v>#VALUE!</v>
      </c>
      <c r="AY153" s="547" t="e">
        <f>Nodes!W1246+"'E4!'y."</f>
        <v>#VALUE!</v>
      </c>
      <c r="AZ153" t="e">
        <f>Nodes!X1246+"'E4!'y/"</f>
        <v>#VALUE!</v>
      </c>
      <c r="BA153" t="e">
        <f>Nodes!Y1246+"'E4!'y0"</f>
        <v>#VALUE!</v>
      </c>
      <c r="BB153" t="e">
        <f>Nodes!Z1246+"'E4!'y1"</f>
        <v>#VALUE!</v>
      </c>
      <c r="BC153" t="e">
        <f>Nodes!AA1246+"'E4!'y2"</f>
        <v>#VALUE!</v>
      </c>
      <c r="BD153" s="547" t="e">
        <f>Nodes!AB1246+"'E4!'y3"</f>
        <v>#VALUE!</v>
      </c>
      <c r="BE153" s="547" t="e">
        <f>Nodes!AC1246+"'E4!'y4"</f>
        <v>#VALUE!</v>
      </c>
      <c r="BF153" t="e">
        <f>Nodes!A1247+"'E4!'y5"</f>
        <v>#VALUE!</v>
      </c>
      <c r="BG153" t="e">
        <f>Nodes!B1247+"'E4!'y6"</f>
        <v>#VALUE!</v>
      </c>
      <c r="BH153" t="e">
        <f>Nodes!C1247+"'E4!'y7"</f>
        <v>#VALUE!</v>
      </c>
      <c r="BI153" t="e">
        <f>Nodes!D1247+"'E4!'y8"</f>
        <v>#VALUE!</v>
      </c>
      <c r="BJ153" t="e">
        <f>Nodes!E1247+"'E4!'y9"</f>
        <v>#VALUE!</v>
      </c>
      <c r="BK153" t="e">
        <f>Nodes!F1247+"'E4!'y:"</f>
        <v>#VALUE!</v>
      </c>
      <c r="BL153" t="e">
        <f>Nodes!G1247+"'E4!'y;"</f>
        <v>#VALUE!</v>
      </c>
      <c r="BM153" t="e">
        <f>Nodes!H1247+"'E4!'y&lt;"</f>
        <v>#VALUE!</v>
      </c>
      <c r="BN153" t="e">
        <f>Nodes!I1247+"'E4!'y="</f>
        <v>#VALUE!</v>
      </c>
      <c r="BO153" t="e">
        <f>Nodes!J1247+"'E4!'y&gt;"</f>
        <v>#VALUE!</v>
      </c>
      <c r="BP153" t="e">
        <f>Nodes!K1247+"'E4!'y?"</f>
        <v>#VALUE!</v>
      </c>
      <c r="BQ153" t="e">
        <f>Nodes!L1247+"'E4!'y@"</f>
        <v>#VALUE!</v>
      </c>
      <c r="BR153" t="e">
        <f>Nodes!M1247+"'E4!'yA"</f>
        <v>#VALUE!</v>
      </c>
      <c r="BS153" t="e">
        <f>Nodes!N1247+"'E4!'yB"</f>
        <v>#VALUE!</v>
      </c>
      <c r="BT153" t="e">
        <f>Nodes!O1247+"'E4!'yC"</f>
        <v>#VALUE!</v>
      </c>
      <c r="BU153" t="e">
        <f>Nodes!P1247+"'E4!'yD"</f>
        <v>#VALUE!</v>
      </c>
      <c r="BV153" t="e">
        <f>Nodes!Q1247+"'E4!'yE"</f>
        <v>#VALUE!</v>
      </c>
      <c r="BW153" t="e">
        <f>Nodes!R1247+"'E4!'yF"</f>
        <v>#VALUE!</v>
      </c>
      <c r="BX153" s="547" t="e">
        <f>Nodes!S1247+"'E4!'yG"</f>
        <v>#VALUE!</v>
      </c>
      <c r="BY153" s="547" t="e">
        <f>Nodes!T1247+"'E4!'yH"</f>
        <v>#VALUE!</v>
      </c>
      <c r="BZ153" s="548" t="e">
        <f>Nodes!U1247+"'E4!'yI"</f>
        <v>#VALUE!</v>
      </c>
      <c r="CA153" s="548" t="e">
        <f>Nodes!V1247+"'E4!'yJ"</f>
        <v>#VALUE!</v>
      </c>
      <c r="CB153" s="547" t="e">
        <f>Nodes!W1247+"'E4!'yK"</f>
        <v>#VALUE!</v>
      </c>
      <c r="CC153" t="e">
        <f>Nodes!X1247+"'E4!'yL"</f>
        <v>#VALUE!</v>
      </c>
      <c r="CD153" t="e">
        <f>Nodes!Y1247+"'E4!'yM"</f>
        <v>#VALUE!</v>
      </c>
      <c r="CE153" t="e">
        <f>Nodes!Z1247+"'E4!'yN"</f>
        <v>#VALUE!</v>
      </c>
      <c r="CF153" t="e">
        <f>Nodes!AA1247+"'E4!'yO"</f>
        <v>#VALUE!</v>
      </c>
      <c r="CG153" s="547" t="e">
        <f>Nodes!AB1247+"'E4!'yP"</f>
        <v>#VALUE!</v>
      </c>
      <c r="CH153" s="547" t="e">
        <f>Nodes!AC1247+"'E4!'yQ"</f>
        <v>#VALUE!</v>
      </c>
      <c r="CI153" t="e">
        <f>Nodes!A1248+"'E4!'yR"</f>
        <v>#VALUE!</v>
      </c>
      <c r="CJ153" t="e">
        <f>Nodes!B1248+"'E4!'yS"</f>
        <v>#VALUE!</v>
      </c>
      <c r="CK153" t="e">
        <f>Nodes!C1248+"'E4!'yT"</f>
        <v>#VALUE!</v>
      </c>
      <c r="CL153" t="e">
        <f>Nodes!D1248+"'E4!'yU"</f>
        <v>#VALUE!</v>
      </c>
      <c r="CM153" t="e">
        <f>Nodes!E1248+"'E4!'yV"</f>
        <v>#VALUE!</v>
      </c>
      <c r="CN153" t="e">
        <f>Nodes!F1248+"'E4!'yW"</f>
        <v>#VALUE!</v>
      </c>
      <c r="CO153" t="e">
        <f>Nodes!G1248+"'E4!'yX"</f>
        <v>#VALUE!</v>
      </c>
      <c r="CP153" t="e">
        <f>Nodes!H1248+"'E4!'yY"</f>
        <v>#VALUE!</v>
      </c>
      <c r="CQ153" t="e">
        <f>Nodes!I1248+"'E4!'yZ"</f>
        <v>#VALUE!</v>
      </c>
      <c r="CR153" t="e">
        <f>Nodes!J1248+"'E4!'y["</f>
        <v>#VALUE!</v>
      </c>
      <c r="CS153" t="e">
        <f>Nodes!K1248+"'E4!'y\"</f>
        <v>#VALUE!</v>
      </c>
      <c r="CT153" t="e">
        <f>Nodes!L1248+"'E4!'y]"</f>
        <v>#VALUE!</v>
      </c>
      <c r="CU153" t="e">
        <f>Nodes!M1248+"'E4!'y^"</f>
        <v>#VALUE!</v>
      </c>
      <c r="CV153" t="e">
        <f>Nodes!N1248+"'E4!'y_"</f>
        <v>#VALUE!</v>
      </c>
      <c r="CW153" t="e">
        <f>Nodes!O1248+"'E4!'y`"</f>
        <v>#VALUE!</v>
      </c>
      <c r="CX153" t="e">
        <f>Nodes!P1248+"'E4!'ya"</f>
        <v>#VALUE!</v>
      </c>
      <c r="CY153" t="e">
        <f>Nodes!Q1248+"'E4!'yb"</f>
        <v>#VALUE!</v>
      </c>
      <c r="CZ153" t="e">
        <f>Nodes!R1248+"'E4!'yc"</f>
        <v>#VALUE!</v>
      </c>
      <c r="DA153" s="547" t="e">
        <f>Nodes!S1248+"'E4!'yd"</f>
        <v>#VALUE!</v>
      </c>
      <c r="DB153" s="547" t="e">
        <f>Nodes!T1248+"'E4!'ye"</f>
        <v>#VALUE!</v>
      </c>
      <c r="DC153" s="548" t="e">
        <f>Nodes!U1248+"'E4!'yf"</f>
        <v>#VALUE!</v>
      </c>
      <c r="DD153" s="548" t="e">
        <f>Nodes!V1248+"'E4!'yg"</f>
        <v>#VALUE!</v>
      </c>
      <c r="DE153" s="547" t="e">
        <f>Nodes!W1248+"'E4!'yh"</f>
        <v>#VALUE!</v>
      </c>
      <c r="DF153" t="e">
        <f>Nodes!X1248+"'E4!'yi"</f>
        <v>#VALUE!</v>
      </c>
      <c r="DG153" t="e">
        <f>Nodes!Y1248+"'E4!'yj"</f>
        <v>#VALUE!</v>
      </c>
      <c r="DH153" t="e">
        <f>Nodes!Z1248+"'E4!'yk"</f>
        <v>#VALUE!</v>
      </c>
      <c r="DI153" t="e">
        <f>Nodes!AA1248+"'E4!'yl"</f>
        <v>#VALUE!</v>
      </c>
      <c r="DJ153" s="547" t="e">
        <f>Nodes!AB1248+"'E4!'ym"</f>
        <v>#VALUE!</v>
      </c>
      <c r="DK153" s="547" t="e">
        <f>Nodes!AC1248+"'E4!'yn"</f>
        <v>#VALUE!</v>
      </c>
      <c r="DL153" t="e">
        <f>Nodes!A1249+"'E4!'yo"</f>
        <v>#VALUE!</v>
      </c>
      <c r="DM153" t="e">
        <f>Nodes!B1249+"'E4!'yp"</f>
        <v>#VALUE!</v>
      </c>
      <c r="DN153" t="e">
        <f>Nodes!C1249+"'E4!'yq"</f>
        <v>#VALUE!</v>
      </c>
      <c r="DO153" t="e">
        <f>Nodes!D1249+"'E4!'yr"</f>
        <v>#VALUE!</v>
      </c>
      <c r="DP153" t="e">
        <f>Nodes!E1249+"'E4!'ys"</f>
        <v>#VALUE!</v>
      </c>
      <c r="DQ153" t="e">
        <f>Nodes!F1249+"'E4!'yt"</f>
        <v>#VALUE!</v>
      </c>
      <c r="DR153" t="e">
        <f>Nodes!G1249+"'E4!'yu"</f>
        <v>#VALUE!</v>
      </c>
      <c r="DS153" t="e">
        <f>Nodes!H1249+"'E4!'yv"</f>
        <v>#VALUE!</v>
      </c>
      <c r="DT153" t="e">
        <f>Nodes!I1249+"'E4!'yw"</f>
        <v>#VALUE!</v>
      </c>
      <c r="DU153" t="e">
        <f>Nodes!J1249+"'E4!'yx"</f>
        <v>#VALUE!</v>
      </c>
      <c r="DV153" t="e">
        <f>Nodes!K1249+"'E4!'yy"</f>
        <v>#VALUE!</v>
      </c>
      <c r="DW153" t="e">
        <f>Nodes!L1249+"'E4!'yz"</f>
        <v>#VALUE!</v>
      </c>
      <c r="DX153" t="e">
        <f>Nodes!M1249+"'E4!'y{"</f>
        <v>#VALUE!</v>
      </c>
      <c r="DY153" t="e">
        <f>Nodes!N1249+"'E4!'y|"</f>
        <v>#VALUE!</v>
      </c>
      <c r="DZ153" t="e">
        <f>Nodes!O1249+"'E4!'y}"</f>
        <v>#VALUE!</v>
      </c>
      <c r="EA153" t="e">
        <f>Nodes!P1249+"'E4!'y~"</f>
        <v>#VALUE!</v>
      </c>
      <c r="EB153" t="e">
        <f>Nodes!Q1249+"'E4!'z#"</f>
        <v>#VALUE!</v>
      </c>
      <c r="EC153" t="e">
        <f>Nodes!R1249+"'E4!'z$"</f>
        <v>#VALUE!</v>
      </c>
      <c r="ED153" s="547" t="e">
        <f>Nodes!S1249+"'E4!'z%"</f>
        <v>#VALUE!</v>
      </c>
      <c r="EE153" s="547" t="e">
        <f>Nodes!T1249+"'E4!'z&amp;"</f>
        <v>#VALUE!</v>
      </c>
      <c r="EF153" s="548" t="e">
        <f>Nodes!U1249+"'E4!'z'"</f>
        <v>#VALUE!</v>
      </c>
      <c r="EG153" s="548" t="e">
        <f>Nodes!V1249+"'E4!'z("</f>
        <v>#VALUE!</v>
      </c>
      <c r="EH153" s="547" t="e">
        <f>Nodes!W1249+"'E4!'z)"</f>
        <v>#VALUE!</v>
      </c>
      <c r="EI153" t="e">
        <f>Nodes!X1249+"'E4!'z."</f>
        <v>#VALUE!</v>
      </c>
      <c r="EJ153" t="e">
        <f>Nodes!Y1249+"'E4!'z/"</f>
        <v>#VALUE!</v>
      </c>
      <c r="EK153" t="e">
        <f>Nodes!Z1249+"'E4!'z0"</f>
        <v>#VALUE!</v>
      </c>
      <c r="EL153" t="e">
        <f>Nodes!AA1249+"'E4!'z1"</f>
        <v>#VALUE!</v>
      </c>
      <c r="EM153" s="547" t="e">
        <f>Nodes!AB1249+"'E4!'z2"</f>
        <v>#VALUE!</v>
      </c>
      <c r="EN153" s="547" t="e">
        <f>Nodes!AC1249+"'E4!'z3"</f>
        <v>#VALUE!</v>
      </c>
      <c r="EO153" t="e">
        <f>Nodes!A1250+"'E4!'z4"</f>
        <v>#VALUE!</v>
      </c>
      <c r="EP153" t="e">
        <f>Nodes!B1250+"'E4!'z5"</f>
        <v>#VALUE!</v>
      </c>
      <c r="EQ153" t="e">
        <f>Nodes!C1250+"'E4!'z6"</f>
        <v>#VALUE!</v>
      </c>
      <c r="ER153" t="e">
        <f>Nodes!D1250+"'E4!'z7"</f>
        <v>#VALUE!</v>
      </c>
      <c r="ES153" t="e">
        <f>Nodes!E1250+"'E4!'z8"</f>
        <v>#VALUE!</v>
      </c>
      <c r="ET153" t="e">
        <f>Nodes!F1250+"'E4!'z9"</f>
        <v>#VALUE!</v>
      </c>
      <c r="EU153" t="e">
        <f>Nodes!G1250+"'E4!'z:"</f>
        <v>#VALUE!</v>
      </c>
      <c r="EV153" t="e">
        <f>Nodes!H1250+"'E4!'z;"</f>
        <v>#VALUE!</v>
      </c>
      <c r="EW153" t="e">
        <f>Nodes!I1250+"'E4!'z&lt;"</f>
        <v>#VALUE!</v>
      </c>
      <c r="EX153" t="e">
        <f>Nodes!J1250+"'E4!'z="</f>
        <v>#VALUE!</v>
      </c>
      <c r="EY153" t="e">
        <f>Nodes!K1250+"'E4!'z&gt;"</f>
        <v>#VALUE!</v>
      </c>
      <c r="EZ153" t="e">
        <f>Nodes!L1250+"'E4!'z?"</f>
        <v>#VALUE!</v>
      </c>
      <c r="FA153" t="e">
        <f>Nodes!M1250+"'E4!'z@"</f>
        <v>#VALUE!</v>
      </c>
      <c r="FB153" t="e">
        <f>Nodes!N1250+"'E4!'zA"</f>
        <v>#VALUE!</v>
      </c>
      <c r="FC153" t="e">
        <f>Nodes!O1250+"'E4!'zB"</f>
        <v>#VALUE!</v>
      </c>
      <c r="FD153" t="e">
        <f>Nodes!P1250+"'E4!'zC"</f>
        <v>#VALUE!</v>
      </c>
      <c r="FE153" t="e">
        <f>Nodes!Q1250+"'E4!'zD"</f>
        <v>#VALUE!</v>
      </c>
      <c r="FF153" t="e">
        <f>Nodes!R1250+"'E4!'zE"</f>
        <v>#VALUE!</v>
      </c>
      <c r="FG153" s="547" t="e">
        <f>Nodes!S1250+"'E4!'zF"</f>
        <v>#VALUE!</v>
      </c>
      <c r="FH153" s="547" t="e">
        <f>Nodes!T1250+"'E4!'zG"</f>
        <v>#VALUE!</v>
      </c>
      <c r="FI153" s="548" t="e">
        <f>Nodes!U1250+"'E4!'zH"</f>
        <v>#VALUE!</v>
      </c>
      <c r="FJ153" s="548" t="e">
        <f>Nodes!V1250+"'E4!'zI"</f>
        <v>#VALUE!</v>
      </c>
      <c r="FK153" s="547" t="e">
        <f>Nodes!W1250+"'E4!'zJ"</f>
        <v>#VALUE!</v>
      </c>
      <c r="FL153" t="e">
        <f>Nodes!X1250+"'E4!'zK"</f>
        <v>#VALUE!</v>
      </c>
      <c r="FM153" t="e">
        <f>Nodes!Y1250+"'E4!'zL"</f>
        <v>#VALUE!</v>
      </c>
      <c r="FN153" t="e">
        <f>Nodes!Z1250+"'E4!'zM"</f>
        <v>#VALUE!</v>
      </c>
      <c r="FO153" t="e">
        <f>Nodes!AA1250+"'E4!'zN"</f>
        <v>#VALUE!</v>
      </c>
      <c r="FP153" s="547" t="e">
        <f>Nodes!AB1250+"'E4!'zO"</f>
        <v>#VALUE!</v>
      </c>
      <c r="FQ153" s="547" t="e">
        <f>Nodes!AC1250+"'E4!'zP"</f>
        <v>#VALUE!</v>
      </c>
      <c r="FR153" t="e">
        <f>Nodes!A1251+"'E4!'zQ"</f>
        <v>#VALUE!</v>
      </c>
      <c r="FS153" t="e">
        <f>Nodes!B1251+"'E4!'zR"</f>
        <v>#VALUE!</v>
      </c>
      <c r="FT153" t="e">
        <f>Nodes!C1251+"'E4!'zS"</f>
        <v>#VALUE!</v>
      </c>
      <c r="FU153" t="e">
        <f>Nodes!D1251+"'E4!'zT"</f>
        <v>#VALUE!</v>
      </c>
      <c r="FV153" t="e">
        <f>Nodes!E1251+"'E4!'zU"</f>
        <v>#VALUE!</v>
      </c>
      <c r="FW153" t="e">
        <f>Nodes!F1251+"'E4!'zV"</f>
        <v>#VALUE!</v>
      </c>
      <c r="FX153" t="e">
        <f>Nodes!G1251+"'E4!'zW"</f>
        <v>#VALUE!</v>
      </c>
      <c r="FY153" t="e">
        <f>Nodes!H1251+"'E4!'zX"</f>
        <v>#VALUE!</v>
      </c>
      <c r="FZ153" t="e">
        <f>Nodes!I1251+"'E4!'zY"</f>
        <v>#VALUE!</v>
      </c>
      <c r="GA153" t="e">
        <f>Nodes!J1251+"'E4!'zZ"</f>
        <v>#VALUE!</v>
      </c>
      <c r="GB153" t="e">
        <f>Nodes!K1251+"'E4!'z["</f>
        <v>#VALUE!</v>
      </c>
      <c r="GC153" t="e">
        <f>Nodes!L1251+"'E4!'z\"</f>
        <v>#VALUE!</v>
      </c>
      <c r="GD153" t="e">
        <f>Nodes!M1251+"'E4!'z]"</f>
        <v>#VALUE!</v>
      </c>
      <c r="GE153" t="e">
        <f>Nodes!N1251+"'E4!'z^"</f>
        <v>#VALUE!</v>
      </c>
      <c r="GF153" t="e">
        <f>Nodes!O1251+"'E4!'z_"</f>
        <v>#VALUE!</v>
      </c>
      <c r="GG153" t="e">
        <f>Nodes!P1251+"'E4!'z`"</f>
        <v>#VALUE!</v>
      </c>
      <c r="GH153" t="e">
        <f>Nodes!Q1251+"'E4!'za"</f>
        <v>#VALUE!</v>
      </c>
      <c r="GI153" t="e">
        <f>Nodes!R1251+"'E4!'zb"</f>
        <v>#VALUE!</v>
      </c>
      <c r="GJ153" s="547" t="e">
        <f>Nodes!S1251+"'E4!'zc"</f>
        <v>#VALUE!</v>
      </c>
      <c r="GK153" s="547" t="e">
        <f>Nodes!T1251+"'E4!'zd"</f>
        <v>#VALUE!</v>
      </c>
      <c r="GL153" s="548" t="e">
        <f>Nodes!U1251+"'E4!'ze"</f>
        <v>#VALUE!</v>
      </c>
      <c r="GM153" s="548" t="e">
        <f>Nodes!V1251+"'E4!'zf"</f>
        <v>#VALUE!</v>
      </c>
      <c r="GN153" s="547" t="e">
        <f>Nodes!W1251+"'E4!'zg"</f>
        <v>#VALUE!</v>
      </c>
      <c r="GO153" t="e">
        <f>Nodes!X1251+"'E4!'zh"</f>
        <v>#VALUE!</v>
      </c>
      <c r="GP153" t="e">
        <f>Nodes!Y1251+"'E4!'zi"</f>
        <v>#VALUE!</v>
      </c>
      <c r="GQ153" t="e">
        <f>Nodes!Z1251+"'E4!'zj"</f>
        <v>#VALUE!</v>
      </c>
      <c r="GR153" t="e">
        <f>Nodes!AA1251+"'E4!'zk"</f>
        <v>#VALUE!</v>
      </c>
      <c r="GS153" s="547" t="e">
        <f>Nodes!AB1251+"'E4!'zl"</f>
        <v>#VALUE!</v>
      </c>
      <c r="GT153" s="547" t="e">
        <f>Nodes!AC1251+"'E4!'zm"</f>
        <v>#VALUE!</v>
      </c>
      <c r="GU153" t="e">
        <f>Nodes!A1252+"'E4!'zn"</f>
        <v>#VALUE!</v>
      </c>
      <c r="GV153" t="e">
        <f>Nodes!B1252+"'E4!'zo"</f>
        <v>#VALUE!</v>
      </c>
      <c r="GW153" t="e">
        <f>Nodes!C1252+"'E4!'zp"</f>
        <v>#VALUE!</v>
      </c>
      <c r="GX153" t="e">
        <f>Nodes!D1252+"'E4!'zq"</f>
        <v>#VALUE!</v>
      </c>
      <c r="GY153" t="e">
        <f>Nodes!E1252+"'E4!'zr"</f>
        <v>#VALUE!</v>
      </c>
      <c r="GZ153" t="e">
        <f>Nodes!F1252+"'E4!'zs"</f>
        <v>#VALUE!</v>
      </c>
      <c r="HA153" t="e">
        <f>Nodes!G1252+"'E4!'zt"</f>
        <v>#VALUE!</v>
      </c>
      <c r="HB153" t="e">
        <f>Nodes!H1252+"'E4!'zu"</f>
        <v>#VALUE!</v>
      </c>
      <c r="HC153" t="e">
        <f>Nodes!I1252+"'E4!'zv"</f>
        <v>#VALUE!</v>
      </c>
      <c r="HD153" t="e">
        <f>Nodes!J1252+"'E4!'zw"</f>
        <v>#VALUE!</v>
      </c>
      <c r="HE153" t="e">
        <f>Nodes!K1252+"'E4!'zx"</f>
        <v>#VALUE!</v>
      </c>
      <c r="HF153" t="e">
        <f>Nodes!L1252+"'E4!'zy"</f>
        <v>#VALUE!</v>
      </c>
      <c r="HG153" t="e">
        <f>Nodes!M1252+"'E4!'zz"</f>
        <v>#VALUE!</v>
      </c>
      <c r="HH153" t="e">
        <f>Nodes!N1252+"'E4!'z{"</f>
        <v>#VALUE!</v>
      </c>
      <c r="HI153" t="e">
        <f>Nodes!O1252+"'E4!'z|"</f>
        <v>#VALUE!</v>
      </c>
      <c r="HJ153" t="e">
        <f>Nodes!P1252+"'E4!'z}"</f>
        <v>#VALUE!</v>
      </c>
      <c r="HK153" t="e">
        <f>Nodes!Q1252+"'E4!'z~"</f>
        <v>#VALUE!</v>
      </c>
      <c r="HL153" t="e">
        <f>Nodes!R1252+"'E4!'{#"</f>
        <v>#VALUE!</v>
      </c>
      <c r="HM153" s="547" t="e">
        <f>Nodes!S1252+"'E4!'{$"</f>
        <v>#VALUE!</v>
      </c>
      <c r="HN153" s="547" t="e">
        <f>Nodes!T1252+"'E4!'{%"</f>
        <v>#VALUE!</v>
      </c>
      <c r="HO153" s="548" t="e">
        <f>Nodes!U1252+"'E4!'{&amp;"</f>
        <v>#VALUE!</v>
      </c>
      <c r="HP153" s="548" t="e">
        <f>Nodes!V1252+"'E4!'{'"</f>
        <v>#VALUE!</v>
      </c>
      <c r="HQ153" s="547" t="e">
        <f>Nodes!W1252+"'E4!'{("</f>
        <v>#VALUE!</v>
      </c>
      <c r="HR153" t="e">
        <f>Nodes!X1252+"'E4!'{)"</f>
        <v>#VALUE!</v>
      </c>
      <c r="HS153" t="e">
        <f>Nodes!Y1252+"'E4!'{."</f>
        <v>#VALUE!</v>
      </c>
      <c r="HT153" t="e">
        <f>Nodes!Z1252+"'E4!'{/"</f>
        <v>#VALUE!</v>
      </c>
      <c r="HU153" t="e">
        <f>Nodes!AA1252+"'E4!'{0"</f>
        <v>#VALUE!</v>
      </c>
      <c r="HV153" s="547" t="e">
        <f>Nodes!AB1252+"'E4!'{1"</f>
        <v>#VALUE!</v>
      </c>
      <c r="HW153" s="547" t="e">
        <f>Nodes!AC1252+"'E4!'{2"</f>
        <v>#VALUE!</v>
      </c>
      <c r="HX153" t="e">
        <f>Nodes!A1253+"'E4!'{3"</f>
        <v>#VALUE!</v>
      </c>
      <c r="HY153" t="e">
        <f>Nodes!B1253+"'E4!'{4"</f>
        <v>#VALUE!</v>
      </c>
      <c r="HZ153" t="e">
        <f>Nodes!C1253+"'E4!'{5"</f>
        <v>#VALUE!</v>
      </c>
      <c r="IA153" t="e">
        <f>Nodes!D1253+"'E4!'{6"</f>
        <v>#VALUE!</v>
      </c>
      <c r="IB153" t="e">
        <f>Nodes!E1253+"'E4!'{7"</f>
        <v>#VALUE!</v>
      </c>
      <c r="IC153" t="e">
        <f>Nodes!F1253+"'E4!'{8"</f>
        <v>#VALUE!</v>
      </c>
      <c r="ID153" t="e">
        <f>Nodes!G1253+"'E4!'{9"</f>
        <v>#VALUE!</v>
      </c>
      <c r="IE153" t="e">
        <f>Nodes!H1253+"'E4!'{:"</f>
        <v>#VALUE!</v>
      </c>
      <c r="IF153" t="e">
        <f>Nodes!I1253+"'E4!'{;"</f>
        <v>#VALUE!</v>
      </c>
      <c r="IG153" t="e">
        <f>Nodes!J1253+"'E4!'{&lt;"</f>
        <v>#VALUE!</v>
      </c>
      <c r="IH153" t="e">
        <f>Nodes!K1253+"'E4!'{="</f>
        <v>#VALUE!</v>
      </c>
      <c r="II153" t="e">
        <f>Nodes!L1253+"'E4!'{&gt;"</f>
        <v>#VALUE!</v>
      </c>
      <c r="IJ153" t="e">
        <f>Nodes!M1253+"'E4!'{?"</f>
        <v>#VALUE!</v>
      </c>
      <c r="IK153" t="e">
        <f>Nodes!N1253+"'E4!'{@"</f>
        <v>#VALUE!</v>
      </c>
      <c r="IL153" t="e">
        <f>Nodes!O1253+"'E4!'{A"</f>
        <v>#VALUE!</v>
      </c>
      <c r="IM153" t="e">
        <f>Nodes!P1253+"'E4!'{B"</f>
        <v>#VALUE!</v>
      </c>
      <c r="IN153" t="e">
        <f>Nodes!Q1253+"'E4!'{C"</f>
        <v>#VALUE!</v>
      </c>
      <c r="IO153" t="e">
        <f>Nodes!R1253+"'E4!'{D"</f>
        <v>#VALUE!</v>
      </c>
      <c r="IP153" s="547" t="e">
        <f>Nodes!S1253+"'E4!'{E"</f>
        <v>#VALUE!</v>
      </c>
      <c r="IQ153" s="547" t="e">
        <f>Nodes!T1253+"'E4!'{F"</f>
        <v>#VALUE!</v>
      </c>
      <c r="IR153" s="548" t="e">
        <f>Nodes!U1253+"'E4!'{G"</f>
        <v>#VALUE!</v>
      </c>
      <c r="IS153" s="548" t="e">
        <f>Nodes!V1253+"'E4!'{H"</f>
        <v>#VALUE!</v>
      </c>
      <c r="IT153" s="547" t="e">
        <f>Nodes!W1253+"'E4!'{I"</f>
        <v>#VALUE!</v>
      </c>
      <c r="IU153" t="e">
        <f>Nodes!X1253+"'E4!'{J"</f>
        <v>#VALUE!</v>
      </c>
      <c r="IV153" t="e">
        <f>Nodes!Y1253+"'E4!'{K"</f>
        <v>#VALUE!</v>
      </c>
    </row>
    <row r="154" spans="6:256">
      <c r="F154" t="e">
        <f>Nodes!Z1253+"'E4!'{L"</f>
        <v>#VALUE!</v>
      </c>
      <c r="G154" t="e">
        <f>Nodes!AA1253+"'E4!'{M"</f>
        <v>#VALUE!</v>
      </c>
      <c r="H154" s="547" t="e">
        <f>Nodes!AB1253+"'E4!'{N"</f>
        <v>#VALUE!</v>
      </c>
      <c r="I154" s="547" t="e">
        <f>Nodes!AC1253+"'E4!'{O"</f>
        <v>#VALUE!</v>
      </c>
      <c r="J154" t="e">
        <f>Nodes!A1254+"'E4!'{P"</f>
        <v>#VALUE!</v>
      </c>
      <c r="K154" t="e">
        <f>Nodes!B1254+"'E4!'{Q"</f>
        <v>#VALUE!</v>
      </c>
      <c r="L154" t="e">
        <f>Nodes!C1254+"'E4!'{R"</f>
        <v>#VALUE!</v>
      </c>
      <c r="M154" t="e">
        <f>Nodes!D1254+"'E4!'{S"</f>
        <v>#VALUE!</v>
      </c>
      <c r="N154" t="e">
        <f>Nodes!E1254+"'E4!'{T"</f>
        <v>#VALUE!</v>
      </c>
      <c r="O154" t="e">
        <f>Nodes!F1254+"'E4!'{U"</f>
        <v>#VALUE!</v>
      </c>
      <c r="P154" t="e">
        <f>Nodes!G1254+"'E4!'{V"</f>
        <v>#VALUE!</v>
      </c>
      <c r="Q154" t="e">
        <f>Nodes!H1254+"'E4!'{W"</f>
        <v>#VALUE!</v>
      </c>
      <c r="R154" t="e">
        <f>Nodes!I1254+"'E4!'{X"</f>
        <v>#VALUE!</v>
      </c>
      <c r="S154" t="e">
        <f>Nodes!J1254+"'E4!'{Y"</f>
        <v>#VALUE!</v>
      </c>
      <c r="T154" t="e">
        <f>Nodes!K1254+"'E4!'{Z"</f>
        <v>#VALUE!</v>
      </c>
      <c r="U154" t="e">
        <f>Nodes!L1254+"'E4!'{["</f>
        <v>#VALUE!</v>
      </c>
      <c r="V154" t="e">
        <f>Nodes!M1254+"'E4!'{\"</f>
        <v>#VALUE!</v>
      </c>
      <c r="W154" t="e">
        <f>Nodes!N1254+"'E4!'{]"</f>
        <v>#VALUE!</v>
      </c>
      <c r="X154" t="e">
        <f>Nodes!O1254+"'E4!'{^"</f>
        <v>#VALUE!</v>
      </c>
      <c r="Y154" t="e">
        <f>Nodes!P1254+"'E4!'{_"</f>
        <v>#VALUE!</v>
      </c>
      <c r="Z154" t="e">
        <f>Nodes!Q1254+"'E4!'{`"</f>
        <v>#VALUE!</v>
      </c>
      <c r="AA154" t="e">
        <f>Nodes!R1254+"'E4!'{a"</f>
        <v>#VALUE!</v>
      </c>
      <c r="AB154" s="547" t="e">
        <f>Nodes!S1254+"'E4!'{b"</f>
        <v>#VALUE!</v>
      </c>
      <c r="AC154" s="547" t="e">
        <f>Nodes!T1254+"'E4!'{c"</f>
        <v>#VALUE!</v>
      </c>
      <c r="AD154" s="548" t="e">
        <f>Nodes!U1254+"'E4!'{d"</f>
        <v>#VALUE!</v>
      </c>
      <c r="AE154" s="548" t="e">
        <f>Nodes!V1254+"'E4!'{e"</f>
        <v>#VALUE!</v>
      </c>
      <c r="AF154" s="547" t="e">
        <f>Nodes!W1254+"'E4!'{f"</f>
        <v>#VALUE!</v>
      </c>
      <c r="AG154" t="e">
        <f>Nodes!X1254+"'E4!'{g"</f>
        <v>#VALUE!</v>
      </c>
      <c r="AH154" t="e">
        <f>Nodes!Y1254+"'E4!'{h"</f>
        <v>#VALUE!</v>
      </c>
      <c r="AI154" t="e">
        <f>Nodes!Z1254+"'E4!'{i"</f>
        <v>#VALUE!</v>
      </c>
      <c r="AJ154" t="e">
        <f>Nodes!AA1254+"'E4!'{j"</f>
        <v>#VALUE!</v>
      </c>
      <c r="AK154" s="547" t="e">
        <f>Nodes!AB1254+"'E4!'{k"</f>
        <v>#VALUE!</v>
      </c>
      <c r="AL154" s="547" t="e">
        <f>Nodes!AC1254+"'E4!'{l"</f>
        <v>#VALUE!</v>
      </c>
      <c r="AM154" t="e">
        <f>Nodes!A1255+"'E4!'{m"</f>
        <v>#VALUE!</v>
      </c>
      <c r="AN154" t="e">
        <f>Nodes!B1255+"'E4!'{n"</f>
        <v>#VALUE!</v>
      </c>
      <c r="AO154" t="e">
        <f>Nodes!C1255+"'E4!'{o"</f>
        <v>#VALUE!</v>
      </c>
      <c r="AP154" t="e">
        <f>Nodes!D1255+"'E4!'{p"</f>
        <v>#VALUE!</v>
      </c>
      <c r="AQ154" t="e">
        <f>Nodes!E1255+"'E4!'{q"</f>
        <v>#VALUE!</v>
      </c>
      <c r="AR154" t="e">
        <f>Nodes!F1255+"'E4!'{r"</f>
        <v>#VALUE!</v>
      </c>
      <c r="AS154" t="e">
        <f>Nodes!G1255+"'E4!'{s"</f>
        <v>#VALUE!</v>
      </c>
      <c r="AT154" t="e">
        <f>Nodes!H1255+"'E4!'{t"</f>
        <v>#VALUE!</v>
      </c>
      <c r="AU154" t="e">
        <f>Nodes!I1255+"'E4!'{u"</f>
        <v>#VALUE!</v>
      </c>
      <c r="AV154" t="e">
        <f>Nodes!J1255+"'E4!'{v"</f>
        <v>#VALUE!</v>
      </c>
      <c r="AW154" t="e">
        <f>Nodes!K1255+"'E4!'{w"</f>
        <v>#VALUE!</v>
      </c>
      <c r="AX154" t="e">
        <f>Nodes!L1255+"'E4!'{x"</f>
        <v>#VALUE!</v>
      </c>
      <c r="AY154" t="e">
        <f>Nodes!M1255+"'E4!'{y"</f>
        <v>#VALUE!</v>
      </c>
      <c r="AZ154" t="e">
        <f>Nodes!N1255+"'E4!'{z"</f>
        <v>#VALUE!</v>
      </c>
      <c r="BA154" t="e">
        <f>Nodes!O1255+"'E4!'{{"</f>
        <v>#VALUE!</v>
      </c>
      <c r="BB154" t="e">
        <f>Nodes!P1255+"'E4!'{|"</f>
        <v>#VALUE!</v>
      </c>
      <c r="BC154" t="e">
        <f>Nodes!Q1255+"'E4!'{}"</f>
        <v>#VALUE!</v>
      </c>
      <c r="BD154" t="e">
        <f>Nodes!R1255+"'E4!'{~"</f>
        <v>#VALUE!</v>
      </c>
      <c r="BE154" s="547" t="e">
        <f>Nodes!S1255+"'E4!'|#"</f>
        <v>#VALUE!</v>
      </c>
      <c r="BF154" s="547" t="e">
        <f>Nodes!T1255+"'E4!'|$"</f>
        <v>#VALUE!</v>
      </c>
      <c r="BG154" s="548" t="e">
        <f>Nodes!U1255+"'E4!'|%"</f>
        <v>#VALUE!</v>
      </c>
      <c r="BH154" s="548" t="e">
        <f>Nodes!V1255+"'E4!'|&amp;"</f>
        <v>#VALUE!</v>
      </c>
      <c r="BI154" s="547" t="e">
        <f>Nodes!W1255+"'E4!'|'"</f>
        <v>#VALUE!</v>
      </c>
      <c r="BJ154" t="e">
        <f>Nodes!X1255+"'E4!'|("</f>
        <v>#VALUE!</v>
      </c>
      <c r="BK154" t="e">
        <f>Nodes!Y1255+"'E4!'|)"</f>
        <v>#VALUE!</v>
      </c>
      <c r="BL154" t="e">
        <f>Nodes!Z1255+"'E4!'|."</f>
        <v>#VALUE!</v>
      </c>
      <c r="BM154" t="e">
        <f>Nodes!AA1255+"'E4!'|/"</f>
        <v>#VALUE!</v>
      </c>
      <c r="BN154" s="547" t="e">
        <f>Nodes!AB1255+"'E4!'|0"</f>
        <v>#VALUE!</v>
      </c>
      <c r="BO154" s="547" t="e">
        <f>Nodes!AC1255+"'E4!'|1"</f>
        <v>#VALUE!</v>
      </c>
      <c r="BP154" t="e">
        <f>Nodes!A1256+"'E4!'|2"</f>
        <v>#VALUE!</v>
      </c>
      <c r="BQ154" t="e">
        <f>Nodes!B1256+"'E4!'|3"</f>
        <v>#VALUE!</v>
      </c>
      <c r="BR154" t="e">
        <f>Nodes!C1256+"'E4!'|4"</f>
        <v>#VALUE!</v>
      </c>
      <c r="BS154" t="e">
        <f>Nodes!D1256+"'E4!'|5"</f>
        <v>#VALUE!</v>
      </c>
      <c r="BT154" t="e">
        <f>Nodes!E1256+"'E4!'|6"</f>
        <v>#VALUE!</v>
      </c>
      <c r="BU154" t="e">
        <f>Nodes!F1256+"'E4!'|7"</f>
        <v>#VALUE!</v>
      </c>
      <c r="BV154" t="e">
        <f>Nodes!G1256+"'E4!'|8"</f>
        <v>#VALUE!</v>
      </c>
      <c r="BW154" t="e">
        <f>Nodes!H1256+"'E4!'|9"</f>
        <v>#VALUE!</v>
      </c>
      <c r="BX154" t="e">
        <f>Nodes!I1256+"'E4!'|:"</f>
        <v>#VALUE!</v>
      </c>
      <c r="BY154" t="e">
        <f>Nodes!J1256+"'E4!'|;"</f>
        <v>#VALUE!</v>
      </c>
      <c r="BZ154" t="e">
        <f>Nodes!K1256+"'E4!'|&lt;"</f>
        <v>#VALUE!</v>
      </c>
      <c r="CA154" t="e">
        <f>Nodes!L1256+"'E4!'|="</f>
        <v>#VALUE!</v>
      </c>
      <c r="CB154" t="e">
        <f>Nodes!M1256+"'E4!'|&gt;"</f>
        <v>#VALUE!</v>
      </c>
      <c r="CC154" t="e">
        <f>Nodes!N1256+"'E4!'|?"</f>
        <v>#VALUE!</v>
      </c>
      <c r="CD154" t="e">
        <f>Nodes!O1256+"'E4!'|@"</f>
        <v>#VALUE!</v>
      </c>
      <c r="CE154" t="e">
        <f>Nodes!P1256+"'E4!'|A"</f>
        <v>#VALUE!</v>
      </c>
      <c r="CF154" t="e">
        <f>Nodes!Q1256+"'E4!'|B"</f>
        <v>#VALUE!</v>
      </c>
      <c r="CG154" t="e">
        <f>Nodes!R1256+"'E4!'|C"</f>
        <v>#VALUE!</v>
      </c>
      <c r="CH154" s="547" t="e">
        <f>Nodes!S1256+"'E4!'|D"</f>
        <v>#VALUE!</v>
      </c>
      <c r="CI154" s="547" t="e">
        <f>Nodes!T1256+"'E4!'|E"</f>
        <v>#VALUE!</v>
      </c>
      <c r="CJ154" s="548" t="e">
        <f>Nodes!U1256+"'E4!'|F"</f>
        <v>#VALUE!</v>
      </c>
      <c r="CK154" s="548" t="e">
        <f>Nodes!V1256+"'E4!'|G"</f>
        <v>#VALUE!</v>
      </c>
      <c r="CL154" s="547" t="e">
        <f>Nodes!W1256+"'E4!'|H"</f>
        <v>#VALUE!</v>
      </c>
      <c r="CM154" t="e">
        <f>Nodes!X1256+"'E4!'|I"</f>
        <v>#VALUE!</v>
      </c>
      <c r="CN154" t="e">
        <f>Nodes!Y1256+"'E4!'|J"</f>
        <v>#VALUE!</v>
      </c>
      <c r="CO154" t="e">
        <f>Nodes!Z1256+"'E4!'|K"</f>
        <v>#VALUE!</v>
      </c>
      <c r="CP154" t="e">
        <f>Nodes!AA1256+"'E4!'|L"</f>
        <v>#VALUE!</v>
      </c>
      <c r="CQ154" s="547" t="e">
        <f>Nodes!AB1256+"'E4!'|M"</f>
        <v>#VALUE!</v>
      </c>
      <c r="CR154" s="547" t="e">
        <f>Nodes!AC1256+"'E4!'|N"</f>
        <v>#VALUE!</v>
      </c>
      <c r="CS154" t="e">
        <f>Nodes!A1257+"'E4!'|O"</f>
        <v>#VALUE!</v>
      </c>
      <c r="CT154" t="e">
        <f>Nodes!B1257+"'E4!'|P"</f>
        <v>#VALUE!</v>
      </c>
      <c r="CU154" t="e">
        <f>Nodes!C1257+"'E4!'|Q"</f>
        <v>#VALUE!</v>
      </c>
      <c r="CV154" t="e">
        <f>Nodes!D1257+"'E4!'|R"</f>
        <v>#VALUE!</v>
      </c>
      <c r="CW154" t="e">
        <f>Nodes!E1257+"'E4!'|S"</f>
        <v>#VALUE!</v>
      </c>
      <c r="CX154" t="e">
        <f>Nodes!F1257+"'E4!'|T"</f>
        <v>#VALUE!</v>
      </c>
      <c r="CY154" t="e">
        <f>Nodes!G1257+"'E4!'|U"</f>
        <v>#VALUE!</v>
      </c>
      <c r="CZ154" t="e">
        <f>Nodes!H1257+"'E4!'|V"</f>
        <v>#VALUE!</v>
      </c>
      <c r="DA154" t="e">
        <f>Nodes!I1257+"'E4!'|W"</f>
        <v>#VALUE!</v>
      </c>
      <c r="DB154" t="e">
        <f>Nodes!J1257+"'E4!'|X"</f>
        <v>#VALUE!</v>
      </c>
      <c r="DC154" t="e">
        <f>Nodes!K1257+"'E4!'|Y"</f>
        <v>#VALUE!</v>
      </c>
      <c r="DD154" t="e">
        <f>Nodes!L1257+"'E4!'|Z"</f>
        <v>#VALUE!</v>
      </c>
      <c r="DE154" t="e">
        <f>Nodes!M1257+"'E4!'|["</f>
        <v>#VALUE!</v>
      </c>
      <c r="DF154" t="e">
        <f>Nodes!N1257+"'E4!'|\"</f>
        <v>#VALUE!</v>
      </c>
      <c r="DG154" t="e">
        <f>Nodes!O1257+"'E4!'|]"</f>
        <v>#VALUE!</v>
      </c>
      <c r="DH154" t="e">
        <f>Nodes!P1257+"'E4!'|^"</f>
        <v>#VALUE!</v>
      </c>
      <c r="DI154" t="e">
        <f>Nodes!Q1257+"'E4!'|_"</f>
        <v>#VALUE!</v>
      </c>
      <c r="DJ154" t="e">
        <f>Nodes!R1257+"'E4!'|`"</f>
        <v>#VALUE!</v>
      </c>
      <c r="DK154" s="547" t="e">
        <f>Nodes!S1257+"'E4!'|a"</f>
        <v>#VALUE!</v>
      </c>
      <c r="DL154" s="547" t="e">
        <f>Nodes!T1257+"'E4!'|b"</f>
        <v>#VALUE!</v>
      </c>
      <c r="DM154" s="548" t="e">
        <f>Nodes!U1257+"'E4!'|c"</f>
        <v>#VALUE!</v>
      </c>
      <c r="DN154" s="548" t="e">
        <f>Nodes!V1257+"'E4!'|d"</f>
        <v>#VALUE!</v>
      </c>
      <c r="DO154" s="547" t="e">
        <f>Nodes!W1257+"'E4!'|e"</f>
        <v>#VALUE!</v>
      </c>
      <c r="DP154" t="e">
        <f>Nodes!X1257+"'E4!'|f"</f>
        <v>#VALUE!</v>
      </c>
      <c r="DQ154" t="e">
        <f>Nodes!Y1257+"'E4!'|g"</f>
        <v>#VALUE!</v>
      </c>
      <c r="DR154" t="e">
        <f>Nodes!Z1257+"'E4!'|h"</f>
        <v>#VALUE!</v>
      </c>
      <c r="DS154" t="e">
        <f>Nodes!AA1257+"'E4!'|i"</f>
        <v>#VALUE!</v>
      </c>
      <c r="DT154" s="547" t="e">
        <f>Nodes!AB1257+"'E4!'|j"</f>
        <v>#VALUE!</v>
      </c>
      <c r="DU154" s="547" t="e">
        <f>Nodes!AC1257+"'E4!'|k"</f>
        <v>#VALUE!</v>
      </c>
      <c r="DV154" t="e">
        <f>Nodes!A1258+"'E4!'|l"</f>
        <v>#VALUE!</v>
      </c>
      <c r="DW154" t="e">
        <f>Nodes!B1258+"'E4!'|m"</f>
        <v>#VALUE!</v>
      </c>
      <c r="DX154" t="e">
        <f>Nodes!C1258+"'E4!'|n"</f>
        <v>#VALUE!</v>
      </c>
      <c r="DY154" t="e">
        <f>Nodes!D1258+"'E4!'|o"</f>
        <v>#VALUE!</v>
      </c>
      <c r="DZ154" t="e">
        <f>Nodes!E1258+"'E4!'|p"</f>
        <v>#VALUE!</v>
      </c>
      <c r="EA154" t="e">
        <f>Nodes!F1258+"'E4!'|q"</f>
        <v>#VALUE!</v>
      </c>
      <c r="EB154" t="e">
        <f>Nodes!G1258+"'E4!'|r"</f>
        <v>#VALUE!</v>
      </c>
      <c r="EC154" t="e">
        <f>Nodes!H1258+"'E4!'|s"</f>
        <v>#VALUE!</v>
      </c>
      <c r="ED154" t="e">
        <f>Nodes!I1258+"'E4!'|t"</f>
        <v>#VALUE!</v>
      </c>
      <c r="EE154" t="e">
        <f>Nodes!J1258+"'E4!'|u"</f>
        <v>#VALUE!</v>
      </c>
      <c r="EF154" t="e">
        <f>Nodes!K1258+"'E4!'|v"</f>
        <v>#VALUE!</v>
      </c>
      <c r="EG154" t="e">
        <f>Nodes!L1258+"'E4!'|w"</f>
        <v>#VALUE!</v>
      </c>
      <c r="EH154" t="e">
        <f>Nodes!M1258+"'E4!'|x"</f>
        <v>#VALUE!</v>
      </c>
      <c r="EI154" t="e">
        <f>Nodes!N1258+"'E4!'|y"</f>
        <v>#VALUE!</v>
      </c>
      <c r="EJ154" t="e">
        <f>Nodes!O1258+"'E4!'|z"</f>
        <v>#VALUE!</v>
      </c>
      <c r="EK154" t="e">
        <f>Nodes!P1258+"'E4!'|{"</f>
        <v>#VALUE!</v>
      </c>
      <c r="EL154" t="e">
        <f>Nodes!Q1258+"'E4!'||"</f>
        <v>#VALUE!</v>
      </c>
      <c r="EM154" t="e">
        <f>Nodes!R1258+"'E4!'|}"</f>
        <v>#VALUE!</v>
      </c>
      <c r="EN154" s="547" t="e">
        <f>Nodes!S1258+"'E4!'|~"</f>
        <v>#VALUE!</v>
      </c>
      <c r="EO154" s="547" t="e">
        <f>Nodes!T1258+"'E4!'}#"</f>
        <v>#VALUE!</v>
      </c>
      <c r="EP154" s="548" t="e">
        <f>Nodes!U1258+"'E4!'}$"</f>
        <v>#VALUE!</v>
      </c>
      <c r="EQ154" s="548" t="e">
        <f>Nodes!V1258+"'E4!'}%"</f>
        <v>#VALUE!</v>
      </c>
      <c r="ER154" s="547" t="e">
        <f>Nodes!W1258+"'E4!'}&amp;"</f>
        <v>#VALUE!</v>
      </c>
      <c r="ES154" t="e">
        <f>Nodes!X1258+"'E4!'}'"</f>
        <v>#VALUE!</v>
      </c>
      <c r="ET154" t="e">
        <f>Nodes!Y1258+"'E4!'}("</f>
        <v>#VALUE!</v>
      </c>
      <c r="EU154" t="e">
        <f>Nodes!Z1258+"'E4!'})"</f>
        <v>#VALUE!</v>
      </c>
      <c r="EV154" t="e">
        <f>Nodes!AA1258+"'E4!'}."</f>
        <v>#VALUE!</v>
      </c>
      <c r="EW154" s="547" t="e">
        <f>Nodes!AB1258+"'E4!'}/"</f>
        <v>#VALUE!</v>
      </c>
      <c r="EX154" s="547" t="e">
        <f>Nodes!AC1258+"'E4!'}0"</f>
        <v>#VALUE!</v>
      </c>
      <c r="EY154" t="e">
        <f>Nodes!A1259+"'E4!'}1"</f>
        <v>#VALUE!</v>
      </c>
      <c r="EZ154" t="e">
        <f>Nodes!B1259+"'E4!'}2"</f>
        <v>#VALUE!</v>
      </c>
      <c r="FA154" t="e">
        <f>Nodes!C1259+"'E4!'}3"</f>
        <v>#VALUE!</v>
      </c>
      <c r="FB154" t="e">
        <f>Nodes!D1259+"'E4!'}4"</f>
        <v>#VALUE!</v>
      </c>
      <c r="FC154" t="e">
        <f>Nodes!E1259+"'E4!'}5"</f>
        <v>#VALUE!</v>
      </c>
      <c r="FD154" t="e">
        <f>Nodes!F1259+"'E4!'}6"</f>
        <v>#VALUE!</v>
      </c>
      <c r="FE154" t="e">
        <f>Nodes!G1259+"'E4!'}7"</f>
        <v>#VALUE!</v>
      </c>
      <c r="FF154" t="e">
        <f>Nodes!H1259+"'E4!'}8"</f>
        <v>#VALUE!</v>
      </c>
      <c r="FG154" t="e">
        <f>Nodes!I1259+"'E4!'}9"</f>
        <v>#VALUE!</v>
      </c>
      <c r="FH154" t="e">
        <f>Nodes!J1259+"'E4!'}:"</f>
        <v>#VALUE!</v>
      </c>
      <c r="FI154" t="e">
        <f>Nodes!K1259+"'E4!'};"</f>
        <v>#VALUE!</v>
      </c>
      <c r="FJ154" t="e">
        <f>Nodes!L1259+"'E4!'}&lt;"</f>
        <v>#VALUE!</v>
      </c>
      <c r="FK154" t="e">
        <f>Nodes!M1259+"'E4!'}="</f>
        <v>#VALUE!</v>
      </c>
      <c r="FL154" t="e">
        <f>Nodes!N1259+"'E4!'}&gt;"</f>
        <v>#VALUE!</v>
      </c>
      <c r="FM154" t="e">
        <f>Nodes!O1259+"'E4!'}?"</f>
        <v>#VALUE!</v>
      </c>
      <c r="FN154" t="e">
        <f>Nodes!P1259+"'E4!'}@"</f>
        <v>#VALUE!</v>
      </c>
      <c r="FO154" t="e">
        <f>Nodes!Q1259+"'E4!'}A"</f>
        <v>#VALUE!</v>
      </c>
      <c r="FP154" t="e">
        <f>Nodes!R1259+"'E4!'}B"</f>
        <v>#VALUE!</v>
      </c>
      <c r="FQ154" s="547" t="e">
        <f>Nodes!S1259+"'E4!'}C"</f>
        <v>#VALUE!</v>
      </c>
      <c r="FR154" s="547" t="e">
        <f>Nodes!T1259+"'E4!'}D"</f>
        <v>#VALUE!</v>
      </c>
      <c r="FS154" s="548" t="e">
        <f>Nodes!U1259+"'E4!'}E"</f>
        <v>#VALUE!</v>
      </c>
      <c r="FT154" s="548" t="e">
        <f>Nodes!V1259+"'E4!'}F"</f>
        <v>#VALUE!</v>
      </c>
      <c r="FU154" s="547" t="e">
        <f>Nodes!W1259+"'E4!'}G"</f>
        <v>#VALUE!</v>
      </c>
      <c r="FV154" t="e">
        <f>Nodes!X1259+"'E4!'}H"</f>
        <v>#VALUE!</v>
      </c>
      <c r="FW154" t="e">
        <f>Nodes!Y1259+"'E4!'}I"</f>
        <v>#VALUE!</v>
      </c>
      <c r="FX154" t="e">
        <f>Nodes!Z1259+"'E4!'}J"</f>
        <v>#VALUE!</v>
      </c>
      <c r="FY154" t="e">
        <f>Nodes!AA1259+"'E4!'}K"</f>
        <v>#VALUE!</v>
      </c>
      <c r="FZ154" s="547" t="e">
        <f>Nodes!AB1259+"'E4!'}L"</f>
        <v>#VALUE!</v>
      </c>
      <c r="GA154" s="547" t="e">
        <f>Nodes!AC1259+"'E4!'}M"</f>
        <v>#VALUE!</v>
      </c>
      <c r="GB154" t="e">
        <f>Nodes!A1260+"'E4!'}N"</f>
        <v>#VALUE!</v>
      </c>
      <c r="GC154" t="e">
        <f>Nodes!B1260+"'E4!'}O"</f>
        <v>#VALUE!</v>
      </c>
      <c r="GD154" t="e">
        <f>Nodes!C1260+"'E4!'}P"</f>
        <v>#VALUE!</v>
      </c>
      <c r="GE154" t="e">
        <f>Nodes!D1260+"'E4!'}Q"</f>
        <v>#VALUE!</v>
      </c>
      <c r="GF154" t="e">
        <f>Nodes!E1260+"'E4!'}R"</f>
        <v>#VALUE!</v>
      </c>
      <c r="GG154" t="e">
        <f>Nodes!F1260+"'E4!'}S"</f>
        <v>#VALUE!</v>
      </c>
      <c r="GH154" t="e">
        <f>Nodes!G1260+"'E4!'}T"</f>
        <v>#VALUE!</v>
      </c>
      <c r="GI154" t="e">
        <f>Nodes!H1260+"'E4!'}U"</f>
        <v>#VALUE!</v>
      </c>
      <c r="GJ154" t="e">
        <f>Nodes!I1260+"'E4!'}V"</f>
        <v>#VALUE!</v>
      </c>
      <c r="GK154" t="e">
        <f>Nodes!J1260+"'E4!'}W"</f>
        <v>#VALUE!</v>
      </c>
      <c r="GL154" t="e">
        <f>Nodes!K1260+"'E4!'}X"</f>
        <v>#VALUE!</v>
      </c>
      <c r="GM154" t="e">
        <f>Nodes!L1260+"'E4!'}Y"</f>
        <v>#VALUE!</v>
      </c>
      <c r="GN154" t="e">
        <f>Nodes!M1260+"'E4!'}Z"</f>
        <v>#VALUE!</v>
      </c>
      <c r="GO154" t="e">
        <f>Nodes!N1260+"'E4!'}["</f>
        <v>#VALUE!</v>
      </c>
      <c r="GP154" t="e">
        <f>Nodes!O1260+"'E4!'}\"</f>
        <v>#VALUE!</v>
      </c>
      <c r="GQ154" t="e">
        <f>Nodes!P1260+"'E4!'}]"</f>
        <v>#VALUE!</v>
      </c>
      <c r="GR154" t="e">
        <f>Nodes!Q1260+"'E4!'}^"</f>
        <v>#VALUE!</v>
      </c>
      <c r="GS154" t="e">
        <f>Nodes!R1260+"'E4!'}_"</f>
        <v>#VALUE!</v>
      </c>
      <c r="GT154" s="547" t="e">
        <f>Nodes!S1260+"'E4!'}`"</f>
        <v>#VALUE!</v>
      </c>
      <c r="GU154" s="547" t="e">
        <f>Nodes!T1260+"'E4!'}a"</f>
        <v>#VALUE!</v>
      </c>
      <c r="GV154" s="548" t="e">
        <f>Nodes!U1260+"'E4!'}b"</f>
        <v>#VALUE!</v>
      </c>
      <c r="GW154" s="548" t="e">
        <f>Nodes!V1260+"'E4!'}c"</f>
        <v>#VALUE!</v>
      </c>
      <c r="GX154" s="547" t="e">
        <f>Nodes!W1260+"'E4!'}d"</f>
        <v>#VALUE!</v>
      </c>
      <c r="GY154" t="e">
        <f>Nodes!X1260+"'E4!'}e"</f>
        <v>#VALUE!</v>
      </c>
      <c r="GZ154" t="e">
        <f>Nodes!Y1260+"'E4!'}f"</f>
        <v>#VALUE!</v>
      </c>
      <c r="HA154" t="e">
        <f>Nodes!Z1260+"'E4!'}g"</f>
        <v>#VALUE!</v>
      </c>
      <c r="HB154" t="e">
        <f>Nodes!AA1260+"'E4!'}h"</f>
        <v>#VALUE!</v>
      </c>
      <c r="HC154" s="547" t="e">
        <f>Nodes!AB1260+"'E4!'}i"</f>
        <v>#VALUE!</v>
      </c>
      <c r="HD154" s="547" t="e">
        <f>Nodes!AC1260+"'E4!'}j"</f>
        <v>#VALUE!</v>
      </c>
      <c r="HE154" t="e">
        <f>Nodes!A1261+"'E4!'}k"</f>
        <v>#VALUE!</v>
      </c>
      <c r="HF154" t="e">
        <f>Nodes!B1261+"'E4!'}l"</f>
        <v>#VALUE!</v>
      </c>
      <c r="HG154" t="e">
        <f>Nodes!C1261+"'E4!'}m"</f>
        <v>#VALUE!</v>
      </c>
      <c r="HH154" t="e">
        <f>Nodes!D1261+"'E4!'}n"</f>
        <v>#VALUE!</v>
      </c>
      <c r="HI154" t="e">
        <f>Nodes!E1261+"'E4!'}o"</f>
        <v>#VALUE!</v>
      </c>
      <c r="HJ154" t="e">
        <f>Nodes!F1261+"'E4!'}p"</f>
        <v>#VALUE!</v>
      </c>
      <c r="HK154" t="e">
        <f>Nodes!G1261+"'E4!'}q"</f>
        <v>#VALUE!</v>
      </c>
      <c r="HL154" t="e">
        <f>Nodes!H1261+"'E4!'}r"</f>
        <v>#VALUE!</v>
      </c>
      <c r="HM154" t="e">
        <f>Nodes!I1261+"'E4!'}s"</f>
        <v>#VALUE!</v>
      </c>
      <c r="HN154" t="e">
        <f>Nodes!J1261+"'E4!'}t"</f>
        <v>#VALUE!</v>
      </c>
      <c r="HO154" t="e">
        <f>Nodes!K1261+"'E4!'}u"</f>
        <v>#VALUE!</v>
      </c>
      <c r="HP154" t="e">
        <f>Nodes!L1261+"'E4!'}v"</f>
        <v>#VALUE!</v>
      </c>
      <c r="HQ154" t="e">
        <f>Nodes!M1261+"'E4!'}w"</f>
        <v>#VALUE!</v>
      </c>
      <c r="HR154" t="e">
        <f>Nodes!N1261+"'E4!'}x"</f>
        <v>#VALUE!</v>
      </c>
      <c r="HS154" t="e">
        <f>Nodes!O1261+"'E4!'}y"</f>
        <v>#VALUE!</v>
      </c>
      <c r="HT154" t="e">
        <f>Nodes!P1261+"'E4!'}z"</f>
        <v>#VALUE!</v>
      </c>
      <c r="HU154" t="e">
        <f>Nodes!Q1261+"'E4!'}{"</f>
        <v>#VALUE!</v>
      </c>
      <c r="HV154" t="e">
        <f>Nodes!R1261+"'E4!'}|"</f>
        <v>#VALUE!</v>
      </c>
      <c r="HW154" s="547" t="e">
        <f>Nodes!S1261+"'E4!'}}"</f>
        <v>#VALUE!</v>
      </c>
      <c r="HX154" s="547" t="e">
        <f>Nodes!T1261+"'E4!'}~"</f>
        <v>#VALUE!</v>
      </c>
      <c r="HY154" s="548" t="e">
        <f>Nodes!U1261+"'E4!'~#"</f>
        <v>#VALUE!</v>
      </c>
      <c r="HZ154" s="548" t="e">
        <f>Nodes!V1261+"'E4!'~$"</f>
        <v>#VALUE!</v>
      </c>
      <c r="IA154" s="547" t="e">
        <f>Nodes!W1261+"'E4!'~%"</f>
        <v>#VALUE!</v>
      </c>
      <c r="IB154" t="e">
        <f>Nodes!X1261+"'E4!'~&amp;"</f>
        <v>#VALUE!</v>
      </c>
      <c r="IC154" t="e">
        <f>Nodes!Y1261+"'E4!'~'"</f>
        <v>#VALUE!</v>
      </c>
      <c r="ID154" t="e">
        <f>Nodes!Z1261+"'E4!'~("</f>
        <v>#VALUE!</v>
      </c>
      <c r="IE154" t="e">
        <f>Nodes!AA1261+"'E4!'~)"</f>
        <v>#VALUE!</v>
      </c>
      <c r="IF154" s="547" t="e">
        <f>Nodes!AB1261+"'E4!'~."</f>
        <v>#VALUE!</v>
      </c>
      <c r="IG154" s="547" t="e">
        <f>Nodes!AC1261+"'E4!'~/"</f>
        <v>#VALUE!</v>
      </c>
      <c r="IH154" t="e">
        <f>Nodes!A1262+"'E4!'~0"</f>
        <v>#VALUE!</v>
      </c>
      <c r="II154" t="e">
        <f>Nodes!B1262+"'E4!'~1"</f>
        <v>#VALUE!</v>
      </c>
      <c r="IJ154" t="e">
        <f>Nodes!C1262+"'E4!'~2"</f>
        <v>#VALUE!</v>
      </c>
      <c r="IK154" t="e">
        <f>Nodes!D1262+"'E4!'~3"</f>
        <v>#VALUE!</v>
      </c>
      <c r="IL154" t="e">
        <f>Nodes!E1262+"'E4!'~4"</f>
        <v>#VALUE!</v>
      </c>
      <c r="IM154" t="e">
        <f>Nodes!F1262+"'E4!'~5"</f>
        <v>#VALUE!</v>
      </c>
      <c r="IN154" t="e">
        <f>Nodes!G1262+"'E4!'~6"</f>
        <v>#VALUE!</v>
      </c>
      <c r="IO154" t="e">
        <f>Nodes!H1262+"'E4!'~7"</f>
        <v>#VALUE!</v>
      </c>
      <c r="IP154" t="e">
        <f>Nodes!I1262+"'E4!'~8"</f>
        <v>#VALUE!</v>
      </c>
      <c r="IQ154" t="e">
        <f>Nodes!J1262+"'E4!'~9"</f>
        <v>#VALUE!</v>
      </c>
      <c r="IR154" t="e">
        <f>Nodes!K1262+"'E4!'~:"</f>
        <v>#VALUE!</v>
      </c>
      <c r="IS154" t="e">
        <f>Nodes!L1262+"'E4!'~;"</f>
        <v>#VALUE!</v>
      </c>
      <c r="IT154" t="e">
        <f>Nodes!M1262+"'E4!'~&lt;"</f>
        <v>#VALUE!</v>
      </c>
      <c r="IU154" t="e">
        <f>Nodes!N1262+"'E4!'~="</f>
        <v>#VALUE!</v>
      </c>
      <c r="IV154" t="e">
        <f>Nodes!O1262+"'E4!'~&gt;"</f>
        <v>#VALUE!</v>
      </c>
    </row>
    <row r="155" spans="6:256">
      <c r="F155" t="e">
        <f>Nodes!P1262+"'E4!'~?"</f>
        <v>#VALUE!</v>
      </c>
      <c r="G155" t="e">
        <f>Nodes!Q1262+"'E4!'~@"</f>
        <v>#VALUE!</v>
      </c>
      <c r="H155" t="e">
        <f>Nodes!R1262+"'E4!'~A"</f>
        <v>#VALUE!</v>
      </c>
      <c r="I155" s="547" t="e">
        <f>Nodes!S1262+"'E4!'~B"</f>
        <v>#VALUE!</v>
      </c>
      <c r="J155" s="547" t="e">
        <f>Nodes!T1262+"'E4!'~C"</f>
        <v>#VALUE!</v>
      </c>
      <c r="K155" s="548" t="e">
        <f>Nodes!U1262+"'E4!'~D"</f>
        <v>#VALUE!</v>
      </c>
      <c r="L155" s="548" t="e">
        <f>Nodes!V1262+"'E4!'~E"</f>
        <v>#VALUE!</v>
      </c>
      <c r="M155" s="547" t="e">
        <f>Nodes!W1262+"'E4!'~F"</f>
        <v>#VALUE!</v>
      </c>
      <c r="N155" t="e">
        <f>Nodes!X1262+"'E4!'~G"</f>
        <v>#VALUE!</v>
      </c>
      <c r="O155" t="e">
        <f>Nodes!Y1262+"'E4!'~H"</f>
        <v>#VALUE!</v>
      </c>
      <c r="P155" t="e">
        <f>Nodes!Z1262+"'E4!'~I"</f>
        <v>#VALUE!</v>
      </c>
      <c r="Q155" t="e">
        <f>Nodes!AA1262+"'E4!'~J"</f>
        <v>#VALUE!</v>
      </c>
      <c r="R155" s="547" t="e">
        <f>Nodes!AB1262+"'E4!'~K"</f>
        <v>#VALUE!</v>
      </c>
      <c r="S155" s="547" t="e">
        <f>Nodes!AC1262+"'E4!'~L"</f>
        <v>#VALUE!</v>
      </c>
      <c r="T155" t="e">
        <f>Nodes!A1263+"'E4!'~M"</f>
        <v>#VALUE!</v>
      </c>
      <c r="U155" t="e">
        <f>Nodes!B1263+"'E4!'~N"</f>
        <v>#VALUE!</v>
      </c>
      <c r="V155" t="e">
        <f>Nodes!C1263+"'E4!'~O"</f>
        <v>#VALUE!</v>
      </c>
      <c r="W155" t="e">
        <f>Nodes!D1263+"'E4!'~P"</f>
        <v>#VALUE!</v>
      </c>
      <c r="X155" t="e">
        <f>Nodes!E1263+"'E4!'~Q"</f>
        <v>#VALUE!</v>
      </c>
      <c r="Y155" t="e">
        <f>Nodes!F1263+"'E4!'~R"</f>
        <v>#VALUE!</v>
      </c>
      <c r="Z155" t="e">
        <f>Nodes!G1263+"'E4!'~S"</f>
        <v>#VALUE!</v>
      </c>
      <c r="AA155" t="e">
        <f>Nodes!H1263+"'E4!'~T"</f>
        <v>#VALUE!</v>
      </c>
      <c r="AB155" t="e">
        <f>Nodes!I1263+"'E4!'~U"</f>
        <v>#VALUE!</v>
      </c>
      <c r="AC155" t="e">
        <f>Nodes!J1263+"'E4!'~V"</f>
        <v>#VALUE!</v>
      </c>
      <c r="AD155" t="e">
        <f>Nodes!K1263+"'E4!'~W"</f>
        <v>#VALUE!</v>
      </c>
      <c r="AE155" t="e">
        <f>Nodes!L1263+"'E4!'~X"</f>
        <v>#VALUE!</v>
      </c>
      <c r="AF155" t="e">
        <f>Nodes!M1263+"'E4!'~Y"</f>
        <v>#VALUE!</v>
      </c>
      <c r="AG155" t="e">
        <f>Nodes!N1263+"'E4!'~Z"</f>
        <v>#VALUE!</v>
      </c>
      <c r="AH155" t="e">
        <f>Nodes!O1263+"'E4!'~["</f>
        <v>#VALUE!</v>
      </c>
      <c r="AI155" t="e">
        <f>Nodes!P1263+"'E4!'~\"</f>
        <v>#VALUE!</v>
      </c>
      <c r="AJ155" t="e">
        <f>Nodes!Q1263+"'E4!'~]"</f>
        <v>#VALUE!</v>
      </c>
      <c r="AK155" t="e">
        <f>Nodes!R1263+"'E4!'~^"</f>
        <v>#VALUE!</v>
      </c>
      <c r="AL155" s="547" t="e">
        <f>Nodes!S1263+"'E4!'~_"</f>
        <v>#VALUE!</v>
      </c>
      <c r="AM155" s="547" t="e">
        <f>Nodes!T1263+"'E4!'~`"</f>
        <v>#VALUE!</v>
      </c>
      <c r="AN155" s="548" t="e">
        <f>Nodes!U1263+"'E4!'~a"</f>
        <v>#VALUE!</v>
      </c>
      <c r="AO155" s="548" t="e">
        <f>Nodes!V1263+"'E4!'~b"</f>
        <v>#VALUE!</v>
      </c>
      <c r="AP155" s="547" t="e">
        <f>Nodes!W1263+"'E4!'~c"</f>
        <v>#VALUE!</v>
      </c>
      <c r="AQ155" t="e">
        <f>Nodes!X1263+"'E4!'~d"</f>
        <v>#VALUE!</v>
      </c>
      <c r="AR155" t="e">
        <f>Nodes!Y1263+"'E4!'~e"</f>
        <v>#VALUE!</v>
      </c>
      <c r="AS155" t="e">
        <f>Nodes!Z1263+"'E4!'~f"</f>
        <v>#VALUE!</v>
      </c>
      <c r="AT155" t="e">
        <f>Nodes!AA1263+"'E4!'~g"</f>
        <v>#VALUE!</v>
      </c>
      <c r="AU155" s="547" t="e">
        <f>Nodes!AB1263+"'E4!'~h"</f>
        <v>#VALUE!</v>
      </c>
      <c r="AV155" s="547" t="e">
        <f>Nodes!AC1263+"'E4!'~i"</f>
        <v>#VALUE!</v>
      </c>
      <c r="AW155" t="e">
        <f>Nodes!A1264+"'E4!'~j"</f>
        <v>#VALUE!</v>
      </c>
      <c r="AX155" t="e">
        <f>Nodes!B1264+"'E4!'~k"</f>
        <v>#VALUE!</v>
      </c>
      <c r="AY155" t="e">
        <f>Nodes!C1264+"'E4!'~l"</f>
        <v>#VALUE!</v>
      </c>
      <c r="AZ155" t="e">
        <f>Nodes!D1264+"'E4!'~m"</f>
        <v>#VALUE!</v>
      </c>
      <c r="BA155" t="e">
        <f>Nodes!E1264+"'E4!'~n"</f>
        <v>#VALUE!</v>
      </c>
      <c r="BB155" t="e">
        <f>Nodes!F1264+"'E4!'~o"</f>
        <v>#VALUE!</v>
      </c>
      <c r="BC155" t="e">
        <f>Nodes!G1264+"'E4!'~p"</f>
        <v>#VALUE!</v>
      </c>
      <c r="BD155" t="e">
        <f>Nodes!H1264+"'E4!'~q"</f>
        <v>#VALUE!</v>
      </c>
      <c r="BE155" t="e">
        <f>Nodes!I1264+"'E4!'~r"</f>
        <v>#VALUE!</v>
      </c>
      <c r="BF155" t="e">
        <f>Nodes!J1264+"'E4!'~s"</f>
        <v>#VALUE!</v>
      </c>
      <c r="BG155" t="e">
        <f>Nodes!K1264+"'E4!'~t"</f>
        <v>#VALUE!</v>
      </c>
      <c r="BH155" t="e">
        <f>Nodes!L1264+"'E4!'~u"</f>
        <v>#VALUE!</v>
      </c>
      <c r="BI155" t="e">
        <f>Nodes!M1264+"'E4!'~v"</f>
        <v>#VALUE!</v>
      </c>
      <c r="BJ155" t="e">
        <f>Nodes!N1264+"'E4!'~w"</f>
        <v>#VALUE!</v>
      </c>
      <c r="BK155" t="e">
        <f>Nodes!O1264+"'E4!'~x"</f>
        <v>#VALUE!</v>
      </c>
      <c r="BL155" t="e">
        <f>Nodes!P1264+"'E4!'~y"</f>
        <v>#VALUE!</v>
      </c>
      <c r="BM155" t="e">
        <f>Nodes!Q1264+"'E4!'~z"</f>
        <v>#VALUE!</v>
      </c>
      <c r="BN155" t="e">
        <f>Nodes!R1264+"'E4!'~{"</f>
        <v>#VALUE!</v>
      </c>
      <c r="BO155" s="547" t="e">
        <f>Nodes!S1264+"'E4!'~|"</f>
        <v>#VALUE!</v>
      </c>
      <c r="BP155" s="547" t="e">
        <f>Nodes!T1264+"'E4!'~}"</f>
        <v>#VALUE!</v>
      </c>
      <c r="BQ155" s="548" t="e">
        <f>Nodes!U1264+"'E4!'~~"</f>
        <v>#VALUE!</v>
      </c>
      <c r="BR155" s="548" t="e">
        <f>Nodes!V1264+"'E4!(##"</f>
        <v>#VALUE!</v>
      </c>
      <c r="BS155" s="547" t="e">
        <f>Nodes!W1264+"'E4!(#$"</f>
        <v>#VALUE!</v>
      </c>
      <c r="BT155" t="e">
        <f>Nodes!X1264+"'E4!(#%"</f>
        <v>#VALUE!</v>
      </c>
      <c r="BU155" t="e">
        <f>Nodes!Y1264+"'E4!(#&amp;"</f>
        <v>#VALUE!</v>
      </c>
      <c r="BV155" t="e">
        <f>Nodes!Z1264+"'E4!(#'"</f>
        <v>#VALUE!</v>
      </c>
      <c r="BW155" t="e">
        <f>Nodes!AA1264+"'E4!(#("</f>
        <v>#VALUE!</v>
      </c>
      <c r="BX155" s="547" t="e">
        <f>Nodes!AB1264+"'E4!(#)"</f>
        <v>#VALUE!</v>
      </c>
      <c r="BY155" s="547" t="e">
        <f>Nodes!AC1264+"'E4!(#."</f>
        <v>#VALUE!</v>
      </c>
      <c r="BZ155" t="e">
        <f>Nodes!A1265+"'E4!(#/"</f>
        <v>#VALUE!</v>
      </c>
      <c r="CA155" t="e">
        <f>Nodes!B1265+"'E4!(#0"</f>
        <v>#VALUE!</v>
      </c>
      <c r="CB155" t="e">
        <f>Nodes!C1265+"'E4!(#1"</f>
        <v>#VALUE!</v>
      </c>
      <c r="CC155" t="e">
        <f>Nodes!D1265+"'E4!(#2"</f>
        <v>#VALUE!</v>
      </c>
      <c r="CD155" t="e">
        <f>Nodes!E1265+"'E4!(#3"</f>
        <v>#VALUE!</v>
      </c>
      <c r="CE155" t="e">
        <f>Nodes!F1265+"'E4!(#4"</f>
        <v>#VALUE!</v>
      </c>
      <c r="CF155" t="e">
        <f>Nodes!G1265+"'E4!(#5"</f>
        <v>#VALUE!</v>
      </c>
      <c r="CG155" t="e">
        <f>Nodes!H1265+"'E4!(#6"</f>
        <v>#VALUE!</v>
      </c>
      <c r="CH155" t="e">
        <f>Nodes!I1265+"'E4!(#7"</f>
        <v>#VALUE!</v>
      </c>
      <c r="CI155" t="e">
        <f>Nodes!J1265+"'E4!(#8"</f>
        <v>#VALUE!</v>
      </c>
      <c r="CJ155" t="e">
        <f>Nodes!K1265+"'E4!(#9"</f>
        <v>#VALUE!</v>
      </c>
      <c r="CK155" t="e">
        <f>Nodes!L1265+"'E4!(#:"</f>
        <v>#VALUE!</v>
      </c>
      <c r="CL155" t="e">
        <f>Nodes!M1265+"'E4!(#;"</f>
        <v>#VALUE!</v>
      </c>
      <c r="CM155" t="e">
        <f>Nodes!N1265+"'E4!(#&lt;"</f>
        <v>#VALUE!</v>
      </c>
      <c r="CN155" t="e">
        <f>Nodes!O1265+"'E4!(#="</f>
        <v>#VALUE!</v>
      </c>
      <c r="CO155" t="e">
        <f>Nodes!P1265+"'E4!(#&gt;"</f>
        <v>#VALUE!</v>
      </c>
      <c r="CP155" t="e">
        <f>Nodes!Q1265+"'E4!(#?"</f>
        <v>#VALUE!</v>
      </c>
      <c r="CQ155" t="e">
        <f>Nodes!R1265+"'E4!(#@"</f>
        <v>#VALUE!</v>
      </c>
      <c r="CR155" s="547" t="e">
        <f>Nodes!S1265+"'E4!(#A"</f>
        <v>#VALUE!</v>
      </c>
      <c r="CS155" s="547" t="e">
        <f>Nodes!T1265+"'E4!(#B"</f>
        <v>#VALUE!</v>
      </c>
      <c r="CT155" s="548" t="e">
        <f>Nodes!U1265+"'E4!(#C"</f>
        <v>#VALUE!</v>
      </c>
      <c r="CU155" s="548" t="e">
        <f>Nodes!V1265+"'E4!(#D"</f>
        <v>#VALUE!</v>
      </c>
      <c r="CV155" s="547" t="e">
        <f>Nodes!W1265+"'E4!(#E"</f>
        <v>#VALUE!</v>
      </c>
      <c r="CW155" t="e">
        <f>Nodes!X1265+"'E4!(#F"</f>
        <v>#VALUE!</v>
      </c>
      <c r="CX155" t="e">
        <f>Nodes!Y1265+"'E4!(#G"</f>
        <v>#VALUE!</v>
      </c>
      <c r="CY155" t="e">
        <f>Nodes!Z1265+"'E4!(#H"</f>
        <v>#VALUE!</v>
      </c>
      <c r="CZ155" t="e">
        <f>Nodes!AA1265+"'E4!(#I"</f>
        <v>#VALUE!</v>
      </c>
      <c r="DA155" s="547" t="e">
        <f>Nodes!AB1265+"'E4!(#J"</f>
        <v>#VALUE!</v>
      </c>
      <c r="DB155" s="547" t="e">
        <f>Nodes!AC1265+"'E4!(#K"</f>
        <v>#VALUE!</v>
      </c>
      <c r="DC155" t="e">
        <f>Nodes!A1266+"'E4!(#L"</f>
        <v>#VALUE!</v>
      </c>
      <c r="DD155" t="e">
        <f>Nodes!B1266+"'E4!(#M"</f>
        <v>#VALUE!</v>
      </c>
      <c r="DE155" t="e">
        <f>Nodes!C1266+"'E4!(#N"</f>
        <v>#VALUE!</v>
      </c>
      <c r="DF155" t="e">
        <f>Nodes!D1266+"'E4!(#O"</f>
        <v>#VALUE!</v>
      </c>
      <c r="DG155" t="e">
        <f>Nodes!E1266+"'E4!(#P"</f>
        <v>#VALUE!</v>
      </c>
      <c r="DH155" t="e">
        <f>Nodes!F1266+"'E4!(#Q"</f>
        <v>#VALUE!</v>
      </c>
      <c r="DI155" t="e">
        <f>Nodes!G1266+"'E4!(#R"</f>
        <v>#VALUE!</v>
      </c>
      <c r="DJ155" t="e">
        <f>Nodes!H1266+"'E4!(#S"</f>
        <v>#VALUE!</v>
      </c>
      <c r="DK155" t="e">
        <f>Nodes!I1266+"'E4!(#T"</f>
        <v>#VALUE!</v>
      </c>
      <c r="DL155" t="e">
        <f>Nodes!J1266+"'E4!(#U"</f>
        <v>#VALUE!</v>
      </c>
      <c r="DM155" t="e">
        <f>Nodes!K1266+"'E4!(#V"</f>
        <v>#VALUE!</v>
      </c>
      <c r="DN155" t="e">
        <f>Nodes!L1266+"'E4!(#W"</f>
        <v>#VALUE!</v>
      </c>
      <c r="DO155" t="e">
        <f>Nodes!M1266+"'E4!(#X"</f>
        <v>#VALUE!</v>
      </c>
      <c r="DP155" t="e">
        <f>Nodes!N1266+"'E4!(#Y"</f>
        <v>#VALUE!</v>
      </c>
      <c r="DQ155" t="e">
        <f>Nodes!O1266+"'E4!(#Z"</f>
        <v>#VALUE!</v>
      </c>
      <c r="DR155" t="e">
        <f>Nodes!P1266+"'E4!(#["</f>
        <v>#VALUE!</v>
      </c>
      <c r="DS155" t="e">
        <f>Nodes!Q1266+"'E4!(#\"</f>
        <v>#VALUE!</v>
      </c>
      <c r="DT155" t="e">
        <f>Nodes!R1266+"'E4!(#]"</f>
        <v>#VALUE!</v>
      </c>
      <c r="DU155" s="547" t="e">
        <f>Nodes!S1266+"'E4!(#^"</f>
        <v>#VALUE!</v>
      </c>
      <c r="DV155" s="547" t="e">
        <f>Nodes!T1266+"'E4!(#_"</f>
        <v>#VALUE!</v>
      </c>
      <c r="DW155" s="548" t="e">
        <f>Nodes!U1266+"'E4!(#`"</f>
        <v>#VALUE!</v>
      </c>
      <c r="DX155" s="548" t="e">
        <f>Nodes!V1266+"'E4!(#a"</f>
        <v>#VALUE!</v>
      </c>
      <c r="DY155" s="547" t="e">
        <f>Nodes!W1266+"'E4!(#b"</f>
        <v>#VALUE!</v>
      </c>
      <c r="DZ155" t="e">
        <f>Nodes!X1266+"'E4!(#c"</f>
        <v>#VALUE!</v>
      </c>
      <c r="EA155" t="e">
        <f>Nodes!Y1266+"'E4!(#d"</f>
        <v>#VALUE!</v>
      </c>
      <c r="EB155" t="e">
        <f>Nodes!Z1266+"'E4!(#e"</f>
        <v>#VALUE!</v>
      </c>
      <c r="EC155" t="e">
        <f>Nodes!AA1266+"'E4!(#f"</f>
        <v>#VALUE!</v>
      </c>
      <c r="ED155" s="547" t="e">
        <f>Nodes!AB1266+"'E4!(#g"</f>
        <v>#VALUE!</v>
      </c>
      <c r="EE155" s="547" t="e">
        <f>Nodes!AC1266+"'E4!(#h"</f>
        <v>#VALUE!</v>
      </c>
      <c r="EF155" t="e">
        <f>Nodes!A1267+"'E4!(#i"</f>
        <v>#VALUE!</v>
      </c>
      <c r="EG155" t="e">
        <f>Nodes!B1267+"'E4!(#j"</f>
        <v>#VALUE!</v>
      </c>
      <c r="EH155" t="e">
        <f>Nodes!C1267+"'E4!(#k"</f>
        <v>#VALUE!</v>
      </c>
      <c r="EI155" t="e">
        <f>Nodes!D1267+"'E4!(#l"</f>
        <v>#VALUE!</v>
      </c>
      <c r="EJ155" t="e">
        <f>Nodes!E1267+"'E4!(#m"</f>
        <v>#VALUE!</v>
      </c>
      <c r="EK155" t="e">
        <f>Nodes!F1267+"'E4!(#n"</f>
        <v>#VALUE!</v>
      </c>
      <c r="EL155" t="e">
        <f>Nodes!G1267+"'E4!(#o"</f>
        <v>#VALUE!</v>
      </c>
      <c r="EM155" t="e">
        <f>Nodes!H1267+"'E4!(#p"</f>
        <v>#VALUE!</v>
      </c>
      <c r="EN155" t="e">
        <f>Nodes!I1267+"'E4!(#q"</f>
        <v>#VALUE!</v>
      </c>
      <c r="EO155" t="e">
        <f>Nodes!J1267+"'E4!(#r"</f>
        <v>#VALUE!</v>
      </c>
      <c r="EP155" t="e">
        <f>Nodes!K1267+"'E4!(#s"</f>
        <v>#VALUE!</v>
      </c>
      <c r="EQ155" t="e">
        <f>Nodes!L1267+"'E4!(#t"</f>
        <v>#VALUE!</v>
      </c>
      <c r="ER155" t="e">
        <f>Nodes!M1267+"'E4!(#u"</f>
        <v>#VALUE!</v>
      </c>
      <c r="ES155" t="e">
        <f>Nodes!N1267+"'E4!(#v"</f>
        <v>#VALUE!</v>
      </c>
      <c r="ET155" t="e">
        <f>Nodes!O1267+"'E4!(#w"</f>
        <v>#VALUE!</v>
      </c>
      <c r="EU155" t="e">
        <f>Nodes!P1267+"'E4!(#x"</f>
        <v>#VALUE!</v>
      </c>
      <c r="EV155" t="e">
        <f>Nodes!Q1267+"'E4!(#y"</f>
        <v>#VALUE!</v>
      </c>
      <c r="EW155" t="e">
        <f>Nodes!R1267+"'E4!(#z"</f>
        <v>#VALUE!</v>
      </c>
      <c r="EX155" s="547" t="e">
        <f>Nodes!S1267+"'E4!(#{"</f>
        <v>#VALUE!</v>
      </c>
      <c r="EY155" s="547" t="e">
        <f>Nodes!T1267+"'E4!(#|"</f>
        <v>#VALUE!</v>
      </c>
      <c r="EZ155" s="548" t="e">
        <f>Nodes!U1267+"'E4!(#}"</f>
        <v>#VALUE!</v>
      </c>
      <c r="FA155" s="548" t="e">
        <f>Nodes!V1267+"'E4!(#~"</f>
        <v>#VALUE!</v>
      </c>
      <c r="FB155" s="547" t="e">
        <f>Nodes!W1267+"'E4!($#"</f>
        <v>#VALUE!</v>
      </c>
      <c r="FC155" t="e">
        <f>Nodes!X1267+"'E4!($$"</f>
        <v>#VALUE!</v>
      </c>
      <c r="FD155" t="e">
        <f>Nodes!Y1267+"'E4!($%"</f>
        <v>#VALUE!</v>
      </c>
      <c r="FE155" t="e">
        <f>Nodes!Z1267+"'E4!($&amp;"</f>
        <v>#VALUE!</v>
      </c>
      <c r="FF155" t="e">
        <f>Nodes!AA1267+"'E4!($'"</f>
        <v>#VALUE!</v>
      </c>
      <c r="FG155" s="547" t="e">
        <f>Nodes!AB1267+"'E4!($("</f>
        <v>#VALUE!</v>
      </c>
      <c r="FH155" s="547" t="e">
        <f>Nodes!AC1267+"'E4!($)"</f>
        <v>#VALUE!</v>
      </c>
      <c r="FI155" t="e">
        <f>Nodes!A1268+"'E4!($."</f>
        <v>#VALUE!</v>
      </c>
      <c r="FJ155" t="e">
        <f>Nodes!B1268+"'E4!($/"</f>
        <v>#VALUE!</v>
      </c>
      <c r="FK155" t="e">
        <f>Nodes!C1268+"'E4!($0"</f>
        <v>#VALUE!</v>
      </c>
      <c r="FL155" t="e">
        <f>Nodes!D1268+"'E4!($1"</f>
        <v>#VALUE!</v>
      </c>
      <c r="FM155" t="e">
        <f>Nodes!E1268+"'E4!($2"</f>
        <v>#VALUE!</v>
      </c>
      <c r="FN155" t="e">
        <f>Nodes!F1268+"'E4!($3"</f>
        <v>#VALUE!</v>
      </c>
      <c r="FO155" t="e">
        <f>Nodes!G1268+"'E4!($4"</f>
        <v>#VALUE!</v>
      </c>
      <c r="FP155" t="e">
        <f>Nodes!H1268+"'E4!($5"</f>
        <v>#VALUE!</v>
      </c>
      <c r="FQ155" t="e">
        <f>Nodes!I1268+"'E4!($6"</f>
        <v>#VALUE!</v>
      </c>
      <c r="FR155" t="e">
        <f>Nodes!J1268+"'E4!($7"</f>
        <v>#VALUE!</v>
      </c>
      <c r="FS155" t="e">
        <f>Nodes!K1268+"'E4!($8"</f>
        <v>#VALUE!</v>
      </c>
      <c r="FT155" t="e">
        <f>Nodes!L1268+"'E4!($9"</f>
        <v>#VALUE!</v>
      </c>
      <c r="FU155" t="e">
        <f>Nodes!M1268+"'E4!($:"</f>
        <v>#VALUE!</v>
      </c>
      <c r="FV155" t="e">
        <f>Nodes!N1268+"'E4!($;"</f>
        <v>#VALUE!</v>
      </c>
      <c r="FW155" t="e">
        <f>Nodes!O1268+"'E4!($&lt;"</f>
        <v>#VALUE!</v>
      </c>
      <c r="FX155" t="e">
        <f>Nodes!P1268+"'E4!($="</f>
        <v>#VALUE!</v>
      </c>
      <c r="FY155" t="e">
        <f>Nodes!Q1268+"'E4!($&gt;"</f>
        <v>#VALUE!</v>
      </c>
      <c r="FZ155" t="e">
        <f>Nodes!R1268+"'E4!($?"</f>
        <v>#VALUE!</v>
      </c>
      <c r="GA155" s="547" t="e">
        <f>Nodes!S1268+"'E4!($@"</f>
        <v>#VALUE!</v>
      </c>
      <c r="GB155" s="547" t="e">
        <f>Nodes!T1268+"'E4!($A"</f>
        <v>#VALUE!</v>
      </c>
      <c r="GC155" s="548" t="e">
        <f>Nodes!U1268+"'E4!($B"</f>
        <v>#VALUE!</v>
      </c>
      <c r="GD155" s="548" t="e">
        <f>Nodes!V1268+"'E4!($C"</f>
        <v>#VALUE!</v>
      </c>
      <c r="GE155" s="547" t="e">
        <f>Nodes!W1268+"'E4!($D"</f>
        <v>#VALUE!</v>
      </c>
      <c r="GF155" t="e">
        <f>Nodes!X1268+"'E4!($E"</f>
        <v>#VALUE!</v>
      </c>
      <c r="GG155" t="e">
        <f>Nodes!Y1268+"'E4!($F"</f>
        <v>#VALUE!</v>
      </c>
      <c r="GH155" t="e">
        <f>Nodes!Z1268+"'E4!($G"</f>
        <v>#VALUE!</v>
      </c>
      <c r="GI155" t="e">
        <f>Nodes!AA1268+"'E4!($H"</f>
        <v>#VALUE!</v>
      </c>
      <c r="GJ155" s="547" t="e">
        <f>Nodes!AB1268+"'E4!($I"</f>
        <v>#VALUE!</v>
      </c>
      <c r="GK155" s="547" t="e">
        <f>Nodes!AC1268+"'E4!($J"</f>
        <v>#VALUE!</v>
      </c>
      <c r="GL155" t="e">
        <f>Nodes!A1269+"'E4!($K"</f>
        <v>#VALUE!</v>
      </c>
      <c r="GM155" t="e">
        <f>Nodes!B1269+"'E4!($L"</f>
        <v>#VALUE!</v>
      </c>
      <c r="GN155" t="e">
        <f>Nodes!C1269+"'E4!($M"</f>
        <v>#VALUE!</v>
      </c>
      <c r="GO155" t="e">
        <f>Nodes!D1269+"'E4!($N"</f>
        <v>#VALUE!</v>
      </c>
      <c r="GP155" t="e">
        <f>Nodes!E1269+"'E4!($O"</f>
        <v>#VALUE!</v>
      </c>
      <c r="GQ155" t="e">
        <f>Nodes!F1269+"'E4!($P"</f>
        <v>#VALUE!</v>
      </c>
      <c r="GR155" t="e">
        <f>Nodes!G1269+"'E4!($Q"</f>
        <v>#VALUE!</v>
      </c>
      <c r="GS155" t="e">
        <f>Nodes!H1269+"'E4!($R"</f>
        <v>#VALUE!</v>
      </c>
      <c r="GT155" t="e">
        <f>Nodes!I1269+"'E4!($S"</f>
        <v>#VALUE!</v>
      </c>
      <c r="GU155" t="e">
        <f>Nodes!J1269+"'E4!($T"</f>
        <v>#VALUE!</v>
      </c>
      <c r="GV155" t="e">
        <f>Nodes!K1269+"'E4!($U"</f>
        <v>#VALUE!</v>
      </c>
      <c r="GW155" t="e">
        <f>Nodes!L1269+"'E4!($V"</f>
        <v>#VALUE!</v>
      </c>
      <c r="GX155" t="e">
        <f>Nodes!M1269+"'E4!($W"</f>
        <v>#VALUE!</v>
      </c>
      <c r="GY155" t="e">
        <f>Nodes!N1269+"'E4!($X"</f>
        <v>#VALUE!</v>
      </c>
      <c r="GZ155" t="e">
        <f>Nodes!O1269+"'E4!($Y"</f>
        <v>#VALUE!</v>
      </c>
      <c r="HA155" t="e">
        <f>Nodes!P1269+"'E4!($Z"</f>
        <v>#VALUE!</v>
      </c>
      <c r="HB155" t="e">
        <f>Nodes!Q1269+"'E4!($["</f>
        <v>#VALUE!</v>
      </c>
      <c r="HC155" t="e">
        <f>Nodes!R1269+"'E4!($\"</f>
        <v>#VALUE!</v>
      </c>
      <c r="HD155" s="547" t="e">
        <f>Nodes!S1269+"'E4!($]"</f>
        <v>#VALUE!</v>
      </c>
      <c r="HE155" s="547" t="e">
        <f>Nodes!T1269+"'E4!($^"</f>
        <v>#VALUE!</v>
      </c>
      <c r="HF155" s="548" t="e">
        <f>Nodes!U1269+"'E4!($_"</f>
        <v>#VALUE!</v>
      </c>
      <c r="HG155" s="548" t="e">
        <f>Nodes!V1269+"'E4!($`"</f>
        <v>#VALUE!</v>
      </c>
      <c r="HH155" s="547" t="e">
        <f>Nodes!W1269+"'E4!($a"</f>
        <v>#VALUE!</v>
      </c>
      <c r="HI155" t="e">
        <f>Nodes!X1269+"'E4!($b"</f>
        <v>#VALUE!</v>
      </c>
      <c r="HJ155" t="e">
        <f>Nodes!Y1269+"'E4!($c"</f>
        <v>#VALUE!</v>
      </c>
      <c r="HK155" t="e">
        <f>Nodes!Z1269+"'E4!($d"</f>
        <v>#VALUE!</v>
      </c>
      <c r="HL155" t="e">
        <f>Nodes!AA1269+"'E4!($e"</f>
        <v>#VALUE!</v>
      </c>
      <c r="HM155" s="547" t="e">
        <f>Nodes!AB1269+"'E4!($f"</f>
        <v>#VALUE!</v>
      </c>
      <c r="HN155" s="547" t="e">
        <f>Nodes!AC1269+"'E4!($g"</f>
        <v>#VALUE!</v>
      </c>
      <c r="HO155" t="e">
        <f>Nodes!A1270+"'E4!($h"</f>
        <v>#VALUE!</v>
      </c>
      <c r="HP155" t="e">
        <f>Nodes!B1270+"'E4!($i"</f>
        <v>#VALUE!</v>
      </c>
      <c r="HQ155" t="e">
        <f>Nodes!C1270+"'E4!($j"</f>
        <v>#VALUE!</v>
      </c>
      <c r="HR155" t="e">
        <f>Nodes!D1270+"'E4!($k"</f>
        <v>#VALUE!</v>
      </c>
      <c r="HS155" t="e">
        <f>Nodes!E1270+"'E4!($l"</f>
        <v>#VALUE!</v>
      </c>
      <c r="HT155" t="e">
        <f>Nodes!F1270+"'E4!($m"</f>
        <v>#VALUE!</v>
      </c>
      <c r="HU155" t="e">
        <f>Nodes!G1270+"'E4!($n"</f>
        <v>#VALUE!</v>
      </c>
      <c r="HV155" t="e">
        <f>Nodes!H1270+"'E4!($o"</f>
        <v>#VALUE!</v>
      </c>
      <c r="HW155" t="e">
        <f>Nodes!I1270+"'E4!($p"</f>
        <v>#VALUE!</v>
      </c>
      <c r="HX155" t="e">
        <f>Nodes!J1270+"'E4!($q"</f>
        <v>#VALUE!</v>
      </c>
      <c r="HY155" t="e">
        <f>Nodes!K1270+"'E4!($r"</f>
        <v>#VALUE!</v>
      </c>
      <c r="HZ155" t="e">
        <f>Nodes!L1270+"'E4!($s"</f>
        <v>#VALUE!</v>
      </c>
      <c r="IA155" t="e">
        <f>Nodes!M1270+"'E4!($t"</f>
        <v>#VALUE!</v>
      </c>
      <c r="IB155" t="e">
        <f>Nodes!N1270+"'E4!($u"</f>
        <v>#VALUE!</v>
      </c>
      <c r="IC155" t="e">
        <f>Nodes!O1270+"'E4!($v"</f>
        <v>#VALUE!</v>
      </c>
      <c r="ID155" t="e">
        <f>Nodes!P1270+"'E4!($w"</f>
        <v>#VALUE!</v>
      </c>
      <c r="IE155" t="e">
        <f>Nodes!Q1270+"'E4!($x"</f>
        <v>#VALUE!</v>
      </c>
      <c r="IF155" t="e">
        <f>Nodes!R1270+"'E4!($y"</f>
        <v>#VALUE!</v>
      </c>
      <c r="IG155" s="547" t="e">
        <f>Nodes!S1270+"'E4!($z"</f>
        <v>#VALUE!</v>
      </c>
      <c r="IH155" s="547" t="e">
        <f>Nodes!T1270+"'E4!(${"</f>
        <v>#VALUE!</v>
      </c>
      <c r="II155" s="548" t="e">
        <f>Nodes!U1270+"'E4!($|"</f>
        <v>#VALUE!</v>
      </c>
      <c r="IJ155" s="548" t="e">
        <f>Nodes!V1270+"'E4!($}"</f>
        <v>#VALUE!</v>
      </c>
      <c r="IK155" s="547" t="e">
        <f>Nodes!W1270+"'E4!($~"</f>
        <v>#VALUE!</v>
      </c>
      <c r="IL155" t="e">
        <f>Nodes!X1270+"'E4!(%#"</f>
        <v>#VALUE!</v>
      </c>
      <c r="IM155" t="e">
        <f>Nodes!Y1270+"'E4!(%$"</f>
        <v>#VALUE!</v>
      </c>
      <c r="IN155" t="e">
        <f>Nodes!Z1270+"'E4!(%%"</f>
        <v>#VALUE!</v>
      </c>
      <c r="IO155" t="e">
        <f>Nodes!AA1270+"'E4!(%&amp;"</f>
        <v>#VALUE!</v>
      </c>
      <c r="IP155" s="547" t="e">
        <f>Nodes!AB1270+"'E4!(%'"</f>
        <v>#VALUE!</v>
      </c>
      <c r="IQ155" s="547" t="e">
        <f>Nodes!AC1270+"'E4!(%("</f>
        <v>#VALUE!</v>
      </c>
      <c r="IR155" t="e">
        <f>Nodes!A1271+"'E4!(%)"</f>
        <v>#VALUE!</v>
      </c>
      <c r="IS155" t="e">
        <f>Nodes!B1271+"'E4!(%."</f>
        <v>#VALUE!</v>
      </c>
      <c r="IT155" t="e">
        <f>Nodes!C1271+"'E4!(%/"</f>
        <v>#VALUE!</v>
      </c>
      <c r="IU155" t="e">
        <f>Nodes!D1271+"'E4!(%0"</f>
        <v>#VALUE!</v>
      </c>
      <c r="IV155" t="e">
        <f>Nodes!E1271+"'E4!(%1"</f>
        <v>#VALUE!</v>
      </c>
    </row>
    <row r="156" spans="6:256">
      <c r="F156" t="e">
        <f>Nodes!F1271+"'E4!(%2"</f>
        <v>#VALUE!</v>
      </c>
      <c r="G156" t="e">
        <f>Nodes!G1271+"'E4!(%3"</f>
        <v>#VALUE!</v>
      </c>
      <c r="H156" t="e">
        <f>Nodes!H1271+"'E4!(%4"</f>
        <v>#VALUE!</v>
      </c>
      <c r="I156" t="e">
        <f>Nodes!I1271+"'E4!(%5"</f>
        <v>#VALUE!</v>
      </c>
      <c r="J156" t="e">
        <f>Nodes!J1271+"'E4!(%6"</f>
        <v>#VALUE!</v>
      </c>
      <c r="K156" t="e">
        <f>Nodes!K1271+"'E4!(%7"</f>
        <v>#VALUE!</v>
      </c>
      <c r="L156" t="e">
        <f>Nodes!L1271+"'E4!(%8"</f>
        <v>#VALUE!</v>
      </c>
      <c r="M156" t="e">
        <f>Nodes!M1271+"'E4!(%9"</f>
        <v>#VALUE!</v>
      </c>
      <c r="N156" t="e">
        <f>Nodes!N1271+"'E4!(%:"</f>
        <v>#VALUE!</v>
      </c>
      <c r="O156" t="e">
        <f>Nodes!O1271+"'E4!(%;"</f>
        <v>#VALUE!</v>
      </c>
      <c r="P156" t="e">
        <f>Nodes!P1271+"'E4!(%&lt;"</f>
        <v>#VALUE!</v>
      </c>
      <c r="Q156" t="e">
        <f>Nodes!Q1271+"'E4!(%="</f>
        <v>#VALUE!</v>
      </c>
      <c r="R156" t="e">
        <f>Nodes!R1271+"'E4!(%&gt;"</f>
        <v>#VALUE!</v>
      </c>
      <c r="S156" s="547" t="e">
        <f>Nodes!S1271+"'E4!(%?"</f>
        <v>#VALUE!</v>
      </c>
      <c r="T156" s="547" t="e">
        <f>Nodes!T1271+"'E4!(%@"</f>
        <v>#VALUE!</v>
      </c>
      <c r="U156" s="548" t="e">
        <f>Nodes!U1271+"'E4!(%A"</f>
        <v>#VALUE!</v>
      </c>
      <c r="V156" s="548" t="e">
        <f>Nodes!V1271+"'E4!(%B"</f>
        <v>#VALUE!</v>
      </c>
      <c r="W156" s="547" t="e">
        <f>Nodes!W1271+"'E4!(%C"</f>
        <v>#VALUE!</v>
      </c>
      <c r="X156" t="e">
        <f>Nodes!X1271+"'E4!(%D"</f>
        <v>#VALUE!</v>
      </c>
      <c r="Y156" t="e">
        <f>Nodes!Y1271+"'E4!(%E"</f>
        <v>#VALUE!</v>
      </c>
      <c r="Z156" t="e">
        <f>Nodes!Z1271+"'E4!(%F"</f>
        <v>#VALUE!</v>
      </c>
      <c r="AA156" t="e">
        <f>Nodes!AA1271+"'E4!(%G"</f>
        <v>#VALUE!</v>
      </c>
      <c r="AB156" s="547" t="e">
        <f>Nodes!AB1271+"'E4!(%H"</f>
        <v>#VALUE!</v>
      </c>
      <c r="AC156" s="547" t="e">
        <f>Nodes!AC1271+"'E4!(%I"</f>
        <v>#VALUE!</v>
      </c>
      <c r="AD156" t="e">
        <f>Nodes!A1272+"'E4!(%J"</f>
        <v>#VALUE!</v>
      </c>
      <c r="AE156" t="e">
        <f>Nodes!B1272+"'E4!(%K"</f>
        <v>#VALUE!</v>
      </c>
      <c r="AF156" t="e">
        <f>Nodes!C1272+"'E4!(%L"</f>
        <v>#VALUE!</v>
      </c>
      <c r="AG156" t="e">
        <f>Nodes!D1272+"'E4!(%M"</f>
        <v>#VALUE!</v>
      </c>
      <c r="AH156" t="e">
        <f>Nodes!E1272+"'E4!(%N"</f>
        <v>#VALUE!</v>
      </c>
      <c r="AI156" t="e">
        <f>Nodes!F1272+"'E4!(%O"</f>
        <v>#VALUE!</v>
      </c>
      <c r="AJ156" t="e">
        <f>Nodes!G1272+"'E4!(%P"</f>
        <v>#VALUE!</v>
      </c>
      <c r="AK156" t="e">
        <f>Nodes!H1272+"'E4!(%Q"</f>
        <v>#VALUE!</v>
      </c>
      <c r="AL156" t="e">
        <f>Nodes!I1272+"'E4!(%R"</f>
        <v>#VALUE!</v>
      </c>
      <c r="AM156" t="e">
        <f>Nodes!J1272+"'E4!(%S"</f>
        <v>#VALUE!</v>
      </c>
      <c r="AN156" t="e">
        <f>Nodes!K1272+"'E4!(%T"</f>
        <v>#VALUE!</v>
      </c>
      <c r="AO156" t="e">
        <f>Nodes!L1272+"'E4!(%U"</f>
        <v>#VALUE!</v>
      </c>
      <c r="AP156" t="e">
        <f>Nodes!M1272+"'E4!(%V"</f>
        <v>#VALUE!</v>
      </c>
      <c r="AQ156" t="e">
        <f>Nodes!N1272+"'E4!(%W"</f>
        <v>#VALUE!</v>
      </c>
      <c r="AR156" t="e">
        <f>Nodes!O1272+"'E4!(%X"</f>
        <v>#VALUE!</v>
      </c>
      <c r="AS156" t="e">
        <f>Nodes!P1272+"'E4!(%Y"</f>
        <v>#VALUE!</v>
      </c>
      <c r="AT156" t="e">
        <f>Nodes!Q1272+"'E4!(%Z"</f>
        <v>#VALUE!</v>
      </c>
      <c r="AU156" t="e">
        <f>Nodes!R1272+"'E4!(%["</f>
        <v>#VALUE!</v>
      </c>
      <c r="AV156" s="547" t="e">
        <f>Nodes!S1272+"'E4!(%\"</f>
        <v>#VALUE!</v>
      </c>
      <c r="AW156" s="547" t="e">
        <f>Nodes!T1272+"'E4!(%]"</f>
        <v>#VALUE!</v>
      </c>
      <c r="AX156" s="548" t="e">
        <f>Nodes!U1272+"'E4!(%^"</f>
        <v>#VALUE!</v>
      </c>
      <c r="AY156" s="548" t="e">
        <f>Nodes!V1272+"'E4!(%_"</f>
        <v>#VALUE!</v>
      </c>
      <c r="AZ156" s="547" t="e">
        <f>Nodes!W1272+"'E4!(%`"</f>
        <v>#VALUE!</v>
      </c>
      <c r="BA156" t="e">
        <f>Nodes!X1272+"'E4!(%a"</f>
        <v>#VALUE!</v>
      </c>
      <c r="BB156" t="e">
        <f>Nodes!Y1272+"'E4!(%b"</f>
        <v>#VALUE!</v>
      </c>
      <c r="BC156" t="e">
        <f>Nodes!Z1272+"'E4!(%c"</f>
        <v>#VALUE!</v>
      </c>
      <c r="BD156" t="e">
        <f>Nodes!AA1272+"'E4!(%d"</f>
        <v>#VALUE!</v>
      </c>
      <c r="BE156" s="547" t="e">
        <f>Nodes!AB1272+"'E4!(%e"</f>
        <v>#VALUE!</v>
      </c>
      <c r="BF156" s="547" t="e">
        <f>Nodes!AC1272+"'E4!(%f"</f>
        <v>#VALUE!</v>
      </c>
      <c r="BG156" t="e">
        <f>Nodes!A1273+"'E4!(%g"</f>
        <v>#VALUE!</v>
      </c>
      <c r="BH156" t="e">
        <f>Nodes!B1273+"'E4!(%h"</f>
        <v>#VALUE!</v>
      </c>
      <c r="BI156" t="e">
        <f>Nodes!C1273+"'E4!(%i"</f>
        <v>#VALUE!</v>
      </c>
      <c r="BJ156" t="e">
        <f>Nodes!D1273+"'E4!(%j"</f>
        <v>#VALUE!</v>
      </c>
      <c r="BK156" t="e">
        <f>Nodes!E1273+"'E4!(%k"</f>
        <v>#VALUE!</v>
      </c>
      <c r="BL156" t="e">
        <f>Nodes!F1273+"'E4!(%l"</f>
        <v>#VALUE!</v>
      </c>
      <c r="BM156" t="e">
        <f>Nodes!G1273+"'E4!(%m"</f>
        <v>#VALUE!</v>
      </c>
      <c r="BN156" t="e">
        <f>Nodes!H1273+"'E4!(%n"</f>
        <v>#VALUE!</v>
      </c>
      <c r="BO156" t="e">
        <f>Nodes!I1273+"'E4!(%o"</f>
        <v>#VALUE!</v>
      </c>
      <c r="BP156" t="e">
        <f>Nodes!J1273+"'E4!(%p"</f>
        <v>#VALUE!</v>
      </c>
      <c r="BQ156" t="e">
        <f>Nodes!K1273+"'E4!(%q"</f>
        <v>#VALUE!</v>
      </c>
      <c r="BR156" t="e">
        <f>Nodes!L1273+"'E4!(%r"</f>
        <v>#VALUE!</v>
      </c>
      <c r="BS156" t="e">
        <f>Nodes!M1273+"'E4!(%s"</f>
        <v>#VALUE!</v>
      </c>
      <c r="BT156" t="e">
        <f>Nodes!N1273+"'E4!(%t"</f>
        <v>#VALUE!</v>
      </c>
      <c r="BU156" t="e">
        <f>Nodes!O1273+"'E4!(%u"</f>
        <v>#VALUE!</v>
      </c>
      <c r="BV156" t="e">
        <f>Nodes!P1273+"'E4!(%v"</f>
        <v>#VALUE!</v>
      </c>
      <c r="BW156" t="e">
        <f>Nodes!Q1273+"'E4!(%w"</f>
        <v>#VALUE!</v>
      </c>
      <c r="BX156" t="e">
        <f>Nodes!R1273+"'E4!(%x"</f>
        <v>#VALUE!</v>
      </c>
      <c r="BY156" s="547" t="e">
        <f>Nodes!S1273+"'E4!(%y"</f>
        <v>#VALUE!</v>
      </c>
      <c r="BZ156" s="547" t="e">
        <f>Nodes!T1273+"'E4!(%z"</f>
        <v>#VALUE!</v>
      </c>
      <c r="CA156" s="548" t="e">
        <f>Nodes!U1273+"'E4!(%{"</f>
        <v>#VALUE!</v>
      </c>
      <c r="CB156" s="548" t="e">
        <f>Nodes!V1273+"'E4!(%|"</f>
        <v>#VALUE!</v>
      </c>
      <c r="CC156" s="547" t="e">
        <f>Nodes!W1273+"'E4!(%}"</f>
        <v>#VALUE!</v>
      </c>
      <c r="CD156" t="e">
        <f>Nodes!X1273+"'E4!(%~"</f>
        <v>#VALUE!</v>
      </c>
      <c r="CE156" t="e">
        <f>Nodes!Y1273+"'E4!(&amp;#"</f>
        <v>#VALUE!</v>
      </c>
      <c r="CF156" t="e">
        <f>Nodes!Z1273+"'E4!(&amp;$"</f>
        <v>#VALUE!</v>
      </c>
      <c r="CG156" t="e">
        <f>Nodes!AA1273+"'E4!(&amp;%"</f>
        <v>#VALUE!</v>
      </c>
      <c r="CH156" s="547" t="e">
        <f>Nodes!AB1273+"'E4!(&amp;&amp;"</f>
        <v>#VALUE!</v>
      </c>
      <c r="CI156" s="547" t="e">
        <f>Nodes!AC1273+"'E4!(&amp;'"</f>
        <v>#VALUE!</v>
      </c>
      <c r="CJ156" t="e">
        <f>Nodes!A1274+"'E4!(&amp;("</f>
        <v>#VALUE!</v>
      </c>
      <c r="CK156" t="e">
        <f>Nodes!B1274+"'E4!(&amp;)"</f>
        <v>#VALUE!</v>
      </c>
      <c r="CL156" t="e">
        <f>Nodes!C1274+"'E4!(&amp;."</f>
        <v>#VALUE!</v>
      </c>
      <c r="CM156" t="e">
        <f>Nodes!D1274+"'E4!(&amp;/"</f>
        <v>#VALUE!</v>
      </c>
      <c r="CN156" t="e">
        <f>Nodes!E1274+"'E4!(&amp;0"</f>
        <v>#VALUE!</v>
      </c>
      <c r="CO156" t="e">
        <f>Nodes!F1274+"'E4!(&amp;1"</f>
        <v>#VALUE!</v>
      </c>
      <c r="CP156" t="e">
        <f>Nodes!G1274+"'E4!(&amp;2"</f>
        <v>#VALUE!</v>
      </c>
      <c r="CQ156" t="e">
        <f>Nodes!H1274+"'E4!(&amp;3"</f>
        <v>#VALUE!</v>
      </c>
      <c r="CR156" t="e">
        <f>Nodes!I1274+"'E4!(&amp;4"</f>
        <v>#VALUE!</v>
      </c>
      <c r="CS156" t="e">
        <f>Nodes!J1274+"'E4!(&amp;5"</f>
        <v>#VALUE!</v>
      </c>
      <c r="CT156" t="e">
        <f>Nodes!K1274+"'E4!(&amp;6"</f>
        <v>#VALUE!</v>
      </c>
      <c r="CU156" t="e">
        <f>Nodes!L1274+"'E4!(&amp;7"</f>
        <v>#VALUE!</v>
      </c>
      <c r="CV156" t="e">
        <f>Nodes!M1274+"'E4!(&amp;8"</f>
        <v>#VALUE!</v>
      </c>
      <c r="CW156" t="e">
        <f>Nodes!N1274+"'E4!(&amp;9"</f>
        <v>#VALUE!</v>
      </c>
      <c r="CX156" t="e">
        <f>Nodes!O1274+"'E4!(&amp;:"</f>
        <v>#VALUE!</v>
      </c>
      <c r="CY156" t="e">
        <f>Nodes!P1274+"'E4!(&amp;;"</f>
        <v>#VALUE!</v>
      </c>
      <c r="CZ156" t="e">
        <f>Nodes!Q1274+"'E4!(&amp;&lt;"</f>
        <v>#VALUE!</v>
      </c>
      <c r="DA156" t="e">
        <f>Nodes!R1274+"'E4!(&amp;="</f>
        <v>#VALUE!</v>
      </c>
      <c r="DB156" s="547" t="e">
        <f>Nodes!S1274+"'E4!(&amp;&gt;"</f>
        <v>#VALUE!</v>
      </c>
      <c r="DC156" s="547" t="e">
        <f>Nodes!T1274+"'E4!(&amp;?"</f>
        <v>#VALUE!</v>
      </c>
      <c r="DD156" s="548" t="e">
        <f>Nodes!U1274+"'E4!(&amp;@"</f>
        <v>#VALUE!</v>
      </c>
      <c r="DE156" s="548" t="e">
        <f>Nodes!V1274+"'E4!(&amp;A"</f>
        <v>#VALUE!</v>
      </c>
      <c r="DF156" s="547" t="e">
        <f>Nodes!W1274+"'E4!(&amp;B"</f>
        <v>#VALUE!</v>
      </c>
      <c r="DG156" t="e">
        <f>Nodes!X1274+"'E4!(&amp;C"</f>
        <v>#VALUE!</v>
      </c>
      <c r="DH156" t="e">
        <f>Nodes!Y1274+"'E4!(&amp;D"</f>
        <v>#VALUE!</v>
      </c>
      <c r="DI156" t="e">
        <f>Nodes!Z1274+"'E4!(&amp;E"</f>
        <v>#VALUE!</v>
      </c>
      <c r="DJ156" t="e">
        <f>Nodes!AA1274+"'E4!(&amp;F"</f>
        <v>#VALUE!</v>
      </c>
      <c r="DK156" s="547" t="e">
        <f>Nodes!AB1274+"'E4!(&amp;G"</f>
        <v>#VALUE!</v>
      </c>
      <c r="DL156" s="547" t="e">
        <f>Nodes!AC1274+"'E4!(&amp;H"</f>
        <v>#VALUE!</v>
      </c>
      <c r="DM156" t="e">
        <f>Nodes!A1275+"'E4!(&amp;I"</f>
        <v>#VALUE!</v>
      </c>
      <c r="DN156" t="e">
        <f>Nodes!B1275+"'E4!(&amp;J"</f>
        <v>#VALUE!</v>
      </c>
      <c r="DO156" t="e">
        <f>Nodes!C1275+"'E4!(&amp;K"</f>
        <v>#VALUE!</v>
      </c>
      <c r="DP156" t="e">
        <f>Nodes!D1275+"'E4!(&amp;L"</f>
        <v>#VALUE!</v>
      </c>
      <c r="DQ156" t="e">
        <f>Nodes!E1275+"'E4!(&amp;M"</f>
        <v>#VALUE!</v>
      </c>
      <c r="DR156" t="e">
        <f>Nodes!F1275+"'E4!(&amp;N"</f>
        <v>#VALUE!</v>
      </c>
      <c r="DS156" t="e">
        <f>Nodes!G1275+"'E4!(&amp;O"</f>
        <v>#VALUE!</v>
      </c>
      <c r="DT156" t="e">
        <f>Nodes!H1275+"'E4!(&amp;P"</f>
        <v>#VALUE!</v>
      </c>
      <c r="DU156" t="e">
        <f>Nodes!I1275+"'E4!(&amp;Q"</f>
        <v>#VALUE!</v>
      </c>
      <c r="DV156" t="e">
        <f>Nodes!J1275+"'E4!(&amp;R"</f>
        <v>#VALUE!</v>
      </c>
      <c r="DW156" t="e">
        <f>Nodes!K1275+"'E4!(&amp;S"</f>
        <v>#VALUE!</v>
      </c>
      <c r="DX156" t="e">
        <f>Nodes!L1275+"'E4!(&amp;T"</f>
        <v>#VALUE!</v>
      </c>
      <c r="DY156" t="e">
        <f>Nodes!M1275+"'E4!(&amp;U"</f>
        <v>#VALUE!</v>
      </c>
      <c r="DZ156" t="e">
        <f>Nodes!N1275+"'E4!(&amp;V"</f>
        <v>#VALUE!</v>
      </c>
      <c r="EA156" t="e">
        <f>Nodes!O1275+"'E4!(&amp;W"</f>
        <v>#VALUE!</v>
      </c>
      <c r="EB156" t="e">
        <f>Nodes!P1275+"'E4!(&amp;X"</f>
        <v>#VALUE!</v>
      </c>
      <c r="EC156" t="e">
        <f>Nodes!Q1275+"'E4!(&amp;Y"</f>
        <v>#VALUE!</v>
      </c>
      <c r="ED156" t="e">
        <f>Nodes!R1275+"'E4!(&amp;Z"</f>
        <v>#VALUE!</v>
      </c>
      <c r="EE156" s="547" t="e">
        <f>Nodes!S1275+"'E4!(&amp;["</f>
        <v>#VALUE!</v>
      </c>
      <c r="EF156" s="547" t="e">
        <f>Nodes!T1275+"'E4!(&amp;\"</f>
        <v>#VALUE!</v>
      </c>
      <c r="EG156" s="548" t="e">
        <f>Nodes!U1275+"'E4!(&amp;]"</f>
        <v>#VALUE!</v>
      </c>
      <c r="EH156" s="548" t="e">
        <f>Nodes!V1275+"'E4!(&amp;^"</f>
        <v>#VALUE!</v>
      </c>
      <c r="EI156" s="547" t="e">
        <f>Nodes!W1275+"'E4!(&amp;_"</f>
        <v>#VALUE!</v>
      </c>
      <c r="EJ156" t="e">
        <f>Nodes!X1275+"'E4!(&amp;`"</f>
        <v>#VALUE!</v>
      </c>
      <c r="EK156" t="e">
        <f>Nodes!Y1275+"'E4!(&amp;a"</f>
        <v>#VALUE!</v>
      </c>
      <c r="EL156" t="e">
        <f>Nodes!Z1275+"'E4!(&amp;b"</f>
        <v>#VALUE!</v>
      </c>
      <c r="EM156" t="e">
        <f>Nodes!AA1275+"'E4!(&amp;c"</f>
        <v>#VALUE!</v>
      </c>
      <c r="EN156" s="547" t="e">
        <f>Nodes!AB1275+"'E4!(&amp;d"</f>
        <v>#VALUE!</v>
      </c>
      <c r="EO156" s="547" t="e">
        <f>Nodes!AC1275+"'E4!(&amp;e"</f>
        <v>#VALUE!</v>
      </c>
      <c r="EP156" t="e">
        <f>Nodes!A1276+"'E4!(&amp;f"</f>
        <v>#VALUE!</v>
      </c>
      <c r="EQ156" t="e">
        <f>Nodes!B1276+"'E4!(&amp;g"</f>
        <v>#VALUE!</v>
      </c>
      <c r="ER156" t="e">
        <f>Nodes!C1276+"'E4!(&amp;h"</f>
        <v>#VALUE!</v>
      </c>
      <c r="ES156" t="e">
        <f>Nodes!D1276+"'E4!(&amp;i"</f>
        <v>#VALUE!</v>
      </c>
      <c r="ET156" t="e">
        <f>Nodes!E1276+"'E4!(&amp;j"</f>
        <v>#VALUE!</v>
      </c>
      <c r="EU156" t="e">
        <f>Nodes!F1276+"'E4!(&amp;k"</f>
        <v>#VALUE!</v>
      </c>
      <c r="EV156" t="e">
        <f>Nodes!G1276+"'E4!(&amp;l"</f>
        <v>#VALUE!</v>
      </c>
      <c r="EW156" t="e">
        <f>Nodes!H1276+"'E4!(&amp;m"</f>
        <v>#VALUE!</v>
      </c>
      <c r="EX156" t="e">
        <f>Nodes!I1276+"'E4!(&amp;n"</f>
        <v>#VALUE!</v>
      </c>
      <c r="EY156" t="e">
        <f>Nodes!J1276+"'E4!(&amp;o"</f>
        <v>#VALUE!</v>
      </c>
      <c r="EZ156" t="e">
        <f>Nodes!K1276+"'E4!(&amp;p"</f>
        <v>#VALUE!</v>
      </c>
      <c r="FA156" t="e">
        <f>Nodes!L1276+"'E4!(&amp;q"</f>
        <v>#VALUE!</v>
      </c>
      <c r="FB156" t="e">
        <f>Nodes!M1276+"'E4!(&amp;r"</f>
        <v>#VALUE!</v>
      </c>
      <c r="FC156" t="e">
        <f>Nodes!N1276+"'E4!(&amp;s"</f>
        <v>#VALUE!</v>
      </c>
      <c r="FD156" t="e">
        <f>Nodes!O1276+"'E4!(&amp;t"</f>
        <v>#VALUE!</v>
      </c>
      <c r="FE156" t="e">
        <f>Nodes!P1276+"'E4!(&amp;u"</f>
        <v>#VALUE!</v>
      </c>
      <c r="FF156" t="e">
        <f>Nodes!Q1276+"'E4!(&amp;v"</f>
        <v>#VALUE!</v>
      </c>
      <c r="FG156" t="e">
        <f>Nodes!R1276+"'E4!(&amp;w"</f>
        <v>#VALUE!</v>
      </c>
      <c r="FH156" s="547" t="e">
        <f>Nodes!S1276+"'E4!(&amp;x"</f>
        <v>#VALUE!</v>
      </c>
      <c r="FI156" s="547" t="e">
        <f>Nodes!T1276+"'E4!(&amp;y"</f>
        <v>#VALUE!</v>
      </c>
      <c r="FJ156" s="548" t="e">
        <f>Nodes!U1276+"'E4!(&amp;z"</f>
        <v>#VALUE!</v>
      </c>
      <c r="FK156" s="548" t="e">
        <f>Nodes!V1276+"'E4!(&amp;{"</f>
        <v>#VALUE!</v>
      </c>
      <c r="FL156" s="547" t="e">
        <f>Nodes!W1276+"'E4!(&amp;|"</f>
        <v>#VALUE!</v>
      </c>
      <c r="FM156" t="e">
        <f>Nodes!X1276+"'E4!(&amp;}"</f>
        <v>#VALUE!</v>
      </c>
      <c r="FN156" t="e">
        <f>Nodes!Y1276+"'E4!(&amp;~"</f>
        <v>#VALUE!</v>
      </c>
      <c r="FO156" t="e">
        <f>Nodes!Z1276+"'E4!('#"</f>
        <v>#VALUE!</v>
      </c>
      <c r="FP156" t="e">
        <f>Nodes!AA1276+"'E4!('$"</f>
        <v>#VALUE!</v>
      </c>
      <c r="FQ156" s="547" t="e">
        <f>Nodes!AB1276+"'E4!('%"</f>
        <v>#VALUE!</v>
      </c>
      <c r="FR156" s="547" t="e">
        <f>Nodes!AC1276+"'E4!('&amp;"</f>
        <v>#VALUE!</v>
      </c>
      <c r="FS156" t="e">
        <f>Nodes!A1277+"'E4!(''"</f>
        <v>#VALUE!</v>
      </c>
      <c r="FT156" t="e">
        <f>Nodes!B1277+"'E4!('("</f>
        <v>#VALUE!</v>
      </c>
      <c r="FU156" t="e">
        <f>Nodes!C1277+"'E4!(')"</f>
        <v>#VALUE!</v>
      </c>
      <c r="FV156" t="e">
        <f>Nodes!D1277+"'E4!('."</f>
        <v>#VALUE!</v>
      </c>
      <c r="FW156" t="e">
        <f>Nodes!E1277+"'E4!('/"</f>
        <v>#VALUE!</v>
      </c>
      <c r="FX156" t="e">
        <f>Nodes!F1277+"'E4!('0"</f>
        <v>#VALUE!</v>
      </c>
      <c r="FY156" t="e">
        <f>Nodes!G1277+"'E4!('1"</f>
        <v>#VALUE!</v>
      </c>
      <c r="FZ156" t="e">
        <f>Nodes!H1277+"'E4!('2"</f>
        <v>#VALUE!</v>
      </c>
      <c r="GA156" t="e">
        <f>Nodes!I1277+"'E4!('3"</f>
        <v>#VALUE!</v>
      </c>
      <c r="GB156" t="e">
        <f>Nodes!J1277+"'E4!('4"</f>
        <v>#VALUE!</v>
      </c>
      <c r="GC156" t="e">
        <f>Nodes!K1277+"'E4!('5"</f>
        <v>#VALUE!</v>
      </c>
      <c r="GD156" t="e">
        <f>Nodes!L1277+"'E4!('6"</f>
        <v>#VALUE!</v>
      </c>
      <c r="GE156" t="e">
        <f>Nodes!M1277+"'E4!('7"</f>
        <v>#VALUE!</v>
      </c>
      <c r="GF156" t="e">
        <f>Nodes!N1277+"'E4!('8"</f>
        <v>#VALUE!</v>
      </c>
      <c r="GG156" t="e">
        <f>Nodes!O1277+"'E4!('9"</f>
        <v>#VALUE!</v>
      </c>
      <c r="GH156" t="e">
        <f>Nodes!P1277+"'E4!(':"</f>
        <v>#VALUE!</v>
      </c>
      <c r="GI156" t="e">
        <f>Nodes!Q1277+"'E4!(';"</f>
        <v>#VALUE!</v>
      </c>
      <c r="GJ156" t="e">
        <f>Nodes!R1277+"'E4!('&lt;"</f>
        <v>#VALUE!</v>
      </c>
      <c r="GK156" s="547" t="e">
        <f>Nodes!S1277+"'E4!('="</f>
        <v>#VALUE!</v>
      </c>
      <c r="GL156" s="547" t="e">
        <f>Nodes!T1277+"'E4!('&gt;"</f>
        <v>#VALUE!</v>
      </c>
      <c r="GM156" s="548" t="e">
        <f>Nodes!U1277+"'E4!('?"</f>
        <v>#VALUE!</v>
      </c>
      <c r="GN156" s="548" t="e">
        <f>Nodes!V1277+"'E4!('@"</f>
        <v>#VALUE!</v>
      </c>
      <c r="GO156" s="547" t="e">
        <f>Nodes!W1277+"'E4!('A"</f>
        <v>#VALUE!</v>
      </c>
      <c r="GP156" t="e">
        <f>Nodes!X1277+"'E4!('B"</f>
        <v>#VALUE!</v>
      </c>
      <c r="GQ156" t="e">
        <f>Nodes!Y1277+"'E4!('C"</f>
        <v>#VALUE!</v>
      </c>
      <c r="GR156" t="e">
        <f>Nodes!Z1277+"'E4!('D"</f>
        <v>#VALUE!</v>
      </c>
      <c r="GS156" t="e">
        <f>Nodes!AA1277+"'E4!('E"</f>
        <v>#VALUE!</v>
      </c>
      <c r="GT156" s="547" t="e">
        <f>Nodes!AB1277+"'E4!('F"</f>
        <v>#VALUE!</v>
      </c>
      <c r="GU156" s="547" t="e">
        <f>Nodes!AC1277+"'E4!('G"</f>
        <v>#VALUE!</v>
      </c>
      <c r="GV156" t="e">
        <f>Nodes!A1278+"'E4!('H"</f>
        <v>#VALUE!</v>
      </c>
      <c r="GW156" t="e">
        <f>Nodes!B1278+"'E4!('I"</f>
        <v>#VALUE!</v>
      </c>
      <c r="GX156" t="e">
        <f>Nodes!C1278+"'E4!('J"</f>
        <v>#VALUE!</v>
      </c>
      <c r="GY156" t="e">
        <f>Nodes!D1278+"'E4!('K"</f>
        <v>#VALUE!</v>
      </c>
      <c r="GZ156" t="e">
        <f>Nodes!E1278+"'E4!('L"</f>
        <v>#VALUE!</v>
      </c>
      <c r="HA156" t="e">
        <f>Nodes!F1278+"'E4!('M"</f>
        <v>#VALUE!</v>
      </c>
      <c r="HB156" t="e">
        <f>Nodes!G1278+"'E4!('N"</f>
        <v>#VALUE!</v>
      </c>
      <c r="HC156" t="e">
        <f>Nodes!H1278+"'E4!('O"</f>
        <v>#VALUE!</v>
      </c>
      <c r="HD156" t="e">
        <f>Nodes!I1278+"'E4!('P"</f>
        <v>#VALUE!</v>
      </c>
      <c r="HE156" t="e">
        <f>Nodes!J1278+"'E4!('Q"</f>
        <v>#VALUE!</v>
      </c>
      <c r="HF156" t="e">
        <f>Nodes!K1278+"'E4!('R"</f>
        <v>#VALUE!</v>
      </c>
      <c r="HG156" t="e">
        <f>Nodes!L1278+"'E4!('S"</f>
        <v>#VALUE!</v>
      </c>
      <c r="HH156" t="e">
        <f>Nodes!M1278+"'E4!('T"</f>
        <v>#VALUE!</v>
      </c>
      <c r="HI156" t="e">
        <f>Nodes!N1278+"'E4!('U"</f>
        <v>#VALUE!</v>
      </c>
      <c r="HJ156" t="e">
        <f>Nodes!O1278+"'E4!('V"</f>
        <v>#VALUE!</v>
      </c>
      <c r="HK156" t="e">
        <f>Nodes!P1278+"'E4!('W"</f>
        <v>#VALUE!</v>
      </c>
      <c r="HL156" t="e">
        <f>Nodes!Q1278+"'E4!('X"</f>
        <v>#VALUE!</v>
      </c>
      <c r="HM156" t="e">
        <f>Nodes!R1278+"'E4!('Y"</f>
        <v>#VALUE!</v>
      </c>
      <c r="HN156" s="547" t="e">
        <f>Nodes!S1278+"'E4!('Z"</f>
        <v>#VALUE!</v>
      </c>
      <c r="HO156" s="547" t="e">
        <f>Nodes!T1278+"'E4!('["</f>
        <v>#VALUE!</v>
      </c>
      <c r="HP156" s="548" t="e">
        <f>Nodes!U1278+"'E4!('\"</f>
        <v>#VALUE!</v>
      </c>
      <c r="HQ156" s="548" t="e">
        <f>Nodes!V1278+"'E4!(']"</f>
        <v>#VALUE!</v>
      </c>
      <c r="HR156" s="547" t="e">
        <f>Nodes!W1278+"'E4!('^"</f>
        <v>#VALUE!</v>
      </c>
      <c r="HS156" t="e">
        <f>Nodes!X1278+"'E4!('_"</f>
        <v>#VALUE!</v>
      </c>
      <c r="HT156" t="e">
        <f>Nodes!Y1278+"'E4!('`"</f>
        <v>#VALUE!</v>
      </c>
      <c r="HU156" t="e">
        <f>Nodes!Z1278+"'E4!('a"</f>
        <v>#VALUE!</v>
      </c>
      <c r="HV156" t="e">
        <f>Nodes!AA1278+"'E4!('b"</f>
        <v>#VALUE!</v>
      </c>
      <c r="HW156" s="547" t="e">
        <f>Nodes!AB1278+"'E4!('c"</f>
        <v>#VALUE!</v>
      </c>
      <c r="HX156" s="547" t="e">
        <f>Nodes!AC1278+"'E4!('d"</f>
        <v>#VALUE!</v>
      </c>
      <c r="HY156" t="e">
        <f>Nodes!A1279+"'E4!('e"</f>
        <v>#VALUE!</v>
      </c>
      <c r="HZ156" t="e">
        <f>Nodes!B1279+"'E4!('f"</f>
        <v>#VALUE!</v>
      </c>
      <c r="IA156" t="e">
        <f>Nodes!C1279+"'E4!('g"</f>
        <v>#VALUE!</v>
      </c>
      <c r="IB156" t="e">
        <f>Nodes!D1279+"'E4!('h"</f>
        <v>#VALUE!</v>
      </c>
      <c r="IC156" t="e">
        <f>Nodes!E1279+"'E4!('i"</f>
        <v>#VALUE!</v>
      </c>
      <c r="ID156" t="e">
        <f>Nodes!F1279+"'E4!('j"</f>
        <v>#VALUE!</v>
      </c>
      <c r="IE156" t="e">
        <f>Nodes!G1279+"'E4!('k"</f>
        <v>#VALUE!</v>
      </c>
      <c r="IF156" t="e">
        <f>Nodes!H1279+"'E4!('l"</f>
        <v>#VALUE!</v>
      </c>
      <c r="IG156" t="e">
        <f>Nodes!I1279+"'E4!('m"</f>
        <v>#VALUE!</v>
      </c>
      <c r="IH156" t="e">
        <f>Nodes!J1279+"'E4!('n"</f>
        <v>#VALUE!</v>
      </c>
      <c r="II156" t="e">
        <f>Nodes!K1279+"'E4!('o"</f>
        <v>#VALUE!</v>
      </c>
      <c r="IJ156" t="e">
        <f>Nodes!L1279+"'E4!('p"</f>
        <v>#VALUE!</v>
      </c>
      <c r="IK156" t="e">
        <f>Nodes!M1279+"'E4!('q"</f>
        <v>#VALUE!</v>
      </c>
      <c r="IL156" t="e">
        <f>Nodes!N1279+"'E4!('r"</f>
        <v>#VALUE!</v>
      </c>
      <c r="IM156" t="e">
        <f>Nodes!O1279+"'E4!('s"</f>
        <v>#VALUE!</v>
      </c>
      <c r="IN156" t="e">
        <f>Nodes!P1279+"'E4!('t"</f>
        <v>#VALUE!</v>
      </c>
      <c r="IO156" t="e">
        <f>Nodes!Q1279+"'E4!('u"</f>
        <v>#VALUE!</v>
      </c>
      <c r="IP156" t="e">
        <f>Nodes!R1279+"'E4!('v"</f>
        <v>#VALUE!</v>
      </c>
      <c r="IQ156" s="547" t="e">
        <f>Nodes!S1279+"'E4!('w"</f>
        <v>#VALUE!</v>
      </c>
      <c r="IR156" s="547" t="e">
        <f>Nodes!T1279+"'E4!('x"</f>
        <v>#VALUE!</v>
      </c>
      <c r="IS156" s="548" t="e">
        <f>Nodes!U1279+"'E4!('y"</f>
        <v>#VALUE!</v>
      </c>
      <c r="IT156" s="548" t="e">
        <f>Nodes!V1279+"'E4!('z"</f>
        <v>#VALUE!</v>
      </c>
      <c r="IU156" s="547" t="e">
        <f>Nodes!W1279+"'E4!('{"</f>
        <v>#VALUE!</v>
      </c>
      <c r="IV156" t="e">
        <f>Nodes!X1279+"'E4!('|"</f>
        <v>#VALUE!</v>
      </c>
    </row>
    <row r="157" spans="6:256">
      <c r="F157" t="e">
        <f>Nodes!Y1279+"'E4!('}"</f>
        <v>#VALUE!</v>
      </c>
      <c r="G157" t="e">
        <f>Nodes!Z1279+"'E4!('~"</f>
        <v>#VALUE!</v>
      </c>
      <c r="H157" t="e">
        <f>Nodes!AA1279+"'E4!((#"</f>
        <v>#VALUE!</v>
      </c>
      <c r="I157" s="547" t="e">
        <f>Nodes!AB1279+"'E4!(($"</f>
        <v>#VALUE!</v>
      </c>
      <c r="J157" s="547" t="e">
        <f>Nodes!AC1279+"'E4!((%"</f>
        <v>#VALUE!</v>
      </c>
      <c r="K157" t="e">
        <f>Nodes!A1280+"'E4!((&amp;"</f>
        <v>#VALUE!</v>
      </c>
      <c r="L157" t="e">
        <f>Nodes!B1280+"'E4!(('"</f>
        <v>#VALUE!</v>
      </c>
      <c r="M157" t="e">
        <f>Nodes!C1280+"'E4!((("</f>
        <v>#VALUE!</v>
      </c>
      <c r="N157" t="e">
        <f>Nodes!D1280+"'E4!(()"</f>
        <v>#VALUE!</v>
      </c>
      <c r="O157" t="e">
        <f>Nodes!E1280+"'E4!((."</f>
        <v>#VALUE!</v>
      </c>
      <c r="P157" t="e">
        <f>Nodes!F1280+"'E4!((/"</f>
        <v>#VALUE!</v>
      </c>
      <c r="Q157" t="e">
        <f>Nodes!G1280+"'E4!((0"</f>
        <v>#VALUE!</v>
      </c>
      <c r="R157" t="e">
        <f>Nodes!H1280+"'E4!((1"</f>
        <v>#VALUE!</v>
      </c>
      <c r="S157" t="e">
        <f>Nodes!I1280+"'E4!((2"</f>
        <v>#VALUE!</v>
      </c>
      <c r="T157" t="e">
        <f>Nodes!J1280+"'E4!((3"</f>
        <v>#VALUE!</v>
      </c>
      <c r="U157" t="e">
        <f>Nodes!K1280+"'E4!((4"</f>
        <v>#VALUE!</v>
      </c>
      <c r="V157" t="e">
        <f>Nodes!L1280+"'E4!((5"</f>
        <v>#VALUE!</v>
      </c>
      <c r="W157" t="e">
        <f>Nodes!M1280+"'E4!((6"</f>
        <v>#VALUE!</v>
      </c>
      <c r="X157" t="e">
        <f>Nodes!N1280+"'E4!((7"</f>
        <v>#VALUE!</v>
      </c>
      <c r="Y157" t="e">
        <f>Nodes!O1280+"'E4!((8"</f>
        <v>#VALUE!</v>
      </c>
      <c r="Z157" t="e">
        <f>Nodes!P1280+"'E4!((9"</f>
        <v>#VALUE!</v>
      </c>
      <c r="AA157" t="e">
        <f>Nodes!Q1280+"'E4!((:"</f>
        <v>#VALUE!</v>
      </c>
      <c r="AB157" t="e">
        <f>Nodes!R1280+"'E4!((;"</f>
        <v>#VALUE!</v>
      </c>
      <c r="AC157" s="547" t="e">
        <f>Nodes!S1280+"'E4!((&lt;"</f>
        <v>#VALUE!</v>
      </c>
      <c r="AD157" s="547" t="e">
        <f>Nodes!T1280+"'E4!((="</f>
        <v>#VALUE!</v>
      </c>
      <c r="AE157" s="548" t="e">
        <f>Nodes!U1280+"'E4!((&gt;"</f>
        <v>#VALUE!</v>
      </c>
      <c r="AF157" s="548" t="e">
        <f>Nodes!V1280+"'E4!((?"</f>
        <v>#VALUE!</v>
      </c>
      <c r="AG157" s="547" t="e">
        <f>Nodes!W1280+"'E4!((@"</f>
        <v>#VALUE!</v>
      </c>
      <c r="AH157" t="e">
        <f>Nodes!X1280+"'E4!((A"</f>
        <v>#VALUE!</v>
      </c>
      <c r="AI157" t="e">
        <f>Nodes!Y1280+"'E4!((B"</f>
        <v>#VALUE!</v>
      </c>
      <c r="AJ157" t="e">
        <f>Nodes!Z1280+"'E4!((C"</f>
        <v>#VALUE!</v>
      </c>
      <c r="AK157" t="e">
        <f>Nodes!AA1280+"'E4!((D"</f>
        <v>#VALUE!</v>
      </c>
      <c r="AL157" s="547" t="e">
        <f>Nodes!AB1280+"'E4!((E"</f>
        <v>#VALUE!</v>
      </c>
      <c r="AM157" s="547" t="e">
        <f>Nodes!AC1280+"'E4!((F"</f>
        <v>#VALUE!</v>
      </c>
      <c r="AN157" t="e">
        <f>Nodes!A1281+"'E4!((G"</f>
        <v>#VALUE!</v>
      </c>
      <c r="AO157" t="e">
        <f>Nodes!B1281+"'E4!((H"</f>
        <v>#VALUE!</v>
      </c>
      <c r="AP157" t="e">
        <f>Nodes!C1281+"'E4!((I"</f>
        <v>#VALUE!</v>
      </c>
      <c r="AQ157" t="e">
        <f>Nodes!D1281+"'E4!((J"</f>
        <v>#VALUE!</v>
      </c>
      <c r="AR157" t="e">
        <f>Nodes!E1281+"'E4!((K"</f>
        <v>#VALUE!</v>
      </c>
      <c r="AS157" t="e">
        <f>Nodes!F1281+"'E4!((L"</f>
        <v>#VALUE!</v>
      </c>
      <c r="AT157" t="e">
        <f>Nodes!G1281+"'E4!((M"</f>
        <v>#VALUE!</v>
      </c>
      <c r="AU157" t="e">
        <f>Nodes!H1281+"'E4!((N"</f>
        <v>#VALUE!</v>
      </c>
      <c r="AV157" t="e">
        <f>Nodes!I1281+"'E4!((O"</f>
        <v>#VALUE!</v>
      </c>
      <c r="AW157" t="e">
        <f>Nodes!J1281+"'E4!((P"</f>
        <v>#VALUE!</v>
      </c>
      <c r="AX157" t="e">
        <f>Nodes!K1281+"'E4!((Q"</f>
        <v>#VALUE!</v>
      </c>
      <c r="AY157" t="e">
        <f>Nodes!L1281+"'E4!((R"</f>
        <v>#VALUE!</v>
      </c>
      <c r="AZ157" t="e">
        <f>Nodes!M1281+"'E4!((S"</f>
        <v>#VALUE!</v>
      </c>
      <c r="BA157" t="e">
        <f>Nodes!N1281+"'E4!((T"</f>
        <v>#VALUE!</v>
      </c>
      <c r="BB157" t="e">
        <f>Nodes!O1281+"'E4!((U"</f>
        <v>#VALUE!</v>
      </c>
      <c r="BC157" t="e">
        <f>Nodes!P1281+"'E4!((V"</f>
        <v>#VALUE!</v>
      </c>
      <c r="BD157" t="e">
        <f>Nodes!Q1281+"'E4!((W"</f>
        <v>#VALUE!</v>
      </c>
      <c r="BE157" t="e">
        <f>Nodes!R1281+"'E4!((X"</f>
        <v>#VALUE!</v>
      </c>
      <c r="BF157" s="547" t="e">
        <f>Nodes!S1281+"'E4!((Y"</f>
        <v>#VALUE!</v>
      </c>
      <c r="BG157" s="547" t="e">
        <f>Nodes!T1281+"'E4!((Z"</f>
        <v>#VALUE!</v>
      </c>
      <c r="BH157" s="548" t="e">
        <f>Nodes!U1281+"'E4!((["</f>
        <v>#VALUE!</v>
      </c>
      <c r="BI157" s="548" t="e">
        <f>Nodes!V1281+"'E4!((\"</f>
        <v>#VALUE!</v>
      </c>
      <c r="BJ157" s="547" t="e">
        <f>Nodes!W1281+"'E4!((]"</f>
        <v>#VALUE!</v>
      </c>
      <c r="BK157" t="e">
        <f>Nodes!X1281+"'E4!((^"</f>
        <v>#VALUE!</v>
      </c>
      <c r="BL157" t="e">
        <f>Nodes!Y1281+"'E4!((_"</f>
        <v>#VALUE!</v>
      </c>
      <c r="BM157" t="e">
        <f>Nodes!Z1281+"'E4!((`"</f>
        <v>#VALUE!</v>
      </c>
      <c r="BN157" t="e">
        <f>Nodes!AA1281+"'E4!((a"</f>
        <v>#VALUE!</v>
      </c>
      <c r="BO157" s="547" t="e">
        <f>Nodes!AB1281+"'E4!((b"</f>
        <v>#VALUE!</v>
      </c>
      <c r="BP157" s="547" t="e">
        <f>Nodes!AC1281+"'E4!((c"</f>
        <v>#VALUE!</v>
      </c>
      <c r="BQ157" t="e">
        <f>Nodes!A1282+"'E4!((d"</f>
        <v>#VALUE!</v>
      </c>
      <c r="BR157" t="e">
        <f>Nodes!B1282+"'E4!((e"</f>
        <v>#VALUE!</v>
      </c>
      <c r="BS157" t="e">
        <f>Nodes!C1282+"'E4!((f"</f>
        <v>#VALUE!</v>
      </c>
      <c r="BT157" t="e">
        <f>Nodes!D1282+"'E4!((g"</f>
        <v>#VALUE!</v>
      </c>
      <c r="BU157" t="e">
        <f>Nodes!E1282+"'E4!((h"</f>
        <v>#VALUE!</v>
      </c>
      <c r="BV157" t="e">
        <f>Nodes!F1282+"'E4!((i"</f>
        <v>#VALUE!</v>
      </c>
      <c r="BW157" t="e">
        <f>Nodes!G1282+"'E4!((j"</f>
        <v>#VALUE!</v>
      </c>
      <c r="BX157" t="e">
        <f>Nodes!H1282+"'E4!((k"</f>
        <v>#VALUE!</v>
      </c>
      <c r="BY157" t="e">
        <f>Nodes!I1282+"'E4!((l"</f>
        <v>#VALUE!</v>
      </c>
      <c r="BZ157" t="e">
        <f>Nodes!J1282+"'E4!((m"</f>
        <v>#VALUE!</v>
      </c>
      <c r="CA157" t="e">
        <f>Nodes!K1282+"'E4!((n"</f>
        <v>#VALUE!</v>
      </c>
      <c r="CB157" t="e">
        <f>Nodes!L1282+"'E4!((o"</f>
        <v>#VALUE!</v>
      </c>
      <c r="CC157" t="e">
        <f>Nodes!M1282+"'E4!((p"</f>
        <v>#VALUE!</v>
      </c>
      <c r="CD157" t="e">
        <f>Nodes!N1282+"'E4!((q"</f>
        <v>#VALUE!</v>
      </c>
      <c r="CE157" t="e">
        <f>Nodes!O1282+"'E4!((r"</f>
        <v>#VALUE!</v>
      </c>
      <c r="CF157" t="e">
        <f>Nodes!P1282+"'E4!((s"</f>
        <v>#VALUE!</v>
      </c>
      <c r="CG157" t="e">
        <f>Nodes!Q1282+"'E4!((t"</f>
        <v>#VALUE!</v>
      </c>
      <c r="CH157" t="e">
        <f>Nodes!R1282+"'E4!((u"</f>
        <v>#VALUE!</v>
      </c>
      <c r="CI157" s="547" t="e">
        <f>Nodes!S1282+"'E4!((v"</f>
        <v>#VALUE!</v>
      </c>
      <c r="CJ157" s="547" t="e">
        <f>Nodes!T1282+"'E4!((w"</f>
        <v>#VALUE!</v>
      </c>
      <c r="CK157" s="548" t="e">
        <f>Nodes!U1282+"'E4!((x"</f>
        <v>#VALUE!</v>
      </c>
      <c r="CL157" s="548" t="e">
        <f>Nodes!V1282+"'E4!((y"</f>
        <v>#VALUE!</v>
      </c>
      <c r="CM157" s="547" t="e">
        <f>Nodes!W1282+"'E4!((z"</f>
        <v>#VALUE!</v>
      </c>
      <c r="CN157" t="e">
        <f>Nodes!X1282+"'E4!(({"</f>
        <v>#VALUE!</v>
      </c>
      <c r="CO157" t="e">
        <f>Nodes!Y1282+"'E4!((|"</f>
        <v>#VALUE!</v>
      </c>
      <c r="CP157" t="e">
        <f>Nodes!Z1282+"'E4!((}"</f>
        <v>#VALUE!</v>
      </c>
      <c r="CQ157" t="e">
        <f>Nodes!AA1282+"'E4!((~"</f>
        <v>#VALUE!</v>
      </c>
      <c r="CR157" s="547" t="e">
        <f>Nodes!AB1282+"'E4!()#"</f>
        <v>#VALUE!</v>
      </c>
      <c r="CS157" s="547" t="e">
        <f>Nodes!AC1282+"'E4!()$"</f>
        <v>#VALUE!</v>
      </c>
      <c r="CT157" t="e">
        <f>Nodes!A1283+"'E4!()%"</f>
        <v>#VALUE!</v>
      </c>
      <c r="CU157" t="e">
        <f>Nodes!B1283+"'E4!()&amp;"</f>
        <v>#VALUE!</v>
      </c>
      <c r="CV157" t="e">
        <f>Nodes!C1283+"'E4!()'"</f>
        <v>#VALUE!</v>
      </c>
      <c r="CW157" t="e">
        <f>Nodes!D1283+"'E4!()("</f>
        <v>#VALUE!</v>
      </c>
      <c r="CX157" t="e">
        <f>Nodes!E1283+"'E4!())"</f>
        <v>#VALUE!</v>
      </c>
      <c r="CY157" t="e">
        <f>Nodes!F1283+"'E4!()."</f>
        <v>#VALUE!</v>
      </c>
      <c r="CZ157" t="e">
        <f>Nodes!G1283+"'E4!()/"</f>
        <v>#VALUE!</v>
      </c>
      <c r="DA157" t="e">
        <f>Nodes!H1283+"'E4!()0"</f>
        <v>#VALUE!</v>
      </c>
      <c r="DB157" t="e">
        <f>Nodes!I1283+"'E4!()1"</f>
        <v>#VALUE!</v>
      </c>
      <c r="DC157" t="e">
        <f>Nodes!J1283+"'E4!()2"</f>
        <v>#VALUE!</v>
      </c>
      <c r="DD157" t="e">
        <f>Nodes!K1283+"'E4!()3"</f>
        <v>#VALUE!</v>
      </c>
      <c r="DE157" t="e">
        <f>Nodes!L1283+"'E4!()4"</f>
        <v>#VALUE!</v>
      </c>
      <c r="DF157" t="e">
        <f>Nodes!M1283+"'E4!()5"</f>
        <v>#VALUE!</v>
      </c>
      <c r="DG157" t="e">
        <f>Nodes!N1283+"'E4!()6"</f>
        <v>#VALUE!</v>
      </c>
      <c r="DH157" t="e">
        <f>Nodes!O1283+"'E4!()7"</f>
        <v>#VALUE!</v>
      </c>
      <c r="DI157" t="e">
        <f>Nodes!P1283+"'E4!()8"</f>
        <v>#VALUE!</v>
      </c>
      <c r="DJ157" t="e">
        <f>Nodes!Q1283+"'E4!()9"</f>
        <v>#VALUE!</v>
      </c>
      <c r="DK157" t="e">
        <f>Nodes!R1283+"'E4!():"</f>
        <v>#VALUE!</v>
      </c>
      <c r="DL157" s="547" t="e">
        <f>Nodes!S1283+"'E4!();"</f>
        <v>#VALUE!</v>
      </c>
      <c r="DM157" s="547" t="e">
        <f>Nodes!T1283+"'E4!()&lt;"</f>
        <v>#VALUE!</v>
      </c>
      <c r="DN157" s="548" t="e">
        <f>Nodes!U1283+"'E4!()="</f>
        <v>#VALUE!</v>
      </c>
      <c r="DO157" s="548" t="e">
        <f>Nodes!V1283+"'E4!()&gt;"</f>
        <v>#VALUE!</v>
      </c>
      <c r="DP157" s="547" t="e">
        <f>Nodes!W1283+"'E4!()?"</f>
        <v>#VALUE!</v>
      </c>
      <c r="DQ157" t="e">
        <f>Nodes!X1283+"'E4!()@"</f>
        <v>#VALUE!</v>
      </c>
      <c r="DR157" t="e">
        <f>Nodes!Y1283+"'E4!()A"</f>
        <v>#VALUE!</v>
      </c>
      <c r="DS157" t="e">
        <f>Nodes!Z1283+"'E4!()B"</f>
        <v>#VALUE!</v>
      </c>
      <c r="DT157" t="e">
        <f>Nodes!AA1283+"'E4!()C"</f>
        <v>#VALUE!</v>
      </c>
      <c r="DU157" s="547" t="e">
        <f>Nodes!AB1283+"'E4!()D"</f>
        <v>#VALUE!</v>
      </c>
      <c r="DV157" s="547" t="e">
        <f>Nodes!AC1283+"'E4!()E"</f>
        <v>#VALUE!</v>
      </c>
      <c r="DW157" t="e">
        <f>Nodes!A1284+"'E4!()F"</f>
        <v>#VALUE!</v>
      </c>
      <c r="DX157" t="e">
        <f>Nodes!B1284+"'E4!()G"</f>
        <v>#VALUE!</v>
      </c>
      <c r="DY157" t="e">
        <f>Nodes!C1284+"'E4!()H"</f>
        <v>#VALUE!</v>
      </c>
      <c r="DZ157" t="e">
        <f>Nodes!D1284+"'E4!()I"</f>
        <v>#VALUE!</v>
      </c>
      <c r="EA157" t="e">
        <f>Nodes!E1284+"'E4!()J"</f>
        <v>#VALUE!</v>
      </c>
      <c r="EB157" t="e">
        <f>Nodes!F1284+"'E4!()K"</f>
        <v>#VALUE!</v>
      </c>
      <c r="EC157" t="e">
        <f>Nodes!G1284+"'E4!()L"</f>
        <v>#VALUE!</v>
      </c>
      <c r="ED157" t="e">
        <f>Nodes!H1284+"'E4!()M"</f>
        <v>#VALUE!</v>
      </c>
      <c r="EE157" t="e">
        <f>Nodes!I1284+"'E4!()N"</f>
        <v>#VALUE!</v>
      </c>
      <c r="EF157" t="e">
        <f>Nodes!J1284+"'E4!()O"</f>
        <v>#VALUE!</v>
      </c>
      <c r="EG157" t="e">
        <f>Nodes!K1284+"'E4!()P"</f>
        <v>#VALUE!</v>
      </c>
      <c r="EH157" t="e">
        <f>Nodes!L1284+"'E4!()Q"</f>
        <v>#VALUE!</v>
      </c>
      <c r="EI157" t="e">
        <f>Nodes!M1284+"'E4!()R"</f>
        <v>#VALUE!</v>
      </c>
      <c r="EJ157" t="e">
        <f>Nodes!N1284+"'E4!()S"</f>
        <v>#VALUE!</v>
      </c>
      <c r="EK157" t="e">
        <f>Nodes!O1284+"'E4!()T"</f>
        <v>#VALUE!</v>
      </c>
      <c r="EL157" t="e">
        <f>Nodes!P1284+"'E4!()U"</f>
        <v>#VALUE!</v>
      </c>
      <c r="EM157" t="e">
        <f>Nodes!Q1284+"'E4!()V"</f>
        <v>#VALUE!</v>
      </c>
      <c r="EN157" t="e">
        <f>Nodes!R1284+"'E4!()W"</f>
        <v>#VALUE!</v>
      </c>
      <c r="EO157" s="547" t="e">
        <f>Nodes!S1284+"'E4!()X"</f>
        <v>#VALUE!</v>
      </c>
      <c r="EP157" s="547" t="e">
        <f>Nodes!T1284+"'E4!()Y"</f>
        <v>#VALUE!</v>
      </c>
      <c r="EQ157" s="548" t="e">
        <f>Nodes!U1284+"'E4!()Z"</f>
        <v>#VALUE!</v>
      </c>
      <c r="ER157" s="548" t="e">
        <f>Nodes!V1284+"'E4!()["</f>
        <v>#VALUE!</v>
      </c>
      <c r="ES157" s="547" t="e">
        <f>Nodes!W1284+"'E4!()\"</f>
        <v>#VALUE!</v>
      </c>
      <c r="ET157" t="e">
        <f>Nodes!X1284+"'E4!()]"</f>
        <v>#VALUE!</v>
      </c>
      <c r="EU157" t="e">
        <f>Nodes!Y1284+"'E4!()^"</f>
        <v>#VALUE!</v>
      </c>
      <c r="EV157" t="e">
        <f>Nodes!Z1284+"'E4!()_"</f>
        <v>#VALUE!</v>
      </c>
      <c r="EW157" t="e">
        <f>Nodes!AA1284+"'E4!()`"</f>
        <v>#VALUE!</v>
      </c>
      <c r="EX157" s="547" t="e">
        <f>Nodes!AB1284+"'E4!()a"</f>
        <v>#VALUE!</v>
      </c>
      <c r="EY157" s="547" t="e">
        <f>Nodes!AC1284+"'E4!()b"</f>
        <v>#VALUE!</v>
      </c>
      <c r="EZ157" t="e">
        <f>Nodes!A1285+"'E4!()c"</f>
        <v>#VALUE!</v>
      </c>
      <c r="FA157" t="e">
        <f>Nodes!B1285+"'E4!()d"</f>
        <v>#VALUE!</v>
      </c>
      <c r="FB157" t="e">
        <f>Nodes!C1285+"'E4!()e"</f>
        <v>#VALUE!</v>
      </c>
      <c r="FC157" t="e">
        <f>Nodes!D1285+"'E4!()f"</f>
        <v>#VALUE!</v>
      </c>
      <c r="FD157" t="e">
        <f>Nodes!E1285+"'E4!()g"</f>
        <v>#VALUE!</v>
      </c>
      <c r="FE157" t="e">
        <f>Nodes!F1285+"'E4!()h"</f>
        <v>#VALUE!</v>
      </c>
      <c r="FF157" t="e">
        <f>Nodes!G1285+"'E4!()i"</f>
        <v>#VALUE!</v>
      </c>
      <c r="FG157" t="e">
        <f>Nodes!H1285+"'E4!()j"</f>
        <v>#VALUE!</v>
      </c>
      <c r="FH157" t="e">
        <f>Nodes!I1285+"'E4!()k"</f>
        <v>#VALUE!</v>
      </c>
      <c r="FI157" t="e">
        <f>Nodes!J1285+"'E4!()l"</f>
        <v>#VALUE!</v>
      </c>
      <c r="FJ157" t="e">
        <f>Nodes!K1285+"'E4!()m"</f>
        <v>#VALUE!</v>
      </c>
      <c r="FK157" t="e">
        <f>Nodes!L1285+"'E4!()n"</f>
        <v>#VALUE!</v>
      </c>
      <c r="FL157" t="e">
        <f>Nodes!M1285+"'E4!()o"</f>
        <v>#VALUE!</v>
      </c>
      <c r="FM157" t="e">
        <f>Nodes!N1285+"'E4!()p"</f>
        <v>#VALUE!</v>
      </c>
      <c r="FN157" t="e">
        <f>Nodes!O1285+"'E4!()q"</f>
        <v>#VALUE!</v>
      </c>
      <c r="FO157" t="e">
        <f>Nodes!P1285+"'E4!()r"</f>
        <v>#VALUE!</v>
      </c>
      <c r="FP157" t="e">
        <f>Nodes!Q1285+"'E4!()s"</f>
        <v>#VALUE!</v>
      </c>
      <c r="FQ157" t="e">
        <f>Nodes!R1285+"'E4!()t"</f>
        <v>#VALUE!</v>
      </c>
      <c r="FR157" s="547" t="e">
        <f>Nodes!S1285+"'E4!()u"</f>
        <v>#VALUE!</v>
      </c>
      <c r="FS157" s="547" t="e">
        <f>Nodes!T1285+"'E4!()v"</f>
        <v>#VALUE!</v>
      </c>
      <c r="FT157" s="548" t="e">
        <f>Nodes!U1285+"'E4!()w"</f>
        <v>#VALUE!</v>
      </c>
      <c r="FU157" s="548" t="e">
        <f>Nodes!V1285+"'E4!()x"</f>
        <v>#VALUE!</v>
      </c>
      <c r="FV157" s="547" t="e">
        <f>Nodes!W1285+"'E4!()y"</f>
        <v>#VALUE!</v>
      </c>
      <c r="FW157" t="e">
        <f>Nodes!X1285+"'E4!()z"</f>
        <v>#VALUE!</v>
      </c>
      <c r="FX157" t="e">
        <f>Nodes!Y1285+"'E4!(){"</f>
        <v>#VALUE!</v>
      </c>
      <c r="FY157" t="e">
        <f>Nodes!Z1285+"'E4!()|"</f>
        <v>#VALUE!</v>
      </c>
      <c r="FZ157" t="e">
        <f>Nodes!AA1285+"'E4!()}"</f>
        <v>#VALUE!</v>
      </c>
      <c r="GA157" s="547" t="e">
        <f>Nodes!AB1285+"'E4!()~"</f>
        <v>#VALUE!</v>
      </c>
      <c r="GB157" s="547" t="e">
        <f>Nodes!AC1285+"'E4!(.#"</f>
        <v>#VALUE!</v>
      </c>
      <c r="GC157" t="e">
        <f>Nodes!A1286+"'E4!(.$"</f>
        <v>#VALUE!</v>
      </c>
      <c r="GD157" t="e">
        <f>Nodes!B1286+"'E4!(.%"</f>
        <v>#VALUE!</v>
      </c>
      <c r="GE157" t="e">
        <f>Nodes!C1286+"'E4!(.&amp;"</f>
        <v>#VALUE!</v>
      </c>
      <c r="GF157" t="e">
        <f>Nodes!D1286+"'E4!(.'"</f>
        <v>#VALUE!</v>
      </c>
      <c r="GG157" t="e">
        <f>Nodes!E1286+"'E4!(.("</f>
        <v>#VALUE!</v>
      </c>
      <c r="GH157" t="e">
        <f>Nodes!F1286+"'E4!(.)"</f>
        <v>#VALUE!</v>
      </c>
      <c r="GI157" t="e">
        <f>Nodes!G1286+"'E4!(.."</f>
        <v>#VALUE!</v>
      </c>
      <c r="GJ157" t="e">
        <f>Nodes!H1286+"'E4!(./"</f>
        <v>#VALUE!</v>
      </c>
      <c r="GK157" t="e">
        <f>Nodes!I1286+"'E4!(.0"</f>
        <v>#VALUE!</v>
      </c>
      <c r="GL157" t="e">
        <f>Nodes!J1286+"'E4!(.1"</f>
        <v>#VALUE!</v>
      </c>
      <c r="GM157" t="e">
        <f>Nodes!K1286+"'E4!(.2"</f>
        <v>#VALUE!</v>
      </c>
      <c r="GN157" t="e">
        <f>Nodes!L1286+"'E4!(.3"</f>
        <v>#VALUE!</v>
      </c>
      <c r="GO157" t="e">
        <f>Nodes!M1286+"'E4!(.4"</f>
        <v>#VALUE!</v>
      </c>
      <c r="GP157" t="e">
        <f>Nodes!N1286+"'E4!(.5"</f>
        <v>#VALUE!</v>
      </c>
      <c r="GQ157" t="e">
        <f>Nodes!O1286+"'E4!(.6"</f>
        <v>#VALUE!</v>
      </c>
      <c r="GR157" t="e">
        <f>Nodes!P1286+"'E4!(.7"</f>
        <v>#VALUE!</v>
      </c>
      <c r="GS157" t="e">
        <f>Nodes!Q1286+"'E4!(.8"</f>
        <v>#VALUE!</v>
      </c>
      <c r="GT157" t="e">
        <f>Nodes!R1286+"'E4!(.9"</f>
        <v>#VALUE!</v>
      </c>
      <c r="GU157" s="547" t="e">
        <f>Nodes!S1286+"'E4!(.:"</f>
        <v>#VALUE!</v>
      </c>
      <c r="GV157" s="547" t="e">
        <f>Nodes!T1286+"'E4!(.;"</f>
        <v>#VALUE!</v>
      </c>
      <c r="GW157" s="548" t="e">
        <f>Nodes!U1286+"'E4!(.&lt;"</f>
        <v>#VALUE!</v>
      </c>
      <c r="GX157" s="548" t="e">
        <f>Nodes!V1286+"'E4!(.="</f>
        <v>#VALUE!</v>
      </c>
      <c r="GY157" s="547" t="e">
        <f>Nodes!W1286+"'E4!(.&gt;"</f>
        <v>#VALUE!</v>
      </c>
      <c r="GZ157" t="e">
        <f>Nodes!X1286+"'E4!(.?"</f>
        <v>#VALUE!</v>
      </c>
      <c r="HA157" t="e">
        <f>Nodes!Y1286+"'E4!(.@"</f>
        <v>#VALUE!</v>
      </c>
      <c r="HB157" t="e">
        <f>Nodes!Z1286+"'E4!(.A"</f>
        <v>#VALUE!</v>
      </c>
      <c r="HC157" t="e">
        <f>Nodes!AA1286+"'E4!(.B"</f>
        <v>#VALUE!</v>
      </c>
      <c r="HD157" s="547" t="e">
        <f>Nodes!AB1286+"'E4!(.C"</f>
        <v>#VALUE!</v>
      </c>
      <c r="HE157" s="547" t="e">
        <f>Nodes!AC1286+"'E4!(.D"</f>
        <v>#VALUE!</v>
      </c>
      <c r="HF157" t="e">
        <f>Nodes!A1287+"'E4!(.E"</f>
        <v>#VALUE!</v>
      </c>
      <c r="HG157" t="e">
        <f>Nodes!B1287+"'E4!(.F"</f>
        <v>#VALUE!</v>
      </c>
      <c r="HH157" t="e">
        <f>Nodes!C1287+"'E4!(.G"</f>
        <v>#VALUE!</v>
      </c>
      <c r="HI157" t="e">
        <f>Nodes!D1287+"'E4!(.H"</f>
        <v>#VALUE!</v>
      </c>
      <c r="HJ157" t="e">
        <f>Nodes!E1287+"'E4!(.I"</f>
        <v>#VALUE!</v>
      </c>
      <c r="HK157" t="e">
        <f>Nodes!F1287+"'E4!(.J"</f>
        <v>#VALUE!</v>
      </c>
      <c r="HL157" t="e">
        <f>Nodes!G1287+"'E4!(.K"</f>
        <v>#VALUE!</v>
      </c>
      <c r="HM157" t="e">
        <f>Nodes!H1287+"'E4!(.L"</f>
        <v>#VALUE!</v>
      </c>
      <c r="HN157" t="e">
        <f>Nodes!I1287+"'E4!(.M"</f>
        <v>#VALUE!</v>
      </c>
      <c r="HO157" t="e">
        <f>Nodes!J1287+"'E4!(.N"</f>
        <v>#VALUE!</v>
      </c>
      <c r="HP157" t="e">
        <f>Nodes!K1287+"'E4!(.O"</f>
        <v>#VALUE!</v>
      </c>
      <c r="HQ157" t="e">
        <f>Nodes!L1287+"'E4!(.P"</f>
        <v>#VALUE!</v>
      </c>
      <c r="HR157" t="e">
        <f>Nodes!M1287+"'E4!(.Q"</f>
        <v>#VALUE!</v>
      </c>
      <c r="HS157" t="e">
        <f>Nodes!N1287+"'E4!(.R"</f>
        <v>#VALUE!</v>
      </c>
      <c r="HT157" t="e">
        <f>Nodes!O1287+"'E4!(.S"</f>
        <v>#VALUE!</v>
      </c>
      <c r="HU157" t="e">
        <f>Nodes!P1287+"'E4!(.T"</f>
        <v>#VALUE!</v>
      </c>
      <c r="HV157" t="e">
        <f>Nodes!Q1287+"'E4!(.U"</f>
        <v>#VALUE!</v>
      </c>
      <c r="HW157" t="e">
        <f>Nodes!R1287+"'E4!(.V"</f>
        <v>#VALUE!</v>
      </c>
      <c r="HX157" s="547" t="e">
        <f>Nodes!S1287+"'E4!(.W"</f>
        <v>#VALUE!</v>
      </c>
      <c r="HY157" s="547" t="e">
        <f>Nodes!T1287+"'E4!(.X"</f>
        <v>#VALUE!</v>
      </c>
      <c r="HZ157" s="548" t="e">
        <f>Nodes!U1287+"'E4!(.Y"</f>
        <v>#VALUE!</v>
      </c>
      <c r="IA157" s="548" t="e">
        <f>Nodes!V1287+"'E4!(.Z"</f>
        <v>#VALUE!</v>
      </c>
      <c r="IB157" s="547" t="e">
        <f>Nodes!W1287+"'E4!(.["</f>
        <v>#VALUE!</v>
      </c>
      <c r="IC157" t="e">
        <f>Nodes!X1287+"'E4!(.\"</f>
        <v>#VALUE!</v>
      </c>
      <c r="ID157" t="e">
        <f>Nodes!Y1287+"'E4!(.]"</f>
        <v>#VALUE!</v>
      </c>
      <c r="IE157" t="e">
        <f>Nodes!Z1287+"'E4!(.^"</f>
        <v>#VALUE!</v>
      </c>
      <c r="IF157" t="e">
        <f>Nodes!AA1287+"'E4!(._"</f>
        <v>#VALUE!</v>
      </c>
      <c r="IG157" s="547" t="e">
        <f>Nodes!AB1287+"'E4!(.`"</f>
        <v>#VALUE!</v>
      </c>
      <c r="IH157" s="547" t="e">
        <f>Nodes!AC1287+"'E4!(.a"</f>
        <v>#VALUE!</v>
      </c>
      <c r="II157" t="e">
        <f>Nodes!A1288+"'E4!(.b"</f>
        <v>#VALUE!</v>
      </c>
      <c r="IJ157" t="e">
        <f>Nodes!B1288+"'E4!(.c"</f>
        <v>#VALUE!</v>
      </c>
      <c r="IK157" t="e">
        <f>Nodes!C1288+"'E4!(.d"</f>
        <v>#VALUE!</v>
      </c>
      <c r="IL157" t="e">
        <f>Nodes!D1288+"'E4!(.e"</f>
        <v>#VALUE!</v>
      </c>
      <c r="IM157" t="e">
        <f>Nodes!E1288+"'E4!(.f"</f>
        <v>#VALUE!</v>
      </c>
      <c r="IN157" t="e">
        <f>Nodes!F1288+"'E4!(.g"</f>
        <v>#VALUE!</v>
      </c>
      <c r="IO157" t="e">
        <f>Nodes!G1288+"'E4!(.h"</f>
        <v>#VALUE!</v>
      </c>
      <c r="IP157" t="e">
        <f>Nodes!H1288+"'E4!(.i"</f>
        <v>#VALUE!</v>
      </c>
      <c r="IQ157" t="e">
        <f>Nodes!I1288+"'E4!(.j"</f>
        <v>#VALUE!</v>
      </c>
      <c r="IR157" t="e">
        <f>Nodes!J1288+"'E4!(.k"</f>
        <v>#VALUE!</v>
      </c>
      <c r="IS157" t="e">
        <f>Nodes!K1288+"'E4!(.l"</f>
        <v>#VALUE!</v>
      </c>
      <c r="IT157" t="e">
        <f>Nodes!L1288+"'E4!(.m"</f>
        <v>#VALUE!</v>
      </c>
      <c r="IU157" t="e">
        <f>Nodes!M1288+"'E4!(.n"</f>
        <v>#VALUE!</v>
      </c>
      <c r="IV157" t="e">
        <f>Nodes!N1288+"'E4!(.o"</f>
        <v>#VALUE!</v>
      </c>
    </row>
    <row r="158" spans="6:256">
      <c r="F158" t="e">
        <f>Nodes!O1288+"'E4!(.p"</f>
        <v>#VALUE!</v>
      </c>
      <c r="G158" t="e">
        <f>Nodes!P1288+"'E4!(.q"</f>
        <v>#VALUE!</v>
      </c>
      <c r="H158" t="e">
        <f>Nodes!Q1288+"'E4!(.r"</f>
        <v>#VALUE!</v>
      </c>
      <c r="I158" t="e">
        <f>Nodes!R1288+"'E4!(.s"</f>
        <v>#VALUE!</v>
      </c>
      <c r="J158" s="547" t="e">
        <f>Nodes!S1288+"'E4!(.t"</f>
        <v>#VALUE!</v>
      </c>
      <c r="K158" s="547" t="e">
        <f>Nodes!T1288+"'E4!(.u"</f>
        <v>#VALUE!</v>
      </c>
      <c r="L158" s="548" t="e">
        <f>Nodes!U1288+"'E4!(.v"</f>
        <v>#VALUE!</v>
      </c>
      <c r="M158" s="548" t="e">
        <f>Nodes!V1288+"'E4!(.w"</f>
        <v>#VALUE!</v>
      </c>
      <c r="N158" s="547" t="e">
        <f>Nodes!W1288+"'E4!(.x"</f>
        <v>#VALUE!</v>
      </c>
      <c r="O158" t="e">
        <f>Nodes!X1288+"'E4!(.y"</f>
        <v>#VALUE!</v>
      </c>
      <c r="P158" t="e">
        <f>Nodes!Y1288+"'E4!(.z"</f>
        <v>#VALUE!</v>
      </c>
      <c r="Q158" t="e">
        <f>Nodes!Z1288+"'E4!(.{"</f>
        <v>#VALUE!</v>
      </c>
      <c r="R158" t="e">
        <f>Nodes!AA1288+"'E4!(.|"</f>
        <v>#VALUE!</v>
      </c>
      <c r="S158" s="547" t="e">
        <f>Nodes!AB1288+"'E4!(.}"</f>
        <v>#VALUE!</v>
      </c>
      <c r="T158" s="547" t="e">
        <f>Nodes!AC1288+"'E4!(.~"</f>
        <v>#VALUE!</v>
      </c>
      <c r="U158" t="e">
        <f>Nodes!A1289+"'E4!(/#"</f>
        <v>#VALUE!</v>
      </c>
      <c r="V158" t="e">
        <f>Nodes!B1289+"'E4!(/$"</f>
        <v>#VALUE!</v>
      </c>
      <c r="W158" t="e">
        <f>Nodes!C1289+"'E4!(/%"</f>
        <v>#VALUE!</v>
      </c>
      <c r="X158" t="e">
        <f>Nodes!D1289+"'E4!(/&amp;"</f>
        <v>#VALUE!</v>
      </c>
      <c r="Y158" t="e">
        <f>Nodes!E1289+"'E4!(/'"</f>
        <v>#VALUE!</v>
      </c>
      <c r="Z158" t="e">
        <f>Nodes!F1289+"'E4!(/("</f>
        <v>#VALUE!</v>
      </c>
      <c r="AA158" t="e">
        <f>Nodes!G1289+"'E4!(/)"</f>
        <v>#VALUE!</v>
      </c>
      <c r="AB158" t="e">
        <f>Nodes!H1289+"'E4!(/."</f>
        <v>#VALUE!</v>
      </c>
      <c r="AC158" t="e">
        <f>Nodes!I1289+"'E4!(//"</f>
        <v>#VALUE!</v>
      </c>
      <c r="AD158" t="e">
        <f>Nodes!J1289+"'E4!(/0"</f>
        <v>#VALUE!</v>
      </c>
      <c r="AE158" t="e">
        <f>Nodes!K1289+"'E4!(/1"</f>
        <v>#VALUE!</v>
      </c>
      <c r="AF158" t="e">
        <f>Nodes!L1289+"'E4!(/2"</f>
        <v>#VALUE!</v>
      </c>
      <c r="AG158" t="e">
        <f>Nodes!M1289+"'E4!(/3"</f>
        <v>#VALUE!</v>
      </c>
      <c r="AH158" t="e">
        <f>Nodes!N1289+"'E4!(/4"</f>
        <v>#VALUE!</v>
      </c>
      <c r="AI158" t="e">
        <f>Nodes!O1289+"'E4!(/5"</f>
        <v>#VALUE!</v>
      </c>
      <c r="AJ158" t="e">
        <f>Nodes!P1289+"'E4!(/6"</f>
        <v>#VALUE!</v>
      </c>
      <c r="AK158" t="e">
        <f>Nodes!Q1289+"'E4!(/7"</f>
        <v>#VALUE!</v>
      </c>
      <c r="AL158" t="e">
        <f>Nodes!R1289+"'E4!(/8"</f>
        <v>#VALUE!</v>
      </c>
      <c r="AM158" s="547" t="e">
        <f>Nodes!S1289+"'E4!(/9"</f>
        <v>#VALUE!</v>
      </c>
      <c r="AN158" s="547" t="e">
        <f>Nodes!T1289+"'E4!(/:"</f>
        <v>#VALUE!</v>
      </c>
      <c r="AO158" s="548" t="e">
        <f>Nodes!U1289+"'E4!(/;"</f>
        <v>#VALUE!</v>
      </c>
      <c r="AP158" s="548" t="e">
        <f>Nodes!V1289+"'E4!(/&lt;"</f>
        <v>#VALUE!</v>
      </c>
      <c r="AQ158" s="547" t="e">
        <f>Nodes!W1289+"'E4!(/="</f>
        <v>#VALUE!</v>
      </c>
      <c r="AR158" t="e">
        <f>Nodes!X1289+"'E4!(/&gt;"</f>
        <v>#VALUE!</v>
      </c>
      <c r="AS158" t="e">
        <f>Nodes!Y1289+"'E4!(/?"</f>
        <v>#VALUE!</v>
      </c>
      <c r="AT158" t="e">
        <f>Nodes!Z1289+"'E4!(/@"</f>
        <v>#VALUE!</v>
      </c>
      <c r="AU158" t="e">
        <f>Nodes!AA1289+"'E4!(/A"</f>
        <v>#VALUE!</v>
      </c>
      <c r="AV158" s="547" t="e">
        <f>Nodes!AB1289+"'E4!(/B"</f>
        <v>#VALUE!</v>
      </c>
      <c r="AW158" s="547" t="e">
        <f>Nodes!AC1289+"'E4!(/C"</f>
        <v>#VALUE!</v>
      </c>
      <c r="AX158" t="e">
        <f>Nodes!A1290+"'E4!(/D"</f>
        <v>#VALUE!</v>
      </c>
      <c r="AY158" t="e">
        <f>Nodes!B1290+"'E4!(/E"</f>
        <v>#VALUE!</v>
      </c>
      <c r="AZ158" t="e">
        <f>Nodes!C1290+"'E4!(/F"</f>
        <v>#VALUE!</v>
      </c>
      <c r="BA158" t="e">
        <f>Nodes!D1290+"'E4!(/G"</f>
        <v>#VALUE!</v>
      </c>
      <c r="BB158" t="e">
        <f>Nodes!E1290+"'E4!(/H"</f>
        <v>#VALUE!</v>
      </c>
      <c r="BC158" t="e">
        <f>Nodes!F1290+"'E4!(/I"</f>
        <v>#VALUE!</v>
      </c>
      <c r="BD158" t="e">
        <f>Nodes!G1290+"'E4!(/J"</f>
        <v>#VALUE!</v>
      </c>
      <c r="BE158" t="e">
        <f>Nodes!H1290+"'E4!(/K"</f>
        <v>#VALUE!</v>
      </c>
      <c r="BF158" t="e">
        <f>Nodes!I1290+"'E4!(/L"</f>
        <v>#VALUE!</v>
      </c>
      <c r="BG158" t="e">
        <f>Nodes!J1290+"'E4!(/M"</f>
        <v>#VALUE!</v>
      </c>
      <c r="BH158" t="e">
        <f>Nodes!K1290+"'E4!(/N"</f>
        <v>#VALUE!</v>
      </c>
      <c r="BI158" t="e">
        <f>Nodes!L1290+"'E4!(/O"</f>
        <v>#VALUE!</v>
      </c>
      <c r="BJ158" t="e">
        <f>Nodes!M1290+"'E4!(/P"</f>
        <v>#VALUE!</v>
      </c>
      <c r="BK158" t="e">
        <f>Nodes!N1290+"'E4!(/Q"</f>
        <v>#VALUE!</v>
      </c>
      <c r="BL158" t="e">
        <f>Nodes!O1290+"'E4!(/R"</f>
        <v>#VALUE!</v>
      </c>
      <c r="BM158" t="e">
        <f>Nodes!P1290+"'E4!(/S"</f>
        <v>#VALUE!</v>
      </c>
      <c r="BN158" t="e">
        <f>Nodes!Q1290+"'E4!(/T"</f>
        <v>#VALUE!</v>
      </c>
      <c r="BO158" t="e">
        <f>Nodes!R1290+"'E4!(/U"</f>
        <v>#VALUE!</v>
      </c>
      <c r="BP158" s="547" t="e">
        <f>Nodes!S1290+"'E4!(/V"</f>
        <v>#VALUE!</v>
      </c>
      <c r="BQ158" s="547" t="e">
        <f>Nodes!T1290+"'E4!(/W"</f>
        <v>#VALUE!</v>
      </c>
      <c r="BR158" s="548" t="e">
        <f>Nodes!U1290+"'E4!(/X"</f>
        <v>#VALUE!</v>
      </c>
      <c r="BS158" s="548" t="e">
        <f>Nodes!V1290+"'E4!(/Y"</f>
        <v>#VALUE!</v>
      </c>
      <c r="BT158" s="547" t="e">
        <f>Nodes!W1290+"'E4!(/Z"</f>
        <v>#VALUE!</v>
      </c>
      <c r="BU158" t="e">
        <f>Nodes!X1290+"'E4!(/["</f>
        <v>#VALUE!</v>
      </c>
      <c r="BV158" t="e">
        <f>Nodes!Y1290+"'E4!(/\"</f>
        <v>#VALUE!</v>
      </c>
      <c r="BW158" t="e">
        <f>Nodes!Z1290+"'E4!(/]"</f>
        <v>#VALUE!</v>
      </c>
      <c r="BX158" t="e">
        <f>Nodes!AA1290+"'E4!(/^"</f>
        <v>#VALUE!</v>
      </c>
      <c r="BY158" s="547" t="e">
        <f>Nodes!AB1290+"'E4!(/_"</f>
        <v>#VALUE!</v>
      </c>
      <c r="BZ158" s="547" t="e">
        <f>Nodes!AC1290+"'E4!(/`"</f>
        <v>#VALUE!</v>
      </c>
      <c r="CA158" t="e">
        <f>Nodes!A1291+"'E4!(/a"</f>
        <v>#VALUE!</v>
      </c>
      <c r="CB158" t="e">
        <f>Nodes!B1291+"'E4!(/b"</f>
        <v>#VALUE!</v>
      </c>
      <c r="CC158" t="e">
        <f>Nodes!C1291+"'E4!(/c"</f>
        <v>#VALUE!</v>
      </c>
      <c r="CD158" t="e">
        <f>Nodes!D1291+"'E4!(/d"</f>
        <v>#VALUE!</v>
      </c>
      <c r="CE158" t="e">
        <f>Nodes!E1291+"'E4!(/e"</f>
        <v>#VALUE!</v>
      </c>
      <c r="CF158" t="e">
        <f>Nodes!F1291+"'E4!(/f"</f>
        <v>#VALUE!</v>
      </c>
      <c r="CG158" t="e">
        <f>Nodes!G1291+"'E4!(/g"</f>
        <v>#VALUE!</v>
      </c>
      <c r="CH158" t="e">
        <f>Nodes!H1291+"'E4!(/h"</f>
        <v>#VALUE!</v>
      </c>
      <c r="CI158" t="e">
        <f>Nodes!I1291+"'E4!(/i"</f>
        <v>#VALUE!</v>
      </c>
      <c r="CJ158" t="e">
        <f>Nodes!J1291+"'E4!(/j"</f>
        <v>#VALUE!</v>
      </c>
      <c r="CK158" t="e">
        <f>Nodes!K1291+"'E4!(/k"</f>
        <v>#VALUE!</v>
      </c>
      <c r="CL158" t="e">
        <f>Nodes!L1291+"'E4!(/l"</f>
        <v>#VALUE!</v>
      </c>
      <c r="CM158" t="e">
        <f>Nodes!M1291+"'E4!(/m"</f>
        <v>#VALUE!</v>
      </c>
      <c r="CN158" t="e">
        <f>Nodes!N1291+"'E4!(/n"</f>
        <v>#VALUE!</v>
      </c>
      <c r="CO158" t="e">
        <f>Nodes!O1291+"'E4!(/o"</f>
        <v>#VALUE!</v>
      </c>
      <c r="CP158" t="e">
        <f>Nodes!P1291+"'E4!(/p"</f>
        <v>#VALUE!</v>
      </c>
      <c r="CQ158" t="e">
        <f>Nodes!Q1291+"'E4!(/q"</f>
        <v>#VALUE!</v>
      </c>
      <c r="CR158" t="e">
        <f>Nodes!R1291+"'E4!(/r"</f>
        <v>#VALUE!</v>
      </c>
      <c r="CS158" s="547" t="e">
        <f>Nodes!S1291+"'E4!(/s"</f>
        <v>#VALUE!</v>
      </c>
      <c r="CT158" s="547" t="e">
        <f>Nodes!T1291+"'E4!(/t"</f>
        <v>#VALUE!</v>
      </c>
      <c r="CU158" s="548" t="e">
        <f>Nodes!U1291+"'E4!(/u"</f>
        <v>#VALUE!</v>
      </c>
      <c r="CV158" s="548" t="e">
        <f>Nodes!V1291+"'E4!(/v"</f>
        <v>#VALUE!</v>
      </c>
      <c r="CW158" s="547" t="e">
        <f>Nodes!W1291+"'E4!(/w"</f>
        <v>#VALUE!</v>
      </c>
      <c r="CX158" t="e">
        <f>Nodes!X1291+"'E4!(/x"</f>
        <v>#VALUE!</v>
      </c>
      <c r="CY158" t="e">
        <f>Nodes!Y1291+"'E4!(/y"</f>
        <v>#VALUE!</v>
      </c>
      <c r="CZ158" t="e">
        <f>Nodes!Z1291+"'E4!(/z"</f>
        <v>#VALUE!</v>
      </c>
      <c r="DA158" t="e">
        <f>Nodes!AA1291+"'E4!(/{"</f>
        <v>#VALUE!</v>
      </c>
      <c r="DB158" s="547" t="e">
        <f>Nodes!AB1291+"'E4!(/|"</f>
        <v>#VALUE!</v>
      </c>
      <c r="DC158" s="547" t="e">
        <f>Nodes!AC1291+"'E4!(/}"</f>
        <v>#VALUE!</v>
      </c>
      <c r="DD158" t="e">
        <f>Nodes!A1292+"'E4!(/~"</f>
        <v>#VALUE!</v>
      </c>
      <c r="DE158" t="e">
        <f>Nodes!B1292+"'E4!(0#"</f>
        <v>#VALUE!</v>
      </c>
      <c r="DF158" t="e">
        <f>Nodes!C1292+"'E4!(0$"</f>
        <v>#VALUE!</v>
      </c>
      <c r="DG158" t="e">
        <f>Nodes!D1292+"'E4!(0%"</f>
        <v>#VALUE!</v>
      </c>
      <c r="DH158" t="e">
        <f>Nodes!E1292+"'E4!(0&amp;"</f>
        <v>#VALUE!</v>
      </c>
      <c r="DI158" t="e">
        <f>Nodes!F1292+"'E4!(0'"</f>
        <v>#VALUE!</v>
      </c>
      <c r="DJ158" t="e">
        <f>Nodes!G1292+"'E4!(0("</f>
        <v>#VALUE!</v>
      </c>
      <c r="DK158" t="e">
        <f>Nodes!H1292+"'E4!(0)"</f>
        <v>#VALUE!</v>
      </c>
      <c r="DL158" t="e">
        <f>Nodes!I1292+"'E4!(0."</f>
        <v>#VALUE!</v>
      </c>
      <c r="DM158" t="e">
        <f>Nodes!J1292+"'E4!(0/"</f>
        <v>#VALUE!</v>
      </c>
      <c r="DN158" t="e">
        <f>Nodes!K1292+"'E4!(00"</f>
        <v>#VALUE!</v>
      </c>
      <c r="DO158" t="e">
        <f>Nodes!L1292+"'E4!(01"</f>
        <v>#VALUE!</v>
      </c>
      <c r="DP158" t="e">
        <f>Nodes!M1292+"'E4!(02"</f>
        <v>#VALUE!</v>
      </c>
      <c r="DQ158" t="e">
        <f>Nodes!N1292+"'E4!(03"</f>
        <v>#VALUE!</v>
      </c>
      <c r="DR158" t="e">
        <f>Nodes!O1292+"'E4!(04"</f>
        <v>#VALUE!</v>
      </c>
      <c r="DS158" t="e">
        <f>Nodes!P1292+"'E4!(05"</f>
        <v>#VALUE!</v>
      </c>
      <c r="DT158" t="e">
        <f>Nodes!Q1292+"'E4!(06"</f>
        <v>#VALUE!</v>
      </c>
      <c r="DU158" t="e">
        <f>Nodes!R1292+"'E4!(07"</f>
        <v>#VALUE!</v>
      </c>
      <c r="DV158" s="547" t="e">
        <f>Nodes!S1292+"'E4!(08"</f>
        <v>#VALUE!</v>
      </c>
      <c r="DW158" s="547" t="e">
        <f>Nodes!T1292+"'E4!(09"</f>
        <v>#VALUE!</v>
      </c>
      <c r="DX158" s="548" t="e">
        <f>Nodes!U1292+"'E4!(0:"</f>
        <v>#VALUE!</v>
      </c>
      <c r="DY158" s="548" t="e">
        <f>Nodes!V1292+"'E4!(0;"</f>
        <v>#VALUE!</v>
      </c>
      <c r="DZ158" s="547" t="e">
        <f>Nodes!W1292+"'E4!(0&lt;"</f>
        <v>#VALUE!</v>
      </c>
      <c r="EA158" t="e">
        <f>Nodes!X1292+"'E4!(0="</f>
        <v>#VALUE!</v>
      </c>
      <c r="EB158" t="e">
        <f>Nodes!Y1292+"'E4!(0&gt;"</f>
        <v>#VALUE!</v>
      </c>
      <c r="EC158" t="e">
        <f>Nodes!Z1292+"'E4!(0?"</f>
        <v>#VALUE!</v>
      </c>
      <c r="ED158" t="e">
        <f>Nodes!AA1292+"'E4!(0@"</f>
        <v>#VALUE!</v>
      </c>
      <c r="EE158" s="547" t="e">
        <f>Nodes!AB1292+"'E4!(0A"</f>
        <v>#VALUE!</v>
      </c>
      <c r="EF158" s="547" t="e">
        <f>Nodes!AC1292+"'E4!(0B"</f>
        <v>#VALUE!</v>
      </c>
      <c r="EG158" t="e">
        <f>Nodes!A1293+"'E4!(0C"</f>
        <v>#VALUE!</v>
      </c>
      <c r="EH158" t="e">
        <f>Nodes!B1293+"'E4!(0D"</f>
        <v>#VALUE!</v>
      </c>
      <c r="EI158" t="e">
        <f>Nodes!C1293+"'E4!(0E"</f>
        <v>#VALUE!</v>
      </c>
      <c r="EJ158" t="e">
        <f>Nodes!D1293+"'E4!(0F"</f>
        <v>#VALUE!</v>
      </c>
      <c r="EK158" t="e">
        <f>Nodes!E1293+"'E4!(0G"</f>
        <v>#VALUE!</v>
      </c>
      <c r="EL158" t="e">
        <f>Nodes!F1293+"'E4!(0H"</f>
        <v>#VALUE!</v>
      </c>
      <c r="EM158" t="e">
        <f>Nodes!G1293+"'E4!(0I"</f>
        <v>#VALUE!</v>
      </c>
      <c r="EN158" t="e">
        <f>Nodes!H1293+"'E4!(0J"</f>
        <v>#VALUE!</v>
      </c>
      <c r="EO158" t="e">
        <f>Nodes!I1293+"'E4!(0K"</f>
        <v>#VALUE!</v>
      </c>
      <c r="EP158" t="e">
        <f>Nodes!J1293+"'E4!(0L"</f>
        <v>#VALUE!</v>
      </c>
      <c r="EQ158" t="e">
        <f>Nodes!K1293+"'E4!(0M"</f>
        <v>#VALUE!</v>
      </c>
      <c r="ER158" t="e">
        <f>Nodes!L1293+"'E4!(0N"</f>
        <v>#VALUE!</v>
      </c>
      <c r="ES158" t="e">
        <f>Nodes!M1293+"'E4!(0O"</f>
        <v>#VALUE!</v>
      </c>
      <c r="ET158" t="e">
        <f>Nodes!N1293+"'E4!(0P"</f>
        <v>#VALUE!</v>
      </c>
      <c r="EU158" t="e">
        <f>Nodes!O1293+"'E4!(0Q"</f>
        <v>#VALUE!</v>
      </c>
      <c r="EV158" t="e">
        <f>Nodes!P1293+"'E4!(0R"</f>
        <v>#VALUE!</v>
      </c>
      <c r="EW158" t="e">
        <f>Nodes!Q1293+"'E4!(0S"</f>
        <v>#VALUE!</v>
      </c>
      <c r="EX158" t="e">
        <f>Nodes!R1293+"'E4!(0T"</f>
        <v>#VALUE!</v>
      </c>
      <c r="EY158" s="547" t="e">
        <f>Nodes!S1293+"'E4!(0U"</f>
        <v>#VALUE!</v>
      </c>
      <c r="EZ158" s="547" t="e">
        <f>Nodes!T1293+"'E4!(0V"</f>
        <v>#VALUE!</v>
      </c>
      <c r="FA158" s="548" t="e">
        <f>Nodes!U1293+"'E4!(0W"</f>
        <v>#VALUE!</v>
      </c>
      <c r="FB158" s="548" t="e">
        <f>Nodes!V1293+"'E4!(0X"</f>
        <v>#VALUE!</v>
      </c>
      <c r="FC158" s="547" t="e">
        <f>Nodes!W1293+"'E4!(0Y"</f>
        <v>#VALUE!</v>
      </c>
      <c r="FD158" t="e">
        <f>Nodes!X1293+"'E4!(0Z"</f>
        <v>#VALUE!</v>
      </c>
      <c r="FE158" t="e">
        <f>Nodes!Y1293+"'E4!(0["</f>
        <v>#VALUE!</v>
      </c>
      <c r="FF158" t="e">
        <f>Nodes!Z1293+"'E4!(0\"</f>
        <v>#VALUE!</v>
      </c>
      <c r="FG158" t="e">
        <f>Nodes!AA1293+"'E4!(0]"</f>
        <v>#VALUE!</v>
      </c>
      <c r="FH158" s="547" t="e">
        <f>Nodes!AB1293+"'E4!(0^"</f>
        <v>#VALUE!</v>
      </c>
      <c r="FI158" s="547" t="e">
        <f>Nodes!AC1293+"'E4!(0_"</f>
        <v>#VALUE!</v>
      </c>
      <c r="FJ158" t="e">
        <f>Nodes!A1294+"'E4!(0`"</f>
        <v>#VALUE!</v>
      </c>
      <c r="FK158" t="e">
        <f>Nodes!B1294+"'E4!(0a"</f>
        <v>#VALUE!</v>
      </c>
      <c r="FL158" t="e">
        <f>Nodes!C1294+"'E4!(0b"</f>
        <v>#VALUE!</v>
      </c>
      <c r="FM158" t="e">
        <f>Nodes!D1294+"'E4!(0c"</f>
        <v>#VALUE!</v>
      </c>
      <c r="FN158" t="e">
        <f>Nodes!E1294+"'E4!(0d"</f>
        <v>#VALUE!</v>
      </c>
      <c r="FO158" t="e">
        <f>Nodes!F1294+"'E4!(0e"</f>
        <v>#VALUE!</v>
      </c>
      <c r="FP158" t="e">
        <f>Nodes!G1294+"'E4!(0f"</f>
        <v>#VALUE!</v>
      </c>
      <c r="FQ158" t="e">
        <f>Nodes!H1294+"'E4!(0g"</f>
        <v>#VALUE!</v>
      </c>
      <c r="FR158" t="e">
        <f>Nodes!I1294+"'E4!(0h"</f>
        <v>#VALUE!</v>
      </c>
      <c r="FS158" t="e">
        <f>Nodes!J1294+"'E4!(0i"</f>
        <v>#VALUE!</v>
      </c>
      <c r="FT158" t="e">
        <f>Nodes!K1294+"'E4!(0j"</f>
        <v>#VALUE!</v>
      </c>
      <c r="FU158" t="e">
        <f>Nodes!L1294+"'E4!(0k"</f>
        <v>#VALUE!</v>
      </c>
      <c r="FV158" t="e">
        <f>Nodes!M1294+"'E4!(0l"</f>
        <v>#VALUE!</v>
      </c>
      <c r="FW158" t="e">
        <f>Nodes!N1294+"'E4!(0m"</f>
        <v>#VALUE!</v>
      </c>
      <c r="FX158" t="e">
        <f>Nodes!O1294+"'E4!(0n"</f>
        <v>#VALUE!</v>
      </c>
      <c r="FY158" t="e">
        <f>Nodes!P1294+"'E4!(0o"</f>
        <v>#VALUE!</v>
      </c>
      <c r="FZ158" t="e">
        <f>Nodes!Q1294+"'E4!(0p"</f>
        <v>#VALUE!</v>
      </c>
      <c r="GA158" t="e">
        <f>Nodes!R1294+"'E4!(0q"</f>
        <v>#VALUE!</v>
      </c>
      <c r="GB158" s="547" t="e">
        <f>Nodes!S1294+"'E4!(0r"</f>
        <v>#VALUE!</v>
      </c>
      <c r="GC158" s="547" t="e">
        <f>Nodes!T1294+"'E4!(0s"</f>
        <v>#VALUE!</v>
      </c>
      <c r="GD158" s="548" t="e">
        <f>Nodes!U1294+"'E4!(0t"</f>
        <v>#VALUE!</v>
      </c>
      <c r="GE158" s="548" t="e">
        <f>Nodes!V1294+"'E4!(0u"</f>
        <v>#VALUE!</v>
      </c>
      <c r="GF158" s="547" t="e">
        <f>Nodes!W1294+"'E4!(0v"</f>
        <v>#VALUE!</v>
      </c>
      <c r="GG158" t="e">
        <f>Nodes!X1294+"'E4!(0w"</f>
        <v>#VALUE!</v>
      </c>
      <c r="GH158" t="e">
        <f>Nodes!Y1294+"'E4!(0x"</f>
        <v>#VALUE!</v>
      </c>
      <c r="GI158" t="e">
        <f>Nodes!Z1294+"'E4!(0y"</f>
        <v>#VALUE!</v>
      </c>
      <c r="GJ158" t="e">
        <f>Nodes!AA1294+"'E4!(0z"</f>
        <v>#VALUE!</v>
      </c>
      <c r="GK158" s="547" t="e">
        <f>Nodes!AB1294+"'E4!(0{"</f>
        <v>#VALUE!</v>
      </c>
      <c r="GL158" s="547" t="e">
        <f>Nodes!AC1294+"'E4!(0|"</f>
        <v>#VALUE!</v>
      </c>
      <c r="GM158" t="e">
        <f>Nodes!A1295+"'E4!(0}"</f>
        <v>#VALUE!</v>
      </c>
      <c r="GN158" t="e">
        <f>Nodes!B1295+"'E4!(0~"</f>
        <v>#VALUE!</v>
      </c>
      <c r="GO158" t="e">
        <f>Nodes!C1295+"'E4!(1#"</f>
        <v>#VALUE!</v>
      </c>
      <c r="GP158" t="e">
        <f>Nodes!D1295+"'E4!(1$"</f>
        <v>#VALUE!</v>
      </c>
      <c r="GQ158" t="e">
        <f>Nodes!E1295+"'E4!(1%"</f>
        <v>#VALUE!</v>
      </c>
      <c r="GR158" t="e">
        <f>Nodes!F1295+"'E4!(1&amp;"</f>
        <v>#VALUE!</v>
      </c>
      <c r="GS158" t="e">
        <f>Nodes!G1295+"'E4!(1'"</f>
        <v>#VALUE!</v>
      </c>
      <c r="GT158" t="e">
        <f>Nodes!H1295+"'E4!(1("</f>
        <v>#VALUE!</v>
      </c>
      <c r="GU158" t="e">
        <f>Nodes!I1295+"'E4!(1)"</f>
        <v>#VALUE!</v>
      </c>
      <c r="GV158" t="e">
        <f>Nodes!J1295+"'E4!(1."</f>
        <v>#VALUE!</v>
      </c>
      <c r="GW158" t="e">
        <f>Nodes!K1295+"'E4!(1/"</f>
        <v>#VALUE!</v>
      </c>
      <c r="GX158" t="e">
        <f>Nodes!L1295+"'E4!(10"</f>
        <v>#VALUE!</v>
      </c>
      <c r="GY158" t="e">
        <f>Nodes!M1295+"'E4!(11"</f>
        <v>#VALUE!</v>
      </c>
      <c r="GZ158" t="e">
        <f>Nodes!N1295+"'E4!(12"</f>
        <v>#VALUE!</v>
      </c>
      <c r="HA158" t="e">
        <f>Nodes!O1295+"'E4!(13"</f>
        <v>#VALUE!</v>
      </c>
      <c r="HB158" t="e">
        <f>Nodes!P1295+"'E4!(14"</f>
        <v>#VALUE!</v>
      </c>
      <c r="HC158" t="e">
        <f>Nodes!Q1295+"'E4!(15"</f>
        <v>#VALUE!</v>
      </c>
      <c r="HD158" t="e">
        <f>Nodes!R1295+"'E4!(16"</f>
        <v>#VALUE!</v>
      </c>
      <c r="HE158" s="547" t="e">
        <f>Nodes!S1295+"'E4!(17"</f>
        <v>#VALUE!</v>
      </c>
      <c r="HF158" s="547" t="e">
        <f>Nodes!T1295+"'E4!(18"</f>
        <v>#VALUE!</v>
      </c>
      <c r="HG158" s="548" t="e">
        <f>Nodes!U1295+"'E4!(19"</f>
        <v>#VALUE!</v>
      </c>
      <c r="HH158" s="548" t="e">
        <f>Nodes!V1295+"'E4!(1:"</f>
        <v>#VALUE!</v>
      </c>
      <c r="HI158" s="547" t="e">
        <f>Nodes!W1295+"'E4!(1;"</f>
        <v>#VALUE!</v>
      </c>
      <c r="HJ158" t="e">
        <f>Nodes!X1295+"'E4!(1&lt;"</f>
        <v>#VALUE!</v>
      </c>
      <c r="HK158" t="e">
        <f>Nodes!Y1295+"'E4!(1="</f>
        <v>#VALUE!</v>
      </c>
      <c r="HL158" t="e">
        <f>Nodes!Z1295+"'E4!(1&gt;"</f>
        <v>#VALUE!</v>
      </c>
      <c r="HM158" t="e">
        <f>Nodes!AA1295+"'E4!(1?"</f>
        <v>#VALUE!</v>
      </c>
      <c r="HN158" s="547" t="e">
        <f>Nodes!AB1295+"'E4!(1@"</f>
        <v>#VALUE!</v>
      </c>
      <c r="HO158" s="547" t="e">
        <f>Nodes!AC1295+"'E4!(1A"</f>
        <v>#VALUE!</v>
      </c>
      <c r="HP158" t="e">
        <f>Nodes!A1296+"'E4!(1B"</f>
        <v>#VALUE!</v>
      </c>
      <c r="HQ158" t="e">
        <f>Nodes!B1296+"'E4!(1C"</f>
        <v>#VALUE!</v>
      </c>
      <c r="HR158" t="e">
        <f>Nodes!C1296+"'E4!(1D"</f>
        <v>#VALUE!</v>
      </c>
      <c r="HS158" t="e">
        <f>Nodes!D1296+"'E4!(1E"</f>
        <v>#VALUE!</v>
      </c>
      <c r="HT158" t="e">
        <f>Nodes!E1296+"'E4!(1F"</f>
        <v>#VALUE!</v>
      </c>
      <c r="HU158" t="e">
        <f>Nodes!F1296+"'E4!(1G"</f>
        <v>#VALUE!</v>
      </c>
      <c r="HV158" t="e">
        <f>Nodes!G1296+"'E4!(1H"</f>
        <v>#VALUE!</v>
      </c>
      <c r="HW158" t="e">
        <f>Nodes!H1296+"'E4!(1I"</f>
        <v>#VALUE!</v>
      </c>
      <c r="HX158" t="e">
        <f>Nodes!I1296+"'E4!(1J"</f>
        <v>#VALUE!</v>
      </c>
      <c r="HY158" t="e">
        <f>Nodes!J1296+"'E4!(1K"</f>
        <v>#VALUE!</v>
      </c>
      <c r="HZ158" t="e">
        <f>Nodes!K1296+"'E4!(1L"</f>
        <v>#VALUE!</v>
      </c>
      <c r="IA158" t="e">
        <f>Nodes!L1296+"'E4!(1M"</f>
        <v>#VALUE!</v>
      </c>
      <c r="IB158" t="e">
        <f>Nodes!M1296+"'E4!(1N"</f>
        <v>#VALUE!</v>
      </c>
      <c r="IC158" t="e">
        <f>Nodes!N1296+"'E4!(1O"</f>
        <v>#VALUE!</v>
      </c>
      <c r="ID158" t="e">
        <f>Nodes!O1296+"'E4!(1P"</f>
        <v>#VALUE!</v>
      </c>
      <c r="IE158" t="e">
        <f>Nodes!P1296+"'E4!(1Q"</f>
        <v>#VALUE!</v>
      </c>
      <c r="IF158" t="e">
        <f>Nodes!Q1296+"'E4!(1R"</f>
        <v>#VALUE!</v>
      </c>
      <c r="IG158" t="e">
        <f>Nodes!R1296+"'E4!(1S"</f>
        <v>#VALUE!</v>
      </c>
      <c r="IH158" s="547" t="e">
        <f>Nodes!S1296+"'E4!(1T"</f>
        <v>#VALUE!</v>
      </c>
      <c r="II158" s="547" t="e">
        <f>Nodes!T1296+"'E4!(1U"</f>
        <v>#VALUE!</v>
      </c>
      <c r="IJ158" s="548" t="e">
        <f>Nodes!U1296+"'E4!(1V"</f>
        <v>#VALUE!</v>
      </c>
      <c r="IK158" s="548" t="e">
        <f>Nodes!V1296+"'E4!(1W"</f>
        <v>#VALUE!</v>
      </c>
      <c r="IL158" s="547" t="e">
        <f>Nodes!W1296+"'E4!(1X"</f>
        <v>#VALUE!</v>
      </c>
      <c r="IM158" t="e">
        <f>Nodes!X1296+"'E4!(1Y"</f>
        <v>#VALUE!</v>
      </c>
      <c r="IN158" t="e">
        <f>Nodes!Y1296+"'E4!(1Z"</f>
        <v>#VALUE!</v>
      </c>
      <c r="IO158" t="e">
        <f>Nodes!Z1296+"'E4!(1["</f>
        <v>#VALUE!</v>
      </c>
      <c r="IP158" t="e">
        <f>Nodes!AA1296+"'E4!(1\"</f>
        <v>#VALUE!</v>
      </c>
      <c r="IQ158" s="547" t="e">
        <f>Nodes!AB1296+"'E4!(1]"</f>
        <v>#VALUE!</v>
      </c>
      <c r="IR158" s="547" t="e">
        <f>Nodes!AC1296+"'E4!(1^"</f>
        <v>#VALUE!</v>
      </c>
      <c r="IS158" t="e">
        <f>Nodes!A1297+"'E4!(1_"</f>
        <v>#VALUE!</v>
      </c>
      <c r="IT158" t="e">
        <f>Nodes!B1297+"'E4!(1`"</f>
        <v>#VALUE!</v>
      </c>
      <c r="IU158" t="e">
        <f>Nodes!C1297+"'E4!(1a"</f>
        <v>#VALUE!</v>
      </c>
      <c r="IV158" t="e">
        <f>Nodes!D1297+"'E4!(1b"</f>
        <v>#VALUE!</v>
      </c>
    </row>
    <row r="159" spans="6:256">
      <c r="F159" t="e">
        <f>Nodes!E1297+"'E4!(1c"</f>
        <v>#VALUE!</v>
      </c>
      <c r="G159" t="e">
        <f>Nodes!F1297+"'E4!(1d"</f>
        <v>#VALUE!</v>
      </c>
      <c r="H159" t="e">
        <f>Nodes!G1297+"'E4!(1e"</f>
        <v>#VALUE!</v>
      </c>
      <c r="I159" t="e">
        <f>Nodes!H1297+"'E4!(1f"</f>
        <v>#VALUE!</v>
      </c>
      <c r="J159" t="e">
        <f>Nodes!I1297+"'E4!(1g"</f>
        <v>#VALUE!</v>
      </c>
      <c r="K159" t="e">
        <f>Nodes!J1297+"'E4!(1h"</f>
        <v>#VALUE!</v>
      </c>
      <c r="L159" t="e">
        <f>Nodes!K1297+"'E4!(1i"</f>
        <v>#VALUE!</v>
      </c>
      <c r="M159" t="e">
        <f>Nodes!L1297+"'E4!(1j"</f>
        <v>#VALUE!</v>
      </c>
      <c r="N159" t="e">
        <f>Nodes!M1297+"'E4!(1k"</f>
        <v>#VALUE!</v>
      </c>
      <c r="O159" t="e">
        <f>Nodes!N1297+"'E4!(1l"</f>
        <v>#VALUE!</v>
      </c>
      <c r="P159" t="e">
        <f>Nodes!O1297+"'E4!(1m"</f>
        <v>#VALUE!</v>
      </c>
      <c r="Q159" t="e">
        <f>Nodes!P1297+"'E4!(1n"</f>
        <v>#VALUE!</v>
      </c>
      <c r="R159" t="e">
        <f>Nodes!Q1297+"'E4!(1o"</f>
        <v>#VALUE!</v>
      </c>
      <c r="S159" t="e">
        <f>Nodes!R1297+"'E4!(1p"</f>
        <v>#VALUE!</v>
      </c>
      <c r="T159" s="547" t="e">
        <f>Nodes!S1297+"'E4!(1q"</f>
        <v>#VALUE!</v>
      </c>
      <c r="U159" s="547" t="e">
        <f>Nodes!T1297+"'E4!(1r"</f>
        <v>#VALUE!</v>
      </c>
      <c r="V159" s="548" t="e">
        <f>Nodes!U1297+"'E4!(1s"</f>
        <v>#VALUE!</v>
      </c>
      <c r="W159" s="548" t="e">
        <f>Nodes!V1297+"'E4!(1t"</f>
        <v>#VALUE!</v>
      </c>
      <c r="X159" s="547" t="e">
        <f>Nodes!W1297+"'E4!(1u"</f>
        <v>#VALUE!</v>
      </c>
      <c r="Y159" t="e">
        <f>Nodes!X1297+"'E4!(1v"</f>
        <v>#VALUE!</v>
      </c>
      <c r="Z159" t="e">
        <f>Nodes!Y1297+"'E4!(1w"</f>
        <v>#VALUE!</v>
      </c>
      <c r="AA159" t="e">
        <f>Nodes!Z1297+"'E4!(1x"</f>
        <v>#VALUE!</v>
      </c>
      <c r="AB159" t="e">
        <f>Nodes!AA1297+"'E4!(1y"</f>
        <v>#VALUE!</v>
      </c>
      <c r="AC159" s="547" t="e">
        <f>Nodes!AB1297+"'E4!(1z"</f>
        <v>#VALUE!</v>
      </c>
      <c r="AD159" s="547" t="e">
        <f>Nodes!AC1297+"'E4!(1{"</f>
        <v>#VALUE!</v>
      </c>
      <c r="AE159" t="e">
        <f>Nodes!A1298+"'E4!(1|"</f>
        <v>#VALUE!</v>
      </c>
      <c r="AF159" t="e">
        <f>Nodes!B1298+"'E4!(1}"</f>
        <v>#VALUE!</v>
      </c>
      <c r="AG159" t="e">
        <f>Nodes!C1298+"'E4!(1~"</f>
        <v>#VALUE!</v>
      </c>
      <c r="AH159" t="e">
        <f>Nodes!D1298+"'E4!(2#"</f>
        <v>#VALUE!</v>
      </c>
      <c r="AI159" t="e">
        <f>Nodes!E1298+"'E4!(2$"</f>
        <v>#VALUE!</v>
      </c>
      <c r="AJ159" t="e">
        <f>Nodes!F1298+"'E4!(2%"</f>
        <v>#VALUE!</v>
      </c>
      <c r="AK159" t="e">
        <f>Nodes!G1298+"'E4!(2&amp;"</f>
        <v>#VALUE!</v>
      </c>
      <c r="AL159" t="e">
        <f>Nodes!H1298+"'E4!(2'"</f>
        <v>#VALUE!</v>
      </c>
      <c r="AM159" t="e">
        <f>Nodes!I1298+"'E4!(2("</f>
        <v>#VALUE!</v>
      </c>
      <c r="AN159" t="e">
        <f>Nodes!J1298+"'E4!(2)"</f>
        <v>#VALUE!</v>
      </c>
      <c r="AO159" t="e">
        <f>Nodes!K1298+"'E4!(2."</f>
        <v>#VALUE!</v>
      </c>
      <c r="AP159" t="e">
        <f>Nodes!L1298+"'E4!(2/"</f>
        <v>#VALUE!</v>
      </c>
      <c r="AQ159" t="e">
        <f>Nodes!M1298+"'E4!(20"</f>
        <v>#VALUE!</v>
      </c>
      <c r="AR159" t="e">
        <f>Nodes!N1298+"'E4!(21"</f>
        <v>#VALUE!</v>
      </c>
      <c r="AS159" t="e">
        <f>Nodes!O1298+"'E4!(22"</f>
        <v>#VALUE!</v>
      </c>
      <c r="AT159" t="e">
        <f>Nodes!P1298+"'E4!(23"</f>
        <v>#VALUE!</v>
      </c>
      <c r="AU159" t="e">
        <f>Nodes!Q1298+"'E4!(24"</f>
        <v>#VALUE!</v>
      </c>
      <c r="AV159" t="e">
        <f>Nodes!R1298+"'E4!(25"</f>
        <v>#VALUE!</v>
      </c>
      <c r="AW159" s="547" t="e">
        <f>Nodes!S1298+"'E4!(26"</f>
        <v>#VALUE!</v>
      </c>
      <c r="AX159" s="547" t="e">
        <f>Nodes!T1298+"'E4!(27"</f>
        <v>#VALUE!</v>
      </c>
      <c r="AY159" s="548" t="e">
        <f>Nodes!U1298+"'E4!(28"</f>
        <v>#VALUE!</v>
      </c>
      <c r="AZ159" s="548" t="e">
        <f>Nodes!V1298+"'E4!(29"</f>
        <v>#VALUE!</v>
      </c>
      <c r="BA159" s="547" t="e">
        <f>Nodes!W1298+"'E4!(2:"</f>
        <v>#VALUE!</v>
      </c>
      <c r="BB159" t="e">
        <f>Nodes!X1298+"'E4!(2;"</f>
        <v>#VALUE!</v>
      </c>
      <c r="BC159" t="e">
        <f>Nodes!Y1298+"'E4!(2&lt;"</f>
        <v>#VALUE!</v>
      </c>
      <c r="BD159" t="e">
        <f>Nodes!Z1298+"'E4!(2="</f>
        <v>#VALUE!</v>
      </c>
      <c r="BE159" t="e">
        <f>Nodes!AA1298+"'E4!(2&gt;"</f>
        <v>#VALUE!</v>
      </c>
      <c r="BF159" s="547" t="e">
        <f>Nodes!AB1298+"'E4!(2?"</f>
        <v>#VALUE!</v>
      </c>
      <c r="BG159" s="547" t="e">
        <f>Nodes!AC1298+"'E4!(2@"</f>
        <v>#VALUE!</v>
      </c>
      <c r="BH159" t="e">
        <f>Nodes!A1299+"'E4!(2A"</f>
        <v>#VALUE!</v>
      </c>
      <c r="BI159" t="e">
        <f>Nodes!B1299+"'E4!(2B"</f>
        <v>#VALUE!</v>
      </c>
      <c r="BJ159" t="e">
        <f>Nodes!C1299+"'E4!(2C"</f>
        <v>#VALUE!</v>
      </c>
      <c r="BK159" t="e">
        <f>Nodes!D1299+"'E4!(2D"</f>
        <v>#VALUE!</v>
      </c>
      <c r="BL159" t="e">
        <f>Nodes!E1299+"'E4!(2E"</f>
        <v>#VALUE!</v>
      </c>
      <c r="BM159" t="e">
        <f>Nodes!F1299+"'E4!(2F"</f>
        <v>#VALUE!</v>
      </c>
      <c r="BN159" t="e">
        <f>Nodes!G1299+"'E4!(2G"</f>
        <v>#VALUE!</v>
      </c>
      <c r="BO159" t="e">
        <f>Nodes!H1299+"'E4!(2H"</f>
        <v>#VALUE!</v>
      </c>
      <c r="BP159" t="e">
        <f>Nodes!I1299+"'E4!(2I"</f>
        <v>#VALUE!</v>
      </c>
      <c r="BQ159" t="e">
        <f>Nodes!J1299+"'E4!(2J"</f>
        <v>#VALUE!</v>
      </c>
      <c r="BR159" t="e">
        <f>Nodes!K1299+"'E4!(2K"</f>
        <v>#VALUE!</v>
      </c>
      <c r="BS159" t="e">
        <f>Nodes!L1299+"'E4!(2L"</f>
        <v>#VALUE!</v>
      </c>
      <c r="BT159" t="e">
        <f>Nodes!M1299+"'E4!(2M"</f>
        <v>#VALUE!</v>
      </c>
      <c r="BU159" t="e">
        <f>Nodes!N1299+"'E4!(2N"</f>
        <v>#VALUE!</v>
      </c>
      <c r="BV159" t="e">
        <f>Nodes!O1299+"'E4!(2O"</f>
        <v>#VALUE!</v>
      </c>
      <c r="BW159" t="e">
        <f>Nodes!P1299+"'E4!(2P"</f>
        <v>#VALUE!</v>
      </c>
      <c r="BX159" t="e">
        <f>Nodes!Q1299+"'E4!(2Q"</f>
        <v>#VALUE!</v>
      </c>
      <c r="BY159" t="e">
        <f>Nodes!R1299+"'E4!(2R"</f>
        <v>#VALUE!</v>
      </c>
      <c r="BZ159" s="547" t="e">
        <f>Nodes!S1299+"'E4!(2S"</f>
        <v>#VALUE!</v>
      </c>
      <c r="CA159" s="547" t="e">
        <f>Nodes!T1299+"'E4!(2T"</f>
        <v>#VALUE!</v>
      </c>
      <c r="CB159" s="548" t="e">
        <f>Nodes!U1299+"'E4!(2U"</f>
        <v>#VALUE!</v>
      </c>
      <c r="CC159" s="548" t="e">
        <f>Nodes!V1299+"'E4!(2V"</f>
        <v>#VALUE!</v>
      </c>
      <c r="CD159" s="547" t="e">
        <f>Nodes!W1299+"'E4!(2W"</f>
        <v>#VALUE!</v>
      </c>
      <c r="CE159" t="e">
        <f>Nodes!X1299+"'E4!(2X"</f>
        <v>#VALUE!</v>
      </c>
      <c r="CF159" t="e">
        <f>Nodes!Y1299+"'E4!(2Y"</f>
        <v>#VALUE!</v>
      </c>
      <c r="CG159" t="e">
        <f>Nodes!Z1299+"'E4!(2Z"</f>
        <v>#VALUE!</v>
      </c>
      <c r="CH159" t="e">
        <f>Nodes!AA1299+"'E4!(2["</f>
        <v>#VALUE!</v>
      </c>
      <c r="CI159" s="547" t="e">
        <f>Nodes!AB1299+"'E4!(2\"</f>
        <v>#VALUE!</v>
      </c>
      <c r="CJ159" s="547" t="e">
        <f>Nodes!AC1299+"'E4!(2]"</f>
        <v>#VALUE!</v>
      </c>
      <c r="CK159" t="e">
        <f>Nodes!A1300+"'E4!(2^"</f>
        <v>#VALUE!</v>
      </c>
      <c r="CL159" t="e">
        <f>Nodes!B1300+"'E4!(2_"</f>
        <v>#VALUE!</v>
      </c>
      <c r="CM159" t="e">
        <f>Nodes!C1300+"'E4!(2`"</f>
        <v>#VALUE!</v>
      </c>
      <c r="CN159" t="e">
        <f>Nodes!D1300+"'E4!(2a"</f>
        <v>#VALUE!</v>
      </c>
      <c r="CO159" t="e">
        <f>Nodes!E1300+"'E4!(2b"</f>
        <v>#VALUE!</v>
      </c>
      <c r="CP159" t="e">
        <f>Nodes!F1300+"'E4!(2c"</f>
        <v>#VALUE!</v>
      </c>
      <c r="CQ159" t="e">
        <f>Nodes!G1300+"'E4!(2d"</f>
        <v>#VALUE!</v>
      </c>
      <c r="CR159" t="e">
        <f>Nodes!H1300+"'E4!(2e"</f>
        <v>#VALUE!</v>
      </c>
      <c r="CS159" t="e">
        <f>Nodes!I1300+"'E4!(2f"</f>
        <v>#VALUE!</v>
      </c>
      <c r="CT159" t="e">
        <f>Nodes!J1300+"'E4!(2g"</f>
        <v>#VALUE!</v>
      </c>
      <c r="CU159" t="e">
        <f>Nodes!K1300+"'E4!(2h"</f>
        <v>#VALUE!</v>
      </c>
      <c r="CV159" t="e">
        <f>Nodes!L1300+"'E4!(2i"</f>
        <v>#VALUE!</v>
      </c>
      <c r="CW159" t="e">
        <f>Nodes!M1300+"'E4!(2j"</f>
        <v>#VALUE!</v>
      </c>
      <c r="CX159" t="e">
        <f>Nodes!N1300+"'E4!(2k"</f>
        <v>#VALUE!</v>
      </c>
      <c r="CY159" t="e">
        <f>Nodes!O1300+"'E4!(2l"</f>
        <v>#VALUE!</v>
      </c>
      <c r="CZ159" t="e">
        <f>Nodes!P1300+"'E4!(2m"</f>
        <v>#VALUE!</v>
      </c>
      <c r="DA159" t="e">
        <f>Nodes!Q1300+"'E4!(2n"</f>
        <v>#VALUE!</v>
      </c>
      <c r="DB159" t="e">
        <f>Nodes!R1300+"'E4!(2o"</f>
        <v>#VALUE!</v>
      </c>
      <c r="DC159" s="547" t="e">
        <f>Nodes!S1300+"'E4!(2p"</f>
        <v>#VALUE!</v>
      </c>
      <c r="DD159" s="547" t="e">
        <f>Nodes!T1300+"'E4!(2q"</f>
        <v>#VALUE!</v>
      </c>
      <c r="DE159" s="548" t="e">
        <f>Nodes!U1300+"'E4!(2r"</f>
        <v>#VALUE!</v>
      </c>
      <c r="DF159" s="548" t="e">
        <f>Nodes!V1300+"'E4!(2s"</f>
        <v>#VALUE!</v>
      </c>
      <c r="DG159" s="547" t="e">
        <f>Nodes!W1300+"'E4!(2t"</f>
        <v>#VALUE!</v>
      </c>
      <c r="DH159" t="e">
        <f>Nodes!X1300+"'E4!(2u"</f>
        <v>#VALUE!</v>
      </c>
      <c r="DI159" t="e">
        <f>Nodes!Y1300+"'E4!(2v"</f>
        <v>#VALUE!</v>
      </c>
      <c r="DJ159" t="e">
        <f>Nodes!Z1300+"'E4!(2w"</f>
        <v>#VALUE!</v>
      </c>
      <c r="DK159" t="e">
        <f>Nodes!AA1300+"'E4!(2x"</f>
        <v>#VALUE!</v>
      </c>
      <c r="DL159" s="547" t="e">
        <f>Nodes!AB1300+"'E4!(2y"</f>
        <v>#VALUE!</v>
      </c>
      <c r="DM159" s="547" t="e">
        <f>Nodes!AC1300+"'E4!(2z"</f>
        <v>#VALUE!</v>
      </c>
      <c r="DN159" t="e">
        <f>Nodes!A1301+"'E4!(2{"</f>
        <v>#VALUE!</v>
      </c>
      <c r="DO159" t="e">
        <f>Nodes!B1301+"'E4!(2|"</f>
        <v>#VALUE!</v>
      </c>
      <c r="DP159" t="e">
        <f>Nodes!C1301+"'E4!(2}"</f>
        <v>#VALUE!</v>
      </c>
      <c r="DQ159" t="e">
        <f>Nodes!D1301+"'E4!(2~"</f>
        <v>#VALUE!</v>
      </c>
      <c r="DR159" t="e">
        <f>Nodes!E1301+"'E4!(3#"</f>
        <v>#VALUE!</v>
      </c>
      <c r="DS159" t="e">
        <f>Nodes!F1301+"'E4!(3$"</f>
        <v>#VALUE!</v>
      </c>
      <c r="DT159" t="e">
        <f>Nodes!G1301+"'E4!(3%"</f>
        <v>#VALUE!</v>
      </c>
      <c r="DU159" t="e">
        <f>Nodes!H1301+"'E4!(3&amp;"</f>
        <v>#VALUE!</v>
      </c>
      <c r="DV159" t="e">
        <f>Nodes!I1301+"'E4!(3'"</f>
        <v>#VALUE!</v>
      </c>
      <c r="DW159" t="e">
        <f>Nodes!J1301+"'E4!(3("</f>
        <v>#VALUE!</v>
      </c>
      <c r="DX159" t="e">
        <f>Nodes!K1301+"'E4!(3)"</f>
        <v>#VALUE!</v>
      </c>
      <c r="DY159" t="e">
        <f>Nodes!L1301+"'E4!(3."</f>
        <v>#VALUE!</v>
      </c>
      <c r="DZ159" t="e">
        <f>Nodes!M1301+"'E4!(3/"</f>
        <v>#VALUE!</v>
      </c>
      <c r="EA159" t="e">
        <f>Nodes!N1301+"'E4!(30"</f>
        <v>#VALUE!</v>
      </c>
      <c r="EB159" t="e">
        <f>Nodes!O1301+"'E4!(31"</f>
        <v>#VALUE!</v>
      </c>
      <c r="EC159" t="e">
        <f>Nodes!P1301+"'E4!(32"</f>
        <v>#VALUE!</v>
      </c>
      <c r="ED159" t="e">
        <f>Nodes!Q1301+"'E4!(33"</f>
        <v>#VALUE!</v>
      </c>
      <c r="EE159" t="e">
        <f>Nodes!R1301+"'E4!(34"</f>
        <v>#VALUE!</v>
      </c>
      <c r="EF159" s="547" t="e">
        <f>Nodes!S1301+"'E4!(35"</f>
        <v>#VALUE!</v>
      </c>
      <c r="EG159" s="547" t="e">
        <f>Nodes!T1301+"'E4!(36"</f>
        <v>#VALUE!</v>
      </c>
      <c r="EH159" s="548" t="e">
        <f>Nodes!U1301+"'E4!(37"</f>
        <v>#VALUE!</v>
      </c>
      <c r="EI159" s="548" t="e">
        <f>Nodes!V1301+"'E4!(38"</f>
        <v>#VALUE!</v>
      </c>
      <c r="EJ159" s="547" t="e">
        <f>Nodes!W1301+"'E4!(39"</f>
        <v>#VALUE!</v>
      </c>
      <c r="EK159" t="e">
        <f>Nodes!X1301+"'E4!(3:"</f>
        <v>#VALUE!</v>
      </c>
      <c r="EL159" t="e">
        <f>Nodes!Y1301+"'E4!(3;"</f>
        <v>#VALUE!</v>
      </c>
      <c r="EM159" t="e">
        <f>Nodes!Z1301+"'E4!(3&lt;"</f>
        <v>#VALUE!</v>
      </c>
      <c r="EN159" t="e">
        <f>Nodes!AA1301+"'E4!(3="</f>
        <v>#VALUE!</v>
      </c>
      <c r="EO159" s="547" t="e">
        <f>Nodes!AB1301+"'E4!(3&gt;"</f>
        <v>#VALUE!</v>
      </c>
      <c r="EP159" s="547" t="e">
        <f>Nodes!AC1301+"'E4!(3?"</f>
        <v>#VALUE!</v>
      </c>
      <c r="EQ159" t="e">
        <f>Nodes!A1302+"'E4!(3@"</f>
        <v>#VALUE!</v>
      </c>
      <c r="ER159" t="e">
        <f>Nodes!B1302+"'E4!(3A"</f>
        <v>#VALUE!</v>
      </c>
      <c r="ES159" t="e">
        <f>Nodes!C1302+"'E4!(3B"</f>
        <v>#VALUE!</v>
      </c>
      <c r="ET159" t="e">
        <f>Nodes!D1302+"'E4!(3C"</f>
        <v>#VALUE!</v>
      </c>
      <c r="EU159" t="e">
        <f>Nodes!E1302+"'E4!(3D"</f>
        <v>#VALUE!</v>
      </c>
      <c r="EV159" t="e">
        <f>Nodes!F1302+"'E4!(3E"</f>
        <v>#VALUE!</v>
      </c>
      <c r="EW159" t="e">
        <f>Nodes!G1302+"'E4!(3F"</f>
        <v>#VALUE!</v>
      </c>
      <c r="EX159" t="e">
        <f>Nodes!H1302+"'E4!(3G"</f>
        <v>#VALUE!</v>
      </c>
      <c r="EY159" t="e">
        <f>Nodes!I1302+"'E4!(3H"</f>
        <v>#VALUE!</v>
      </c>
      <c r="EZ159" t="e">
        <f>Nodes!J1302+"'E4!(3I"</f>
        <v>#VALUE!</v>
      </c>
      <c r="FA159" t="e">
        <f>Nodes!K1302+"'E4!(3J"</f>
        <v>#VALUE!</v>
      </c>
      <c r="FB159" t="e">
        <f>Nodes!L1302+"'E4!(3K"</f>
        <v>#VALUE!</v>
      </c>
      <c r="FC159" t="e">
        <f>Nodes!M1302+"'E4!(3L"</f>
        <v>#VALUE!</v>
      </c>
      <c r="FD159" t="e">
        <f>Nodes!N1302+"'E4!(3M"</f>
        <v>#VALUE!</v>
      </c>
      <c r="FE159" t="e">
        <f>Nodes!O1302+"'E4!(3N"</f>
        <v>#VALUE!</v>
      </c>
      <c r="FF159" t="e">
        <f>Nodes!P1302+"'E4!(3O"</f>
        <v>#VALUE!</v>
      </c>
      <c r="FG159" t="e">
        <f>Nodes!Q1302+"'E4!(3P"</f>
        <v>#VALUE!</v>
      </c>
      <c r="FH159" t="e">
        <f>Nodes!R1302+"'E4!(3Q"</f>
        <v>#VALUE!</v>
      </c>
      <c r="FI159" s="547" t="e">
        <f>Nodes!S1302+"'E4!(3R"</f>
        <v>#VALUE!</v>
      </c>
      <c r="FJ159" s="547" t="e">
        <f>Nodes!T1302+"'E4!(3S"</f>
        <v>#VALUE!</v>
      </c>
      <c r="FK159" s="548" t="e">
        <f>Nodes!U1302+"'E4!(3T"</f>
        <v>#VALUE!</v>
      </c>
      <c r="FL159" s="548" t="e">
        <f>Nodes!V1302+"'E4!(3U"</f>
        <v>#VALUE!</v>
      </c>
      <c r="FM159" s="547" t="e">
        <f>Nodes!W1302+"'E4!(3V"</f>
        <v>#VALUE!</v>
      </c>
      <c r="FN159" t="e">
        <f>Nodes!X1302+"'E4!(3W"</f>
        <v>#VALUE!</v>
      </c>
      <c r="FO159" t="e">
        <f>Nodes!Y1302+"'E4!(3X"</f>
        <v>#VALUE!</v>
      </c>
      <c r="FP159" t="e">
        <f>Nodes!Z1302+"'E4!(3Y"</f>
        <v>#VALUE!</v>
      </c>
      <c r="FQ159" t="e">
        <f>Nodes!AA1302+"'E4!(3Z"</f>
        <v>#VALUE!</v>
      </c>
      <c r="FR159" s="547" t="e">
        <f>Nodes!AB1302+"'E4!(3["</f>
        <v>#VALUE!</v>
      </c>
      <c r="FS159" s="547" t="e">
        <f>Nodes!AC1302+"'E4!(3\"</f>
        <v>#VALUE!</v>
      </c>
      <c r="FT159" t="e">
        <f>Nodes!A1303+"'E4!(3]"</f>
        <v>#VALUE!</v>
      </c>
      <c r="FU159" t="e">
        <f>Nodes!B1303+"'E4!(3^"</f>
        <v>#VALUE!</v>
      </c>
      <c r="FV159" t="e">
        <f>Nodes!C1303+"'E4!(3_"</f>
        <v>#VALUE!</v>
      </c>
      <c r="FW159" t="e">
        <f>Nodes!D1303+"'E4!(3`"</f>
        <v>#VALUE!</v>
      </c>
      <c r="FX159" t="e">
        <f>Nodes!E1303+"'E4!(3a"</f>
        <v>#VALUE!</v>
      </c>
      <c r="FY159" t="e">
        <f>Nodes!F1303+"'E4!(3b"</f>
        <v>#VALUE!</v>
      </c>
      <c r="FZ159" t="e">
        <f>Nodes!G1303+"'E4!(3c"</f>
        <v>#VALUE!</v>
      </c>
      <c r="GA159" t="e">
        <f>Nodes!H1303+"'E4!(3d"</f>
        <v>#VALUE!</v>
      </c>
      <c r="GB159" t="e">
        <f>Nodes!I1303+"'E4!(3e"</f>
        <v>#VALUE!</v>
      </c>
      <c r="GC159" t="e">
        <f>Nodes!J1303+"'E4!(3f"</f>
        <v>#VALUE!</v>
      </c>
      <c r="GD159" t="e">
        <f>Nodes!K1303+"'E4!(3g"</f>
        <v>#VALUE!</v>
      </c>
      <c r="GE159" t="e">
        <f>Nodes!L1303+"'E4!(3h"</f>
        <v>#VALUE!</v>
      </c>
      <c r="GF159" t="e">
        <f>Nodes!M1303+"'E4!(3i"</f>
        <v>#VALUE!</v>
      </c>
      <c r="GG159" t="e">
        <f>Nodes!N1303+"'E4!(3j"</f>
        <v>#VALUE!</v>
      </c>
      <c r="GH159" t="e">
        <f>Nodes!O1303+"'E4!(3k"</f>
        <v>#VALUE!</v>
      </c>
      <c r="GI159" t="e">
        <f>Nodes!P1303+"'E4!(3l"</f>
        <v>#VALUE!</v>
      </c>
      <c r="GJ159" t="e">
        <f>Nodes!Q1303+"'E4!(3m"</f>
        <v>#VALUE!</v>
      </c>
      <c r="GK159" t="e">
        <f>Nodes!R1303+"'E4!(3n"</f>
        <v>#VALUE!</v>
      </c>
      <c r="GL159" s="547" t="e">
        <f>Nodes!S1303+"'E4!(3o"</f>
        <v>#VALUE!</v>
      </c>
      <c r="GM159" s="547" t="e">
        <f>Nodes!T1303+"'E4!(3p"</f>
        <v>#VALUE!</v>
      </c>
      <c r="GN159" s="548" t="e">
        <f>Nodes!U1303+"'E4!(3q"</f>
        <v>#VALUE!</v>
      </c>
      <c r="GO159" s="548" t="e">
        <f>Nodes!V1303+"'E4!(3r"</f>
        <v>#VALUE!</v>
      </c>
      <c r="GP159" s="547" t="e">
        <f>Nodes!W1303+"'E4!(3s"</f>
        <v>#VALUE!</v>
      </c>
      <c r="GQ159" t="e">
        <f>Nodes!X1303+"'E4!(3t"</f>
        <v>#VALUE!</v>
      </c>
      <c r="GR159" t="e">
        <f>Nodes!Y1303+"'E4!(3u"</f>
        <v>#VALUE!</v>
      </c>
      <c r="GS159" t="e">
        <f>Nodes!Z1303+"'E4!(3v"</f>
        <v>#VALUE!</v>
      </c>
      <c r="GT159" t="e">
        <f>Nodes!AA1303+"'E4!(3w"</f>
        <v>#VALUE!</v>
      </c>
      <c r="GU159" s="547" t="e">
        <f>Nodes!AB1303+"'E4!(3x"</f>
        <v>#VALUE!</v>
      </c>
      <c r="GV159" s="547" t="e">
        <f>Nodes!AC1303+"'E4!(3y"</f>
        <v>#VALUE!</v>
      </c>
      <c r="GW159" t="e">
        <f>Nodes!A1304+"'E4!(3z"</f>
        <v>#VALUE!</v>
      </c>
      <c r="GX159" t="e">
        <f>Nodes!B1304+"'E4!(3{"</f>
        <v>#VALUE!</v>
      </c>
      <c r="GY159" t="e">
        <f>Nodes!C1304+"'E4!(3|"</f>
        <v>#VALUE!</v>
      </c>
      <c r="GZ159" t="e">
        <f>Nodes!D1304+"'E4!(3}"</f>
        <v>#VALUE!</v>
      </c>
      <c r="HA159" t="e">
        <f>Nodes!E1304+"'E4!(3~"</f>
        <v>#VALUE!</v>
      </c>
      <c r="HB159" t="e">
        <f>Nodes!F1304+"'E4!(4#"</f>
        <v>#VALUE!</v>
      </c>
      <c r="HC159" t="e">
        <f>Nodes!G1304+"'E4!(4$"</f>
        <v>#VALUE!</v>
      </c>
      <c r="HD159" t="e">
        <f>Nodes!H1304+"'E4!(4%"</f>
        <v>#VALUE!</v>
      </c>
      <c r="HE159" t="e">
        <f>Nodes!I1304+"'E4!(4&amp;"</f>
        <v>#VALUE!</v>
      </c>
      <c r="HF159" t="e">
        <f>Nodes!J1304+"'E4!(4'"</f>
        <v>#VALUE!</v>
      </c>
      <c r="HG159" t="e">
        <f>Nodes!K1304+"'E4!(4("</f>
        <v>#VALUE!</v>
      </c>
      <c r="HH159" t="e">
        <f>Nodes!L1304+"'E4!(4)"</f>
        <v>#VALUE!</v>
      </c>
      <c r="HI159" t="e">
        <f>Nodes!M1304+"'E4!(4."</f>
        <v>#VALUE!</v>
      </c>
      <c r="HJ159" t="e">
        <f>Nodes!N1304+"'E4!(4/"</f>
        <v>#VALUE!</v>
      </c>
      <c r="HK159" t="e">
        <f>Nodes!O1304+"'E4!(40"</f>
        <v>#VALUE!</v>
      </c>
      <c r="HL159" t="e">
        <f>Nodes!P1304+"'E4!(41"</f>
        <v>#VALUE!</v>
      </c>
      <c r="HM159" t="e">
        <f>Nodes!Q1304+"'E4!(42"</f>
        <v>#VALUE!</v>
      </c>
      <c r="HN159" t="e">
        <f>Nodes!R1304+"'E4!(43"</f>
        <v>#VALUE!</v>
      </c>
      <c r="HO159" s="547" t="e">
        <f>Nodes!S1304+"'E4!(44"</f>
        <v>#VALUE!</v>
      </c>
      <c r="HP159" s="547" t="e">
        <f>Nodes!T1304+"'E4!(45"</f>
        <v>#VALUE!</v>
      </c>
      <c r="HQ159" s="548" t="e">
        <f>Nodes!U1304+"'E4!(46"</f>
        <v>#VALUE!</v>
      </c>
      <c r="HR159" s="548" t="e">
        <f>Nodes!V1304+"'E4!(47"</f>
        <v>#VALUE!</v>
      </c>
      <c r="HS159" s="547" t="e">
        <f>Nodes!W1304+"'E4!(48"</f>
        <v>#VALUE!</v>
      </c>
      <c r="HT159" t="e">
        <f>Nodes!X1304+"'E4!(49"</f>
        <v>#VALUE!</v>
      </c>
      <c r="HU159" t="e">
        <f>Nodes!Y1304+"'E4!(4:"</f>
        <v>#VALUE!</v>
      </c>
      <c r="HV159" t="e">
        <f>Nodes!Z1304+"'E4!(4;"</f>
        <v>#VALUE!</v>
      </c>
      <c r="HW159" t="e">
        <f>Nodes!AA1304+"'E4!(4&lt;"</f>
        <v>#VALUE!</v>
      </c>
      <c r="HX159" s="547" t="e">
        <f>Nodes!AB1304+"'E4!(4="</f>
        <v>#VALUE!</v>
      </c>
      <c r="HY159" s="547" t="e">
        <f>Nodes!AC1304+"'E4!(4&gt;"</f>
        <v>#VALUE!</v>
      </c>
      <c r="HZ159" t="e">
        <f>Nodes!A1305+"'E4!(4?"</f>
        <v>#VALUE!</v>
      </c>
      <c r="IA159" t="e">
        <f>Nodes!B1305+"'E4!(4@"</f>
        <v>#VALUE!</v>
      </c>
      <c r="IB159" t="e">
        <f>Nodes!C1305+"'E4!(4A"</f>
        <v>#VALUE!</v>
      </c>
      <c r="IC159" t="e">
        <f>Nodes!D1305+"'E4!(4B"</f>
        <v>#VALUE!</v>
      </c>
      <c r="ID159" t="e">
        <f>Nodes!E1305+"'E4!(4C"</f>
        <v>#VALUE!</v>
      </c>
      <c r="IE159" t="e">
        <f>Nodes!F1305+"'E4!(4D"</f>
        <v>#VALUE!</v>
      </c>
      <c r="IF159" t="e">
        <f>Nodes!G1305+"'E4!(4E"</f>
        <v>#VALUE!</v>
      </c>
      <c r="IG159" t="e">
        <f>Nodes!H1305+"'E4!(4F"</f>
        <v>#VALUE!</v>
      </c>
      <c r="IH159" t="e">
        <f>Nodes!I1305+"'E4!(4G"</f>
        <v>#VALUE!</v>
      </c>
      <c r="II159" t="e">
        <f>Nodes!J1305+"'E4!(4H"</f>
        <v>#VALUE!</v>
      </c>
      <c r="IJ159" t="e">
        <f>Nodes!K1305+"'E4!(4I"</f>
        <v>#VALUE!</v>
      </c>
      <c r="IK159" t="e">
        <f>Nodes!L1305+"'E4!(4J"</f>
        <v>#VALUE!</v>
      </c>
      <c r="IL159" t="e">
        <f>Nodes!M1305+"'E4!(4K"</f>
        <v>#VALUE!</v>
      </c>
      <c r="IM159" t="e">
        <f>Nodes!N1305+"'E4!(4L"</f>
        <v>#VALUE!</v>
      </c>
      <c r="IN159" t="e">
        <f>Nodes!O1305+"'E4!(4M"</f>
        <v>#VALUE!</v>
      </c>
      <c r="IO159" t="e">
        <f>Nodes!P1305+"'E4!(4N"</f>
        <v>#VALUE!</v>
      </c>
      <c r="IP159" t="e">
        <f>Nodes!Q1305+"'E4!(4O"</f>
        <v>#VALUE!</v>
      </c>
      <c r="IQ159" t="e">
        <f>Nodes!R1305+"'E4!(4P"</f>
        <v>#VALUE!</v>
      </c>
      <c r="IR159" s="547" t="e">
        <f>Nodes!S1305+"'E4!(4Q"</f>
        <v>#VALUE!</v>
      </c>
      <c r="IS159" s="547" t="e">
        <f>Nodes!T1305+"'E4!(4R"</f>
        <v>#VALUE!</v>
      </c>
      <c r="IT159" s="548" t="e">
        <f>Nodes!U1305+"'E4!(4S"</f>
        <v>#VALUE!</v>
      </c>
      <c r="IU159" s="548" t="e">
        <f>Nodes!V1305+"'E4!(4T"</f>
        <v>#VALUE!</v>
      </c>
      <c r="IV159" s="547" t="e">
        <f>Nodes!W1305+"'E4!(4U"</f>
        <v>#VALUE!</v>
      </c>
    </row>
    <row r="160" spans="6:256">
      <c r="F160" t="e">
        <f>Nodes!X1305+"'E4!(4V"</f>
        <v>#VALUE!</v>
      </c>
      <c r="G160" t="e">
        <f>Nodes!Y1305+"'E4!(4W"</f>
        <v>#VALUE!</v>
      </c>
      <c r="H160" t="e">
        <f>Nodes!Z1305+"'E4!(4X"</f>
        <v>#VALUE!</v>
      </c>
      <c r="I160" t="e">
        <f>Nodes!AA1305+"'E4!(4Y"</f>
        <v>#VALUE!</v>
      </c>
      <c r="J160" s="547" t="e">
        <f>Nodes!AB1305+"'E4!(4Z"</f>
        <v>#VALUE!</v>
      </c>
      <c r="K160" s="547" t="e">
        <f>Nodes!AC1305+"'E4!(4["</f>
        <v>#VALUE!</v>
      </c>
      <c r="L160" t="e">
        <f>Nodes!A1306+"'E4!(4\"</f>
        <v>#VALUE!</v>
      </c>
      <c r="M160" t="e">
        <f>Nodes!B1306+"'E4!(4]"</f>
        <v>#VALUE!</v>
      </c>
      <c r="N160" t="e">
        <f>Nodes!C1306+"'E4!(4^"</f>
        <v>#VALUE!</v>
      </c>
      <c r="O160" t="e">
        <f>Nodes!D1306+"'E4!(4_"</f>
        <v>#VALUE!</v>
      </c>
      <c r="P160" t="e">
        <f>Nodes!E1306+"'E4!(4`"</f>
        <v>#VALUE!</v>
      </c>
      <c r="Q160" t="e">
        <f>Nodes!F1306+"'E4!(4a"</f>
        <v>#VALUE!</v>
      </c>
      <c r="R160" t="e">
        <f>Nodes!G1306+"'E4!(4b"</f>
        <v>#VALUE!</v>
      </c>
      <c r="S160" t="e">
        <f>Nodes!H1306+"'E4!(4c"</f>
        <v>#VALUE!</v>
      </c>
      <c r="T160" t="e">
        <f>Nodes!I1306+"'E4!(4d"</f>
        <v>#VALUE!</v>
      </c>
      <c r="U160" t="e">
        <f>Nodes!J1306+"'E4!(4e"</f>
        <v>#VALUE!</v>
      </c>
      <c r="V160" t="e">
        <f>Nodes!K1306+"'E4!(4f"</f>
        <v>#VALUE!</v>
      </c>
      <c r="W160" t="e">
        <f>Nodes!L1306+"'E4!(4g"</f>
        <v>#VALUE!</v>
      </c>
      <c r="X160" t="e">
        <f>Nodes!M1306+"'E4!(4h"</f>
        <v>#VALUE!</v>
      </c>
      <c r="Y160" t="e">
        <f>Nodes!N1306+"'E4!(4i"</f>
        <v>#VALUE!</v>
      </c>
      <c r="Z160" t="e">
        <f>Nodes!O1306+"'E4!(4j"</f>
        <v>#VALUE!</v>
      </c>
      <c r="AA160" t="e">
        <f>Nodes!P1306+"'E4!(4k"</f>
        <v>#VALUE!</v>
      </c>
      <c r="AB160" t="e">
        <f>Nodes!Q1306+"'E4!(4l"</f>
        <v>#VALUE!</v>
      </c>
      <c r="AC160" t="e">
        <f>Nodes!R1306+"'E4!(4m"</f>
        <v>#VALUE!</v>
      </c>
      <c r="AD160" s="547" t="e">
        <f>Nodes!S1306+"'E4!(4n"</f>
        <v>#VALUE!</v>
      </c>
      <c r="AE160" s="547" t="e">
        <f>Nodes!T1306+"'E4!(4o"</f>
        <v>#VALUE!</v>
      </c>
      <c r="AF160" s="548" t="e">
        <f>Nodes!U1306+"'E4!(4p"</f>
        <v>#VALUE!</v>
      </c>
      <c r="AG160" s="548" t="e">
        <f>Nodes!V1306+"'E4!(4q"</f>
        <v>#VALUE!</v>
      </c>
      <c r="AH160" s="547" t="e">
        <f>Nodes!W1306+"'E4!(4r"</f>
        <v>#VALUE!</v>
      </c>
      <c r="AI160" t="e">
        <f>Nodes!X1306+"'E4!(4s"</f>
        <v>#VALUE!</v>
      </c>
      <c r="AJ160" t="e">
        <f>Nodes!Y1306+"'E4!(4t"</f>
        <v>#VALUE!</v>
      </c>
      <c r="AK160" t="e">
        <f>Nodes!Z1306+"'E4!(4u"</f>
        <v>#VALUE!</v>
      </c>
      <c r="AL160" t="e">
        <f>Nodes!AA1306+"'E4!(4v"</f>
        <v>#VALUE!</v>
      </c>
      <c r="AM160" s="547" t="e">
        <f>Nodes!AB1306+"'E4!(4w"</f>
        <v>#VALUE!</v>
      </c>
      <c r="AN160" s="547" t="e">
        <f>Nodes!AC1306+"'E4!(4x"</f>
        <v>#VALUE!</v>
      </c>
      <c r="AO160" t="e">
        <f>Nodes!A1307+"'E4!(4y"</f>
        <v>#VALUE!</v>
      </c>
      <c r="AP160" t="e">
        <f>Nodes!B1307+"'E4!(4z"</f>
        <v>#VALUE!</v>
      </c>
      <c r="AQ160" t="e">
        <f>Nodes!C1307+"'E4!(4{"</f>
        <v>#VALUE!</v>
      </c>
      <c r="AR160" t="e">
        <f>Nodes!D1307+"'E4!(4|"</f>
        <v>#VALUE!</v>
      </c>
      <c r="AS160" t="e">
        <f>Nodes!E1307+"'E4!(4}"</f>
        <v>#VALUE!</v>
      </c>
      <c r="AT160" t="e">
        <f>Nodes!F1307+"'E4!(4~"</f>
        <v>#VALUE!</v>
      </c>
      <c r="AU160" t="e">
        <f>Nodes!G1307+"'E4!(5#"</f>
        <v>#VALUE!</v>
      </c>
      <c r="AV160" t="e">
        <f>Nodes!H1307+"'E4!(5$"</f>
        <v>#VALUE!</v>
      </c>
      <c r="AW160" t="e">
        <f>Nodes!I1307+"'E4!(5%"</f>
        <v>#VALUE!</v>
      </c>
      <c r="AX160" t="e">
        <f>Nodes!J1307+"'E4!(5&amp;"</f>
        <v>#VALUE!</v>
      </c>
      <c r="AY160" t="e">
        <f>Nodes!K1307+"'E4!(5'"</f>
        <v>#VALUE!</v>
      </c>
      <c r="AZ160" t="e">
        <f>Nodes!L1307+"'E4!(5("</f>
        <v>#VALUE!</v>
      </c>
      <c r="BA160" t="e">
        <f>Nodes!M1307+"'E4!(5)"</f>
        <v>#VALUE!</v>
      </c>
      <c r="BB160" t="e">
        <f>Nodes!N1307+"'E4!(5."</f>
        <v>#VALUE!</v>
      </c>
      <c r="BC160" t="e">
        <f>Nodes!O1307+"'E4!(5/"</f>
        <v>#VALUE!</v>
      </c>
      <c r="BD160" t="e">
        <f>Nodes!P1307+"'E4!(50"</f>
        <v>#VALUE!</v>
      </c>
      <c r="BE160" t="e">
        <f>Nodes!Q1307+"'E4!(51"</f>
        <v>#VALUE!</v>
      </c>
      <c r="BF160" t="e">
        <f>Nodes!R1307+"'E4!(52"</f>
        <v>#VALUE!</v>
      </c>
      <c r="BG160" s="547" t="e">
        <f>Nodes!S1307+"'E4!(53"</f>
        <v>#VALUE!</v>
      </c>
      <c r="BH160" s="547" t="e">
        <f>Nodes!T1307+"'E4!(54"</f>
        <v>#VALUE!</v>
      </c>
      <c r="BI160" s="548" t="e">
        <f>Nodes!U1307+"'E4!(55"</f>
        <v>#VALUE!</v>
      </c>
      <c r="BJ160" s="548" t="e">
        <f>Nodes!V1307+"'E4!(56"</f>
        <v>#VALUE!</v>
      </c>
      <c r="BK160" s="547" t="e">
        <f>Nodes!W1307+"'E4!(57"</f>
        <v>#VALUE!</v>
      </c>
      <c r="BL160" t="e">
        <f>Nodes!X1307+"'E4!(58"</f>
        <v>#VALUE!</v>
      </c>
      <c r="BM160" t="e">
        <f>Nodes!Y1307+"'E4!(59"</f>
        <v>#VALUE!</v>
      </c>
      <c r="BN160" t="e">
        <f>Nodes!Z1307+"'E4!(5:"</f>
        <v>#VALUE!</v>
      </c>
      <c r="BO160" t="e">
        <f>Nodes!AA1307+"'E4!(5;"</f>
        <v>#VALUE!</v>
      </c>
      <c r="BP160" s="547" t="e">
        <f>Nodes!AB1307+"'E4!(5&lt;"</f>
        <v>#VALUE!</v>
      </c>
      <c r="BQ160" s="547" t="e">
        <f>Nodes!AC1307+"'E4!(5="</f>
        <v>#VALUE!</v>
      </c>
      <c r="BR160" t="e">
        <f>Nodes!A1308+"'E4!(5&gt;"</f>
        <v>#VALUE!</v>
      </c>
      <c r="BS160" t="e">
        <f>Nodes!B1308+"'E4!(5?"</f>
        <v>#VALUE!</v>
      </c>
      <c r="BT160" t="e">
        <f>Nodes!C1308+"'E4!(5@"</f>
        <v>#VALUE!</v>
      </c>
      <c r="BU160" t="e">
        <f>Nodes!D1308+"'E4!(5A"</f>
        <v>#VALUE!</v>
      </c>
      <c r="BV160" t="e">
        <f>Nodes!E1308+"'E4!(5B"</f>
        <v>#VALUE!</v>
      </c>
      <c r="BW160" t="e">
        <f>Nodes!F1308+"'E4!(5C"</f>
        <v>#VALUE!</v>
      </c>
      <c r="BX160" t="e">
        <f>Nodes!G1308+"'E4!(5D"</f>
        <v>#VALUE!</v>
      </c>
      <c r="BY160" t="e">
        <f>Nodes!H1308+"'E4!(5E"</f>
        <v>#VALUE!</v>
      </c>
      <c r="BZ160" t="e">
        <f>Nodes!I1308+"'E4!(5F"</f>
        <v>#VALUE!</v>
      </c>
      <c r="CA160" t="e">
        <f>Nodes!J1308+"'E4!(5G"</f>
        <v>#VALUE!</v>
      </c>
      <c r="CB160" t="e">
        <f>Nodes!K1308+"'E4!(5H"</f>
        <v>#VALUE!</v>
      </c>
      <c r="CC160" t="e">
        <f>Nodes!L1308+"'E4!(5I"</f>
        <v>#VALUE!</v>
      </c>
      <c r="CD160" t="e">
        <f>Nodes!M1308+"'E4!(5J"</f>
        <v>#VALUE!</v>
      </c>
      <c r="CE160" t="e">
        <f>Nodes!N1308+"'E4!(5K"</f>
        <v>#VALUE!</v>
      </c>
      <c r="CF160" t="e">
        <f>Nodes!O1308+"'E4!(5L"</f>
        <v>#VALUE!</v>
      </c>
      <c r="CG160" t="e">
        <f>Nodes!P1308+"'E4!(5M"</f>
        <v>#VALUE!</v>
      </c>
      <c r="CH160" t="e">
        <f>Nodes!Q1308+"'E4!(5N"</f>
        <v>#VALUE!</v>
      </c>
      <c r="CI160" t="e">
        <f>Nodes!R1308+"'E4!(5O"</f>
        <v>#VALUE!</v>
      </c>
      <c r="CJ160" s="547" t="e">
        <f>Nodes!S1308+"'E4!(5P"</f>
        <v>#VALUE!</v>
      </c>
      <c r="CK160" s="547" t="e">
        <f>Nodes!T1308+"'E4!(5Q"</f>
        <v>#VALUE!</v>
      </c>
      <c r="CL160" s="548" t="e">
        <f>Nodes!U1308+"'E4!(5R"</f>
        <v>#VALUE!</v>
      </c>
      <c r="CM160" s="548" t="e">
        <f>Nodes!V1308+"'E4!(5S"</f>
        <v>#VALUE!</v>
      </c>
      <c r="CN160" s="547" t="e">
        <f>Nodes!W1308+"'E4!(5T"</f>
        <v>#VALUE!</v>
      </c>
      <c r="CO160" t="e">
        <f>Nodes!X1308+"'E4!(5U"</f>
        <v>#VALUE!</v>
      </c>
      <c r="CP160" t="e">
        <f>Nodes!Y1308+"'E4!(5V"</f>
        <v>#VALUE!</v>
      </c>
      <c r="CQ160" t="e">
        <f>Nodes!Z1308+"'E4!(5W"</f>
        <v>#VALUE!</v>
      </c>
      <c r="CR160" t="e">
        <f>Nodes!AA1308+"'E4!(5X"</f>
        <v>#VALUE!</v>
      </c>
      <c r="CS160" s="547" t="e">
        <f>Nodes!AB1308+"'E4!(5Y"</f>
        <v>#VALUE!</v>
      </c>
      <c r="CT160" s="547" t="e">
        <f>Nodes!AC1308+"'E4!(5Z"</f>
        <v>#VALUE!</v>
      </c>
      <c r="CU160" t="e">
        <f>Nodes!A1309+"'E4!(5["</f>
        <v>#VALUE!</v>
      </c>
      <c r="CV160" t="e">
        <f>Nodes!B1309+"'E4!(5\"</f>
        <v>#VALUE!</v>
      </c>
      <c r="CW160" t="e">
        <f>Nodes!C1309+"'E4!(5]"</f>
        <v>#VALUE!</v>
      </c>
      <c r="CX160" t="e">
        <f>Nodes!D1309+"'E4!(5^"</f>
        <v>#VALUE!</v>
      </c>
      <c r="CY160" t="e">
        <f>Nodes!E1309+"'E4!(5_"</f>
        <v>#VALUE!</v>
      </c>
      <c r="CZ160" t="e">
        <f>Nodes!F1309+"'E4!(5`"</f>
        <v>#VALUE!</v>
      </c>
      <c r="DA160" t="e">
        <f>Nodes!G1309+"'E4!(5a"</f>
        <v>#VALUE!</v>
      </c>
      <c r="DB160" t="e">
        <f>Nodes!H1309+"'E4!(5b"</f>
        <v>#VALUE!</v>
      </c>
      <c r="DC160" t="e">
        <f>Nodes!I1309+"'E4!(5c"</f>
        <v>#VALUE!</v>
      </c>
      <c r="DD160" t="e">
        <f>Nodes!J1309+"'E4!(5d"</f>
        <v>#VALUE!</v>
      </c>
      <c r="DE160" t="e">
        <f>Nodes!K1309+"'E4!(5e"</f>
        <v>#VALUE!</v>
      </c>
      <c r="DF160" t="e">
        <f>Nodes!L1309+"'E4!(5f"</f>
        <v>#VALUE!</v>
      </c>
      <c r="DG160" t="e">
        <f>Nodes!M1309+"'E4!(5g"</f>
        <v>#VALUE!</v>
      </c>
      <c r="DH160" t="e">
        <f>Nodes!N1309+"'E4!(5h"</f>
        <v>#VALUE!</v>
      </c>
      <c r="DI160" t="e">
        <f>Nodes!O1309+"'E4!(5i"</f>
        <v>#VALUE!</v>
      </c>
      <c r="DJ160" t="e">
        <f>Nodes!P1309+"'E4!(5j"</f>
        <v>#VALUE!</v>
      </c>
      <c r="DK160" t="e">
        <f>Nodes!Q1309+"'E4!(5k"</f>
        <v>#VALUE!</v>
      </c>
      <c r="DL160" t="e">
        <f>Nodes!R1309+"'E4!(5l"</f>
        <v>#VALUE!</v>
      </c>
      <c r="DM160" s="547" t="e">
        <f>Nodes!S1309+"'E4!(5m"</f>
        <v>#VALUE!</v>
      </c>
      <c r="DN160" s="547" t="e">
        <f>Nodes!T1309+"'E4!(5n"</f>
        <v>#VALUE!</v>
      </c>
      <c r="DO160" s="548" t="e">
        <f>Nodes!U1309+"'E4!(5o"</f>
        <v>#VALUE!</v>
      </c>
      <c r="DP160" s="548" t="e">
        <f>Nodes!V1309+"'E4!(5p"</f>
        <v>#VALUE!</v>
      </c>
      <c r="DQ160" s="547" t="e">
        <f>Nodes!W1309+"'E4!(5q"</f>
        <v>#VALUE!</v>
      </c>
      <c r="DR160" t="e">
        <f>Nodes!X1309+"'E4!(5r"</f>
        <v>#VALUE!</v>
      </c>
      <c r="DS160" t="e">
        <f>Nodes!Y1309+"'E4!(5s"</f>
        <v>#VALUE!</v>
      </c>
      <c r="DT160" t="e">
        <f>Nodes!Z1309+"'E4!(5t"</f>
        <v>#VALUE!</v>
      </c>
      <c r="DU160" t="e">
        <f>Nodes!AA1309+"'E4!(5u"</f>
        <v>#VALUE!</v>
      </c>
      <c r="DV160" s="547" t="e">
        <f>Nodes!AB1309+"'E4!(5v"</f>
        <v>#VALUE!</v>
      </c>
      <c r="DW160" s="547" t="e">
        <f>Nodes!AC1309+"'E4!(5w"</f>
        <v>#VALUE!</v>
      </c>
      <c r="DX160" t="e">
        <f>Nodes!A1310+"'E4!(5x"</f>
        <v>#VALUE!</v>
      </c>
      <c r="DY160" t="e">
        <f>Nodes!B1310+"'E4!(5y"</f>
        <v>#VALUE!</v>
      </c>
      <c r="DZ160" t="e">
        <f>Nodes!C1310+"'E4!(5z"</f>
        <v>#VALUE!</v>
      </c>
      <c r="EA160" t="e">
        <f>Nodes!D1310+"'E4!(5{"</f>
        <v>#VALUE!</v>
      </c>
      <c r="EB160" t="e">
        <f>Nodes!E1310+"'E4!(5|"</f>
        <v>#VALUE!</v>
      </c>
      <c r="EC160" t="e">
        <f>Nodes!F1310+"'E4!(5}"</f>
        <v>#VALUE!</v>
      </c>
      <c r="ED160" t="e">
        <f>Nodes!G1310+"'E4!(5~"</f>
        <v>#VALUE!</v>
      </c>
      <c r="EE160" t="e">
        <f>Nodes!H1310+"'E4!(6#"</f>
        <v>#VALUE!</v>
      </c>
      <c r="EF160" t="e">
        <f>Nodes!I1310+"'E4!(6$"</f>
        <v>#VALUE!</v>
      </c>
      <c r="EG160" t="e">
        <f>Nodes!J1310+"'E4!(6%"</f>
        <v>#VALUE!</v>
      </c>
      <c r="EH160" t="e">
        <f>Nodes!K1310+"'E4!(6&amp;"</f>
        <v>#VALUE!</v>
      </c>
      <c r="EI160" t="e">
        <f>Nodes!L1310+"'E4!(6'"</f>
        <v>#VALUE!</v>
      </c>
      <c r="EJ160" t="e">
        <f>Nodes!M1310+"'E4!(6("</f>
        <v>#VALUE!</v>
      </c>
      <c r="EK160" t="e">
        <f>Nodes!N1310+"'E4!(6)"</f>
        <v>#VALUE!</v>
      </c>
      <c r="EL160" t="e">
        <f>Nodes!O1310+"'E4!(6."</f>
        <v>#VALUE!</v>
      </c>
      <c r="EM160" t="e">
        <f>Nodes!P1310+"'E4!(6/"</f>
        <v>#VALUE!</v>
      </c>
      <c r="EN160" t="e">
        <f>Nodes!Q1310+"'E4!(60"</f>
        <v>#VALUE!</v>
      </c>
      <c r="EO160" t="e">
        <f>Nodes!R1310+"'E4!(61"</f>
        <v>#VALUE!</v>
      </c>
      <c r="EP160" s="547" t="e">
        <f>Nodes!S1310+"'E4!(62"</f>
        <v>#VALUE!</v>
      </c>
      <c r="EQ160" s="547" t="e">
        <f>Nodes!T1310+"'E4!(63"</f>
        <v>#VALUE!</v>
      </c>
      <c r="ER160" s="548" t="e">
        <f>Nodes!U1310+"'E4!(64"</f>
        <v>#VALUE!</v>
      </c>
      <c r="ES160" s="548" t="e">
        <f>Nodes!V1310+"'E4!(65"</f>
        <v>#VALUE!</v>
      </c>
      <c r="ET160" s="547" t="e">
        <f>Nodes!W1310+"'E4!(66"</f>
        <v>#VALUE!</v>
      </c>
      <c r="EU160" t="e">
        <f>Nodes!X1310+"'E4!(67"</f>
        <v>#VALUE!</v>
      </c>
      <c r="EV160" t="e">
        <f>Nodes!Y1310+"'E4!(68"</f>
        <v>#VALUE!</v>
      </c>
      <c r="EW160" t="e">
        <f>Nodes!Z1310+"'E4!(69"</f>
        <v>#VALUE!</v>
      </c>
      <c r="EX160" t="e">
        <f>Nodes!AA1310+"'E4!(6:"</f>
        <v>#VALUE!</v>
      </c>
      <c r="EY160" s="547" t="e">
        <f>Nodes!AB1310+"'E4!(6;"</f>
        <v>#VALUE!</v>
      </c>
      <c r="EZ160" s="547" t="e">
        <f>Nodes!AC1310+"'E4!(6&lt;"</f>
        <v>#VALUE!</v>
      </c>
      <c r="FA160" t="e">
        <f>Nodes!A1311+"'E4!(6="</f>
        <v>#VALUE!</v>
      </c>
      <c r="FB160" t="e">
        <f>Nodes!B1311+"'E4!(6&gt;"</f>
        <v>#VALUE!</v>
      </c>
      <c r="FC160" t="e">
        <f>Nodes!C1311+"'E4!(6?"</f>
        <v>#VALUE!</v>
      </c>
      <c r="FD160" t="e">
        <f>Nodes!D1311+"'E4!(6@"</f>
        <v>#VALUE!</v>
      </c>
      <c r="FE160" t="e">
        <f>Nodes!E1311+"'E4!(6A"</f>
        <v>#VALUE!</v>
      </c>
      <c r="FF160" t="e">
        <f>Nodes!F1311+"'E4!(6B"</f>
        <v>#VALUE!</v>
      </c>
      <c r="FG160" t="e">
        <f>Nodes!G1311+"'E4!(6C"</f>
        <v>#VALUE!</v>
      </c>
      <c r="FH160" t="e">
        <f>Nodes!H1311+"'E4!(6D"</f>
        <v>#VALUE!</v>
      </c>
      <c r="FI160" t="e">
        <f>Nodes!I1311+"'E4!(6E"</f>
        <v>#VALUE!</v>
      </c>
      <c r="FJ160" t="e">
        <f>Nodes!J1311+"'E4!(6F"</f>
        <v>#VALUE!</v>
      </c>
      <c r="FK160" t="e">
        <f>Nodes!K1311+"'E4!(6G"</f>
        <v>#VALUE!</v>
      </c>
      <c r="FL160" t="e">
        <f>Nodes!L1311+"'E4!(6H"</f>
        <v>#VALUE!</v>
      </c>
      <c r="FM160" t="e">
        <f>Nodes!M1311+"'E4!(6I"</f>
        <v>#VALUE!</v>
      </c>
      <c r="FN160" t="e">
        <f>Nodes!N1311+"'E4!(6J"</f>
        <v>#VALUE!</v>
      </c>
      <c r="FO160" t="e">
        <f>Nodes!O1311+"'E4!(6K"</f>
        <v>#VALUE!</v>
      </c>
      <c r="FP160" t="e">
        <f>Nodes!P1311+"'E4!(6L"</f>
        <v>#VALUE!</v>
      </c>
      <c r="FQ160" t="e">
        <f>Nodes!Q1311+"'E4!(6M"</f>
        <v>#VALUE!</v>
      </c>
      <c r="FR160" t="e">
        <f>Nodes!R1311+"'E4!(6N"</f>
        <v>#VALUE!</v>
      </c>
      <c r="FS160" s="547" t="e">
        <f>Nodes!S1311+"'E4!(6O"</f>
        <v>#VALUE!</v>
      </c>
      <c r="FT160" s="547" t="e">
        <f>Nodes!T1311+"'E4!(6P"</f>
        <v>#VALUE!</v>
      </c>
      <c r="FU160" s="548" t="e">
        <f>Nodes!U1311+"'E4!(6Q"</f>
        <v>#VALUE!</v>
      </c>
      <c r="FV160" s="548" t="e">
        <f>Nodes!V1311+"'E4!(6R"</f>
        <v>#VALUE!</v>
      </c>
      <c r="FW160" s="547" t="e">
        <f>Nodes!W1311+"'E4!(6S"</f>
        <v>#VALUE!</v>
      </c>
      <c r="FX160" t="e">
        <f>Nodes!X1311+"'E4!(6T"</f>
        <v>#VALUE!</v>
      </c>
      <c r="FY160" t="e">
        <f>Nodes!Y1311+"'E4!(6U"</f>
        <v>#VALUE!</v>
      </c>
      <c r="FZ160" t="e">
        <f>Nodes!Z1311+"'E4!(6V"</f>
        <v>#VALUE!</v>
      </c>
      <c r="GA160" t="e">
        <f>Nodes!AA1311+"'E4!(6W"</f>
        <v>#VALUE!</v>
      </c>
      <c r="GB160" s="547" t="e">
        <f>Nodes!AB1311+"'E4!(6X"</f>
        <v>#VALUE!</v>
      </c>
      <c r="GC160" s="547" t="e">
        <f>Nodes!AC1311+"'E4!(6Y"</f>
        <v>#VALUE!</v>
      </c>
      <c r="GD160" t="e">
        <f>Nodes!A1312+"'E4!(6Z"</f>
        <v>#VALUE!</v>
      </c>
      <c r="GE160" t="e">
        <f>Nodes!B1312+"'E4!(6["</f>
        <v>#VALUE!</v>
      </c>
      <c r="GF160" t="e">
        <f>Nodes!C1312+"'E4!(6\"</f>
        <v>#VALUE!</v>
      </c>
      <c r="GG160" t="e">
        <f>Nodes!D1312+"'E4!(6]"</f>
        <v>#VALUE!</v>
      </c>
      <c r="GH160" t="e">
        <f>Nodes!E1312+"'E4!(6^"</f>
        <v>#VALUE!</v>
      </c>
      <c r="GI160" t="e">
        <f>Nodes!F1312+"'E4!(6_"</f>
        <v>#VALUE!</v>
      </c>
      <c r="GJ160" t="e">
        <f>Nodes!G1312+"'E4!(6`"</f>
        <v>#VALUE!</v>
      </c>
      <c r="GK160" t="e">
        <f>Nodes!H1312+"'E4!(6a"</f>
        <v>#VALUE!</v>
      </c>
      <c r="GL160" t="e">
        <f>Nodes!I1312+"'E4!(6b"</f>
        <v>#VALUE!</v>
      </c>
      <c r="GM160" t="e">
        <f>Nodes!J1312+"'E4!(6c"</f>
        <v>#VALUE!</v>
      </c>
      <c r="GN160" t="e">
        <f>Nodes!K1312+"'E4!(6d"</f>
        <v>#VALUE!</v>
      </c>
      <c r="GO160" t="e">
        <f>Nodes!L1312+"'E4!(6e"</f>
        <v>#VALUE!</v>
      </c>
      <c r="GP160" t="e">
        <f>Nodes!M1312+"'E4!(6f"</f>
        <v>#VALUE!</v>
      </c>
      <c r="GQ160" t="e">
        <f>Nodes!N1312+"'E4!(6g"</f>
        <v>#VALUE!</v>
      </c>
      <c r="GR160" t="e">
        <f>Nodes!O1312+"'E4!(6h"</f>
        <v>#VALUE!</v>
      </c>
      <c r="GS160" t="e">
        <f>Nodes!P1312+"'E4!(6i"</f>
        <v>#VALUE!</v>
      </c>
      <c r="GT160" t="e">
        <f>Nodes!Q1312+"'E4!(6j"</f>
        <v>#VALUE!</v>
      </c>
      <c r="GU160" t="e">
        <f>Nodes!R1312+"'E4!(6k"</f>
        <v>#VALUE!</v>
      </c>
      <c r="GV160" s="547" t="e">
        <f>Nodes!S1312+"'E4!(6l"</f>
        <v>#VALUE!</v>
      </c>
      <c r="GW160" s="547" t="e">
        <f>Nodes!T1312+"'E4!(6m"</f>
        <v>#VALUE!</v>
      </c>
      <c r="GX160" s="548" t="e">
        <f>Nodes!U1312+"'E4!(6n"</f>
        <v>#VALUE!</v>
      </c>
      <c r="GY160" s="548" t="e">
        <f>Nodes!V1312+"'E4!(6o"</f>
        <v>#VALUE!</v>
      </c>
      <c r="GZ160" s="547" t="e">
        <f>Nodes!W1312+"'E4!(6p"</f>
        <v>#VALUE!</v>
      </c>
      <c r="HA160" t="e">
        <f>Nodes!X1312+"'E4!(6q"</f>
        <v>#VALUE!</v>
      </c>
      <c r="HB160" t="e">
        <f>Nodes!Y1312+"'E4!(6r"</f>
        <v>#VALUE!</v>
      </c>
      <c r="HC160" t="e">
        <f>Nodes!Z1312+"'E4!(6s"</f>
        <v>#VALUE!</v>
      </c>
      <c r="HD160" t="e">
        <f>Nodes!AA1312+"'E4!(6t"</f>
        <v>#VALUE!</v>
      </c>
      <c r="HE160" s="547" t="e">
        <f>Nodes!AB1312+"'E4!(6u"</f>
        <v>#VALUE!</v>
      </c>
      <c r="HF160" s="547" t="e">
        <f>Nodes!AC1312+"'E4!(6v"</f>
        <v>#VALUE!</v>
      </c>
      <c r="HG160" t="e">
        <f>Nodes!A1313+"'E4!(6w"</f>
        <v>#VALUE!</v>
      </c>
      <c r="HH160" t="e">
        <f>Nodes!B1313+"'E4!(6x"</f>
        <v>#VALUE!</v>
      </c>
      <c r="HI160" t="e">
        <f>Nodes!C1313+"'E4!(6y"</f>
        <v>#VALUE!</v>
      </c>
      <c r="HJ160" t="e">
        <f>Nodes!D1313+"'E4!(6z"</f>
        <v>#VALUE!</v>
      </c>
      <c r="HK160" t="e">
        <f>Nodes!E1313+"'E4!(6{"</f>
        <v>#VALUE!</v>
      </c>
      <c r="HL160" t="e">
        <f>Nodes!F1313+"'E4!(6|"</f>
        <v>#VALUE!</v>
      </c>
      <c r="HM160" t="e">
        <f>Nodes!G1313+"'E4!(6}"</f>
        <v>#VALUE!</v>
      </c>
      <c r="HN160" t="e">
        <f>Nodes!H1313+"'E4!(6~"</f>
        <v>#VALUE!</v>
      </c>
      <c r="HO160" t="e">
        <f>Nodes!I1313+"'E4!(7#"</f>
        <v>#VALUE!</v>
      </c>
      <c r="HP160" t="e">
        <f>Nodes!J1313+"'E4!(7$"</f>
        <v>#VALUE!</v>
      </c>
      <c r="HQ160" t="e">
        <f>Nodes!K1313+"'E4!(7%"</f>
        <v>#VALUE!</v>
      </c>
      <c r="HR160" t="e">
        <f>Nodes!L1313+"'E4!(7&amp;"</f>
        <v>#VALUE!</v>
      </c>
      <c r="HS160" t="e">
        <f>Nodes!M1313+"'E4!(7'"</f>
        <v>#VALUE!</v>
      </c>
      <c r="HT160" t="e">
        <f>Nodes!N1313+"'E4!(7("</f>
        <v>#VALUE!</v>
      </c>
      <c r="HU160" t="e">
        <f>Nodes!O1313+"'E4!(7)"</f>
        <v>#VALUE!</v>
      </c>
      <c r="HV160" t="e">
        <f>Nodes!P1313+"'E4!(7."</f>
        <v>#VALUE!</v>
      </c>
      <c r="HW160" t="e">
        <f>Nodes!Q1313+"'E4!(7/"</f>
        <v>#VALUE!</v>
      </c>
      <c r="HX160" t="e">
        <f>Nodes!R1313+"'E4!(70"</f>
        <v>#VALUE!</v>
      </c>
      <c r="HY160" t="e">
        <f>Nodes!S1313+"'E4!(71"</f>
        <v>#VALUE!</v>
      </c>
      <c r="HZ160" s="547" t="e">
        <f>Nodes!T1313+"'E4!(72"</f>
        <v>#VALUE!</v>
      </c>
      <c r="IA160" s="548" t="e">
        <f>Nodes!U1313+"'E4!(73"</f>
        <v>#VALUE!</v>
      </c>
      <c r="IB160" s="548" t="e">
        <f>Nodes!V1313+"'E4!(74"</f>
        <v>#VALUE!</v>
      </c>
      <c r="IC160" s="547" t="e">
        <f>Nodes!W1313+"'E4!(75"</f>
        <v>#VALUE!</v>
      </c>
      <c r="ID160" t="e">
        <f>Nodes!X1313+"'E4!(76"</f>
        <v>#VALUE!</v>
      </c>
      <c r="IE160" t="e">
        <f>Nodes!Y1313+"'E4!(77"</f>
        <v>#VALUE!</v>
      </c>
      <c r="IF160" t="e">
        <f>Nodes!Z1313+"'E4!(78"</f>
        <v>#VALUE!</v>
      </c>
      <c r="IG160" t="e">
        <f>Nodes!AA1313+"'E4!(79"</f>
        <v>#VALUE!</v>
      </c>
      <c r="IH160" t="e">
        <f>Nodes!AB1313+"'E4!(7:"</f>
        <v>#VALUE!</v>
      </c>
      <c r="II160" t="e">
        <f>Nodes!AC1313+"'E4!(7;"</f>
        <v>#VALUE!</v>
      </c>
      <c r="IJ160" t="e">
        <f>Nodes!A1314+"'E4!(7&lt;"</f>
        <v>#VALUE!</v>
      </c>
      <c r="IK160" t="e">
        <f>Nodes!B1314+"'E4!(7="</f>
        <v>#VALUE!</v>
      </c>
      <c r="IL160" t="e">
        <f>Nodes!C1314+"'E4!(7&gt;"</f>
        <v>#VALUE!</v>
      </c>
      <c r="IM160" t="e">
        <f>Nodes!D1314+"'E4!(7?"</f>
        <v>#VALUE!</v>
      </c>
      <c r="IN160" t="e">
        <f>Nodes!E1314+"'E4!(7@"</f>
        <v>#VALUE!</v>
      </c>
      <c r="IO160" t="e">
        <f>Nodes!F1314+"'E4!(7A"</f>
        <v>#VALUE!</v>
      </c>
      <c r="IP160" t="e">
        <f>Nodes!G1314+"'E4!(7B"</f>
        <v>#VALUE!</v>
      </c>
      <c r="IQ160" t="e">
        <f>Nodes!H1314+"'E4!(7C"</f>
        <v>#VALUE!</v>
      </c>
      <c r="IR160" t="e">
        <f>Nodes!I1314+"'E4!(7D"</f>
        <v>#VALUE!</v>
      </c>
      <c r="IS160" t="e">
        <f>Nodes!J1314+"'E4!(7E"</f>
        <v>#VALUE!</v>
      </c>
      <c r="IT160" t="e">
        <f>Nodes!K1314+"'E4!(7F"</f>
        <v>#VALUE!</v>
      </c>
      <c r="IU160" t="e">
        <f>Nodes!L1314+"'E4!(7G"</f>
        <v>#VALUE!</v>
      </c>
      <c r="IV160" t="e">
        <f>Nodes!M1314+"'E4!(7H"</f>
        <v>#VALUE!</v>
      </c>
    </row>
    <row r="161" spans="6:256">
      <c r="F161" t="e">
        <f>Nodes!N1314+"'E4!(7I"</f>
        <v>#VALUE!</v>
      </c>
      <c r="G161" t="e">
        <f>Nodes!O1314+"'E4!(7J"</f>
        <v>#VALUE!</v>
      </c>
      <c r="H161" t="e">
        <f>Nodes!P1314+"'E4!(7K"</f>
        <v>#VALUE!</v>
      </c>
      <c r="I161" t="e">
        <f>Nodes!Q1314+"'E4!(7L"</f>
        <v>#VALUE!</v>
      </c>
      <c r="J161" t="e">
        <f>Nodes!R1314+"'E4!(7M"</f>
        <v>#VALUE!</v>
      </c>
      <c r="K161" t="e">
        <f>Nodes!S1314+"'E4!(7N"</f>
        <v>#VALUE!</v>
      </c>
      <c r="L161" s="547" t="e">
        <f>Nodes!T1314+"'E4!(7O"</f>
        <v>#VALUE!</v>
      </c>
      <c r="M161" s="548" t="e">
        <f>Nodes!U1314+"'E4!(7P"</f>
        <v>#VALUE!</v>
      </c>
      <c r="N161" s="548" t="e">
        <f>Nodes!V1314+"'E4!(7Q"</f>
        <v>#VALUE!</v>
      </c>
      <c r="O161" s="547" t="e">
        <f>Nodes!W1314+"'E4!(7R"</f>
        <v>#VALUE!</v>
      </c>
      <c r="P161" t="e">
        <f>Nodes!X1314+"'E4!(7S"</f>
        <v>#VALUE!</v>
      </c>
      <c r="Q161" t="e">
        <f>Nodes!Y1314+"'E4!(7T"</f>
        <v>#VALUE!</v>
      </c>
      <c r="R161" t="e">
        <f>Nodes!Z1314+"'E4!(7U"</f>
        <v>#VALUE!</v>
      </c>
      <c r="S161" t="e">
        <f>Nodes!AA1314+"'E4!(7V"</f>
        <v>#VALUE!</v>
      </c>
      <c r="T161" t="e">
        <f>Nodes!AB1314+"'E4!(7W"</f>
        <v>#VALUE!</v>
      </c>
      <c r="U161" t="e">
        <f>Nodes!AC1314+"'E4!(7X"</f>
        <v>#VALUE!</v>
      </c>
      <c r="V161" t="e">
        <f>Nodes!A1315+"'E4!(7Y"</f>
        <v>#VALUE!</v>
      </c>
      <c r="W161" t="e">
        <f>Nodes!B1315+"'E4!(7Z"</f>
        <v>#VALUE!</v>
      </c>
      <c r="X161" t="e">
        <f>Nodes!C1315+"'E4!(7["</f>
        <v>#VALUE!</v>
      </c>
      <c r="Y161" t="e">
        <f>Nodes!D1315+"'E4!(7\"</f>
        <v>#VALUE!</v>
      </c>
      <c r="Z161" t="e">
        <f>Nodes!E1315+"'E4!(7]"</f>
        <v>#VALUE!</v>
      </c>
      <c r="AA161" t="e">
        <f>Nodes!F1315+"'E4!(7^"</f>
        <v>#VALUE!</v>
      </c>
      <c r="AB161" t="e">
        <f>Nodes!G1315+"'E4!(7_"</f>
        <v>#VALUE!</v>
      </c>
      <c r="AC161" t="e">
        <f>Nodes!H1315+"'E4!(7`"</f>
        <v>#VALUE!</v>
      </c>
      <c r="AD161" t="e">
        <f>Nodes!I1315+"'E4!(7a"</f>
        <v>#VALUE!</v>
      </c>
      <c r="AE161" t="e">
        <f>Nodes!J1315+"'E4!(7b"</f>
        <v>#VALUE!</v>
      </c>
      <c r="AF161" t="e">
        <f>Nodes!K1315+"'E4!(7c"</f>
        <v>#VALUE!</v>
      </c>
      <c r="AG161" t="e">
        <f>Nodes!L1315+"'E4!(7d"</f>
        <v>#VALUE!</v>
      </c>
      <c r="AH161" t="e">
        <f>Nodes!M1315+"'E4!(7e"</f>
        <v>#VALUE!</v>
      </c>
      <c r="AI161" t="e">
        <f>Nodes!N1315+"'E4!(7f"</f>
        <v>#VALUE!</v>
      </c>
      <c r="AJ161" t="e">
        <f>Nodes!O1315+"'E4!(7g"</f>
        <v>#VALUE!</v>
      </c>
      <c r="AK161" t="e">
        <f>Nodes!Q1315+"'E4!(7h"</f>
        <v>#VALUE!</v>
      </c>
      <c r="AL161" t="e">
        <f>Nodes!R1315+"'E4!(7i"</f>
        <v>#VALUE!</v>
      </c>
      <c r="AM161" t="e">
        <f>Nodes!S1315+"'E4!(7j"</f>
        <v>#VALUE!</v>
      </c>
      <c r="AN161" s="547" t="e">
        <f>Nodes!T1315+"'E4!(7k"</f>
        <v>#VALUE!</v>
      </c>
      <c r="AO161" s="548" t="e">
        <f>Nodes!U1315+"'E4!(7l"</f>
        <v>#VALUE!</v>
      </c>
      <c r="AP161" s="548" t="e">
        <f>Nodes!V1315+"'E4!(7m"</f>
        <v>#VALUE!</v>
      </c>
      <c r="AQ161" s="547" t="e">
        <f>Nodes!W1315+"'E4!(7n"</f>
        <v>#VALUE!</v>
      </c>
      <c r="AR161" t="e">
        <f>Nodes!X1315+"'E4!(7o"</f>
        <v>#VALUE!</v>
      </c>
      <c r="AS161" t="e">
        <f>Nodes!Y1315+"'E4!(7p"</f>
        <v>#VALUE!</v>
      </c>
      <c r="AT161" t="e">
        <f>Nodes!Z1315+"'E4!(7q"</f>
        <v>#VALUE!</v>
      </c>
      <c r="AU161" t="e">
        <f>Nodes!AA1315+"'E4!(7r"</f>
        <v>#VALUE!</v>
      </c>
      <c r="AV161" t="e">
        <f>Nodes!AB1315+"'E4!(7s"</f>
        <v>#VALUE!</v>
      </c>
      <c r="AW161" t="e">
        <f>Nodes!AC1315+"'E4!(7t"</f>
        <v>#VALUE!</v>
      </c>
      <c r="AX161" t="e">
        <f>Nodes!A1316+"'E4!(7u"</f>
        <v>#VALUE!</v>
      </c>
      <c r="AY161" t="e">
        <f>Nodes!B1316+"'E4!(7v"</f>
        <v>#VALUE!</v>
      </c>
      <c r="AZ161" t="e">
        <f>Nodes!C1316+"'E4!(7w"</f>
        <v>#VALUE!</v>
      </c>
      <c r="BA161" t="e">
        <f>Nodes!D1316+"'E4!(7x"</f>
        <v>#VALUE!</v>
      </c>
      <c r="BB161" t="e">
        <f>Nodes!E1316+"'E4!(7y"</f>
        <v>#VALUE!</v>
      </c>
      <c r="BC161" t="e">
        <f>Nodes!F1316+"'E4!(7z"</f>
        <v>#VALUE!</v>
      </c>
      <c r="BD161" t="e">
        <f>Nodes!G1316+"'E4!(7{"</f>
        <v>#VALUE!</v>
      </c>
      <c r="BE161" t="e">
        <f>Nodes!H1316+"'E4!(7|"</f>
        <v>#VALUE!</v>
      </c>
      <c r="BF161" t="e">
        <f>Nodes!I1316+"'E4!(7}"</f>
        <v>#VALUE!</v>
      </c>
      <c r="BG161" t="e">
        <f>Nodes!J1316+"'E4!(7~"</f>
        <v>#VALUE!</v>
      </c>
      <c r="BH161" t="e">
        <f>Nodes!K1316+"'E4!(8#"</f>
        <v>#VALUE!</v>
      </c>
      <c r="BI161" t="e">
        <f>Nodes!L1316+"'E4!(8$"</f>
        <v>#VALUE!</v>
      </c>
      <c r="BJ161" t="e">
        <f>Nodes!M1316+"'E4!(8%"</f>
        <v>#VALUE!</v>
      </c>
      <c r="BK161" t="e">
        <f>Nodes!N1316+"'E4!(8&amp;"</f>
        <v>#VALUE!</v>
      </c>
      <c r="BL161" t="e">
        <f>Nodes!O1316+"'E4!(8'"</f>
        <v>#VALUE!</v>
      </c>
      <c r="BM161" t="e">
        <f>Nodes!Q1316+"'E4!(8("</f>
        <v>#VALUE!</v>
      </c>
      <c r="BN161" t="e">
        <f>Nodes!R1316+"'E4!(8)"</f>
        <v>#VALUE!</v>
      </c>
      <c r="BO161" t="e">
        <f>Nodes!S1316+"'E4!(8."</f>
        <v>#VALUE!</v>
      </c>
      <c r="BP161" s="547" t="e">
        <f>Nodes!T1316+"'E4!(8/"</f>
        <v>#VALUE!</v>
      </c>
      <c r="BQ161" s="548" t="e">
        <f>Nodes!U1316+"'E4!(80"</f>
        <v>#VALUE!</v>
      </c>
      <c r="BR161" s="548" t="e">
        <f>Nodes!V1316+"'E4!(81"</f>
        <v>#VALUE!</v>
      </c>
      <c r="BS161" s="547" t="e">
        <f>Nodes!W1316+"'E4!(82"</f>
        <v>#VALUE!</v>
      </c>
      <c r="BT161" t="e">
        <f>Nodes!X1316+"'E4!(83"</f>
        <v>#VALUE!</v>
      </c>
      <c r="BU161" t="e">
        <f>Nodes!Y1316+"'E4!(84"</f>
        <v>#VALUE!</v>
      </c>
      <c r="BV161" t="e">
        <f>Nodes!Z1316+"'E4!(85"</f>
        <v>#VALUE!</v>
      </c>
      <c r="BW161" t="e">
        <f>Nodes!AA1316+"'E4!(86"</f>
        <v>#VALUE!</v>
      </c>
      <c r="BX161" t="e">
        <f>Nodes!AB1316+"'E4!(87"</f>
        <v>#VALUE!</v>
      </c>
      <c r="BY161" t="e">
        <f>Nodes!AC1316+"'E4!(88"</f>
        <v>#VALUE!</v>
      </c>
      <c r="BZ161" t="e">
        <f>Nodes!A1317+"'E4!(89"</f>
        <v>#VALUE!</v>
      </c>
      <c r="CA161" t="e">
        <f>Nodes!B1317+"'E4!(8:"</f>
        <v>#VALUE!</v>
      </c>
      <c r="CB161" t="e">
        <f>Nodes!C1317+"'E4!(8;"</f>
        <v>#VALUE!</v>
      </c>
      <c r="CC161" t="e">
        <f>Nodes!D1317+"'E4!(8&lt;"</f>
        <v>#VALUE!</v>
      </c>
      <c r="CD161" t="e">
        <f>Nodes!E1317+"'E4!(8="</f>
        <v>#VALUE!</v>
      </c>
      <c r="CE161" t="e">
        <f>Nodes!F1317+"'E4!(8&gt;"</f>
        <v>#VALUE!</v>
      </c>
      <c r="CF161" t="e">
        <f>Nodes!G1317+"'E4!(8?"</f>
        <v>#VALUE!</v>
      </c>
      <c r="CG161" t="e">
        <f>Nodes!H1317+"'E4!(8@"</f>
        <v>#VALUE!</v>
      </c>
      <c r="CH161" t="e">
        <f>Nodes!I1317+"'E4!(8A"</f>
        <v>#VALUE!</v>
      </c>
      <c r="CI161" t="e">
        <f>Nodes!J1317+"'E4!(8B"</f>
        <v>#VALUE!</v>
      </c>
      <c r="CJ161" t="e">
        <f>Nodes!K1317+"'E4!(8C"</f>
        <v>#VALUE!</v>
      </c>
      <c r="CK161" t="e">
        <f>Nodes!L1317+"'E4!(8D"</f>
        <v>#VALUE!</v>
      </c>
      <c r="CL161" t="e">
        <f>Nodes!M1317+"'E4!(8E"</f>
        <v>#VALUE!</v>
      </c>
      <c r="CM161" t="e">
        <f>Nodes!N1317+"'E4!(8F"</f>
        <v>#VALUE!</v>
      </c>
      <c r="CN161" t="e">
        <f>Nodes!O1317+"'E4!(8G"</f>
        <v>#VALUE!</v>
      </c>
      <c r="CO161" t="e">
        <f>Nodes!P1317+"'E4!(8H"</f>
        <v>#VALUE!</v>
      </c>
      <c r="CP161" t="e">
        <f>Nodes!Q1317+"'E4!(8I"</f>
        <v>#VALUE!</v>
      </c>
      <c r="CQ161" t="e">
        <f>Nodes!R1317+"'E4!(8J"</f>
        <v>#VALUE!</v>
      </c>
      <c r="CR161" t="e">
        <f>Nodes!S1317+"'E4!(8K"</f>
        <v>#VALUE!</v>
      </c>
      <c r="CS161" s="547" t="e">
        <f>Nodes!T1317+"'E4!(8L"</f>
        <v>#VALUE!</v>
      </c>
      <c r="CT161" s="548" t="e">
        <f>Nodes!U1317+"'E4!(8M"</f>
        <v>#VALUE!</v>
      </c>
      <c r="CU161" s="548" t="e">
        <f>Nodes!V1317+"'E4!(8N"</f>
        <v>#VALUE!</v>
      </c>
      <c r="CV161" s="547" t="e">
        <f>Nodes!W1317+"'E4!(8O"</f>
        <v>#VALUE!</v>
      </c>
      <c r="CW161" t="e">
        <f>Nodes!X1317+"'E4!(8P"</f>
        <v>#VALUE!</v>
      </c>
      <c r="CX161" t="e">
        <f>Nodes!Y1317+"'E4!(8Q"</f>
        <v>#VALUE!</v>
      </c>
      <c r="CY161" t="e">
        <f>Nodes!Z1317+"'E4!(8R"</f>
        <v>#VALUE!</v>
      </c>
      <c r="CZ161" t="e">
        <f>Nodes!AA1317+"'E4!(8S"</f>
        <v>#VALUE!</v>
      </c>
      <c r="DA161" t="e">
        <f>Nodes!AB1317+"'E4!(8T"</f>
        <v>#VALUE!</v>
      </c>
      <c r="DB161" t="e">
        <f>Nodes!AC1317+"'E4!(8U"</f>
        <v>#VALUE!</v>
      </c>
      <c r="DC161" t="e">
        <f>Nodes!A1318+"'E4!(8V"</f>
        <v>#VALUE!</v>
      </c>
      <c r="DD161" t="e">
        <f>Nodes!B1318+"'E4!(8W"</f>
        <v>#VALUE!</v>
      </c>
      <c r="DE161" t="e">
        <f>Nodes!C1318+"'E4!(8X"</f>
        <v>#VALUE!</v>
      </c>
      <c r="DF161" t="e">
        <f>Nodes!D1318+"'E4!(8Y"</f>
        <v>#VALUE!</v>
      </c>
      <c r="DG161" t="e">
        <f>Nodes!E1318+"'E4!(8Z"</f>
        <v>#VALUE!</v>
      </c>
      <c r="DH161" t="e">
        <f>Nodes!F1318+"'E4!(8["</f>
        <v>#VALUE!</v>
      </c>
      <c r="DI161" t="e">
        <f>Nodes!G1318+"'E4!(8\"</f>
        <v>#VALUE!</v>
      </c>
      <c r="DJ161" t="e">
        <f>Nodes!H1318+"'E4!(8]"</f>
        <v>#VALUE!</v>
      </c>
      <c r="DK161" t="e">
        <f>Nodes!I1318+"'E4!(8^"</f>
        <v>#VALUE!</v>
      </c>
      <c r="DL161" t="e">
        <f>Nodes!J1318+"'E4!(8_"</f>
        <v>#VALUE!</v>
      </c>
      <c r="DM161" t="e">
        <f>Nodes!K1318+"'E4!(8`"</f>
        <v>#VALUE!</v>
      </c>
      <c r="DN161" t="e">
        <f>Nodes!L1318+"'E4!(8a"</f>
        <v>#VALUE!</v>
      </c>
      <c r="DO161" t="e">
        <f>Nodes!M1318+"'E4!(8b"</f>
        <v>#VALUE!</v>
      </c>
      <c r="DP161" t="e">
        <f>Nodes!N1318+"'E4!(8c"</f>
        <v>#VALUE!</v>
      </c>
      <c r="DQ161" t="e">
        <f>Nodes!O1318+"'E4!(8d"</f>
        <v>#VALUE!</v>
      </c>
      <c r="DR161" t="e">
        <f>Nodes!P1318+"'E4!(8e"</f>
        <v>#VALUE!</v>
      </c>
      <c r="DS161" t="e">
        <f>Nodes!Q1318+"'E4!(8f"</f>
        <v>#VALUE!</v>
      </c>
      <c r="DT161" t="e">
        <f>Nodes!R1318+"'E4!(8g"</f>
        <v>#VALUE!</v>
      </c>
      <c r="DU161" t="e">
        <f>Nodes!S1318+"'E4!(8h"</f>
        <v>#VALUE!</v>
      </c>
      <c r="DV161" s="547" t="e">
        <f>Nodes!T1318+"'E4!(8i"</f>
        <v>#VALUE!</v>
      </c>
      <c r="DW161" s="548" t="e">
        <f>Nodes!U1318+"'E4!(8j"</f>
        <v>#VALUE!</v>
      </c>
      <c r="DX161" s="548" t="e">
        <f>Nodes!V1318+"'E4!(8k"</f>
        <v>#VALUE!</v>
      </c>
      <c r="DY161" s="547" t="e">
        <f>Nodes!W1318+"'E4!(8l"</f>
        <v>#VALUE!</v>
      </c>
      <c r="DZ161" t="e">
        <f>Nodes!X1318+"'E4!(8m"</f>
        <v>#VALUE!</v>
      </c>
      <c r="EA161" t="e">
        <f>Nodes!Y1318+"'E4!(8n"</f>
        <v>#VALUE!</v>
      </c>
      <c r="EB161" t="e">
        <f>Nodes!Z1318+"'E4!(8o"</f>
        <v>#VALUE!</v>
      </c>
      <c r="EC161" t="e">
        <f>Nodes!AA1318+"'E4!(8p"</f>
        <v>#VALUE!</v>
      </c>
      <c r="ED161" t="e">
        <f>Nodes!AB1318+"'E4!(8q"</f>
        <v>#VALUE!</v>
      </c>
      <c r="EE161" t="e">
        <f>Nodes!AC1318+"'E4!(8r"</f>
        <v>#VALUE!</v>
      </c>
      <c r="EF161" t="e">
        <f>Nodes!A1319+"'E4!(8s"</f>
        <v>#VALUE!</v>
      </c>
      <c r="EG161" t="e">
        <f>Nodes!B1319+"'E4!(8t"</f>
        <v>#VALUE!</v>
      </c>
      <c r="EH161" t="e">
        <f>Nodes!C1319+"'E4!(8u"</f>
        <v>#VALUE!</v>
      </c>
      <c r="EI161" t="e">
        <f>Nodes!D1319+"'E4!(8v"</f>
        <v>#VALUE!</v>
      </c>
      <c r="EJ161" t="e">
        <f>Nodes!E1319+"'E4!(8w"</f>
        <v>#VALUE!</v>
      </c>
      <c r="EK161" t="e">
        <f>Nodes!F1319+"'E4!(8x"</f>
        <v>#VALUE!</v>
      </c>
      <c r="EL161" t="e">
        <f>Nodes!G1319+"'E4!(8y"</f>
        <v>#VALUE!</v>
      </c>
      <c r="EM161" t="e">
        <f>Nodes!H1319+"'E4!(8z"</f>
        <v>#VALUE!</v>
      </c>
      <c r="EN161" t="e">
        <f>Nodes!I1319+"'E4!(8{"</f>
        <v>#VALUE!</v>
      </c>
      <c r="EO161" t="e">
        <f>Nodes!J1319+"'E4!(8|"</f>
        <v>#VALUE!</v>
      </c>
      <c r="EP161" t="e">
        <f>Nodes!K1319+"'E4!(8}"</f>
        <v>#VALUE!</v>
      </c>
      <c r="EQ161" t="e">
        <f>Nodes!L1319+"'E4!(8~"</f>
        <v>#VALUE!</v>
      </c>
      <c r="ER161" t="e">
        <f>Nodes!M1319+"'E4!(9#"</f>
        <v>#VALUE!</v>
      </c>
      <c r="ES161" t="e">
        <f>Nodes!N1319+"'E4!(9$"</f>
        <v>#VALUE!</v>
      </c>
      <c r="ET161" t="e">
        <f>Nodes!O1319+"'E4!(9%"</f>
        <v>#VALUE!</v>
      </c>
      <c r="EU161" t="e">
        <f>Nodes!P1319+"'E4!(9&amp;"</f>
        <v>#VALUE!</v>
      </c>
      <c r="EV161" t="e">
        <f>Nodes!Q1319+"'E4!(9'"</f>
        <v>#VALUE!</v>
      </c>
      <c r="EW161" t="e">
        <f>Nodes!R1319+"'E4!(9("</f>
        <v>#VALUE!</v>
      </c>
      <c r="EX161" t="e">
        <f>Nodes!S1319+"'E4!(9)"</f>
        <v>#VALUE!</v>
      </c>
      <c r="EY161" s="547" t="e">
        <f>Nodes!T1319+"'E4!(9."</f>
        <v>#VALUE!</v>
      </c>
      <c r="EZ161" s="548" t="e">
        <f>Nodes!U1319+"'E4!(9/"</f>
        <v>#VALUE!</v>
      </c>
      <c r="FA161" s="548" t="e">
        <f>Nodes!V1319+"'E4!(90"</f>
        <v>#VALUE!</v>
      </c>
      <c r="FB161" s="547" t="e">
        <f>Nodes!W1319+"'E4!(91"</f>
        <v>#VALUE!</v>
      </c>
      <c r="FC161" t="e">
        <f>Nodes!X1319+"'E4!(92"</f>
        <v>#VALUE!</v>
      </c>
      <c r="FD161" t="e">
        <f>Nodes!Y1319+"'E4!(93"</f>
        <v>#VALUE!</v>
      </c>
      <c r="FE161" t="e">
        <f>Nodes!Z1319+"'E4!(94"</f>
        <v>#VALUE!</v>
      </c>
      <c r="FF161" t="e">
        <f>Nodes!AA1319+"'E4!(95"</f>
        <v>#VALUE!</v>
      </c>
      <c r="FG161" t="e">
        <f>Nodes!AB1319+"'E4!(96"</f>
        <v>#VALUE!</v>
      </c>
      <c r="FH161" t="e">
        <f>Nodes!AC1319+"'E4!(97"</f>
        <v>#VALUE!</v>
      </c>
      <c r="FI161" t="e">
        <f>Nodes!A1320+"'E4!(98"</f>
        <v>#VALUE!</v>
      </c>
      <c r="FJ161" t="e">
        <f>Nodes!B1320+"'E4!(99"</f>
        <v>#VALUE!</v>
      </c>
      <c r="FK161" t="e">
        <f>Nodes!C1320+"'E4!(9:"</f>
        <v>#VALUE!</v>
      </c>
      <c r="FL161" t="e">
        <f>Nodes!D1320+"'E4!(9;"</f>
        <v>#VALUE!</v>
      </c>
      <c r="FM161" t="e">
        <f>Nodes!E1320+"'E4!(9&lt;"</f>
        <v>#VALUE!</v>
      </c>
      <c r="FN161" t="e">
        <f>Nodes!F1320+"'E4!(9="</f>
        <v>#VALUE!</v>
      </c>
      <c r="FO161" t="e">
        <f>Nodes!G1320+"'E4!(9&gt;"</f>
        <v>#VALUE!</v>
      </c>
      <c r="FP161" t="e">
        <f>Nodes!H1320+"'E4!(9?"</f>
        <v>#VALUE!</v>
      </c>
      <c r="FQ161" t="e">
        <f>Nodes!I1320+"'E4!(9@"</f>
        <v>#VALUE!</v>
      </c>
      <c r="FR161" t="e">
        <f>Nodes!J1320+"'E4!(9A"</f>
        <v>#VALUE!</v>
      </c>
      <c r="FS161" t="e">
        <f>Nodes!K1320+"'E4!(9B"</f>
        <v>#VALUE!</v>
      </c>
      <c r="FT161" t="e">
        <f>Nodes!L1320+"'E4!(9C"</f>
        <v>#VALUE!</v>
      </c>
      <c r="FU161" t="e">
        <f>Nodes!M1320+"'E4!(9D"</f>
        <v>#VALUE!</v>
      </c>
      <c r="FV161" t="e">
        <f>Nodes!N1320+"'E4!(9E"</f>
        <v>#VALUE!</v>
      </c>
      <c r="FW161" t="e">
        <f>Nodes!O1320+"'E4!(9F"</f>
        <v>#VALUE!</v>
      </c>
      <c r="FX161" t="e">
        <f>Nodes!P1320+"'E4!(9G"</f>
        <v>#VALUE!</v>
      </c>
      <c r="FY161" t="e">
        <f>Nodes!Q1320+"'E4!(9H"</f>
        <v>#VALUE!</v>
      </c>
      <c r="FZ161" t="e">
        <f>Nodes!R1320+"'E4!(9I"</f>
        <v>#VALUE!</v>
      </c>
      <c r="GA161" t="e">
        <f>Nodes!S1320+"'E4!(9J"</f>
        <v>#VALUE!</v>
      </c>
      <c r="GB161" s="547" t="e">
        <f>Nodes!T1320+"'E4!(9K"</f>
        <v>#VALUE!</v>
      </c>
      <c r="GC161" s="548" t="e">
        <f>Nodes!U1320+"'E4!(9L"</f>
        <v>#VALUE!</v>
      </c>
      <c r="GD161" s="548" t="e">
        <f>Nodes!V1320+"'E4!(9M"</f>
        <v>#VALUE!</v>
      </c>
      <c r="GE161" s="547" t="e">
        <f>Nodes!W1320+"'E4!(9N"</f>
        <v>#VALUE!</v>
      </c>
      <c r="GF161" t="e">
        <f>Nodes!X1320+"'E4!(9O"</f>
        <v>#VALUE!</v>
      </c>
      <c r="GG161" t="e">
        <f>Nodes!Y1320+"'E4!(9P"</f>
        <v>#VALUE!</v>
      </c>
      <c r="GH161" t="e">
        <f>Nodes!Z1320+"'E4!(9Q"</f>
        <v>#VALUE!</v>
      </c>
      <c r="GI161" t="e">
        <f>Nodes!AA1320+"'E4!(9R"</f>
        <v>#VALUE!</v>
      </c>
      <c r="GJ161" t="e">
        <f>Nodes!AB1320+"'E4!(9S"</f>
        <v>#VALUE!</v>
      </c>
      <c r="GK161" t="e">
        <f>Nodes!AC1320+"'E4!(9T"</f>
        <v>#VALUE!</v>
      </c>
      <c r="GL161" t="e">
        <f>Nodes!A1321+"'E4!(9U"</f>
        <v>#VALUE!</v>
      </c>
      <c r="GM161" t="e">
        <f>Nodes!B1321+"'E4!(9V"</f>
        <v>#VALUE!</v>
      </c>
      <c r="GN161" t="e">
        <f>Nodes!C1321+"'E4!(9W"</f>
        <v>#VALUE!</v>
      </c>
      <c r="GO161" t="e">
        <f>Nodes!D1321+"'E4!(9X"</f>
        <v>#VALUE!</v>
      </c>
      <c r="GP161" t="e">
        <f>Nodes!E1321+"'E4!(9Y"</f>
        <v>#VALUE!</v>
      </c>
      <c r="GQ161" t="e">
        <f>Nodes!F1321+"'E4!(9Z"</f>
        <v>#VALUE!</v>
      </c>
      <c r="GR161" t="e">
        <f>Nodes!G1321+"'E4!(9["</f>
        <v>#VALUE!</v>
      </c>
      <c r="GS161" t="e">
        <f>Nodes!H1321+"'E4!(9\"</f>
        <v>#VALUE!</v>
      </c>
      <c r="GT161" t="e">
        <f>Nodes!I1321+"'E4!(9]"</f>
        <v>#VALUE!</v>
      </c>
      <c r="GU161" t="e">
        <f>Nodes!J1321+"'E4!(9^"</f>
        <v>#VALUE!</v>
      </c>
      <c r="GV161" t="e">
        <f>Nodes!K1321+"'E4!(9_"</f>
        <v>#VALUE!</v>
      </c>
      <c r="GW161" t="e">
        <f>Nodes!L1321+"'E4!(9`"</f>
        <v>#VALUE!</v>
      </c>
      <c r="GX161" t="e">
        <f>Nodes!M1321+"'E4!(9a"</f>
        <v>#VALUE!</v>
      </c>
      <c r="GY161" t="e">
        <f>Nodes!N1321+"'E4!(9b"</f>
        <v>#VALUE!</v>
      </c>
      <c r="GZ161" t="e">
        <f>Nodes!O1321+"'E4!(9c"</f>
        <v>#VALUE!</v>
      </c>
      <c r="HA161" t="e">
        <f>Nodes!P1321+"'E4!(9d"</f>
        <v>#VALUE!</v>
      </c>
      <c r="HB161" t="e">
        <f>Nodes!Q1321+"'E4!(9e"</f>
        <v>#VALUE!</v>
      </c>
      <c r="HC161" t="e">
        <f>Nodes!R1321+"'E4!(9f"</f>
        <v>#VALUE!</v>
      </c>
      <c r="HD161" t="e">
        <f>Nodes!S1321+"'E4!(9g"</f>
        <v>#VALUE!</v>
      </c>
      <c r="HE161" s="547" t="e">
        <f>Nodes!T1321+"'E4!(9h"</f>
        <v>#VALUE!</v>
      </c>
      <c r="HF161" s="548" t="e">
        <f>Nodes!U1321+"'E4!(9i"</f>
        <v>#VALUE!</v>
      </c>
      <c r="HG161" s="548" t="e">
        <f>Nodes!V1321+"'E4!(9j"</f>
        <v>#VALUE!</v>
      </c>
      <c r="HH161" s="547" t="e">
        <f>Nodes!W1321+"'E4!(9k"</f>
        <v>#VALUE!</v>
      </c>
      <c r="HI161" t="e">
        <f>Nodes!X1321+"'E4!(9l"</f>
        <v>#VALUE!</v>
      </c>
      <c r="HJ161" t="e">
        <f>Nodes!Y1321+"'E4!(9m"</f>
        <v>#VALUE!</v>
      </c>
      <c r="HK161" t="e">
        <f>Nodes!Z1321+"'E4!(9n"</f>
        <v>#VALUE!</v>
      </c>
      <c r="HL161" t="e">
        <f>Nodes!AA1321+"'E4!(9o"</f>
        <v>#VALUE!</v>
      </c>
      <c r="HM161" t="e">
        <f>Nodes!AB1321+"'E4!(9p"</f>
        <v>#VALUE!</v>
      </c>
      <c r="HN161" t="e">
        <f>Nodes!AC1321+"'E4!(9q"</f>
        <v>#VALUE!</v>
      </c>
      <c r="HO161" t="e">
        <f>Nodes!A1322+"'E4!(9r"</f>
        <v>#VALUE!</v>
      </c>
      <c r="HP161" t="e">
        <f>Nodes!B1322+"'E4!(9s"</f>
        <v>#VALUE!</v>
      </c>
      <c r="HQ161" t="e">
        <f>Nodes!C1322+"'E4!(9t"</f>
        <v>#VALUE!</v>
      </c>
      <c r="HR161" t="e">
        <f>Nodes!D1322+"'E4!(9u"</f>
        <v>#VALUE!</v>
      </c>
      <c r="HS161" t="e">
        <f>Nodes!E1322+"'E4!(9v"</f>
        <v>#VALUE!</v>
      </c>
      <c r="HT161" t="e">
        <f>Nodes!F1322+"'E4!(9w"</f>
        <v>#VALUE!</v>
      </c>
      <c r="HU161" t="e">
        <f>Nodes!G1322+"'E4!(9x"</f>
        <v>#VALUE!</v>
      </c>
      <c r="HV161" t="e">
        <f>Nodes!H1322+"'E4!(9y"</f>
        <v>#VALUE!</v>
      </c>
      <c r="HW161" t="e">
        <f>Nodes!I1322+"'E4!(9z"</f>
        <v>#VALUE!</v>
      </c>
      <c r="HX161" t="e">
        <f>Nodes!J1322+"'E4!(9{"</f>
        <v>#VALUE!</v>
      </c>
      <c r="HY161" t="e">
        <f>Nodes!K1322+"'E4!(9|"</f>
        <v>#VALUE!</v>
      </c>
      <c r="HZ161" t="e">
        <f>Nodes!L1322+"'E4!(9}"</f>
        <v>#VALUE!</v>
      </c>
      <c r="IA161" t="e">
        <f>Nodes!M1322+"'E4!(9~"</f>
        <v>#VALUE!</v>
      </c>
      <c r="IB161" t="e">
        <f>Nodes!N1322+"'E4!(:#"</f>
        <v>#VALUE!</v>
      </c>
      <c r="IC161" t="e">
        <f>Nodes!O1322+"'E4!(:$"</f>
        <v>#VALUE!</v>
      </c>
      <c r="ID161" t="e">
        <f>Nodes!P1322+"'E4!(:%"</f>
        <v>#VALUE!</v>
      </c>
      <c r="IE161" t="e">
        <f>Nodes!Q1322+"'E4!(:&amp;"</f>
        <v>#VALUE!</v>
      </c>
      <c r="IF161" t="e">
        <f>Nodes!R1322+"'E4!(:'"</f>
        <v>#VALUE!</v>
      </c>
      <c r="IG161" t="e">
        <f>Nodes!S1322+"'E4!(:("</f>
        <v>#VALUE!</v>
      </c>
      <c r="IH161" s="547" t="e">
        <f>Nodes!T1322+"'E4!(:)"</f>
        <v>#VALUE!</v>
      </c>
      <c r="II161" s="548" t="e">
        <f>Nodes!U1322+"'E4!(:."</f>
        <v>#VALUE!</v>
      </c>
      <c r="IJ161" s="548" t="e">
        <f>Nodes!V1322+"'E4!(:/"</f>
        <v>#VALUE!</v>
      </c>
      <c r="IK161" s="547" t="e">
        <f>Nodes!W1322+"'E4!(:0"</f>
        <v>#VALUE!</v>
      </c>
      <c r="IL161" t="e">
        <f>Nodes!X1322+"'E4!(:1"</f>
        <v>#VALUE!</v>
      </c>
      <c r="IM161" t="e">
        <f>Nodes!Y1322+"'E4!(:2"</f>
        <v>#VALUE!</v>
      </c>
      <c r="IN161" t="e">
        <f>Nodes!Z1322+"'E4!(:3"</f>
        <v>#VALUE!</v>
      </c>
      <c r="IO161" t="e">
        <f>Nodes!AA1322+"'E4!(:4"</f>
        <v>#VALUE!</v>
      </c>
      <c r="IP161" t="e">
        <f>Nodes!AB1322+"'E4!(:5"</f>
        <v>#VALUE!</v>
      </c>
      <c r="IQ161" t="e">
        <f>Nodes!AC1322+"'E4!(:6"</f>
        <v>#VALUE!</v>
      </c>
      <c r="IR161" t="e">
        <f>Nodes!AD1322+"'E4!(:7"</f>
        <v>#VALUE!</v>
      </c>
      <c r="IS161" t="e">
        <f>Nodes!A1323+"'E4!(:8"</f>
        <v>#VALUE!</v>
      </c>
      <c r="IT161" t="e">
        <f>Nodes!B1323+"'E4!(:9"</f>
        <v>#VALUE!</v>
      </c>
      <c r="IU161" t="e">
        <f>Nodes!C1323+"'E4!(::"</f>
        <v>#VALUE!</v>
      </c>
      <c r="IV161" t="e">
        <f>Nodes!D1323+"'E4!(:;"</f>
        <v>#VALUE!</v>
      </c>
    </row>
    <row r="162" spans="6:256">
      <c r="F162" t="e">
        <f>Nodes!E1323+"'E4!(:&lt;"</f>
        <v>#VALUE!</v>
      </c>
      <c r="G162" t="e">
        <f>Nodes!F1323+"'E4!(:="</f>
        <v>#VALUE!</v>
      </c>
      <c r="H162" t="e">
        <f>Nodes!G1323+"'E4!(:&gt;"</f>
        <v>#VALUE!</v>
      </c>
      <c r="I162" t="e">
        <f>Nodes!H1323+"'E4!(:?"</f>
        <v>#VALUE!</v>
      </c>
      <c r="J162" t="e">
        <f>Nodes!I1323+"'E4!(:@"</f>
        <v>#VALUE!</v>
      </c>
      <c r="K162" t="e">
        <f>Nodes!J1323+"'E4!(:A"</f>
        <v>#VALUE!</v>
      </c>
      <c r="L162" t="e">
        <f>Nodes!K1323+"'E4!(:B"</f>
        <v>#VALUE!</v>
      </c>
      <c r="M162" t="e">
        <f>Nodes!L1323+"'E4!(:C"</f>
        <v>#VALUE!</v>
      </c>
      <c r="N162" t="e">
        <f>Nodes!M1323+"'E4!(:D"</f>
        <v>#VALUE!</v>
      </c>
      <c r="O162" t="e">
        <f>Nodes!N1323+"'E4!(:E"</f>
        <v>#VALUE!</v>
      </c>
      <c r="P162" t="e">
        <f>Nodes!O1323+"'E4!(:F"</f>
        <v>#VALUE!</v>
      </c>
      <c r="Q162" t="e">
        <f>Nodes!P1323+"'E4!(:G"</f>
        <v>#VALUE!</v>
      </c>
      <c r="R162" t="e">
        <f>Nodes!Q1323+"'E4!(:H"</f>
        <v>#VALUE!</v>
      </c>
      <c r="S162" t="e">
        <f>Nodes!R1323+"'E4!(:I"</f>
        <v>#VALUE!</v>
      </c>
      <c r="T162" t="e">
        <f>Nodes!S1323+"'E4!(:J"</f>
        <v>#VALUE!</v>
      </c>
      <c r="U162" s="547" t="e">
        <f>Nodes!T1323+"'E4!(:K"</f>
        <v>#VALUE!</v>
      </c>
      <c r="V162" s="548" t="e">
        <f>Nodes!U1323+"'E4!(:L"</f>
        <v>#VALUE!</v>
      </c>
      <c r="W162" s="548" t="e">
        <f>Nodes!V1323+"'E4!(:M"</f>
        <v>#VALUE!</v>
      </c>
      <c r="X162" s="547" t="e">
        <f>Nodes!W1323+"'E4!(:N"</f>
        <v>#VALUE!</v>
      </c>
      <c r="Y162" t="e">
        <f>Nodes!X1323+"'E4!(:O"</f>
        <v>#VALUE!</v>
      </c>
      <c r="Z162" t="e">
        <f>Nodes!Y1323+"'E4!(:P"</f>
        <v>#VALUE!</v>
      </c>
      <c r="AA162" t="e">
        <f>Nodes!Z1323+"'E4!(:Q"</f>
        <v>#VALUE!</v>
      </c>
      <c r="AB162" t="e">
        <f>Nodes!AA1323+"'E4!(:R"</f>
        <v>#VALUE!</v>
      </c>
      <c r="AC162" t="e">
        <f>Nodes!AB1323+"'E4!(:S"</f>
        <v>#VALUE!</v>
      </c>
      <c r="AD162" t="e">
        <f>Nodes!AC1323+"'E4!(:T"</f>
        <v>#VALUE!</v>
      </c>
      <c r="AE162" t="e">
        <f>Nodes!AD1323+"'E4!(:U"</f>
        <v>#VALUE!</v>
      </c>
      <c r="AF162" t="e">
        <f>Nodes!A1324+"'E4!(:V"</f>
        <v>#VALUE!</v>
      </c>
      <c r="AG162" t="e">
        <f>Nodes!B1324+"'E4!(:W"</f>
        <v>#VALUE!</v>
      </c>
      <c r="AH162" t="e">
        <f>Nodes!C1324+"'E4!(:X"</f>
        <v>#VALUE!</v>
      </c>
      <c r="AI162" t="e">
        <f>Nodes!D1324+"'E4!(:Y"</f>
        <v>#VALUE!</v>
      </c>
      <c r="AJ162" t="e">
        <f>Nodes!E1324+"'E4!(:Z"</f>
        <v>#VALUE!</v>
      </c>
      <c r="AK162" t="e">
        <f>Nodes!F1324+"'E4!(:["</f>
        <v>#VALUE!</v>
      </c>
      <c r="AL162" t="e">
        <f>Nodes!G1324+"'E4!(:\"</f>
        <v>#VALUE!</v>
      </c>
      <c r="AM162" t="e">
        <f>Nodes!H1324+"'E4!(:]"</f>
        <v>#VALUE!</v>
      </c>
      <c r="AN162" t="e">
        <f>Nodes!I1324+"'E4!(:^"</f>
        <v>#VALUE!</v>
      </c>
      <c r="AO162" t="e">
        <f>Nodes!J1324+"'E4!(:_"</f>
        <v>#VALUE!</v>
      </c>
      <c r="AP162" t="e">
        <f>Nodes!K1324+"'E4!(:`"</f>
        <v>#VALUE!</v>
      </c>
      <c r="AQ162" t="e">
        <f>Nodes!L1324+"'E4!(:a"</f>
        <v>#VALUE!</v>
      </c>
      <c r="AR162" t="e">
        <f>Nodes!M1324+"'E4!(:b"</f>
        <v>#VALUE!</v>
      </c>
      <c r="AS162" t="e">
        <f>Nodes!N1324+"'E4!(:c"</f>
        <v>#VALUE!</v>
      </c>
      <c r="AT162" t="e">
        <f>Nodes!O1324+"'E4!(:d"</f>
        <v>#VALUE!</v>
      </c>
      <c r="AU162" t="e">
        <f>Nodes!P1324+"'E4!(:e"</f>
        <v>#VALUE!</v>
      </c>
      <c r="AV162" t="e">
        <f>Nodes!Q1324+"'E4!(:f"</f>
        <v>#VALUE!</v>
      </c>
      <c r="AW162" t="e">
        <f>Nodes!R1324+"'E4!(:g"</f>
        <v>#VALUE!</v>
      </c>
      <c r="AX162" t="e">
        <f>Nodes!S1324+"'E4!(:h"</f>
        <v>#VALUE!</v>
      </c>
      <c r="AY162" s="547" t="e">
        <f>Nodes!T1324+"'E4!(:i"</f>
        <v>#VALUE!</v>
      </c>
      <c r="AZ162" s="548" t="e">
        <f>Nodes!U1324+"'E4!(:j"</f>
        <v>#VALUE!</v>
      </c>
      <c r="BA162" s="548" t="e">
        <f>Nodes!V1324+"'E4!(:k"</f>
        <v>#VALUE!</v>
      </c>
      <c r="BB162" s="547" t="e">
        <f>Nodes!W1324+"'E4!(:l"</f>
        <v>#VALUE!</v>
      </c>
      <c r="BC162" t="e">
        <f>Nodes!X1324+"'E4!(:m"</f>
        <v>#VALUE!</v>
      </c>
      <c r="BD162" t="e">
        <f>Nodes!Y1324+"'E4!(:n"</f>
        <v>#VALUE!</v>
      </c>
      <c r="BE162" t="e">
        <f>Nodes!Z1324+"'E4!(:o"</f>
        <v>#VALUE!</v>
      </c>
      <c r="BF162" t="e">
        <f>Nodes!AA1324+"'E4!(:p"</f>
        <v>#VALUE!</v>
      </c>
      <c r="BG162" t="e">
        <f>Nodes!AB1324+"'E4!(:q"</f>
        <v>#VALUE!</v>
      </c>
      <c r="BH162" t="e">
        <f>Nodes!AC1324+"'E4!(:r"</f>
        <v>#VALUE!</v>
      </c>
      <c r="BI162" t="e">
        <f>Nodes!AD1324+"'E4!(:s"</f>
        <v>#VALUE!</v>
      </c>
      <c r="BJ162" t="e">
        <f>Nodes!A1325+"'E4!(:t"</f>
        <v>#VALUE!</v>
      </c>
      <c r="BK162" t="e">
        <f>Nodes!B1325+"'E4!(:u"</f>
        <v>#VALUE!</v>
      </c>
      <c r="BL162" t="e">
        <f>Nodes!C1325+"'E4!(:v"</f>
        <v>#VALUE!</v>
      </c>
      <c r="BM162" t="e">
        <f>Nodes!D1325+"'E4!(:w"</f>
        <v>#VALUE!</v>
      </c>
      <c r="BN162" t="e">
        <f>Nodes!E1325+"'E4!(:x"</f>
        <v>#VALUE!</v>
      </c>
      <c r="BO162" t="e">
        <f>Nodes!F1325+"'E4!(:y"</f>
        <v>#VALUE!</v>
      </c>
      <c r="BP162" t="e">
        <f>Nodes!G1325+"'E4!(:z"</f>
        <v>#VALUE!</v>
      </c>
      <c r="BQ162" t="e">
        <f>Nodes!H1325+"'E4!(:{"</f>
        <v>#VALUE!</v>
      </c>
      <c r="BR162" t="e">
        <f>Nodes!I1325+"'E4!(:|"</f>
        <v>#VALUE!</v>
      </c>
      <c r="BS162" t="e">
        <f>Nodes!J1325+"'E4!(:}"</f>
        <v>#VALUE!</v>
      </c>
      <c r="BT162" t="e">
        <f>Nodes!K1325+"'E4!(:~"</f>
        <v>#VALUE!</v>
      </c>
      <c r="BU162" t="e">
        <f>Nodes!L1325+"'E4!(;#"</f>
        <v>#VALUE!</v>
      </c>
      <c r="BV162" t="e">
        <f>Nodes!M1325+"'E4!(;$"</f>
        <v>#VALUE!</v>
      </c>
      <c r="BW162" t="e">
        <f>Nodes!N1325+"'E4!(;%"</f>
        <v>#VALUE!</v>
      </c>
      <c r="BX162" t="e">
        <f>Nodes!O1325+"'E4!(;&amp;"</f>
        <v>#VALUE!</v>
      </c>
      <c r="BY162" t="e">
        <f>Nodes!P1325+"'E4!(;'"</f>
        <v>#VALUE!</v>
      </c>
      <c r="BZ162" t="e">
        <f>Nodes!Q1325+"'E4!(;("</f>
        <v>#VALUE!</v>
      </c>
      <c r="CA162" t="e">
        <f>Nodes!R1325+"'E4!(;)"</f>
        <v>#VALUE!</v>
      </c>
      <c r="CB162" t="e">
        <f>Nodes!S1325+"'E4!(;."</f>
        <v>#VALUE!</v>
      </c>
      <c r="CC162" s="547" t="e">
        <f>Nodes!T1325+"'E4!(;/"</f>
        <v>#VALUE!</v>
      </c>
      <c r="CD162" s="548" t="e">
        <f>Nodes!U1325+"'E4!(;0"</f>
        <v>#VALUE!</v>
      </c>
      <c r="CE162" s="548" t="e">
        <f>Nodes!V1325+"'E4!(;1"</f>
        <v>#VALUE!</v>
      </c>
      <c r="CF162" s="547" t="e">
        <f>Nodes!W1325+"'E4!(;2"</f>
        <v>#VALUE!</v>
      </c>
      <c r="CG162" t="e">
        <f>Nodes!X1325+"'E4!(;3"</f>
        <v>#VALUE!</v>
      </c>
      <c r="CH162" t="e">
        <f>Nodes!Y1325+"'E4!(;4"</f>
        <v>#VALUE!</v>
      </c>
      <c r="CI162" t="e">
        <f>Nodes!Z1325+"'E4!(;5"</f>
        <v>#VALUE!</v>
      </c>
      <c r="CJ162" t="e">
        <f>Nodes!AA1325+"'E4!(;6"</f>
        <v>#VALUE!</v>
      </c>
      <c r="CK162" t="e">
        <f>Nodes!AB1325+"'E4!(;7"</f>
        <v>#VALUE!</v>
      </c>
      <c r="CL162" t="e">
        <f>Nodes!AC1325+"'E4!(;8"</f>
        <v>#VALUE!</v>
      </c>
      <c r="CM162" t="e">
        <f>Nodes!AD1325+"'E4!(;9"</f>
        <v>#VALUE!</v>
      </c>
      <c r="CN162" t="e">
        <f>Nodes!A1326+"'E4!(;:"</f>
        <v>#VALUE!</v>
      </c>
      <c r="CO162" t="e">
        <f>Nodes!B1326+"'E4!(;;"</f>
        <v>#VALUE!</v>
      </c>
      <c r="CP162" t="e">
        <f>Nodes!C1326+"'E4!(;&lt;"</f>
        <v>#VALUE!</v>
      </c>
      <c r="CQ162" t="e">
        <f>Nodes!D1326+"'E4!(;="</f>
        <v>#VALUE!</v>
      </c>
      <c r="CR162" t="e">
        <f>Nodes!E1326+"'E4!(;&gt;"</f>
        <v>#VALUE!</v>
      </c>
      <c r="CS162" t="e">
        <f>Nodes!F1326+"'E4!(;?"</f>
        <v>#VALUE!</v>
      </c>
      <c r="CT162" t="e">
        <f>Nodes!G1326+"'E4!(;@"</f>
        <v>#VALUE!</v>
      </c>
      <c r="CU162" t="e">
        <f>Nodes!H1326+"'E4!(;A"</f>
        <v>#VALUE!</v>
      </c>
      <c r="CV162" t="e">
        <f>Nodes!I1326+"'E4!(;B"</f>
        <v>#VALUE!</v>
      </c>
      <c r="CW162" t="e">
        <f>Nodes!J1326+"'E4!(;C"</f>
        <v>#VALUE!</v>
      </c>
      <c r="CX162" t="e">
        <f>Nodes!K1326+"'E4!(;D"</f>
        <v>#VALUE!</v>
      </c>
      <c r="CY162" t="e">
        <f>Nodes!L1326+"'E4!(;E"</f>
        <v>#VALUE!</v>
      </c>
      <c r="CZ162" t="e">
        <f>Nodes!M1326+"'E4!(;F"</f>
        <v>#VALUE!</v>
      </c>
      <c r="DA162" t="e">
        <f>Nodes!N1326+"'E4!(;G"</f>
        <v>#VALUE!</v>
      </c>
      <c r="DB162" t="e">
        <f>Nodes!O1326+"'E4!(;H"</f>
        <v>#VALUE!</v>
      </c>
      <c r="DC162" t="e">
        <f>Nodes!P1326+"'E4!(;I"</f>
        <v>#VALUE!</v>
      </c>
      <c r="DD162" t="e">
        <f>Nodes!Q1326+"'E4!(;J"</f>
        <v>#VALUE!</v>
      </c>
      <c r="DE162" t="e">
        <f>Nodes!R1326+"'E4!(;K"</f>
        <v>#VALUE!</v>
      </c>
      <c r="DF162" t="e">
        <f>Nodes!S1326+"'E4!(;L"</f>
        <v>#VALUE!</v>
      </c>
      <c r="DG162" s="547" t="e">
        <f>Nodes!T1326+"'E4!(;M"</f>
        <v>#VALUE!</v>
      </c>
      <c r="DH162" s="548" t="e">
        <f>Nodes!U1326+"'E4!(;N"</f>
        <v>#VALUE!</v>
      </c>
      <c r="DI162" s="548" t="e">
        <f>Nodes!V1326+"'E4!(;O"</f>
        <v>#VALUE!</v>
      </c>
      <c r="DJ162" s="547" t="e">
        <f>Nodes!W1326+"'E4!(;P"</f>
        <v>#VALUE!</v>
      </c>
      <c r="DK162" t="e">
        <f>Nodes!X1326+"'E4!(;Q"</f>
        <v>#VALUE!</v>
      </c>
      <c r="DL162" t="e">
        <f>Nodes!Y1326+"'E4!(;R"</f>
        <v>#VALUE!</v>
      </c>
      <c r="DM162" t="e">
        <f>Nodes!Z1326+"'E4!(;S"</f>
        <v>#VALUE!</v>
      </c>
      <c r="DN162" t="e">
        <f>Nodes!AA1326+"'E4!(;T"</f>
        <v>#VALUE!</v>
      </c>
      <c r="DO162" t="e">
        <f>Nodes!AB1326+"'E4!(;U"</f>
        <v>#VALUE!</v>
      </c>
      <c r="DP162" t="e">
        <f>Nodes!AC1326+"'E4!(;V"</f>
        <v>#VALUE!</v>
      </c>
      <c r="DQ162" t="e">
        <f>Nodes!AD1326+"'E4!(;W"</f>
        <v>#VALUE!</v>
      </c>
      <c r="DR162" t="e">
        <f>Nodes!A1327+"'E4!(;X"</f>
        <v>#VALUE!</v>
      </c>
      <c r="DS162" t="e">
        <f>Nodes!B1327+"'E4!(;Y"</f>
        <v>#VALUE!</v>
      </c>
      <c r="DT162" t="e">
        <f>Nodes!C1327+"'E4!(;Z"</f>
        <v>#VALUE!</v>
      </c>
      <c r="DU162" t="e">
        <f>Nodes!D1327+"'E4!(;["</f>
        <v>#VALUE!</v>
      </c>
      <c r="DV162" t="e">
        <f>Nodes!E1327+"'E4!(;\"</f>
        <v>#VALUE!</v>
      </c>
      <c r="DW162" t="e">
        <f>Nodes!F1327+"'E4!(;]"</f>
        <v>#VALUE!</v>
      </c>
      <c r="DX162" t="e">
        <f>Nodes!G1327+"'E4!(;^"</f>
        <v>#VALUE!</v>
      </c>
      <c r="DY162" t="e">
        <f>Nodes!H1327+"'E4!(;_"</f>
        <v>#VALUE!</v>
      </c>
      <c r="DZ162" t="e">
        <f>Nodes!I1327+"'E4!(;`"</f>
        <v>#VALUE!</v>
      </c>
      <c r="EA162" t="e">
        <f>Nodes!J1327+"'E4!(;a"</f>
        <v>#VALUE!</v>
      </c>
      <c r="EB162" t="e">
        <f>Nodes!K1327+"'E4!(;b"</f>
        <v>#VALUE!</v>
      </c>
      <c r="EC162" t="e">
        <f>Nodes!L1327+"'E4!(;c"</f>
        <v>#VALUE!</v>
      </c>
      <c r="ED162" t="e">
        <f>Nodes!M1327+"'E4!(;d"</f>
        <v>#VALUE!</v>
      </c>
      <c r="EE162" t="e">
        <f>Nodes!N1327+"'E4!(;e"</f>
        <v>#VALUE!</v>
      </c>
      <c r="EF162" t="e">
        <f>Nodes!O1327+"'E4!(;f"</f>
        <v>#VALUE!</v>
      </c>
      <c r="EG162" t="e">
        <f>Nodes!P1327+"'E4!(;g"</f>
        <v>#VALUE!</v>
      </c>
      <c r="EH162" t="e">
        <f>Nodes!Q1327+"'E4!(;h"</f>
        <v>#VALUE!</v>
      </c>
      <c r="EI162" t="e">
        <f>Nodes!R1327+"'E4!(;i"</f>
        <v>#VALUE!</v>
      </c>
      <c r="EJ162" t="e">
        <f>Nodes!S1327+"'E4!(;j"</f>
        <v>#VALUE!</v>
      </c>
      <c r="EK162" s="547" t="e">
        <f>Nodes!T1327+"'E4!(;k"</f>
        <v>#VALUE!</v>
      </c>
      <c r="EL162" s="548" t="e">
        <f>Nodes!U1327+"'E4!(;l"</f>
        <v>#VALUE!</v>
      </c>
      <c r="EM162" s="548" t="e">
        <f>Nodes!V1327+"'E4!(;m"</f>
        <v>#VALUE!</v>
      </c>
      <c r="EN162" s="547" t="e">
        <f>Nodes!W1327+"'E4!(;n"</f>
        <v>#VALUE!</v>
      </c>
      <c r="EO162" t="e">
        <f>Nodes!X1327+"'E4!(;o"</f>
        <v>#VALUE!</v>
      </c>
      <c r="EP162" t="e">
        <f>Nodes!Y1327+"'E4!(;p"</f>
        <v>#VALUE!</v>
      </c>
      <c r="EQ162" t="e">
        <f>Nodes!Z1327+"'E4!(;q"</f>
        <v>#VALUE!</v>
      </c>
      <c r="ER162" t="e">
        <f>Nodes!AA1327+"'E4!(;r"</f>
        <v>#VALUE!</v>
      </c>
      <c r="ES162" t="e">
        <f>Nodes!AB1327+"'E4!(;s"</f>
        <v>#VALUE!</v>
      </c>
      <c r="ET162" t="e">
        <f>Nodes!AC1327+"'E4!(;t"</f>
        <v>#VALUE!</v>
      </c>
      <c r="EU162" t="e">
        <f>Nodes!AD1327+"'E4!(;u"</f>
        <v>#VALUE!</v>
      </c>
      <c r="EV162" t="e">
        <f>Nodes!A1328+"'E4!(;v"</f>
        <v>#VALUE!</v>
      </c>
      <c r="EW162" t="e">
        <f>Nodes!B1328+"'E4!(;w"</f>
        <v>#VALUE!</v>
      </c>
      <c r="EX162" t="e">
        <f>Nodes!C1328+"'E4!(;x"</f>
        <v>#VALUE!</v>
      </c>
      <c r="EY162" t="e">
        <f>Nodes!D1328+"'E4!(;y"</f>
        <v>#VALUE!</v>
      </c>
      <c r="EZ162" t="e">
        <f>Nodes!E1328+"'E4!(;z"</f>
        <v>#VALUE!</v>
      </c>
      <c r="FA162" t="e">
        <f>Nodes!F1328+"'E4!(;{"</f>
        <v>#VALUE!</v>
      </c>
      <c r="FB162" t="e">
        <f>Nodes!G1328+"'E4!(;|"</f>
        <v>#VALUE!</v>
      </c>
      <c r="FC162" t="e">
        <f>Nodes!H1328+"'E4!(;}"</f>
        <v>#VALUE!</v>
      </c>
      <c r="FD162" t="e">
        <f>Nodes!I1328+"'E4!(;~"</f>
        <v>#VALUE!</v>
      </c>
      <c r="FE162" t="e">
        <f>Nodes!J1328+"'E4!(&lt;#"</f>
        <v>#VALUE!</v>
      </c>
      <c r="FF162" t="e">
        <f>Nodes!K1328+"'E4!(&lt;$"</f>
        <v>#VALUE!</v>
      </c>
      <c r="FG162" t="e">
        <f>Nodes!L1328+"'E4!(&lt;%"</f>
        <v>#VALUE!</v>
      </c>
      <c r="FH162" t="e">
        <f>Nodes!M1328+"'E4!(&lt;&amp;"</f>
        <v>#VALUE!</v>
      </c>
      <c r="FI162" t="e">
        <f>Nodes!N1328+"'E4!(&lt;'"</f>
        <v>#VALUE!</v>
      </c>
      <c r="FJ162" t="e">
        <f>Nodes!O1328+"'E4!(&lt;("</f>
        <v>#VALUE!</v>
      </c>
      <c r="FK162" t="e">
        <f>Nodes!P1328+"'E4!(&lt;)"</f>
        <v>#VALUE!</v>
      </c>
      <c r="FL162" t="e">
        <f>Nodes!Q1328+"'E4!(&lt;."</f>
        <v>#VALUE!</v>
      </c>
      <c r="FM162" t="e">
        <f>Nodes!R1328+"'E4!(&lt;/"</f>
        <v>#VALUE!</v>
      </c>
      <c r="FN162" t="e">
        <f>Nodes!S1328+"'E4!(&lt;0"</f>
        <v>#VALUE!</v>
      </c>
      <c r="FO162" s="547" t="e">
        <f>Nodes!T1328+"'E4!(&lt;1"</f>
        <v>#VALUE!</v>
      </c>
      <c r="FP162" s="548" t="e">
        <f>Nodes!U1328+"'E4!(&lt;2"</f>
        <v>#VALUE!</v>
      </c>
      <c r="FQ162" s="548" t="e">
        <f>Nodes!V1328+"'E4!(&lt;3"</f>
        <v>#VALUE!</v>
      </c>
      <c r="FR162" s="547" t="e">
        <f>Nodes!W1328+"'E4!(&lt;4"</f>
        <v>#VALUE!</v>
      </c>
      <c r="FS162" t="e">
        <f>Nodes!X1328+"'E4!(&lt;5"</f>
        <v>#VALUE!</v>
      </c>
      <c r="FT162" t="e">
        <f>Nodes!Y1328+"'E4!(&lt;6"</f>
        <v>#VALUE!</v>
      </c>
      <c r="FU162" t="e">
        <f>Nodes!Z1328+"'E4!(&lt;7"</f>
        <v>#VALUE!</v>
      </c>
      <c r="FV162" t="e">
        <f>Nodes!AA1328+"'E4!(&lt;8"</f>
        <v>#VALUE!</v>
      </c>
      <c r="FW162" t="e">
        <f>Nodes!AB1328+"'E4!(&lt;9"</f>
        <v>#VALUE!</v>
      </c>
      <c r="FX162" t="e">
        <f>Nodes!AC1328+"'E4!(&lt;:"</f>
        <v>#VALUE!</v>
      </c>
      <c r="FY162" t="e">
        <f>Nodes!AD1328+"'E4!(&lt;;"</f>
        <v>#VALUE!</v>
      </c>
      <c r="FZ162" t="e">
        <f>Nodes!A1329+"'E4!(&lt;&lt;"</f>
        <v>#VALUE!</v>
      </c>
      <c r="GA162" t="e">
        <f>Nodes!B1329+"'E4!(&lt;="</f>
        <v>#VALUE!</v>
      </c>
      <c r="GB162" t="e">
        <f>Nodes!C1329+"'E4!(&lt;&gt;"</f>
        <v>#VALUE!</v>
      </c>
      <c r="GC162" t="e">
        <f>Nodes!D1329+"'E4!(&lt;?"</f>
        <v>#VALUE!</v>
      </c>
      <c r="GD162" t="e">
        <f>Nodes!E1329+"'E4!(&lt;@"</f>
        <v>#VALUE!</v>
      </c>
      <c r="GE162" t="e">
        <f>Nodes!F1329+"'E4!(&lt;A"</f>
        <v>#VALUE!</v>
      </c>
      <c r="GF162" t="e">
        <f>Nodes!G1329+"'E4!(&lt;B"</f>
        <v>#VALUE!</v>
      </c>
      <c r="GG162" t="e">
        <f>Nodes!H1329+"'E4!(&lt;C"</f>
        <v>#VALUE!</v>
      </c>
      <c r="GH162" t="e">
        <f>Nodes!I1329+"'E4!(&lt;D"</f>
        <v>#VALUE!</v>
      </c>
      <c r="GI162" t="e">
        <f>Nodes!J1329+"'E4!(&lt;E"</f>
        <v>#VALUE!</v>
      </c>
      <c r="GJ162" t="e">
        <f>Nodes!K1329+"'E4!(&lt;F"</f>
        <v>#VALUE!</v>
      </c>
      <c r="GK162" t="e">
        <f>Nodes!L1329+"'E4!(&lt;G"</f>
        <v>#VALUE!</v>
      </c>
      <c r="GL162" t="e">
        <f>Nodes!M1329+"'E4!(&lt;H"</f>
        <v>#VALUE!</v>
      </c>
      <c r="GM162" t="e">
        <f>Nodes!N1329+"'E4!(&lt;I"</f>
        <v>#VALUE!</v>
      </c>
      <c r="GN162" t="e">
        <f>Nodes!O1329+"'E4!(&lt;J"</f>
        <v>#VALUE!</v>
      </c>
      <c r="GO162" t="e">
        <f>Nodes!P1329+"'E4!(&lt;K"</f>
        <v>#VALUE!</v>
      </c>
      <c r="GP162" t="e">
        <f>Nodes!Q1329+"'E4!(&lt;L"</f>
        <v>#VALUE!</v>
      </c>
      <c r="GQ162" t="e">
        <f>Nodes!R1329+"'E4!(&lt;M"</f>
        <v>#VALUE!</v>
      </c>
      <c r="GR162" t="e">
        <f>Nodes!S1329+"'E4!(&lt;N"</f>
        <v>#VALUE!</v>
      </c>
      <c r="GS162" s="547" t="e">
        <f>Nodes!T1329+"'E4!(&lt;O"</f>
        <v>#VALUE!</v>
      </c>
      <c r="GT162" s="548" t="e">
        <f>Nodes!U1329+"'E4!(&lt;P"</f>
        <v>#VALUE!</v>
      </c>
      <c r="GU162" s="548" t="e">
        <f>Nodes!V1329+"'E4!(&lt;Q"</f>
        <v>#VALUE!</v>
      </c>
      <c r="GV162" s="547" t="e">
        <f>Nodes!W1329+"'E4!(&lt;R"</f>
        <v>#VALUE!</v>
      </c>
      <c r="GW162" t="e">
        <f>Nodes!X1329+"'E4!(&lt;S"</f>
        <v>#VALUE!</v>
      </c>
      <c r="GX162" t="e">
        <f>Nodes!Y1329+"'E4!(&lt;T"</f>
        <v>#VALUE!</v>
      </c>
      <c r="GY162" t="e">
        <f>Nodes!Z1329+"'E4!(&lt;U"</f>
        <v>#VALUE!</v>
      </c>
      <c r="GZ162" t="e">
        <f>Nodes!AA1329+"'E4!(&lt;V"</f>
        <v>#VALUE!</v>
      </c>
      <c r="HA162" t="e">
        <f>Nodes!AB1329+"'E4!(&lt;W"</f>
        <v>#VALUE!</v>
      </c>
      <c r="HB162" t="e">
        <f>Nodes!AC1329+"'E4!(&lt;X"</f>
        <v>#VALUE!</v>
      </c>
      <c r="HC162" t="e">
        <f>Nodes!AD1329+"'E4!(&lt;Y"</f>
        <v>#VALUE!</v>
      </c>
      <c r="HD162" t="e">
        <f>Nodes!A1330+"'E4!(&lt;Z"</f>
        <v>#VALUE!</v>
      </c>
      <c r="HE162" t="e">
        <f>Nodes!B1330+"'E4!(&lt;["</f>
        <v>#VALUE!</v>
      </c>
      <c r="HF162" t="e">
        <f>Nodes!C1330+"'E4!(&lt;\"</f>
        <v>#VALUE!</v>
      </c>
      <c r="HG162" t="e">
        <f>Nodes!D1330+"'E4!(&lt;]"</f>
        <v>#VALUE!</v>
      </c>
      <c r="HH162" t="e">
        <f>Nodes!E1330+"'E4!(&lt;^"</f>
        <v>#VALUE!</v>
      </c>
      <c r="HI162" t="e">
        <f>Nodes!F1330+"'E4!(&lt;_"</f>
        <v>#VALUE!</v>
      </c>
      <c r="HJ162" t="e">
        <f>Nodes!G1330+"'E4!(&lt;`"</f>
        <v>#VALUE!</v>
      </c>
      <c r="HK162" t="e">
        <f>Nodes!H1330+"'E4!(&lt;a"</f>
        <v>#VALUE!</v>
      </c>
      <c r="HL162" t="e">
        <f>Nodes!I1330+"'E4!(&lt;b"</f>
        <v>#VALUE!</v>
      </c>
      <c r="HM162" t="e">
        <f>Nodes!J1330+"'E4!(&lt;c"</f>
        <v>#VALUE!</v>
      </c>
      <c r="HN162" t="e">
        <f>Nodes!K1330+"'E4!(&lt;d"</f>
        <v>#VALUE!</v>
      </c>
      <c r="HO162" t="e">
        <f>Nodes!L1330+"'E4!(&lt;e"</f>
        <v>#VALUE!</v>
      </c>
      <c r="HP162" t="e">
        <f>Nodes!M1330+"'E4!(&lt;f"</f>
        <v>#VALUE!</v>
      </c>
      <c r="HQ162" t="e">
        <f>Nodes!N1330+"'E4!(&lt;g"</f>
        <v>#VALUE!</v>
      </c>
      <c r="HR162" t="e">
        <f>Nodes!O1330+"'E4!(&lt;h"</f>
        <v>#VALUE!</v>
      </c>
      <c r="HS162" t="e">
        <f>Nodes!P1330+"'E4!(&lt;i"</f>
        <v>#VALUE!</v>
      </c>
      <c r="HT162" t="e">
        <f>Nodes!Q1330+"'E4!(&lt;j"</f>
        <v>#VALUE!</v>
      </c>
      <c r="HU162" t="e">
        <f>Nodes!R1330+"'E4!(&lt;k"</f>
        <v>#VALUE!</v>
      </c>
      <c r="HV162" t="e">
        <f>Nodes!S1330+"'E4!(&lt;l"</f>
        <v>#VALUE!</v>
      </c>
      <c r="HW162" s="547" t="e">
        <f>Nodes!T1330+"'E4!(&lt;m"</f>
        <v>#VALUE!</v>
      </c>
      <c r="HX162" s="548" t="e">
        <f>Nodes!U1330+"'E4!(&lt;n"</f>
        <v>#VALUE!</v>
      </c>
      <c r="HY162" s="548" t="e">
        <f>Nodes!V1330+"'E4!(&lt;o"</f>
        <v>#VALUE!</v>
      </c>
      <c r="HZ162" s="547" t="e">
        <f>Nodes!W1330+"'E4!(&lt;p"</f>
        <v>#VALUE!</v>
      </c>
      <c r="IA162" t="e">
        <f>Nodes!X1330+"'E4!(&lt;q"</f>
        <v>#VALUE!</v>
      </c>
      <c r="IB162" t="e">
        <f>Nodes!Y1330+"'E4!(&lt;r"</f>
        <v>#VALUE!</v>
      </c>
      <c r="IC162" t="e">
        <f>Nodes!Z1330+"'E4!(&lt;s"</f>
        <v>#VALUE!</v>
      </c>
      <c r="ID162" t="e">
        <f>Nodes!AA1330+"'E4!(&lt;t"</f>
        <v>#VALUE!</v>
      </c>
      <c r="IE162" t="e">
        <f>Nodes!AB1330+"'E4!(&lt;u"</f>
        <v>#VALUE!</v>
      </c>
      <c r="IF162" t="e">
        <f>Nodes!AC1330+"'E4!(&lt;v"</f>
        <v>#VALUE!</v>
      </c>
      <c r="IG162" t="e">
        <f>Nodes!AD1330+"'E4!(&lt;w"</f>
        <v>#VALUE!</v>
      </c>
      <c r="IH162" t="e">
        <f>Nodes!A1331+"'E4!(&lt;x"</f>
        <v>#VALUE!</v>
      </c>
      <c r="II162" t="e">
        <f>Nodes!B1331+"'E4!(&lt;y"</f>
        <v>#VALUE!</v>
      </c>
      <c r="IJ162" t="e">
        <f>Nodes!C1331+"'E4!(&lt;z"</f>
        <v>#VALUE!</v>
      </c>
      <c r="IK162" t="e">
        <f>Nodes!D1331+"'E4!(&lt;{"</f>
        <v>#VALUE!</v>
      </c>
      <c r="IL162" t="e">
        <f>Nodes!E1331+"'E4!(&lt;|"</f>
        <v>#VALUE!</v>
      </c>
      <c r="IM162" t="e">
        <f>Nodes!F1331+"'E4!(&lt;}"</f>
        <v>#VALUE!</v>
      </c>
      <c r="IN162" t="e">
        <f>Nodes!G1331+"'E4!(&lt;~"</f>
        <v>#VALUE!</v>
      </c>
      <c r="IO162" t="e">
        <f>Nodes!H1331+"'E4!(=#"</f>
        <v>#VALUE!</v>
      </c>
      <c r="IP162" t="e">
        <f>Nodes!I1331+"'E4!(=$"</f>
        <v>#VALUE!</v>
      </c>
      <c r="IQ162" t="e">
        <f>Nodes!J1331+"'E4!(=%"</f>
        <v>#VALUE!</v>
      </c>
      <c r="IR162" t="e">
        <f>Nodes!K1331+"'E4!(=&amp;"</f>
        <v>#VALUE!</v>
      </c>
      <c r="IS162" t="e">
        <f>Nodes!L1331+"'E4!(='"</f>
        <v>#VALUE!</v>
      </c>
      <c r="IT162" t="e">
        <f>Nodes!M1331+"'E4!(=("</f>
        <v>#VALUE!</v>
      </c>
      <c r="IU162" t="e">
        <f>Nodes!N1331+"'E4!(=)"</f>
        <v>#VALUE!</v>
      </c>
      <c r="IV162" t="e">
        <f>Nodes!O1331+"'E4!(=."</f>
        <v>#VALUE!</v>
      </c>
    </row>
    <row r="163" spans="6:256">
      <c r="F163" t="e">
        <f>Nodes!P1331+"'E4!(=/"</f>
        <v>#VALUE!</v>
      </c>
      <c r="G163" t="e">
        <f>Nodes!Q1331+"'E4!(=0"</f>
        <v>#VALUE!</v>
      </c>
      <c r="H163" t="e">
        <f>Nodes!R1331+"'E4!(=1"</f>
        <v>#VALUE!</v>
      </c>
      <c r="I163" t="e">
        <f>Nodes!S1331+"'E4!(=2"</f>
        <v>#VALUE!</v>
      </c>
      <c r="J163" s="547" t="e">
        <f>Nodes!T1331+"'E4!(=3"</f>
        <v>#VALUE!</v>
      </c>
      <c r="K163" s="548" t="e">
        <f>Nodes!U1331+"'E4!(=4"</f>
        <v>#VALUE!</v>
      </c>
      <c r="L163" s="548" t="e">
        <f>Nodes!V1331+"'E4!(=5"</f>
        <v>#VALUE!</v>
      </c>
      <c r="M163" s="547" t="e">
        <f>Nodes!W1331+"'E4!(=6"</f>
        <v>#VALUE!</v>
      </c>
      <c r="N163" t="e">
        <f>Nodes!X1331+"'E4!(=7"</f>
        <v>#VALUE!</v>
      </c>
      <c r="O163" t="e">
        <f>Nodes!Y1331+"'E4!(=8"</f>
        <v>#VALUE!</v>
      </c>
      <c r="P163" t="e">
        <f>Nodes!Z1331+"'E4!(=9"</f>
        <v>#VALUE!</v>
      </c>
      <c r="Q163" t="e">
        <f>Nodes!AA1331+"'E4!(=:"</f>
        <v>#VALUE!</v>
      </c>
      <c r="R163" t="e">
        <f>Nodes!AB1331+"'E4!(=;"</f>
        <v>#VALUE!</v>
      </c>
      <c r="S163" t="e">
        <f>Nodes!AC1331+"'E4!(=&lt;"</f>
        <v>#VALUE!</v>
      </c>
      <c r="T163" t="e">
        <f>Nodes!AD1331+"'E4!(=="</f>
        <v>#VALUE!</v>
      </c>
      <c r="U163" t="e">
        <f>Nodes!A1332+"'E4!(=&gt;"</f>
        <v>#VALUE!</v>
      </c>
      <c r="V163" t="e">
        <f>Nodes!B1332+"'E4!(=?"</f>
        <v>#VALUE!</v>
      </c>
      <c r="W163" t="e">
        <f>Nodes!C1332+"'E4!(=@"</f>
        <v>#VALUE!</v>
      </c>
      <c r="X163" t="e">
        <f>Nodes!D1332+"'E4!(=A"</f>
        <v>#VALUE!</v>
      </c>
      <c r="Y163" t="e">
        <f>Nodes!E1332+"'E4!(=B"</f>
        <v>#VALUE!</v>
      </c>
      <c r="Z163" t="e">
        <f>Nodes!F1332+"'E4!(=C"</f>
        <v>#VALUE!</v>
      </c>
      <c r="AA163" t="e">
        <f>Nodes!G1332+"'E4!(=D"</f>
        <v>#VALUE!</v>
      </c>
      <c r="AB163" t="e">
        <f>Nodes!H1332+"'E4!(=E"</f>
        <v>#VALUE!</v>
      </c>
      <c r="AC163" t="e">
        <f>Nodes!I1332+"'E4!(=F"</f>
        <v>#VALUE!</v>
      </c>
      <c r="AD163" t="e">
        <f>Nodes!J1332+"'E4!(=G"</f>
        <v>#VALUE!</v>
      </c>
      <c r="AE163" t="e">
        <f>Nodes!K1332+"'E4!(=H"</f>
        <v>#VALUE!</v>
      </c>
      <c r="AF163" t="e">
        <f>Nodes!L1332+"'E4!(=I"</f>
        <v>#VALUE!</v>
      </c>
      <c r="AG163" t="e">
        <f>Nodes!M1332+"'E4!(=J"</f>
        <v>#VALUE!</v>
      </c>
      <c r="AH163" t="e">
        <f>Nodes!N1332+"'E4!(=K"</f>
        <v>#VALUE!</v>
      </c>
      <c r="AI163" t="e">
        <f>Nodes!O1332+"'E4!(=L"</f>
        <v>#VALUE!</v>
      </c>
      <c r="AJ163" t="e">
        <f>Nodes!P1332+"'E4!(=M"</f>
        <v>#VALUE!</v>
      </c>
      <c r="AK163" t="e">
        <f>Nodes!Q1332+"'E4!(=N"</f>
        <v>#VALUE!</v>
      </c>
      <c r="AL163" t="e">
        <f>Nodes!R1332+"'E4!(=O"</f>
        <v>#VALUE!</v>
      </c>
      <c r="AM163" t="e">
        <f>Nodes!S1332+"'E4!(=P"</f>
        <v>#VALUE!</v>
      </c>
      <c r="AN163" t="e">
        <f>Nodes!T1332+"'E4!(=Q"</f>
        <v>#VALUE!</v>
      </c>
      <c r="AO163" t="e">
        <f>Nodes!U1332+"'E4!(=R"</f>
        <v>#VALUE!</v>
      </c>
      <c r="AP163" t="e">
        <f>Nodes!V1332+"'E4!(=S"</f>
        <v>#VALUE!</v>
      </c>
      <c r="AQ163" t="e">
        <f>Nodes!W1332+"'E4!(=T"</f>
        <v>#VALUE!</v>
      </c>
      <c r="AR163" t="e">
        <f>Nodes!X1332+"'E4!(=U"</f>
        <v>#VALUE!</v>
      </c>
      <c r="AS163" t="e">
        <f>Nodes!Y1332+"'E4!(=V"</f>
        <v>#VALUE!</v>
      </c>
      <c r="AT163" t="e">
        <f>Nodes!Z1332+"'E4!(=W"</f>
        <v>#VALUE!</v>
      </c>
      <c r="AU163" t="e">
        <f>Nodes!AA1332+"'E4!(=X"</f>
        <v>#VALUE!</v>
      </c>
      <c r="AV163" t="e">
        <f>Nodes!AB1332+"'E4!(=Y"</f>
        <v>#VALUE!</v>
      </c>
      <c r="AW163" t="e">
        <f>Nodes!AC1332+"'E4!(=Z"</f>
        <v>#VALUE!</v>
      </c>
      <c r="AX163" t="e">
        <f>Nodes!A1333+"'E4!(=["</f>
        <v>#VALUE!</v>
      </c>
      <c r="AY163" t="e">
        <f>Nodes!B1333+"'E4!(=\"</f>
        <v>#VALUE!</v>
      </c>
      <c r="AZ163" t="e">
        <f>Nodes!C1333+"'E4!(=]"</f>
        <v>#VALUE!</v>
      </c>
      <c r="BA163" t="e">
        <f>Nodes!D1333+"'E4!(=^"</f>
        <v>#VALUE!</v>
      </c>
      <c r="BB163" t="e">
        <f>Nodes!E1333+"'E4!(=_"</f>
        <v>#VALUE!</v>
      </c>
      <c r="BC163" t="e">
        <f>Nodes!F1333+"'E4!(=`"</f>
        <v>#VALUE!</v>
      </c>
      <c r="BD163" t="e">
        <f>Nodes!G1333+"'E4!(=a"</f>
        <v>#VALUE!</v>
      </c>
      <c r="BE163" t="e">
        <f>Nodes!H1333+"'E4!(=b"</f>
        <v>#VALUE!</v>
      </c>
      <c r="BF163" t="e">
        <f>Nodes!I1333+"'E4!(=c"</f>
        <v>#VALUE!</v>
      </c>
      <c r="BG163" t="e">
        <f>Nodes!J1333+"'E4!(=d"</f>
        <v>#VALUE!</v>
      </c>
      <c r="BH163" t="e">
        <f>Nodes!K1333+"'E4!(=e"</f>
        <v>#VALUE!</v>
      </c>
      <c r="BI163" t="e">
        <f>Nodes!L1333+"'E4!(=f"</f>
        <v>#VALUE!</v>
      </c>
      <c r="BJ163" t="e">
        <f>Nodes!M1333+"'E4!(=g"</f>
        <v>#VALUE!</v>
      </c>
      <c r="BK163" t="e">
        <f>Nodes!N1333+"'E4!(=h"</f>
        <v>#VALUE!</v>
      </c>
      <c r="BL163" t="e">
        <f>Nodes!O1333+"'E4!(=i"</f>
        <v>#VALUE!</v>
      </c>
      <c r="BM163" t="e">
        <f>Nodes!P1333+"'E4!(=j"</f>
        <v>#VALUE!</v>
      </c>
      <c r="BN163" t="e">
        <f>Nodes!Q1333+"'E4!(=k"</f>
        <v>#VALUE!</v>
      </c>
      <c r="BO163" t="e">
        <f>Nodes!R1333+"'E4!(=l"</f>
        <v>#VALUE!</v>
      </c>
      <c r="BP163" t="e">
        <f>Nodes!S1333+"'E4!(=m"</f>
        <v>#VALUE!</v>
      </c>
      <c r="BQ163" t="e">
        <f>Nodes!T1333+"'E4!(=n"</f>
        <v>#VALUE!</v>
      </c>
      <c r="BR163" t="e">
        <f>Nodes!U1333+"'E4!(=o"</f>
        <v>#VALUE!</v>
      </c>
      <c r="BS163" t="e">
        <f>Nodes!V1333+"'E4!(=p"</f>
        <v>#VALUE!</v>
      </c>
      <c r="BT163" t="e">
        <f>Nodes!W1333+"'E4!(=q"</f>
        <v>#VALUE!</v>
      </c>
      <c r="BU163" t="e">
        <f>Nodes!X1333+"'E4!(=r"</f>
        <v>#VALUE!</v>
      </c>
      <c r="BV163" t="e">
        <f>Nodes!Y1333+"'E4!(=s"</f>
        <v>#VALUE!</v>
      </c>
      <c r="BW163" t="e">
        <f>Nodes!Z1333+"'E4!(=t"</f>
        <v>#VALUE!</v>
      </c>
      <c r="BX163" t="e">
        <f>Nodes!AA1333+"'E4!(=u"</f>
        <v>#VALUE!</v>
      </c>
      <c r="BY163" t="e">
        <f>Nodes!AB1333+"'E4!(=v"</f>
        <v>#VALUE!</v>
      </c>
      <c r="BZ163" t="e">
        <f>Nodes!AC1333+"'E4!(=w"</f>
        <v>#VALUE!</v>
      </c>
      <c r="CA163" t="e">
        <f>Nodes!A1334+"'E4!(=x"</f>
        <v>#VALUE!</v>
      </c>
      <c r="CB163" t="e">
        <f>Nodes!B1334+"'E4!(=y"</f>
        <v>#VALUE!</v>
      </c>
      <c r="CC163" t="e">
        <f>Nodes!C1334+"'E4!(=z"</f>
        <v>#VALUE!</v>
      </c>
      <c r="CD163" t="e">
        <f>Nodes!D1334+"'E4!(={"</f>
        <v>#VALUE!</v>
      </c>
      <c r="CE163" t="e">
        <f>Nodes!E1334+"'E4!(=|"</f>
        <v>#VALUE!</v>
      </c>
      <c r="CF163" t="e">
        <f>Nodes!F1334+"'E4!(=}"</f>
        <v>#VALUE!</v>
      </c>
      <c r="CG163" t="e">
        <f>Nodes!G1334+"'E4!(=~"</f>
        <v>#VALUE!</v>
      </c>
      <c r="CH163" t="e">
        <f>Nodes!H1334+"'E4!(&gt;#"</f>
        <v>#VALUE!</v>
      </c>
      <c r="CI163" t="e">
        <f>Nodes!I1334+"'E4!(&gt;$"</f>
        <v>#VALUE!</v>
      </c>
      <c r="CJ163" t="e">
        <f>Nodes!J1334+"'E4!(&gt;%"</f>
        <v>#VALUE!</v>
      </c>
      <c r="CK163" t="e">
        <f>Nodes!K1334+"'E4!(&gt;&amp;"</f>
        <v>#VALUE!</v>
      </c>
      <c r="CL163" t="e">
        <f>Nodes!L1334+"'E4!(&gt;'"</f>
        <v>#VALUE!</v>
      </c>
      <c r="CM163" t="e">
        <f>Nodes!M1334+"'E4!(&gt;("</f>
        <v>#VALUE!</v>
      </c>
      <c r="CN163" t="e">
        <f>Nodes!N1334+"'E4!(&gt;)"</f>
        <v>#VALUE!</v>
      </c>
      <c r="CO163" t="e">
        <f>Nodes!O1334+"'E4!(&gt;."</f>
        <v>#VALUE!</v>
      </c>
      <c r="CP163" t="e">
        <f>Nodes!P1334+"'E4!(&gt;/"</f>
        <v>#VALUE!</v>
      </c>
      <c r="CQ163" t="e">
        <f>Nodes!Q1334+"'E4!(&gt;0"</f>
        <v>#VALUE!</v>
      </c>
      <c r="CR163" t="e">
        <f>Nodes!R1334+"'E4!(&gt;1"</f>
        <v>#VALUE!</v>
      </c>
      <c r="CS163" t="e">
        <f>Nodes!S1334+"'E4!(&gt;2"</f>
        <v>#VALUE!</v>
      </c>
      <c r="CT163" t="e">
        <f>Nodes!T1334+"'E4!(&gt;3"</f>
        <v>#VALUE!</v>
      </c>
      <c r="CU163" t="e">
        <f>Nodes!U1334+"'E4!(&gt;4"</f>
        <v>#VALUE!</v>
      </c>
      <c r="CV163" t="e">
        <f>Nodes!V1334+"'E4!(&gt;5"</f>
        <v>#VALUE!</v>
      </c>
      <c r="CW163" t="e">
        <f>Nodes!W1334+"'E4!(&gt;6"</f>
        <v>#VALUE!</v>
      </c>
      <c r="CX163" t="e">
        <f>Nodes!X1334+"'E4!(&gt;7"</f>
        <v>#VALUE!</v>
      </c>
      <c r="CY163" t="e">
        <f>Nodes!Y1334+"'E4!(&gt;8"</f>
        <v>#VALUE!</v>
      </c>
      <c r="CZ163" t="e">
        <f>Nodes!Z1334+"'E4!(&gt;9"</f>
        <v>#VALUE!</v>
      </c>
      <c r="DA163" t="e">
        <f>Nodes!AA1334+"'E4!(&gt;:"</f>
        <v>#VALUE!</v>
      </c>
      <c r="DB163" t="e">
        <f>Nodes!AB1334+"'E4!(&gt;;"</f>
        <v>#VALUE!</v>
      </c>
      <c r="DC163" t="e">
        <f>Nodes!AC1334+"'E4!(&gt;&lt;"</f>
        <v>#VALUE!</v>
      </c>
      <c r="DD163" t="e">
        <f>Nodes!A1335+"'E4!(&gt;="</f>
        <v>#VALUE!</v>
      </c>
      <c r="DE163" t="e">
        <f>Nodes!B1335+"'E4!(&gt;&gt;"</f>
        <v>#VALUE!</v>
      </c>
      <c r="DF163" t="e">
        <f>Nodes!C1335+"'E4!(&gt;?"</f>
        <v>#VALUE!</v>
      </c>
      <c r="DG163" t="e">
        <f>Nodes!D1335+"'E4!(&gt;@"</f>
        <v>#VALUE!</v>
      </c>
      <c r="DH163" t="e">
        <f>Nodes!E1335+"'E4!(&gt;A"</f>
        <v>#VALUE!</v>
      </c>
      <c r="DI163" t="e">
        <f>Nodes!F1335+"'E4!(&gt;B"</f>
        <v>#VALUE!</v>
      </c>
      <c r="DJ163" t="e">
        <f>Nodes!G1335+"'E4!(&gt;C"</f>
        <v>#VALUE!</v>
      </c>
      <c r="DK163" t="e">
        <f>Nodes!H1335+"'E4!(&gt;D"</f>
        <v>#VALUE!</v>
      </c>
      <c r="DL163" t="e">
        <f>Nodes!I1335+"'E4!(&gt;E"</f>
        <v>#VALUE!</v>
      </c>
      <c r="DM163" t="e">
        <f>Nodes!J1335+"'E4!(&gt;F"</f>
        <v>#VALUE!</v>
      </c>
      <c r="DN163" t="e">
        <f>Nodes!K1335+"'E4!(&gt;G"</f>
        <v>#VALUE!</v>
      </c>
      <c r="DO163" t="e">
        <f>Nodes!L1335+"'E4!(&gt;H"</f>
        <v>#VALUE!</v>
      </c>
      <c r="DP163" t="e">
        <f>Nodes!M1335+"'E4!(&gt;I"</f>
        <v>#VALUE!</v>
      </c>
      <c r="DQ163" t="e">
        <f>Nodes!N1335+"'E4!(&gt;J"</f>
        <v>#VALUE!</v>
      </c>
      <c r="DR163" t="e">
        <f>Nodes!O1335+"'E4!(&gt;K"</f>
        <v>#VALUE!</v>
      </c>
      <c r="DS163" t="e">
        <f>Nodes!Q1335+"'E4!(&gt;L"</f>
        <v>#VALUE!</v>
      </c>
      <c r="DT163" t="e">
        <f>Nodes!R1335+"'E4!(&gt;M"</f>
        <v>#VALUE!</v>
      </c>
      <c r="DU163" t="e">
        <f>Nodes!S1335+"'E4!(&gt;N"</f>
        <v>#VALUE!</v>
      </c>
      <c r="DV163" t="e">
        <f>Nodes!T1335+"'E4!(&gt;O"</f>
        <v>#VALUE!</v>
      </c>
      <c r="DW163" t="e">
        <f>Nodes!U1335+"'E4!(&gt;P"</f>
        <v>#VALUE!</v>
      </c>
      <c r="DX163" t="e">
        <f>Nodes!V1335+"'E4!(&gt;Q"</f>
        <v>#VALUE!</v>
      </c>
      <c r="DY163" t="e">
        <f>Nodes!W1335+"'E4!(&gt;R"</f>
        <v>#VALUE!</v>
      </c>
      <c r="DZ163" t="e">
        <f>Nodes!X1335+"'E4!(&gt;S"</f>
        <v>#VALUE!</v>
      </c>
      <c r="EA163" t="e">
        <f>Nodes!Y1335+"'E4!(&gt;T"</f>
        <v>#VALUE!</v>
      </c>
      <c r="EB163" t="e">
        <f>Nodes!Z1335+"'E4!(&gt;U"</f>
        <v>#VALUE!</v>
      </c>
      <c r="EC163" t="e">
        <f>Nodes!AA1335+"'E4!(&gt;V"</f>
        <v>#VALUE!</v>
      </c>
      <c r="ED163" t="e">
        <f>Nodes!AB1335+"'E4!(&gt;W"</f>
        <v>#VALUE!</v>
      </c>
      <c r="EE163" t="e">
        <f>Nodes!AC1335+"'E4!(&gt;X"</f>
        <v>#VALUE!</v>
      </c>
      <c r="EF163" t="e">
        <f>Nodes!A1336+"'E4!(&gt;Y"</f>
        <v>#VALUE!</v>
      </c>
      <c r="EG163" t="e">
        <f>Nodes!B1336+"'E4!(&gt;Z"</f>
        <v>#VALUE!</v>
      </c>
      <c r="EH163" t="e">
        <f>Nodes!C1336+"'E4!(&gt;["</f>
        <v>#VALUE!</v>
      </c>
      <c r="EI163" t="e">
        <f>Nodes!D1336+"'E4!(&gt;\"</f>
        <v>#VALUE!</v>
      </c>
      <c r="EJ163" t="e">
        <f>Nodes!E1336+"'E4!(&gt;]"</f>
        <v>#VALUE!</v>
      </c>
      <c r="EK163" t="e">
        <f>Nodes!F1336+"'E4!(&gt;^"</f>
        <v>#VALUE!</v>
      </c>
      <c r="EL163" t="e">
        <f>Nodes!G1336+"'E4!(&gt;_"</f>
        <v>#VALUE!</v>
      </c>
      <c r="EM163" t="e">
        <f>Nodes!H1336+"'E4!(&gt;`"</f>
        <v>#VALUE!</v>
      </c>
      <c r="EN163" t="e">
        <f>Nodes!I1336+"'E4!(&gt;a"</f>
        <v>#VALUE!</v>
      </c>
      <c r="EO163" t="e">
        <f>Nodes!J1336+"'E4!(&gt;b"</f>
        <v>#VALUE!</v>
      </c>
      <c r="EP163" t="e">
        <f>Nodes!K1336+"'E4!(&gt;c"</f>
        <v>#VALUE!</v>
      </c>
      <c r="EQ163" t="e">
        <f>Nodes!L1336+"'E4!(&gt;d"</f>
        <v>#VALUE!</v>
      </c>
      <c r="ER163" t="e">
        <f>Nodes!M1336+"'E4!(&gt;e"</f>
        <v>#VALUE!</v>
      </c>
      <c r="ES163" t="e">
        <f>Nodes!N1336+"'E4!(&gt;f"</f>
        <v>#VALUE!</v>
      </c>
      <c r="ET163" t="e">
        <f>Nodes!O1336+"'E4!(&gt;g"</f>
        <v>#VALUE!</v>
      </c>
      <c r="EU163" t="e">
        <f>Nodes!Q1336+"'E4!(&gt;h"</f>
        <v>#VALUE!</v>
      </c>
      <c r="EV163" t="e">
        <f>Nodes!R1336+"'E4!(&gt;i"</f>
        <v>#VALUE!</v>
      </c>
      <c r="EW163" t="e">
        <f>Nodes!S1336+"'E4!(&gt;j"</f>
        <v>#VALUE!</v>
      </c>
      <c r="EX163" t="e">
        <f>Nodes!T1336+"'E4!(&gt;k"</f>
        <v>#VALUE!</v>
      </c>
      <c r="EY163" t="e">
        <f>Nodes!U1336+"'E4!(&gt;l"</f>
        <v>#VALUE!</v>
      </c>
      <c r="EZ163" t="e">
        <f>Nodes!V1336+"'E4!(&gt;m"</f>
        <v>#VALUE!</v>
      </c>
      <c r="FA163" t="e">
        <f>Nodes!W1336+"'E4!(&gt;n"</f>
        <v>#VALUE!</v>
      </c>
      <c r="FB163" t="e">
        <f>Nodes!X1336+"'E4!(&gt;o"</f>
        <v>#VALUE!</v>
      </c>
      <c r="FC163" t="e">
        <f>Nodes!Y1336+"'E4!(&gt;p"</f>
        <v>#VALUE!</v>
      </c>
      <c r="FD163" t="e">
        <f>Nodes!Z1336+"'E4!(&gt;q"</f>
        <v>#VALUE!</v>
      </c>
      <c r="FE163" t="e">
        <f>Nodes!AA1336+"'E4!(&gt;r"</f>
        <v>#VALUE!</v>
      </c>
      <c r="FF163" t="e">
        <f>Nodes!AB1336+"'E4!(&gt;s"</f>
        <v>#VALUE!</v>
      </c>
      <c r="FG163" t="e">
        <f>Nodes!AC1336+"'E4!(&gt;t"</f>
        <v>#VALUE!</v>
      </c>
      <c r="FH163" t="e">
        <f>Nodes!A1337+"'E4!(&gt;u"</f>
        <v>#VALUE!</v>
      </c>
      <c r="FI163" t="e">
        <f>Nodes!B1337+"'E4!(&gt;v"</f>
        <v>#VALUE!</v>
      </c>
      <c r="FJ163" t="e">
        <f>Nodes!C1337+"'E4!(&gt;w"</f>
        <v>#VALUE!</v>
      </c>
      <c r="FK163" t="e">
        <f>Nodes!D1337+"'E4!(&gt;x"</f>
        <v>#VALUE!</v>
      </c>
      <c r="FL163" t="e">
        <f>Nodes!E1337+"'E4!(&gt;y"</f>
        <v>#VALUE!</v>
      </c>
      <c r="FM163" t="e">
        <f>Nodes!F1337+"'E4!(&gt;z"</f>
        <v>#VALUE!</v>
      </c>
      <c r="FN163" t="e">
        <f>Nodes!G1337+"'E4!(&gt;{"</f>
        <v>#VALUE!</v>
      </c>
      <c r="FO163" t="e">
        <f>Nodes!H1337+"'E4!(&gt;|"</f>
        <v>#VALUE!</v>
      </c>
      <c r="FP163" t="e">
        <f>Nodes!I1337+"'E4!(&gt;}"</f>
        <v>#VALUE!</v>
      </c>
      <c r="FQ163" t="e">
        <f>Nodes!J1337+"'E4!(&gt;~"</f>
        <v>#VALUE!</v>
      </c>
      <c r="FR163" t="e">
        <f>Nodes!K1337+"'E4!(?#"</f>
        <v>#VALUE!</v>
      </c>
      <c r="FS163" t="e">
        <f>Nodes!L1337+"'E4!(?$"</f>
        <v>#VALUE!</v>
      </c>
      <c r="FT163" t="e">
        <f>Nodes!M1337+"'E4!(?%"</f>
        <v>#VALUE!</v>
      </c>
      <c r="FU163" t="e">
        <f>Nodes!N1337+"'E4!(?&amp;"</f>
        <v>#VALUE!</v>
      </c>
      <c r="FV163" t="e">
        <f>Nodes!O1337+"'E4!(?'"</f>
        <v>#VALUE!</v>
      </c>
      <c r="FW163" t="e">
        <f>Nodes!P1337+"'E4!(?("</f>
        <v>#VALUE!</v>
      </c>
      <c r="FX163" t="e">
        <f>Nodes!Q1337+"'E4!(?)"</f>
        <v>#VALUE!</v>
      </c>
      <c r="FY163" t="e">
        <f>Nodes!R1337+"'E4!(?."</f>
        <v>#VALUE!</v>
      </c>
      <c r="FZ163" t="e">
        <f>Nodes!S1337+"'E4!(?/"</f>
        <v>#VALUE!</v>
      </c>
      <c r="GA163" s="547" t="e">
        <f>Nodes!T1337+"'E4!(?0"</f>
        <v>#VALUE!</v>
      </c>
      <c r="GB163" s="548" t="e">
        <f>Nodes!U1337+"'E4!(?1"</f>
        <v>#VALUE!</v>
      </c>
      <c r="GC163" s="548" t="e">
        <f>Nodes!V1337+"'E4!(?2"</f>
        <v>#VALUE!</v>
      </c>
      <c r="GD163" s="547" t="e">
        <f>Nodes!W1337+"'E4!(?3"</f>
        <v>#VALUE!</v>
      </c>
      <c r="GE163" t="e">
        <f>Nodes!X1337+"'E4!(?4"</f>
        <v>#VALUE!</v>
      </c>
      <c r="GF163" t="e">
        <f>Nodes!Y1337+"'E4!(?5"</f>
        <v>#VALUE!</v>
      </c>
      <c r="GG163" t="e">
        <f>Nodes!Z1337+"'E4!(?6"</f>
        <v>#VALUE!</v>
      </c>
      <c r="GH163" t="e">
        <f>Nodes!AA1337+"'E4!(?7"</f>
        <v>#VALUE!</v>
      </c>
      <c r="GI163" t="e">
        <f>Nodes!AB1337+"'E4!(?8"</f>
        <v>#VALUE!</v>
      </c>
      <c r="GJ163" t="e">
        <f>Nodes!AC1337+"'E4!(?9"</f>
        <v>#VALUE!</v>
      </c>
      <c r="GK163" t="e">
        <f>Nodes!A1338+"'E4!(?:"</f>
        <v>#VALUE!</v>
      </c>
      <c r="GL163" t="e">
        <f>Nodes!B1338+"'E4!(?;"</f>
        <v>#VALUE!</v>
      </c>
      <c r="GM163" t="e">
        <f>Nodes!C1338+"'E4!(?&lt;"</f>
        <v>#VALUE!</v>
      </c>
      <c r="GN163" t="e">
        <f>Nodes!D1338+"'E4!(?="</f>
        <v>#VALUE!</v>
      </c>
      <c r="GO163" t="e">
        <f>Nodes!E1338+"'E4!(?&gt;"</f>
        <v>#VALUE!</v>
      </c>
      <c r="GP163" t="e">
        <f>Nodes!F1338+"'E4!(??"</f>
        <v>#VALUE!</v>
      </c>
      <c r="GQ163" t="e">
        <f>Nodes!G1338+"'E4!(?@"</f>
        <v>#VALUE!</v>
      </c>
      <c r="GR163" t="e">
        <f>Nodes!H1338+"'E4!(?A"</f>
        <v>#VALUE!</v>
      </c>
      <c r="GS163" t="e">
        <f>Nodes!I1338+"'E4!(?B"</f>
        <v>#VALUE!</v>
      </c>
      <c r="GT163" t="e">
        <f>Nodes!J1338+"'E4!(?C"</f>
        <v>#VALUE!</v>
      </c>
      <c r="GU163" t="e">
        <f>Nodes!K1338+"'E4!(?D"</f>
        <v>#VALUE!</v>
      </c>
      <c r="GV163" t="e">
        <f>Nodes!L1338+"'E4!(?E"</f>
        <v>#VALUE!</v>
      </c>
      <c r="GW163" t="e">
        <f>Nodes!M1338+"'E4!(?F"</f>
        <v>#VALUE!</v>
      </c>
      <c r="GX163" t="e">
        <f>Nodes!N1338+"'E4!(?G"</f>
        <v>#VALUE!</v>
      </c>
      <c r="GY163" t="e">
        <f>Nodes!O1338+"'E4!(?H"</f>
        <v>#VALUE!</v>
      </c>
      <c r="GZ163" t="e">
        <f>Nodes!P1338+"'E4!(?I"</f>
        <v>#VALUE!</v>
      </c>
      <c r="HA163" t="e">
        <f>Nodes!Q1338+"'E4!(?J"</f>
        <v>#VALUE!</v>
      </c>
      <c r="HB163" t="e">
        <f>Nodes!R1338+"'E4!(?K"</f>
        <v>#VALUE!</v>
      </c>
      <c r="HC163" t="e">
        <f>Nodes!S1338+"'E4!(?L"</f>
        <v>#VALUE!</v>
      </c>
      <c r="HD163" s="547" t="e">
        <f>Nodes!T1338+"'E4!(?M"</f>
        <v>#VALUE!</v>
      </c>
      <c r="HE163" s="548" t="e">
        <f>Nodes!U1338+"'E4!(?N"</f>
        <v>#VALUE!</v>
      </c>
      <c r="HF163" s="548" t="e">
        <f>Nodes!V1338+"'E4!(?O"</f>
        <v>#VALUE!</v>
      </c>
      <c r="HG163" s="547" t="e">
        <f>Nodes!W1338+"'E4!(?P"</f>
        <v>#VALUE!</v>
      </c>
      <c r="HH163" t="e">
        <f>Nodes!X1338+"'E4!(?Q"</f>
        <v>#VALUE!</v>
      </c>
      <c r="HI163" t="e">
        <f>Nodes!Y1338+"'E4!(?R"</f>
        <v>#VALUE!</v>
      </c>
      <c r="HJ163" t="e">
        <f>Nodes!Z1338+"'E4!(?S"</f>
        <v>#VALUE!</v>
      </c>
      <c r="HK163" t="e">
        <f>Nodes!AA1338+"'E4!(?T"</f>
        <v>#VALUE!</v>
      </c>
      <c r="HL163" t="e">
        <f>Nodes!AB1338+"'E4!(?U"</f>
        <v>#VALUE!</v>
      </c>
      <c r="HM163" t="e">
        <f>Nodes!AC1338+"'E4!(?V"</f>
        <v>#VALUE!</v>
      </c>
      <c r="HN163" t="e">
        <f>Nodes!A1339+"'E4!(?W"</f>
        <v>#VALUE!</v>
      </c>
      <c r="HO163" t="e">
        <f>Nodes!B1339+"'E4!(?X"</f>
        <v>#VALUE!</v>
      </c>
      <c r="HP163" t="e">
        <f>Nodes!C1339+"'E4!(?Y"</f>
        <v>#VALUE!</v>
      </c>
      <c r="HQ163" t="e">
        <f>Nodes!D1339+"'E4!(?Z"</f>
        <v>#VALUE!</v>
      </c>
      <c r="HR163" t="e">
        <f>Nodes!E1339+"'E4!(?["</f>
        <v>#VALUE!</v>
      </c>
      <c r="HS163" t="e">
        <f>Nodes!F1339+"'E4!(?\"</f>
        <v>#VALUE!</v>
      </c>
      <c r="HT163" t="e">
        <f>Nodes!G1339+"'E4!(?]"</f>
        <v>#VALUE!</v>
      </c>
      <c r="HU163" t="e">
        <f>Nodes!H1339+"'E4!(?^"</f>
        <v>#VALUE!</v>
      </c>
      <c r="HV163" t="e">
        <f>Nodes!I1339+"'E4!(?_"</f>
        <v>#VALUE!</v>
      </c>
      <c r="HW163" t="e">
        <f>Nodes!J1339+"'E4!(?`"</f>
        <v>#VALUE!</v>
      </c>
      <c r="HX163" t="e">
        <f>Nodes!K1339+"'E4!(?a"</f>
        <v>#VALUE!</v>
      </c>
      <c r="HY163" t="e">
        <f>Nodes!L1339+"'E4!(?b"</f>
        <v>#VALUE!</v>
      </c>
      <c r="HZ163" t="e">
        <f>Nodes!M1339+"'E4!(?c"</f>
        <v>#VALUE!</v>
      </c>
      <c r="IA163" t="e">
        <f>Nodes!N1339+"'E4!(?d"</f>
        <v>#VALUE!</v>
      </c>
      <c r="IB163" t="e">
        <f>Nodes!O1339+"'E4!(?e"</f>
        <v>#VALUE!</v>
      </c>
      <c r="IC163" t="e">
        <f>Nodes!P1339+"'E4!(?f"</f>
        <v>#VALUE!</v>
      </c>
      <c r="ID163" t="e">
        <f>Nodes!R1339+"'E4!(?g"</f>
        <v>#VALUE!</v>
      </c>
      <c r="IE163" t="e">
        <f>Nodes!S1339+"'E4!(?h"</f>
        <v>#VALUE!</v>
      </c>
      <c r="IF163" t="e">
        <f>Nodes!T1339+"'E4!(?i"</f>
        <v>#VALUE!</v>
      </c>
      <c r="IG163" t="e">
        <f>Nodes!U1339+"'E4!(?j"</f>
        <v>#VALUE!</v>
      </c>
      <c r="IH163" t="e">
        <f>Nodes!V1339+"'E4!(?k"</f>
        <v>#VALUE!</v>
      </c>
      <c r="II163" t="e">
        <f>Nodes!W1339+"'E4!(?l"</f>
        <v>#VALUE!</v>
      </c>
      <c r="IJ163" t="e">
        <f>Nodes!X1339+"'E4!(?m"</f>
        <v>#VALUE!</v>
      </c>
      <c r="IK163" t="e">
        <f>Nodes!Y1339+"'E4!(?n"</f>
        <v>#VALUE!</v>
      </c>
      <c r="IL163" t="e">
        <f>Nodes!Z1339+"'E4!(?o"</f>
        <v>#VALUE!</v>
      </c>
      <c r="IM163" t="e">
        <f>Nodes!AA1339+"'E4!(?p"</f>
        <v>#VALUE!</v>
      </c>
      <c r="IN163" t="e">
        <f>Nodes!AB1339+"'E4!(?q"</f>
        <v>#VALUE!</v>
      </c>
      <c r="IO163" t="e">
        <f>Nodes!AC1339+"'E4!(?r"</f>
        <v>#VALUE!</v>
      </c>
      <c r="IP163" t="e">
        <f>Nodes!A1340+"'E4!(?s"</f>
        <v>#VALUE!</v>
      </c>
      <c r="IQ163" t="e">
        <f>Nodes!B1340+"'E4!(?t"</f>
        <v>#VALUE!</v>
      </c>
      <c r="IR163" t="e">
        <f>Nodes!C1340+"'E4!(?u"</f>
        <v>#VALUE!</v>
      </c>
      <c r="IS163" t="e">
        <f>Nodes!D1340+"'E4!(?v"</f>
        <v>#VALUE!</v>
      </c>
      <c r="IT163" t="e">
        <f>Nodes!E1340+"'E4!(?w"</f>
        <v>#VALUE!</v>
      </c>
      <c r="IU163" t="e">
        <f>Nodes!F1340+"'E4!(?x"</f>
        <v>#VALUE!</v>
      </c>
      <c r="IV163" t="e">
        <f>Nodes!G1340+"'E4!(?y"</f>
        <v>#VALUE!</v>
      </c>
    </row>
    <row r="164" spans="6:256">
      <c r="F164" t="e">
        <f>Nodes!H1340+"'E4!(?z"</f>
        <v>#VALUE!</v>
      </c>
      <c r="G164" t="e">
        <f>Nodes!I1340+"'E4!(?{"</f>
        <v>#VALUE!</v>
      </c>
      <c r="H164" t="e">
        <f>Nodes!J1340+"'E4!(?|"</f>
        <v>#VALUE!</v>
      </c>
      <c r="I164" t="e">
        <f>Nodes!K1340+"'E4!(?}"</f>
        <v>#VALUE!</v>
      </c>
      <c r="J164" t="e">
        <f>Nodes!L1340+"'E4!(?~"</f>
        <v>#VALUE!</v>
      </c>
      <c r="K164" t="e">
        <f>Nodes!M1340+"'E4!(@#"</f>
        <v>#VALUE!</v>
      </c>
      <c r="L164" t="e">
        <f>Nodes!N1340+"'E4!(@$"</f>
        <v>#VALUE!</v>
      </c>
      <c r="M164" t="e">
        <f>Nodes!O1340+"'E4!(@%"</f>
        <v>#VALUE!</v>
      </c>
      <c r="N164" t="e">
        <f>Nodes!P1340+"'E4!(@&amp;"</f>
        <v>#VALUE!</v>
      </c>
      <c r="O164" t="e">
        <f>Nodes!R1340+"'E4!(@'"</f>
        <v>#VALUE!</v>
      </c>
      <c r="P164" t="e">
        <f>Nodes!S1340+"'E4!(@("</f>
        <v>#VALUE!</v>
      </c>
      <c r="Q164" t="e">
        <f>Nodes!T1340+"'E4!(@)"</f>
        <v>#VALUE!</v>
      </c>
      <c r="R164" t="e">
        <f>Nodes!U1340+"'E4!(@."</f>
        <v>#VALUE!</v>
      </c>
      <c r="S164" t="e">
        <f>Nodes!V1340+"'E4!(@/"</f>
        <v>#VALUE!</v>
      </c>
      <c r="T164" t="e">
        <f>Nodes!W1340+"'E4!(@0"</f>
        <v>#VALUE!</v>
      </c>
      <c r="U164" t="e">
        <f>Nodes!X1340+"'E4!(@1"</f>
        <v>#VALUE!</v>
      </c>
      <c r="V164" t="e">
        <f>Nodes!Y1340+"'E4!(@2"</f>
        <v>#VALUE!</v>
      </c>
      <c r="W164" t="e">
        <f>Nodes!Z1340+"'E4!(@3"</f>
        <v>#VALUE!</v>
      </c>
      <c r="X164" t="e">
        <f>Nodes!AA1340+"'E4!(@4"</f>
        <v>#VALUE!</v>
      </c>
      <c r="Y164" t="e">
        <f>Nodes!AB1340+"'E4!(@5"</f>
        <v>#VALUE!</v>
      </c>
      <c r="Z164" t="e">
        <f>Nodes!AC1340+"'E4!(@6"</f>
        <v>#VALUE!</v>
      </c>
      <c r="AA164" t="e">
        <f>Nodes!A1341+"'E4!(@7"</f>
        <v>#VALUE!</v>
      </c>
      <c r="AB164" t="e">
        <f>Nodes!B1341+"'E4!(@8"</f>
        <v>#VALUE!</v>
      </c>
      <c r="AC164" t="e">
        <f>Nodes!C1341+"'E4!(@9"</f>
        <v>#VALUE!</v>
      </c>
      <c r="AD164" t="e">
        <f>Nodes!D1341+"'E4!(@:"</f>
        <v>#VALUE!</v>
      </c>
      <c r="AE164" t="e">
        <f>Nodes!E1341+"'E4!(@;"</f>
        <v>#VALUE!</v>
      </c>
      <c r="AF164" t="e">
        <f>Nodes!F1341+"'E4!(@&lt;"</f>
        <v>#VALUE!</v>
      </c>
      <c r="AG164" t="e">
        <f>Nodes!G1341+"'E4!(@="</f>
        <v>#VALUE!</v>
      </c>
      <c r="AH164" t="e">
        <f>Nodes!H1341+"'E4!(@&gt;"</f>
        <v>#VALUE!</v>
      </c>
      <c r="AI164" t="e">
        <f>Nodes!I1341+"'E4!(@?"</f>
        <v>#VALUE!</v>
      </c>
      <c r="AJ164" t="e">
        <f>Nodes!J1341+"'E4!(@@"</f>
        <v>#VALUE!</v>
      </c>
      <c r="AK164" t="e">
        <f>Nodes!K1341+"'E4!(@A"</f>
        <v>#VALUE!</v>
      </c>
      <c r="AL164" t="e">
        <f>Nodes!L1341+"'E4!(@B"</f>
        <v>#VALUE!</v>
      </c>
      <c r="AM164" t="e">
        <f>Nodes!M1341+"'E4!(@C"</f>
        <v>#VALUE!</v>
      </c>
      <c r="AN164" t="e">
        <f>Nodes!N1341+"'E4!(@D"</f>
        <v>#VALUE!</v>
      </c>
      <c r="AO164" t="e">
        <f>Nodes!O1341+"'E4!(@E"</f>
        <v>#VALUE!</v>
      </c>
      <c r="AP164" t="e">
        <f>Nodes!P1341+"'E4!(@F"</f>
        <v>#VALUE!</v>
      </c>
      <c r="AQ164" t="e">
        <f>Nodes!R1341+"'E4!(@G"</f>
        <v>#VALUE!</v>
      </c>
      <c r="AR164" t="e">
        <f>Nodes!S1341+"'E4!(@H"</f>
        <v>#VALUE!</v>
      </c>
      <c r="AS164" t="e">
        <f>Nodes!T1341+"'E4!(@I"</f>
        <v>#VALUE!</v>
      </c>
      <c r="AT164" t="e">
        <f>Nodes!U1341+"'E4!(@J"</f>
        <v>#VALUE!</v>
      </c>
      <c r="AU164" t="e">
        <f>Nodes!V1341+"'E4!(@K"</f>
        <v>#VALUE!</v>
      </c>
      <c r="AV164" t="e">
        <f>Nodes!W1341+"'E4!(@L"</f>
        <v>#VALUE!</v>
      </c>
      <c r="AW164" t="e">
        <f>Nodes!X1341+"'E4!(@M"</f>
        <v>#VALUE!</v>
      </c>
      <c r="AX164" t="e">
        <f>Nodes!Y1341+"'E4!(@N"</f>
        <v>#VALUE!</v>
      </c>
      <c r="AY164" t="e">
        <f>Nodes!Z1341+"'E4!(@O"</f>
        <v>#VALUE!</v>
      </c>
      <c r="AZ164" t="e">
        <f>Nodes!AA1341+"'E4!(@P"</f>
        <v>#VALUE!</v>
      </c>
      <c r="BA164" t="e">
        <f>Nodes!AB1341+"'E4!(@Q"</f>
        <v>#VALUE!</v>
      </c>
      <c r="BB164" t="e">
        <f>Nodes!AC1341+"'E4!(@R"</f>
        <v>#VALUE!</v>
      </c>
      <c r="BC164" t="e">
        <f>Nodes!A1342+"'E4!(@S"</f>
        <v>#VALUE!</v>
      </c>
      <c r="BD164" t="e">
        <f>Nodes!B1342+"'E4!(@T"</f>
        <v>#VALUE!</v>
      </c>
      <c r="BE164" t="e">
        <f>Nodes!C1342+"'E4!(@U"</f>
        <v>#VALUE!</v>
      </c>
      <c r="BF164" t="e">
        <f>Nodes!D1342+"'E4!(@V"</f>
        <v>#VALUE!</v>
      </c>
      <c r="BG164" t="e">
        <f>Nodes!E1342+"'E4!(@W"</f>
        <v>#VALUE!</v>
      </c>
      <c r="BH164" t="e">
        <f>Nodes!F1342+"'E4!(@X"</f>
        <v>#VALUE!</v>
      </c>
      <c r="BI164" t="e">
        <f>Nodes!G1342+"'E4!(@Y"</f>
        <v>#VALUE!</v>
      </c>
      <c r="BJ164" t="e">
        <f>Nodes!H1342+"'E4!(@Z"</f>
        <v>#VALUE!</v>
      </c>
      <c r="BK164" t="e">
        <f>Nodes!I1342+"'E4!(@["</f>
        <v>#VALUE!</v>
      </c>
      <c r="BL164" t="e">
        <f>Nodes!J1342+"'E4!(@\"</f>
        <v>#VALUE!</v>
      </c>
      <c r="BM164" t="e">
        <f>Nodes!K1342+"'E4!(@]"</f>
        <v>#VALUE!</v>
      </c>
      <c r="BN164" t="e">
        <f>Nodes!L1342+"'E4!(@^"</f>
        <v>#VALUE!</v>
      </c>
      <c r="BO164" t="e">
        <f>Nodes!M1342+"'E4!(@_"</f>
        <v>#VALUE!</v>
      </c>
      <c r="BP164" t="e">
        <f>Nodes!N1342+"'E4!(@`"</f>
        <v>#VALUE!</v>
      </c>
      <c r="BQ164" t="e">
        <f>Nodes!O1342+"'E4!(@a"</f>
        <v>#VALUE!</v>
      </c>
      <c r="BR164" t="e">
        <f>Nodes!P1342+"'E4!(@b"</f>
        <v>#VALUE!</v>
      </c>
      <c r="BS164" t="e">
        <f>Nodes!Q1342+"'E4!(@c"</f>
        <v>#VALUE!</v>
      </c>
      <c r="BT164" t="e">
        <f>Nodes!R1342+"'E4!(@d"</f>
        <v>#VALUE!</v>
      </c>
      <c r="BU164" t="e">
        <f>Nodes!S1342+"'E4!(@e"</f>
        <v>#VALUE!</v>
      </c>
      <c r="BV164" s="547" t="e">
        <f>Nodes!T1342+"'E4!(@f"</f>
        <v>#VALUE!</v>
      </c>
      <c r="BW164" s="548" t="e">
        <f>Nodes!U1342+"'E4!(@g"</f>
        <v>#VALUE!</v>
      </c>
      <c r="BX164" s="548" t="e">
        <f>Nodes!V1342+"'E4!(@h"</f>
        <v>#VALUE!</v>
      </c>
      <c r="BY164" s="547" t="e">
        <f>Nodes!W1342+"'E4!(@i"</f>
        <v>#VALUE!</v>
      </c>
      <c r="BZ164" t="e">
        <f>Nodes!X1342+"'E4!(@j"</f>
        <v>#VALUE!</v>
      </c>
      <c r="CA164" t="e">
        <f>Nodes!Y1342+"'E4!(@k"</f>
        <v>#VALUE!</v>
      </c>
      <c r="CB164" t="e">
        <f>Nodes!Z1342+"'E4!(@l"</f>
        <v>#VALUE!</v>
      </c>
      <c r="CC164" t="e">
        <f>Nodes!AA1342+"'E4!(@m"</f>
        <v>#VALUE!</v>
      </c>
      <c r="CD164" t="e">
        <f>Nodes!AB1342+"'E4!(@n"</f>
        <v>#VALUE!</v>
      </c>
      <c r="CE164" t="e">
        <f>Nodes!AC1342+"'E4!(@o"</f>
        <v>#VALUE!</v>
      </c>
      <c r="CF164" t="e">
        <f>Nodes!A1343+"'E4!(@p"</f>
        <v>#VALUE!</v>
      </c>
      <c r="CG164" t="e">
        <f>Nodes!B1343+"'E4!(@q"</f>
        <v>#VALUE!</v>
      </c>
      <c r="CH164" t="e">
        <f>Nodes!C1343+"'E4!(@r"</f>
        <v>#VALUE!</v>
      </c>
      <c r="CI164" t="e">
        <f>Nodes!D1343+"'E4!(@s"</f>
        <v>#VALUE!</v>
      </c>
      <c r="CJ164" t="e">
        <f>Nodes!E1343+"'E4!(@t"</f>
        <v>#VALUE!</v>
      </c>
      <c r="CK164" t="e">
        <f>Nodes!F1343+"'E4!(@u"</f>
        <v>#VALUE!</v>
      </c>
      <c r="CL164" t="e">
        <f>Nodes!G1343+"'E4!(@v"</f>
        <v>#VALUE!</v>
      </c>
      <c r="CM164" t="e">
        <f>Nodes!H1343+"'E4!(@w"</f>
        <v>#VALUE!</v>
      </c>
      <c r="CN164" t="e">
        <f>Nodes!I1343+"'E4!(@x"</f>
        <v>#VALUE!</v>
      </c>
      <c r="CO164" t="e">
        <f>Nodes!J1343+"'E4!(@y"</f>
        <v>#VALUE!</v>
      </c>
      <c r="CP164" t="e">
        <f>Nodes!K1343+"'E4!(@z"</f>
        <v>#VALUE!</v>
      </c>
      <c r="CQ164" t="e">
        <f>Nodes!L1343+"'E4!(@{"</f>
        <v>#VALUE!</v>
      </c>
      <c r="CR164" t="e">
        <f>Nodes!M1343+"'E4!(@|"</f>
        <v>#VALUE!</v>
      </c>
      <c r="CS164" t="e">
        <f>Nodes!N1343+"'E4!(@}"</f>
        <v>#VALUE!</v>
      </c>
      <c r="CT164" t="e">
        <f>Nodes!O1343+"'E4!(@~"</f>
        <v>#VALUE!</v>
      </c>
      <c r="CU164" t="e">
        <f>Nodes!P1343+"'E4!(A#"</f>
        <v>#VALUE!</v>
      </c>
      <c r="CV164" t="e">
        <f>Nodes!Q1343+"'E4!(A$"</f>
        <v>#VALUE!</v>
      </c>
      <c r="CW164" t="e">
        <f>Nodes!R1343+"'E4!(A%"</f>
        <v>#VALUE!</v>
      </c>
      <c r="CX164" t="e">
        <f>Nodes!S1343+"'E4!(A&amp;"</f>
        <v>#VALUE!</v>
      </c>
      <c r="CY164" s="547" t="e">
        <f>Nodes!T1343+"'E4!(A'"</f>
        <v>#VALUE!</v>
      </c>
      <c r="CZ164" s="548" t="e">
        <f>Nodes!U1343+"'E4!(A("</f>
        <v>#VALUE!</v>
      </c>
      <c r="DA164" s="548" t="e">
        <f>Nodes!V1343+"'E4!(A)"</f>
        <v>#VALUE!</v>
      </c>
      <c r="DB164" s="547" t="e">
        <f>Nodes!W1343+"'E4!(A."</f>
        <v>#VALUE!</v>
      </c>
      <c r="DC164" t="e">
        <f>Nodes!X1343+"'E4!(A/"</f>
        <v>#VALUE!</v>
      </c>
      <c r="DD164" t="e">
        <f>Nodes!Y1343+"'E4!(A0"</f>
        <v>#VALUE!</v>
      </c>
      <c r="DE164" t="e">
        <f>Nodes!Z1343+"'E4!(A1"</f>
        <v>#VALUE!</v>
      </c>
      <c r="DF164" t="e">
        <f>Nodes!AA1343+"'E4!(A2"</f>
        <v>#VALUE!</v>
      </c>
      <c r="DG164" t="e">
        <f>Nodes!AB1343+"'E4!(A3"</f>
        <v>#VALUE!</v>
      </c>
      <c r="DH164" t="e">
        <f>Nodes!AC1343+"'E4!(A4"</f>
        <v>#VALUE!</v>
      </c>
      <c r="DI164" t="e">
        <f>Nodes!A1344+"'E4!(A5"</f>
        <v>#VALUE!</v>
      </c>
      <c r="DJ164" t="e">
        <f>Nodes!B1344+"'E4!(A6"</f>
        <v>#VALUE!</v>
      </c>
      <c r="DK164" t="e">
        <f>Nodes!C1344+"'E4!(A7"</f>
        <v>#VALUE!</v>
      </c>
      <c r="DL164" t="e">
        <f>Nodes!D1344+"'E4!(A8"</f>
        <v>#VALUE!</v>
      </c>
      <c r="DM164" t="e">
        <f>Nodes!E1344+"'E4!(A9"</f>
        <v>#VALUE!</v>
      </c>
      <c r="DN164" t="e">
        <f>Nodes!F1344+"'E4!(A:"</f>
        <v>#VALUE!</v>
      </c>
      <c r="DO164" t="e">
        <f>Nodes!G1344+"'E4!(A;"</f>
        <v>#VALUE!</v>
      </c>
      <c r="DP164" t="e">
        <f>Nodes!H1344+"'E4!(A&lt;"</f>
        <v>#VALUE!</v>
      </c>
      <c r="DQ164" t="e">
        <f>Nodes!I1344+"'E4!(A="</f>
        <v>#VALUE!</v>
      </c>
      <c r="DR164" t="e">
        <f>Nodes!J1344+"'E4!(A&gt;"</f>
        <v>#VALUE!</v>
      </c>
      <c r="DS164" t="e">
        <f>Nodes!K1344+"'E4!(A?"</f>
        <v>#VALUE!</v>
      </c>
      <c r="DT164" t="e">
        <f>Nodes!L1344+"'E4!(A@"</f>
        <v>#VALUE!</v>
      </c>
      <c r="DU164" t="e">
        <f>Nodes!M1344+"'E4!(AA"</f>
        <v>#VALUE!</v>
      </c>
      <c r="DV164" t="e">
        <f>Nodes!N1344+"'E4!(AB"</f>
        <v>#VALUE!</v>
      </c>
      <c r="DW164" t="e">
        <f>Nodes!O1344+"'E4!(AC"</f>
        <v>#VALUE!</v>
      </c>
      <c r="DX164" t="e">
        <f>Nodes!P1344+"'E4!(AD"</f>
        <v>#VALUE!</v>
      </c>
      <c r="DY164" t="e">
        <f>Nodes!Q1344+"'E4!(AE"</f>
        <v>#VALUE!</v>
      </c>
      <c r="DZ164" t="e">
        <f>Nodes!R1344+"'E4!(AF"</f>
        <v>#VALUE!</v>
      </c>
      <c r="EA164" t="e">
        <f>Nodes!S1344+"'E4!(AG"</f>
        <v>#VALUE!</v>
      </c>
      <c r="EB164" s="547" t="e">
        <f>Nodes!T1344+"'E4!(AH"</f>
        <v>#VALUE!</v>
      </c>
      <c r="EC164" s="548" t="e">
        <f>Nodes!U1344+"'E4!(AI"</f>
        <v>#VALUE!</v>
      </c>
      <c r="ED164" s="548" t="e">
        <f>Nodes!V1344+"'E4!(AJ"</f>
        <v>#VALUE!</v>
      </c>
      <c r="EE164" s="547" t="e">
        <f>Nodes!W1344+"'E4!(AK"</f>
        <v>#VALUE!</v>
      </c>
      <c r="EF164" t="e">
        <f>Nodes!X1344+"'E4!(AL"</f>
        <v>#VALUE!</v>
      </c>
      <c r="EG164" t="e">
        <f>Nodes!Y1344+"'E4!(AM"</f>
        <v>#VALUE!</v>
      </c>
      <c r="EH164" t="e">
        <f>Nodes!Z1344+"'E4!(AN"</f>
        <v>#VALUE!</v>
      </c>
      <c r="EI164" t="e">
        <f>Nodes!AA1344+"'E4!(AO"</f>
        <v>#VALUE!</v>
      </c>
      <c r="EJ164" t="e">
        <f>Nodes!AB1344+"'E4!(AP"</f>
        <v>#VALUE!</v>
      </c>
      <c r="EK164" t="e">
        <f>Nodes!AC1344+"'E4!(AQ"</f>
        <v>#VALUE!</v>
      </c>
      <c r="EL164" t="e">
        <f>Nodes!A1345+"'E4!(AR"</f>
        <v>#VALUE!</v>
      </c>
      <c r="EM164" t="e">
        <f>Nodes!B1345+"'E4!(AS"</f>
        <v>#VALUE!</v>
      </c>
      <c r="EN164" t="e">
        <f>Nodes!C1345+"'E4!(AT"</f>
        <v>#VALUE!</v>
      </c>
      <c r="EO164" t="e">
        <f>Nodes!D1345+"'E4!(AU"</f>
        <v>#VALUE!</v>
      </c>
      <c r="EP164" t="e">
        <f>Nodes!E1345+"'E4!(AV"</f>
        <v>#VALUE!</v>
      </c>
      <c r="EQ164" t="e">
        <f>Nodes!F1345+"'E4!(AW"</f>
        <v>#VALUE!</v>
      </c>
      <c r="ER164" t="e">
        <f>Nodes!G1345+"'E4!(AX"</f>
        <v>#VALUE!</v>
      </c>
      <c r="ES164" t="e">
        <f>Nodes!H1345+"'E4!(AY"</f>
        <v>#VALUE!</v>
      </c>
      <c r="ET164" t="e">
        <f>Nodes!I1345+"'E4!(AZ"</f>
        <v>#VALUE!</v>
      </c>
      <c r="EU164" t="e">
        <f>Nodes!J1345+"'E4!(A["</f>
        <v>#VALUE!</v>
      </c>
      <c r="EV164" t="e">
        <f>Nodes!K1345+"'E4!(A\"</f>
        <v>#VALUE!</v>
      </c>
      <c r="EW164" t="e">
        <f>Nodes!L1345+"'E4!(A]"</f>
        <v>#VALUE!</v>
      </c>
      <c r="EX164" t="e">
        <f>Nodes!M1345+"'E4!(A^"</f>
        <v>#VALUE!</v>
      </c>
      <c r="EY164" t="e">
        <f>Nodes!N1345+"'E4!(A_"</f>
        <v>#VALUE!</v>
      </c>
      <c r="EZ164" t="e">
        <f>Nodes!O1345+"'E4!(A`"</f>
        <v>#VALUE!</v>
      </c>
      <c r="FA164" t="e">
        <f>Nodes!P1345+"'E4!(Aa"</f>
        <v>#VALUE!</v>
      </c>
      <c r="FB164" t="e">
        <f>Nodes!Q1345+"'E4!(Ab"</f>
        <v>#VALUE!</v>
      </c>
      <c r="FC164" t="e">
        <f>Nodes!R1345+"'E4!(Ac"</f>
        <v>#VALUE!</v>
      </c>
      <c r="FD164" t="e">
        <f>Nodes!S1345+"'E4!(Ad"</f>
        <v>#VALUE!</v>
      </c>
      <c r="FE164" s="547" t="e">
        <f>Nodes!T1345+"'E4!(Ae"</f>
        <v>#VALUE!</v>
      </c>
      <c r="FF164" s="548" t="e">
        <f>Nodes!U1345+"'E4!(Af"</f>
        <v>#VALUE!</v>
      </c>
      <c r="FG164" s="548" t="e">
        <f>Nodes!V1345+"'E4!(Ag"</f>
        <v>#VALUE!</v>
      </c>
      <c r="FH164" s="547" t="e">
        <f>Nodes!W1345+"'E4!(Ah"</f>
        <v>#VALUE!</v>
      </c>
      <c r="FI164" t="e">
        <f>Nodes!X1345+"'E4!(Ai"</f>
        <v>#VALUE!</v>
      </c>
      <c r="FJ164" t="e">
        <f>Nodes!Y1345+"'E4!(Aj"</f>
        <v>#VALUE!</v>
      </c>
      <c r="FK164" t="e">
        <f>Nodes!Z1345+"'E4!(Ak"</f>
        <v>#VALUE!</v>
      </c>
      <c r="FL164" t="e">
        <f>Nodes!AA1345+"'E4!(Al"</f>
        <v>#VALUE!</v>
      </c>
      <c r="FM164" t="e">
        <f>Nodes!AB1345+"'E4!(Am"</f>
        <v>#VALUE!</v>
      </c>
      <c r="FN164" t="e">
        <f>Nodes!AC1345+"'E4!(An"</f>
        <v>#VALUE!</v>
      </c>
      <c r="FO164" t="e">
        <f>Nodes!A1346+"'E4!(Ao"</f>
        <v>#VALUE!</v>
      </c>
      <c r="FP164" t="e">
        <f>Nodes!B1346+"'E4!(Ap"</f>
        <v>#VALUE!</v>
      </c>
      <c r="FQ164" t="e">
        <f>Nodes!C1346+"'E4!(Aq"</f>
        <v>#VALUE!</v>
      </c>
      <c r="FR164" t="e">
        <f>Nodes!D1346+"'E4!(Ar"</f>
        <v>#VALUE!</v>
      </c>
      <c r="FS164" t="e">
        <f>Nodes!E1346+"'E4!(As"</f>
        <v>#VALUE!</v>
      </c>
      <c r="FT164" t="e">
        <f>Nodes!F1346+"'E4!(At"</f>
        <v>#VALUE!</v>
      </c>
      <c r="FU164" t="e">
        <f>Nodes!G1346+"'E4!(Au"</f>
        <v>#VALUE!</v>
      </c>
      <c r="FV164" t="e">
        <f>Nodes!H1346+"'E4!(Av"</f>
        <v>#VALUE!</v>
      </c>
      <c r="FW164" t="e">
        <f>Nodes!I1346+"'E4!(Aw"</f>
        <v>#VALUE!</v>
      </c>
      <c r="FX164" t="e">
        <f>Nodes!J1346+"'E4!(Ax"</f>
        <v>#VALUE!</v>
      </c>
      <c r="FY164" t="e">
        <f>Nodes!K1346+"'E4!(Ay"</f>
        <v>#VALUE!</v>
      </c>
      <c r="FZ164" t="e">
        <f>Nodes!L1346+"'E4!(Az"</f>
        <v>#VALUE!</v>
      </c>
      <c r="GA164" t="e">
        <f>Nodes!M1346+"'E4!(A{"</f>
        <v>#VALUE!</v>
      </c>
      <c r="GB164" t="e">
        <f>Nodes!N1346+"'E4!(A|"</f>
        <v>#VALUE!</v>
      </c>
      <c r="GC164" t="e">
        <f>Nodes!O1346+"'E4!(A}"</f>
        <v>#VALUE!</v>
      </c>
      <c r="GD164" t="e">
        <f>Nodes!P1346+"'E4!(A~"</f>
        <v>#VALUE!</v>
      </c>
      <c r="GE164" t="e">
        <f>Nodes!Q1346+"'E4!(B#"</f>
        <v>#VALUE!</v>
      </c>
      <c r="GF164" t="e">
        <f>Nodes!R1346+"'E4!(B$"</f>
        <v>#VALUE!</v>
      </c>
      <c r="GG164" t="e">
        <f>Nodes!S1346+"'E4!(B%"</f>
        <v>#VALUE!</v>
      </c>
      <c r="GH164" s="547" t="e">
        <f>Nodes!T1346+"'E4!(B&amp;"</f>
        <v>#VALUE!</v>
      </c>
      <c r="GI164" s="548" t="e">
        <f>Nodes!U1346+"'E4!(B'"</f>
        <v>#VALUE!</v>
      </c>
      <c r="GJ164" s="548" t="e">
        <f>Nodes!V1346+"'E4!(B("</f>
        <v>#VALUE!</v>
      </c>
      <c r="GK164" s="547" t="e">
        <f>Nodes!W1346+"'E4!(B)"</f>
        <v>#VALUE!</v>
      </c>
      <c r="GL164" t="e">
        <f>Nodes!X1346+"'E4!(B."</f>
        <v>#VALUE!</v>
      </c>
      <c r="GM164" t="e">
        <f>Nodes!Y1346+"'E4!(B/"</f>
        <v>#VALUE!</v>
      </c>
      <c r="GN164" t="e">
        <f>Nodes!Z1346+"'E4!(B0"</f>
        <v>#VALUE!</v>
      </c>
      <c r="GO164" t="e">
        <f>Nodes!AA1346+"'E4!(B1"</f>
        <v>#VALUE!</v>
      </c>
      <c r="GP164" t="e">
        <f>Nodes!AB1346+"'E4!(B2"</f>
        <v>#VALUE!</v>
      </c>
      <c r="GQ164" t="e">
        <f>Nodes!AC1346+"'E4!(B3"</f>
        <v>#VALUE!</v>
      </c>
      <c r="GR164" t="e">
        <f>Nodes!A1347+"'E4!(B4"</f>
        <v>#VALUE!</v>
      </c>
      <c r="GS164" t="e">
        <f>Nodes!B1347+"'E4!(B5"</f>
        <v>#VALUE!</v>
      </c>
      <c r="GT164" t="e">
        <f>Nodes!C1347+"'E4!(B6"</f>
        <v>#VALUE!</v>
      </c>
      <c r="GU164" t="e">
        <f>Nodes!D1347+"'E4!(B7"</f>
        <v>#VALUE!</v>
      </c>
      <c r="GV164" t="e">
        <f>Nodes!E1347+"'E4!(B8"</f>
        <v>#VALUE!</v>
      </c>
      <c r="GW164" t="e">
        <f>Nodes!F1347+"'E4!(B9"</f>
        <v>#VALUE!</v>
      </c>
      <c r="GX164" t="e">
        <f>Nodes!G1347+"'E4!(B:"</f>
        <v>#VALUE!</v>
      </c>
      <c r="GY164" t="e">
        <f>Nodes!H1347+"'E4!(B;"</f>
        <v>#VALUE!</v>
      </c>
      <c r="GZ164" t="e">
        <f>Nodes!I1347+"'E4!(B&lt;"</f>
        <v>#VALUE!</v>
      </c>
      <c r="HA164" t="e">
        <f>Nodes!J1347+"'E4!(B="</f>
        <v>#VALUE!</v>
      </c>
      <c r="HB164" t="e">
        <f>Nodes!K1347+"'E4!(B&gt;"</f>
        <v>#VALUE!</v>
      </c>
      <c r="HC164" t="e">
        <f>Nodes!L1347+"'E4!(B?"</f>
        <v>#VALUE!</v>
      </c>
      <c r="HD164" t="e">
        <f>Nodes!M1347+"'E4!(B@"</f>
        <v>#VALUE!</v>
      </c>
      <c r="HE164" t="e">
        <f>Nodes!N1347+"'E4!(BA"</f>
        <v>#VALUE!</v>
      </c>
      <c r="HF164" t="e">
        <f>Nodes!O1347+"'E4!(BB"</f>
        <v>#VALUE!</v>
      </c>
      <c r="HG164" t="e">
        <f>Nodes!P1347+"'E4!(BC"</f>
        <v>#VALUE!</v>
      </c>
      <c r="HH164" t="e">
        <f>Nodes!Q1347+"'E4!(BD"</f>
        <v>#VALUE!</v>
      </c>
      <c r="HI164" t="e">
        <f>Nodes!R1347+"'E4!(BE"</f>
        <v>#VALUE!</v>
      </c>
      <c r="HJ164" t="e">
        <f>Nodes!S1347+"'E4!(BF"</f>
        <v>#VALUE!</v>
      </c>
      <c r="HK164" s="547" t="e">
        <f>Nodes!T1347+"'E4!(BG"</f>
        <v>#VALUE!</v>
      </c>
      <c r="HL164" s="548" t="e">
        <f>Nodes!U1347+"'E4!(BH"</f>
        <v>#VALUE!</v>
      </c>
      <c r="HM164" s="548" t="e">
        <f>Nodes!V1347+"'E4!(BI"</f>
        <v>#VALUE!</v>
      </c>
      <c r="HN164" s="547" t="e">
        <f>Nodes!W1347+"'E4!(BJ"</f>
        <v>#VALUE!</v>
      </c>
      <c r="HO164" t="e">
        <f>Nodes!X1347+"'E4!(BK"</f>
        <v>#VALUE!</v>
      </c>
      <c r="HP164" t="e">
        <f>Nodes!Y1347+"'E4!(BL"</f>
        <v>#VALUE!</v>
      </c>
      <c r="HQ164" t="e">
        <f>Nodes!Z1347+"'E4!(BM"</f>
        <v>#VALUE!</v>
      </c>
      <c r="HR164" t="e">
        <f>Nodes!AA1347+"'E4!(BN"</f>
        <v>#VALUE!</v>
      </c>
      <c r="HS164" t="e">
        <f>Nodes!AB1347+"'E4!(BO"</f>
        <v>#VALUE!</v>
      </c>
      <c r="HT164" t="e">
        <f>Nodes!AC1347+"'E4!(BP"</f>
        <v>#VALUE!</v>
      </c>
      <c r="HU164" t="e">
        <f>Nodes!A1348+"'E4!(BQ"</f>
        <v>#VALUE!</v>
      </c>
      <c r="HV164" t="e">
        <f>Nodes!B1348+"'E4!(BR"</f>
        <v>#VALUE!</v>
      </c>
      <c r="HW164" t="e">
        <f>Nodes!C1348+"'E4!(BS"</f>
        <v>#VALUE!</v>
      </c>
      <c r="HX164" t="e">
        <f>Nodes!D1348+"'E4!(BT"</f>
        <v>#VALUE!</v>
      </c>
      <c r="HY164" t="e">
        <f>Nodes!E1348+"'E4!(BU"</f>
        <v>#VALUE!</v>
      </c>
      <c r="HZ164" t="e">
        <f>Nodes!F1348+"'E4!(BV"</f>
        <v>#VALUE!</v>
      </c>
      <c r="IA164" t="e">
        <f>Nodes!G1348+"'E4!(BW"</f>
        <v>#VALUE!</v>
      </c>
      <c r="IB164" t="e">
        <f>Nodes!H1348+"'E4!(BX"</f>
        <v>#VALUE!</v>
      </c>
      <c r="IC164" t="e">
        <f>Nodes!I1348+"'E4!(BY"</f>
        <v>#VALUE!</v>
      </c>
      <c r="ID164" t="e">
        <f>Nodes!J1348+"'E4!(BZ"</f>
        <v>#VALUE!</v>
      </c>
      <c r="IE164" t="e">
        <f>Nodes!K1348+"'E4!(B["</f>
        <v>#VALUE!</v>
      </c>
      <c r="IF164" t="e">
        <f>Nodes!L1348+"'E4!(B\"</f>
        <v>#VALUE!</v>
      </c>
      <c r="IG164" t="e">
        <f>Nodes!M1348+"'E4!(B]"</f>
        <v>#VALUE!</v>
      </c>
      <c r="IH164" t="e">
        <f>Nodes!N1348+"'E4!(B^"</f>
        <v>#VALUE!</v>
      </c>
      <c r="II164" t="e">
        <f>Nodes!O1348+"'E4!(B_"</f>
        <v>#VALUE!</v>
      </c>
      <c r="IJ164" t="e">
        <f>Nodes!P1348+"'E4!(B`"</f>
        <v>#VALUE!</v>
      </c>
      <c r="IK164" t="e">
        <f>Nodes!Q1348+"'E4!(Ba"</f>
        <v>#VALUE!</v>
      </c>
      <c r="IL164" t="e">
        <f>Nodes!R1348+"'E4!(Bb"</f>
        <v>#VALUE!</v>
      </c>
      <c r="IM164" t="e">
        <f>Nodes!S1348+"'E4!(Bc"</f>
        <v>#VALUE!</v>
      </c>
      <c r="IN164" s="547" t="e">
        <f>Nodes!T1348+"'E4!(Bd"</f>
        <v>#VALUE!</v>
      </c>
      <c r="IO164" s="548" t="e">
        <f>Nodes!U1348+"'E4!(Be"</f>
        <v>#VALUE!</v>
      </c>
      <c r="IP164" s="548" t="e">
        <f>Nodes!V1348+"'E4!(Bf"</f>
        <v>#VALUE!</v>
      </c>
      <c r="IQ164" s="547" t="e">
        <f>Nodes!W1348+"'E4!(Bg"</f>
        <v>#VALUE!</v>
      </c>
      <c r="IR164" t="e">
        <f>Nodes!X1348+"'E4!(Bh"</f>
        <v>#VALUE!</v>
      </c>
      <c r="IS164" t="e">
        <f>Nodes!Y1348+"'E4!(Bi"</f>
        <v>#VALUE!</v>
      </c>
      <c r="IT164" t="e">
        <f>Nodes!Z1348+"'E4!(Bj"</f>
        <v>#VALUE!</v>
      </c>
      <c r="IU164" t="e">
        <f>Nodes!AA1348+"'E4!(Bk"</f>
        <v>#VALUE!</v>
      </c>
      <c r="IV164" t="e">
        <f>Nodes!AB1348+"'E4!(Bl"</f>
        <v>#VALUE!</v>
      </c>
    </row>
    <row r="165" spans="6:256">
      <c r="F165" t="e">
        <f>Nodes!AC1348+"'E4!(Bm"</f>
        <v>#VALUE!</v>
      </c>
      <c r="G165" t="e">
        <f>Nodes!A1349+"'E4!(Bn"</f>
        <v>#VALUE!</v>
      </c>
      <c r="H165" t="e">
        <f>Nodes!B1349+"'E4!(Bo"</f>
        <v>#VALUE!</v>
      </c>
      <c r="I165" t="e">
        <f>Nodes!C1349+"'E4!(Bp"</f>
        <v>#VALUE!</v>
      </c>
      <c r="J165" t="e">
        <f>Nodes!D1349+"'E4!(Bq"</f>
        <v>#VALUE!</v>
      </c>
      <c r="K165" t="e">
        <f>Nodes!E1349+"'E4!(Br"</f>
        <v>#VALUE!</v>
      </c>
      <c r="L165" t="e">
        <f>Nodes!F1349+"'E4!(Bs"</f>
        <v>#VALUE!</v>
      </c>
      <c r="M165" t="e">
        <f>Nodes!G1349+"'E4!(Bt"</f>
        <v>#VALUE!</v>
      </c>
      <c r="N165" t="e">
        <f>Nodes!H1349+"'E4!(Bu"</f>
        <v>#VALUE!</v>
      </c>
      <c r="O165" t="e">
        <f>Nodes!I1349+"'E4!(Bv"</f>
        <v>#VALUE!</v>
      </c>
      <c r="P165" t="e">
        <f>Nodes!J1349+"'E4!(Bw"</f>
        <v>#VALUE!</v>
      </c>
      <c r="Q165" t="e">
        <f>Nodes!K1349+"'E4!(Bx"</f>
        <v>#VALUE!</v>
      </c>
      <c r="R165" t="e">
        <f>Nodes!L1349+"'E4!(By"</f>
        <v>#VALUE!</v>
      </c>
      <c r="S165" t="e">
        <f>Nodes!M1349+"'E4!(Bz"</f>
        <v>#VALUE!</v>
      </c>
      <c r="T165" t="e">
        <f>Nodes!N1349+"'E4!(B{"</f>
        <v>#VALUE!</v>
      </c>
      <c r="U165" t="e">
        <f>Nodes!O1349+"'E4!(B|"</f>
        <v>#VALUE!</v>
      </c>
      <c r="V165" t="e">
        <f>Nodes!P1349+"'E4!(B}"</f>
        <v>#VALUE!</v>
      </c>
      <c r="W165" t="e">
        <f>Nodes!Q1349+"'E4!(B~"</f>
        <v>#VALUE!</v>
      </c>
      <c r="X165" t="e">
        <f>Nodes!R1349+"'E4!(C#"</f>
        <v>#VALUE!</v>
      </c>
      <c r="Y165" t="e">
        <f>Nodes!S1349+"'E4!(C$"</f>
        <v>#VALUE!</v>
      </c>
      <c r="Z165" s="547" t="e">
        <f>Nodes!T1349+"'E4!(C%"</f>
        <v>#VALUE!</v>
      </c>
      <c r="AA165" s="548" t="e">
        <f>Nodes!U1349+"'E4!(C&amp;"</f>
        <v>#VALUE!</v>
      </c>
      <c r="AB165" s="548" t="e">
        <f>Nodes!V1349+"'E4!(C'"</f>
        <v>#VALUE!</v>
      </c>
      <c r="AC165" s="547" t="e">
        <f>Nodes!W1349+"'E4!(C("</f>
        <v>#VALUE!</v>
      </c>
      <c r="AD165" t="e">
        <f>Nodes!X1349+"'E4!(C)"</f>
        <v>#VALUE!</v>
      </c>
      <c r="AE165" t="e">
        <f>Nodes!Y1349+"'E4!(C."</f>
        <v>#VALUE!</v>
      </c>
      <c r="AF165" t="e">
        <f>Nodes!Z1349+"'E4!(C/"</f>
        <v>#VALUE!</v>
      </c>
      <c r="AG165" t="e">
        <f>Nodes!AA1349+"'E4!(C0"</f>
        <v>#VALUE!</v>
      </c>
      <c r="AH165" t="e">
        <f>Nodes!AB1349+"'E4!(C1"</f>
        <v>#VALUE!</v>
      </c>
      <c r="AI165" t="e">
        <f>Nodes!AC1349+"'E4!(C2"</f>
        <v>#VALUE!</v>
      </c>
      <c r="AJ165" t="e">
        <f>Nodes!AD1349+"'E4!(C3"</f>
        <v>#VALUE!</v>
      </c>
      <c r="AK165" t="e">
        <f>Nodes!A1350+"'E4!(C4"</f>
        <v>#VALUE!</v>
      </c>
      <c r="AL165" t="e">
        <f>Nodes!B1350+"'E4!(C5"</f>
        <v>#VALUE!</v>
      </c>
      <c r="AM165" t="e">
        <f>Nodes!C1350+"'E4!(C6"</f>
        <v>#VALUE!</v>
      </c>
      <c r="AN165" t="e">
        <f>Nodes!D1350+"'E4!(C7"</f>
        <v>#VALUE!</v>
      </c>
      <c r="AO165" t="e">
        <f>Nodes!E1350+"'E4!(C8"</f>
        <v>#VALUE!</v>
      </c>
      <c r="AP165" t="e">
        <f>Nodes!F1350+"'E4!(C9"</f>
        <v>#VALUE!</v>
      </c>
      <c r="AQ165" t="e">
        <f>Nodes!G1350+"'E4!(C:"</f>
        <v>#VALUE!</v>
      </c>
      <c r="AR165" t="e">
        <f>Nodes!H1350+"'E4!(C;"</f>
        <v>#VALUE!</v>
      </c>
      <c r="AS165" t="e">
        <f>Nodes!I1350+"'E4!(C&lt;"</f>
        <v>#VALUE!</v>
      </c>
      <c r="AT165" t="e">
        <f>Nodes!J1350+"'E4!(C="</f>
        <v>#VALUE!</v>
      </c>
      <c r="AU165" t="e">
        <f>Nodes!K1350+"'E4!(C&gt;"</f>
        <v>#VALUE!</v>
      </c>
      <c r="AV165" t="e">
        <f>Nodes!L1350+"'E4!(C?"</f>
        <v>#VALUE!</v>
      </c>
      <c r="AW165" t="e">
        <f>Nodes!M1350+"'E4!(C@"</f>
        <v>#VALUE!</v>
      </c>
      <c r="AX165" t="e">
        <f>Nodes!N1350+"'E4!(CA"</f>
        <v>#VALUE!</v>
      </c>
      <c r="AY165" t="e">
        <f>Nodes!O1350+"'E4!(CB"</f>
        <v>#VALUE!</v>
      </c>
      <c r="AZ165" t="e">
        <f>Nodes!P1350+"'E4!(CC"</f>
        <v>#VALUE!</v>
      </c>
      <c r="BA165" t="e">
        <f>Nodes!Q1350+"'E4!(CD"</f>
        <v>#VALUE!</v>
      </c>
      <c r="BB165" t="e">
        <f>Nodes!R1350+"'E4!(CE"</f>
        <v>#VALUE!</v>
      </c>
      <c r="BC165" t="e">
        <f>Nodes!S1350+"'E4!(CF"</f>
        <v>#VALUE!</v>
      </c>
      <c r="BD165" s="547" t="e">
        <f>Nodes!T1350+"'E4!(CG"</f>
        <v>#VALUE!</v>
      </c>
      <c r="BE165" s="548" t="e">
        <f>Nodes!U1350+"'E4!(CH"</f>
        <v>#VALUE!</v>
      </c>
      <c r="BF165" s="548" t="e">
        <f>Nodes!V1350+"'E4!(CI"</f>
        <v>#VALUE!</v>
      </c>
      <c r="BG165" s="547" t="e">
        <f>Nodes!W1350+"'E4!(CJ"</f>
        <v>#VALUE!</v>
      </c>
      <c r="BH165" t="e">
        <f>Nodes!X1350+"'E4!(CK"</f>
        <v>#VALUE!</v>
      </c>
      <c r="BI165" t="e">
        <f>Nodes!Y1350+"'E4!(CL"</f>
        <v>#VALUE!</v>
      </c>
      <c r="BJ165" t="e">
        <f>Nodes!Z1350+"'E4!(CM"</f>
        <v>#VALUE!</v>
      </c>
      <c r="BK165" t="e">
        <f>Nodes!AA1350+"'E4!(CN"</f>
        <v>#VALUE!</v>
      </c>
      <c r="BL165" t="e">
        <f>Nodes!AB1350+"'E4!(CO"</f>
        <v>#VALUE!</v>
      </c>
      <c r="BM165" t="e">
        <f>Nodes!AC1350+"'E4!(CP"</f>
        <v>#VALUE!</v>
      </c>
      <c r="BN165" t="e">
        <f>Nodes!AD1350+"'E4!(CQ"</f>
        <v>#VALUE!</v>
      </c>
      <c r="BO165" t="e">
        <f>Nodes!A1351+"'E4!(CR"</f>
        <v>#VALUE!</v>
      </c>
      <c r="BP165" t="e">
        <f>Nodes!B1351+"'E4!(CS"</f>
        <v>#VALUE!</v>
      </c>
      <c r="BQ165" t="e">
        <f>Nodes!C1351+"'E4!(CT"</f>
        <v>#VALUE!</v>
      </c>
      <c r="BR165" t="e">
        <f>Nodes!D1351+"'E4!(CU"</f>
        <v>#VALUE!</v>
      </c>
      <c r="BS165" t="e">
        <f>Nodes!E1351+"'E4!(CV"</f>
        <v>#VALUE!</v>
      </c>
      <c r="BT165" t="e">
        <f>Nodes!F1351+"'E4!(CW"</f>
        <v>#VALUE!</v>
      </c>
      <c r="BU165" t="e">
        <f>Nodes!G1351+"'E4!(CX"</f>
        <v>#VALUE!</v>
      </c>
      <c r="BV165" t="e">
        <f>Nodes!H1351+"'E4!(CY"</f>
        <v>#VALUE!</v>
      </c>
      <c r="BW165" t="e">
        <f>Nodes!I1351+"'E4!(CZ"</f>
        <v>#VALUE!</v>
      </c>
      <c r="BX165" t="e">
        <f>Nodes!J1351+"'E4!(C["</f>
        <v>#VALUE!</v>
      </c>
      <c r="BY165" t="e">
        <f>Nodes!K1351+"'E4!(C\"</f>
        <v>#VALUE!</v>
      </c>
      <c r="BZ165" t="e">
        <f>Nodes!L1351+"'E4!(C]"</f>
        <v>#VALUE!</v>
      </c>
      <c r="CA165" t="e">
        <f>Nodes!M1351+"'E4!(C^"</f>
        <v>#VALUE!</v>
      </c>
      <c r="CB165" t="e">
        <f>Nodes!N1351+"'E4!(C_"</f>
        <v>#VALUE!</v>
      </c>
      <c r="CC165" t="e">
        <f>Nodes!O1351+"'E4!(C`"</f>
        <v>#VALUE!</v>
      </c>
      <c r="CD165" t="e">
        <f>Nodes!P1351+"'E4!(Ca"</f>
        <v>#VALUE!</v>
      </c>
      <c r="CE165" t="e">
        <f>Nodes!Q1351+"'E4!(Cb"</f>
        <v>#VALUE!</v>
      </c>
      <c r="CF165" t="e">
        <f>Nodes!R1351+"'E4!(Cc"</f>
        <v>#VALUE!</v>
      </c>
      <c r="CG165" t="e">
        <f>Nodes!S1351+"'E4!(Cd"</f>
        <v>#VALUE!</v>
      </c>
      <c r="CH165" s="547" t="e">
        <f>Nodes!T1351+"'E4!(Ce"</f>
        <v>#VALUE!</v>
      </c>
      <c r="CI165" s="548" t="e">
        <f>Nodes!U1351+"'E4!(Cf"</f>
        <v>#VALUE!</v>
      </c>
      <c r="CJ165" s="548" t="e">
        <f>Nodes!V1351+"'E4!(Cg"</f>
        <v>#VALUE!</v>
      </c>
      <c r="CK165" s="547" t="e">
        <f>Nodes!W1351+"'E4!(Ch"</f>
        <v>#VALUE!</v>
      </c>
      <c r="CL165" t="e">
        <f>Nodes!X1351+"'E4!(Ci"</f>
        <v>#VALUE!</v>
      </c>
      <c r="CM165" t="e">
        <f>Nodes!Y1351+"'E4!(Cj"</f>
        <v>#VALUE!</v>
      </c>
      <c r="CN165" t="e">
        <f>Nodes!Z1351+"'E4!(Ck"</f>
        <v>#VALUE!</v>
      </c>
      <c r="CO165" t="e">
        <f>Nodes!AA1351+"'E4!(Cl"</f>
        <v>#VALUE!</v>
      </c>
      <c r="CP165" t="e">
        <f>Nodes!AB1351+"'E4!(Cm"</f>
        <v>#VALUE!</v>
      </c>
      <c r="CQ165" t="e">
        <f>Nodes!AC1351+"'E4!(Cn"</f>
        <v>#VALUE!</v>
      </c>
      <c r="CR165" t="e">
        <f>Nodes!AD1351+"'E4!(Co"</f>
        <v>#VALUE!</v>
      </c>
      <c r="CS165" t="e">
        <f>Nodes!A1352+"'E4!(Cp"</f>
        <v>#VALUE!</v>
      </c>
      <c r="CT165" t="e">
        <f>Nodes!B1352+"'E4!(Cq"</f>
        <v>#VALUE!</v>
      </c>
      <c r="CU165" t="e">
        <f>Nodes!C1352+"'E4!(Cr"</f>
        <v>#VALUE!</v>
      </c>
      <c r="CV165" t="e">
        <f>Nodes!D1352+"'E4!(Cs"</f>
        <v>#VALUE!</v>
      </c>
      <c r="CW165" t="e">
        <f>Nodes!E1352+"'E4!(Ct"</f>
        <v>#VALUE!</v>
      </c>
      <c r="CX165" t="e">
        <f>Nodes!F1352+"'E4!(Cu"</f>
        <v>#VALUE!</v>
      </c>
      <c r="CY165" t="e">
        <f>Nodes!G1352+"'E4!(Cv"</f>
        <v>#VALUE!</v>
      </c>
      <c r="CZ165" t="e">
        <f>Nodes!H1352+"'E4!(Cw"</f>
        <v>#VALUE!</v>
      </c>
      <c r="DA165" t="e">
        <f>Nodes!I1352+"'E4!(Cx"</f>
        <v>#VALUE!</v>
      </c>
      <c r="DB165" t="e">
        <f>Nodes!J1352+"'E4!(Cy"</f>
        <v>#VALUE!</v>
      </c>
      <c r="DC165" t="e">
        <f>Nodes!K1352+"'E4!(Cz"</f>
        <v>#VALUE!</v>
      </c>
      <c r="DD165" t="e">
        <f>Nodes!L1352+"'E4!(C{"</f>
        <v>#VALUE!</v>
      </c>
      <c r="DE165" t="e">
        <f>Nodes!M1352+"'E4!(C|"</f>
        <v>#VALUE!</v>
      </c>
      <c r="DF165" t="e">
        <f>Nodes!N1352+"'E4!(C}"</f>
        <v>#VALUE!</v>
      </c>
      <c r="DG165" t="e">
        <f>Nodes!O1352+"'E4!(C~"</f>
        <v>#VALUE!</v>
      </c>
      <c r="DH165" t="e">
        <f>Nodes!P1352+"'E4!(D#"</f>
        <v>#VALUE!</v>
      </c>
      <c r="DI165" t="e">
        <f>Nodes!Q1352+"'E4!(D$"</f>
        <v>#VALUE!</v>
      </c>
      <c r="DJ165" t="e">
        <f>Nodes!R1352+"'E4!(D%"</f>
        <v>#VALUE!</v>
      </c>
      <c r="DK165" t="e">
        <f>Nodes!S1352+"'E4!(D&amp;"</f>
        <v>#VALUE!</v>
      </c>
      <c r="DL165" s="547" t="e">
        <f>Nodes!T1352+"'E4!(D'"</f>
        <v>#VALUE!</v>
      </c>
      <c r="DM165" s="548" t="e">
        <f>Nodes!U1352+"'E4!(D("</f>
        <v>#VALUE!</v>
      </c>
      <c r="DN165" s="548" t="e">
        <f>Nodes!V1352+"'E4!(D)"</f>
        <v>#VALUE!</v>
      </c>
      <c r="DO165" s="547" t="e">
        <f>Nodes!W1352+"'E4!(D."</f>
        <v>#VALUE!</v>
      </c>
      <c r="DP165" t="e">
        <f>Nodes!X1352+"'E4!(D/"</f>
        <v>#VALUE!</v>
      </c>
      <c r="DQ165" t="e">
        <f>Nodes!Y1352+"'E4!(D0"</f>
        <v>#VALUE!</v>
      </c>
      <c r="DR165" t="e">
        <f>Nodes!Z1352+"'E4!(D1"</f>
        <v>#VALUE!</v>
      </c>
      <c r="DS165" t="e">
        <f>Nodes!AA1352+"'E4!(D2"</f>
        <v>#VALUE!</v>
      </c>
      <c r="DT165" t="e">
        <f>Nodes!AB1352+"'E4!(D3"</f>
        <v>#VALUE!</v>
      </c>
      <c r="DU165" t="e">
        <f>Nodes!AC1352+"'E4!(D4"</f>
        <v>#VALUE!</v>
      </c>
      <c r="DV165" t="e">
        <f>Nodes!AD1352+"'E4!(D5"</f>
        <v>#VALUE!</v>
      </c>
      <c r="DW165" t="e">
        <f>Nodes!A1353+"'E4!(D6"</f>
        <v>#VALUE!</v>
      </c>
      <c r="DX165" t="e">
        <f>Nodes!B1353+"'E4!(D7"</f>
        <v>#VALUE!</v>
      </c>
      <c r="DY165" t="e">
        <f>Nodes!C1353+"'E4!(D8"</f>
        <v>#VALUE!</v>
      </c>
      <c r="DZ165" t="e">
        <f>Nodes!D1353+"'E4!(D9"</f>
        <v>#VALUE!</v>
      </c>
      <c r="EA165" t="e">
        <f>Nodes!E1353+"'E4!(D:"</f>
        <v>#VALUE!</v>
      </c>
      <c r="EB165" t="e">
        <f>Nodes!F1353+"'E4!(D;"</f>
        <v>#VALUE!</v>
      </c>
      <c r="EC165" t="e">
        <f>Nodes!G1353+"'E4!(D&lt;"</f>
        <v>#VALUE!</v>
      </c>
      <c r="ED165" t="e">
        <f>Nodes!H1353+"'E4!(D="</f>
        <v>#VALUE!</v>
      </c>
      <c r="EE165" t="e">
        <f>Nodes!I1353+"'E4!(D&gt;"</f>
        <v>#VALUE!</v>
      </c>
      <c r="EF165" t="e">
        <f>Nodes!J1353+"'E4!(D?"</f>
        <v>#VALUE!</v>
      </c>
      <c r="EG165" t="e">
        <f>Nodes!K1353+"'E4!(D@"</f>
        <v>#VALUE!</v>
      </c>
      <c r="EH165" t="e">
        <f>Nodes!L1353+"'E4!(DA"</f>
        <v>#VALUE!</v>
      </c>
      <c r="EI165" t="e">
        <f>Nodes!M1353+"'E4!(DB"</f>
        <v>#VALUE!</v>
      </c>
      <c r="EJ165" t="e">
        <f>Nodes!N1353+"'E4!(DC"</f>
        <v>#VALUE!</v>
      </c>
      <c r="EK165" t="e">
        <f>Nodes!O1353+"'E4!(DD"</f>
        <v>#VALUE!</v>
      </c>
      <c r="EL165" t="e">
        <f>Nodes!P1353+"'E4!(DE"</f>
        <v>#VALUE!</v>
      </c>
      <c r="EM165" t="e">
        <f>Nodes!Q1353+"'E4!(DF"</f>
        <v>#VALUE!</v>
      </c>
      <c r="EN165" t="e">
        <f>Nodes!R1353+"'E4!(DG"</f>
        <v>#VALUE!</v>
      </c>
      <c r="EO165" t="e">
        <f>Nodes!S1353+"'E4!(DH"</f>
        <v>#VALUE!</v>
      </c>
      <c r="EP165" s="547" t="e">
        <f>Nodes!T1353+"'E4!(DI"</f>
        <v>#VALUE!</v>
      </c>
      <c r="EQ165" s="548" t="e">
        <f>Nodes!U1353+"'E4!(DJ"</f>
        <v>#VALUE!</v>
      </c>
      <c r="ER165" s="548" t="e">
        <f>Nodes!V1353+"'E4!(DK"</f>
        <v>#VALUE!</v>
      </c>
      <c r="ES165" s="547" t="e">
        <f>Nodes!W1353+"'E4!(DL"</f>
        <v>#VALUE!</v>
      </c>
      <c r="ET165" t="e">
        <f>Nodes!X1353+"'E4!(DM"</f>
        <v>#VALUE!</v>
      </c>
      <c r="EU165" t="e">
        <f>Nodes!Y1353+"'E4!(DN"</f>
        <v>#VALUE!</v>
      </c>
      <c r="EV165" t="e">
        <f>Nodes!Z1353+"'E4!(DO"</f>
        <v>#VALUE!</v>
      </c>
      <c r="EW165" t="e">
        <f>Nodes!AA1353+"'E4!(DP"</f>
        <v>#VALUE!</v>
      </c>
      <c r="EX165" t="e">
        <f>Nodes!AB1353+"'E4!(DQ"</f>
        <v>#VALUE!</v>
      </c>
      <c r="EY165" t="e">
        <f>Nodes!AC1353+"'E4!(DR"</f>
        <v>#VALUE!</v>
      </c>
      <c r="EZ165" t="e">
        <f>Nodes!AD1353+"'E4!(DS"</f>
        <v>#VALUE!</v>
      </c>
      <c r="FA165" t="e">
        <f>Nodes!A1354+"'E4!(DT"</f>
        <v>#VALUE!</v>
      </c>
      <c r="FB165" t="e">
        <f>Nodes!B1354+"'E4!(DU"</f>
        <v>#VALUE!</v>
      </c>
      <c r="FC165" t="e">
        <f>Nodes!C1354+"'E4!(DV"</f>
        <v>#VALUE!</v>
      </c>
      <c r="FD165" t="e">
        <f>Nodes!D1354+"'E4!(DW"</f>
        <v>#VALUE!</v>
      </c>
      <c r="FE165" t="e">
        <f>Nodes!E1354+"'E4!(DX"</f>
        <v>#VALUE!</v>
      </c>
      <c r="FF165" t="e">
        <f>Nodes!F1354+"'E4!(DY"</f>
        <v>#VALUE!</v>
      </c>
      <c r="FG165" t="e">
        <f>Nodes!G1354+"'E4!(DZ"</f>
        <v>#VALUE!</v>
      </c>
      <c r="FH165" t="e">
        <f>Nodes!H1354+"'E4!(D["</f>
        <v>#VALUE!</v>
      </c>
      <c r="FI165" t="e">
        <f>Nodes!I1354+"'E4!(D\"</f>
        <v>#VALUE!</v>
      </c>
      <c r="FJ165" t="e">
        <f>Nodes!J1354+"'E4!(D]"</f>
        <v>#VALUE!</v>
      </c>
      <c r="FK165" t="e">
        <f>Nodes!K1354+"'E4!(D^"</f>
        <v>#VALUE!</v>
      </c>
      <c r="FL165" t="e">
        <f>Nodes!L1354+"'E4!(D_"</f>
        <v>#VALUE!</v>
      </c>
      <c r="FM165" t="e">
        <f>Nodes!M1354+"'E4!(D`"</f>
        <v>#VALUE!</v>
      </c>
      <c r="FN165" t="e">
        <f>Nodes!N1354+"'E4!(Da"</f>
        <v>#VALUE!</v>
      </c>
      <c r="FO165" t="e">
        <f>Nodes!O1354+"'E4!(Db"</f>
        <v>#VALUE!</v>
      </c>
      <c r="FP165" t="e">
        <f>Nodes!P1354+"'E4!(Dc"</f>
        <v>#VALUE!</v>
      </c>
      <c r="FQ165" t="e">
        <f>Nodes!Q1354+"'E4!(Dd"</f>
        <v>#VALUE!</v>
      </c>
      <c r="FR165" t="e">
        <f>Nodes!R1354+"'E4!(De"</f>
        <v>#VALUE!</v>
      </c>
      <c r="FS165" t="e">
        <f>Nodes!S1354+"'E4!(Df"</f>
        <v>#VALUE!</v>
      </c>
      <c r="FT165" s="547" t="e">
        <f>Nodes!T1354+"'E4!(Dg"</f>
        <v>#VALUE!</v>
      </c>
      <c r="FU165" s="548" t="e">
        <f>Nodes!U1354+"'E4!(Dh"</f>
        <v>#VALUE!</v>
      </c>
      <c r="FV165" s="548" t="e">
        <f>Nodes!V1354+"'E4!(Di"</f>
        <v>#VALUE!</v>
      </c>
      <c r="FW165" s="547" t="e">
        <f>Nodes!W1354+"'E4!(Dj"</f>
        <v>#VALUE!</v>
      </c>
      <c r="FX165" t="e">
        <f>Nodes!X1354+"'E4!(Dk"</f>
        <v>#VALUE!</v>
      </c>
      <c r="FY165" t="e">
        <f>Nodes!Y1354+"'E4!(Dl"</f>
        <v>#VALUE!</v>
      </c>
      <c r="FZ165" t="e">
        <f>Nodes!Z1354+"'E4!(Dm"</f>
        <v>#VALUE!</v>
      </c>
      <c r="GA165" t="e">
        <f>Nodes!AA1354+"'E4!(Dn"</f>
        <v>#VALUE!</v>
      </c>
      <c r="GB165" t="e">
        <f>Nodes!AB1354+"'E4!(Do"</f>
        <v>#VALUE!</v>
      </c>
      <c r="GC165" t="e">
        <f>Nodes!AC1354+"'E4!(Dp"</f>
        <v>#VALUE!</v>
      </c>
      <c r="GD165" t="e">
        <f>Nodes!AD1354+"'E4!(Dq"</f>
        <v>#VALUE!</v>
      </c>
      <c r="GE165" t="e">
        <f>Nodes!A1355+"'E4!(Dr"</f>
        <v>#VALUE!</v>
      </c>
      <c r="GF165" t="e">
        <f>Nodes!B1355+"'E4!(Ds"</f>
        <v>#VALUE!</v>
      </c>
      <c r="GG165" t="e">
        <f>Nodes!C1355+"'E4!(Dt"</f>
        <v>#VALUE!</v>
      </c>
      <c r="GH165" t="e">
        <f>Nodes!D1355+"'E4!(Du"</f>
        <v>#VALUE!</v>
      </c>
      <c r="GI165" t="e">
        <f>Nodes!E1355+"'E4!(Dv"</f>
        <v>#VALUE!</v>
      </c>
      <c r="GJ165" t="e">
        <f>Nodes!F1355+"'E4!(Dw"</f>
        <v>#VALUE!</v>
      </c>
      <c r="GK165" t="e">
        <f>Nodes!G1355+"'E4!(Dx"</f>
        <v>#VALUE!</v>
      </c>
      <c r="GL165" t="e">
        <f>Nodes!H1355+"'E4!(Dy"</f>
        <v>#VALUE!</v>
      </c>
      <c r="GM165" t="e">
        <f>Nodes!I1355+"'E4!(Dz"</f>
        <v>#VALUE!</v>
      </c>
      <c r="GN165" t="e">
        <f>Nodes!J1355+"'E4!(D{"</f>
        <v>#VALUE!</v>
      </c>
      <c r="GO165" t="e">
        <f>Nodes!K1355+"'E4!(D|"</f>
        <v>#VALUE!</v>
      </c>
      <c r="GP165" t="e">
        <f>Nodes!L1355+"'E4!(D}"</f>
        <v>#VALUE!</v>
      </c>
      <c r="GQ165" t="e">
        <f>Nodes!M1355+"'E4!(D~"</f>
        <v>#VALUE!</v>
      </c>
      <c r="GR165" t="e">
        <f>Nodes!N1355+"'E4!(E#"</f>
        <v>#VALUE!</v>
      </c>
      <c r="GS165" t="e">
        <f>Nodes!O1355+"'E4!(E$"</f>
        <v>#VALUE!</v>
      </c>
      <c r="GT165" t="e">
        <f>Nodes!P1355+"'E4!(E%"</f>
        <v>#VALUE!</v>
      </c>
      <c r="GU165" t="e">
        <f>Nodes!Q1355+"'E4!(E&amp;"</f>
        <v>#VALUE!</v>
      </c>
      <c r="GV165" t="e">
        <f>Nodes!R1355+"'E4!(E'"</f>
        <v>#VALUE!</v>
      </c>
      <c r="GW165" t="e">
        <f>Nodes!S1355+"'E4!(E("</f>
        <v>#VALUE!</v>
      </c>
      <c r="GX165" s="547" t="e">
        <f>Nodes!T1355+"'E4!(E)"</f>
        <v>#VALUE!</v>
      </c>
      <c r="GY165" s="548" t="e">
        <f>Nodes!U1355+"'E4!(E."</f>
        <v>#VALUE!</v>
      </c>
      <c r="GZ165" s="548" t="e">
        <f>Nodes!V1355+"'E4!(E/"</f>
        <v>#VALUE!</v>
      </c>
      <c r="HA165" s="547" t="e">
        <f>Nodes!W1355+"'E4!(E0"</f>
        <v>#VALUE!</v>
      </c>
      <c r="HB165" t="e">
        <f>Nodes!X1355+"'E4!(E1"</f>
        <v>#VALUE!</v>
      </c>
      <c r="HC165" t="e">
        <f>Nodes!Y1355+"'E4!(E2"</f>
        <v>#VALUE!</v>
      </c>
      <c r="HD165" t="e">
        <f>Nodes!Z1355+"'E4!(E3"</f>
        <v>#VALUE!</v>
      </c>
      <c r="HE165" t="e">
        <f>Nodes!AA1355+"'E4!(E4"</f>
        <v>#VALUE!</v>
      </c>
      <c r="HF165" t="e">
        <f>Nodes!AB1355+"'E4!(E5"</f>
        <v>#VALUE!</v>
      </c>
      <c r="HG165" t="e">
        <f>Nodes!AD1355+"'E4!(E6"</f>
        <v>#VALUE!</v>
      </c>
      <c r="HH165" t="e">
        <f>Nodes!A1356+"'E4!(E7"</f>
        <v>#VALUE!</v>
      </c>
      <c r="HI165" t="e">
        <f>Nodes!B1356+"'E4!(E8"</f>
        <v>#VALUE!</v>
      </c>
      <c r="HJ165" t="e">
        <f>Nodes!C1356+"'E4!(E9"</f>
        <v>#VALUE!</v>
      </c>
      <c r="HK165" t="e">
        <f>Nodes!D1356+"'E4!(E:"</f>
        <v>#VALUE!</v>
      </c>
      <c r="HL165" t="e">
        <f>Nodes!E1356+"'E4!(E;"</f>
        <v>#VALUE!</v>
      </c>
      <c r="HM165" t="e">
        <f>Nodes!F1356+"'E4!(E&lt;"</f>
        <v>#VALUE!</v>
      </c>
      <c r="HN165" t="e">
        <f>Nodes!G1356+"'E4!(E="</f>
        <v>#VALUE!</v>
      </c>
      <c r="HO165" t="e">
        <f>Nodes!H1356+"'E4!(E&gt;"</f>
        <v>#VALUE!</v>
      </c>
      <c r="HP165" t="e">
        <f>Nodes!I1356+"'E4!(E?"</f>
        <v>#VALUE!</v>
      </c>
      <c r="HQ165" t="e">
        <f>Nodes!J1356+"'E4!(E@"</f>
        <v>#VALUE!</v>
      </c>
      <c r="HR165" t="e">
        <f>Nodes!K1356+"'E4!(EA"</f>
        <v>#VALUE!</v>
      </c>
      <c r="HS165" t="e">
        <f>Nodes!L1356+"'E4!(EB"</f>
        <v>#VALUE!</v>
      </c>
      <c r="HT165" t="e">
        <f>Nodes!M1356+"'E4!(EC"</f>
        <v>#VALUE!</v>
      </c>
      <c r="HU165" t="e">
        <f>Nodes!N1356+"'E4!(ED"</f>
        <v>#VALUE!</v>
      </c>
      <c r="HV165" t="e">
        <f>Nodes!O1356+"'E4!(EE"</f>
        <v>#VALUE!</v>
      </c>
      <c r="HW165" t="e">
        <f>Nodes!P1356+"'E4!(EF"</f>
        <v>#VALUE!</v>
      </c>
      <c r="HX165" t="e">
        <f>Nodes!Q1356+"'E4!(EG"</f>
        <v>#VALUE!</v>
      </c>
      <c r="HY165" t="e">
        <f>Nodes!R1356+"'E4!(EH"</f>
        <v>#VALUE!</v>
      </c>
      <c r="HZ165" t="e">
        <f>Nodes!S1356+"'E4!(EI"</f>
        <v>#VALUE!</v>
      </c>
      <c r="IA165" s="547" t="e">
        <f>Nodes!T1356+"'E4!(EJ"</f>
        <v>#VALUE!</v>
      </c>
      <c r="IB165" s="548" t="e">
        <f>Nodes!U1356+"'E4!(EK"</f>
        <v>#VALUE!</v>
      </c>
      <c r="IC165" s="548" t="e">
        <f>Nodes!V1356+"'E4!(EL"</f>
        <v>#VALUE!</v>
      </c>
      <c r="ID165" s="547" t="e">
        <f>Nodes!W1356+"'E4!(EM"</f>
        <v>#VALUE!</v>
      </c>
      <c r="IE165" t="e">
        <f>Nodes!X1356+"'E4!(EN"</f>
        <v>#VALUE!</v>
      </c>
      <c r="IF165" t="e">
        <f>Nodes!Y1356+"'E4!(EO"</f>
        <v>#VALUE!</v>
      </c>
      <c r="IG165" t="e">
        <f>Nodes!Z1356+"'E4!(EP"</f>
        <v>#VALUE!</v>
      </c>
      <c r="IH165" t="e">
        <f>Nodes!AA1356+"'E4!(EQ"</f>
        <v>#VALUE!</v>
      </c>
      <c r="II165" t="e">
        <f>Nodes!AB1356+"'E4!(ER"</f>
        <v>#VALUE!</v>
      </c>
      <c r="IJ165" t="e">
        <f>Nodes!AC1356+"'E4!(ES"</f>
        <v>#VALUE!</v>
      </c>
      <c r="IK165" t="e">
        <f>Nodes!AD1356+"'E4!(ET"</f>
        <v>#VALUE!</v>
      </c>
      <c r="IL165" t="e">
        <f>Nodes!A1357+"'E4!(EU"</f>
        <v>#VALUE!</v>
      </c>
      <c r="IM165" t="e">
        <f>Nodes!B1357+"'E4!(EV"</f>
        <v>#VALUE!</v>
      </c>
      <c r="IN165" t="e">
        <f>Nodes!C1357+"'E4!(EW"</f>
        <v>#VALUE!</v>
      </c>
      <c r="IO165" t="e">
        <f>Nodes!D1357+"'E4!(EX"</f>
        <v>#VALUE!</v>
      </c>
      <c r="IP165" t="e">
        <f>Nodes!E1357+"'E4!(EY"</f>
        <v>#VALUE!</v>
      </c>
      <c r="IQ165" t="e">
        <f>Nodes!F1357+"'E4!(EZ"</f>
        <v>#VALUE!</v>
      </c>
      <c r="IR165" t="e">
        <f>Nodes!G1357+"'E4!(E["</f>
        <v>#VALUE!</v>
      </c>
      <c r="IS165" t="e">
        <f>Nodes!H1357+"'E4!(E\"</f>
        <v>#VALUE!</v>
      </c>
      <c r="IT165" t="e">
        <f>Nodes!I1357+"'E4!(E]"</f>
        <v>#VALUE!</v>
      </c>
      <c r="IU165" t="e">
        <f>Nodes!J1357+"'E4!(E^"</f>
        <v>#VALUE!</v>
      </c>
      <c r="IV165" t="e">
        <f>Nodes!K1357+"'E4!(E_"</f>
        <v>#VALUE!</v>
      </c>
    </row>
    <row r="166" spans="6:256">
      <c r="F166" t="e">
        <f>Nodes!L1357+"'E4!(E`"</f>
        <v>#VALUE!</v>
      </c>
      <c r="G166" t="e">
        <f>Nodes!M1357+"'E4!(Ea"</f>
        <v>#VALUE!</v>
      </c>
      <c r="H166" t="e">
        <f>Nodes!N1357+"'E4!(Eb"</f>
        <v>#VALUE!</v>
      </c>
      <c r="I166" t="e">
        <f>Nodes!O1357+"'E4!(Ec"</f>
        <v>#VALUE!</v>
      </c>
      <c r="J166" t="e">
        <f>Nodes!P1357+"'E4!(Ed"</f>
        <v>#VALUE!</v>
      </c>
      <c r="K166" t="e">
        <f>Nodes!Q1357+"'E4!(Ee"</f>
        <v>#VALUE!</v>
      </c>
      <c r="L166" t="e">
        <f>Nodes!R1357+"'E4!(Ef"</f>
        <v>#VALUE!</v>
      </c>
      <c r="M166" t="e">
        <f>Nodes!S1357+"'E4!(Eg"</f>
        <v>#VALUE!</v>
      </c>
      <c r="N166" s="547" t="e">
        <f>Nodes!T1357+"'E4!(Eh"</f>
        <v>#VALUE!</v>
      </c>
      <c r="O166" s="548" t="e">
        <f>Nodes!U1357+"'E4!(Ei"</f>
        <v>#VALUE!</v>
      </c>
      <c r="P166" s="548" t="e">
        <f>Nodes!V1357+"'E4!(Ej"</f>
        <v>#VALUE!</v>
      </c>
      <c r="Q166" s="547" t="e">
        <f>Nodes!W1357+"'E4!(Ek"</f>
        <v>#VALUE!</v>
      </c>
      <c r="R166" t="e">
        <f>Nodes!X1357+"'E4!(El"</f>
        <v>#VALUE!</v>
      </c>
      <c r="S166" t="e">
        <f>Nodes!Y1357+"'E4!(Em"</f>
        <v>#VALUE!</v>
      </c>
      <c r="T166" t="e">
        <f>Nodes!Z1357+"'E4!(En"</f>
        <v>#VALUE!</v>
      </c>
      <c r="U166" t="e">
        <f>Nodes!AA1357+"'E4!(Eo"</f>
        <v>#VALUE!</v>
      </c>
      <c r="V166" t="e">
        <f>Nodes!AB1357+"'E4!(Ep"</f>
        <v>#VALUE!</v>
      </c>
      <c r="W166" t="e">
        <f>Nodes!AC1357+"'E4!(Eq"</f>
        <v>#VALUE!</v>
      </c>
      <c r="X166" t="e">
        <f>Nodes!AD1357+"'E4!(Er"</f>
        <v>#VALUE!</v>
      </c>
      <c r="Y166" t="e">
        <f>Nodes!A1358+"'E4!(Es"</f>
        <v>#VALUE!</v>
      </c>
      <c r="Z166" t="e">
        <f>Nodes!B1358+"'E4!(Et"</f>
        <v>#VALUE!</v>
      </c>
      <c r="AA166" t="e">
        <f>Nodes!C1358+"'E4!(Eu"</f>
        <v>#VALUE!</v>
      </c>
      <c r="AB166" t="e">
        <f>Nodes!D1358+"'E4!(Ev"</f>
        <v>#VALUE!</v>
      </c>
      <c r="AC166" t="e">
        <f>Nodes!E1358+"'E4!(Ew"</f>
        <v>#VALUE!</v>
      </c>
      <c r="AD166" t="e">
        <f>Nodes!F1358+"'E4!(Ex"</f>
        <v>#VALUE!</v>
      </c>
      <c r="AE166" t="e">
        <f>Nodes!G1358+"'E4!(Ey"</f>
        <v>#VALUE!</v>
      </c>
      <c r="AF166" t="e">
        <f>Nodes!H1358+"'E4!(Ez"</f>
        <v>#VALUE!</v>
      </c>
      <c r="AG166" t="e">
        <f>Nodes!I1358+"'E4!(E{"</f>
        <v>#VALUE!</v>
      </c>
      <c r="AH166" t="e">
        <f>Nodes!J1358+"'E4!(E|"</f>
        <v>#VALUE!</v>
      </c>
      <c r="AI166" t="e">
        <f>Nodes!K1358+"'E4!(E}"</f>
        <v>#VALUE!</v>
      </c>
      <c r="AJ166" t="e">
        <f>Nodes!L1358+"'E4!(E~"</f>
        <v>#VALUE!</v>
      </c>
      <c r="AK166" t="e">
        <f>Nodes!M1358+"'E4!(F#"</f>
        <v>#VALUE!</v>
      </c>
      <c r="AL166" t="e">
        <f>Nodes!N1358+"'E4!(F$"</f>
        <v>#VALUE!</v>
      </c>
      <c r="AM166" t="e">
        <f>Nodes!O1358+"'E4!(F%"</f>
        <v>#VALUE!</v>
      </c>
      <c r="AN166" t="e">
        <f>Nodes!P1358+"'E4!(F&amp;"</f>
        <v>#VALUE!</v>
      </c>
      <c r="AO166" t="e">
        <f>Nodes!Q1358+"'E4!(F'"</f>
        <v>#VALUE!</v>
      </c>
      <c r="AP166" t="e">
        <f>Nodes!R1358+"'E4!(F("</f>
        <v>#VALUE!</v>
      </c>
      <c r="AQ166" t="e">
        <f>Nodes!S1358+"'E4!(F)"</f>
        <v>#VALUE!</v>
      </c>
      <c r="AR166" s="547" t="e">
        <f>Nodes!T1358+"'E4!(F."</f>
        <v>#VALUE!</v>
      </c>
      <c r="AS166" s="548" t="e">
        <f>Nodes!U1358+"'E4!(F/"</f>
        <v>#VALUE!</v>
      </c>
      <c r="AT166" s="548" t="e">
        <f>Nodes!V1358+"'E4!(F0"</f>
        <v>#VALUE!</v>
      </c>
      <c r="AU166" s="547" t="e">
        <f>Nodes!W1358+"'E4!(F1"</f>
        <v>#VALUE!</v>
      </c>
      <c r="AV166" t="e">
        <f>Nodes!X1358+"'E4!(F2"</f>
        <v>#VALUE!</v>
      </c>
      <c r="AW166" t="e">
        <f>Nodes!Y1358+"'E4!(F3"</f>
        <v>#VALUE!</v>
      </c>
      <c r="AX166" t="e">
        <f>Nodes!Z1358+"'E4!(F4"</f>
        <v>#VALUE!</v>
      </c>
      <c r="AY166" t="e">
        <f>Nodes!AA1358+"'E4!(F5"</f>
        <v>#VALUE!</v>
      </c>
      <c r="AZ166" t="e">
        <f>Nodes!AB1358+"'E4!(F6"</f>
        <v>#VALUE!</v>
      </c>
      <c r="BA166" t="e">
        <f>Nodes!AC1358+"'E4!(F7"</f>
        <v>#VALUE!</v>
      </c>
      <c r="BB166" t="e">
        <f>Nodes!AD1358+"'E4!(F8"</f>
        <v>#VALUE!</v>
      </c>
      <c r="BC166" t="e">
        <f>Nodes!A1359+"'E4!(F9"</f>
        <v>#VALUE!</v>
      </c>
      <c r="BD166" t="e">
        <f>Nodes!B1359+"'E4!(F:"</f>
        <v>#VALUE!</v>
      </c>
      <c r="BE166" t="e">
        <f>Nodes!C1359+"'E4!(F;"</f>
        <v>#VALUE!</v>
      </c>
      <c r="BF166" t="e">
        <f>Nodes!D1359+"'E4!(F&lt;"</f>
        <v>#VALUE!</v>
      </c>
      <c r="BG166" t="e">
        <f>Nodes!E1359+"'E4!(F="</f>
        <v>#VALUE!</v>
      </c>
      <c r="BH166" t="e">
        <f>Nodes!F1359+"'E4!(F&gt;"</f>
        <v>#VALUE!</v>
      </c>
      <c r="BI166" t="e">
        <f>Nodes!G1359+"'E4!(F?"</f>
        <v>#VALUE!</v>
      </c>
      <c r="BJ166" t="e">
        <f>Nodes!H1359+"'E4!(F@"</f>
        <v>#VALUE!</v>
      </c>
      <c r="BK166" t="e">
        <f>Nodes!I1359+"'E4!(FA"</f>
        <v>#VALUE!</v>
      </c>
      <c r="BL166" t="e">
        <f>Nodes!J1359+"'E4!(FB"</f>
        <v>#VALUE!</v>
      </c>
      <c r="BM166" t="e">
        <f>Nodes!K1359+"'E4!(FC"</f>
        <v>#VALUE!</v>
      </c>
      <c r="BN166" t="e">
        <f>Nodes!L1359+"'E4!(FD"</f>
        <v>#VALUE!</v>
      </c>
      <c r="BO166" t="e">
        <f>Nodes!M1359+"'E4!(FE"</f>
        <v>#VALUE!</v>
      </c>
      <c r="BP166" t="e">
        <f>Nodes!N1359+"'E4!(FF"</f>
        <v>#VALUE!</v>
      </c>
      <c r="BQ166" t="e">
        <f>Nodes!O1359+"'E4!(FG"</f>
        <v>#VALUE!</v>
      </c>
      <c r="BR166" t="e">
        <f>Nodes!P1359+"'E4!(FH"</f>
        <v>#VALUE!</v>
      </c>
      <c r="BS166" t="e">
        <f>Nodes!Q1359+"'E4!(FI"</f>
        <v>#VALUE!</v>
      </c>
      <c r="BT166" t="e">
        <f>Nodes!R1359+"'E4!(FJ"</f>
        <v>#VALUE!</v>
      </c>
      <c r="BU166" t="e">
        <f>Nodes!S1359+"'E4!(FK"</f>
        <v>#VALUE!</v>
      </c>
      <c r="BV166" s="547" t="e">
        <f>Nodes!T1359+"'E4!(FL"</f>
        <v>#VALUE!</v>
      </c>
      <c r="BW166" s="548" t="e">
        <f>Nodes!U1359+"'E4!(FM"</f>
        <v>#VALUE!</v>
      </c>
      <c r="BX166" s="548" t="e">
        <f>Nodes!V1359+"'E4!(FN"</f>
        <v>#VALUE!</v>
      </c>
      <c r="BY166" s="547" t="e">
        <f>Nodes!W1359+"'E4!(FO"</f>
        <v>#VALUE!</v>
      </c>
      <c r="BZ166" t="e">
        <f>Nodes!X1359+"'E4!(FP"</f>
        <v>#VALUE!</v>
      </c>
      <c r="CA166" t="e">
        <f>Nodes!Y1359+"'E4!(FQ"</f>
        <v>#VALUE!</v>
      </c>
      <c r="CB166" t="e">
        <f>Nodes!Z1359+"'E4!(FR"</f>
        <v>#VALUE!</v>
      </c>
      <c r="CC166" t="e">
        <f>Nodes!AA1359+"'E4!(FS"</f>
        <v>#VALUE!</v>
      </c>
      <c r="CD166" t="e">
        <f>Nodes!AB1359+"'E4!(FT"</f>
        <v>#VALUE!</v>
      </c>
      <c r="CE166" t="e">
        <f>Nodes!AC1359+"'E4!(FU"</f>
        <v>#VALUE!</v>
      </c>
      <c r="CF166" t="e">
        <f>Nodes!AD1359+"'E4!(FV"</f>
        <v>#VALUE!</v>
      </c>
      <c r="CG166" t="e">
        <f>Nodes!A1360+"'E4!(FW"</f>
        <v>#VALUE!</v>
      </c>
      <c r="CH166" t="e">
        <f>Nodes!B1360+"'E4!(FX"</f>
        <v>#VALUE!</v>
      </c>
      <c r="CI166" t="e">
        <f>Nodes!C1360+"'E4!(FY"</f>
        <v>#VALUE!</v>
      </c>
      <c r="CJ166" t="e">
        <f>Nodes!D1360+"'E4!(FZ"</f>
        <v>#VALUE!</v>
      </c>
      <c r="CK166" t="e">
        <f>Nodes!E1360+"'E4!(F["</f>
        <v>#VALUE!</v>
      </c>
      <c r="CL166" t="e">
        <f>Nodes!F1360+"'E4!(F\"</f>
        <v>#VALUE!</v>
      </c>
      <c r="CM166" t="e">
        <f>Nodes!G1360+"'E4!(F]"</f>
        <v>#VALUE!</v>
      </c>
      <c r="CN166" t="e">
        <f>Nodes!H1360+"'E4!(F^"</f>
        <v>#VALUE!</v>
      </c>
      <c r="CO166" t="e">
        <f>Nodes!I1360+"'E4!(F_"</f>
        <v>#VALUE!</v>
      </c>
      <c r="CP166" t="e">
        <f>Nodes!J1360+"'E4!(F`"</f>
        <v>#VALUE!</v>
      </c>
      <c r="CQ166" t="e">
        <f>Nodes!K1360+"'E4!(Fa"</f>
        <v>#VALUE!</v>
      </c>
      <c r="CR166" t="e">
        <f>Nodes!L1360+"'E4!(Fb"</f>
        <v>#VALUE!</v>
      </c>
      <c r="CS166" t="e">
        <f>Nodes!M1360+"'E4!(Fc"</f>
        <v>#VALUE!</v>
      </c>
      <c r="CT166" t="e">
        <f>Nodes!N1360+"'E4!(Fd"</f>
        <v>#VALUE!</v>
      </c>
      <c r="CU166" t="e">
        <f>Nodes!O1360+"'E4!(Fe"</f>
        <v>#VALUE!</v>
      </c>
      <c r="CV166" t="e">
        <f>Nodes!P1360+"'E4!(Ff"</f>
        <v>#VALUE!</v>
      </c>
      <c r="CW166" t="e">
        <f>Nodes!Q1360+"'E4!(Fg"</f>
        <v>#VALUE!</v>
      </c>
      <c r="CX166" t="e">
        <f>Nodes!R1360+"'E4!(Fh"</f>
        <v>#VALUE!</v>
      </c>
      <c r="CY166" t="e">
        <f>Nodes!S1360+"'E4!(Fi"</f>
        <v>#VALUE!</v>
      </c>
      <c r="CZ166" s="547" t="e">
        <f>Nodes!T1360+"'E4!(Fj"</f>
        <v>#VALUE!</v>
      </c>
      <c r="DA166" s="548" t="e">
        <f>Nodes!U1360+"'E4!(Fk"</f>
        <v>#VALUE!</v>
      </c>
      <c r="DB166" s="548" t="e">
        <f>Nodes!V1360+"'E4!(Fl"</f>
        <v>#VALUE!</v>
      </c>
      <c r="DC166" s="547" t="e">
        <f>Nodes!W1360+"'E4!(Fm"</f>
        <v>#VALUE!</v>
      </c>
      <c r="DD166" t="e">
        <f>Nodes!X1360+"'E4!(Fn"</f>
        <v>#VALUE!</v>
      </c>
      <c r="DE166" t="e">
        <f>Nodes!Y1360+"'E4!(Fo"</f>
        <v>#VALUE!</v>
      </c>
      <c r="DF166" t="e">
        <f>Nodes!Z1360+"'E4!(Fp"</f>
        <v>#VALUE!</v>
      </c>
      <c r="DG166" t="e">
        <f>Nodes!AA1360+"'E4!(Fq"</f>
        <v>#VALUE!</v>
      </c>
      <c r="DH166" t="e">
        <f>Nodes!AB1360+"'E4!(Fr"</f>
        <v>#VALUE!</v>
      </c>
      <c r="DI166" t="e">
        <f>Nodes!AC1360+"'E4!(Fs"</f>
        <v>#VALUE!</v>
      </c>
      <c r="DJ166" t="e">
        <f>Nodes!AD1360+"'E4!(Ft"</f>
        <v>#VALUE!</v>
      </c>
      <c r="DK166" t="e">
        <f>Nodes!A1361+"'E4!(Fu"</f>
        <v>#VALUE!</v>
      </c>
      <c r="DL166" t="e">
        <f>Nodes!B1361+"'E4!(Fv"</f>
        <v>#VALUE!</v>
      </c>
      <c r="DM166" t="e">
        <f>Nodes!C1361+"'E4!(Fw"</f>
        <v>#VALUE!</v>
      </c>
      <c r="DN166" t="e">
        <f>Nodes!D1361+"'E4!(Fx"</f>
        <v>#VALUE!</v>
      </c>
      <c r="DO166" t="e">
        <f>Nodes!E1361+"'E4!(Fy"</f>
        <v>#VALUE!</v>
      </c>
      <c r="DP166" t="e">
        <f>Nodes!F1361+"'E4!(Fz"</f>
        <v>#VALUE!</v>
      </c>
      <c r="DQ166" t="e">
        <f>Nodes!G1361+"'E4!(F{"</f>
        <v>#VALUE!</v>
      </c>
      <c r="DR166" t="e">
        <f>Nodes!H1361+"'E4!(F|"</f>
        <v>#VALUE!</v>
      </c>
      <c r="DS166" t="e">
        <f>Nodes!I1361+"'E4!(F}"</f>
        <v>#VALUE!</v>
      </c>
      <c r="DT166" t="e">
        <f>Nodes!J1361+"'E4!(F~"</f>
        <v>#VALUE!</v>
      </c>
      <c r="DU166" t="e">
        <f>Nodes!K1361+"'E4!(G#"</f>
        <v>#VALUE!</v>
      </c>
      <c r="DV166" t="e">
        <f>Nodes!L1361+"'E4!(G$"</f>
        <v>#VALUE!</v>
      </c>
      <c r="DW166" t="e">
        <f>Nodes!M1361+"'E4!(G%"</f>
        <v>#VALUE!</v>
      </c>
      <c r="DX166" t="e">
        <f>Nodes!N1361+"'E4!(G&amp;"</f>
        <v>#VALUE!</v>
      </c>
      <c r="DY166" t="e">
        <f>Nodes!O1361+"'E4!(G'"</f>
        <v>#VALUE!</v>
      </c>
      <c r="DZ166" t="e">
        <f>Nodes!P1361+"'E4!(G("</f>
        <v>#VALUE!</v>
      </c>
      <c r="EA166" t="e">
        <f>Nodes!Q1361+"'E4!(G)"</f>
        <v>#VALUE!</v>
      </c>
      <c r="EB166" t="e">
        <f>Nodes!R1361+"'E4!(G."</f>
        <v>#VALUE!</v>
      </c>
      <c r="EC166" t="e">
        <f>Nodes!S1361+"'E4!(G/"</f>
        <v>#VALUE!</v>
      </c>
      <c r="ED166" s="547" t="e">
        <f>Nodes!T1361+"'E4!(G0"</f>
        <v>#VALUE!</v>
      </c>
      <c r="EE166" s="548" t="e">
        <f>Nodes!U1361+"'E4!(G1"</f>
        <v>#VALUE!</v>
      </c>
      <c r="EF166" s="548" t="e">
        <f>Nodes!V1361+"'E4!(G2"</f>
        <v>#VALUE!</v>
      </c>
      <c r="EG166" s="547" t="e">
        <f>Nodes!W1361+"'E4!(G3"</f>
        <v>#VALUE!</v>
      </c>
      <c r="EH166" t="e">
        <f>Nodes!X1361+"'E4!(G4"</f>
        <v>#VALUE!</v>
      </c>
      <c r="EI166" t="e">
        <f>Nodes!Y1361+"'E4!(G5"</f>
        <v>#VALUE!</v>
      </c>
      <c r="EJ166" t="e">
        <f>Nodes!Z1361+"'E4!(G6"</f>
        <v>#VALUE!</v>
      </c>
      <c r="EK166" t="e">
        <f>Nodes!AA1361+"'E4!(G7"</f>
        <v>#VALUE!</v>
      </c>
      <c r="EL166" t="e">
        <f>Nodes!AB1361+"'E4!(G8"</f>
        <v>#VALUE!</v>
      </c>
      <c r="EM166" t="e">
        <f>Nodes!AC1361+"'E4!(G9"</f>
        <v>#VALUE!</v>
      </c>
      <c r="EN166" t="e">
        <f>Nodes!AD1361+"'E4!(G:"</f>
        <v>#VALUE!</v>
      </c>
      <c r="EO166" t="e">
        <f>Nodes!A1362+"'E4!(G;"</f>
        <v>#VALUE!</v>
      </c>
      <c r="EP166" t="e">
        <f>Nodes!B1362+"'E4!(G&lt;"</f>
        <v>#VALUE!</v>
      </c>
      <c r="EQ166" t="e">
        <f>Nodes!C1362+"'E4!(G="</f>
        <v>#VALUE!</v>
      </c>
      <c r="ER166" t="e">
        <f>Nodes!D1362+"'E4!(G&gt;"</f>
        <v>#VALUE!</v>
      </c>
      <c r="ES166" t="e">
        <f>Nodes!E1362+"'E4!(G?"</f>
        <v>#VALUE!</v>
      </c>
      <c r="ET166" t="e">
        <f>Nodes!F1362+"'E4!(G@"</f>
        <v>#VALUE!</v>
      </c>
      <c r="EU166" t="e">
        <f>Nodes!G1362+"'E4!(GA"</f>
        <v>#VALUE!</v>
      </c>
      <c r="EV166" t="e">
        <f>Nodes!H1362+"'E4!(GB"</f>
        <v>#VALUE!</v>
      </c>
      <c r="EW166" t="e">
        <f>Nodes!I1362+"'E4!(GC"</f>
        <v>#VALUE!</v>
      </c>
      <c r="EX166" t="e">
        <f>Nodes!J1362+"'E4!(GD"</f>
        <v>#VALUE!</v>
      </c>
      <c r="EY166" t="e">
        <f>Nodes!K1362+"'E4!(GE"</f>
        <v>#VALUE!</v>
      </c>
      <c r="EZ166" t="e">
        <f>Nodes!L1362+"'E4!(GF"</f>
        <v>#VALUE!</v>
      </c>
      <c r="FA166" t="e">
        <f>Nodes!M1362+"'E4!(GG"</f>
        <v>#VALUE!</v>
      </c>
      <c r="FB166" t="e">
        <f>Nodes!N1362+"'E4!(GH"</f>
        <v>#VALUE!</v>
      </c>
      <c r="FC166" t="e">
        <f>Nodes!O1362+"'E4!(GI"</f>
        <v>#VALUE!</v>
      </c>
      <c r="FD166" t="e">
        <f>Nodes!P1362+"'E4!(GJ"</f>
        <v>#VALUE!</v>
      </c>
      <c r="FE166" t="e">
        <f>Nodes!Q1362+"'E4!(GK"</f>
        <v>#VALUE!</v>
      </c>
      <c r="FF166" t="e">
        <f>Nodes!R1362+"'E4!(GL"</f>
        <v>#VALUE!</v>
      </c>
      <c r="FG166" t="e">
        <f>Nodes!S1362+"'E4!(GM"</f>
        <v>#VALUE!</v>
      </c>
      <c r="FH166" s="547" t="e">
        <f>Nodes!T1362+"'E4!(GN"</f>
        <v>#VALUE!</v>
      </c>
      <c r="FI166" s="548" t="e">
        <f>Nodes!U1362+"'E4!(GO"</f>
        <v>#VALUE!</v>
      </c>
      <c r="FJ166" s="548" t="e">
        <f>Nodes!V1362+"'E4!(GP"</f>
        <v>#VALUE!</v>
      </c>
      <c r="FK166" s="547" t="e">
        <f>Nodes!W1362+"'E4!(GQ"</f>
        <v>#VALUE!</v>
      </c>
      <c r="FL166" t="e">
        <f>Nodes!X1362+"'E4!(GR"</f>
        <v>#VALUE!</v>
      </c>
      <c r="FM166" t="e">
        <f>Nodes!Y1362+"'E4!(GS"</f>
        <v>#VALUE!</v>
      </c>
      <c r="FN166" t="e">
        <f>Nodes!Z1362+"'E4!(GT"</f>
        <v>#VALUE!</v>
      </c>
      <c r="FO166" t="e">
        <f>Nodes!AA1362+"'E4!(GU"</f>
        <v>#VALUE!</v>
      </c>
      <c r="FP166" t="e">
        <f>Nodes!AB1362+"'E4!(GV"</f>
        <v>#VALUE!</v>
      </c>
      <c r="FQ166" t="e">
        <f>Nodes!AC1362+"'E4!(GW"</f>
        <v>#VALUE!</v>
      </c>
      <c r="FR166" t="e">
        <f>Nodes!AD1362+"'E4!(GX"</f>
        <v>#VALUE!</v>
      </c>
      <c r="FS166" t="e">
        <f>Nodes!A1363+"'E4!(GY"</f>
        <v>#VALUE!</v>
      </c>
      <c r="FT166" t="e">
        <f>Nodes!B1363+"'E4!(GZ"</f>
        <v>#VALUE!</v>
      </c>
      <c r="FU166" t="e">
        <f>Nodes!C1363+"'E4!(G["</f>
        <v>#VALUE!</v>
      </c>
      <c r="FV166" t="e">
        <f>Nodes!D1363+"'E4!(G\"</f>
        <v>#VALUE!</v>
      </c>
      <c r="FW166" t="e">
        <f>Nodes!E1363+"'E4!(G]"</f>
        <v>#VALUE!</v>
      </c>
      <c r="FX166" t="e">
        <f>Nodes!F1363+"'E4!(G^"</f>
        <v>#VALUE!</v>
      </c>
      <c r="FY166" t="e">
        <f>Nodes!G1363+"'E4!(G_"</f>
        <v>#VALUE!</v>
      </c>
      <c r="FZ166" t="e">
        <f>Nodes!H1363+"'E4!(G`"</f>
        <v>#VALUE!</v>
      </c>
      <c r="GA166" t="e">
        <f>Nodes!I1363+"'E4!(Ga"</f>
        <v>#VALUE!</v>
      </c>
      <c r="GB166" t="e">
        <f>Nodes!J1363+"'E4!(Gb"</f>
        <v>#VALUE!</v>
      </c>
      <c r="GC166" t="e">
        <f>Nodes!K1363+"'E4!(Gc"</f>
        <v>#VALUE!</v>
      </c>
      <c r="GD166" t="e">
        <f>Nodes!L1363+"'E4!(Gd"</f>
        <v>#VALUE!</v>
      </c>
      <c r="GE166" t="e">
        <f>Nodes!M1363+"'E4!(Ge"</f>
        <v>#VALUE!</v>
      </c>
      <c r="GF166" t="e">
        <f>Nodes!N1363+"'E4!(Gf"</f>
        <v>#VALUE!</v>
      </c>
      <c r="GG166" t="e">
        <f>Nodes!O1363+"'E4!(Gg"</f>
        <v>#VALUE!</v>
      </c>
      <c r="GH166" t="e">
        <f>Nodes!P1363+"'E4!(Gh"</f>
        <v>#VALUE!</v>
      </c>
      <c r="GI166" t="e">
        <f>Nodes!Q1363+"'E4!(Gi"</f>
        <v>#VALUE!</v>
      </c>
      <c r="GJ166" t="e">
        <f>Nodes!R1363+"'E4!(Gj"</f>
        <v>#VALUE!</v>
      </c>
      <c r="GK166" t="e">
        <f>Nodes!S1363+"'E4!(Gk"</f>
        <v>#VALUE!</v>
      </c>
      <c r="GL166" s="547" t="e">
        <f>Nodes!T1363+"'E4!(Gl"</f>
        <v>#VALUE!</v>
      </c>
      <c r="GM166" s="548" t="e">
        <f>Nodes!U1363+"'E4!(Gm"</f>
        <v>#VALUE!</v>
      </c>
      <c r="GN166" s="548" t="e">
        <f>Nodes!V1363+"'E4!(Gn"</f>
        <v>#VALUE!</v>
      </c>
      <c r="GO166" s="547" t="e">
        <f>Nodes!W1363+"'E4!(Go"</f>
        <v>#VALUE!</v>
      </c>
      <c r="GP166" t="e">
        <f>Nodes!X1363+"'E4!(Gp"</f>
        <v>#VALUE!</v>
      </c>
      <c r="GQ166" t="e">
        <f>Nodes!Y1363+"'E4!(Gq"</f>
        <v>#VALUE!</v>
      </c>
      <c r="GR166" t="e">
        <f>Nodes!Z1363+"'E4!(Gr"</f>
        <v>#VALUE!</v>
      </c>
      <c r="GS166" t="e">
        <f>Nodes!AA1363+"'E4!(Gs"</f>
        <v>#VALUE!</v>
      </c>
      <c r="GT166" t="e">
        <f>Nodes!AB1363+"'E4!(Gt"</f>
        <v>#VALUE!</v>
      </c>
      <c r="GU166" t="e">
        <f>Nodes!AC1363+"'E4!(Gu"</f>
        <v>#VALUE!</v>
      </c>
      <c r="GV166" t="e">
        <f>Nodes!AD1363+"'E4!(Gv"</f>
        <v>#VALUE!</v>
      </c>
      <c r="GW166" t="e">
        <f>Nodes!A1364+"'E4!(Gw"</f>
        <v>#VALUE!</v>
      </c>
      <c r="GX166" t="e">
        <f>Nodes!B1364+"'E4!(Gx"</f>
        <v>#VALUE!</v>
      </c>
      <c r="GY166" t="e">
        <f>Nodes!C1364+"'E4!(Gy"</f>
        <v>#VALUE!</v>
      </c>
      <c r="GZ166" t="e">
        <f>Nodes!D1364+"'E4!(Gz"</f>
        <v>#VALUE!</v>
      </c>
      <c r="HA166" t="e">
        <f>Nodes!E1364+"'E4!(G{"</f>
        <v>#VALUE!</v>
      </c>
      <c r="HB166" t="e">
        <f>Nodes!F1364+"'E4!(G|"</f>
        <v>#VALUE!</v>
      </c>
      <c r="HC166" t="e">
        <f>Nodes!G1364+"'E4!(G}"</f>
        <v>#VALUE!</v>
      </c>
      <c r="HD166" t="e">
        <f>Nodes!H1364+"'E4!(G~"</f>
        <v>#VALUE!</v>
      </c>
      <c r="HE166" t="e">
        <f>Nodes!I1364+"'E4!(H#"</f>
        <v>#VALUE!</v>
      </c>
      <c r="HF166" t="e">
        <f>Nodes!J1364+"'E4!(H$"</f>
        <v>#VALUE!</v>
      </c>
      <c r="HG166" t="e">
        <f>Nodes!K1364+"'E4!(H%"</f>
        <v>#VALUE!</v>
      </c>
      <c r="HH166" t="e">
        <f>Nodes!L1364+"'E4!(H&amp;"</f>
        <v>#VALUE!</v>
      </c>
      <c r="HI166" t="e">
        <f>Nodes!M1364+"'E4!(H'"</f>
        <v>#VALUE!</v>
      </c>
      <c r="HJ166" t="e">
        <f>Nodes!N1364+"'E4!(H("</f>
        <v>#VALUE!</v>
      </c>
      <c r="HK166" t="e">
        <f>Nodes!O1364+"'E4!(H)"</f>
        <v>#VALUE!</v>
      </c>
      <c r="HL166" t="e">
        <f>Nodes!P1364+"'E4!(H."</f>
        <v>#VALUE!</v>
      </c>
      <c r="HM166" t="e">
        <f>Nodes!Q1364+"'E4!(H/"</f>
        <v>#VALUE!</v>
      </c>
      <c r="HN166" t="e">
        <f>Nodes!R1364+"'E4!(H0"</f>
        <v>#VALUE!</v>
      </c>
      <c r="HO166" t="e">
        <f>Nodes!S1364+"'E4!(H1"</f>
        <v>#VALUE!</v>
      </c>
      <c r="HP166" s="547" t="e">
        <f>Nodes!T1364+"'E4!(H2"</f>
        <v>#VALUE!</v>
      </c>
      <c r="HQ166" s="548" t="e">
        <f>Nodes!U1364+"'E4!(H3"</f>
        <v>#VALUE!</v>
      </c>
      <c r="HR166" s="548" t="e">
        <f>Nodes!V1364+"'E4!(H4"</f>
        <v>#VALUE!</v>
      </c>
      <c r="HS166" s="547" t="e">
        <f>Nodes!W1364+"'E4!(H5"</f>
        <v>#VALUE!</v>
      </c>
      <c r="HT166" t="e">
        <f>Nodes!X1364+"'E4!(H6"</f>
        <v>#VALUE!</v>
      </c>
      <c r="HU166" t="e">
        <f>Nodes!Y1364+"'E4!(H7"</f>
        <v>#VALUE!</v>
      </c>
      <c r="HV166" t="e">
        <f>Nodes!Z1364+"'E4!(H8"</f>
        <v>#VALUE!</v>
      </c>
      <c r="HW166" t="e">
        <f>Nodes!AA1364+"'E4!(H9"</f>
        <v>#VALUE!</v>
      </c>
      <c r="HX166" t="e">
        <f>Nodes!AB1364+"'E4!(H:"</f>
        <v>#VALUE!</v>
      </c>
      <c r="HY166" t="e">
        <f>Nodes!AC1364+"'E4!(H;"</f>
        <v>#VALUE!</v>
      </c>
      <c r="HZ166" t="e">
        <f>Nodes!AD1364+"'E4!(H&lt;"</f>
        <v>#VALUE!</v>
      </c>
      <c r="IA166" t="e">
        <f>Nodes!A1365+"'E4!(H="</f>
        <v>#VALUE!</v>
      </c>
      <c r="IB166" t="e">
        <f>Nodes!B1365+"'E4!(H&gt;"</f>
        <v>#VALUE!</v>
      </c>
      <c r="IC166" t="e">
        <f>Nodes!C1365+"'E4!(H?"</f>
        <v>#VALUE!</v>
      </c>
      <c r="ID166" t="e">
        <f>Nodes!D1365+"'E4!(H@"</f>
        <v>#VALUE!</v>
      </c>
      <c r="IE166" t="e">
        <f>Nodes!E1365+"'E4!(HA"</f>
        <v>#VALUE!</v>
      </c>
      <c r="IF166" t="e">
        <f>Nodes!F1365+"'E4!(HB"</f>
        <v>#VALUE!</v>
      </c>
      <c r="IG166" t="e">
        <f>Nodes!G1365+"'E4!(HC"</f>
        <v>#VALUE!</v>
      </c>
      <c r="IH166" t="e">
        <f>Nodes!H1365+"'E4!(HD"</f>
        <v>#VALUE!</v>
      </c>
      <c r="II166" t="e">
        <f>Nodes!I1365+"'E4!(HE"</f>
        <v>#VALUE!</v>
      </c>
      <c r="IJ166" t="e">
        <f>Nodes!J1365+"'E4!(HF"</f>
        <v>#VALUE!</v>
      </c>
      <c r="IK166" t="e">
        <f>Nodes!K1365+"'E4!(HG"</f>
        <v>#VALUE!</v>
      </c>
      <c r="IL166" t="e">
        <f>Nodes!L1365+"'E4!(HH"</f>
        <v>#VALUE!</v>
      </c>
      <c r="IM166" t="e">
        <f>Nodes!M1365+"'E4!(HI"</f>
        <v>#VALUE!</v>
      </c>
      <c r="IN166" t="e">
        <f>Nodes!N1365+"'E4!(HJ"</f>
        <v>#VALUE!</v>
      </c>
      <c r="IO166" t="e">
        <f>Nodes!O1365+"'E4!(HK"</f>
        <v>#VALUE!</v>
      </c>
      <c r="IP166" t="e">
        <f>Nodes!P1365+"'E4!(HL"</f>
        <v>#VALUE!</v>
      </c>
      <c r="IQ166" t="e">
        <f>Nodes!Q1365+"'E4!(HM"</f>
        <v>#VALUE!</v>
      </c>
      <c r="IR166" t="e">
        <f>Nodes!R1365+"'E4!(HN"</f>
        <v>#VALUE!</v>
      </c>
      <c r="IS166" t="e">
        <f>Nodes!S1365+"'E4!(HO"</f>
        <v>#VALUE!</v>
      </c>
      <c r="IT166" s="547" t="e">
        <f>Nodes!T1365+"'E4!(HP"</f>
        <v>#VALUE!</v>
      </c>
      <c r="IU166" s="548" t="e">
        <f>Nodes!U1365+"'E4!(HQ"</f>
        <v>#VALUE!</v>
      </c>
      <c r="IV166" s="548" t="e">
        <f>Nodes!V1365+"'E4!(HR"</f>
        <v>#VALUE!</v>
      </c>
    </row>
    <row r="167" spans="6:256">
      <c r="F167" s="547" t="e">
        <f>Nodes!W1365+"'E4!(HS"</f>
        <v>#VALUE!</v>
      </c>
      <c r="G167" t="e">
        <f>Nodes!X1365+"'E4!(HT"</f>
        <v>#VALUE!</v>
      </c>
      <c r="H167" t="e">
        <f>Nodes!Y1365+"'E4!(HU"</f>
        <v>#VALUE!</v>
      </c>
      <c r="I167" t="e">
        <f>Nodes!Z1365+"'E4!(HV"</f>
        <v>#VALUE!</v>
      </c>
      <c r="J167" t="e">
        <f>Nodes!AA1365+"'E4!(HW"</f>
        <v>#VALUE!</v>
      </c>
      <c r="K167" t="e">
        <f>Nodes!AB1365+"'E4!(HX"</f>
        <v>#VALUE!</v>
      </c>
      <c r="L167" t="e">
        <f>Nodes!AC1365+"'E4!(HY"</f>
        <v>#VALUE!</v>
      </c>
      <c r="M167" t="e">
        <f>Nodes!AD1365+"'E4!(HZ"</f>
        <v>#VALUE!</v>
      </c>
      <c r="N167" t="e">
        <f>Nodes!A1366+"'E4!(H["</f>
        <v>#VALUE!</v>
      </c>
      <c r="O167" t="e">
        <f>Nodes!B1366+"'E4!(H\"</f>
        <v>#VALUE!</v>
      </c>
      <c r="P167" t="e">
        <f>Nodes!C1366+"'E4!(H]"</f>
        <v>#VALUE!</v>
      </c>
      <c r="Q167" t="e">
        <f>Nodes!D1366+"'E4!(H^"</f>
        <v>#VALUE!</v>
      </c>
      <c r="R167" t="e">
        <f>Nodes!E1366+"'E4!(H_"</f>
        <v>#VALUE!</v>
      </c>
      <c r="S167" t="e">
        <f>Nodes!F1366+"'E4!(H`"</f>
        <v>#VALUE!</v>
      </c>
      <c r="T167" t="e">
        <f>Nodes!G1366+"'E4!(Ha"</f>
        <v>#VALUE!</v>
      </c>
      <c r="U167" t="e">
        <f>Nodes!H1366+"'E4!(Hb"</f>
        <v>#VALUE!</v>
      </c>
      <c r="V167" t="e">
        <f>Nodes!I1366+"'E4!(Hc"</f>
        <v>#VALUE!</v>
      </c>
      <c r="W167" t="e">
        <f>Nodes!J1366+"'E4!(Hd"</f>
        <v>#VALUE!</v>
      </c>
      <c r="X167" t="e">
        <f>Nodes!K1366+"'E4!(He"</f>
        <v>#VALUE!</v>
      </c>
      <c r="Y167" t="e">
        <f>Nodes!L1366+"'E4!(Hf"</f>
        <v>#VALUE!</v>
      </c>
      <c r="Z167" t="e">
        <f>Nodes!M1366+"'E4!(Hg"</f>
        <v>#VALUE!</v>
      </c>
      <c r="AA167" t="e">
        <f>Nodes!N1366+"'E4!(Hh"</f>
        <v>#VALUE!</v>
      </c>
      <c r="AB167" t="e">
        <f>Nodes!O1366+"'E4!(Hi"</f>
        <v>#VALUE!</v>
      </c>
      <c r="AC167" t="e">
        <f>Nodes!P1366+"'E4!(Hj"</f>
        <v>#VALUE!</v>
      </c>
      <c r="AD167" t="e">
        <f>Nodes!Q1366+"'E4!(Hk"</f>
        <v>#VALUE!</v>
      </c>
      <c r="AE167" t="e">
        <f>Nodes!R1366+"'E4!(Hl"</f>
        <v>#VALUE!</v>
      </c>
      <c r="AF167" t="e">
        <f>Nodes!S1366+"'E4!(Hm"</f>
        <v>#VALUE!</v>
      </c>
      <c r="AG167" s="547" t="e">
        <f>Nodes!T1366+"'E4!(Hn"</f>
        <v>#VALUE!</v>
      </c>
      <c r="AH167" s="548" t="e">
        <f>Nodes!U1366+"'E4!(Ho"</f>
        <v>#VALUE!</v>
      </c>
      <c r="AI167" s="548" t="e">
        <f>Nodes!V1366+"'E4!(Hp"</f>
        <v>#VALUE!</v>
      </c>
      <c r="AJ167" s="547" t="e">
        <f>Nodes!W1366+"'E4!(Hq"</f>
        <v>#VALUE!</v>
      </c>
      <c r="AK167" t="e">
        <f>Nodes!X1366+"'E4!(Hr"</f>
        <v>#VALUE!</v>
      </c>
      <c r="AL167" t="e">
        <f>Nodes!Y1366+"'E4!(Hs"</f>
        <v>#VALUE!</v>
      </c>
      <c r="AM167" t="e">
        <f>Nodes!Z1366+"'E4!(Ht"</f>
        <v>#VALUE!</v>
      </c>
      <c r="AN167" t="e">
        <f>Nodes!AA1366+"'E4!(Hu"</f>
        <v>#VALUE!</v>
      </c>
      <c r="AO167" t="e">
        <f>Nodes!AB1366+"'E4!(Hv"</f>
        <v>#VALUE!</v>
      </c>
      <c r="AP167" t="e">
        <f>Nodes!AC1366+"'E4!(Hw"</f>
        <v>#VALUE!</v>
      </c>
      <c r="AQ167" t="e">
        <f>Nodes!AD1366+"'E4!(Hx"</f>
        <v>#VALUE!</v>
      </c>
      <c r="AR167" t="e">
        <f>Nodes!A1367+"'E4!(Hy"</f>
        <v>#VALUE!</v>
      </c>
      <c r="AS167" t="e">
        <f>Nodes!B1367+"'E4!(Hz"</f>
        <v>#VALUE!</v>
      </c>
      <c r="AT167" t="e">
        <f>Nodes!C1367+"'E4!(H{"</f>
        <v>#VALUE!</v>
      </c>
      <c r="AU167" t="e">
        <f>Nodes!D1367+"'E4!(H|"</f>
        <v>#VALUE!</v>
      </c>
      <c r="AV167" t="e">
        <f>Nodes!E1367+"'E4!(H}"</f>
        <v>#VALUE!</v>
      </c>
      <c r="AW167" t="e">
        <f>Nodes!F1367+"'E4!(H~"</f>
        <v>#VALUE!</v>
      </c>
      <c r="AX167" t="e">
        <f>Nodes!G1367+"'E4!(I#"</f>
        <v>#VALUE!</v>
      </c>
      <c r="AY167" t="e">
        <f>Nodes!H1367+"'E4!(I$"</f>
        <v>#VALUE!</v>
      </c>
      <c r="AZ167" t="e">
        <f>Nodes!I1367+"'E4!(I%"</f>
        <v>#VALUE!</v>
      </c>
      <c r="BA167" t="e">
        <f>Nodes!J1367+"'E4!(I&amp;"</f>
        <v>#VALUE!</v>
      </c>
      <c r="BB167" t="e">
        <f>Nodes!K1367+"'E4!(I'"</f>
        <v>#VALUE!</v>
      </c>
      <c r="BC167" t="e">
        <f>Nodes!L1367+"'E4!(I("</f>
        <v>#VALUE!</v>
      </c>
      <c r="BD167" t="e">
        <f>Nodes!M1367+"'E4!(I)"</f>
        <v>#VALUE!</v>
      </c>
      <c r="BE167" t="e">
        <f>Nodes!N1367+"'E4!(I."</f>
        <v>#VALUE!</v>
      </c>
      <c r="BF167" t="e">
        <f>Nodes!O1367+"'E4!(I/"</f>
        <v>#VALUE!</v>
      </c>
      <c r="BG167" t="e">
        <f>Nodes!P1367+"'E4!(I0"</f>
        <v>#VALUE!</v>
      </c>
      <c r="BH167" t="e">
        <f>Nodes!Q1367+"'E4!(I1"</f>
        <v>#VALUE!</v>
      </c>
      <c r="BI167" t="e">
        <f>Nodes!R1367+"'E4!(I2"</f>
        <v>#VALUE!</v>
      </c>
      <c r="BJ167" t="e">
        <f>Nodes!S1367+"'E4!(I3"</f>
        <v>#VALUE!</v>
      </c>
      <c r="BK167" s="547" t="e">
        <f>Nodes!T1367+"'E4!(I4"</f>
        <v>#VALUE!</v>
      </c>
      <c r="BL167" s="548" t="e">
        <f>Nodes!U1367+"'E4!(I5"</f>
        <v>#VALUE!</v>
      </c>
      <c r="BM167" s="548" t="e">
        <f>Nodes!V1367+"'E4!(I6"</f>
        <v>#VALUE!</v>
      </c>
      <c r="BN167" s="547" t="e">
        <f>Nodes!W1367+"'E4!(I7"</f>
        <v>#VALUE!</v>
      </c>
      <c r="BO167" t="e">
        <f>Nodes!X1367+"'E4!(I8"</f>
        <v>#VALUE!</v>
      </c>
      <c r="BP167" t="e">
        <f>Nodes!Y1367+"'E4!(I9"</f>
        <v>#VALUE!</v>
      </c>
      <c r="BQ167" t="e">
        <f>Nodes!Z1367+"'E4!(I:"</f>
        <v>#VALUE!</v>
      </c>
      <c r="BR167" t="e">
        <f>Nodes!AA1367+"'E4!(I;"</f>
        <v>#VALUE!</v>
      </c>
      <c r="BS167" t="e">
        <f>Nodes!AB1367+"'E4!(I&lt;"</f>
        <v>#VALUE!</v>
      </c>
      <c r="BT167" t="e">
        <f>Nodes!AC1367+"'E4!(I="</f>
        <v>#VALUE!</v>
      </c>
      <c r="BU167" t="e">
        <f>Nodes!AD1367+"'E4!(I&gt;"</f>
        <v>#VALUE!</v>
      </c>
      <c r="BV167" t="e">
        <f>Nodes!A1368+"'E4!(I?"</f>
        <v>#VALUE!</v>
      </c>
      <c r="BW167" t="e">
        <f>Nodes!B1368+"'E4!(I@"</f>
        <v>#VALUE!</v>
      </c>
      <c r="BX167" t="e">
        <f>Nodes!C1368+"'E4!(IA"</f>
        <v>#VALUE!</v>
      </c>
      <c r="BY167" t="e">
        <f>Nodes!D1368+"'E4!(IB"</f>
        <v>#VALUE!</v>
      </c>
      <c r="BZ167" t="e">
        <f>Nodes!E1368+"'E4!(IC"</f>
        <v>#VALUE!</v>
      </c>
      <c r="CA167" t="e">
        <f>Nodes!F1368+"'E4!(ID"</f>
        <v>#VALUE!</v>
      </c>
      <c r="CB167" t="e">
        <f>Nodes!G1368+"'E4!(IE"</f>
        <v>#VALUE!</v>
      </c>
      <c r="CC167" t="e">
        <f>Nodes!H1368+"'E4!(IF"</f>
        <v>#VALUE!</v>
      </c>
      <c r="CD167" t="e">
        <f>Nodes!I1368+"'E4!(IG"</f>
        <v>#VALUE!</v>
      </c>
      <c r="CE167" t="e">
        <f>Nodes!J1368+"'E4!(IH"</f>
        <v>#VALUE!</v>
      </c>
      <c r="CF167" t="e">
        <f>Nodes!K1368+"'E4!(II"</f>
        <v>#VALUE!</v>
      </c>
      <c r="CG167" t="e">
        <f>Nodes!L1368+"'E4!(IJ"</f>
        <v>#VALUE!</v>
      </c>
      <c r="CH167" t="e">
        <f>Nodes!M1368+"'E4!(IK"</f>
        <v>#VALUE!</v>
      </c>
      <c r="CI167" t="e">
        <f>Nodes!N1368+"'E4!(IL"</f>
        <v>#VALUE!</v>
      </c>
      <c r="CJ167" t="e">
        <f>Nodes!O1368+"'E4!(IM"</f>
        <v>#VALUE!</v>
      </c>
      <c r="CK167" t="e">
        <f>Nodes!P1368+"'E4!(IN"</f>
        <v>#VALUE!</v>
      </c>
      <c r="CL167" t="e">
        <f>Nodes!Q1368+"'E4!(IO"</f>
        <v>#VALUE!</v>
      </c>
      <c r="CM167" t="e">
        <f>Nodes!R1368+"'E4!(IP"</f>
        <v>#VALUE!</v>
      </c>
      <c r="CN167" t="e">
        <f>Nodes!S1368+"'E4!(IQ"</f>
        <v>#VALUE!</v>
      </c>
      <c r="CO167" s="547" t="e">
        <f>Nodes!T1368+"'E4!(IR"</f>
        <v>#VALUE!</v>
      </c>
      <c r="CP167" s="548" t="e">
        <f>Nodes!U1368+"'E4!(IS"</f>
        <v>#VALUE!</v>
      </c>
      <c r="CQ167" s="548" t="e">
        <f>Nodes!V1368+"'E4!(IT"</f>
        <v>#VALUE!</v>
      </c>
      <c r="CR167" s="547" t="e">
        <f>Nodes!W1368+"'E4!(IU"</f>
        <v>#VALUE!</v>
      </c>
      <c r="CS167" t="e">
        <f>Nodes!X1368+"'E4!(IV"</f>
        <v>#VALUE!</v>
      </c>
      <c r="CT167" t="e">
        <f>Nodes!Y1368+"'E4!(IW"</f>
        <v>#VALUE!</v>
      </c>
      <c r="CU167" t="e">
        <f>Nodes!Z1368+"'E4!(IX"</f>
        <v>#VALUE!</v>
      </c>
      <c r="CV167" t="e">
        <f>Nodes!AA1368+"'E4!(IY"</f>
        <v>#VALUE!</v>
      </c>
      <c r="CW167" t="e">
        <f>Nodes!AB1368+"'E4!(IZ"</f>
        <v>#VALUE!</v>
      </c>
      <c r="CX167" t="e">
        <f>Nodes!AC1368+"'E4!(I["</f>
        <v>#VALUE!</v>
      </c>
      <c r="CY167" t="e">
        <f>Nodes!AD1368+"'E4!(I\"</f>
        <v>#VALUE!</v>
      </c>
      <c r="CZ167" t="e">
        <f>Nodes!A1369+"'E4!(I]"</f>
        <v>#VALUE!</v>
      </c>
      <c r="DA167" t="e">
        <f>Nodes!B1369+"'E4!(I^"</f>
        <v>#VALUE!</v>
      </c>
      <c r="DB167" t="e">
        <f>Nodes!C1369+"'E4!(I_"</f>
        <v>#VALUE!</v>
      </c>
      <c r="DC167" t="e">
        <f>Nodes!D1369+"'E4!(I`"</f>
        <v>#VALUE!</v>
      </c>
      <c r="DD167" t="e">
        <f>Nodes!E1369+"'E4!(Ia"</f>
        <v>#VALUE!</v>
      </c>
      <c r="DE167" t="e">
        <f>Nodes!F1369+"'E4!(Ib"</f>
        <v>#VALUE!</v>
      </c>
      <c r="DF167" t="e">
        <f>Nodes!G1369+"'E4!(Ic"</f>
        <v>#VALUE!</v>
      </c>
      <c r="DG167" t="e">
        <f>Nodes!H1369+"'E4!(Id"</f>
        <v>#VALUE!</v>
      </c>
      <c r="DH167" t="e">
        <f>Nodes!I1369+"'E4!(Ie"</f>
        <v>#VALUE!</v>
      </c>
      <c r="DI167" t="e">
        <f>Nodes!J1369+"'E4!(If"</f>
        <v>#VALUE!</v>
      </c>
      <c r="DJ167" t="e">
        <f>Nodes!K1369+"'E4!(Ig"</f>
        <v>#VALUE!</v>
      </c>
      <c r="DK167" t="e">
        <f>Nodes!L1369+"'E4!(Ih"</f>
        <v>#VALUE!</v>
      </c>
      <c r="DL167" t="e">
        <f>Nodes!M1369+"'E4!(Ii"</f>
        <v>#VALUE!</v>
      </c>
      <c r="DM167" t="e">
        <f>Nodes!N1369+"'E4!(Ij"</f>
        <v>#VALUE!</v>
      </c>
      <c r="DN167" t="e">
        <f>Nodes!O1369+"'E4!(Ik"</f>
        <v>#VALUE!</v>
      </c>
      <c r="DO167" t="e">
        <f>Nodes!P1369+"'E4!(Il"</f>
        <v>#VALUE!</v>
      </c>
      <c r="DP167" t="e">
        <f>Nodes!Q1369+"'E4!(Im"</f>
        <v>#VALUE!</v>
      </c>
      <c r="DQ167" t="e">
        <f>Nodes!R1369+"'E4!(In"</f>
        <v>#VALUE!</v>
      </c>
      <c r="DR167" t="e">
        <f>Nodes!S1369+"'E4!(Io"</f>
        <v>#VALUE!</v>
      </c>
      <c r="DS167" s="547" t="e">
        <f>Nodes!T1369+"'E4!(Ip"</f>
        <v>#VALUE!</v>
      </c>
      <c r="DT167" s="548" t="e">
        <f>Nodes!U1369+"'E4!(Iq"</f>
        <v>#VALUE!</v>
      </c>
      <c r="DU167" s="548" t="e">
        <f>Nodes!V1369+"'E4!(Ir"</f>
        <v>#VALUE!</v>
      </c>
      <c r="DV167" s="547" t="e">
        <f>Nodes!W1369+"'E4!(Is"</f>
        <v>#VALUE!</v>
      </c>
      <c r="DW167" t="e">
        <f>Nodes!X1369+"'E4!(It"</f>
        <v>#VALUE!</v>
      </c>
      <c r="DX167" t="e">
        <f>Nodes!Y1369+"'E4!(Iu"</f>
        <v>#VALUE!</v>
      </c>
      <c r="DY167" t="e">
        <f>Nodes!Z1369+"'E4!(Iv"</f>
        <v>#VALUE!</v>
      </c>
      <c r="DZ167" t="e">
        <f>Nodes!AA1369+"'E4!(Iw"</f>
        <v>#VALUE!</v>
      </c>
      <c r="EA167" t="e">
        <f>Nodes!AB1369+"'E4!(Ix"</f>
        <v>#VALUE!</v>
      </c>
      <c r="EB167" t="e">
        <f>Nodes!AC1369+"'E4!(Iy"</f>
        <v>#VALUE!</v>
      </c>
      <c r="EC167" t="e">
        <f>Nodes!AD1369+"'E4!(Iz"</f>
        <v>#VALUE!</v>
      </c>
      <c r="ED167" t="e">
        <f>Nodes!A1370+"'E4!(I{"</f>
        <v>#VALUE!</v>
      </c>
      <c r="EE167" t="e">
        <f>Nodes!B1370+"'E4!(I|"</f>
        <v>#VALUE!</v>
      </c>
      <c r="EF167" t="e">
        <f>Nodes!C1370+"'E4!(I}"</f>
        <v>#VALUE!</v>
      </c>
      <c r="EG167" t="e">
        <f>Nodes!D1370+"'E4!(I~"</f>
        <v>#VALUE!</v>
      </c>
      <c r="EH167" t="e">
        <f>Nodes!E1370+"'E4!(J#"</f>
        <v>#VALUE!</v>
      </c>
      <c r="EI167" t="e">
        <f>Nodes!F1370+"'E4!(J$"</f>
        <v>#VALUE!</v>
      </c>
      <c r="EJ167" t="e">
        <f>Nodes!G1370+"'E4!(J%"</f>
        <v>#VALUE!</v>
      </c>
      <c r="EK167" t="e">
        <f>Nodes!H1370+"'E4!(J&amp;"</f>
        <v>#VALUE!</v>
      </c>
      <c r="EL167" t="e">
        <f>Nodes!I1370+"'E4!(J'"</f>
        <v>#VALUE!</v>
      </c>
      <c r="EM167" t="e">
        <f>Nodes!J1370+"'E4!(J("</f>
        <v>#VALUE!</v>
      </c>
      <c r="EN167" t="e">
        <f>Nodes!K1370+"'E4!(J)"</f>
        <v>#VALUE!</v>
      </c>
      <c r="EO167" t="e">
        <f>Nodes!L1370+"'E4!(J."</f>
        <v>#VALUE!</v>
      </c>
      <c r="EP167" t="e">
        <f>Nodes!M1370+"'E4!(J/"</f>
        <v>#VALUE!</v>
      </c>
      <c r="EQ167" t="e">
        <f>Nodes!N1370+"'E4!(J0"</f>
        <v>#VALUE!</v>
      </c>
      <c r="ER167" t="e">
        <f>Nodes!O1370+"'E4!(J1"</f>
        <v>#VALUE!</v>
      </c>
      <c r="ES167" t="e">
        <f>Nodes!P1370+"'E4!(J2"</f>
        <v>#VALUE!</v>
      </c>
      <c r="ET167" t="e">
        <f>Nodes!Q1370+"'E4!(J3"</f>
        <v>#VALUE!</v>
      </c>
      <c r="EU167" t="e">
        <f>Nodes!R1370+"'E4!(J4"</f>
        <v>#VALUE!</v>
      </c>
      <c r="EV167" t="e">
        <f>Nodes!S1370+"'E4!(J5"</f>
        <v>#VALUE!</v>
      </c>
      <c r="EW167" s="547" t="e">
        <f>Nodes!T1370+"'E4!(J6"</f>
        <v>#VALUE!</v>
      </c>
      <c r="EX167" s="548" t="e">
        <f>Nodes!U1370+"'E4!(J7"</f>
        <v>#VALUE!</v>
      </c>
      <c r="EY167" s="548" t="e">
        <f>Nodes!V1370+"'E4!(J8"</f>
        <v>#VALUE!</v>
      </c>
      <c r="EZ167" s="547" t="e">
        <f>Nodes!W1370+"'E4!(J9"</f>
        <v>#VALUE!</v>
      </c>
      <c r="FA167" t="e">
        <f>Nodes!X1370+"'E4!(J:"</f>
        <v>#VALUE!</v>
      </c>
      <c r="FB167" t="e">
        <f>Nodes!Y1370+"'E4!(J;"</f>
        <v>#VALUE!</v>
      </c>
      <c r="FC167" t="e">
        <f>Nodes!Z1370+"'E4!(J&lt;"</f>
        <v>#VALUE!</v>
      </c>
      <c r="FD167" t="e">
        <f>Nodes!AA1370+"'E4!(J="</f>
        <v>#VALUE!</v>
      </c>
      <c r="FE167" t="e">
        <f>Nodes!AB1370+"'E4!(J&gt;"</f>
        <v>#VALUE!</v>
      </c>
      <c r="FF167" t="e">
        <f>Nodes!AC1370+"'E4!(J?"</f>
        <v>#VALUE!</v>
      </c>
      <c r="FG167" t="e">
        <f>Nodes!AD1370+"'E4!(J@"</f>
        <v>#VALUE!</v>
      </c>
      <c r="FH167" t="e">
        <f>Nodes!A1371+"'E4!(JA"</f>
        <v>#VALUE!</v>
      </c>
      <c r="FI167" t="e">
        <f>Nodes!B1371+"'E4!(JB"</f>
        <v>#VALUE!</v>
      </c>
      <c r="FJ167" t="e">
        <f>Nodes!C1371+"'E4!(JC"</f>
        <v>#VALUE!</v>
      </c>
      <c r="FK167" t="e">
        <f>Nodes!D1371+"'E4!(JD"</f>
        <v>#VALUE!</v>
      </c>
      <c r="FL167" t="e">
        <f>Nodes!E1371+"'E4!(JE"</f>
        <v>#VALUE!</v>
      </c>
      <c r="FM167" t="e">
        <f>Nodes!F1371+"'E4!(JF"</f>
        <v>#VALUE!</v>
      </c>
      <c r="FN167" t="e">
        <f>Nodes!G1371+"'E4!(JG"</f>
        <v>#VALUE!</v>
      </c>
      <c r="FO167" t="e">
        <f>Nodes!H1371+"'E4!(JH"</f>
        <v>#VALUE!</v>
      </c>
      <c r="FP167" t="e">
        <f>Nodes!I1371+"'E4!(JI"</f>
        <v>#VALUE!</v>
      </c>
      <c r="FQ167" t="e">
        <f>Nodes!J1371+"'E4!(JJ"</f>
        <v>#VALUE!</v>
      </c>
      <c r="FR167" t="e">
        <f>Nodes!K1371+"'E4!(JK"</f>
        <v>#VALUE!</v>
      </c>
      <c r="FS167" t="e">
        <f>Nodes!L1371+"'E4!(JL"</f>
        <v>#VALUE!</v>
      </c>
      <c r="FT167" t="e">
        <f>Nodes!M1371+"'E4!(JM"</f>
        <v>#VALUE!</v>
      </c>
      <c r="FU167" t="e">
        <f>Nodes!N1371+"'E4!(JN"</f>
        <v>#VALUE!</v>
      </c>
      <c r="FV167" t="e">
        <f>Nodes!O1371+"'E4!(JO"</f>
        <v>#VALUE!</v>
      </c>
      <c r="FW167" t="e">
        <f>Nodes!P1371+"'E4!(JP"</f>
        <v>#VALUE!</v>
      </c>
      <c r="FX167" t="e">
        <f>Nodes!Q1371+"'E4!(JQ"</f>
        <v>#VALUE!</v>
      </c>
      <c r="FY167" t="e">
        <f>Nodes!R1371+"'E4!(JR"</f>
        <v>#VALUE!</v>
      </c>
      <c r="FZ167" t="e">
        <f>Nodes!S1371+"'E4!(JS"</f>
        <v>#VALUE!</v>
      </c>
      <c r="GA167" s="547" t="e">
        <f>Nodes!T1371+"'E4!(JT"</f>
        <v>#VALUE!</v>
      </c>
      <c r="GB167" s="548" t="e">
        <f>Nodes!U1371+"'E4!(JU"</f>
        <v>#VALUE!</v>
      </c>
      <c r="GC167" s="548" t="e">
        <f>Nodes!V1371+"'E4!(JV"</f>
        <v>#VALUE!</v>
      </c>
      <c r="GD167" s="547" t="e">
        <f>Nodes!W1371+"'E4!(JW"</f>
        <v>#VALUE!</v>
      </c>
      <c r="GE167" t="e">
        <f>Nodes!X1371+"'E4!(JX"</f>
        <v>#VALUE!</v>
      </c>
      <c r="GF167" t="e">
        <f>Nodes!Y1371+"'E4!(JY"</f>
        <v>#VALUE!</v>
      </c>
      <c r="GG167" t="e">
        <f>Nodes!Z1371+"'E4!(JZ"</f>
        <v>#VALUE!</v>
      </c>
      <c r="GH167" t="e">
        <f>Nodes!AA1371+"'E4!(J["</f>
        <v>#VALUE!</v>
      </c>
      <c r="GI167" t="e">
        <f>Nodes!AB1371+"'E4!(J\"</f>
        <v>#VALUE!</v>
      </c>
      <c r="GJ167" t="e">
        <f>Nodes!AC1371+"'E4!(J]"</f>
        <v>#VALUE!</v>
      </c>
      <c r="GK167" t="e">
        <f>Nodes!AD1371+"'E4!(J^"</f>
        <v>#VALUE!</v>
      </c>
      <c r="GL167" t="e">
        <f>Nodes!A1372+"'E4!(J_"</f>
        <v>#VALUE!</v>
      </c>
      <c r="GM167" t="e">
        <f>Nodes!B1372+"'E4!(J`"</f>
        <v>#VALUE!</v>
      </c>
      <c r="GN167" t="e">
        <f>Nodes!C1372+"'E4!(Ja"</f>
        <v>#VALUE!</v>
      </c>
      <c r="GO167" t="e">
        <f>Nodes!D1372+"'E4!(Jb"</f>
        <v>#VALUE!</v>
      </c>
      <c r="GP167" t="e">
        <f>Nodes!E1372+"'E4!(Jc"</f>
        <v>#VALUE!</v>
      </c>
      <c r="GQ167" t="e">
        <f>Nodes!F1372+"'E4!(Jd"</f>
        <v>#VALUE!</v>
      </c>
      <c r="GR167" t="e">
        <f>Nodes!G1372+"'E4!(Je"</f>
        <v>#VALUE!</v>
      </c>
      <c r="GS167" t="e">
        <f>Nodes!H1372+"'E4!(Jf"</f>
        <v>#VALUE!</v>
      </c>
      <c r="GT167" t="e">
        <f>Nodes!I1372+"'E4!(Jg"</f>
        <v>#VALUE!</v>
      </c>
      <c r="GU167" t="e">
        <f>Nodes!J1372+"'E4!(Jh"</f>
        <v>#VALUE!</v>
      </c>
      <c r="GV167" t="e">
        <f>Nodes!K1372+"'E4!(Ji"</f>
        <v>#VALUE!</v>
      </c>
      <c r="GW167" t="e">
        <f>Nodes!L1372+"'E4!(Jj"</f>
        <v>#VALUE!</v>
      </c>
      <c r="GX167" t="e">
        <f>Nodes!M1372+"'E4!(Jk"</f>
        <v>#VALUE!</v>
      </c>
      <c r="GY167" t="e">
        <f>Nodes!N1372+"'E4!(Jl"</f>
        <v>#VALUE!</v>
      </c>
      <c r="GZ167" t="e">
        <f>Nodes!O1372+"'E4!(Jm"</f>
        <v>#VALUE!</v>
      </c>
      <c r="HA167" t="e">
        <f>Nodes!P1372+"'E4!(Jn"</f>
        <v>#VALUE!</v>
      </c>
      <c r="HB167" t="e">
        <f>Nodes!Q1372+"'E4!(Jo"</f>
        <v>#VALUE!</v>
      </c>
      <c r="HC167" t="e">
        <f>Nodes!R1372+"'E4!(Jp"</f>
        <v>#VALUE!</v>
      </c>
      <c r="HD167" t="e">
        <f>Nodes!S1372+"'E4!(Jq"</f>
        <v>#VALUE!</v>
      </c>
      <c r="HE167" s="547" t="e">
        <f>Nodes!T1372+"'E4!(Jr"</f>
        <v>#VALUE!</v>
      </c>
      <c r="HF167" s="548" t="e">
        <f>Nodes!U1372+"'E4!(Js"</f>
        <v>#VALUE!</v>
      </c>
      <c r="HG167" s="548" t="e">
        <f>Nodes!V1372+"'E4!(Jt"</f>
        <v>#VALUE!</v>
      </c>
      <c r="HH167" s="547" t="e">
        <f>Nodes!W1372+"'E4!(Ju"</f>
        <v>#VALUE!</v>
      </c>
      <c r="HI167" t="e">
        <f>Nodes!X1372+"'E4!(Jv"</f>
        <v>#VALUE!</v>
      </c>
      <c r="HJ167" t="e">
        <f>Nodes!Y1372+"'E4!(Jw"</f>
        <v>#VALUE!</v>
      </c>
      <c r="HK167" t="e">
        <f>Nodes!Z1372+"'E4!(Jx"</f>
        <v>#VALUE!</v>
      </c>
      <c r="HL167" t="e">
        <f>Nodes!AA1372+"'E4!(Jy"</f>
        <v>#VALUE!</v>
      </c>
      <c r="HM167" t="e">
        <f>Nodes!AB1372+"'E4!(Jz"</f>
        <v>#VALUE!</v>
      </c>
      <c r="HN167" t="e">
        <f>Nodes!AC1372+"'E4!(J{"</f>
        <v>#VALUE!</v>
      </c>
      <c r="HO167" t="e">
        <f>Nodes!AD1372+"'E4!(J|"</f>
        <v>#VALUE!</v>
      </c>
      <c r="HP167" t="e">
        <f>Nodes!A1373+"'E4!(J}"</f>
        <v>#VALUE!</v>
      </c>
      <c r="HQ167" t="e">
        <f>Nodes!B1373+"'E4!(J~"</f>
        <v>#VALUE!</v>
      </c>
      <c r="HR167" t="e">
        <f>Nodes!C1373+"'E4!(K#"</f>
        <v>#VALUE!</v>
      </c>
      <c r="HS167" t="e">
        <f>Nodes!D1373+"'E4!(K$"</f>
        <v>#VALUE!</v>
      </c>
      <c r="HT167" t="e">
        <f>Nodes!E1373+"'E4!(K%"</f>
        <v>#VALUE!</v>
      </c>
      <c r="HU167" t="e">
        <f>Nodes!F1373+"'E4!(K&amp;"</f>
        <v>#VALUE!</v>
      </c>
      <c r="HV167" t="e">
        <f>Nodes!G1373+"'E4!(K'"</f>
        <v>#VALUE!</v>
      </c>
      <c r="HW167" t="e">
        <f>Nodes!H1373+"'E4!(K("</f>
        <v>#VALUE!</v>
      </c>
      <c r="HX167" t="e">
        <f>Nodes!I1373+"'E4!(K)"</f>
        <v>#VALUE!</v>
      </c>
      <c r="HY167" t="e">
        <f>Nodes!J1373+"'E4!(K."</f>
        <v>#VALUE!</v>
      </c>
      <c r="HZ167" t="e">
        <f>Nodes!K1373+"'E4!(K/"</f>
        <v>#VALUE!</v>
      </c>
      <c r="IA167" t="e">
        <f>Nodes!L1373+"'E4!(K0"</f>
        <v>#VALUE!</v>
      </c>
      <c r="IB167" t="e">
        <f>Nodes!M1373+"'E4!(K1"</f>
        <v>#VALUE!</v>
      </c>
      <c r="IC167" t="e">
        <f>Nodes!N1373+"'E4!(K2"</f>
        <v>#VALUE!</v>
      </c>
      <c r="ID167" t="e">
        <f>Nodes!O1373+"'E4!(K3"</f>
        <v>#VALUE!</v>
      </c>
      <c r="IE167" t="e">
        <f>Nodes!P1373+"'E4!(K4"</f>
        <v>#VALUE!</v>
      </c>
      <c r="IF167" t="e">
        <f>Nodes!Q1373+"'E4!(K5"</f>
        <v>#VALUE!</v>
      </c>
      <c r="IG167" t="e">
        <f>Nodes!R1373+"'E4!(K6"</f>
        <v>#VALUE!</v>
      </c>
      <c r="IH167" t="e">
        <f>Nodes!S1373+"'E4!(K7"</f>
        <v>#VALUE!</v>
      </c>
      <c r="II167" s="547" t="e">
        <f>Nodes!T1373+"'E4!(K8"</f>
        <v>#VALUE!</v>
      </c>
      <c r="IJ167" s="548" t="e">
        <f>Nodes!U1373+"'E4!(K9"</f>
        <v>#VALUE!</v>
      </c>
      <c r="IK167" s="548" t="e">
        <f>Nodes!V1373+"'E4!(K:"</f>
        <v>#VALUE!</v>
      </c>
      <c r="IL167" s="547" t="e">
        <f>Nodes!W1373+"'E4!(K;"</f>
        <v>#VALUE!</v>
      </c>
      <c r="IM167" t="e">
        <f>Nodes!X1373+"'E4!(K&lt;"</f>
        <v>#VALUE!</v>
      </c>
      <c r="IN167" t="e">
        <f>Nodes!Y1373+"'E4!(K="</f>
        <v>#VALUE!</v>
      </c>
      <c r="IO167" t="e">
        <f>Nodes!Z1373+"'E4!(K&gt;"</f>
        <v>#VALUE!</v>
      </c>
      <c r="IP167" t="e">
        <f>Nodes!AA1373+"'E4!(K?"</f>
        <v>#VALUE!</v>
      </c>
      <c r="IQ167" t="e">
        <f>Nodes!AB1373+"'E4!(K@"</f>
        <v>#VALUE!</v>
      </c>
      <c r="IR167" t="e">
        <f>Nodes!AC1373+"'E4!(KA"</f>
        <v>#VALUE!</v>
      </c>
      <c r="IS167" t="e">
        <f>Nodes!AD1373+"'E4!(KB"</f>
        <v>#VALUE!</v>
      </c>
      <c r="IT167" t="e">
        <f>Nodes!A1374+"'E4!(KC"</f>
        <v>#VALUE!</v>
      </c>
      <c r="IU167" t="e">
        <f>Nodes!B1374+"'E4!(KD"</f>
        <v>#VALUE!</v>
      </c>
      <c r="IV167" t="e">
        <f>Nodes!C1374+"'E4!(KE"</f>
        <v>#VALUE!</v>
      </c>
    </row>
    <row r="168" spans="6:256">
      <c r="F168" t="e">
        <f>Nodes!D1374+"'E4!(KF"</f>
        <v>#VALUE!</v>
      </c>
      <c r="G168" t="e">
        <f>Nodes!E1374+"'E4!(KG"</f>
        <v>#VALUE!</v>
      </c>
      <c r="H168" t="e">
        <f>Nodes!F1374+"'E4!(KH"</f>
        <v>#VALUE!</v>
      </c>
      <c r="I168" t="e">
        <f>Nodes!G1374+"'E4!(KI"</f>
        <v>#VALUE!</v>
      </c>
      <c r="J168" t="e">
        <f>Nodes!H1374+"'E4!(KJ"</f>
        <v>#VALUE!</v>
      </c>
      <c r="K168" t="e">
        <f>Nodes!I1374+"'E4!(KK"</f>
        <v>#VALUE!</v>
      </c>
      <c r="L168" t="e">
        <f>Nodes!J1374+"'E4!(KL"</f>
        <v>#VALUE!</v>
      </c>
      <c r="M168" t="e">
        <f>Nodes!K1374+"'E4!(KM"</f>
        <v>#VALUE!</v>
      </c>
      <c r="N168" t="e">
        <f>Nodes!L1374+"'E4!(KN"</f>
        <v>#VALUE!</v>
      </c>
      <c r="O168" t="e">
        <f>Nodes!M1374+"'E4!(KO"</f>
        <v>#VALUE!</v>
      </c>
      <c r="P168" t="e">
        <f>Nodes!N1374+"'E4!(KP"</f>
        <v>#VALUE!</v>
      </c>
      <c r="Q168" t="e">
        <f>Nodes!O1374+"'E4!(KQ"</f>
        <v>#VALUE!</v>
      </c>
      <c r="R168" t="e">
        <f>Nodes!P1374+"'E4!(KR"</f>
        <v>#VALUE!</v>
      </c>
      <c r="S168" t="e">
        <f>Nodes!Q1374+"'E4!(KS"</f>
        <v>#VALUE!</v>
      </c>
      <c r="T168" t="e">
        <f>Nodes!R1374+"'E4!(KT"</f>
        <v>#VALUE!</v>
      </c>
      <c r="U168" t="e">
        <f>Nodes!S1374+"'E4!(KU"</f>
        <v>#VALUE!</v>
      </c>
      <c r="V168" s="547" t="e">
        <f>Nodes!T1374+"'E4!(KV"</f>
        <v>#VALUE!</v>
      </c>
      <c r="W168" s="548" t="e">
        <f>Nodes!U1374+"'E4!(KW"</f>
        <v>#VALUE!</v>
      </c>
      <c r="X168" s="548" t="e">
        <f>Nodes!V1374+"'E4!(KX"</f>
        <v>#VALUE!</v>
      </c>
      <c r="Y168" s="547" t="e">
        <f>Nodes!W1374+"'E4!(KY"</f>
        <v>#VALUE!</v>
      </c>
      <c r="Z168" t="e">
        <f>Nodes!X1374+"'E4!(KZ"</f>
        <v>#VALUE!</v>
      </c>
      <c r="AA168" t="e">
        <f>Nodes!Y1374+"'E4!(K["</f>
        <v>#VALUE!</v>
      </c>
      <c r="AB168" t="e">
        <f>Nodes!Z1374+"'E4!(K\"</f>
        <v>#VALUE!</v>
      </c>
      <c r="AC168" t="e">
        <f>Nodes!AA1374+"'E4!(K]"</f>
        <v>#VALUE!</v>
      </c>
      <c r="AD168" t="e">
        <f>Nodes!AB1374+"'E4!(K^"</f>
        <v>#VALUE!</v>
      </c>
      <c r="AE168" t="e">
        <f>Nodes!AC1374+"'E4!(K_"</f>
        <v>#VALUE!</v>
      </c>
      <c r="AF168" t="e">
        <f>Nodes!A1375+"'E4!(K`"</f>
        <v>#VALUE!</v>
      </c>
      <c r="AG168" t="e">
        <f>Nodes!B1375+"'E4!(Ka"</f>
        <v>#VALUE!</v>
      </c>
      <c r="AH168" t="e">
        <f>Nodes!C1375+"'E4!(Kb"</f>
        <v>#VALUE!</v>
      </c>
      <c r="AI168" t="e">
        <f>Nodes!D1375+"'E4!(Kc"</f>
        <v>#VALUE!</v>
      </c>
      <c r="AJ168" t="e">
        <f>Nodes!E1375+"'E4!(Kd"</f>
        <v>#VALUE!</v>
      </c>
      <c r="AK168" t="e">
        <f>Nodes!F1375+"'E4!(Ke"</f>
        <v>#VALUE!</v>
      </c>
      <c r="AL168" t="e">
        <f>Nodes!G1375+"'E4!(Kf"</f>
        <v>#VALUE!</v>
      </c>
      <c r="AM168" t="e">
        <f>Nodes!H1375+"'E4!(Kg"</f>
        <v>#VALUE!</v>
      </c>
      <c r="AN168" t="e">
        <f>Nodes!I1375+"'E4!(Kh"</f>
        <v>#VALUE!</v>
      </c>
      <c r="AO168" t="e">
        <f>Nodes!J1375+"'E4!(Ki"</f>
        <v>#VALUE!</v>
      </c>
      <c r="AP168" t="e">
        <f>Nodes!K1375+"'E4!(Kj"</f>
        <v>#VALUE!</v>
      </c>
      <c r="AQ168" t="e">
        <f>Nodes!L1375+"'E4!(Kk"</f>
        <v>#VALUE!</v>
      </c>
      <c r="AR168" t="e">
        <f>Nodes!M1375+"'E4!(Kl"</f>
        <v>#VALUE!</v>
      </c>
      <c r="AS168" t="e">
        <f>Nodes!N1375+"'E4!(Km"</f>
        <v>#VALUE!</v>
      </c>
      <c r="AT168" t="e">
        <f>Nodes!O1375+"'E4!(Kn"</f>
        <v>#VALUE!</v>
      </c>
      <c r="AU168" t="e">
        <f>Nodes!P1375+"'E4!(Ko"</f>
        <v>#VALUE!</v>
      </c>
      <c r="AV168" t="e">
        <f>Nodes!Q1375+"'E4!(Kp"</f>
        <v>#VALUE!</v>
      </c>
      <c r="AW168" t="e">
        <f>Nodes!R1375+"'E4!(Kq"</f>
        <v>#VALUE!</v>
      </c>
      <c r="AX168" t="e">
        <f>Nodes!S1375+"'E4!(Kr"</f>
        <v>#VALUE!</v>
      </c>
      <c r="AY168" s="547" t="e">
        <f>Nodes!T1375+"'E4!(Ks"</f>
        <v>#VALUE!</v>
      </c>
      <c r="AZ168" s="548" t="e">
        <f>Nodes!U1375+"'E4!(Kt"</f>
        <v>#VALUE!</v>
      </c>
      <c r="BA168" s="548" t="e">
        <f>Nodes!V1375+"'E4!(Ku"</f>
        <v>#VALUE!</v>
      </c>
      <c r="BB168" s="547" t="e">
        <f>Nodes!W1375+"'E4!(Kv"</f>
        <v>#VALUE!</v>
      </c>
      <c r="BC168" t="e">
        <f>Nodes!X1375+"'E4!(Kw"</f>
        <v>#VALUE!</v>
      </c>
      <c r="BD168" t="e">
        <f>Nodes!Y1375+"'E4!(Kx"</f>
        <v>#VALUE!</v>
      </c>
      <c r="BE168" t="e">
        <f>Nodes!Z1375+"'E4!(Ky"</f>
        <v>#VALUE!</v>
      </c>
      <c r="BF168" t="e">
        <f>Nodes!AA1375+"'E4!(Kz"</f>
        <v>#VALUE!</v>
      </c>
      <c r="BG168" t="e">
        <f>Nodes!AB1375+"'E4!(K{"</f>
        <v>#VALUE!</v>
      </c>
      <c r="BH168" t="e">
        <f>Nodes!AC1375+"'E4!(K|"</f>
        <v>#VALUE!</v>
      </c>
      <c r="BI168" t="e">
        <f>Nodes!A1376+"'E4!(K}"</f>
        <v>#VALUE!</v>
      </c>
      <c r="BJ168" t="e">
        <f>Nodes!B1376+"'E4!(K~"</f>
        <v>#VALUE!</v>
      </c>
      <c r="BK168" t="e">
        <f>Nodes!C1376+"'E4!(L#"</f>
        <v>#VALUE!</v>
      </c>
      <c r="BL168" t="e">
        <f>Nodes!D1376+"'E4!(L$"</f>
        <v>#VALUE!</v>
      </c>
      <c r="BM168" t="e">
        <f>Nodes!E1376+"'E4!(L%"</f>
        <v>#VALUE!</v>
      </c>
      <c r="BN168" t="e">
        <f>Nodes!F1376+"'E4!(L&amp;"</f>
        <v>#VALUE!</v>
      </c>
      <c r="BO168" t="e">
        <f>Nodes!G1376+"'E4!(L'"</f>
        <v>#VALUE!</v>
      </c>
      <c r="BP168" t="e">
        <f>Nodes!H1376+"'E4!(L("</f>
        <v>#VALUE!</v>
      </c>
      <c r="BQ168" t="e">
        <f>Nodes!I1376+"'E4!(L)"</f>
        <v>#VALUE!</v>
      </c>
      <c r="BR168" t="e">
        <f>Nodes!J1376+"'E4!(L."</f>
        <v>#VALUE!</v>
      </c>
      <c r="BS168" t="e">
        <f>Nodes!K1376+"'E4!(L/"</f>
        <v>#VALUE!</v>
      </c>
      <c r="BT168" t="e">
        <f>Nodes!L1376+"'E4!(L0"</f>
        <v>#VALUE!</v>
      </c>
      <c r="BU168" t="e">
        <f>Nodes!M1376+"'E4!(L1"</f>
        <v>#VALUE!</v>
      </c>
      <c r="BV168" t="e">
        <f>Nodes!N1376+"'E4!(L2"</f>
        <v>#VALUE!</v>
      </c>
      <c r="BW168" t="e">
        <f>Nodes!O1376+"'E4!(L3"</f>
        <v>#VALUE!</v>
      </c>
      <c r="BX168" t="e">
        <f>Nodes!P1376+"'E4!(L4"</f>
        <v>#VALUE!</v>
      </c>
      <c r="BY168" t="e">
        <f>Nodes!Q1376+"'E4!(L5"</f>
        <v>#VALUE!</v>
      </c>
      <c r="BZ168" t="e">
        <f>Nodes!R1376+"'E4!(L6"</f>
        <v>#VALUE!</v>
      </c>
      <c r="CA168" t="e">
        <f>Nodes!S1376+"'E4!(L7"</f>
        <v>#VALUE!</v>
      </c>
      <c r="CB168" s="547" t="e">
        <f>Nodes!T1376+"'E4!(L8"</f>
        <v>#VALUE!</v>
      </c>
      <c r="CC168" s="548" t="e">
        <f>Nodes!U1376+"'E4!(L9"</f>
        <v>#VALUE!</v>
      </c>
      <c r="CD168" s="548" t="e">
        <f>Nodes!V1376+"'E4!(L:"</f>
        <v>#VALUE!</v>
      </c>
      <c r="CE168" s="547" t="e">
        <f>Nodes!W1376+"'E4!(L;"</f>
        <v>#VALUE!</v>
      </c>
      <c r="CF168" t="e">
        <f>Nodes!X1376+"'E4!(L&lt;"</f>
        <v>#VALUE!</v>
      </c>
      <c r="CG168" t="e">
        <f>Nodes!Y1376+"'E4!(L="</f>
        <v>#VALUE!</v>
      </c>
      <c r="CH168" t="e">
        <f>Nodes!Z1376+"'E4!(L&gt;"</f>
        <v>#VALUE!</v>
      </c>
      <c r="CI168" t="e">
        <f>Nodes!AA1376+"'E4!(L?"</f>
        <v>#VALUE!</v>
      </c>
      <c r="CJ168" t="e">
        <f>Nodes!AB1376+"'E4!(L@"</f>
        <v>#VALUE!</v>
      </c>
      <c r="CK168" t="e">
        <f>Nodes!AC1376+"'E4!(LA"</f>
        <v>#VALUE!</v>
      </c>
      <c r="CL168" t="e">
        <f>Nodes!A1377+"'E4!(LB"</f>
        <v>#VALUE!</v>
      </c>
      <c r="CM168" t="e">
        <f>Nodes!B1377+"'E4!(LC"</f>
        <v>#VALUE!</v>
      </c>
      <c r="CN168" t="e">
        <f>Nodes!C1377+"'E4!(LD"</f>
        <v>#VALUE!</v>
      </c>
      <c r="CO168" t="e">
        <f>Nodes!D1377+"'E4!(LE"</f>
        <v>#VALUE!</v>
      </c>
      <c r="CP168" t="e">
        <f>Nodes!E1377+"'E4!(LF"</f>
        <v>#VALUE!</v>
      </c>
      <c r="CQ168" t="e">
        <f>Nodes!F1377+"'E4!(LG"</f>
        <v>#VALUE!</v>
      </c>
      <c r="CR168" t="e">
        <f>Nodes!G1377+"'E4!(LH"</f>
        <v>#VALUE!</v>
      </c>
      <c r="CS168" t="e">
        <f>Nodes!H1377+"'E4!(LI"</f>
        <v>#VALUE!</v>
      </c>
      <c r="CT168" t="e">
        <f>Nodes!I1377+"'E4!(LJ"</f>
        <v>#VALUE!</v>
      </c>
      <c r="CU168" t="e">
        <f>Nodes!J1377+"'E4!(LK"</f>
        <v>#VALUE!</v>
      </c>
      <c r="CV168" t="e">
        <f>Nodes!K1377+"'E4!(LL"</f>
        <v>#VALUE!</v>
      </c>
      <c r="CW168" t="e">
        <f>Nodes!L1377+"'E4!(LM"</f>
        <v>#VALUE!</v>
      </c>
      <c r="CX168" t="e">
        <f>Nodes!M1377+"'E4!(LN"</f>
        <v>#VALUE!</v>
      </c>
      <c r="CY168" t="e">
        <f>Nodes!N1377+"'E4!(LO"</f>
        <v>#VALUE!</v>
      </c>
      <c r="CZ168" t="e">
        <f>Nodes!O1377+"'E4!(LP"</f>
        <v>#VALUE!</v>
      </c>
      <c r="DA168" t="e">
        <f>Nodes!P1377+"'E4!(LQ"</f>
        <v>#VALUE!</v>
      </c>
      <c r="DB168" t="e">
        <f>Nodes!Q1377+"'E4!(LR"</f>
        <v>#VALUE!</v>
      </c>
      <c r="DC168" t="e">
        <f>Nodes!R1377+"'E4!(LS"</f>
        <v>#VALUE!</v>
      </c>
      <c r="DD168" t="e">
        <f>Nodes!S1377+"'E4!(LT"</f>
        <v>#VALUE!</v>
      </c>
      <c r="DE168" s="547" t="e">
        <f>Nodes!T1377+"'E4!(LU"</f>
        <v>#VALUE!</v>
      </c>
      <c r="DF168" s="548" t="e">
        <f>Nodes!U1377+"'E4!(LV"</f>
        <v>#VALUE!</v>
      </c>
      <c r="DG168" s="548" t="e">
        <f>Nodes!V1377+"'E4!(LW"</f>
        <v>#VALUE!</v>
      </c>
      <c r="DH168" s="547" t="e">
        <f>Nodes!W1377+"'E4!(LX"</f>
        <v>#VALUE!</v>
      </c>
      <c r="DI168" t="e">
        <f>Nodes!X1377+"'E4!(LY"</f>
        <v>#VALUE!</v>
      </c>
      <c r="DJ168" t="e">
        <f>Nodes!Y1377+"'E4!(LZ"</f>
        <v>#VALUE!</v>
      </c>
      <c r="DK168" t="e">
        <f>Nodes!Z1377+"'E4!(L["</f>
        <v>#VALUE!</v>
      </c>
      <c r="DL168" t="e">
        <f>Nodes!AA1377+"'E4!(L\"</f>
        <v>#VALUE!</v>
      </c>
      <c r="DM168" t="e">
        <f>Nodes!AB1377+"'E4!(L]"</f>
        <v>#VALUE!</v>
      </c>
      <c r="DN168" t="e">
        <f>Nodes!AC1377+"'E4!(L^"</f>
        <v>#VALUE!</v>
      </c>
      <c r="DO168" t="e">
        <f>Nodes!A1378+"'E4!(L_"</f>
        <v>#VALUE!</v>
      </c>
      <c r="DP168" t="e">
        <f>Nodes!B1378+"'E4!(L`"</f>
        <v>#VALUE!</v>
      </c>
      <c r="DQ168" t="e">
        <f>Nodes!C1378+"'E4!(La"</f>
        <v>#VALUE!</v>
      </c>
      <c r="DR168" t="e">
        <f>Nodes!D1378+"'E4!(Lb"</f>
        <v>#VALUE!</v>
      </c>
      <c r="DS168" t="e">
        <f>Nodes!E1378+"'E4!(Lc"</f>
        <v>#VALUE!</v>
      </c>
      <c r="DT168" t="e">
        <f>Nodes!F1378+"'E4!(Ld"</f>
        <v>#VALUE!</v>
      </c>
      <c r="DU168" t="e">
        <f>Nodes!G1378+"'E4!(Le"</f>
        <v>#VALUE!</v>
      </c>
      <c r="DV168" t="e">
        <f>Nodes!H1378+"'E4!(Lf"</f>
        <v>#VALUE!</v>
      </c>
      <c r="DW168" t="e">
        <f>Nodes!I1378+"'E4!(Lg"</f>
        <v>#VALUE!</v>
      </c>
      <c r="DX168" t="e">
        <f>Nodes!J1378+"'E4!(Lh"</f>
        <v>#VALUE!</v>
      </c>
      <c r="DY168" t="e">
        <f>Nodes!K1378+"'E4!(Li"</f>
        <v>#VALUE!</v>
      </c>
      <c r="DZ168" t="e">
        <f>Nodes!L1378+"'E4!(Lj"</f>
        <v>#VALUE!</v>
      </c>
      <c r="EA168" t="e">
        <f>Nodes!M1378+"'E4!(Lk"</f>
        <v>#VALUE!</v>
      </c>
      <c r="EB168" t="e">
        <f>Nodes!N1378+"'E4!(Ll"</f>
        <v>#VALUE!</v>
      </c>
      <c r="EC168" t="e">
        <f>Nodes!O1378+"'E4!(Lm"</f>
        <v>#VALUE!</v>
      </c>
      <c r="ED168" t="e">
        <f>Nodes!P1378+"'E4!(Ln"</f>
        <v>#VALUE!</v>
      </c>
      <c r="EE168" t="e">
        <f>Nodes!Q1378+"'E4!(Lo"</f>
        <v>#VALUE!</v>
      </c>
      <c r="EF168" t="e">
        <f>Nodes!R1378+"'E4!(Lp"</f>
        <v>#VALUE!</v>
      </c>
      <c r="EG168" t="e">
        <f>Nodes!S1378+"'E4!(Lq"</f>
        <v>#VALUE!</v>
      </c>
      <c r="EH168" s="547" t="e">
        <f>Nodes!T1378+"'E4!(Lr"</f>
        <v>#VALUE!</v>
      </c>
      <c r="EI168" s="548" t="e">
        <f>Nodes!U1378+"'E4!(Ls"</f>
        <v>#VALUE!</v>
      </c>
      <c r="EJ168" s="548" t="e">
        <f>Nodes!V1378+"'E4!(Lt"</f>
        <v>#VALUE!</v>
      </c>
      <c r="EK168" s="547" t="e">
        <f>Nodes!W1378+"'E4!(Lu"</f>
        <v>#VALUE!</v>
      </c>
      <c r="EL168" t="e">
        <f>Nodes!X1378+"'E4!(Lv"</f>
        <v>#VALUE!</v>
      </c>
      <c r="EM168" t="e">
        <f>Nodes!Y1378+"'E4!(Lw"</f>
        <v>#VALUE!</v>
      </c>
      <c r="EN168" t="e">
        <f>Nodes!Z1378+"'E4!(Lx"</f>
        <v>#VALUE!</v>
      </c>
      <c r="EO168" t="e">
        <f>Nodes!AA1378+"'E4!(Ly"</f>
        <v>#VALUE!</v>
      </c>
      <c r="EP168" t="e">
        <f>Nodes!AB1378+"'E4!(Lz"</f>
        <v>#VALUE!</v>
      </c>
      <c r="EQ168" t="e">
        <f>Nodes!AC1378+"'E4!(L{"</f>
        <v>#VALUE!</v>
      </c>
      <c r="ER168" t="e">
        <f>Nodes!A1379+"'E4!(L|"</f>
        <v>#VALUE!</v>
      </c>
      <c r="ES168" t="e">
        <f>Nodes!B1379+"'E4!(L}"</f>
        <v>#VALUE!</v>
      </c>
      <c r="ET168" t="e">
        <f>Nodes!C1379+"'E4!(L~"</f>
        <v>#VALUE!</v>
      </c>
      <c r="EU168" t="e">
        <f>Nodes!D1379+"'E4!(M#"</f>
        <v>#VALUE!</v>
      </c>
      <c r="EV168" t="e">
        <f>Nodes!E1379+"'E4!(M$"</f>
        <v>#VALUE!</v>
      </c>
      <c r="EW168" t="e">
        <f>Nodes!F1379+"'E4!(M%"</f>
        <v>#VALUE!</v>
      </c>
      <c r="EX168" t="e">
        <f>Nodes!G1379+"'E4!(M&amp;"</f>
        <v>#VALUE!</v>
      </c>
      <c r="EY168" t="e">
        <f>Nodes!H1379+"'E4!(M'"</f>
        <v>#VALUE!</v>
      </c>
      <c r="EZ168" t="e">
        <f>Nodes!I1379+"'E4!(M("</f>
        <v>#VALUE!</v>
      </c>
      <c r="FA168" t="e">
        <f>Nodes!J1379+"'E4!(M)"</f>
        <v>#VALUE!</v>
      </c>
      <c r="FB168" t="e">
        <f>Nodes!K1379+"'E4!(M."</f>
        <v>#VALUE!</v>
      </c>
      <c r="FC168" t="e">
        <f>Nodes!L1379+"'E4!(M/"</f>
        <v>#VALUE!</v>
      </c>
      <c r="FD168" t="e">
        <f>Nodes!M1379+"'E4!(M0"</f>
        <v>#VALUE!</v>
      </c>
      <c r="FE168" t="e">
        <f>Nodes!N1379+"'E4!(M1"</f>
        <v>#VALUE!</v>
      </c>
      <c r="FF168" t="e">
        <f>Nodes!O1379+"'E4!(M2"</f>
        <v>#VALUE!</v>
      </c>
      <c r="FG168" t="e">
        <f>Nodes!P1379+"'E4!(M3"</f>
        <v>#VALUE!</v>
      </c>
      <c r="FH168" t="e">
        <f>Nodes!Q1379+"'E4!(M4"</f>
        <v>#VALUE!</v>
      </c>
      <c r="FI168" t="e">
        <f>Nodes!R1379+"'E4!(M5"</f>
        <v>#VALUE!</v>
      </c>
      <c r="FJ168" t="e">
        <f>Nodes!S1379+"'E4!(M6"</f>
        <v>#VALUE!</v>
      </c>
      <c r="FK168" s="547" t="e">
        <f>Nodes!T1379+"'E4!(M7"</f>
        <v>#VALUE!</v>
      </c>
      <c r="FL168" s="548" t="e">
        <f>Nodes!U1379+"'E4!(M8"</f>
        <v>#VALUE!</v>
      </c>
      <c r="FM168" s="548" t="e">
        <f>Nodes!V1379+"'E4!(M9"</f>
        <v>#VALUE!</v>
      </c>
      <c r="FN168" s="547" t="e">
        <f>Nodes!W1379+"'E4!(M:"</f>
        <v>#VALUE!</v>
      </c>
      <c r="FO168" t="e">
        <f>Nodes!X1379+"'E4!(M;"</f>
        <v>#VALUE!</v>
      </c>
      <c r="FP168" t="e">
        <f>Nodes!Y1379+"'E4!(M&lt;"</f>
        <v>#VALUE!</v>
      </c>
      <c r="FQ168" t="e">
        <f>Nodes!Z1379+"'E4!(M="</f>
        <v>#VALUE!</v>
      </c>
      <c r="FR168" t="e">
        <f>Nodes!AA1379+"'E4!(M&gt;"</f>
        <v>#VALUE!</v>
      </c>
      <c r="FS168" t="e">
        <f>Nodes!AB1379+"'E4!(M?"</f>
        <v>#VALUE!</v>
      </c>
      <c r="FT168" t="e">
        <f>Nodes!AC1379+"'E4!(M@"</f>
        <v>#VALUE!</v>
      </c>
      <c r="FU168" t="e">
        <f>Nodes!A1380+"'E4!(MA"</f>
        <v>#VALUE!</v>
      </c>
      <c r="FV168" t="e">
        <f>Nodes!B1380+"'E4!(MB"</f>
        <v>#VALUE!</v>
      </c>
      <c r="FW168" t="e">
        <f>Nodes!C1380+"'E4!(MC"</f>
        <v>#VALUE!</v>
      </c>
      <c r="FX168" t="e">
        <f>Nodes!D1380+"'E4!(MD"</f>
        <v>#VALUE!</v>
      </c>
      <c r="FY168" t="e">
        <f>Nodes!E1380+"'E4!(ME"</f>
        <v>#VALUE!</v>
      </c>
      <c r="FZ168" t="e">
        <f>Nodes!F1380+"'E4!(MF"</f>
        <v>#VALUE!</v>
      </c>
      <c r="GA168" t="e">
        <f>Nodes!G1380+"'E4!(MG"</f>
        <v>#VALUE!</v>
      </c>
      <c r="GB168" t="e">
        <f>Nodes!H1380+"'E4!(MH"</f>
        <v>#VALUE!</v>
      </c>
      <c r="GC168" t="e">
        <f>Nodes!I1380+"'E4!(MI"</f>
        <v>#VALUE!</v>
      </c>
      <c r="GD168" t="e">
        <f>Nodes!J1380+"'E4!(MJ"</f>
        <v>#VALUE!</v>
      </c>
      <c r="GE168" t="e">
        <f>Nodes!K1380+"'E4!(MK"</f>
        <v>#VALUE!</v>
      </c>
      <c r="GF168" t="e">
        <f>Nodes!L1380+"'E4!(ML"</f>
        <v>#VALUE!</v>
      </c>
      <c r="GG168" t="e">
        <f>Nodes!M1380+"'E4!(MM"</f>
        <v>#VALUE!</v>
      </c>
      <c r="GH168" t="e">
        <f>Nodes!N1380+"'E4!(MN"</f>
        <v>#VALUE!</v>
      </c>
      <c r="GI168" t="e">
        <f>Nodes!O1380+"'E4!(MO"</f>
        <v>#VALUE!</v>
      </c>
      <c r="GJ168" t="e">
        <f>Nodes!P1380+"'E4!(MP"</f>
        <v>#VALUE!</v>
      </c>
      <c r="GK168" t="e">
        <f>Nodes!Q1380+"'E4!(MQ"</f>
        <v>#VALUE!</v>
      </c>
      <c r="GL168" t="e">
        <f>Nodes!R1380+"'E4!(MR"</f>
        <v>#VALUE!</v>
      </c>
      <c r="GM168" t="e">
        <f>Nodes!S1380+"'E4!(MS"</f>
        <v>#VALUE!</v>
      </c>
      <c r="GN168" s="547" t="e">
        <f>Nodes!T1380+"'E4!(MT"</f>
        <v>#VALUE!</v>
      </c>
      <c r="GO168" s="548" t="e">
        <f>Nodes!U1380+"'E4!(MU"</f>
        <v>#VALUE!</v>
      </c>
      <c r="GP168" s="548" t="e">
        <f>Nodes!V1380+"'E4!(MV"</f>
        <v>#VALUE!</v>
      </c>
      <c r="GQ168" s="547" t="e">
        <f>Nodes!W1380+"'E4!(MW"</f>
        <v>#VALUE!</v>
      </c>
      <c r="GR168" t="e">
        <f>Nodes!X1380+"'E4!(MX"</f>
        <v>#VALUE!</v>
      </c>
      <c r="GS168" t="e">
        <f>Nodes!Y1380+"'E4!(MY"</f>
        <v>#VALUE!</v>
      </c>
      <c r="GT168" t="e">
        <f>Nodes!Z1380+"'E4!(MZ"</f>
        <v>#VALUE!</v>
      </c>
      <c r="GU168" t="e">
        <f>Nodes!AA1380+"'E4!(M["</f>
        <v>#VALUE!</v>
      </c>
      <c r="GV168" t="e">
        <f>Nodes!AB1380+"'E4!(M\"</f>
        <v>#VALUE!</v>
      </c>
      <c r="GW168" t="e">
        <f>Nodes!AC1380+"'E4!(M]"</f>
        <v>#VALUE!</v>
      </c>
      <c r="GX168" t="e">
        <f>Nodes!A1381+"'E4!(M^"</f>
        <v>#VALUE!</v>
      </c>
      <c r="GY168" t="e">
        <f>Nodes!B1381+"'E4!(M_"</f>
        <v>#VALUE!</v>
      </c>
      <c r="GZ168" t="e">
        <f>Nodes!C1381+"'E4!(M`"</f>
        <v>#VALUE!</v>
      </c>
      <c r="HA168" t="e">
        <f>Nodes!D1381+"'E4!(Ma"</f>
        <v>#VALUE!</v>
      </c>
      <c r="HB168" t="e">
        <f>Nodes!E1381+"'E4!(Mb"</f>
        <v>#VALUE!</v>
      </c>
      <c r="HC168" t="e">
        <f>Nodes!F1381+"'E4!(Mc"</f>
        <v>#VALUE!</v>
      </c>
      <c r="HD168" t="e">
        <f>Nodes!G1381+"'E4!(Md"</f>
        <v>#VALUE!</v>
      </c>
      <c r="HE168" t="e">
        <f>Nodes!H1381+"'E4!(Me"</f>
        <v>#VALUE!</v>
      </c>
      <c r="HF168" t="e">
        <f>Nodes!I1381+"'E4!(Mf"</f>
        <v>#VALUE!</v>
      </c>
      <c r="HG168" t="e">
        <f>Nodes!J1381+"'E4!(Mg"</f>
        <v>#VALUE!</v>
      </c>
      <c r="HH168" t="e">
        <f>Nodes!K1381+"'E4!(Mh"</f>
        <v>#VALUE!</v>
      </c>
      <c r="HI168" t="e">
        <f>Nodes!L1381+"'E4!(Mi"</f>
        <v>#VALUE!</v>
      </c>
      <c r="HJ168" t="e">
        <f>Nodes!M1381+"'E4!(Mj"</f>
        <v>#VALUE!</v>
      </c>
      <c r="HK168" t="e">
        <f>Nodes!N1381+"'E4!(Mk"</f>
        <v>#VALUE!</v>
      </c>
      <c r="HL168" t="e">
        <f>Nodes!O1381+"'E4!(Ml"</f>
        <v>#VALUE!</v>
      </c>
      <c r="HM168" t="e">
        <f>Nodes!P1381+"'E4!(Mm"</f>
        <v>#VALUE!</v>
      </c>
      <c r="HN168" t="e">
        <f>Nodes!Q1381+"'E4!(Mn"</f>
        <v>#VALUE!</v>
      </c>
      <c r="HO168" t="e">
        <f>Nodes!R1381+"'E4!(Mo"</f>
        <v>#VALUE!</v>
      </c>
      <c r="HP168" t="e">
        <f>Nodes!S1381+"'E4!(Mp"</f>
        <v>#VALUE!</v>
      </c>
      <c r="HQ168" s="547" t="e">
        <f>Nodes!T1381+"'E4!(Mq"</f>
        <v>#VALUE!</v>
      </c>
      <c r="HR168" s="548" t="e">
        <f>Nodes!U1381+"'E4!(Mr"</f>
        <v>#VALUE!</v>
      </c>
      <c r="HS168" s="548" t="e">
        <f>Nodes!V1381+"'E4!(Ms"</f>
        <v>#VALUE!</v>
      </c>
      <c r="HT168" s="547" t="e">
        <f>Nodes!W1381+"'E4!(Mt"</f>
        <v>#VALUE!</v>
      </c>
      <c r="HU168" t="e">
        <f>Nodes!X1381+"'E4!(Mu"</f>
        <v>#VALUE!</v>
      </c>
      <c r="HV168" t="e">
        <f>Nodes!Y1381+"'E4!(Mv"</f>
        <v>#VALUE!</v>
      </c>
      <c r="HW168" t="e">
        <f>Nodes!Z1381+"'E4!(Mw"</f>
        <v>#VALUE!</v>
      </c>
      <c r="HX168" t="e">
        <f>Nodes!AA1381+"'E4!(Mx"</f>
        <v>#VALUE!</v>
      </c>
      <c r="HY168" t="e">
        <f>Nodes!AB1381+"'E4!(My"</f>
        <v>#VALUE!</v>
      </c>
      <c r="HZ168" t="e">
        <f>Nodes!AC1381+"'E4!(Mz"</f>
        <v>#VALUE!</v>
      </c>
      <c r="IA168" t="e">
        <f>Nodes!A1382+"'E4!(M{"</f>
        <v>#VALUE!</v>
      </c>
      <c r="IB168" t="e">
        <f>Nodes!B1382+"'E4!(M|"</f>
        <v>#VALUE!</v>
      </c>
      <c r="IC168" t="e">
        <f>Nodes!C1382+"'E4!(M}"</f>
        <v>#VALUE!</v>
      </c>
      <c r="ID168" t="e">
        <f>Nodes!D1382+"'E4!(M~"</f>
        <v>#VALUE!</v>
      </c>
      <c r="IE168" t="e">
        <f>Nodes!E1382+"'E4!(N#"</f>
        <v>#VALUE!</v>
      </c>
      <c r="IF168" t="e">
        <f>Nodes!F1382+"'E4!(N$"</f>
        <v>#VALUE!</v>
      </c>
      <c r="IG168" t="e">
        <f>Nodes!G1382+"'E4!(N%"</f>
        <v>#VALUE!</v>
      </c>
      <c r="IH168" t="e">
        <f>Nodes!H1382+"'E4!(N&amp;"</f>
        <v>#VALUE!</v>
      </c>
      <c r="II168" t="e">
        <f>Nodes!I1382+"'E4!(N'"</f>
        <v>#VALUE!</v>
      </c>
      <c r="IJ168" t="e">
        <f>Nodes!J1382+"'E4!(N("</f>
        <v>#VALUE!</v>
      </c>
      <c r="IK168" t="e">
        <f>Nodes!K1382+"'E4!(N)"</f>
        <v>#VALUE!</v>
      </c>
      <c r="IL168" t="e">
        <f>Nodes!L1382+"'E4!(N."</f>
        <v>#VALUE!</v>
      </c>
      <c r="IM168" t="e">
        <f>Nodes!M1382+"'E4!(N/"</f>
        <v>#VALUE!</v>
      </c>
      <c r="IN168" t="e">
        <f>Nodes!N1382+"'E4!(N0"</f>
        <v>#VALUE!</v>
      </c>
      <c r="IO168" t="e">
        <f>Nodes!O1382+"'E4!(N1"</f>
        <v>#VALUE!</v>
      </c>
      <c r="IP168" t="e">
        <f>Nodes!P1382+"'E4!(N2"</f>
        <v>#VALUE!</v>
      </c>
      <c r="IQ168" t="e">
        <f>Nodes!Q1382+"'E4!(N3"</f>
        <v>#VALUE!</v>
      </c>
      <c r="IR168" t="e">
        <f>Nodes!R1382+"'E4!(N4"</f>
        <v>#VALUE!</v>
      </c>
      <c r="IS168" t="e">
        <f>Nodes!S1382+"'E4!(N5"</f>
        <v>#VALUE!</v>
      </c>
      <c r="IT168" s="547" t="e">
        <f>Nodes!T1382+"'E4!(N6"</f>
        <v>#VALUE!</v>
      </c>
      <c r="IU168" s="548" t="e">
        <f>Nodes!U1382+"'E4!(N7"</f>
        <v>#VALUE!</v>
      </c>
      <c r="IV168" s="548" t="e">
        <f>Nodes!V1382+"'E4!(N8"</f>
        <v>#VALUE!</v>
      </c>
    </row>
    <row r="169" spans="6:256">
      <c r="F169" s="547" t="e">
        <f>Nodes!W1382+"'E4!(N9"</f>
        <v>#VALUE!</v>
      </c>
      <c r="G169" t="e">
        <f>Nodes!X1382+"'E4!(N:"</f>
        <v>#VALUE!</v>
      </c>
      <c r="H169" t="e">
        <f>Nodes!Y1382+"'E4!(N;"</f>
        <v>#VALUE!</v>
      </c>
      <c r="I169" t="e">
        <f>Nodes!Z1382+"'E4!(N&lt;"</f>
        <v>#VALUE!</v>
      </c>
      <c r="J169" t="e">
        <f>Nodes!AA1382+"'E4!(N="</f>
        <v>#VALUE!</v>
      </c>
      <c r="K169" t="e">
        <f>Nodes!AB1382+"'E4!(N&gt;"</f>
        <v>#VALUE!</v>
      </c>
      <c r="L169" t="e">
        <f>Nodes!AC1382+"'E4!(N?"</f>
        <v>#VALUE!</v>
      </c>
      <c r="M169" t="e">
        <f>Nodes!A1383+"'E4!(N@"</f>
        <v>#VALUE!</v>
      </c>
      <c r="N169" t="e">
        <f>Nodes!B1383+"'E4!(NA"</f>
        <v>#VALUE!</v>
      </c>
      <c r="O169" t="e">
        <f>Nodes!C1383+"'E4!(NB"</f>
        <v>#VALUE!</v>
      </c>
      <c r="P169" t="e">
        <f>Nodes!D1383+"'E4!(NC"</f>
        <v>#VALUE!</v>
      </c>
      <c r="Q169" t="e">
        <f>Nodes!E1383+"'E4!(ND"</f>
        <v>#VALUE!</v>
      </c>
      <c r="R169" t="e">
        <f>Nodes!F1383+"'E4!(NE"</f>
        <v>#VALUE!</v>
      </c>
      <c r="S169" t="e">
        <f>Nodes!G1383+"'E4!(NF"</f>
        <v>#VALUE!</v>
      </c>
      <c r="T169" t="e">
        <f>Nodes!H1383+"'E4!(NG"</f>
        <v>#VALUE!</v>
      </c>
      <c r="U169" t="e">
        <f>Nodes!I1383+"'E4!(NH"</f>
        <v>#VALUE!</v>
      </c>
      <c r="V169" t="e">
        <f>Nodes!J1383+"'E4!(NI"</f>
        <v>#VALUE!</v>
      </c>
      <c r="W169" t="e">
        <f>Nodes!K1383+"'E4!(NJ"</f>
        <v>#VALUE!</v>
      </c>
      <c r="X169" t="e">
        <f>Nodes!L1383+"'E4!(NK"</f>
        <v>#VALUE!</v>
      </c>
      <c r="Y169" t="e">
        <f>Nodes!M1383+"'E4!(NL"</f>
        <v>#VALUE!</v>
      </c>
      <c r="Z169" t="e">
        <f>Nodes!N1383+"'E4!(NM"</f>
        <v>#VALUE!</v>
      </c>
      <c r="AA169" t="e">
        <f>Nodes!O1383+"'E4!(NN"</f>
        <v>#VALUE!</v>
      </c>
      <c r="AB169" t="e">
        <f>Nodes!P1383+"'E4!(NO"</f>
        <v>#VALUE!</v>
      </c>
      <c r="AC169" t="e">
        <f>Nodes!Q1383+"'E4!(NP"</f>
        <v>#VALUE!</v>
      </c>
      <c r="AD169" t="e">
        <f>Nodes!R1383+"'E4!(NQ"</f>
        <v>#VALUE!</v>
      </c>
      <c r="AE169" t="e">
        <f>Nodes!S1383+"'E4!(NR"</f>
        <v>#VALUE!</v>
      </c>
      <c r="AF169" t="e">
        <f>Nodes!T1383+"'E4!(NS"</f>
        <v>#VALUE!</v>
      </c>
      <c r="AG169" s="550" t="e">
        <f>Nodes!U1383+"'E4!(NT"</f>
        <v>#VALUE!</v>
      </c>
      <c r="AH169" t="e">
        <f>Nodes!V1383+"'E4!(NU"</f>
        <v>#VALUE!</v>
      </c>
      <c r="AI169" t="e">
        <f>Nodes!W1383+"'E4!(NV"</f>
        <v>#VALUE!</v>
      </c>
      <c r="AJ169" s="333" t="e">
        <f>Nodes!X1383+"'E4!(NW"</f>
        <v>#VALUE!</v>
      </c>
      <c r="AK169" t="e">
        <f>Nodes!Y1383+"'E4!(NX"</f>
        <v>#VALUE!</v>
      </c>
      <c r="AL169" t="e">
        <f>Nodes!Z1383+"'E4!(NY"</f>
        <v>#VALUE!</v>
      </c>
      <c r="AM169" t="e">
        <f>Nodes!AA1383+"'E4!(NZ"</f>
        <v>#VALUE!</v>
      </c>
      <c r="AN169" t="e">
        <f>Nodes!AB1383+"'E4!(N["</f>
        <v>#VALUE!</v>
      </c>
      <c r="AO169" t="e">
        <f>Nodes!AC1383+"'E4!(N\"</f>
        <v>#VALUE!</v>
      </c>
      <c r="AP169" t="e">
        <f>Nodes!A1384+"'E4!(N]"</f>
        <v>#VALUE!</v>
      </c>
      <c r="AQ169" t="e">
        <f>Nodes!B1384+"'E4!(N^"</f>
        <v>#VALUE!</v>
      </c>
      <c r="AR169" t="e">
        <f>Nodes!C1384+"'E4!(N_"</f>
        <v>#VALUE!</v>
      </c>
      <c r="AS169" t="e">
        <f>Nodes!D1384+"'E4!(N`"</f>
        <v>#VALUE!</v>
      </c>
      <c r="AT169" t="e">
        <f>Nodes!E1384+"'E4!(Na"</f>
        <v>#VALUE!</v>
      </c>
      <c r="AU169" t="e">
        <f>Nodes!F1384+"'E4!(Nb"</f>
        <v>#VALUE!</v>
      </c>
      <c r="AV169" t="e">
        <f>Nodes!G1384+"'E4!(Nc"</f>
        <v>#VALUE!</v>
      </c>
      <c r="AW169" t="e">
        <f>Nodes!H1384+"'E4!(Nd"</f>
        <v>#VALUE!</v>
      </c>
      <c r="AX169" t="e">
        <f>Nodes!I1384+"'E4!(Ne"</f>
        <v>#VALUE!</v>
      </c>
      <c r="AY169" t="e">
        <f>Nodes!J1384+"'E4!(Nf"</f>
        <v>#VALUE!</v>
      </c>
      <c r="AZ169" t="e">
        <f>Nodes!K1384+"'E4!(Ng"</f>
        <v>#VALUE!</v>
      </c>
      <c r="BA169" t="e">
        <f>Nodes!L1384+"'E4!(Nh"</f>
        <v>#VALUE!</v>
      </c>
      <c r="BB169" t="e">
        <f>Nodes!M1384+"'E4!(Ni"</f>
        <v>#VALUE!</v>
      </c>
      <c r="BC169" t="e">
        <f>Nodes!N1384+"'E4!(Nj"</f>
        <v>#VALUE!</v>
      </c>
      <c r="BD169" t="e">
        <f>Nodes!O1384+"'E4!(Nk"</f>
        <v>#VALUE!</v>
      </c>
      <c r="BE169" t="e">
        <f>Nodes!P1384+"'E4!(Nl"</f>
        <v>#VALUE!</v>
      </c>
      <c r="BF169" t="e">
        <f>Nodes!Q1384+"'E4!(Nm"</f>
        <v>#VALUE!</v>
      </c>
      <c r="BG169" t="e">
        <f>Nodes!R1384+"'E4!(Nn"</f>
        <v>#VALUE!</v>
      </c>
      <c r="BH169" t="e">
        <f>Nodes!S1384+"'E4!(No"</f>
        <v>#VALUE!</v>
      </c>
      <c r="BI169" t="e">
        <f>Nodes!T1384+"'E4!(Np"</f>
        <v>#VALUE!</v>
      </c>
      <c r="BJ169" s="550" t="e">
        <f>Nodes!U1384+"'E4!(Nq"</f>
        <v>#VALUE!</v>
      </c>
      <c r="BK169" t="e">
        <f>Nodes!V1384+"'E4!(Nr"</f>
        <v>#VALUE!</v>
      </c>
      <c r="BL169" t="e">
        <f>Nodes!W1384+"'E4!(Ns"</f>
        <v>#VALUE!</v>
      </c>
      <c r="BM169" s="333" t="e">
        <f>Nodes!X1384+"'E4!(Nt"</f>
        <v>#VALUE!</v>
      </c>
      <c r="BN169" t="e">
        <f>Nodes!Y1384+"'E4!(Nu"</f>
        <v>#VALUE!</v>
      </c>
      <c r="BO169" t="e">
        <f>Nodes!Z1384+"'E4!(Nv"</f>
        <v>#VALUE!</v>
      </c>
      <c r="BP169" t="e">
        <f>Nodes!AA1384+"'E4!(Nw"</f>
        <v>#VALUE!</v>
      </c>
      <c r="BQ169" t="e">
        <f>Nodes!AB1384+"'E4!(Nx"</f>
        <v>#VALUE!</v>
      </c>
      <c r="BR169" t="e">
        <f>Nodes!AC1384+"'E4!(Ny"</f>
        <v>#VALUE!</v>
      </c>
      <c r="BS169" t="e">
        <f>Nodes!A1385+"'E4!(Nz"</f>
        <v>#VALUE!</v>
      </c>
      <c r="BT169" t="e">
        <f>Nodes!B1385+"'E4!(N{"</f>
        <v>#VALUE!</v>
      </c>
      <c r="BU169" t="e">
        <f>Nodes!C1385+"'E4!(N|"</f>
        <v>#VALUE!</v>
      </c>
      <c r="BV169" t="e">
        <f>Nodes!D1385+"'E4!(N}"</f>
        <v>#VALUE!</v>
      </c>
      <c r="BW169" t="e">
        <f>Nodes!E1385+"'E4!(N~"</f>
        <v>#VALUE!</v>
      </c>
      <c r="BX169" t="e">
        <f>Nodes!F1385+"'E4!(O#"</f>
        <v>#VALUE!</v>
      </c>
      <c r="BY169" t="e">
        <f>Nodes!G1385+"'E4!(O$"</f>
        <v>#VALUE!</v>
      </c>
      <c r="BZ169" t="e">
        <f>Nodes!H1385+"'E4!(O%"</f>
        <v>#VALUE!</v>
      </c>
      <c r="CA169" t="e">
        <f>Nodes!I1385+"'E4!(O&amp;"</f>
        <v>#VALUE!</v>
      </c>
      <c r="CB169" t="e">
        <f>Nodes!J1385+"'E4!(O'"</f>
        <v>#VALUE!</v>
      </c>
      <c r="CC169" t="e">
        <f>Nodes!K1385+"'E4!(O("</f>
        <v>#VALUE!</v>
      </c>
      <c r="CD169" t="e">
        <f>Nodes!L1385+"'E4!(O)"</f>
        <v>#VALUE!</v>
      </c>
      <c r="CE169" t="e">
        <f>Nodes!M1385+"'E4!(O."</f>
        <v>#VALUE!</v>
      </c>
      <c r="CF169" t="e">
        <f>Nodes!N1385+"'E4!(O/"</f>
        <v>#VALUE!</v>
      </c>
      <c r="CG169" t="e">
        <f>Nodes!O1385+"'E4!(O0"</f>
        <v>#VALUE!</v>
      </c>
      <c r="CH169" t="e">
        <f>Nodes!P1385+"'E4!(O1"</f>
        <v>#VALUE!</v>
      </c>
      <c r="CI169" t="e">
        <f>Nodes!Q1385+"'E4!(O2"</f>
        <v>#VALUE!</v>
      </c>
      <c r="CJ169" t="e">
        <f>Nodes!R1385+"'E4!(O3"</f>
        <v>#VALUE!</v>
      </c>
      <c r="CK169" t="e">
        <f>Nodes!S1385+"'E4!(O4"</f>
        <v>#VALUE!</v>
      </c>
      <c r="CL169" t="e">
        <f>Nodes!T1385+"'E4!(O5"</f>
        <v>#VALUE!</v>
      </c>
      <c r="CM169" s="550" t="e">
        <f>Nodes!U1385+"'E4!(O6"</f>
        <v>#VALUE!</v>
      </c>
      <c r="CN169" t="e">
        <f>Nodes!V1385+"'E4!(O7"</f>
        <v>#VALUE!</v>
      </c>
      <c r="CO169" t="e">
        <f>Nodes!W1385+"'E4!(O8"</f>
        <v>#VALUE!</v>
      </c>
      <c r="CP169" s="333" t="e">
        <f>Nodes!X1385+"'E4!(O9"</f>
        <v>#VALUE!</v>
      </c>
      <c r="CQ169" t="e">
        <f>Nodes!Y1385+"'E4!(O:"</f>
        <v>#VALUE!</v>
      </c>
      <c r="CR169" t="e">
        <f>Nodes!Z1385+"'E4!(O;"</f>
        <v>#VALUE!</v>
      </c>
      <c r="CS169" t="e">
        <f>Nodes!AA1385+"'E4!(O&lt;"</f>
        <v>#VALUE!</v>
      </c>
      <c r="CT169" t="e">
        <f>Nodes!AB1385+"'E4!(O="</f>
        <v>#VALUE!</v>
      </c>
      <c r="CU169" t="e">
        <f>Nodes!AC1385+"'E4!(O&gt;"</f>
        <v>#VALUE!</v>
      </c>
      <c r="CV169" t="e">
        <f>Nodes!A1386+"'E4!(O?"</f>
        <v>#VALUE!</v>
      </c>
      <c r="CW169" t="e">
        <f>Nodes!B1386+"'E4!(O@"</f>
        <v>#VALUE!</v>
      </c>
      <c r="CX169" t="e">
        <f>Nodes!C1386+"'E4!(OA"</f>
        <v>#VALUE!</v>
      </c>
      <c r="CY169" t="e">
        <f>Nodes!D1386+"'E4!(OB"</f>
        <v>#VALUE!</v>
      </c>
      <c r="CZ169" t="e">
        <f>Nodes!E1386+"'E4!(OC"</f>
        <v>#VALUE!</v>
      </c>
      <c r="DA169" t="e">
        <f>Nodes!F1386+"'E4!(OD"</f>
        <v>#VALUE!</v>
      </c>
      <c r="DB169" t="e">
        <f>Nodes!G1386+"'E4!(OE"</f>
        <v>#VALUE!</v>
      </c>
      <c r="DC169" t="e">
        <f>Nodes!H1386+"'E4!(OF"</f>
        <v>#VALUE!</v>
      </c>
      <c r="DD169" t="e">
        <f>Nodes!I1386+"'E4!(OG"</f>
        <v>#VALUE!</v>
      </c>
      <c r="DE169" t="e">
        <f>Nodes!J1386+"'E4!(OH"</f>
        <v>#VALUE!</v>
      </c>
      <c r="DF169" t="e">
        <f>Nodes!K1386+"'E4!(OI"</f>
        <v>#VALUE!</v>
      </c>
      <c r="DG169" t="e">
        <f>Nodes!L1386+"'E4!(OJ"</f>
        <v>#VALUE!</v>
      </c>
      <c r="DH169" t="e">
        <f>Nodes!M1386+"'E4!(OK"</f>
        <v>#VALUE!</v>
      </c>
      <c r="DI169" t="e">
        <f>Nodes!N1386+"'E4!(OL"</f>
        <v>#VALUE!</v>
      </c>
      <c r="DJ169" t="e">
        <f>Nodes!O1386+"'E4!(OM"</f>
        <v>#VALUE!</v>
      </c>
      <c r="DK169" t="e">
        <f>Nodes!P1386+"'E4!(ON"</f>
        <v>#VALUE!</v>
      </c>
      <c r="DL169" t="e">
        <f>Nodes!Q1386+"'E4!(OO"</f>
        <v>#VALUE!</v>
      </c>
      <c r="DM169" t="e">
        <f>Nodes!R1386+"'E4!(OP"</f>
        <v>#VALUE!</v>
      </c>
      <c r="DN169" t="e">
        <f>Nodes!S1386+"'E4!(OQ"</f>
        <v>#VALUE!</v>
      </c>
      <c r="DO169" t="e">
        <f>Nodes!T1386+"'E4!(OR"</f>
        <v>#VALUE!</v>
      </c>
      <c r="DP169" s="550" t="e">
        <f>Nodes!U1386+"'E4!(OS"</f>
        <v>#VALUE!</v>
      </c>
      <c r="DQ169" t="e">
        <f>Nodes!V1386+"'E4!(OT"</f>
        <v>#VALUE!</v>
      </c>
      <c r="DR169" t="e">
        <f>Nodes!W1386+"'E4!(OU"</f>
        <v>#VALUE!</v>
      </c>
      <c r="DS169" s="333" t="e">
        <f>Nodes!X1386+"'E4!(OV"</f>
        <v>#VALUE!</v>
      </c>
      <c r="DT169" t="e">
        <f>Nodes!Y1386+"'E4!(OW"</f>
        <v>#VALUE!</v>
      </c>
      <c r="DU169" t="e">
        <f>Nodes!Z1386+"'E4!(OX"</f>
        <v>#VALUE!</v>
      </c>
      <c r="DV169" t="e">
        <f>Nodes!AA1386+"'E4!(OY"</f>
        <v>#VALUE!</v>
      </c>
      <c r="DW169" t="e">
        <f>Nodes!AB1386+"'E4!(OZ"</f>
        <v>#VALUE!</v>
      </c>
      <c r="DX169" t="e">
        <f>Nodes!AC1386+"'E4!(O["</f>
        <v>#VALUE!</v>
      </c>
      <c r="DY169" t="e">
        <f>Nodes!A1387+"'E4!(O\"</f>
        <v>#VALUE!</v>
      </c>
      <c r="DZ169" t="e">
        <f>Nodes!B1387+"'E4!(O]"</f>
        <v>#VALUE!</v>
      </c>
      <c r="EA169" t="e">
        <f>Nodes!C1387+"'E4!(O^"</f>
        <v>#VALUE!</v>
      </c>
      <c r="EB169" t="e">
        <f>Nodes!D1387+"'E4!(O_"</f>
        <v>#VALUE!</v>
      </c>
      <c r="EC169" t="e">
        <f>Nodes!E1387+"'E4!(O`"</f>
        <v>#VALUE!</v>
      </c>
      <c r="ED169" t="e">
        <f>Nodes!F1387+"'E4!(Oa"</f>
        <v>#VALUE!</v>
      </c>
      <c r="EE169" t="e">
        <f>Nodes!G1387+"'E4!(Ob"</f>
        <v>#VALUE!</v>
      </c>
      <c r="EF169" t="e">
        <f>Nodes!H1387+"'E4!(Oc"</f>
        <v>#VALUE!</v>
      </c>
      <c r="EG169" t="e">
        <f>Nodes!I1387+"'E4!(Od"</f>
        <v>#VALUE!</v>
      </c>
      <c r="EH169" t="e">
        <f>Nodes!J1387+"'E4!(Oe"</f>
        <v>#VALUE!</v>
      </c>
      <c r="EI169" t="e">
        <f>Nodes!K1387+"'E4!(Of"</f>
        <v>#VALUE!</v>
      </c>
      <c r="EJ169" t="e">
        <f>Nodes!L1387+"'E4!(Og"</f>
        <v>#VALUE!</v>
      </c>
      <c r="EK169" t="e">
        <f>Nodes!M1387+"'E4!(Oh"</f>
        <v>#VALUE!</v>
      </c>
      <c r="EL169" t="e">
        <f>Nodes!N1387+"'E4!(Oi"</f>
        <v>#VALUE!</v>
      </c>
      <c r="EM169" t="e">
        <f>Nodes!O1387+"'E4!(Oj"</f>
        <v>#VALUE!</v>
      </c>
      <c r="EN169" t="e">
        <f>Nodes!P1387+"'E4!(Ok"</f>
        <v>#VALUE!</v>
      </c>
      <c r="EO169" t="e">
        <f>Nodes!Q1387+"'E4!(Ol"</f>
        <v>#VALUE!</v>
      </c>
      <c r="EP169" t="e">
        <f>Nodes!R1387+"'E4!(Om"</f>
        <v>#VALUE!</v>
      </c>
      <c r="EQ169" t="e">
        <f>Nodes!S1387+"'E4!(On"</f>
        <v>#VALUE!</v>
      </c>
      <c r="ER169" t="e">
        <f>Nodes!T1387+"'E4!(Oo"</f>
        <v>#VALUE!</v>
      </c>
      <c r="ES169" s="550" t="e">
        <f>Nodes!U1387+"'E4!(Op"</f>
        <v>#VALUE!</v>
      </c>
      <c r="ET169" t="e">
        <f>Nodes!V1387+"'E4!(Oq"</f>
        <v>#VALUE!</v>
      </c>
      <c r="EU169" t="e">
        <f>Nodes!W1387+"'E4!(Or"</f>
        <v>#VALUE!</v>
      </c>
      <c r="EV169" t="e">
        <f>Nodes!X1387+"'E4!(Os"</f>
        <v>#VALUE!</v>
      </c>
      <c r="EW169" t="e">
        <f>Nodes!Y1387+"'E4!(Ot"</f>
        <v>#VALUE!</v>
      </c>
      <c r="EX169" t="e">
        <f>Nodes!Z1387+"'E4!(Ou"</f>
        <v>#VALUE!</v>
      </c>
      <c r="EY169" t="e">
        <f>Nodes!AA1387+"'E4!(Ov"</f>
        <v>#VALUE!</v>
      </c>
      <c r="EZ169" t="e">
        <f>Nodes!AB1387+"'E4!(Ow"</f>
        <v>#VALUE!</v>
      </c>
      <c r="FA169" t="e">
        <f>Nodes!AC1387+"'E4!(Ox"</f>
        <v>#VALUE!</v>
      </c>
      <c r="FB169" t="e">
        <f>Nodes!A1388+"'E4!(Oy"</f>
        <v>#VALUE!</v>
      </c>
      <c r="FC169" t="e">
        <f>Nodes!B1388+"'E4!(Oz"</f>
        <v>#VALUE!</v>
      </c>
      <c r="FD169" t="e">
        <f>Nodes!C1388+"'E4!(O{"</f>
        <v>#VALUE!</v>
      </c>
      <c r="FE169" t="e">
        <f>Nodes!D1388+"'E4!(O|"</f>
        <v>#VALUE!</v>
      </c>
      <c r="FF169" t="e">
        <f>Nodes!E1388+"'E4!(O}"</f>
        <v>#VALUE!</v>
      </c>
      <c r="FG169" t="e">
        <f>Nodes!F1388+"'E4!(O~"</f>
        <v>#VALUE!</v>
      </c>
      <c r="FH169" t="e">
        <f>Nodes!G1388+"'E4!(P#"</f>
        <v>#VALUE!</v>
      </c>
      <c r="FI169" t="e">
        <f>Nodes!H1388+"'E4!(P$"</f>
        <v>#VALUE!</v>
      </c>
      <c r="FJ169" t="e">
        <f>Nodes!I1388+"'E4!(P%"</f>
        <v>#VALUE!</v>
      </c>
      <c r="FK169" t="e">
        <f>Nodes!J1388+"'E4!(P&amp;"</f>
        <v>#VALUE!</v>
      </c>
      <c r="FL169" t="e">
        <f>Nodes!K1388+"'E4!(P'"</f>
        <v>#VALUE!</v>
      </c>
      <c r="FM169" t="e">
        <f>Nodes!L1388+"'E4!(P("</f>
        <v>#VALUE!</v>
      </c>
      <c r="FN169" t="e">
        <f>Nodes!M1388+"'E4!(P)"</f>
        <v>#VALUE!</v>
      </c>
      <c r="FO169" t="e">
        <f>Nodes!N1388+"'E4!(P."</f>
        <v>#VALUE!</v>
      </c>
      <c r="FP169" t="e">
        <f>Nodes!O1388+"'E4!(P/"</f>
        <v>#VALUE!</v>
      </c>
      <c r="FQ169" t="e">
        <f>Nodes!P1388+"'E4!(P0"</f>
        <v>#VALUE!</v>
      </c>
      <c r="FR169" t="e">
        <f>Nodes!Q1388+"'E4!(P1"</f>
        <v>#VALUE!</v>
      </c>
      <c r="FS169" t="e">
        <f>Nodes!R1388+"'E4!(P2"</f>
        <v>#VALUE!</v>
      </c>
      <c r="FT169" t="e">
        <f>Nodes!S1388+"'E4!(P3"</f>
        <v>#VALUE!</v>
      </c>
      <c r="FU169" t="e">
        <f>Nodes!T1388+"'E4!(P4"</f>
        <v>#VALUE!</v>
      </c>
      <c r="FV169" s="550" t="e">
        <f>Nodes!U1388+"'E4!(P5"</f>
        <v>#VALUE!</v>
      </c>
      <c r="FW169" t="e">
        <f>Nodes!V1388+"'E4!(P6"</f>
        <v>#VALUE!</v>
      </c>
      <c r="FX169" t="e">
        <f>Nodes!W1388+"'E4!(P7"</f>
        <v>#VALUE!</v>
      </c>
      <c r="FY169" t="e">
        <f>Nodes!X1388+"'E4!(P8"</f>
        <v>#VALUE!</v>
      </c>
      <c r="FZ169" t="e">
        <f>Nodes!Y1388+"'E4!(P9"</f>
        <v>#VALUE!</v>
      </c>
      <c r="GA169" t="e">
        <f>Nodes!Z1388+"'E4!(P:"</f>
        <v>#VALUE!</v>
      </c>
      <c r="GB169" t="e">
        <f>Nodes!AA1388+"'E4!(P;"</f>
        <v>#VALUE!</v>
      </c>
      <c r="GC169" t="e">
        <f>Nodes!AB1388+"'E4!(P&lt;"</f>
        <v>#VALUE!</v>
      </c>
      <c r="GD169" t="e">
        <f>Nodes!AC1388+"'E4!(P="</f>
        <v>#VALUE!</v>
      </c>
      <c r="GE169" t="e">
        <f>Nodes!A1389+"'E4!(P&gt;"</f>
        <v>#VALUE!</v>
      </c>
      <c r="GF169" t="e">
        <f>Nodes!B1389+"'E4!(P?"</f>
        <v>#VALUE!</v>
      </c>
      <c r="GG169" t="e">
        <f>Nodes!C1389+"'E4!(P@"</f>
        <v>#VALUE!</v>
      </c>
      <c r="GH169" t="e">
        <f>Nodes!D1389+"'E4!(PA"</f>
        <v>#VALUE!</v>
      </c>
      <c r="GI169" t="e">
        <f>Nodes!E1389+"'E4!(PB"</f>
        <v>#VALUE!</v>
      </c>
      <c r="GJ169" t="e">
        <f>Nodes!F1389+"'E4!(PC"</f>
        <v>#VALUE!</v>
      </c>
      <c r="GK169" t="e">
        <f>Nodes!G1389+"'E4!(PD"</f>
        <v>#VALUE!</v>
      </c>
      <c r="GL169" t="e">
        <f>Nodes!H1389+"'E4!(PE"</f>
        <v>#VALUE!</v>
      </c>
      <c r="GM169" t="e">
        <f>Nodes!I1389+"'E4!(PF"</f>
        <v>#VALUE!</v>
      </c>
      <c r="GN169" t="e">
        <f>Nodes!J1389+"'E4!(PG"</f>
        <v>#VALUE!</v>
      </c>
      <c r="GO169" t="e">
        <f>Nodes!K1389+"'E4!(PH"</f>
        <v>#VALUE!</v>
      </c>
      <c r="GP169" t="e">
        <f>Nodes!L1389+"'E4!(PI"</f>
        <v>#VALUE!</v>
      </c>
      <c r="GQ169" t="e">
        <f>Nodes!M1389+"'E4!(PJ"</f>
        <v>#VALUE!</v>
      </c>
      <c r="GR169" t="e">
        <f>Nodes!N1389+"'E4!(PK"</f>
        <v>#VALUE!</v>
      </c>
      <c r="GS169" t="e">
        <f>Nodes!O1389+"'E4!(PL"</f>
        <v>#VALUE!</v>
      </c>
      <c r="GT169" t="e">
        <f>Nodes!P1389+"'E4!(PM"</f>
        <v>#VALUE!</v>
      </c>
      <c r="GU169" t="e">
        <f>Nodes!Q1389+"'E4!(PN"</f>
        <v>#VALUE!</v>
      </c>
      <c r="GV169" t="e">
        <f>Nodes!R1389+"'E4!(PO"</f>
        <v>#VALUE!</v>
      </c>
      <c r="GW169" t="e">
        <f>Nodes!S1389+"'E4!(PP"</f>
        <v>#VALUE!</v>
      </c>
      <c r="GX169" t="e">
        <f>Nodes!T1389+"'E4!(PQ"</f>
        <v>#VALUE!</v>
      </c>
      <c r="GY169" s="550" t="e">
        <f>Nodes!U1389+"'E4!(PR"</f>
        <v>#VALUE!</v>
      </c>
      <c r="GZ169" t="e">
        <f>Nodes!V1389+"'E4!(PS"</f>
        <v>#VALUE!</v>
      </c>
      <c r="HA169" t="e">
        <f>Nodes!W1389+"'E4!(PT"</f>
        <v>#VALUE!</v>
      </c>
      <c r="HB169" t="e">
        <f>Nodes!X1389+"'E4!(PU"</f>
        <v>#VALUE!</v>
      </c>
      <c r="HC169" t="e">
        <f>Nodes!Y1389+"'E4!(PV"</f>
        <v>#VALUE!</v>
      </c>
      <c r="HD169" t="e">
        <f>Nodes!Z1389+"'E4!(PW"</f>
        <v>#VALUE!</v>
      </c>
      <c r="HE169" t="e">
        <f>Nodes!AA1389+"'E4!(PX"</f>
        <v>#VALUE!</v>
      </c>
      <c r="HF169" t="e">
        <f>Nodes!AB1389+"'E4!(PY"</f>
        <v>#VALUE!</v>
      </c>
      <c r="HG169" t="e">
        <f>Nodes!AC1389+"'E4!(PZ"</f>
        <v>#VALUE!</v>
      </c>
      <c r="HH169" t="e">
        <f>Nodes!A1390+"'E4!(P["</f>
        <v>#VALUE!</v>
      </c>
      <c r="HI169" t="e">
        <f>Nodes!B1390+"'E4!(P\"</f>
        <v>#VALUE!</v>
      </c>
      <c r="HJ169" t="e">
        <f>Nodes!C1390+"'E4!(P]"</f>
        <v>#VALUE!</v>
      </c>
      <c r="HK169" t="e">
        <f>Nodes!D1390+"'E4!(P^"</f>
        <v>#VALUE!</v>
      </c>
      <c r="HL169" t="e">
        <f>Nodes!E1390+"'E4!(P_"</f>
        <v>#VALUE!</v>
      </c>
      <c r="HM169" t="e">
        <f>Nodes!F1390+"'E4!(P`"</f>
        <v>#VALUE!</v>
      </c>
      <c r="HN169" t="e">
        <f>Nodes!G1390+"'E4!(Pa"</f>
        <v>#VALUE!</v>
      </c>
      <c r="HO169" t="e">
        <f>Nodes!H1390+"'E4!(Pb"</f>
        <v>#VALUE!</v>
      </c>
      <c r="HP169" t="e">
        <f>Nodes!I1390+"'E4!(Pc"</f>
        <v>#VALUE!</v>
      </c>
      <c r="HQ169" t="e">
        <f>Nodes!J1390+"'E4!(Pd"</f>
        <v>#VALUE!</v>
      </c>
      <c r="HR169" t="e">
        <f>Nodes!K1390+"'E4!(Pe"</f>
        <v>#VALUE!</v>
      </c>
      <c r="HS169" t="e">
        <f>Nodes!L1390+"'E4!(Pf"</f>
        <v>#VALUE!</v>
      </c>
      <c r="HT169" t="e">
        <f>Nodes!M1390+"'E4!(Pg"</f>
        <v>#VALUE!</v>
      </c>
      <c r="HU169" t="e">
        <f>Nodes!N1390+"'E4!(Ph"</f>
        <v>#VALUE!</v>
      </c>
      <c r="HV169" t="e">
        <f>Nodes!O1390+"'E4!(Pi"</f>
        <v>#VALUE!</v>
      </c>
      <c r="HW169" t="e">
        <f>Nodes!P1390+"'E4!(Pj"</f>
        <v>#VALUE!</v>
      </c>
      <c r="HX169" t="e">
        <f>Nodes!Q1390+"'E4!(Pk"</f>
        <v>#VALUE!</v>
      </c>
      <c r="HY169" t="e">
        <f>Nodes!R1390+"'E4!(Pl"</f>
        <v>#VALUE!</v>
      </c>
      <c r="HZ169" t="e">
        <f>Nodes!S1390+"'E4!(Pm"</f>
        <v>#VALUE!</v>
      </c>
      <c r="IA169" t="e">
        <f>Nodes!T1390+"'E4!(Pn"</f>
        <v>#VALUE!</v>
      </c>
      <c r="IB169" s="550" t="e">
        <f>Nodes!U1390+"'E4!(Po"</f>
        <v>#VALUE!</v>
      </c>
      <c r="IC169" t="e">
        <f>Nodes!V1390+"'E4!(Pp"</f>
        <v>#VALUE!</v>
      </c>
      <c r="ID169" t="e">
        <f>Nodes!W1390+"'E4!(Pq"</f>
        <v>#VALUE!</v>
      </c>
      <c r="IE169" t="e">
        <f>Nodes!X1390+"'E4!(Pr"</f>
        <v>#VALUE!</v>
      </c>
      <c r="IF169" t="e">
        <f>Nodes!Y1390+"'E4!(Ps"</f>
        <v>#VALUE!</v>
      </c>
      <c r="IG169" t="e">
        <f>Nodes!Z1390+"'E4!(Pt"</f>
        <v>#VALUE!</v>
      </c>
      <c r="IH169" t="e">
        <f>Nodes!AA1390+"'E4!(Pu"</f>
        <v>#VALUE!</v>
      </c>
      <c r="II169" t="e">
        <f>Nodes!AB1390+"'E4!(Pv"</f>
        <v>#VALUE!</v>
      </c>
      <c r="IJ169" t="e">
        <f>Nodes!AC1390+"'E4!(Pw"</f>
        <v>#VALUE!</v>
      </c>
      <c r="IK169" t="e">
        <f>Nodes!A1391+"'E4!(Px"</f>
        <v>#VALUE!</v>
      </c>
      <c r="IL169" t="e">
        <f>Nodes!B1391+"'E4!(Py"</f>
        <v>#VALUE!</v>
      </c>
      <c r="IM169" t="e">
        <f>Nodes!C1391+"'E4!(Pz"</f>
        <v>#VALUE!</v>
      </c>
      <c r="IN169" t="e">
        <f>Nodes!D1391+"'E4!(P{"</f>
        <v>#VALUE!</v>
      </c>
      <c r="IO169" t="e">
        <f>Nodes!E1391+"'E4!(P|"</f>
        <v>#VALUE!</v>
      </c>
      <c r="IP169" t="e">
        <f>Nodes!F1391+"'E4!(P}"</f>
        <v>#VALUE!</v>
      </c>
      <c r="IQ169" t="e">
        <f>Nodes!G1391+"'E4!(P~"</f>
        <v>#VALUE!</v>
      </c>
      <c r="IR169" t="e">
        <f>Nodes!H1391+"'E4!(Q#"</f>
        <v>#VALUE!</v>
      </c>
      <c r="IS169" t="e">
        <f>Nodes!I1391+"'E4!(Q$"</f>
        <v>#VALUE!</v>
      </c>
      <c r="IT169" t="e">
        <f>Nodes!J1391+"'E4!(Q%"</f>
        <v>#VALUE!</v>
      </c>
      <c r="IU169" t="e">
        <f>Nodes!K1391+"'E4!(Q&amp;"</f>
        <v>#VALUE!</v>
      </c>
      <c r="IV169" t="e">
        <f>Nodes!L1391+"'E4!(Q'"</f>
        <v>#VALUE!</v>
      </c>
    </row>
    <row r="170" spans="6:256">
      <c r="F170" t="e">
        <f>Nodes!M1391+"'E4!(Q("</f>
        <v>#VALUE!</v>
      </c>
      <c r="G170" t="e">
        <f>Nodes!N1391+"'E4!(Q)"</f>
        <v>#VALUE!</v>
      </c>
      <c r="H170" t="e">
        <f>Nodes!O1391+"'E4!(Q."</f>
        <v>#VALUE!</v>
      </c>
      <c r="I170" t="e">
        <f>Nodes!P1391+"'E4!(Q/"</f>
        <v>#VALUE!</v>
      </c>
      <c r="J170" t="e">
        <f>Nodes!Q1391+"'E4!(Q0"</f>
        <v>#VALUE!</v>
      </c>
      <c r="K170" t="e">
        <f>Nodes!R1391+"'E4!(Q1"</f>
        <v>#VALUE!</v>
      </c>
      <c r="L170" t="e">
        <f>Nodes!S1391+"'E4!(Q2"</f>
        <v>#VALUE!</v>
      </c>
      <c r="M170" t="e">
        <f>Nodes!T1391+"'E4!(Q3"</f>
        <v>#VALUE!</v>
      </c>
      <c r="N170" s="550" t="e">
        <f>Nodes!U1391+"'E4!(Q4"</f>
        <v>#VALUE!</v>
      </c>
      <c r="O170" t="e">
        <f>Nodes!V1391+"'E4!(Q5"</f>
        <v>#VALUE!</v>
      </c>
      <c r="P170" t="e">
        <f>Nodes!W1391+"'E4!(Q6"</f>
        <v>#VALUE!</v>
      </c>
      <c r="Q170" t="e">
        <f>Nodes!X1391+"'E4!(Q7"</f>
        <v>#VALUE!</v>
      </c>
      <c r="R170" t="e">
        <f>Nodes!Y1391+"'E4!(Q8"</f>
        <v>#VALUE!</v>
      </c>
      <c r="S170" t="e">
        <f>Nodes!Z1391+"'E4!(Q9"</f>
        <v>#VALUE!</v>
      </c>
      <c r="T170" t="e">
        <f>Nodes!AA1391+"'E4!(Q:"</f>
        <v>#VALUE!</v>
      </c>
      <c r="U170" t="e">
        <f>Nodes!AB1391+"'E4!(Q;"</f>
        <v>#VALUE!</v>
      </c>
      <c r="V170" t="e">
        <f>Nodes!AC1391+"'E4!(Q&lt;"</f>
        <v>#VALUE!</v>
      </c>
      <c r="W170" t="e">
        <f>Nodes!A1392+"'E4!(Q="</f>
        <v>#VALUE!</v>
      </c>
      <c r="X170" t="e">
        <f>Nodes!B1392+"'E4!(Q&gt;"</f>
        <v>#VALUE!</v>
      </c>
      <c r="Y170" t="e">
        <f>Nodes!C1392+"'E4!(Q?"</f>
        <v>#VALUE!</v>
      </c>
      <c r="Z170" t="e">
        <f>Nodes!D1392+"'E4!(Q@"</f>
        <v>#VALUE!</v>
      </c>
      <c r="AA170" t="e">
        <f>Nodes!E1392+"'E4!(QA"</f>
        <v>#VALUE!</v>
      </c>
      <c r="AB170" t="e">
        <f>Nodes!F1392+"'E4!(QB"</f>
        <v>#VALUE!</v>
      </c>
      <c r="AC170" t="e">
        <f>Nodes!G1392+"'E4!(QC"</f>
        <v>#VALUE!</v>
      </c>
      <c r="AD170" t="e">
        <f>Nodes!H1392+"'E4!(QD"</f>
        <v>#VALUE!</v>
      </c>
      <c r="AE170" t="e">
        <f>Nodes!I1392+"'E4!(QE"</f>
        <v>#VALUE!</v>
      </c>
      <c r="AF170" t="e">
        <f>Nodes!J1392+"'E4!(QF"</f>
        <v>#VALUE!</v>
      </c>
      <c r="AG170" t="e">
        <f>Nodes!K1392+"'E4!(QG"</f>
        <v>#VALUE!</v>
      </c>
      <c r="AH170" t="e">
        <f>Nodes!L1392+"'E4!(QH"</f>
        <v>#VALUE!</v>
      </c>
      <c r="AI170" t="e">
        <f>Nodes!M1392+"'E4!(QI"</f>
        <v>#VALUE!</v>
      </c>
      <c r="AJ170" t="e">
        <f>Nodes!N1392+"'E4!(QJ"</f>
        <v>#VALUE!</v>
      </c>
      <c r="AK170" t="e">
        <f>Nodes!O1392+"'E4!(QK"</f>
        <v>#VALUE!</v>
      </c>
      <c r="AL170" t="e">
        <f>Nodes!P1392+"'E4!(QL"</f>
        <v>#VALUE!</v>
      </c>
      <c r="AM170" t="e">
        <f>Nodes!Q1392+"'E4!(QM"</f>
        <v>#VALUE!</v>
      </c>
      <c r="AN170" t="e">
        <f>Nodes!R1392+"'E4!(QN"</f>
        <v>#VALUE!</v>
      </c>
      <c r="AO170" t="e">
        <f>Nodes!S1392+"'E4!(QO"</f>
        <v>#VALUE!</v>
      </c>
      <c r="AP170" t="e">
        <f>Nodes!T1392+"'E4!(QP"</f>
        <v>#VALUE!</v>
      </c>
      <c r="AQ170" s="550" t="e">
        <f>Nodes!U1392+"'E4!(QQ"</f>
        <v>#VALUE!</v>
      </c>
      <c r="AR170" t="e">
        <f>Nodes!V1392+"'E4!(QR"</f>
        <v>#VALUE!</v>
      </c>
      <c r="AS170" t="e">
        <f>Nodes!W1392+"'E4!(QS"</f>
        <v>#VALUE!</v>
      </c>
      <c r="AT170" t="e">
        <f>Nodes!X1392+"'E4!(QT"</f>
        <v>#VALUE!</v>
      </c>
      <c r="AU170" t="e">
        <f>Nodes!Y1392+"'E4!(QU"</f>
        <v>#VALUE!</v>
      </c>
      <c r="AV170" t="e">
        <f>Nodes!Z1392+"'E4!(QV"</f>
        <v>#VALUE!</v>
      </c>
      <c r="AW170" t="e">
        <f>Nodes!AA1392+"'E4!(QW"</f>
        <v>#VALUE!</v>
      </c>
      <c r="AX170" t="e">
        <f>Nodes!AB1392+"'E4!(QX"</f>
        <v>#VALUE!</v>
      </c>
      <c r="AY170" t="e">
        <f>Nodes!AC1392+"'E4!(QY"</f>
        <v>#VALUE!</v>
      </c>
      <c r="AZ170" t="e">
        <f>Nodes!A1393+"'E4!(QZ"</f>
        <v>#VALUE!</v>
      </c>
      <c r="BA170" t="e">
        <f>Nodes!B1393+"'E4!(Q["</f>
        <v>#VALUE!</v>
      </c>
      <c r="BB170" t="e">
        <f>Nodes!C1393+"'E4!(Q\"</f>
        <v>#VALUE!</v>
      </c>
      <c r="BC170" t="e">
        <f>Nodes!D1393+"'E4!(Q]"</f>
        <v>#VALUE!</v>
      </c>
      <c r="BD170" t="e">
        <f>Nodes!E1393+"'E4!(Q^"</f>
        <v>#VALUE!</v>
      </c>
      <c r="BE170" t="e">
        <f>Nodes!F1393+"'E4!(Q_"</f>
        <v>#VALUE!</v>
      </c>
      <c r="BF170" t="e">
        <f>Nodes!G1393+"'E4!(Q`"</f>
        <v>#VALUE!</v>
      </c>
      <c r="BG170" t="e">
        <f>Nodes!H1393+"'E4!(Qa"</f>
        <v>#VALUE!</v>
      </c>
      <c r="BH170" t="e">
        <f>Nodes!I1393+"'E4!(Qb"</f>
        <v>#VALUE!</v>
      </c>
      <c r="BI170" t="e">
        <f>Nodes!J1393+"'E4!(Qc"</f>
        <v>#VALUE!</v>
      </c>
      <c r="BJ170" t="e">
        <f>Nodes!K1393+"'E4!(Qd"</f>
        <v>#VALUE!</v>
      </c>
      <c r="BK170" t="e">
        <f>Nodes!L1393+"'E4!(Qe"</f>
        <v>#VALUE!</v>
      </c>
      <c r="BL170" t="e">
        <f>Nodes!M1393+"'E4!(Qf"</f>
        <v>#VALUE!</v>
      </c>
      <c r="BM170" t="e">
        <f>Nodes!N1393+"'E4!(Qg"</f>
        <v>#VALUE!</v>
      </c>
      <c r="BN170" t="e">
        <f>Nodes!O1393+"'E4!(Qh"</f>
        <v>#VALUE!</v>
      </c>
      <c r="BO170" t="e">
        <f>Nodes!P1393+"'E4!(Qi"</f>
        <v>#VALUE!</v>
      </c>
      <c r="BP170" t="e">
        <f>Nodes!Q1393+"'E4!(Qj"</f>
        <v>#VALUE!</v>
      </c>
      <c r="BQ170" t="e">
        <f>Nodes!R1393+"'E4!(Qk"</f>
        <v>#VALUE!</v>
      </c>
      <c r="BR170" t="e">
        <f>Nodes!S1393+"'E4!(Ql"</f>
        <v>#VALUE!</v>
      </c>
      <c r="BS170" t="e">
        <f>Nodes!T1393+"'E4!(Qm"</f>
        <v>#VALUE!</v>
      </c>
      <c r="BT170" s="550" t="e">
        <f>Nodes!U1393+"'E4!(Qn"</f>
        <v>#VALUE!</v>
      </c>
      <c r="BU170" t="e">
        <f>Nodes!V1393+"'E4!(Qo"</f>
        <v>#VALUE!</v>
      </c>
      <c r="BV170" t="e">
        <f>Nodes!W1393+"'E4!(Qp"</f>
        <v>#VALUE!</v>
      </c>
      <c r="BW170" t="e">
        <f>Nodes!X1393+"'E4!(Qq"</f>
        <v>#VALUE!</v>
      </c>
      <c r="BX170" t="e">
        <f>Nodes!Y1393+"'E4!(Qr"</f>
        <v>#VALUE!</v>
      </c>
      <c r="BY170" t="e">
        <f>Nodes!Z1393+"'E4!(Qs"</f>
        <v>#VALUE!</v>
      </c>
      <c r="BZ170" t="e">
        <f>Nodes!AA1393+"'E4!(Qt"</f>
        <v>#VALUE!</v>
      </c>
      <c r="CA170" t="e">
        <f>Nodes!AB1393+"'E4!(Qu"</f>
        <v>#VALUE!</v>
      </c>
      <c r="CB170" t="e">
        <f>Nodes!AC1393+"'E4!(Qv"</f>
        <v>#VALUE!</v>
      </c>
      <c r="CC170" t="e">
        <f>Nodes!A1394+"'E4!(Qw"</f>
        <v>#VALUE!</v>
      </c>
      <c r="CD170" t="e">
        <f>Nodes!B1394+"'E4!(Qx"</f>
        <v>#VALUE!</v>
      </c>
      <c r="CE170" t="e">
        <f>Nodes!C1394+"'E4!(Qy"</f>
        <v>#VALUE!</v>
      </c>
      <c r="CF170" t="e">
        <f>Nodes!D1394+"'E4!(Qz"</f>
        <v>#VALUE!</v>
      </c>
      <c r="CG170" t="e">
        <f>Nodes!E1394+"'E4!(Q{"</f>
        <v>#VALUE!</v>
      </c>
      <c r="CH170" t="e">
        <f>Nodes!F1394+"'E4!(Q|"</f>
        <v>#VALUE!</v>
      </c>
      <c r="CI170" t="e">
        <f>Nodes!G1394+"'E4!(Q}"</f>
        <v>#VALUE!</v>
      </c>
      <c r="CJ170" t="e">
        <f>Nodes!H1394+"'E4!(Q~"</f>
        <v>#VALUE!</v>
      </c>
      <c r="CK170" t="e">
        <f>Nodes!I1394+"'E4!(R#"</f>
        <v>#VALUE!</v>
      </c>
      <c r="CL170" t="e">
        <f>Nodes!J1394+"'E4!(R$"</f>
        <v>#VALUE!</v>
      </c>
      <c r="CM170" t="e">
        <f>Nodes!K1394+"'E4!(R%"</f>
        <v>#VALUE!</v>
      </c>
      <c r="CN170" t="e">
        <f>Nodes!L1394+"'E4!(R&amp;"</f>
        <v>#VALUE!</v>
      </c>
      <c r="CO170" t="e">
        <f>Nodes!M1394+"'E4!(R'"</f>
        <v>#VALUE!</v>
      </c>
      <c r="CP170" t="e">
        <f>Nodes!N1394+"'E4!(R("</f>
        <v>#VALUE!</v>
      </c>
      <c r="CQ170" t="e">
        <f>Nodes!O1394+"'E4!(R)"</f>
        <v>#VALUE!</v>
      </c>
      <c r="CR170" t="e">
        <f>Nodes!P1394+"'E4!(R."</f>
        <v>#VALUE!</v>
      </c>
      <c r="CS170" t="e">
        <f>Nodes!Q1394+"'E4!(R/"</f>
        <v>#VALUE!</v>
      </c>
      <c r="CT170" t="e">
        <f>Nodes!R1394+"'E4!(R0"</f>
        <v>#VALUE!</v>
      </c>
      <c r="CU170" t="e">
        <f>Nodes!S1394+"'E4!(R1"</f>
        <v>#VALUE!</v>
      </c>
      <c r="CV170" t="e">
        <f>Nodes!T1394+"'E4!(R2"</f>
        <v>#VALUE!</v>
      </c>
      <c r="CW170" s="550" t="e">
        <f>Nodes!U1394+"'E4!(R3"</f>
        <v>#VALUE!</v>
      </c>
      <c r="CX170" t="e">
        <f>Nodes!V1394+"'E4!(R4"</f>
        <v>#VALUE!</v>
      </c>
      <c r="CY170" t="e">
        <f>Nodes!W1394+"'E4!(R5"</f>
        <v>#VALUE!</v>
      </c>
      <c r="CZ170" t="e">
        <f>Nodes!X1394+"'E4!(R6"</f>
        <v>#VALUE!</v>
      </c>
      <c r="DA170" t="e">
        <f>Nodes!Y1394+"'E4!(R7"</f>
        <v>#VALUE!</v>
      </c>
      <c r="DB170" t="e">
        <f>Nodes!Z1394+"'E4!(R8"</f>
        <v>#VALUE!</v>
      </c>
      <c r="DC170" t="e">
        <f>Nodes!AA1394+"'E4!(R9"</f>
        <v>#VALUE!</v>
      </c>
      <c r="DD170" t="e">
        <f>Nodes!AB1394+"'E4!(R:"</f>
        <v>#VALUE!</v>
      </c>
      <c r="DE170" t="e">
        <f>Nodes!AC1394+"'E4!(R;"</f>
        <v>#VALUE!</v>
      </c>
      <c r="DF170" t="e">
        <f>Nodes!A1395+"'E4!(R&lt;"</f>
        <v>#VALUE!</v>
      </c>
      <c r="DG170" t="e">
        <f>Nodes!B1395+"'E4!(R="</f>
        <v>#VALUE!</v>
      </c>
      <c r="DH170" t="e">
        <f>Nodes!C1395+"'E4!(R&gt;"</f>
        <v>#VALUE!</v>
      </c>
      <c r="DI170" t="e">
        <f>Nodes!D1395+"'E4!(R?"</f>
        <v>#VALUE!</v>
      </c>
      <c r="DJ170" t="e">
        <f>Nodes!E1395+"'E4!(R@"</f>
        <v>#VALUE!</v>
      </c>
      <c r="DK170" t="e">
        <f>Nodes!F1395+"'E4!(RA"</f>
        <v>#VALUE!</v>
      </c>
      <c r="DL170" t="e">
        <f>Nodes!G1395+"'E4!(RB"</f>
        <v>#VALUE!</v>
      </c>
      <c r="DM170" t="e">
        <f>Nodes!H1395+"'E4!(RC"</f>
        <v>#VALUE!</v>
      </c>
      <c r="DN170" t="e">
        <f>Nodes!I1395+"'E4!(RD"</f>
        <v>#VALUE!</v>
      </c>
      <c r="DO170" t="e">
        <f>Nodes!J1395+"'E4!(RE"</f>
        <v>#VALUE!</v>
      </c>
      <c r="DP170" t="e">
        <f>Nodes!K1395+"'E4!(RF"</f>
        <v>#VALUE!</v>
      </c>
      <c r="DQ170" t="e">
        <f>Nodes!L1395+"'E4!(RG"</f>
        <v>#VALUE!</v>
      </c>
      <c r="DR170" t="e">
        <f>Nodes!M1395+"'E4!(RH"</f>
        <v>#VALUE!</v>
      </c>
      <c r="DS170" t="e">
        <f>Nodes!N1395+"'E4!(RI"</f>
        <v>#VALUE!</v>
      </c>
      <c r="DT170" t="e">
        <f>Nodes!O1395+"'E4!(RJ"</f>
        <v>#VALUE!</v>
      </c>
      <c r="DU170" t="e">
        <f>Nodes!P1395+"'E4!(RK"</f>
        <v>#VALUE!</v>
      </c>
      <c r="DV170" t="e">
        <f>Nodes!Q1395+"'E4!(RL"</f>
        <v>#VALUE!</v>
      </c>
      <c r="DW170" t="e">
        <f>Nodes!R1395+"'E4!(RM"</f>
        <v>#VALUE!</v>
      </c>
      <c r="DX170" t="e">
        <f>Nodes!S1395+"'E4!(RN"</f>
        <v>#VALUE!</v>
      </c>
      <c r="DY170" t="e">
        <f>Nodes!T1395+"'E4!(RO"</f>
        <v>#VALUE!</v>
      </c>
      <c r="DZ170" s="550" t="e">
        <f>Nodes!U1395+"'E4!(RP"</f>
        <v>#VALUE!</v>
      </c>
      <c r="EA170" t="e">
        <f>Nodes!V1395+"'E4!(RQ"</f>
        <v>#VALUE!</v>
      </c>
      <c r="EB170" t="e">
        <f>Nodes!W1395+"'E4!(RR"</f>
        <v>#VALUE!</v>
      </c>
      <c r="EC170" t="e">
        <f>Nodes!X1395+"'E4!(RS"</f>
        <v>#VALUE!</v>
      </c>
      <c r="ED170" t="e">
        <f>Nodes!Y1395+"'E4!(RT"</f>
        <v>#VALUE!</v>
      </c>
      <c r="EE170" t="e">
        <f>Nodes!Z1395+"'E4!(RU"</f>
        <v>#VALUE!</v>
      </c>
      <c r="EF170" t="e">
        <f>Nodes!AA1395+"'E4!(RV"</f>
        <v>#VALUE!</v>
      </c>
      <c r="EG170" t="e">
        <f>Nodes!AB1395+"'E4!(RW"</f>
        <v>#VALUE!</v>
      </c>
      <c r="EH170" t="e">
        <f>Nodes!AC1395+"'E4!(RX"</f>
        <v>#VALUE!</v>
      </c>
      <c r="EI170" t="e">
        <f>Nodes!A1396+"'E4!(RY"</f>
        <v>#VALUE!</v>
      </c>
      <c r="EJ170" t="e">
        <f>Nodes!B1396+"'E4!(RZ"</f>
        <v>#VALUE!</v>
      </c>
      <c r="EK170" t="e">
        <f>Nodes!C1396+"'E4!(R["</f>
        <v>#VALUE!</v>
      </c>
      <c r="EL170" t="e">
        <f>Nodes!D1396+"'E4!(R\"</f>
        <v>#VALUE!</v>
      </c>
      <c r="EM170" t="e">
        <f>Nodes!E1396+"'E4!(R]"</f>
        <v>#VALUE!</v>
      </c>
      <c r="EN170" t="e">
        <f>Nodes!F1396+"'E4!(R^"</f>
        <v>#VALUE!</v>
      </c>
      <c r="EO170" t="e">
        <f>Nodes!G1396+"'E4!(R_"</f>
        <v>#VALUE!</v>
      </c>
      <c r="EP170" t="e">
        <f>Nodes!H1396+"'E4!(R`"</f>
        <v>#VALUE!</v>
      </c>
      <c r="EQ170" t="e">
        <f>Nodes!I1396+"'E4!(Ra"</f>
        <v>#VALUE!</v>
      </c>
      <c r="ER170" t="e">
        <f>Nodes!J1396+"'E4!(Rb"</f>
        <v>#VALUE!</v>
      </c>
      <c r="ES170" t="e">
        <f>Nodes!K1396+"'E4!(Rc"</f>
        <v>#VALUE!</v>
      </c>
      <c r="ET170" t="e">
        <f>Nodes!L1396+"'E4!(Rd"</f>
        <v>#VALUE!</v>
      </c>
      <c r="EU170" t="e">
        <f>Nodes!M1396+"'E4!(Re"</f>
        <v>#VALUE!</v>
      </c>
      <c r="EV170" t="e">
        <f>Nodes!N1396+"'E4!(Rf"</f>
        <v>#VALUE!</v>
      </c>
      <c r="EW170" t="e">
        <f>Nodes!O1396+"'E4!(Rg"</f>
        <v>#VALUE!</v>
      </c>
      <c r="EX170" t="e">
        <f>Nodes!P1396+"'E4!(Rh"</f>
        <v>#VALUE!</v>
      </c>
      <c r="EY170" t="e">
        <f>Nodes!Q1396+"'E4!(Ri"</f>
        <v>#VALUE!</v>
      </c>
      <c r="EZ170" t="e">
        <f>Nodes!R1396+"'E4!(Rj"</f>
        <v>#VALUE!</v>
      </c>
      <c r="FA170" t="e">
        <f>Nodes!S1396+"'E4!(Rk"</f>
        <v>#VALUE!</v>
      </c>
      <c r="FB170" t="e">
        <f>Nodes!T1396+"'E4!(Rl"</f>
        <v>#VALUE!</v>
      </c>
      <c r="FC170" s="550" t="e">
        <f>Nodes!U1396+"'E4!(Rm"</f>
        <v>#VALUE!</v>
      </c>
      <c r="FD170" t="e">
        <f>Nodes!V1396+"'E4!(Rn"</f>
        <v>#VALUE!</v>
      </c>
      <c r="FE170" t="e">
        <f>Nodes!W1396+"'E4!(Ro"</f>
        <v>#VALUE!</v>
      </c>
      <c r="FF170" t="e">
        <f>Nodes!X1396+"'E4!(Rp"</f>
        <v>#VALUE!</v>
      </c>
      <c r="FG170" t="e">
        <f>Nodes!Y1396+"'E4!(Rq"</f>
        <v>#VALUE!</v>
      </c>
      <c r="FH170" t="e">
        <f>Nodes!Z1396+"'E4!(Rr"</f>
        <v>#VALUE!</v>
      </c>
      <c r="FI170" t="e">
        <f>Nodes!AA1396+"'E4!(Rs"</f>
        <v>#VALUE!</v>
      </c>
      <c r="FJ170" t="e">
        <f>Nodes!AB1396+"'E4!(Rt"</f>
        <v>#VALUE!</v>
      </c>
      <c r="FK170" t="e">
        <f>Nodes!AC1396+"'E4!(Ru"</f>
        <v>#VALUE!</v>
      </c>
      <c r="FL170" t="e">
        <f>Nodes!A1397+"'E4!(Rv"</f>
        <v>#VALUE!</v>
      </c>
      <c r="FM170" t="e">
        <f>Nodes!B1397+"'E4!(Rw"</f>
        <v>#VALUE!</v>
      </c>
      <c r="FN170" t="e">
        <f>Nodes!C1397+"'E4!(Rx"</f>
        <v>#VALUE!</v>
      </c>
      <c r="FO170" t="e">
        <f>Nodes!D1397+"'E4!(Ry"</f>
        <v>#VALUE!</v>
      </c>
      <c r="FP170" t="e">
        <f>Nodes!E1397+"'E4!(Rz"</f>
        <v>#VALUE!</v>
      </c>
      <c r="FQ170" t="e">
        <f>Nodes!F1397+"'E4!(R{"</f>
        <v>#VALUE!</v>
      </c>
      <c r="FR170" t="e">
        <f>Nodes!G1397+"'E4!(R|"</f>
        <v>#VALUE!</v>
      </c>
      <c r="FS170" t="e">
        <f>Nodes!H1397+"'E4!(R}"</f>
        <v>#VALUE!</v>
      </c>
      <c r="FT170" t="e">
        <f>Nodes!I1397+"'E4!(R~"</f>
        <v>#VALUE!</v>
      </c>
      <c r="FU170" t="e">
        <f>Nodes!J1397+"'E4!(S#"</f>
        <v>#VALUE!</v>
      </c>
      <c r="FV170" t="e">
        <f>Nodes!K1397+"'E4!(S$"</f>
        <v>#VALUE!</v>
      </c>
      <c r="FW170" t="e">
        <f>Nodes!L1397+"'E4!(S%"</f>
        <v>#VALUE!</v>
      </c>
      <c r="FX170" t="e">
        <f>Nodes!M1397+"'E4!(S&amp;"</f>
        <v>#VALUE!</v>
      </c>
      <c r="FY170" t="e">
        <f>Nodes!N1397+"'E4!(S'"</f>
        <v>#VALUE!</v>
      </c>
      <c r="FZ170" t="e">
        <f>Nodes!O1397+"'E4!(S("</f>
        <v>#VALUE!</v>
      </c>
      <c r="GA170" t="e">
        <f>Nodes!P1397+"'E4!(S)"</f>
        <v>#VALUE!</v>
      </c>
      <c r="GB170" t="e">
        <f>Nodes!Q1397+"'E4!(S."</f>
        <v>#VALUE!</v>
      </c>
      <c r="GC170" t="e">
        <f>Nodes!R1397+"'E4!(S/"</f>
        <v>#VALUE!</v>
      </c>
      <c r="GD170" t="e">
        <f>Nodes!S1397+"'E4!(S0"</f>
        <v>#VALUE!</v>
      </c>
      <c r="GE170" t="e">
        <f>Nodes!T1397+"'E4!(S1"</f>
        <v>#VALUE!</v>
      </c>
      <c r="GF170" s="550" t="e">
        <f>Nodes!U1397+"'E4!(S2"</f>
        <v>#VALUE!</v>
      </c>
      <c r="GG170" t="e">
        <f>Nodes!V1397+"'E4!(S3"</f>
        <v>#VALUE!</v>
      </c>
      <c r="GH170" t="e">
        <f>Nodes!W1397+"'E4!(S4"</f>
        <v>#VALUE!</v>
      </c>
      <c r="GI170" t="e">
        <f>Nodes!X1397+"'E4!(S5"</f>
        <v>#VALUE!</v>
      </c>
      <c r="GJ170" t="e">
        <f>Nodes!Y1397+"'E4!(S6"</f>
        <v>#VALUE!</v>
      </c>
      <c r="GK170" t="e">
        <f>Nodes!Z1397+"'E4!(S7"</f>
        <v>#VALUE!</v>
      </c>
      <c r="GL170" t="e">
        <f>Nodes!AA1397+"'E4!(S8"</f>
        <v>#VALUE!</v>
      </c>
      <c r="GM170" t="e">
        <f>Nodes!AB1397+"'E4!(S9"</f>
        <v>#VALUE!</v>
      </c>
      <c r="GN170" t="e">
        <f>Nodes!AC1397+"'E4!(S:"</f>
        <v>#VALUE!</v>
      </c>
      <c r="GO170" t="e">
        <f>Nodes!A1398+"'E4!(S;"</f>
        <v>#VALUE!</v>
      </c>
      <c r="GP170" t="e">
        <f>Nodes!B1398+"'E4!(S&lt;"</f>
        <v>#VALUE!</v>
      </c>
      <c r="GQ170" t="e">
        <f>Nodes!C1398+"'E4!(S="</f>
        <v>#VALUE!</v>
      </c>
      <c r="GR170" t="e">
        <f>Nodes!D1398+"'E4!(S&gt;"</f>
        <v>#VALUE!</v>
      </c>
      <c r="GS170" t="e">
        <f>Nodes!E1398+"'E4!(S?"</f>
        <v>#VALUE!</v>
      </c>
      <c r="GT170" t="e">
        <f>Nodes!F1398+"'E4!(S@"</f>
        <v>#VALUE!</v>
      </c>
      <c r="GU170" t="e">
        <f>Nodes!G1398+"'E4!(SA"</f>
        <v>#VALUE!</v>
      </c>
      <c r="GV170" t="e">
        <f>Nodes!H1398+"'E4!(SB"</f>
        <v>#VALUE!</v>
      </c>
      <c r="GW170" t="e">
        <f>Nodes!I1398+"'E4!(SC"</f>
        <v>#VALUE!</v>
      </c>
      <c r="GX170" t="e">
        <f>Nodes!J1398+"'E4!(SD"</f>
        <v>#VALUE!</v>
      </c>
      <c r="GY170" t="e">
        <f>Nodes!K1398+"'E4!(SE"</f>
        <v>#VALUE!</v>
      </c>
      <c r="GZ170" t="e">
        <f>Nodes!L1398+"'E4!(SF"</f>
        <v>#VALUE!</v>
      </c>
      <c r="HA170" t="e">
        <f>Nodes!M1398+"'E4!(SG"</f>
        <v>#VALUE!</v>
      </c>
      <c r="HB170" t="e">
        <f>Nodes!N1398+"'E4!(SH"</f>
        <v>#VALUE!</v>
      </c>
      <c r="HC170" t="e">
        <f>Nodes!O1398+"'E4!(SI"</f>
        <v>#VALUE!</v>
      </c>
      <c r="HD170" t="e">
        <f>Nodes!P1398+"'E4!(SJ"</f>
        <v>#VALUE!</v>
      </c>
      <c r="HE170" t="e">
        <f>Nodes!Q1398+"'E4!(SK"</f>
        <v>#VALUE!</v>
      </c>
      <c r="HF170" t="e">
        <f>Nodes!R1398+"'E4!(SL"</f>
        <v>#VALUE!</v>
      </c>
      <c r="HG170" t="e">
        <f>Nodes!S1398+"'E4!(SM"</f>
        <v>#VALUE!</v>
      </c>
      <c r="HH170" t="e">
        <f>Nodes!T1398+"'E4!(SN"</f>
        <v>#VALUE!</v>
      </c>
      <c r="HI170" s="550" t="e">
        <f>Nodes!U1398+"'E4!(SO"</f>
        <v>#VALUE!</v>
      </c>
      <c r="HJ170" t="e">
        <f>Nodes!V1398+"'E4!(SP"</f>
        <v>#VALUE!</v>
      </c>
      <c r="HK170" t="e">
        <f>Nodes!W1398+"'E4!(SQ"</f>
        <v>#VALUE!</v>
      </c>
      <c r="HL170" t="e">
        <f>Nodes!X1398+"'E4!(SR"</f>
        <v>#VALUE!</v>
      </c>
      <c r="HM170" t="e">
        <f>Nodes!Y1398+"'E4!(SS"</f>
        <v>#VALUE!</v>
      </c>
      <c r="HN170" t="e">
        <f>Nodes!Z1398+"'E4!(ST"</f>
        <v>#VALUE!</v>
      </c>
      <c r="HO170" t="e">
        <f>Nodes!AA1398+"'E4!(SU"</f>
        <v>#VALUE!</v>
      </c>
      <c r="HP170" t="e">
        <f>Nodes!AB1398+"'E4!(SV"</f>
        <v>#VALUE!</v>
      </c>
      <c r="HQ170" t="e">
        <f>Nodes!AC1398+"'E4!(SW"</f>
        <v>#VALUE!</v>
      </c>
      <c r="HR170" t="e">
        <f>Nodes!A1399+"'E4!(SX"</f>
        <v>#VALUE!</v>
      </c>
      <c r="HS170" t="e">
        <f>Nodes!B1399+"'E4!(SY"</f>
        <v>#VALUE!</v>
      </c>
      <c r="HT170" t="e">
        <f>Nodes!C1399+"'E4!(SZ"</f>
        <v>#VALUE!</v>
      </c>
      <c r="HU170" t="e">
        <f>Nodes!D1399+"'E4!(S["</f>
        <v>#VALUE!</v>
      </c>
      <c r="HV170" t="e">
        <f>Nodes!E1399+"'E4!(S\"</f>
        <v>#VALUE!</v>
      </c>
      <c r="HW170" t="e">
        <f>Nodes!F1399+"'E4!(S]"</f>
        <v>#VALUE!</v>
      </c>
      <c r="HX170" t="e">
        <f>Nodes!G1399+"'E4!(S^"</f>
        <v>#VALUE!</v>
      </c>
      <c r="HY170" t="e">
        <f>Nodes!H1399+"'E4!(S_"</f>
        <v>#VALUE!</v>
      </c>
      <c r="HZ170" t="e">
        <f>Nodes!I1399+"'E4!(S`"</f>
        <v>#VALUE!</v>
      </c>
      <c r="IA170" t="e">
        <f>Nodes!J1399+"'E4!(Sa"</f>
        <v>#VALUE!</v>
      </c>
      <c r="IB170" t="e">
        <f>Nodes!K1399+"'E4!(Sb"</f>
        <v>#VALUE!</v>
      </c>
      <c r="IC170" t="e">
        <f>Nodes!L1399+"'E4!(Sc"</f>
        <v>#VALUE!</v>
      </c>
      <c r="ID170" t="e">
        <f>Nodes!M1399+"'E4!(Sd"</f>
        <v>#VALUE!</v>
      </c>
      <c r="IE170" t="e">
        <f>Nodes!N1399+"'E4!(Se"</f>
        <v>#VALUE!</v>
      </c>
      <c r="IF170" t="e">
        <f>Nodes!O1399+"'E4!(Sf"</f>
        <v>#VALUE!</v>
      </c>
      <c r="IG170" t="e">
        <f>Nodes!P1399+"'E4!(Sg"</f>
        <v>#VALUE!</v>
      </c>
      <c r="IH170" t="e">
        <f>Nodes!Q1399+"'E4!(Sh"</f>
        <v>#VALUE!</v>
      </c>
      <c r="II170" t="e">
        <f>Nodes!R1399+"'E4!(Si"</f>
        <v>#VALUE!</v>
      </c>
      <c r="IJ170" t="e">
        <f>Nodes!S1399+"'E4!(Sj"</f>
        <v>#VALUE!</v>
      </c>
      <c r="IK170" t="e">
        <f>Nodes!T1399+"'E4!(Sk"</f>
        <v>#VALUE!</v>
      </c>
      <c r="IL170" s="550" t="e">
        <f>Nodes!U1399+"'E4!(Sl"</f>
        <v>#VALUE!</v>
      </c>
      <c r="IM170" t="e">
        <f>Nodes!V1399+"'E4!(Sm"</f>
        <v>#VALUE!</v>
      </c>
      <c r="IN170" t="e">
        <f>Nodes!W1399+"'E4!(Sn"</f>
        <v>#VALUE!</v>
      </c>
      <c r="IO170" t="e">
        <f>Nodes!X1399+"'E4!(So"</f>
        <v>#VALUE!</v>
      </c>
      <c r="IP170" t="e">
        <f>Nodes!Y1399+"'E4!(Sp"</f>
        <v>#VALUE!</v>
      </c>
      <c r="IQ170" t="e">
        <f>Nodes!Z1399+"'E4!(Sq"</f>
        <v>#VALUE!</v>
      </c>
      <c r="IR170" t="e">
        <f>Nodes!AA1399+"'E4!(Sr"</f>
        <v>#VALUE!</v>
      </c>
      <c r="IS170" t="e">
        <f>Nodes!AB1399+"'E4!(Ss"</f>
        <v>#VALUE!</v>
      </c>
      <c r="IT170" t="e">
        <f>Nodes!AC1399+"'E4!(St"</f>
        <v>#VALUE!</v>
      </c>
      <c r="IU170" t="e">
        <f>Nodes!A1400+"'E4!(Su"</f>
        <v>#VALUE!</v>
      </c>
      <c r="IV170" t="e">
        <f>Nodes!B1400+"'E4!(Sv"</f>
        <v>#VALUE!</v>
      </c>
    </row>
    <row r="171" spans="6:256">
      <c r="F171" t="e">
        <f>Nodes!C1400+"'E4!(Sw"</f>
        <v>#VALUE!</v>
      </c>
      <c r="G171" t="e">
        <f>Nodes!D1400+"'E4!(Sx"</f>
        <v>#VALUE!</v>
      </c>
      <c r="H171" t="e">
        <f>Nodes!E1400+"'E4!(Sy"</f>
        <v>#VALUE!</v>
      </c>
      <c r="I171" t="e">
        <f>Nodes!F1400+"'E4!(Sz"</f>
        <v>#VALUE!</v>
      </c>
      <c r="J171" t="e">
        <f>Nodes!G1400+"'E4!(S{"</f>
        <v>#VALUE!</v>
      </c>
      <c r="K171" t="e">
        <f>Nodes!H1400+"'E4!(S|"</f>
        <v>#VALUE!</v>
      </c>
      <c r="L171" t="e">
        <f>Nodes!I1400+"'E4!(S}"</f>
        <v>#VALUE!</v>
      </c>
      <c r="M171" t="e">
        <f>Nodes!J1400+"'E4!(S~"</f>
        <v>#VALUE!</v>
      </c>
      <c r="N171" t="e">
        <f>Nodes!K1400+"'E4!(T#"</f>
        <v>#VALUE!</v>
      </c>
      <c r="O171" t="e">
        <f>Nodes!L1400+"'E4!(T$"</f>
        <v>#VALUE!</v>
      </c>
      <c r="P171" t="e">
        <f>Nodes!M1400+"'E4!(T%"</f>
        <v>#VALUE!</v>
      </c>
      <c r="Q171" t="e">
        <f>Nodes!N1400+"'E4!(T&amp;"</f>
        <v>#VALUE!</v>
      </c>
      <c r="R171" t="e">
        <f>Nodes!O1400+"'E4!(T'"</f>
        <v>#VALUE!</v>
      </c>
      <c r="S171" t="e">
        <f>Nodes!P1400+"'E4!(T("</f>
        <v>#VALUE!</v>
      </c>
      <c r="T171" t="e">
        <f>Nodes!Q1400+"'E4!(T)"</f>
        <v>#VALUE!</v>
      </c>
      <c r="U171" t="e">
        <f>Nodes!R1400+"'E4!(T."</f>
        <v>#VALUE!</v>
      </c>
      <c r="V171" t="e">
        <f>Nodes!S1400+"'E4!(T/"</f>
        <v>#VALUE!</v>
      </c>
      <c r="W171" t="e">
        <f>Nodes!T1400+"'E4!(T0"</f>
        <v>#VALUE!</v>
      </c>
      <c r="X171" s="550" t="e">
        <f>Nodes!U1400+"'E4!(T1"</f>
        <v>#VALUE!</v>
      </c>
      <c r="Y171" t="e">
        <f>Nodes!V1400+"'E4!(T2"</f>
        <v>#VALUE!</v>
      </c>
      <c r="Z171" t="e">
        <f>Nodes!W1400+"'E4!(T3"</f>
        <v>#VALUE!</v>
      </c>
      <c r="AA171" t="e">
        <f>Nodes!X1400+"'E4!(T4"</f>
        <v>#VALUE!</v>
      </c>
      <c r="AB171" t="e">
        <f>Nodes!Y1400+"'E4!(T5"</f>
        <v>#VALUE!</v>
      </c>
      <c r="AC171" t="e">
        <f>Nodes!Z1400+"'E4!(T6"</f>
        <v>#VALUE!</v>
      </c>
      <c r="AD171" t="e">
        <f>Nodes!AA1400+"'E4!(T7"</f>
        <v>#VALUE!</v>
      </c>
      <c r="AE171" t="e">
        <f>Nodes!AB1400+"'E4!(T8"</f>
        <v>#VALUE!</v>
      </c>
      <c r="AF171" t="e">
        <f>Nodes!AC1400+"'E4!(T9"</f>
        <v>#VALUE!</v>
      </c>
      <c r="AG171" t="e">
        <f>Nodes!A1401+"'E4!(T:"</f>
        <v>#VALUE!</v>
      </c>
      <c r="AH171" t="e">
        <f>Nodes!B1401+"'E4!(T;"</f>
        <v>#VALUE!</v>
      </c>
      <c r="AI171" t="e">
        <f>Nodes!C1401+"'E4!(T&lt;"</f>
        <v>#VALUE!</v>
      </c>
      <c r="AJ171" t="e">
        <f>Nodes!D1401+"'E4!(T="</f>
        <v>#VALUE!</v>
      </c>
      <c r="AK171" t="e">
        <f>Nodes!E1401+"'E4!(T&gt;"</f>
        <v>#VALUE!</v>
      </c>
      <c r="AL171" t="e">
        <f>Nodes!F1401+"'E4!(T?"</f>
        <v>#VALUE!</v>
      </c>
      <c r="AM171" t="e">
        <f>Nodes!G1401+"'E4!(T@"</f>
        <v>#VALUE!</v>
      </c>
      <c r="AN171" t="e">
        <f>Nodes!H1401+"'E4!(TA"</f>
        <v>#VALUE!</v>
      </c>
      <c r="AO171" t="e">
        <f>Nodes!I1401+"'E4!(TB"</f>
        <v>#VALUE!</v>
      </c>
      <c r="AP171" t="e">
        <f>Nodes!J1401+"'E4!(TC"</f>
        <v>#VALUE!</v>
      </c>
      <c r="AQ171" t="e">
        <f>Nodes!K1401+"'E4!(TD"</f>
        <v>#VALUE!</v>
      </c>
      <c r="AR171" t="e">
        <f>Nodes!L1401+"'E4!(TE"</f>
        <v>#VALUE!</v>
      </c>
      <c r="AS171" t="e">
        <f>Nodes!M1401+"'E4!(TF"</f>
        <v>#VALUE!</v>
      </c>
      <c r="AT171" t="e">
        <f>Nodes!N1401+"'E4!(TG"</f>
        <v>#VALUE!</v>
      </c>
      <c r="AU171" t="e">
        <f>Nodes!O1401+"'E4!(TH"</f>
        <v>#VALUE!</v>
      </c>
      <c r="AV171" t="e">
        <f>Nodes!P1401+"'E4!(TI"</f>
        <v>#VALUE!</v>
      </c>
      <c r="AW171" t="e">
        <f>Nodes!Q1401+"'E4!(TJ"</f>
        <v>#VALUE!</v>
      </c>
      <c r="AX171" t="e">
        <f>Nodes!R1401+"'E4!(TK"</f>
        <v>#VALUE!</v>
      </c>
      <c r="AY171" t="e">
        <f>Nodes!S1401+"'E4!(TL"</f>
        <v>#VALUE!</v>
      </c>
      <c r="AZ171" t="e">
        <f>Nodes!T1401+"'E4!(TM"</f>
        <v>#VALUE!</v>
      </c>
      <c r="BA171" s="550" t="e">
        <f>Nodes!U1401+"'E4!(TN"</f>
        <v>#VALUE!</v>
      </c>
      <c r="BB171" t="e">
        <f>Nodes!V1401+"'E4!(TO"</f>
        <v>#VALUE!</v>
      </c>
      <c r="BC171" t="e">
        <f>Nodes!W1401+"'E4!(TP"</f>
        <v>#VALUE!</v>
      </c>
      <c r="BD171" t="e">
        <f>Nodes!X1401+"'E4!(TQ"</f>
        <v>#VALUE!</v>
      </c>
      <c r="BE171" t="e">
        <f>Nodes!Y1401+"'E4!(TR"</f>
        <v>#VALUE!</v>
      </c>
      <c r="BF171" t="e">
        <f>Nodes!Z1401+"'E4!(TS"</f>
        <v>#VALUE!</v>
      </c>
      <c r="BG171" t="e">
        <f>Nodes!AA1401+"'E4!(TT"</f>
        <v>#VALUE!</v>
      </c>
      <c r="BH171" t="e">
        <f>Nodes!AB1401+"'E4!(TU"</f>
        <v>#VALUE!</v>
      </c>
      <c r="BI171" t="e">
        <f>Nodes!AC1401+"'E4!(TV"</f>
        <v>#VALUE!</v>
      </c>
      <c r="BJ171" t="e">
        <f>Nodes!A1402+"'E4!(TW"</f>
        <v>#VALUE!</v>
      </c>
      <c r="BK171" t="e">
        <f>Nodes!B1402+"'E4!(TX"</f>
        <v>#VALUE!</v>
      </c>
      <c r="BL171" t="e">
        <f>Nodes!C1402+"'E4!(TY"</f>
        <v>#VALUE!</v>
      </c>
      <c r="BM171" t="e">
        <f>Nodes!D1402+"'E4!(TZ"</f>
        <v>#VALUE!</v>
      </c>
      <c r="BN171" t="e">
        <f>Nodes!E1402+"'E4!(T["</f>
        <v>#VALUE!</v>
      </c>
      <c r="BO171" t="e">
        <f>Nodes!F1402+"'E4!(T\"</f>
        <v>#VALUE!</v>
      </c>
      <c r="BP171" t="e">
        <f>Nodes!G1402+"'E4!(T]"</f>
        <v>#VALUE!</v>
      </c>
      <c r="BQ171" t="e">
        <f>Nodes!H1402+"'E4!(T^"</f>
        <v>#VALUE!</v>
      </c>
      <c r="BR171" t="e">
        <f>Nodes!I1402+"'E4!(T_"</f>
        <v>#VALUE!</v>
      </c>
      <c r="BS171" t="e">
        <f>Nodes!J1402+"'E4!(T`"</f>
        <v>#VALUE!</v>
      </c>
      <c r="BT171" t="e">
        <f>Nodes!K1402+"'E4!(Ta"</f>
        <v>#VALUE!</v>
      </c>
      <c r="BU171" t="e">
        <f>Nodes!L1402+"'E4!(Tb"</f>
        <v>#VALUE!</v>
      </c>
      <c r="BV171" t="e">
        <f>Nodes!M1402+"'E4!(Tc"</f>
        <v>#VALUE!</v>
      </c>
      <c r="BW171" t="e">
        <f>Nodes!N1402+"'E4!(Td"</f>
        <v>#VALUE!</v>
      </c>
      <c r="BX171" t="e">
        <f>Nodes!O1402+"'E4!(Te"</f>
        <v>#VALUE!</v>
      </c>
      <c r="BY171" t="e">
        <f>Nodes!P1402+"'E4!(Tf"</f>
        <v>#VALUE!</v>
      </c>
      <c r="BZ171" t="e">
        <f>Nodes!Q1402+"'E4!(Tg"</f>
        <v>#VALUE!</v>
      </c>
      <c r="CA171" t="e">
        <f>Nodes!R1402+"'E4!(Th"</f>
        <v>#VALUE!</v>
      </c>
      <c r="CB171" t="e">
        <f>Nodes!S1402+"'E4!(Ti"</f>
        <v>#VALUE!</v>
      </c>
      <c r="CC171" t="e">
        <f>Nodes!T1402+"'E4!(Tj"</f>
        <v>#VALUE!</v>
      </c>
      <c r="CD171" s="550" t="e">
        <f>Nodes!U1402+"'E4!(Tk"</f>
        <v>#VALUE!</v>
      </c>
      <c r="CE171" t="e">
        <f>Nodes!V1402+"'E4!(Tl"</f>
        <v>#VALUE!</v>
      </c>
      <c r="CF171" t="e">
        <f>Nodes!W1402+"'E4!(Tm"</f>
        <v>#VALUE!</v>
      </c>
      <c r="CG171" t="e">
        <f>Nodes!X1402+"'E4!(Tn"</f>
        <v>#VALUE!</v>
      </c>
      <c r="CH171" t="e">
        <f>Nodes!Y1402+"'E4!(To"</f>
        <v>#VALUE!</v>
      </c>
      <c r="CI171" t="e">
        <f>Nodes!Z1402+"'E4!(Tp"</f>
        <v>#VALUE!</v>
      </c>
      <c r="CJ171" t="e">
        <f>Nodes!AA1402+"'E4!(Tq"</f>
        <v>#VALUE!</v>
      </c>
      <c r="CK171" t="e">
        <f>Nodes!AB1402+"'E4!(Tr"</f>
        <v>#VALUE!</v>
      </c>
      <c r="CL171" t="e">
        <f>Nodes!AC1402+"'E4!(Ts"</f>
        <v>#VALUE!</v>
      </c>
      <c r="CM171" t="e">
        <f>Nodes!A1403+"'E4!(Tt"</f>
        <v>#VALUE!</v>
      </c>
      <c r="CN171" t="e">
        <f>Nodes!B1403+"'E4!(Tu"</f>
        <v>#VALUE!</v>
      </c>
      <c r="CO171" t="e">
        <f>Nodes!C1403+"'E4!(Tv"</f>
        <v>#VALUE!</v>
      </c>
      <c r="CP171" t="e">
        <f>Nodes!D1403+"'E4!(Tw"</f>
        <v>#VALUE!</v>
      </c>
      <c r="CQ171" t="e">
        <f>Nodes!E1403+"'E4!(Tx"</f>
        <v>#VALUE!</v>
      </c>
      <c r="CR171" t="e">
        <f>Nodes!F1403+"'E4!(Ty"</f>
        <v>#VALUE!</v>
      </c>
      <c r="CS171" t="e">
        <f>Nodes!G1403+"'E4!(Tz"</f>
        <v>#VALUE!</v>
      </c>
      <c r="CT171" t="e">
        <f>Nodes!H1403+"'E4!(T{"</f>
        <v>#VALUE!</v>
      </c>
      <c r="CU171" t="e">
        <f>Nodes!I1403+"'E4!(T|"</f>
        <v>#VALUE!</v>
      </c>
      <c r="CV171" t="e">
        <f>Nodes!J1403+"'E4!(T}"</f>
        <v>#VALUE!</v>
      </c>
      <c r="CW171" t="e">
        <f>Nodes!K1403+"'E4!(T~"</f>
        <v>#VALUE!</v>
      </c>
      <c r="CX171" t="e">
        <f>Nodes!L1403+"'E4!(U#"</f>
        <v>#VALUE!</v>
      </c>
      <c r="CY171" t="e">
        <f>Nodes!M1403+"'E4!(U$"</f>
        <v>#VALUE!</v>
      </c>
      <c r="CZ171" t="e">
        <f>Nodes!N1403+"'E4!(U%"</f>
        <v>#VALUE!</v>
      </c>
      <c r="DA171" t="e">
        <f>Nodes!O1403+"'E4!(U&amp;"</f>
        <v>#VALUE!</v>
      </c>
      <c r="DB171" t="e">
        <f>Nodes!P1403+"'E4!(U'"</f>
        <v>#VALUE!</v>
      </c>
      <c r="DC171" t="e">
        <f>Nodes!Q1403+"'E4!(U("</f>
        <v>#VALUE!</v>
      </c>
      <c r="DD171" t="e">
        <f>Nodes!R1403+"'E4!(U)"</f>
        <v>#VALUE!</v>
      </c>
      <c r="DE171" t="e">
        <f>Nodes!S1403+"'E4!(U."</f>
        <v>#VALUE!</v>
      </c>
      <c r="DF171" t="e">
        <f>Nodes!T1403+"'E4!(U/"</f>
        <v>#VALUE!</v>
      </c>
      <c r="DG171" s="550" t="e">
        <f>Nodes!U1403+"'E4!(U0"</f>
        <v>#VALUE!</v>
      </c>
      <c r="DH171" t="e">
        <f>Nodes!V1403+"'E4!(U1"</f>
        <v>#VALUE!</v>
      </c>
      <c r="DI171" t="e">
        <f>Nodes!W1403+"'E4!(U2"</f>
        <v>#VALUE!</v>
      </c>
      <c r="DJ171" t="e">
        <f>Nodes!X1403+"'E4!(U3"</f>
        <v>#VALUE!</v>
      </c>
      <c r="DK171" t="e">
        <f>Nodes!Y1403+"'E4!(U4"</f>
        <v>#VALUE!</v>
      </c>
      <c r="DL171" t="e">
        <f>Nodes!Z1403+"'E4!(U5"</f>
        <v>#VALUE!</v>
      </c>
      <c r="DM171" t="e">
        <f>Nodes!AA1403+"'E4!(U6"</f>
        <v>#VALUE!</v>
      </c>
      <c r="DN171" t="e">
        <f>Nodes!AB1403+"'E4!(U7"</f>
        <v>#VALUE!</v>
      </c>
      <c r="DO171" t="e">
        <f>Nodes!AC1403+"'E4!(U8"</f>
        <v>#VALUE!</v>
      </c>
      <c r="DP171" t="e">
        <f>Nodes!A1404+"'E4!(U9"</f>
        <v>#VALUE!</v>
      </c>
      <c r="DQ171" t="e">
        <f>Nodes!B1404+"'E4!(U:"</f>
        <v>#VALUE!</v>
      </c>
      <c r="DR171" t="e">
        <f>Nodes!C1404+"'E4!(U;"</f>
        <v>#VALUE!</v>
      </c>
      <c r="DS171" t="e">
        <f>Nodes!D1404+"'E4!(U&lt;"</f>
        <v>#VALUE!</v>
      </c>
      <c r="DT171" t="e">
        <f>Nodes!E1404+"'E4!(U="</f>
        <v>#VALUE!</v>
      </c>
      <c r="DU171" t="e">
        <f>Nodes!F1404+"'E4!(U&gt;"</f>
        <v>#VALUE!</v>
      </c>
      <c r="DV171" t="e">
        <f>Nodes!G1404+"'E4!(U?"</f>
        <v>#VALUE!</v>
      </c>
      <c r="DW171" t="e">
        <f>Nodes!H1404+"'E4!(U@"</f>
        <v>#VALUE!</v>
      </c>
      <c r="DX171" t="e">
        <f>Nodes!I1404+"'E4!(UA"</f>
        <v>#VALUE!</v>
      </c>
      <c r="DY171" t="e">
        <f>Nodes!J1404+"'E4!(UB"</f>
        <v>#VALUE!</v>
      </c>
      <c r="DZ171" t="e">
        <f>Nodes!K1404+"'E4!(UC"</f>
        <v>#VALUE!</v>
      </c>
      <c r="EA171" t="e">
        <f>Nodes!L1404+"'E4!(UD"</f>
        <v>#VALUE!</v>
      </c>
      <c r="EB171" t="e">
        <f>Nodes!M1404+"'E4!(UE"</f>
        <v>#VALUE!</v>
      </c>
      <c r="EC171" t="e">
        <f>Nodes!N1404+"'E4!(UF"</f>
        <v>#VALUE!</v>
      </c>
      <c r="ED171" t="e">
        <f>Nodes!O1404+"'E4!(UG"</f>
        <v>#VALUE!</v>
      </c>
      <c r="EE171" t="e">
        <f>Nodes!P1404+"'E4!(UH"</f>
        <v>#VALUE!</v>
      </c>
      <c r="EF171" t="e">
        <f>Nodes!Q1404+"'E4!(UI"</f>
        <v>#VALUE!</v>
      </c>
      <c r="EG171" t="e">
        <f>Nodes!R1404+"'E4!(UJ"</f>
        <v>#VALUE!</v>
      </c>
      <c r="EH171" t="e">
        <f>Nodes!S1404+"'E4!(UK"</f>
        <v>#VALUE!</v>
      </c>
      <c r="EI171" t="e">
        <f>Nodes!T1404+"'E4!(UL"</f>
        <v>#VALUE!</v>
      </c>
      <c r="EJ171" s="550" t="e">
        <f>Nodes!U1404+"'E4!(UM"</f>
        <v>#VALUE!</v>
      </c>
      <c r="EK171" t="e">
        <f>Nodes!V1404+"'E4!(UN"</f>
        <v>#VALUE!</v>
      </c>
      <c r="EL171" t="e">
        <f>Nodes!W1404+"'E4!(UO"</f>
        <v>#VALUE!</v>
      </c>
      <c r="EM171" t="e">
        <f>Nodes!X1404+"'E4!(UP"</f>
        <v>#VALUE!</v>
      </c>
      <c r="EN171" t="e">
        <f>Nodes!Y1404+"'E4!(UQ"</f>
        <v>#VALUE!</v>
      </c>
      <c r="EO171" t="e">
        <f>Nodes!Z1404+"'E4!(UR"</f>
        <v>#VALUE!</v>
      </c>
      <c r="EP171" t="e">
        <f>Nodes!AA1404+"'E4!(US"</f>
        <v>#VALUE!</v>
      </c>
      <c r="EQ171" t="e">
        <f>Nodes!AB1404+"'E4!(UT"</f>
        <v>#VALUE!</v>
      </c>
      <c r="ER171" t="e">
        <f>Nodes!AC1404+"'E4!(UU"</f>
        <v>#VALUE!</v>
      </c>
      <c r="ES171" t="e">
        <f>Nodes!A1405+"'E4!(UV"</f>
        <v>#VALUE!</v>
      </c>
      <c r="ET171" t="e">
        <f>Nodes!B1405+"'E4!(UW"</f>
        <v>#VALUE!</v>
      </c>
      <c r="EU171" t="e">
        <f>Nodes!C1405+"'E4!(UX"</f>
        <v>#VALUE!</v>
      </c>
      <c r="EV171" t="e">
        <f>Nodes!D1405+"'E4!(UY"</f>
        <v>#VALUE!</v>
      </c>
      <c r="EW171" t="e">
        <f>Nodes!E1405+"'E4!(UZ"</f>
        <v>#VALUE!</v>
      </c>
      <c r="EX171" t="e">
        <f>Nodes!F1405+"'E4!(U["</f>
        <v>#VALUE!</v>
      </c>
      <c r="EY171" t="e">
        <f>Nodes!G1405+"'E4!(U\"</f>
        <v>#VALUE!</v>
      </c>
      <c r="EZ171" t="e">
        <f>Nodes!H1405+"'E4!(U]"</f>
        <v>#VALUE!</v>
      </c>
      <c r="FA171" t="e">
        <f>Nodes!I1405+"'E4!(U^"</f>
        <v>#VALUE!</v>
      </c>
      <c r="FB171" t="e">
        <f>Nodes!J1405+"'E4!(U_"</f>
        <v>#VALUE!</v>
      </c>
      <c r="FC171" t="e">
        <f>Nodes!K1405+"'E4!(U`"</f>
        <v>#VALUE!</v>
      </c>
      <c r="FD171" t="e">
        <f>Nodes!L1405+"'E4!(Ua"</f>
        <v>#VALUE!</v>
      </c>
      <c r="FE171" t="e">
        <f>Nodes!M1405+"'E4!(Ub"</f>
        <v>#VALUE!</v>
      </c>
      <c r="FF171" t="e">
        <f>Nodes!N1405+"'E4!(Uc"</f>
        <v>#VALUE!</v>
      </c>
      <c r="FG171" t="e">
        <f>Nodes!O1405+"'E4!(Ud"</f>
        <v>#VALUE!</v>
      </c>
      <c r="FH171" t="e">
        <f>Nodes!P1405+"'E4!(Ue"</f>
        <v>#VALUE!</v>
      </c>
      <c r="FI171" t="e">
        <f>Nodes!Q1405+"'E4!(Uf"</f>
        <v>#VALUE!</v>
      </c>
      <c r="FJ171" t="e">
        <f>Nodes!R1405+"'E4!(Ug"</f>
        <v>#VALUE!</v>
      </c>
      <c r="FK171" t="e">
        <f>Nodes!S1405+"'E4!(Uh"</f>
        <v>#VALUE!</v>
      </c>
      <c r="FL171" t="e">
        <f>Nodes!T1405+"'E4!(Ui"</f>
        <v>#VALUE!</v>
      </c>
      <c r="FM171" s="550" t="e">
        <f>Nodes!U1405+"'E4!(Uj"</f>
        <v>#VALUE!</v>
      </c>
      <c r="FN171" t="e">
        <f>Nodes!V1405+"'E4!(Uk"</f>
        <v>#VALUE!</v>
      </c>
      <c r="FO171" t="e">
        <f>Nodes!W1405+"'E4!(Ul"</f>
        <v>#VALUE!</v>
      </c>
      <c r="FP171" t="e">
        <f>Nodes!X1405+"'E4!(Um"</f>
        <v>#VALUE!</v>
      </c>
      <c r="FQ171" t="e">
        <f>Nodes!Y1405+"'E4!(Un"</f>
        <v>#VALUE!</v>
      </c>
      <c r="FR171" t="e">
        <f>Nodes!Z1405+"'E4!(Uo"</f>
        <v>#VALUE!</v>
      </c>
      <c r="FS171" t="e">
        <f>Nodes!AA1405+"'E4!(Up"</f>
        <v>#VALUE!</v>
      </c>
      <c r="FT171" t="e">
        <f>Nodes!AB1405+"'E4!(Uq"</f>
        <v>#VALUE!</v>
      </c>
      <c r="FU171" t="e">
        <f>Nodes!AC1405+"'E4!(Ur"</f>
        <v>#VALUE!</v>
      </c>
      <c r="FV171" t="e">
        <f>Nodes!A1406+"'E4!(Us"</f>
        <v>#VALUE!</v>
      </c>
      <c r="FW171" t="e">
        <f>Nodes!B1406+"'E4!(Ut"</f>
        <v>#VALUE!</v>
      </c>
      <c r="FX171" t="e">
        <f>Nodes!C1406+"'E4!(Uu"</f>
        <v>#VALUE!</v>
      </c>
      <c r="FY171" t="e">
        <f>Nodes!D1406+"'E4!(Uv"</f>
        <v>#VALUE!</v>
      </c>
      <c r="FZ171" t="e">
        <f>Nodes!E1406+"'E4!(Uw"</f>
        <v>#VALUE!</v>
      </c>
      <c r="GA171" t="e">
        <f>Nodes!F1406+"'E4!(Ux"</f>
        <v>#VALUE!</v>
      </c>
      <c r="GB171" t="e">
        <f>Nodes!G1406+"'E4!(Uy"</f>
        <v>#VALUE!</v>
      </c>
      <c r="GC171" t="e">
        <f>Nodes!H1406+"'E4!(Uz"</f>
        <v>#VALUE!</v>
      </c>
      <c r="GD171" t="e">
        <f>Nodes!I1406+"'E4!(U{"</f>
        <v>#VALUE!</v>
      </c>
      <c r="GE171" t="e">
        <f>Nodes!J1406+"'E4!(U|"</f>
        <v>#VALUE!</v>
      </c>
      <c r="GF171" t="e">
        <f>Nodes!K1406+"'E4!(U}"</f>
        <v>#VALUE!</v>
      </c>
      <c r="GG171" t="e">
        <f>Nodes!L1406+"'E4!(U~"</f>
        <v>#VALUE!</v>
      </c>
      <c r="GH171" t="e">
        <f>Nodes!M1406+"'E4!(V#"</f>
        <v>#VALUE!</v>
      </c>
      <c r="GI171" t="e">
        <f>Nodes!N1406+"'E4!(V$"</f>
        <v>#VALUE!</v>
      </c>
      <c r="GJ171" t="e">
        <f>Nodes!O1406+"'E4!(V%"</f>
        <v>#VALUE!</v>
      </c>
      <c r="GK171" t="e">
        <f>Nodes!P1406+"'E4!(V&amp;"</f>
        <v>#VALUE!</v>
      </c>
      <c r="GL171" t="e">
        <f>Nodes!Q1406+"'E4!(V'"</f>
        <v>#VALUE!</v>
      </c>
      <c r="GM171" t="e">
        <f>Nodes!R1406+"'E4!(V("</f>
        <v>#VALUE!</v>
      </c>
      <c r="GN171" t="e">
        <f>Nodes!S1406+"'E4!(V)"</f>
        <v>#VALUE!</v>
      </c>
      <c r="GO171" t="e">
        <f>Nodes!T1406+"'E4!(V."</f>
        <v>#VALUE!</v>
      </c>
      <c r="GP171" s="550" t="e">
        <f>Nodes!U1406+"'E4!(V/"</f>
        <v>#VALUE!</v>
      </c>
      <c r="GQ171" t="e">
        <f>Nodes!V1406+"'E4!(V0"</f>
        <v>#VALUE!</v>
      </c>
      <c r="GR171" t="e">
        <f>Nodes!W1406+"'E4!(V1"</f>
        <v>#VALUE!</v>
      </c>
      <c r="GS171" t="e">
        <f>Nodes!X1406+"'E4!(V2"</f>
        <v>#VALUE!</v>
      </c>
      <c r="GT171" t="e">
        <f>Nodes!Y1406+"'E4!(V3"</f>
        <v>#VALUE!</v>
      </c>
      <c r="GU171" t="e">
        <f>Nodes!Z1406+"'E4!(V4"</f>
        <v>#VALUE!</v>
      </c>
      <c r="GV171" t="e">
        <f>Nodes!AA1406+"'E4!(V5"</f>
        <v>#VALUE!</v>
      </c>
      <c r="GW171" t="e">
        <f>Nodes!AB1406+"'E4!(V6"</f>
        <v>#VALUE!</v>
      </c>
      <c r="GX171" t="e">
        <f>Nodes!AC1406+"'E4!(V7"</f>
        <v>#VALUE!</v>
      </c>
      <c r="GY171" t="e">
        <f>Nodes!A1407+"'E4!(V8"</f>
        <v>#VALUE!</v>
      </c>
      <c r="GZ171" t="e">
        <f>Nodes!B1407+"'E4!(V9"</f>
        <v>#VALUE!</v>
      </c>
      <c r="HA171" t="e">
        <f>Nodes!C1407+"'E4!(V:"</f>
        <v>#VALUE!</v>
      </c>
      <c r="HB171" t="e">
        <f>Nodes!D1407+"'E4!(V;"</f>
        <v>#VALUE!</v>
      </c>
      <c r="HC171" t="e">
        <f>Nodes!E1407+"'E4!(V&lt;"</f>
        <v>#VALUE!</v>
      </c>
      <c r="HD171" t="e">
        <f>Nodes!F1407+"'E4!(V="</f>
        <v>#VALUE!</v>
      </c>
      <c r="HE171" t="e">
        <f>Nodes!G1407+"'E4!(V&gt;"</f>
        <v>#VALUE!</v>
      </c>
      <c r="HF171" t="e">
        <f>Nodes!H1407+"'E4!(V?"</f>
        <v>#VALUE!</v>
      </c>
      <c r="HG171" t="e">
        <f>Nodes!I1407+"'E4!(V@"</f>
        <v>#VALUE!</v>
      </c>
      <c r="HH171" t="e">
        <f>Nodes!J1407+"'E4!(VA"</f>
        <v>#VALUE!</v>
      </c>
      <c r="HI171" t="e">
        <f>Nodes!K1407+"'E4!(VB"</f>
        <v>#VALUE!</v>
      </c>
      <c r="HJ171" t="e">
        <f>Nodes!L1407+"'E4!(VC"</f>
        <v>#VALUE!</v>
      </c>
      <c r="HK171" t="e">
        <f>Nodes!M1407+"'E4!(VD"</f>
        <v>#VALUE!</v>
      </c>
      <c r="HL171" t="e">
        <f>Nodes!N1407+"'E4!(VE"</f>
        <v>#VALUE!</v>
      </c>
      <c r="HM171" t="e">
        <f>Nodes!O1407+"'E4!(VF"</f>
        <v>#VALUE!</v>
      </c>
      <c r="HN171" t="e">
        <f>Nodes!P1407+"'E4!(VG"</f>
        <v>#VALUE!</v>
      </c>
      <c r="HO171" t="e">
        <f>Nodes!Q1407+"'E4!(VH"</f>
        <v>#VALUE!</v>
      </c>
      <c r="HP171" t="e">
        <f>Nodes!R1407+"'E4!(VI"</f>
        <v>#VALUE!</v>
      </c>
      <c r="HQ171" t="e">
        <f>Nodes!S1407+"'E4!(VJ"</f>
        <v>#VALUE!</v>
      </c>
      <c r="HR171" t="e">
        <f>Nodes!T1407+"'E4!(VK"</f>
        <v>#VALUE!</v>
      </c>
      <c r="HS171" s="550" t="e">
        <f>Nodes!U1407+"'E4!(VL"</f>
        <v>#VALUE!</v>
      </c>
      <c r="HT171" t="e">
        <f>Nodes!V1407+"'E4!(VM"</f>
        <v>#VALUE!</v>
      </c>
      <c r="HU171" t="e">
        <f>Nodes!W1407+"'E4!(VN"</f>
        <v>#VALUE!</v>
      </c>
      <c r="HV171" t="e">
        <f>Nodes!X1407+"'E4!(VO"</f>
        <v>#VALUE!</v>
      </c>
      <c r="HW171" t="e">
        <f>Nodes!Y1407+"'E4!(VP"</f>
        <v>#VALUE!</v>
      </c>
      <c r="HX171" t="e">
        <f>Nodes!Z1407+"'E4!(VQ"</f>
        <v>#VALUE!</v>
      </c>
      <c r="HY171" t="e">
        <f>Nodes!AA1407+"'E4!(VR"</f>
        <v>#VALUE!</v>
      </c>
      <c r="HZ171" t="e">
        <f>Nodes!AB1407+"'E4!(VS"</f>
        <v>#VALUE!</v>
      </c>
      <c r="IA171" t="e">
        <f>Nodes!AC1407+"'E4!(VT"</f>
        <v>#VALUE!</v>
      </c>
      <c r="IB171" t="e">
        <f>Nodes!A1408+"'E4!(VU"</f>
        <v>#VALUE!</v>
      </c>
      <c r="IC171" t="e">
        <f>Nodes!B1408+"'E4!(VV"</f>
        <v>#VALUE!</v>
      </c>
      <c r="ID171" t="e">
        <f>Nodes!C1408+"'E4!(VW"</f>
        <v>#VALUE!</v>
      </c>
      <c r="IE171" t="e">
        <f>Nodes!D1408+"'E4!(VX"</f>
        <v>#VALUE!</v>
      </c>
      <c r="IF171" t="e">
        <f>Nodes!E1408+"'E4!(VY"</f>
        <v>#VALUE!</v>
      </c>
      <c r="IG171" t="e">
        <f>Nodes!F1408+"'E4!(VZ"</f>
        <v>#VALUE!</v>
      </c>
      <c r="IH171" t="e">
        <f>Nodes!G1408+"'E4!(V["</f>
        <v>#VALUE!</v>
      </c>
      <c r="II171" t="e">
        <f>Nodes!H1408+"'E4!(V\"</f>
        <v>#VALUE!</v>
      </c>
      <c r="IJ171" t="e">
        <f>Nodes!I1408+"'E4!(V]"</f>
        <v>#VALUE!</v>
      </c>
      <c r="IK171" t="e">
        <f>Nodes!J1408+"'E4!(V^"</f>
        <v>#VALUE!</v>
      </c>
      <c r="IL171" t="e">
        <f>Nodes!K1408+"'E4!(V_"</f>
        <v>#VALUE!</v>
      </c>
      <c r="IM171" t="e">
        <f>Nodes!L1408+"'E4!(V`"</f>
        <v>#VALUE!</v>
      </c>
      <c r="IN171" t="e">
        <f>Nodes!M1408+"'E4!(Va"</f>
        <v>#VALUE!</v>
      </c>
      <c r="IO171" t="e">
        <f>Nodes!N1408+"'E4!(Vb"</f>
        <v>#VALUE!</v>
      </c>
      <c r="IP171" t="e">
        <f>Nodes!O1408+"'E4!(Vc"</f>
        <v>#VALUE!</v>
      </c>
      <c r="IQ171" t="e">
        <f>Nodes!P1408+"'E4!(Vd"</f>
        <v>#VALUE!</v>
      </c>
      <c r="IR171" t="e">
        <f>Nodes!Q1408+"'E4!(Ve"</f>
        <v>#VALUE!</v>
      </c>
      <c r="IS171" t="e">
        <f>Nodes!R1408+"'E4!(Vf"</f>
        <v>#VALUE!</v>
      </c>
      <c r="IT171" t="e">
        <f>Nodes!S1408+"'E4!(Vg"</f>
        <v>#VALUE!</v>
      </c>
      <c r="IU171" t="e">
        <f>Nodes!T1408+"'E4!(Vh"</f>
        <v>#VALUE!</v>
      </c>
      <c r="IV171" s="550" t="e">
        <f>Nodes!U1408+"'E4!(Vi"</f>
        <v>#VALUE!</v>
      </c>
    </row>
    <row r="172" spans="6:256">
      <c r="F172" t="e">
        <f>Nodes!V1408+"'E4!(Vj"</f>
        <v>#VALUE!</v>
      </c>
      <c r="G172" t="e">
        <f>Nodes!W1408+"'E4!(Vk"</f>
        <v>#VALUE!</v>
      </c>
      <c r="H172" t="e">
        <f>Nodes!X1408+"'E4!(Vl"</f>
        <v>#VALUE!</v>
      </c>
      <c r="I172" t="e">
        <f>Nodes!Y1408+"'E4!(Vm"</f>
        <v>#VALUE!</v>
      </c>
      <c r="J172" t="e">
        <f>Nodes!Z1408+"'E4!(Vn"</f>
        <v>#VALUE!</v>
      </c>
      <c r="K172" t="e">
        <f>Nodes!AA1408+"'E4!(Vo"</f>
        <v>#VALUE!</v>
      </c>
      <c r="L172" t="e">
        <f>Nodes!AB1408+"'E4!(Vp"</f>
        <v>#VALUE!</v>
      </c>
      <c r="M172" t="e">
        <f>Nodes!AC1408+"'E4!(Vq"</f>
        <v>#VALUE!</v>
      </c>
      <c r="N172" t="e">
        <f>Nodes!A1409+"'E4!(Vr"</f>
        <v>#VALUE!</v>
      </c>
      <c r="O172" t="e">
        <f>Nodes!B1409+"'E4!(Vs"</f>
        <v>#VALUE!</v>
      </c>
      <c r="P172" t="e">
        <f>Nodes!C1409+"'E4!(Vt"</f>
        <v>#VALUE!</v>
      </c>
      <c r="Q172" t="e">
        <f>Nodes!D1409+"'E4!(Vu"</f>
        <v>#VALUE!</v>
      </c>
      <c r="R172" t="e">
        <f>Nodes!E1409+"'E4!(Vv"</f>
        <v>#VALUE!</v>
      </c>
      <c r="S172" t="e">
        <f>Nodes!F1409+"'E4!(Vw"</f>
        <v>#VALUE!</v>
      </c>
      <c r="T172" t="e">
        <f>Nodes!G1409+"'E4!(Vx"</f>
        <v>#VALUE!</v>
      </c>
      <c r="U172" t="e">
        <f>Nodes!H1409+"'E4!(Vy"</f>
        <v>#VALUE!</v>
      </c>
      <c r="V172" t="e">
        <f>Nodes!I1409+"'E4!(Vz"</f>
        <v>#VALUE!</v>
      </c>
      <c r="W172" t="e">
        <f>Nodes!J1409+"'E4!(V{"</f>
        <v>#VALUE!</v>
      </c>
      <c r="X172" t="e">
        <f>Nodes!K1409+"'E4!(V|"</f>
        <v>#VALUE!</v>
      </c>
      <c r="Y172" t="e">
        <f>Nodes!L1409+"'E4!(V}"</f>
        <v>#VALUE!</v>
      </c>
      <c r="Z172" t="e">
        <f>Nodes!M1409+"'E4!(V~"</f>
        <v>#VALUE!</v>
      </c>
      <c r="AA172" t="e">
        <f>Nodes!N1409+"'E4!(W#"</f>
        <v>#VALUE!</v>
      </c>
      <c r="AB172" t="e">
        <f>Nodes!O1409+"'E4!(W$"</f>
        <v>#VALUE!</v>
      </c>
      <c r="AC172" t="e">
        <f>Nodes!P1409+"'E4!(W%"</f>
        <v>#VALUE!</v>
      </c>
      <c r="AD172" t="e">
        <f>Nodes!Q1409+"'E4!(W&amp;"</f>
        <v>#VALUE!</v>
      </c>
      <c r="AE172" t="e">
        <f>Nodes!R1409+"'E4!(W'"</f>
        <v>#VALUE!</v>
      </c>
      <c r="AF172" t="e">
        <f>Nodes!S1409+"'E4!(W("</f>
        <v>#VALUE!</v>
      </c>
      <c r="AG172" t="e">
        <f>Nodes!T1409+"'E4!(W)"</f>
        <v>#VALUE!</v>
      </c>
      <c r="AH172" s="550" t="e">
        <f>Nodes!U1409+"'E4!(W."</f>
        <v>#VALUE!</v>
      </c>
      <c r="AI172" t="e">
        <f>Nodes!V1409+"'E4!(W/"</f>
        <v>#VALUE!</v>
      </c>
      <c r="AJ172" t="e">
        <f>Nodes!W1409+"'E4!(W0"</f>
        <v>#VALUE!</v>
      </c>
      <c r="AK172" t="e">
        <f>Nodes!X1409+"'E4!(W1"</f>
        <v>#VALUE!</v>
      </c>
      <c r="AL172" t="e">
        <f>Nodes!Y1409+"'E4!(W2"</f>
        <v>#VALUE!</v>
      </c>
      <c r="AM172" t="e">
        <f>Nodes!Z1409+"'E4!(W3"</f>
        <v>#VALUE!</v>
      </c>
      <c r="AN172" t="e">
        <f>Nodes!AA1409+"'E4!(W4"</f>
        <v>#VALUE!</v>
      </c>
      <c r="AO172" t="e">
        <f>Nodes!AB1409+"'E4!(W5"</f>
        <v>#VALUE!</v>
      </c>
      <c r="AP172" t="e">
        <f>Nodes!AC1409+"'E4!(W6"</f>
        <v>#VALUE!</v>
      </c>
      <c r="AQ172" t="e">
        <f>Nodes!A1410+"'E4!(W7"</f>
        <v>#VALUE!</v>
      </c>
      <c r="AR172" t="e">
        <f>Nodes!B1410+"'E4!(W8"</f>
        <v>#VALUE!</v>
      </c>
      <c r="AS172" t="e">
        <f>Nodes!C1410+"'E4!(W9"</f>
        <v>#VALUE!</v>
      </c>
      <c r="AT172" t="e">
        <f>Nodes!D1410+"'E4!(W:"</f>
        <v>#VALUE!</v>
      </c>
      <c r="AU172" t="e">
        <f>Nodes!E1410+"'E4!(W;"</f>
        <v>#VALUE!</v>
      </c>
      <c r="AV172" t="e">
        <f>Nodes!F1410+"'E4!(W&lt;"</f>
        <v>#VALUE!</v>
      </c>
      <c r="AW172" t="e">
        <f>Nodes!G1410+"'E4!(W="</f>
        <v>#VALUE!</v>
      </c>
      <c r="AX172" t="e">
        <f>Nodes!H1410+"'E4!(W&gt;"</f>
        <v>#VALUE!</v>
      </c>
      <c r="AY172" t="e">
        <f>Nodes!I1410+"'E4!(W?"</f>
        <v>#VALUE!</v>
      </c>
      <c r="AZ172" t="e">
        <f>Nodes!J1410+"'E4!(W@"</f>
        <v>#VALUE!</v>
      </c>
      <c r="BA172" t="e">
        <f>Nodes!K1410+"'E4!(WA"</f>
        <v>#VALUE!</v>
      </c>
      <c r="BB172" t="e">
        <f>Nodes!L1410+"'E4!(WB"</f>
        <v>#VALUE!</v>
      </c>
      <c r="BC172" t="e">
        <f>Nodes!M1410+"'E4!(WC"</f>
        <v>#VALUE!</v>
      </c>
      <c r="BD172" t="e">
        <f>Nodes!N1410+"'E4!(WD"</f>
        <v>#VALUE!</v>
      </c>
      <c r="BE172" t="e">
        <f>Nodes!O1410+"'E4!(WE"</f>
        <v>#VALUE!</v>
      </c>
      <c r="BF172" t="e">
        <f>Nodes!P1410+"'E4!(WF"</f>
        <v>#VALUE!</v>
      </c>
      <c r="BG172" t="e">
        <f>Nodes!Q1410+"'E4!(WG"</f>
        <v>#VALUE!</v>
      </c>
      <c r="BH172" t="e">
        <f>Nodes!R1410+"'E4!(WH"</f>
        <v>#VALUE!</v>
      </c>
      <c r="BI172" t="e">
        <f>Nodes!S1410+"'E4!(WI"</f>
        <v>#VALUE!</v>
      </c>
      <c r="BJ172" t="e">
        <f>Nodes!T1410+"'E4!(WJ"</f>
        <v>#VALUE!</v>
      </c>
      <c r="BK172" s="550" t="e">
        <f>Nodes!U1410+"'E4!(WK"</f>
        <v>#VALUE!</v>
      </c>
      <c r="BL172" t="e">
        <f>Nodes!V1410+"'E4!(WL"</f>
        <v>#VALUE!</v>
      </c>
      <c r="BM172" t="e">
        <f>Nodes!W1410+"'E4!(WM"</f>
        <v>#VALUE!</v>
      </c>
      <c r="BN172" t="e">
        <f>Nodes!X1410+"'E4!(WN"</f>
        <v>#VALUE!</v>
      </c>
      <c r="BO172" t="e">
        <f>Nodes!Y1410+"'E4!(WO"</f>
        <v>#VALUE!</v>
      </c>
      <c r="BP172" t="e">
        <f>Nodes!Z1410+"'E4!(WP"</f>
        <v>#VALUE!</v>
      </c>
      <c r="BQ172" t="e">
        <f>Nodes!AA1410+"'E4!(WQ"</f>
        <v>#VALUE!</v>
      </c>
      <c r="BR172" t="e">
        <f>Nodes!AB1410+"'E4!(WR"</f>
        <v>#VALUE!</v>
      </c>
      <c r="BS172" t="e">
        <f>Nodes!AC1410+"'E4!(WS"</f>
        <v>#VALUE!</v>
      </c>
      <c r="BT172" t="e">
        <f>Nodes!A1411+"'E4!(WT"</f>
        <v>#VALUE!</v>
      </c>
      <c r="BU172" t="e">
        <f>Nodes!B1411+"'E4!(WU"</f>
        <v>#VALUE!</v>
      </c>
      <c r="BV172" t="e">
        <f>Nodes!C1411+"'E4!(WV"</f>
        <v>#VALUE!</v>
      </c>
      <c r="BW172" t="e">
        <f>Nodes!D1411+"'E4!(WW"</f>
        <v>#VALUE!</v>
      </c>
      <c r="BX172" t="e">
        <f>Nodes!E1411+"'E4!(WX"</f>
        <v>#VALUE!</v>
      </c>
      <c r="BY172" t="e">
        <f>Nodes!F1411+"'E4!(WY"</f>
        <v>#VALUE!</v>
      </c>
      <c r="BZ172" t="e">
        <f>Nodes!G1411+"'E4!(WZ"</f>
        <v>#VALUE!</v>
      </c>
      <c r="CA172" t="e">
        <f>Nodes!H1411+"'E4!(W["</f>
        <v>#VALUE!</v>
      </c>
      <c r="CB172" t="e">
        <f>Nodes!I1411+"'E4!(W\"</f>
        <v>#VALUE!</v>
      </c>
      <c r="CC172" t="e">
        <f>Nodes!J1411+"'E4!(W]"</f>
        <v>#VALUE!</v>
      </c>
      <c r="CD172" t="e">
        <f>Nodes!K1411+"'E4!(W^"</f>
        <v>#VALUE!</v>
      </c>
      <c r="CE172" t="e">
        <f>Nodes!L1411+"'E4!(W_"</f>
        <v>#VALUE!</v>
      </c>
      <c r="CF172" t="e">
        <f>Nodes!M1411+"'E4!(W`"</f>
        <v>#VALUE!</v>
      </c>
      <c r="CG172" t="e">
        <f>Nodes!N1411+"'E4!(Wa"</f>
        <v>#VALUE!</v>
      </c>
      <c r="CH172" t="e">
        <f>Nodes!O1411+"'E4!(Wb"</f>
        <v>#VALUE!</v>
      </c>
      <c r="CI172" t="e">
        <f>Nodes!P1411+"'E4!(Wc"</f>
        <v>#VALUE!</v>
      </c>
      <c r="CJ172" t="e">
        <f>Nodes!Q1411+"'E4!(Wd"</f>
        <v>#VALUE!</v>
      </c>
      <c r="CK172" t="e">
        <f>Nodes!R1411+"'E4!(We"</f>
        <v>#VALUE!</v>
      </c>
      <c r="CL172" t="e">
        <f>Nodes!S1411+"'E4!(Wf"</f>
        <v>#VALUE!</v>
      </c>
      <c r="CM172" t="e">
        <f>Nodes!T1411+"'E4!(Wg"</f>
        <v>#VALUE!</v>
      </c>
      <c r="CN172" s="550" t="e">
        <f>Nodes!U1411+"'E4!(Wh"</f>
        <v>#VALUE!</v>
      </c>
      <c r="CO172" t="e">
        <f>Nodes!V1411+"'E4!(Wi"</f>
        <v>#VALUE!</v>
      </c>
      <c r="CP172" t="e">
        <f>Nodes!W1411+"'E4!(Wj"</f>
        <v>#VALUE!</v>
      </c>
      <c r="CQ172" t="e">
        <f>Nodes!X1411+"'E4!(Wk"</f>
        <v>#VALUE!</v>
      </c>
      <c r="CR172" t="e">
        <f>Nodes!Y1411+"'E4!(Wl"</f>
        <v>#VALUE!</v>
      </c>
      <c r="CS172" t="e">
        <f>Nodes!Z1411+"'E4!(Wm"</f>
        <v>#VALUE!</v>
      </c>
      <c r="CT172" t="e">
        <f>Nodes!AA1411+"'E4!(Wn"</f>
        <v>#VALUE!</v>
      </c>
      <c r="CU172" t="e">
        <f>Nodes!AB1411+"'E4!(Wo"</f>
        <v>#VALUE!</v>
      </c>
      <c r="CV172" t="e">
        <f>Nodes!AC1411+"'E4!(Wp"</f>
        <v>#VALUE!</v>
      </c>
      <c r="CW172" t="e">
        <f>Nodes!A1412+"'E4!(Wq"</f>
        <v>#VALUE!</v>
      </c>
      <c r="CX172" t="e">
        <f>Nodes!B1412+"'E4!(Wr"</f>
        <v>#VALUE!</v>
      </c>
      <c r="CY172" t="e">
        <f>Nodes!C1412+"'E4!(Ws"</f>
        <v>#VALUE!</v>
      </c>
      <c r="CZ172" t="e">
        <f>Nodes!D1412+"'E4!(Wt"</f>
        <v>#VALUE!</v>
      </c>
      <c r="DA172" t="e">
        <f>Nodes!E1412+"'E4!(Wu"</f>
        <v>#VALUE!</v>
      </c>
      <c r="DB172" t="e">
        <f>Nodes!F1412+"'E4!(Wv"</f>
        <v>#VALUE!</v>
      </c>
      <c r="DC172" t="e">
        <f>Nodes!G1412+"'E4!(Ww"</f>
        <v>#VALUE!</v>
      </c>
      <c r="DD172" t="e">
        <f>Nodes!H1412+"'E4!(Wx"</f>
        <v>#VALUE!</v>
      </c>
      <c r="DE172" t="e">
        <f>Nodes!I1412+"'E4!(Wy"</f>
        <v>#VALUE!</v>
      </c>
      <c r="DF172" t="e">
        <f>Nodes!J1412+"'E4!(Wz"</f>
        <v>#VALUE!</v>
      </c>
      <c r="DG172" t="e">
        <f>Nodes!K1412+"'E4!(W{"</f>
        <v>#VALUE!</v>
      </c>
      <c r="DH172" t="e">
        <f>Nodes!L1412+"'E4!(W|"</f>
        <v>#VALUE!</v>
      </c>
      <c r="DI172" t="e">
        <f>Nodes!M1412+"'E4!(W}"</f>
        <v>#VALUE!</v>
      </c>
      <c r="DJ172" t="e">
        <f>Nodes!N1412+"'E4!(W~"</f>
        <v>#VALUE!</v>
      </c>
      <c r="DK172" t="e">
        <f>Nodes!O1412+"'E4!(X#"</f>
        <v>#VALUE!</v>
      </c>
      <c r="DL172" t="e">
        <f>Nodes!P1412+"'E4!(X$"</f>
        <v>#VALUE!</v>
      </c>
      <c r="DM172" t="e">
        <f>Nodes!Q1412+"'E4!(X%"</f>
        <v>#VALUE!</v>
      </c>
      <c r="DN172" t="e">
        <f>Nodes!R1412+"'E4!(X&amp;"</f>
        <v>#VALUE!</v>
      </c>
      <c r="DO172" t="e">
        <f>Nodes!S1412+"'E4!(X'"</f>
        <v>#VALUE!</v>
      </c>
      <c r="DP172" t="e">
        <f>Nodes!T1412+"'E4!(X("</f>
        <v>#VALUE!</v>
      </c>
      <c r="DQ172" s="550" t="e">
        <f>Nodes!U1412+"'E4!(X)"</f>
        <v>#VALUE!</v>
      </c>
      <c r="DR172" t="e">
        <f>Nodes!V1412+"'E4!(X."</f>
        <v>#VALUE!</v>
      </c>
      <c r="DS172" t="e">
        <f>Nodes!W1412+"'E4!(X/"</f>
        <v>#VALUE!</v>
      </c>
      <c r="DT172" t="e">
        <f>Nodes!X1412+"'E4!(X0"</f>
        <v>#VALUE!</v>
      </c>
      <c r="DU172" t="e">
        <f>Nodes!Y1412+"'E4!(X1"</f>
        <v>#VALUE!</v>
      </c>
      <c r="DV172" t="e">
        <f>Nodes!Z1412+"'E4!(X2"</f>
        <v>#VALUE!</v>
      </c>
      <c r="DW172" t="e">
        <f>Nodes!AA1412+"'E4!(X3"</f>
        <v>#VALUE!</v>
      </c>
      <c r="DX172" t="e">
        <f>Nodes!AB1412+"'E4!(X4"</f>
        <v>#VALUE!</v>
      </c>
      <c r="DY172" t="e">
        <f>Nodes!AC1412+"'E4!(X5"</f>
        <v>#VALUE!</v>
      </c>
      <c r="DZ172" t="e">
        <f>Nodes!A1413+"'E4!(X6"</f>
        <v>#VALUE!</v>
      </c>
      <c r="EA172" t="e">
        <f>Nodes!B1413+"'E4!(X7"</f>
        <v>#VALUE!</v>
      </c>
      <c r="EB172" t="e">
        <f>Nodes!C1413+"'E4!(X8"</f>
        <v>#VALUE!</v>
      </c>
      <c r="EC172" t="e">
        <f>Nodes!D1413+"'E4!(X9"</f>
        <v>#VALUE!</v>
      </c>
      <c r="ED172" t="e">
        <f>Nodes!E1413+"'E4!(X:"</f>
        <v>#VALUE!</v>
      </c>
      <c r="EE172" t="e">
        <f>Nodes!F1413+"'E4!(X;"</f>
        <v>#VALUE!</v>
      </c>
      <c r="EF172" t="e">
        <f>Nodes!G1413+"'E4!(X&lt;"</f>
        <v>#VALUE!</v>
      </c>
      <c r="EG172" t="e">
        <f>Nodes!H1413+"'E4!(X="</f>
        <v>#VALUE!</v>
      </c>
      <c r="EH172" t="e">
        <f>Nodes!I1413+"'E4!(X&gt;"</f>
        <v>#VALUE!</v>
      </c>
      <c r="EI172" t="e">
        <f>Nodes!J1413+"'E4!(X?"</f>
        <v>#VALUE!</v>
      </c>
      <c r="EJ172" t="e">
        <f>Nodes!K1413+"'E4!(X@"</f>
        <v>#VALUE!</v>
      </c>
      <c r="EK172" t="e">
        <f>Nodes!L1413+"'E4!(XA"</f>
        <v>#VALUE!</v>
      </c>
      <c r="EL172" t="e">
        <f>Nodes!M1413+"'E4!(XB"</f>
        <v>#VALUE!</v>
      </c>
      <c r="EM172" t="e">
        <f>Nodes!N1413+"'E4!(XC"</f>
        <v>#VALUE!</v>
      </c>
      <c r="EN172" t="e">
        <f>Nodes!O1413+"'E4!(XD"</f>
        <v>#VALUE!</v>
      </c>
      <c r="EO172" t="e">
        <f>Nodes!P1413+"'E4!(XE"</f>
        <v>#VALUE!</v>
      </c>
      <c r="EP172" t="e">
        <f>Nodes!Q1413+"'E4!(XF"</f>
        <v>#VALUE!</v>
      </c>
      <c r="EQ172" t="e">
        <f>Nodes!R1413+"'E4!(XG"</f>
        <v>#VALUE!</v>
      </c>
      <c r="ER172" t="e">
        <f>Nodes!S1413+"'E4!(XH"</f>
        <v>#VALUE!</v>
      </c>
      <c r="ES172" t="e">
        <f>Nodes!T1413+"'E4!(XI"</f>
        <v>#VALUE!</v>
      </c>
      <c r="ET172" s="550" t="e">
        <f>Nodes!U1413+"'E4!(XJ"</f>
        <v>#VALUE!</v>
      </c>
      <c r="EU172" t="e">
        <f>Nodes!V1413+"'E4!(XK"</f>
        <v>#VALUE!</v>
      </c>
      <c r="EV172" t="e">
        <f>Nodes!W1413+"'E4!(XL"</f>
        <v>#VALUE!</v>
      </c>
      <c r="EW172" t="e">
        <f>Nodes!X1413+"'E4!(XM"</f>
        <v>#VALUE!</v>
      </c>
      <c r="EX172" t="e">
        <f>Nodes!Y1413+"'E4!(XN"</f>
        <v>#VALUE!</v>
      </c>
      <c r="EY172" t="e">
        <f>Nodes!Z1413+"'E4!(XO"</f>
        <v>#VALUE!</v>
      </c>
      <c r="EZ172" t="e">
        <f>Nodes!AA1413+"'E4!(XP"</f>
        <v>#VALUE!</v>
      </c>
      <c r="FA172" t="e">
        <f>Nodes!AB1413+"'E4!(XQ"</f>
        <v>#VALUE!</v>
      </c>
      <c r="FB172" t="e">
        <f>Nodes!AC1413+"'E4!(XR"</f>
        <v>#VALUE!</v>
      </c>
      <c r="FC172" t="e">
        <f>Nodes!A1414+"'E4!(XS"</f>
        <v>#VALUE!</v>
      </c>
      <c r="FD172" t="e">
        <f>Nodes!B1414+"'E4!(XT"</f>
        <v>#VALUE!</v>
      </c>
      <c r="FE172" t="e">
        <f>Nodes!C1414+"'E4!(XU"</f>
        <v>#VALUE!</v>
      </c>
      <c r="FF172" t="e">
        <f>Nodes!D1414+"'E4!(XV"</f>
        <v>#VALUE!</v>
      </c>
      <c r="FG172" t="e">
        <f>Nodes!E1414+"'E4!(XW"</f>
        <v>#VALUE!</v>
      </c>
      <c r="FH172" t="e">
        <f>Nodes!F1414+"'E4!(XX"</f>
        <v>#VALUE!</v>
      </c>
      <c r="FI172" t="e">
        <f>Nodes!G1414+"'E4!(XY"</f>
        <v>#VALUE!</v>
      </c>
      <c r="FJ172" t="e">
        <f>Nodes!H1414+"'E4!(XZ"</f>
        <v>#VALUE!</v>
      </c>
      <c r="FK172" t="e">
        <f>Nodes!I1414+"'E4!(X["</f>
        <v>#VALUE!</v>
      </c>
      <c r="FL172" t="e">
        <f>Nodes!J1414+"'E4!(X\"</f>
        <v>#VALUE!</v>
      </c>
      <c r="FM172" t="e">
        <f>Nodes!K1414+"'E4!(X]"</f>
        <v>#VALUE!</v>
      </c>
      <c r="FN172" t="e">
        <f>Nodes!L1414+"'E4!(X^"</f>
        <v>#VALUE!</v>
      </c>
      <c r="FO172" t="e">
        <f>Nodes!M1414+"'E4!(X_"</f>
        <v>#VALUE!</v>
      </c>
      <c r="FP172" t="e">
        <f>Nodes!N1414+"'E4!(X`"</f>
        <v>#VALUE!</v>
      </c>
      <c r="FQ172" t="e">
        <f>Nodes!O1414+"'E4!(Xa"</f>
        <v>#VALUE!</v>
      </c>
      <c r="FR172" t="e">
        <f>Nodes!P1414+"'E4!(Xb"</f>
        <v>#VALUE!</v>
      </c>
      <c r="FS172" t="e">
        <f>Nodes!Q1414+"'E4!(Xc"</f>
        <v>#VALUE!</v>
      </c>
      <c r="FT172" t="e">
        <f>Nodes!R1414+"'E4!(Xd"</f>
        <v>#VALUE!</v>
      </c>
      <c r="FU172" t="e">
        <f>Nodes!S1414+"'E4!(Xe"</f>
        <v>#VALUE!</v>
      </c>
      <c r="FV172" t="e">
        <f>Nodes!T1414+"'E4!(Xf"</f>
        <v>#VALUE!</v>
      </c>
      <c r="FW172" s="550" t="e">
        <f>Nodes!U1414+"'E4!(Xg"</f>
        <v>#VALUE!</v>
      </c>
      <c r="FX172" t="e">
        <f>Nodes!V1414+"'E4!(Xh"</f>
        <v>#VALUE!</v>
      </c>
      <c r="FY172" t="e">
        <f>Nodes!W1414+"'E4!(Xi"</f>
        <v>#VALUE!</v>
      </c>
      <c r="FZ172" t="e">
        <f>Nodes!X1414+"'E4!(Xj"</f>
        <v>#VALUE!</v>
      </c>
      <c r="GA172" t="e">
        <f>Nodes!Y1414+"'E4!(Xk"</f>
        <v>#VALUE!</v>
      </c>
      <c r="GB172" t="e">
        <f>Nodes!Z1414+"'E4!(Xl"</f>
        <v>#VALUE!</v>
      </c>
      <c r="GC172" t="e">
        <f>Nodes!AA1414+"'E4!(Xm"</f>
        <v>#VALUE!</v>
      </c>
      <c r="GD172" t="e">
        <f>Nodes!AB1414+"'E4!(Xn"</f>
        <v>#VALUE!</v>
      </c>
      <c r="GE172" t="e">
        <f>Nodes!AC1414+"'E4!(Xo"</f>
        <v>#VALUE!</v>
      </c>
      <c r="GF172" t="e">
        <f>Nodes!A1415+"'E4!(Xp"</f>
        <v>#VALUE!</v>
      </c>
      <c r="GG172" t="e">
        <f>Nodes!B1415+"'E4!(Xq"</f>
        <v>#VALUE!</v>
      </c>
      <c r="GH172" t="e">
        <f>Nodes!C1415+"'E4!(Xr"</f>
        <v>#VALUE!</v>
      </c>
      <c r="GI172" t="e">
        <f>Nodes!D1415+"'E4!(Xs"</f>
        <v>#VALUE!</v>
      </c>
      <c r="GJ172" t="e">
        <f>Nodes!E1415+"'E4!(Xt"</f>
        <v>#VALUE!</v>
      </c>
      <c r="GK172" t="e">
        <f>Nodes!F1415+"'E4!(Xu"</f>
        <v>#VALUE!</v>
      </c>
      <c r="GL172" t="e">
        <f>Nodes!G1415+"'E4!(Xv"</f>
        <v>#VALUE!</v>
      </c>
      <c r="GM172" t="e">
        <f>Nodes!H1415+"'E4!(Xw"</f>
        <v>#VALUE!</v>
      </c>
      <c r="GN172" t="e">
        <f>Nodes!I1415+"'E4!(Xx"</f>
        <v>#VALUE!</v>
      </c>
      <c r="GO172" t="e">
        <f>Nodes!J1415+"'E4!(Xy"</f>
        <v>#VALUE!</v>
      </c>
      <c r="GP172" t="e">
        <f>Nodes!K1415+"'E4!(Xz"</f>
        <v>#VALUE!</v>
      </c>
      <c r="GQ172" t="e">
        <f>Nodes!L1415+"'E4!(X{"</f>
        <v>#VALUE!</v>
      </c>
      <c r="GR172" t="e">
        <f>Nodes!M1415+"'E4!(X|"</f>
        <v>#VALUE!</v>
      </c>
      <c r="GS172" t="e">
        <f>Nodes!N1415+"'E4!(X}"</f>
        <v>#VALUE!</v>
      </c>
      <c r="GT172" t="e">
        <f>Nodes!O1415+"'E4!(X~"</f>
        <v>#VALUE!</v>
      </c>
      <c r="GU172" t="e">
        <f>Nodes!P1415+"'E4!(Y#"</f>
        <v>#VALUE!</v>
      </c>
      <c r="GV172" t="e">
        <f>Nodes!Q1415+"'E4!(Y$"</f>
        <v>#VALUE!</v>
      </c>
      <c r="GW172" t="e">
        <f>Nodes!R1415+"'E4!(Y%"</f>
        <v>#VALUE!</v>
      </c>
      <c r="GX172" t="e">
        <f>Nodes!S1415+"'E4!(Y&amp;"</f>
        <v>#VALUE!</v>
      </c>
      <c r="GY172" t="e">
        <f>Nodes!T1415+"'E4!(Y'"</f>
        <v>#VALUE!</v>
      </c>
      <c r="GZ172" s="550" t="e">
        <f>Nodes!U1415+"'E4!(Y("</f>
        <v>#VALUE!</v>
      </c>
      <c r="HA172" t="e">
        <f>Nodes!V1415+"'E4!(Y)"</f>
        <v>#VALUE!</v>
      </c>
      <c r="HB172" t="e">
        <f>Nodes!W1415+"'E4!(Y."</f>
        <v>#VALUE!</v>
      </c>
      <c r="HC172" t="e">
        <f>Nodes!X1415+"'E4!(Y/"</f>
        <v>#VALUE!</v>
      </c>
      <c r="HD172" t="e">
        <f>Nodes!Y1415+"'E4!(Y0"</f>
        <v>#VALUE!</v>
      </c>
      <c r="HE172" t="e">
        <f>Nodes!Z1415+"'E4!(Y1"</f>
        <v>#VALUE!</v>
      </c>
      <c r="HF172" t="e">
        <f>Nodes!AA1415+"'E4!(Y2"</f>
        <v>#VALUE!</v>
      </c>
      <c r="HG172" t="e">
        <f>Nodes!AB1415+"'E4!(Y3"</f>
        <v>#VALUE!</v>
      </c>
      <c r="HH172" t="e">
        <f>Nodes!AC1415+"'E4!(Y4"</f>
        <v>#VALUE!</v>
      </c>
      <c r="HI172" t="e">
        <f>Nodes!A1416+"'E4!(Y5"</f>
        <v>#VALUE!</v>
      </c>
      <c r="HJ172" t="e">
        <f>Nodes!B1416+"'E4!(Y6"</f>
        <v>#VALUE!</v>
      </c>
      <c r="HK172" t="e">
        <f>Nodes!C1416+"'E4!(Y7"</f>
        <v>#VALUE!</v>
      </c>
      <c r="HL172" t="e">
        <f>Nodes!D1416+"'E4!(Y8"</f>
        <v>#VALUE!</v>
      </c>
      <c r="HM172" t="e">
        <f>Nodes!E1416+"'E4!(Y9"</f>
        <v>#VALUE!</v>
      </c>
      <c r="HN172" t="e">
        <f>Nodes!F1416+"'E4!(Y:"</f>
        <v>#VALUE!</v>
      </c>
      <c r="HO172" t="e">
        <f>Nodes!G1416+"'E4!(Y;"</f>
        <v>#VALUE!</v>
      </c>
      <c r="HP172" t="e">
        <f>Nodes!H1416+"'E4!(Y&lt;"</f>
        <v>#VALUE!</v>
      </c>
      <c r="HQ172" t="e">
        <f>Nodes!I1416+"'E4!(Y="</f>
        <v>#VALUE!</v>
      </c>
      <c r="HR172" t="e">
        <f>Nodes!J1416+"'E4!(Y&gt;"</f>
        <v>#VALUE!</v>
      </c>
      <c r="HS172" t="e">
        <f>Nodes!K1416+"'E4!(Y?"</f>
        <v>#VALUE!</v>
      </c>
      <c r="HT172" t="e">
        <f>Nodes!L1416+"'E4!(Y@"</f>
        <v>#VALUE!</v>
      </c>
      <c r="HU172" t="e">
        <f>Nodes!M1416+"'E4!(YA"</f>
        <v>#VALUE!</v>
      </c>
      <c r="HV172" t="e">
        <f>Nodes!N1416+"'E4!(YB"</f>
        <v>#VALUE!</v>
      </c>
      <c r="HW172" t="e">
        <f>Nodes!O1416+"'E4!(YC"</f>
        <v>#VALUE!</v>
      </c>
      <c r="HX172" t="e">
        <f>Nodes!P1416+"'E4!(YD"</f>
        <v>#VALUE!</v>
      </c>
      <c r="HY172" t="e">
        <f>Nodes!Q1416+"'E4!(YE"</f>
        <v>#VALUE!</v>
      </c>
      <c r="HZ172" t="e">
        <f>Nodes!R1416+"'E4!(YF"</f>
        <v>#VALUE!</v>
      </c>
      <c r="IA172" t="e">
        <f>Nodes!S1416+"'E4!(YG"</f>
        <v>#VALUE!</v>
      </c>
      <c r="IB172" t="e">
        <f>Nodes!T1416+"'E4!(YH"</f>
        <v>#VALUE!</v>
      </c>
      <c r="IC172" s="550" t="e">
        <f>Nodes!U1416+"'E4!(YI"</f>
        <v>#VALUE!</v>
      </c>
      <c r="ID172" t="e">
        <f>Nodes!V1416+"'E4!(YJ"</f>
        <v>#VALUE!</v>
      </c>
      <c r="IE172" t="e">
        <f>Nodes!W1416+"'E4!(YK"</f>
        <v>#VALUE!</v>
      </c>
      <c r="IF172" t="e">
        <f>Nodes!X1416+"'E4!(YL"</f>
        <v>#VALUE!</v>
      </c>
      <c r="IG172" t="e">
        <f>Nodes!Y1416+"'E4!(YM"</f>
        <v>#VALUE!</v>
      </c>
      <c r="IH172" t="e">
        <f>Nodes!Z1416+"'E4!(YN"</f>
        <v>#VALUE!</v>
      </c>
      <c r="II172" t="e">
        <f>Nodes!AA1416+"'E4!(YO"</f>
        <v>#VALUE!</v>
      </c>
      <c r="IJ172" t="e">
        <f>Nodes!AB1416+"'E4!(YP"</f>
        <v>#VALUE!</v>
      </c>
      <c r="IK172" t="e">
        <f>Nodes!AC1416+"'E4!(YQ"</f>
        <v>#VALUE!</v>
      </c>
      <c r="IL172" t="e">
        <f>Nodes!A1417+"'E4!(YR"</f>
        <v>#VALUE!</v>
      </c>
      <c r="IM172" t="e">
        <f>Nodes!B1417+"'E4!(YS"</f>
        <v>#VALUE!</v>
      </c>
      <c r="IN172" t="e">
        <f>Nodes!C1417+"'E4!(YT"</f>
        <v>#VALUE!</v>
      </c>
      <c r="IO172" t="e">
        <f>Nodes!D1417+"'E4!(YU"</f>
        <v>#VALUE!</v>
      </c>
      <c r="IP172" t="e">
        <f>Nodes!E1417+"'E4!(YV"</f>
        <v>#VALUE!</v>
      </c>
      <c r="IQ172" t="e">
        <f>Nodes!F1417+"'E4!(YW"</f>
        <v>#VALUE!</v>
      </c>
      <c r="IR172" t="e">
        <f>Nodes!G1417+"'E4!(YX"</f>
        <v>#VALUE!</v>
      </c>
      <c r="IS172" t="e">
        <f>Nodes!H1417+"'E4!(YY"</f>
        <v>#VALUE!</v>
      </c>
      <c r="IT172" t="e">
        <f>Nodes!I1417+"'E4!(YZ"</f>
        <v>#VALUE!</v>
      </c>
      <c r="IU172" t="e">
        <f>Nodes!J1417+"'E4!(Y["</f>
        <v>#VALUE!</v>
      </c>
      <c r="IV172" t="e">
        <f>Nodes!K1417+"'E4!(Y\"</f>
        <v>#VALUE!</v>
      </c>
    </row>
    <row r="173" spans="6:256">
      <c r="F173" t="e">
        <f>Nodes!L1417+"'E4!(Y]"</f>
        <v>#VALUE!</v>
      </c>
      <c r="G173" t="e">
        <f>Nodes!M1417+"'E4!(Y^"</f>
        <v>#VALUE!</v>
      </c>
      <c r="H173" t="e">
        <f>Nodes!N1417+"'E4!(Y_"</f>
        <v>#VALUE!</v>
      </c>
      <c r="I173" t="e">
        <f>Nodes!O1417+"'E4!(Y`"</f>
        <v>#VALUE!</v>
      </c>
      <c r="J173" t="e">
        <f>Nodes!P1417+"'E4!(Ya"</f>
        <v>#VALUE!</v>
      </c>
      <c r="K173" t="e">
        <f>Nodes!Q1417+"'E4!(Yb"</f>
        <v>#VALUE!</v>
      </c>
      <c r="L173" t="e">
        <f>Nodes!R1417+"'E4!(Yc"</f>
        <v>#VALUE!</v>
      </c>
      <c r="M173" t="e">
        <f>Nodes!S1417+"'E4!(Yd"</f>
        <v>#VALUE!</v>
      </c>
      <c r="N173" t="e">
        <f>Nodes!T1417+"'E4!(Ye"</f>
        <v>#VALUE!</v>
      </c>
      <c r="O173" s="550" t="e">
        <f>Nodes!U1417+"'E4!(Yf"</f>
        <v>#VALUE!</v>
      </c>
      <c r="P173" t="e">
        <f>Nodes!V1417+"'E4!(Yg"</f>
        <v>#VALUE!</v>
      </c>
      <c r="Q173" t="e">
        <f>Nodes!W1417+"'E4!(Yh"</f>
        <v>#VALUE!</v>
      </c>
      <c r="R173" t="e">
        <f>Nodes!X1417+"'E4!(Yi"</f>
        <v>#VALUE!</v>
      </c>
      <c r="S173" t="e">
        <f>Nodes!Y1417+"'E4!(Yj"</f>
        <v>#VALUE!</v>
      </c>
      <c r="T173" t="e">
        <f>Nodes!Z1417+"'E4!(Yk"</f>
        <v>#VALUE!</v>
      </c>
      <c r="U173" t="e">
        <f>Nodes!AA1417+"'E4!(Yl"</f>
        <v>#VALUE!</v>
      </c>
      <c r="V173" t="e">
        <f>Nodes!AB1417+"'E4!(Ym"</f>
        <v>#VALUE!</v>
      </c>
      <c r="W173" t="e">
        <f>Nodes!AC1417+"'E4!(Yn"</f>
        <v>#VALUE!</v>
      </c>
      <c r="X173" t="e">
        <f>Nodes!A1418+"'E4!(Yo"</f>
        <v>#VALUE!</v>
      </c>
      <c r="Y173" t="e">
        <f>Nodes!B1418+"'E4!(Yp"</f>
        <v>#VALUE!</v>
      </c>
      <c r="Z173" t="e">
        <f>Nodes!C1418+"'E4!(Yq"</f>
        <v>#VALUE!</v>
      </c>
      <c r="AA173" t="e">
        <f>Nodes!D1418+"'E4!(Yr"</f>
        <v>#VALUE!</v>
      </c>
      <c r="AB173" t="e">
        <f>Nodes!E1418+"'E4!(Ys"</f>
        <v>#VALUE!</v>
      </c>
      <c r="AC173" t="e">
        <f>Nodes!F1418+"'E4!(Yt"</f>
        <v>#VALUE!</v>
      </c>
      <c r="AD173" t="e">
        <f>Nodes!G1418+"'E4!(Yu"</f>
        <v>#VALUE!</v>
      </c>
      <c r="AE173" t="e">
        <f>Nodes!H1418+"'E4!(Yv"</f>
        <v>#VALUE!</v>
      </c>
      <c r="AF173" t="e">
        <f>Nodes!I1418+"'E4!(Yw"</f>
        <v>#VALUE!</v>
      </c>
      <c r="AG173" t="e">
        <f>Nodes!J1418+"'E4!(Yx"</f>
        <v>#VALUE!</v>
      </c>
      <c r="AH173" t="e">
        <f>Nodes!K1418+"'E4!(Yy"</f>
        <v>#VALUE!</v>
      </c>
      <c r="AI173" t="e">
        <f>Nodes!L1418+"'E4!(Yz"</f>
        <v>#VALUE!</v>
      </c>
      <c r="AJ173" t="e">
        <f>Nodes!M1418+"'E4!(Y{"</f>
        <v>#VALUE!</v>
      </c>
      <c r="AK173" t="e">
        <f>Nodes!N1418+"'E4!(Y|"</f>
        <v>#VALUE!</v>
      </c>
      <c r="AL173" t="e">
        <f>Nodes!O1418+"'E4!(Y}"</f>
        <v>#VALUE!</v>
      </c>
      <c r="AM173" t="e">
        <f>Nodes!P1418+"'E4!(Y~"</f>
        <v>#VALUE!</v>
      </c>
      <c r="AN173" t="e">
        <f>Nodes!Q1418+"'E4!(Z#"</f>
        <v>#VALUE!</v>
      </c>
      <c r="AO173" t="e">
        <f>Nodes!R1418+"'E4!(Z$"</f>
        <v>#VALUE!</v>
      </c>
      <c r="AP173" t="e">
        <f>Nodes!S1418+"'E4!(Z%"</f>
        <v>#VALUE!</v>
      </c>
      <c r="AQ173" t="e">
        <f>Nodes!T1418+"'E4!(Z&amp;"</f>
        <v>#VALUE!</v>
      </c>
      <c r="AR173" s="550" t="e">
        <f>Nodes!U1418+"'E4!(Z'"</f>
        <v>#VALUE!</v>
      </c>
      <c r="AS173" t="e">
        <f>Nodes!V1418+"'E4!(Z("</f>
        <v>#VALUE!</v>
      </c>
      <c r="AT173" t="e">
        <f>Nodes!W1418+"'E4!(Z)"</f>
        <v>#VALUE!</v>
      </c>
      <c r="AU173" t="e">
        <f>Nodes!X1418+"'E4!(Z."</f>
        <v>#VALUE!</v>
      </c>
      <c r="AV173" t="e">
        <f>Nodes!Y1418+"'E4!(Z/"</f>
        <v>#VALUE!</v>
      </c>
      <c r="AW173" t="e">
        <f>Nodes!Z1418+"'E4!(Z0"</f>
        <v>#VALUE!</v>
      </c>
      <c r="AX173" t="e">
        <f>Nodes!AA1418+"'E4!(Z1"</f>
        <v>#VALUE!</v>
      </c>
      <c r="AY173" t="e">
        <f>Nodes!AB1418+"'E4!(Z2"</f>
        <v>#VALUE!</v>
      </c>
      <c r="AZ173" t="e">
        <f>Nodes!AC1418+"'E4!(Z3"</f>
        <v>#VALUE!</v>
      </c>
      <c r="BA173" t="e">
        <f>Nodes!A1419+"'E4!(Z4"</f>
        <v>#VALUE!</v>
      </c>
      <c r="BB173" t="e">
        <f>Nodes!B1419+"'E4!(Z5"</f>
        <v>#VALUE!</v>
      </c>
      <c r="BC173" t="e">
        <f>Nodes!C1419+"'E4!(Z6"</f>
        <v>#VALUE!</v>
      </c>
      <c r="BD173" t="e">
        <f>Nodes!D1419+"'E4!(Z7"</f>
        <v>#VALUE!</v>
      </c>
      <c r="BE173" t="e">
        <f>Nodes!E1419+"'E4!(Z8"</f>
        <v>#VALUE!</v>
      </c>
      <c r="BF173" t="e">
        <f>Nodes!F1419+"'E4!(Z9"</f>
        <v>#VALUE!</v>
      </c>
      <c r="BG173" t="e">
        <f>Nodes!G1419+"'E4!(Z:"</f>
        <v>#VALUE!</v>
      </c>
      <c r="BH173" t="e">
        <f>Nodes!H1419+"'E4!(Z;"</f>
        <v>#VALUE!</v>
      </c>
      <c r="BI173" t="e">
        <f>Nodes!I1419+"'E4!(Z&lt;"</f>
        <v>#VALUE!</v>
      </c>
      <c r="BJ173" t="e">
        <f>Nodes!J1419+"'E4!(Z="</f>
        <v>#VALUE!</v>
      </c>
      <c r="BK173" t="e">
        <f>Nodes!K1419+"'E4!(Z&gt;"</f>
        <v>#VALUE!</v>
      </c>
      <c r="BL173" t="e">
        <f>Nodes!L1419+"'E4!(Z?"</f>
        <v>#VALUE!</v>
      </c>
      <c r="BM173" t="e">
        <f>Nodes!M1419+"'E4!(Z@"</f>
        <v>#VALUE!</v>
      </c>
      <c r="BN173" t="e">
        <f>Nodes!N1419+"'E4!(ZA"</f>
        <v>#VALUE!</v>
      </c>
      <c r="BO173" t="e">
        <f>Nodes!O1419+"'E4!(ZB"</f>
        <v>#VALUE!</v>
      </c>
      <c r="BP173" t="e">
        <f>Nodes!P1419+"'E4!(ZC"</f>
        <v>#VALUE!</v>
      </c>
      <c r="BQ173" t="e">
        <f>Nodes!Q1419+"'E4!(ZD"</f>
        <v>#VALUE!</v>
      </c>
      <c r="BR173" t="e">
        <f>Nodes!R1419+"'E4!(ZE"</f>
        <v>#VALUE!</v>
      </c>
      <c r="BS173" t="e">
        <f>Nodes!S1419+"'E4!(ZF"</f>
        <v>#VALUE!</v>
      </c>
      <c r="BT173" t="e">
        <f>Nodes!T1419+"'E4!(ZG"</f>
        <v>#VALUE!</v>
      </c>
      <c r="BU173" s="550" t="e">
        <f>Nodes!U1419+"'E4!(ZH"</f>
        <v>#VALUE!</v>
      </c>
      <c r="BV173" t="e">
        <f>Nodes!V1419+"'E4!(ZI"</f>
        <v>#VALUE!</v>
      </c>
      <c r="BW173" t="e">
        <f>Nodes!W1419+"'E4!(ZJ"</f>
        <v>#VALUE!</v>
      </c>
      <c r="BX173" t="e">
        <f>Nodes!X1419+"'E4!(ZK"</f>
        <v>#VALUE!</v>
      </c>
      <c r="BY173" t="e">
        <f>Nodes!Y1419+"'E4!(ZL"</f>
        <v>#VALUE!</v>
      </c>
      <c r="BZ173" t="e">
        <f>Nodes!Z1419+"'E4!(ZM"</f>
        <v>#VALUE!</v>
      </c>
      <c r="CA173" t="e">
        <f>Nodes!AA1419+"'E4!(ZN"</f>
        <v>#VALUE!</v>
      </c>
      <c r="CB173" t="e">
        <f>Nodes!AB1419+"'E4!(ZO"</f>
        <v>#VALUE!</v>
      </c>
      <c r="CC173" t="e">
        <f>Nodes!AC1419+"'E4!(ZP"</f>
        <v>#VALUE!</v>
      </c>
      <c r="CD173" t="e">
        <f>Nodes!A1420+"'E4!(ZQ"</f>
        <v>#VALUE!</v>
      </c>
      <c r="CE173" t="e">
        <f>Nodes!B1420+"'E4!(ZR"</f>
        <v>#VALUE!</v>
      </c>
      <c r="CF173" t="e">
        <f>Nodes!C1420+"'E4!(ZS"</f>
        <v>#VALUE!</v>
      </c>
      <c r="CG173" t="e">
        <f>Nodes!D1420+"'E4!(ZT"</f>
        <v>#VALUE!</v>
      </c>
      <c r="CH173" t="e">
        <f>Nodes!E1420+"'E4!(ZU"</f>
        <v>#VALUE!</v>
      </c>
      <c r="CI173" t="e">
        <f>Nodes!F1420+"'E4!(ZV"</f>
        <v>#VALUE!</v>
      </c>
      <c r="CJ173" t="e">
        <f>Nodes!G1420+"'E4!(ZW"</f>
        <v>#VALUE!</v>
      </c>
      <c r="CK173" t="e">
        <f>Nodes!H1420+"'E4!(ZX"</f>
        <v>#VALUE!</v>
      </c>
      <c r="CL173" t="e">
        <f>Nodes!I1420+"'E4!(ZY"</f>
        <v>#VALUE!</v>
      </c>
      <c r="CM173" t="e">
        <f>Nodes!J1420+"'E4!(ZZ"</f>
        <v>#VALUE!</v>
      </c>
      <c r="CN173" t="e">
        <f>Nodes!K1420+"'E4!(Z["</f>
        <v>#VALUE!</v>
      </c>
      <c r="CO173" t="e">
        <f>Nodes!L1420+"'E4!(Z\"</f>
        <v>#VALUE!</v>
      </c>
      <c r="CP173" t="e">
        <f>Nodes!M1420+"'E4!(Z]"</f>
        <v>#VALUE!</v>
      </c>
      <c r="CQ173" t="e">
        <f>Nodes!N1420+"'E4!(Z^"</f>
        <v>#VALUE!</v>
      </c>
      <c r="CR173" t="e">
        <f>Nodes!O1420+"'E4!(Z_"</f>
        <v>#VALUE!</v>
      </c>
      <c r="CS173" t="e">
        <f>Nodes!P1420+"'E4!(Z`"</f>
        <v>#VALUE!</v>
      </c>
      <c r="CT173" t="e">
        <f>Nodes!Q1420+"'E4!(Za"</f>
        <v>#VALUE!</v>
      </c>
      <c r="CU173" t="e">
        <f>Nodes!R1420+"'E4!(Zb"</f>
        <v>#VALUE!</v>
      </c>
      <c r="CV173" t="e">
        <f>Nodes!S1420+"'E4!(Zc"</f>
        <v>#VALUE!</v>
      </c>
      <c r="CW173" t="e">
        <f>Nodes!T1420+"'E4!(Zd"</f>
        <v>#VALUE!</v>
      </c>
      <c r="CX173" s="550" t="e">
        <f>Nodes!U1420+"'E4!(Ze"</f>
        <v>#VALUE!</v>
      </c>
      <c r="CY173" t="e">
        <f>Nodes!V1420+"'E4!(Zf"</f>
        <v>#VALUE!</v>
      </c>
      <c r="CZ173" t="e">
        <f>Nodes!W1420+"'E4!(Zg"</f>
        <v>#VALUE!</v>
      </c>
      <c r="DA173" t="e">
        <f>Nodes!X1420+"'E4!(Zh"</f>
        <v>#VALUE!</v>
      </c>
      <c r="DB173" t="e">
        <f>Nodes!Y1420+"'E4!(Zi"</f>
        <v>#VALUE!</v>
      </c>
      <c r="DC173" t="e">
        <f>Nodes!Z1420+"'E4!(Zj"</f>
        <v>#VALUE!</v>
      </c>
      <c r="DD173" t="e">
        <f>Nodes!AA1420+"'E4!(Zk"</f>
        <v>#VALUE!</v>
      </c>
      <c r="DE173" t="e">
        <f>Nodes!AB1420+"'E4!(Zl"</f>
        <v>#VALUE!</v>
      </c>
      <c r="DF173" t="e">
        <f>Nodes!AC1420+"'E4!(Zm"</f>
        <v>#VALUE!</v>
      </c>
      <c r="DG173" t="e">
        <f>Nodes!A1421+"'E4!(Zn"</f>
        <v>#VALUE!</v>
      </c>
      <c r="DH173" t="e">
        <f>Nodes!B1421+"'E4!(Zo"</f>
        <v>#VALUE!</v>
      </c>
      <c r="DI173" t="e">
        <f>Nodes!C1421+"'E4!(Zp"</f>
        <v>#VALUE!</v>
      </c>
      <c r="DJ173" t="e">
        <f>Nodes!D1421+"'E4!(Zq"</f>
        <v>#VALUE!</v>
      </c>
      <c r="DK173" t="e">
        <f>Nodes!E1421+"'E4!(Zr"</f>
        <v>#VALUE!</v>
      </c>
      <c r="DL173" t="e">
        <f>Nodes!F1421+"'E4!(Zs"</f>
        <v>#VALUE!</v>
      </c>
      <c r="DM173" t="e">
        <f>Nodes!G1421+"'E4!(Zt"</f>
        <v>#VALUE!</v>
      </c>
      <c r="DN173" t="e">
        <f>Nodes!H1421+"'E4!(Zu"</f>
        <v>#VALUE!</v>
      </c>
      <c r="DO173" t="e">
        <f>Nodes!I1421+"'E4!(Zv"</f>
        <v>#VALUE!</v>
      </c>
      <c r="DP173" t="e">
        <f>Nodes!J1421+"'E4!(Zw"</f>
        <v>#VALUE!</v>
      </c>
      <c r="DQ173" t="e">
        <f>Nodes!K1421+"'E4!(Zx"</f>
        <v>#VALUE!</v>
      </c>
      <c r="DR173" t="e">
        <f>Nodes!L1421+"'E4!(Zy"</f>
        <v>#VALUE!</v>
      </c>
      <c r="DS173" t="e">
        <f>Nodes!M1421+"'E4!(Zz"</f>
        <v>#VALUE!</v>
      </c>
      <c r="DT173" t="e">
        <f>Nodes!N1421+"'E4!(Z{"</f>
        <v>#VALUE!</v>
      </c>
      <c r="DU173" t="e">
        <f>Nodes!O1421+"'E4!(Z|"</f>
        <v>#VALUE!</v>
      </c>
      <c r="DV173" t="e">
        <f>Nodes!P1421+"'E4!(Z}"</f>
        <v>#VALUE!</v>
      </c>
      <c r="DW173" t="e">
        <f>Nodes!Q1421+"'E4!(Z~"</f>
        <v>#VALUE!</v>
      </c>
      <c r="DX173" t="e">
        <f>Nodes!R1421+"'E4!([#"</f>
        <v>#VALUE!</v>
      </c>
      <c r="DY173" t="e">
        <f>Nodes!S1421+"'E4!([$"</f>
        <v>#VALUE!</v>
      </c>
      <c r="DZ173" t="e">
        <f>Nodes!T1421+"'E4!([%"</f>
        <v>#VALUE!</v>
      </c>
      <c r="EA173" s="550" t="e">
        <f>Nodes!U1421+"'E4!([&amp;"</f>
        <v>#VALUE!</v>
      </c>
      <c r="EB173" t="e">
        <f>Nodes!V1421+"'E4!(['"</f>
        <v>#VALUE!</v>
      </c>
      <c r="EC173" t="e">
        <f>Nodes!W1421+"'E4!([("</f>
        <v>#VALUE!</v>
      </c>
      <c r="ED173" t="e">
        <f>Nodes!X1421+"'E4!([)"</f>
        <v>#VALUE!</v>
      </c>
      <c r="EE173" t="e">
        <f>Nodes!Y1421+"'E4!([."</f>
        <v>#VALUE!</v>
      </c>
      <c r="EF173" t="e">
        <f>Nodes!Z1421+"'E4!([/"</f>
        <v>#VALUE!</v>
      </c>
      <c r="EG173" t="e">
        <f>Nodes!AA1421+"'E4!([0"</f>
        <v>#VALUE!</v>
      </c>
      <c r="EH173" t="e">
        <f>Nodes!AB1421+"'E4!([1"</f>
        <v>#VALUE!</v>
      </c>
      <c r="EI173" t="e">
        <f>Nodes!AC1421+"'E4!([2"</f>
        <v>#VALUE!</v>
      </c>
      <c r="EJ173" t="e">
        <f>Nodes!A1422+"'E4!([3"</f>
        <v>#VALUE!</v>
      </c>
      <c r="EK173" t="e">
        <f>Nodes!B1422+"'E4!([4"</f>
        <v>#VALUE!</v>
      </c>
      <c r="EL173" t="e">
        <f>Nodes!C1422+"'E4!([5"</f>
        <v>#VALUE!</v>
      </c>
      <c r="EM173" t="e">
        <f>Nodes!D1422+"'E4!([6"</f>
        <v>#VALUE!</v>
      </c>
      <c r="EN173" t="e">
        <f>Nodes!E1422+"'E4!([7"</f>
        <v>#VALUE!</v>
      </c>
      <c r="EO173" t="e">
        <f>Nodes!F1422+"'E4!([8"</f>
        <v>#VALUE!</v>
      </c>
      <c r="EP173" t="e">
        <f>Nodes!G1422+"'E4!([9"</f>
        <v>#VALUE!</v>
      </c>
      <c r="EQ173" t="e">
        <f>Nodes!H1422+"'E4!([:"</f>
        <v>#VALUE!</v>
      </c>
      <c r="ER173" t="e">
        <f>Nodes!I1422+"'E4!([;"</f>
        <v>#VALUE!</v>
      </c>
      <c r="ES173" t="e">
        <f>Nodes!J1422+"'E4!([&lt;"</f>
        <v>#VALUE!</v>
      </c>
      <c r="ET173" t="e">
        <f>Nodes!K1422+"'E4!([="</f>
        <v>#VALUE!</v>
      </c>
      <c r="EU173" t="e">
        <f>Nodes!L1422+"'E4!([&gt;"</f>
        <v>#VALUE!</v>
      </c>
      <c r="EV173" t="e">
        <f>Nodes!M1422+"'E4!([?"</f>
        <v>#VALUE!</v>
      </c>
      <c r="EW173" t="e">
        <f>Nodes!N1422+"'E4!([@"</f>
        <v>#VALUE!</v>
      </c>
      <c r="EX173" t="e">
        <f>Nodes!O1422+"'E4!([A"</f>
        <v>#VALUE!</v>
      </c>
      <c r="EY173" t="e">
        <f>Nodes!P1422+"'E4!([B"</f>
        <v>#VALUE!</v>
      </c>
      <c r="EZ173" t="e">
        <f>Nodes!Q1422+"'E4!([C"</f>
        <v>#VALUE!</v>
      </c>
      <c r="FA173" t="e">
        <f>Nodes!R1422+"'E4!([D"</f>
        <v>#VALUE!</v>
      </c>
      <c r="FB173" t="e">
        <f>Nodes!S1422+"'E4!([E"</f>
        <v>#VALUE!</v>
      </c>
      <c r="FC173" t="e">
        <f>Nodes!T1422+"'E4!([F"</f>
        <v>#VALUE!</v>
      </c>
      <c r="FD173" s="550" t="e">
        <f>Nodes!U1422+"'E4!([G"</f>
        <v>#VALUE!</v>
      </c>
      <c r="FE173" t="e">
        <f>Nodes!V1422+"'E4!([H"</f>
        <v>#VALUE!</v>
      </c>
      <c r="FF173" t="e">
        <f>Nodes!W1422+"'E4!([I"</f>
        <v>#VALUE!</v>
      </c>
      <c r="FG173" t="e">
        <f>Nodes!X1422+"'E4!([J"</f>
        <v>#VALUE!</v>
      </c>
      <c r="FH173" t="e">
        <f>Nodes!Y1422+"'E4!([K"</f>
        <v>#VALUE!</v>
      </c>
      <c r="FI173" t="e">
        <f>Nodes!Z1422+"'E4!([L"</f>
        <v>#VALUE!</v>
      </c>
      <c r="FJ173" t="e">
        <f>Nodes!AA1422+"'E4!([M"</f>
        <v>#VALUE!</v>
      </c>
      <c r="FK173" t="e">
        <f>Nodes!AB1422+"'E4!([N"</f>
        <v>#VALUE!</v>
      </c>
      <c r="FL173" t="e">
        <f>Nodes!AC1422+"'E4!([O"</f>
        <v>#VALUE!</v>
      </c>
      <c r="FM173" t="e">
        <f>Nodes!A1423+"'E4!([P"</f>
        <v>#VALUE!</v>
      </c>
      <c r="FN173" t="e">
        <f>Nodes!B1423+"'E4!([Q"</f>
        <v>#VALUE!</v>
      </c>
      <c r="FO173" t="e">
        <f>Nodes!C1423+"'E4!([R"</f>
        <v>#VALUE!</v>
      </c>
      <c r="FP173" t="e">
        <f>Nodes!D1423+"'E4!([S"</f>
        <v>#VALUE!</v>
      </c>
      <c r="FQ173" t="e">
        <f>Nodes!E1423+"'E4!([T"</f>
        <v>#VALUE!</v>
      </c>
      <c r="FR173" t="e">
        <f>Nodes!F1423+"'E4!([U"</f>
        <v>#VALUE!</v>
      </c>
      <c r="FS173" t="e">
        <f>Nodes!G1423+"'E4!([V"</f>
        <v>#VALUE!</v>
      </c>
      <c r="FT173" t="e">
        <f>Nodes!H1423+"'E4!([W"</f>
        <v>#VALUE!</v>
      </c>
      <c r="FU173" t="e">
        <f>Nodes!I1423+"'E4!([X"</f>
        <v>#VALUE!</v>
      </c>
      <c r="FV173" t="e">
        <f>Nodes!J1423+"'E4!([Y"</f>
        <v>#VALUE!</v>
      </c>
      <c r="FW173" t="e">
        <f>Nodes!K1423+"'E4!([Z"</f>
        <v>#VALUE!</v>
      </c>
      <c r="FX173" t="e">
        <f>Nodes!L1423+"'E4!([["</f>
        <v>#VALUE!</v>
      </c>
      <c r="FY173" t="e">
        <f>Nodes!M1423+"'E4!([\"</f>
        <v>#VALUE!</v>
      </c>
      <c r="FZ173" t="e">
        <f>Nodes!N1423+"'E4!([]"</f>
        <v>#VALUE!</v>
      </c>
      <c r="GA173" t="e">
        <f>Nodes!O1423+"'E4!([^"</f>
        <v>#VALUE!</v>
      </c>
      <c r="GB173" t="e">
        <f>Nodes!P1423+"'E4!([_"</f>
        <v>#VALUE!</v>
      </c>
      <c r="GC173" t="e">
        <f>Nodes!Q1423+"'E4!([`"</f>
        <v>#VALUE!</v>
      </c>
      <c r="GD173" t="e">
        <f>Nodes!R1423+"'E4!([a"</f>
        <v>#VALUE!</v>
      </c>
      <c r="GE173" t="e">
        <f>Nodes!S1423+"'E4!([b"</f>
        <v>#VALUE!</v>
      </c>
      <c r="GF173" s="550" t="e">
        <f>Nodes!T1423+"'E4!([c"</f>
        <v>#VALUE!</v>
      </c>
      <c r="GG173" s="550" t="e">
        <f>Nodes!U1423+"'E4!([d"</f>
        <v>#VALUE!</v>
      </c>
      <c r="GH173" t="e">
        <f>Nodes!V1423+"'E4!([e"</f>
        <v>#VALUE!</v>
      </c>
      <c r="GI173" t="e">
        <f>Nodes!W1423+"'E4!([f"</f>
        <v>#VALUE!</v>
      </c>
      <c r="GJ173" t="e">
        <f>Nodes!X1423+"'E4!([g"</f>
        <v>#VALUE!</v>
      </c>
      <c r="GK173" t="e">
        <f>Nodes!Y1423+"'E4!([h"</f>
        <v>#VALUE!</v>
      </c>
      <c r="GL173" t="e">
        <f>Nodes!Z1423+"'E4!([i"</f>
        <v>#VALUE!</v>
      </c>
      <c r="GM173" t="e">
        <f>Nodes!AA1423+"'E4!([j"</f>
        <v>#VALUE!</v>
      </c>
      <c r="GN173" t="e">
        <f>Nodes!AB1423+"'E4!([k"</f>
        <v>#VALUE!</v>
      </c>
      <c r="GO173" t="e">
        <f>Nodes!AC1423+"'E4!([l"</f>
        <v>#VALUE!</v>
      </c>
      <c r="GP173" t="e">
        <f>Nodes!A1424+"'E4!([m"</f>
        <v>#VALUE!</v>
      </c>
      <c r="GQ173" t="e">
        <f>Nodes!B1424+"'E4!([n"</f>
        <v>#VALUE!</v>
      </c>
      <c r="GR173" t="e">
        <f>Nodes!C1424+"'E4!([o"</f>
        <v>#VALUE!</v>
      </c>
      <c r="GS173" t="e">
        <f>Nodes!D1424+"'E4!([p"</f>
        <v>#VALUE!</v>
      </c>
      <c r="GT173" t="e">
        <f>Nodes!E1424+"'E4!([q"</f>
        <v>#VALUE!</v>
      </c>
      <c r="GU173" t="e">
        <f>Nodes!F1424+"'E4!([r"</f>
        <v>#VALUE!</v>
      </c>
      <c r="GV173" t="e">
        <f>Nodes!G1424+"'E4!([s"</f>
        <v>#VALUE!</v>
      </c>
      <c r="GW173" t="e">
        <f>Nodes!H1424+"'E4!([t"</f>
        <v>#VALUE!</v>
      </c>
      <c r="GX173" t="e">
        <f>Nodes!J1424+"'E4!([u"</f>
        <v>#VALUE!</v>
      </c>
      <c r="GY173" t="e">
        <f>Nodes!K1424+"'E4!([v"</f>
        <v>#VALUE!</v>
      </c>
      <c r="GZ173" t="e">
        <f>Nodes!L1424+"'E4!([w"</f>
        <v>#VALUE!</v>
      </c>
      <c r="HA173" t="e">
        <f>Nodes!M1424+"'E4!([x"</f>
        <v>#VALUE!</v>
      </c>
      <c r="HB173" t="e">
        <f>Nodes!N1424+"'E4!([y"</f>
        <v>#VALUE!</v>
      </c>
      <c r="HC173" t="e">
        <f>Nodes!O1424+"'E4!([z"</f>
        <v>#VALUE!</v>
      </c>
      <c r="HD173" t="e">
        <f>Nodes!P1424+"'E4!([{"</f>
        <v>#VALUE!</v>
      </c>
      <c r="HE173" t="e">
        <f>Nodes!Q1424+"'E4!([|"</f>
        <v>#VALUE!</v>
      </c>
      <c r="HF173" t="e">
        <f>Nodes!R1424+"'E4!([}"</f>
        <v>#VALUE!</v>
      </c>
      <c r="HG173" t="e">
        <f>Nodes!S1424+"'E4!([~"</f>
        <v>#VALUE!</v>
      </c>
      <c r="HH173" t="e">
        <f>Nodes!T1424+"'E4!(\#"</f>
        <v>#VALUE!</v>
      </c>
      <c r="HI173" s="550" t="e">
        <f>Nodes!U1424+"'E4!(\$"</f>
        <v>#VALUE!</v>
      </c>
      <c r="HJ173" t="e">
        <f>Nodes!V1424+"'E4!(\%"</f>
        <v>#VALUE!</v>
      </c>
      <c r="HK173" t="e">
        <f>Nodes!W1424+"'E4!(\&amp;"</f>
        <v>#VALUE!</v>
      </c>
      <c r="HL173" t="e">
        <f>Nodes!X1424+"'E4!(\'"</f>
        <v>#VALUE!</v>
      </c>
      <c r="HM173" t="e">
        <f>Nodes!Y1424+"'E4!(\("</f>
        <v>#VALUE!</v>
      </c>
      <c r="HN173" t="e">
        <f>Nodes!Z1424+"'E4!(\)"</f>
        <v>#VALUE!</v>
      </c>
      <c r="HO173" t="e">
        <f>Nodes!AA1424+"'E4!(\."</f>
        <v>#VALUE!</v>
      </c>
      <c r="HP173" t="e">
        <f>Nodes!AB1424+"'E4!(\/"</f>
        <v>#VALUE!</v>
      </c>
      <c r="HQ173" t="e">
        <f>Nodes!AC1424+"'E4!(\0"</f>
        <v>#VALUE!</v>
      </c>
      <c r="HR173" t="e">
        <f>Nodes!A1425+"'E4!(\1"</f>
        <v>#VALUE!</v>
      </c>
      <c r="HS173" t="e">
        <f>Nodes!B1425+"'E4!(\2"</f>
        <v>#VALUE!</v>
      </c>
      <c r="HT173" t="e">
        <f>Nodes!C1425+"'E4!(\3"</f>
        <v>#VALUE!</v>
      </c>
      <c r="HU173" t="e">
        <f>Nodes!D1425+"'E4!(\4"</f>
        <v>#VALUE!</v>
      </c>
      <c r="HV173" t="e">
        <f>Nodes!E1425+"'E4!(\5"</f>
        <v>#VALUE!</v>
      </c>
      <c r="HW173" t="e">
        <f>Nodes!F1425+"'E4!(\6"</f>
        <v>#VALUE!</v>
      </c>
      <c r="HX173" t="e">
        <f>Nodes!G1425+"'E4!(\7"</f>
        <v>#VALUE!</v>
      </c>
      <c r="HY173" t="e">
        <f>Nodes!H1425+"'E4!(\8"</f>
        <v>#VALUE!</v>
      </c>
      <c r="HZ173" t="e">
        <f>Nodes!I1425+"'E4!(\9"</f>
        <v>#VALUE!</v>
      </c>
      <c r="IA173" t="e">
        <f>Nodes!J1425+"'E4!(\:"</f>
        <v>#VALUE!</v>
      </c>
      <c r="IB173" t="e">
        <f>Nodes!K1425+"'E4!(\;"</f>
        <v>#VALUE!</v>
      </c>
      <c r="IC173" t="e">
        <f>Nodes!L1425+"'E4!(\&lt;"</f>
        <v>#VALUE!</v>
      </c>
      <c r="ID173" t="e">
        <f>Nodes!M1425+"'E4!(\="</f>
        <v>#VALUE!</v>
      </c>
      <c r="IE173" t="e">
        <f>Nodes!N1425+"'E4!(\&gt;"</f>
        <v>#VALUE!</v>
      </c>
      <c r="IF173" t="e">
        <f>Nodes!O1425+"'E4!(\?"</f>
        <v>#VALUE!</v>
      </c>
      <c r="IG173" t="e">
        <f>Nodes!P1425+"'E4!(\@"</f>
        <v>#VALUE!</v>
      </c>
      <c r="IH173" t="e">
        <f>Nodes!Q1425+"'E4!(\A"</f>
        <v>#VALUE!</v>
      </c>
      <c r="II173" t="e">
        <f>Nodes!R1425+"'E4!(\B"</f>
        <v>#VALUE!</v>
      </c>
      <c r="IJ173" t="e">
        <f>Nodes!S1425+"'E4!(\C"</f>
        <v>#VALUE!</v>
      </c>
      <c r="IK173" t="e">
        <f>Nodes!T1425+"'E4!(\D"</f>
        <v>#VALUE!</v>
      </c>
      <c r="IL173" s="550" t="e">
        <f>Nodes!U1425+"'E4!(\E"</f>
        <v>#VALUE!</v>
      </c>
      <c r="IM173" t="e">
        <f>Nodes!V1425+"'E4!(\F"</f>
        <v>#VALUE!</v>
      </c>
      <c r="IN173" t="e">
        <f>Nodes!W1425+"'E4!(\G"</f>
        <v>#VALUE!</v>
      </c>
      <c r="IO173" t="e">
        <f>Nodes!X1425+"'E4!(\H"</f>
        <v>#VALUE!</v>
      </c>
      <c r="IP173" t="e">
        <f>Nodes!Y1425+"'E4!(\I"</f>
        <v>#VALUE!</v>
      </c>
      <c r="IQ173" t="e">
        <f>Nodes!Z1425+"'E4!(\J"</f>
        <v>#VALUE!</v>
      </c>
      <c r="IR173" t="e">
        <f>Nodes!AA1425+"'E4!(\K"</f>
        <v>#VALUE!</v>
      </c>
      <c r="IS173" t="e">
        <f>Nodes!AB1425+"'E4!(\L"</f>
        <v>#VALUE!</v>
      </c>
      <c r="IT173" t="e">
        <f>Nodes!AC1425+"'E4!(\M"</f>
        <v>#VALUE!</v>
      </c>
      <c r="IU173" t="e">
        <f>Nodes!A1426+"'E4!(\N"</f>
        <v>#VALUE!</v>
      </c>
      <c r="IV173" t="e">
        <f>Nodes!B1426+"'E4!(\O"</f>
        <v>#VALUE!</v>
      </c>
    </row>
    <row r="174" spans="6:256">
      <c r="F174" t="e">
        <f>Nodes!C1426+"'E4!(\P"</f>
        <v>#VALUE!</v>
      </c>
      <c r="G174" t="e">
        <f>Nodes!D1426+"'E4!(\Q"</f>
        <v>#VALUE!</v>
      </c>
      <c r="H174" t="e">
        <f>Nodes!E1426+"'E4!(\R"</f>
        <v>#VALUE!</v>
      </c>
      <c r="I174" t="e">
        <f>Nodes!F1426+"'E4!(\S"</f>
        <v>#VALUE!</v>
      </c>
      <c r="J174" t="e">
        <f>Nodes!G1426+"'E4!(\T"</f>
        <v>#VALUE!</v>
      </c>
      <c r="K174" t="e">
        <f>Nodes!H1426+"'E4!(\U"</f>
        <v>#VALUE!</v>
      </c>
      <c r="L174" t="e">
        <f>Nodes!I1426+"'E4!(\V"</f>
        <v>#VALUE!</v>
      </c>
      <c r="M174" t="e">
        <f>Nodes!J1426+"'E4!(\W"</f>
        <v>#VALUE!</v>
      </c>
      <c r="N174" t="e">
        <f>Nodes!K1426+"'E4!(\X"</f>
        <v>#VALUE!</v>
      </c>
      <c r="O174" t="e">
        <f>Nodes!L1426+"'E4!(\Y"</f>
        <v>#VALUE!</v>
      </c>
      <c r="P174" t="e">
        <f>Nodes!M1426+"'E4!(\Z"</f>
        <v>#VALUE!</v>
      </c>
      <c r="Q174" t="e">
        <f>Nodes!N1426+"'E4!(\["</f>
        <v>#VALUE!</v>
      </c>
      <c r="R174" t="e">
        <f>Nodes!O1426+"'E4!(\\"</f>
        <v>#VALUE!</v>
      </c>
      <c r="S174" t="e">
        <f>Nodes!P1426+"'E4!(\]"</f>
        <v>#VALUE!</v>
      </c>
      <c r="T174" t="e">
        <f>Nodes!Q1426+"'E4!(\^"</f>
        <v>#VALUE!</v>
      </c>
      <c r="U174" t="e">
        <f>Nodes!R1426+"'E4!(\_"</f>
        <v>#VALUE!</v>
      </c>
      <c r="V174" t="e">
        <f>Nodes!S1426+"'E4!(\`"</f>
        <v>#VALUE!</v>
      </c>
      <c r="W174" t="e">
        <f>Nodes!T1426+"'E4!(\a"</f>
        <v>#VALUE!</v>
      </c>
      <c r="X174" s="550" t="e">
        <f>Nodes!U1426+"'E4!(\b"</f>
        <v>#VALUE!</v>
      </c>
      <c r="Y174" t="e">
        <f>Nodes!V1426+"'E4!(\c"</f>
        <v>#VALUE!</v>
      </c>
      <c r="Z174" t="e">
        <f>Nodes!W1426+"'E4!(\d"</f>
        <v>#VALUE!</v>
      </c>
      <c r="AA174" t="e">
        <f>Nodes!X1426+"'E4!(\e"</f>
        <v>#VALUE!</v>
      </c>
      <c r="AB174" t="e">
        <f>Nodes!Y1426+"'E4!(\f"</f>
        <v>#VALUE!</v>
      </c>
      <c r="AC174" t="e">
        <f>Nodes!Z1426+"'E4!(\g"</f>
        <v>#VALUE!</v>
      </c>
      <c r="AD174" t="e">
        <f>Nodes!AA1426+"'E4!(\h"</f>
        <v>#VALUE!</v>
      </c>
      <c r="AE174" t="e">
        <f>Nodes!AB1426+"'E4!(\i"</f>
        <v>#VALUE!</v>
      </c>
      <c r="AF174" t="e">
        <f>Nodes!AC1426+"'E4!(\j"</f>
        <v>#VALUE!</v>
      </c>
      <c r="AG174" t="e">
        <f>Nodes!A1427+"'E4!(\k"</f>
        <v>#VALUE!</v>
      </c>
      <c r="AH174" t="e">
        <f>Nodes!B1427+"'E4!(\l"</f>
        <v>#VALUE!</v>
      </c>
      <c r="AI174" t="e">
        <f>Nodes!C1427+"'E4!(\m"</f>
        <v>#VALUE!</v>
      </c>
      <c r="AJ174" t="e">
        <f>Nodes!D1427+"'E4!(\n"</f>
        <v>#VALUE!</v>
      </c>
      <c r="AK174" t="e">
        <f>Nodes!E1427+"'E4!(\o"</f>
        <v>#VALUE!</v>
      </c>
      <c r="AL174" t="e">
        <f>Nodes!F1427+"'E4!(\p"</f>
        <v>#VALUE!</v>
      </c>
      <c r="AM174" t="e">
        <f>Nodes!G1427+"'E4!(\q"</f>
        <v>#VALUE!</v>
      </c>
      <c r="AN174" t="e">
        <f>Nodes!H1427+"'E4!(\r"</f>
        <v>#VALUE!</v>
      </c>
      <c r="AO174" t="e">
        <f>Nodes!I1427+"'E4!(\s"</f>
        <v>#VALUE!</v>
      </c>
      <c r="AP174" t="e">
        <f>Nodes!J1427+"'E4!(\t"</f>
        <v>#VALUE!</v>
      </c>
      <c r="AQ174" t="e">
        <f>Nodes!K1427+"'E4!(\u"</f>
        <v>#VALUE!</v>
      </c>
      <c r="AR174" t="e">
        <f>Nodes!L1427+"'E4!(\v"</f>
        <v>#VALUE!</v>
      </c>
      <c r="AS174" t="e">
        <f>Nodes!M1427+"'E4!(\w"</f>
        <v>#VALUE!</v>
      </c>
      <c r="AT174" t="e">
        <f>Nodes!N1427+"'E4!(\x"</f>
        <v>#VALUE!</v>
      </c>
      <c r="AU174" t="e">
        <f>Nodes!O1427+"'E4!(\y"</f>
        <v>#VALUE!</v>
      </c>
      <c r="AV174" t="e">
        <f>Nodes!P1427+"'E4!(\z"</f>
        <v>#VALUE!</v>
      </c>
      <c r="AW174" t="e">
        <f>Nodes!Q1427+"'E4!(\{"</f>
        <v>#VALUE!</v>
      </c>
      <c r="AX174" t="e">
        <f>Nodes!R1427+"'E4!(\|"</f>
        <v>#VALUE!</v>
      </c>
      <c r="AY174" t="e">
        <f>Nodes!S1427+"'E4!(\}"</f>
        <v>#VALUE!</v>
      </c>
      <c r="AZ174" t="e">
        <f>Nodes!T1427+"'E4!(\~"</f>
        <v>#VALUE!</v>
      </c>
      <c r="BA174" s="550" t="e">
        <f>Nodes!U1427+"'E4!(]#"</f>
        <v>#VALUE!</v>
      </c>
      <c r="BB174" t="e">
        <f>Nodes!V1427+"'E4!(]$"</f>
        <v>#VALUE!</v>
      </c>
      <c r="BC174" t="e">
        <f>Nodes!W1427+"'E4!(]%"</f>
        <v>#VALUE!</v>
      </c>
      <c r="BD174" t="e">
        <f>Nodes!X1427+"'E4!(]&amp;"</f>
        <v>#VALUE!</v>
      </c>
      <c r="BE174" t="e">
        <f>Nodes!Y1427+"'E4!(]'"</f>
        <v>#VALUE!</v>
      </c>
      <c r="BF174" t="e">
        <f>Nodes!Z1427+"'E4!(]("</f>
        <v>#VALUE!</v>
      </c>
      <c r="BG174" t="e">
        <f>Nodes!AA1427+"'E4!(])"</f>
        <v>#VALUE!</v>
      </c>
      <c r="BH174" t="e">
        <f>Nodes!AB1427+"'E4!(]."</f>
        <v>#VALUE!</v>
      </c>
      <c r="BI174" t="e">
        <f>Nodes!AC1427+"'E4!(]/"</f>
        <v>#VALUE!</v>
      </c>
      <c r="BJ174" t="e">
        <f>Nodes!A1428+"'E4!(]0"</f>
        <v>#VALUE!</v>
      </c>
      <c r="BK174" t="e">
        <f>Nodes!B1428+"'E4!(]1"</f>
        <v>#VALUE!</v>
      </c>
      <c r="BL174" t="e">
        <f>Nodes!C1428+"'E4!(]2"</f>
        <v>#VALUE!</v>
      </c>
      <c r="BM174" t="e">
        <f>Nodes!D1428+"'E4!(]3"</f>
        <v>#VALUE!</v>
      </c>
      <c r="BN174" t="e">
        <f>Nodes!E1428+"'E4!(]4"</f>
        <v>#VALUE!</v>
      </c>
      <c r="BO174" t="e">
        <f>Nodes!F1428+"'E4!(]5"</f>
        <v>#VALUE!</v>
      </c>
      <c r="BP174" t="e">
        <f>Nodes!G1428+"'E4!(]6"</f>
        <v>#VALUE!</v>
      </c>
      <c r="BQ174" t="e">
        <f>Nodes!H1428+"'E4!(]7"</f>
        <v>#VALUE!</v>
      </c>
      <c r="BR174" t="e">
        <f>Nodes!I1428+"'E4!(]8"</f>
        <v>#VALUE!</v>
      </c>
      <c r="BS174" t="e">
        <f>Nodes!J1428+"'E4!(]9"</f>
        <v>#VALUE!</v>
      </c>
      <c r="BT174" t="e">
        <f>Nodes!K1428+"'E4!(]:"</f>
        <v>#VALUE!</v>
      </c>
      <c r="BU174" t="e">
        <f>Nodes!L1428+"'E4!(];"</f>
        <v>#VALUE!</v>
      </c>
      <c r="BV174" t="e">
        <f>Nodes!M1428+"'E4!(]&lt;"</f>
        <v>#VALUE!</v>
      </c>
      <c r="BW174" t="e">
        <f>Nodes!N1428+"'E4!(]="</f>
        <v>#VALUE!</v>
      </c>
      <c r="BX174" t="e">
        <f>Nodes!O1428+"'E4!(]&gt;"</f>
        <v>#VALUE!</v>
      </c>
      <c r="BY174" t="e">
        <f>Nodes!P1428+"'E4!(]?"</f>
        <v>#VALUE!</v>
      </c>
      <c r="BZ174" t="e">
        <f>Nodes!Q1428+"'E4!(]@"</f>
        <v>#VALUE!</v>
      </c>
      <c r="CA174" t="e">
        <f>Nodes!R1428+"'E4!(]A"</f>
        <v>#VALUE!</v>
      </c>
      <c r="CB174" t="e">
        <f>Nodes!S1428+"'E4!(]B"</f>
        <v>#VALUE!</v>
      </c>
      <c r="CC174" t="e">
        <f>Nodes!T1428+"'E4!(]C"</f>
        <v>#VALUE!</v>
      </c>
      <c r="CD174" s="550" t="e">
        <f>Nodes!U1428+"'E4!(]D"</f>
        <v>#VALUE!</v>
      </c>
      <c r="CE174" t="e">
        <f>Nodes!V1428+"'E4!(]E"</f>
        <v>#VALUE!</v>
      </c>
      <c r="CF174" t="e">
        <f>Nodes!W1428+"'E4!(]F"</f>
        <v>#VALUE!</v>
      </c>
      <c r="CG174" t="e">
        <f>Nodes!X1428+"'E4!(]G"</f>
        <v>#VALUE!</v>
      </c>
      <c r="CH174" t="e">
        <f>Nodes!Y1428+"'E4!(]H"</f>
        <v>#VALUE!</v>
      </c>
      <c r="CI174" t="e">
        <f>Nodes!Z1428+"'E4!(]I"</f>
        <v>#VALUE!</v>
      </c>
      <c r="CJ174" t="e">
        <f>Nodes!AA1428+"'E4!(]J"</f>
        <v>#VALUE!</v>
      </c>
      <c r="CK174" t="e">
        <f>Nodes!AB1428+"'E4!(]K"</f>
        <v>#VALUE!</v>
      </c>
      <c r="CL174" t="e">
        <f>Nodes!AC1428+"'E4!(]L"</f>
        <v>#VALUE!</v>
      </c>
      <c r="CM174" t="e">
        <f>Nodes!A1429+"'E4!(]M"</f>
        <v>#VALUE!</v>
      </c>
      <c r="CN174" t="e">
        <f>Nodes!B1429+"'E4!(]N"</f>
        <v>#VALUE!</v>
      </c>
      <c r="CO174" t="e">
        <f>Nodes!C1429+"'E4!(]O"</f>
        <v>#VALUE!</v>
      </c>
      <c r="CP174" t="e">
        <f>Nodes!D1429+"'E4!(]P"</f>
        <v>#VALUE!</v>
      </c>
      <c r="CQ174" t="e">
        <f>Nodes!E1429+"'E4!(]Q"</f>
        <v>#VALUE!</v>
      </c>
      <c r="CR174" t="e">
        <f>Nodes!F1429+"'E4!(]R"</f>
        <v>#VALUE!</v>
      </c>
      <c r="CS174" t="e">
        <f>Nodes!G1429+"'E4!(]S"</f>
        <v>#VALUE!</v>
      </c>
      <c r="CT174" t="e">
        <f>Nodes!H1429+"'E4!(]T"</f>
        <v>#VALUE!</v>
      </c>
      <c r="CU174" t="e">
        <f>Nodes!I1429+"'E4!(]U"</f>
        <v>#VALUE!</v>
      </c>
      <c r="CV174" t="e">
        <f>Nodes!J1429+"'E4!(]V"</f>
        <v>#VALUE!</v>
      </c>
      <c r="CW174" t="e">
        <f>Nodes!K1429+"'E4!(]W"</f>
        <v>#VALUE!</v>
      </c>
      <c r="CX174" t="e">
        <f>Nodes!L1429+"'E4!(]X"</f>
        <v>#VALUE!</v>
      </c>
      <c r="CY174" t="e">
        <f>Nodes!M1429+"'E4!(]Y"</f>
        <v>#VALUE!</v>
      </c>
      <c r="CZ174" t="e">
        <f>Nodes!N1429+"'E4!(]Z"</f>
        <v>#VALUE!</v>
      </c>
      <c r="DA174" t="e">
        <f>Nodes!O1429+"'E4!(]["</f>
        <v>#VALUE!</v>
      </c>
      <c r="DB174" t="e">
        <f>Nodes!P1429+"'E4!(]\"</f>
        <v>#VALUE!</v>
      </c>
      <c r="DC174" t="e">
        <f>Nodes!Q1429+"'E4!(]]"</f>
        <v>#VALUE!</v>
      </c>
      <c r="DD174" t="e">
        <f>Nodes!R1429+"'E4!(]^"</f>
        <v>#VALUE!</v>
      </c>
      <c r="DE174" t="e">
        <f>Nodes!S1429+"'E4!(]_"</f>
        <v>#VALUE!</v>
      </c>
      <c r="DF174" t="e">
        <f>Nodes!T1429+"'E4!(]`"</f>
        <v>#VALUE!</v>
      </c>
      <c r="DG174" s="550" t="e">
        <f>Nodes!U1429+"'E4!(]a"</f>
        <v>#VALUE!</v>
      </c>
      <c r="DH174" t="e">
        <f>Nodes!V1429+"'E4!(]b"</f>
        <v>#VALUE!</v>
      </c>
      <c r="DI174" t="e">
        <f>Nodes!W1429+"'E4!(]c"</f>
        <v>#VALUE!</v>
      </c>
      <c r="DJ174" t="e">
        <f>Nodes!X1429+"'E4!(]d"</f>
        <v>#VALUE!</v>
      </c>
      <c r="DK174" t="e">
        <f>Nodes!Y1429+"'E4!(]e"</f>
        <v>#VALUE!</v>
      </c>
      <c r="DL174" t="e">
        <f>Nodes!Z1429+"'E4!(]f"</f>
        <v>#VALUE!</v>
      </c>
      <c r="DM174" t="e">
        <f>Nodes!AA1429+"'E4!(]g"</f>
        <v>#VALUE!</v>
      </c>
      <c r="DN174" t="e">
        <f>Nodes!AB1429+"'E4!(]h"</f>
        <v>#VALUE!</v>
      </c>
      <c r="DO174" t="e">
        <f>Nodes!AC1429+"'E4!(]i"</f>
        <v>#VALUE!</v>
      </c>
      <c r="DP174" t="e">
        <f>Nodes!A1430+"'E4!(]j"</f>
        <v>#VALUE!</v>
      </c>
      <c r="DQ174" t="e">
        <f>Nodes!B1430+"'E4!(]k"</f>
        <v>#VALUE!</v>
      </c>
      <c r="DR174" t="e">
        <f>Nodes!C1430+"'E4!(]l"</f>
        <v>#VALUE!</v>
      </c>
      <c r="DS174" t="e">
        <f>Nodes!D1430+"'E4!(]m"</f>
        <v>#VALUE!</v>
      </c>
      <c r="DT174" t="e">
        <f>Nodes!E1430+"'E4!(]n"</f>
        <v>#VALUE!</v>
      </c>
      <c r="DU174" t="e">
        <f>Nodes!F1430+"'E4!(]o"</f>
        <v>#VALUE!</v>
      </c>
      <c r="DV174" t="e">
        <f>Nodes!G1430+"'E4!(]p"</f>
        <v>#VALUE!</v>
      </c>
      <c r="DW174" t="e">
        <f>Nodes!H1430+"'E4!(]q"</f>
        <v>#VALUE!</v>
      </c>
      <c r="DX174" t="e">
        <f>Nodes!I1430+"'E4!(]r"</f>
        <v>#VALUE!</v>
      </c>
      <c r="DY174" t="e">
        <f>Nodes!J1430+"'E4!(]s"</f>
        <v>#VALUE!</v>
      </c>
      <c r="DZ174" t="e">
        <f>Nodes!K1430+"'E4!(]t"</f>
        <v>#VALUE!</v>
      </c>
      <c r="EA174" t="e">
        <f>Nodes!L1430+"'E4!(]u"</f>
        <v>#VALUE!</v>
      </c>
      <c r="EB174" t="e">
        <f>Nodes!M1430+"'E4!(]v"</f>
        <v>#VALUE!</v>
      </c>
      <c r="EC174" t="e">
        <f>Nodes!N1430+"'E4!(]w"</f>
        <v>#VALUE!</v>
      </c>
      <c r="ED174" t="e">
        <f>Nodes!O1430+"'E4!(]x"</f>
        <v>#VALUE!</v>
      </c>
      <c r="EE174" t="e">
        <f>Nodes!P1430+"'E4!(]y"</f>
        <v>#VALUE!</v>
      </c>
      <c r="EF174" t="e">
        <f>Nodes!Q1430+"'E4!(]z"</f>
        <v>#VALUE!</v>
      </c>
      <c r="EG174" t="e">
        <f>Nodes!R1430+"'E4!(]{"</f>
        <v>#VALUE!</v>
      </c>
      <c r="EH174" t="e">
        <f>Nodes!S1430+"'E4!(]|"</f>
        <v>#VALUE!</v>
      </c>
      <c r="EI174" t="e">
        <f>Nodes!T1430+"'E4!(]}"</f>
        <v>#VALUE!</v>
      </c>
      <c r="EJ174" s="550" t="e">
        <f>Nodes!U1430+"'E4!(]~"</f>
        <v>#VALUE!</v>
      </c>
      <c r="EK174" t="e">
        <f>Nodes!V1430+"'E4!(^#"</f>
        <v>#VALUE!</v>
      </c>
      <c r="EL174" t="e">
        <f>Nodes!W1430+"'E4!(^$"</f>
        <v>#VALUE!</v>
      </c>
      <c r="EM174" t="e">
        <f>Nodes!X1430+"'E4!(^%"</f>
        <v>#VALUE!</v>
      </c>
      <c r="EN174" t="e">
        <f>Nodes!Y1430+"'E4!(^&amp;"</f>
        <v>#VALUE!</v>
      </c>
      <c r="EO174" t="e">
        <f>Nodes!Z1430+"'E4!(^'"</f>
        <v>#VALUE!</v>
      </c>
      <c r="EP174" t="e">
        <f>Nodes!AA1430+"'E4!(^("</f>
        <v>#VALUE!</v>
      </c>
      <c r="EQ174" t="e">
        <f>Nodes!AB1430+"'E4!(^)"</f>
        <v>#VALUE!</v>
      </c>
      <c r="ER174" t="e">
        <f>Nodes!AC1430+"'E4!(^."</f>
        <v>#VALUE!</v>
      </c>
      <c r="ES174" t="e">
        <f>Nodes!A1431+"'E4!(^/"</f>
        <v>#VALUE!</v>
      </c>
      <c r="ET174" t="e">
        <f>Nodes!B1431+"'E4!(^0"</f>
        <v>#VALUE!</v>
      </c>
      <c r="EU174" t="e">
        <f>Nodes!C1431+"'E4!(^1"</f>
        <v>#VALUE!</v>
      </c>
      <c r="EV174" t="e">
        <f>Nodes!D1431+"'E4!(^2"</f>
        <v>#VALUE!</v>
      </c>
      <c r="EW174" t="e">
        <f>Nodes!E1431+"'E4!(^3"</f>
        <v>#VALUE!</v>
      </c>
      <c r="EX174" t="e">
        <f>Nodes!F1431+"'E4!(^4"</f>
        <v>#VALUE!</v>
      </c>
      <c r="EY174" t="e">
        <f>Nodes!G1431+"'E4!(^5"</f>
        <v>#VALUE!</v>
      </c>
      <c r="EZ174" t="e">
        <f>Nodes!H1431+"'E4!(^6"</f>
        <v>#VALUE!</v>
      </c>
      <c r="FA174" t="e">
        <f>Nodes!I1431+"'E4!(^7"</f>
        <v>#VALUE!</v>
      </c>
      <c r="FB174" t="e">
        <f>Nodes!J1431+"'E4!(^8"</f>
        <v>#VALUE!</v>
      </c>
      <c r="FC174" t="e">
        <f>Nodes!K1431+"'E4!(^9"</f>
        <v>#VALUE!</v>
      </c>
      <c r="FD174" t="e">
        <f>Nodes!L1431+"'E4!(^:"</f>
        <v>#VALUE!</v>
      </c>
      <c r="FE174" t="e">
        <f>Nodes!M1431+"'E4!(^;"</f>
        <v>#VALUE!</v>
      </c>
      <c r="FF174" t="e">
        <f>Nodes!N1431+"'E4!(^&lt;"</f>
        <v>#VALUE!</v>
      </c>
      <c r="FG174" t="e">
        <f>Nodes!O1431+"'E4!(^="</f>
        <v>#VALUE!</v>
      </c>
      <c r="FH174" t="e">
        <f>Nodes!P1431+"'E4!(^&gt;"</f>
        <v>#VALUE!</v>
      </c>
      <c r="FI174" t="e">
        <f>Nodes!Q1431+"'E4!(^?"</f>
        <v>#VALUE!</v>
      </c>
      <c r="FJ174" t="e">
        <f>Nodes!R1431+"'E4!(^@"</f>
        <v>#VALUE!</v>
      </c>
      <c r="FK174" t="e">
        <f>Nodes!S1431+"'E4!(^A"</f>
        <v>#VALUE!</v>
      </c>
      <c r="FL174" t="e">
        <f>Nodes!T1431+"'E4!(^B"</f>
        <v>#VALUE!</v>
      </c>
      <c r="FM174" s="550" t="e">
        <f>Nodes!U1431+"'E4!(^C"</f>
        <v>#VALUE!</v>
      </c>
      <c r="FN174" t="e">
        <f>Nodes!V1431+"'E4!(^D"</f>
        <v>#VALUE!</v>
      </c>
      <c r="FO174" t="e">
        <f>Nodes!W1431+"'E4!(^E"</f>
        <v>#VALUE!</v>
      </c>
      <c r="FP174" t="e">
        <f>Nodes!X1431+"'E4!(^F"</f>
        <v>#VALUE!</v>
      </c>
      <c r="FQ174" t="e">
        <f>Nodes!Y1431+"'E4!(^G"</f>
        <v>#VALUE!</v>
      </c>
      <c r="FR174" t="e">
        <f>Nodes!Z1431+"'E4!(^H"</f>
        <v>#VALUE!</v>
      </c>
      <c r="FS174" t="e">
        <f>Nodes!AA1431+"'E4!(^I"</f>
        <v>#VALUE!</v>
      </c>
      <c r="FT174" t="e">
        <f>Nodes!AB1431+"'E4!(^J"</f>
        <v>#VALUE!</v>
      </c>
      <c r="FU174" t="e">
        <f>Nodes!AC1431+"'E4!(^K"</f>
        <v>#VALUE!</v>
      </c>
      <c r="FV174" t="e">
        <f>Nodes!A1432+"'E4!(^L"</f>
        <v>#VALUE!</v>
      </c>
      <c r="FW174" t="e">
        <f>Nodes!B1432+"'E4!(^M"</f>
        <v>#VALUE!</v>
      </c>
      <c r="FX174" t="e">
        <f>Nodes!C1432+"'E4!(^N"</f>
        <v>#VALUE!</v>
      </c>
      <c r="FY174" t="e">
        <f>Nodes!D1432+"'E4!(^O"</f>
        <v>#VALUE!</v>
      </c>
      <c r="FZ174" t="e">
        <f>Nodes!E1432+"'E4!(^P"</f>
        <v>#VALUE!</v>
      </c>
      <c r="GA174" t="e">
        <f>Nodes!F1432+"'E4!(^Q"</f>
        <v>#VALUE!</v>
      </c>
      <c r="GB174" t="e">
        <f>Nodes!G1432+"'E4!(^R"</f>
        <v>#VALUE!</v>
      </c>
      <c r="GC174" t="e">
        <f>Nodes!H1432+"'E4!(^S"</f>
        <v>#VALUE!</v>
      </c>
      <c r="GD174" t="e">
        <f>Nodes!I1432+"'E4!(^T"</f>
        <v>#VALUE!</v>
      </c>
      <c r="GE174" t="e">
        <f>Nodes!J1432+"'E4!(^U"</f>
        <v>#VALUE!</v>
      </c>
      <c r="GF174" t="e">
        <f>Nodes!K1432+"'E4!(^V"</f>
        <v>#VALUE!</v>
      </c>
      <c r="GG174" t="e">
        <f>Nodes!L1432+"'E4!(^W"</f>
        <v>#VALUE!</v>
      </c>
      <c r="GH174" t="e">
        <f>Nodes!M1432+"'E4!(^X"</f>
        <v>#VALUE!</v>
      </c>
      <c r="GI174" t="e">
        <f>Nodes!N1432+"'E4!(^Y"</f>
        <v>#VALUE!</v>
      </c>
      <c r="GJ174" t="e">
        <f>Nodes!O1432+"'E4!(^Z"</f>
        <v>#VALUE!</v>
      </c>
      <c r="GK174" t="e">
        <f>Nodes!P1432+"'E4!(^["</f>
        <v>#VALUE!</v>
      </c>
      <c r="GL174" t="e">
        <f>Nodes!Q1432+"'E4!(^\"</f>
        <v>#VALUE!</v>
      </c>
      <c r="GM174" t="e">
        <f>Nodes!R1432+"'E4!(^]"</f>
        <v>#VALUE!</v>
      </c>
      <c r="GN174" t="e">
        <f>Nodes!S1432+"'E4!(^^"</f>
        <v>#VALUE!</v>
      </c>
      <c r="GO174" t="e">
        <f>Nodes!T1432+"'E4!(^_"</f>
        <v>#VALUE!</v>
      </c>
      <c r="GP174" s="550" t="e">
        <f>Nodes!U1432+"'E4!(^`"</f>
        <v>#VALUE!</v>
      </c>
      <c r="GQ174" t="e">
        <f>Nodes!V1432+"'E4!(^a"</f>
        <v>#VALUE!</v>
      </c>
      <c r="GR174" t="e">
        <f>Nodes!W1432+"'E4!(^b"</f>
        <v>#VALUE!</v>
      </c>
      <c r="GS174" t="e">
        <f>Nodes!X1432+"'E4!(^c"</f>
        <v>#VALUE!</v>
      </c>
      <c r="GT174" t="e">
        <f>Nodes!Y1432+"'E4!(^d"</f>
        <v>#VALUE!</v>
      </c>
      <c r="GU174" t="e">
        <f>Nodes!Z1432+"'E4!(^e"</f>
        <v>#VALUE!</v>
      </c>
      <c r="GV174" t="e">
        <f>Nodes!AA1432+"'E4!(^f"</f>
        <v>#VALUE!</v>
      </c>
      <c r="GW174" t="e">
        <f>Nodes!AB1432+"'E4!(^g"</f>
        <v>#VALUE!</v>
      </c>
      <c r="GX174" t="e">
        <f>Nodes!AC1432+"'E4!(^h"</f>
        <v>#VALUE!</v>
      </c>
      <c r="GY174" t="e">
        <f>Nodes!A1433+"'E4!(^i"</f>
        <v>#VALUE!</v>
      </c>
      <c r="GZ174" t="e">
        <f>Nodes!B1433+"'E4!(^j"</f>
        <v>#VALUE!</v>
      </c>
      <c r="HA174" t="e">
        <f>Nodes!C1433+"'E4!(^k"</f>
        <v>#VALUE!</v>
      </c>
      <c r="HB174" t="e">
        <f>Nodes!D1433+"'E4!(^l"</f>
        <v>#VALUE!</v>
      </c>
      <c r="HC174" t="e">
        <f>Nodes!E1433+"'E4!(^m"</f>
        <v>#VALUE!</v>
      </c>
      <c r="HD174" t="e">
        <f>Nodes!F1433+"'E4!(^n"</f>
        <v>#VALUE!</v>
      </c>
      <c r="HE174" t="e">
        <f>Nodes!G1433+"'E4!(^o"</f>
        <v>#VALUE!</v>
      </c>
      <c r="HF174" t="e">
        <f>Nodes!H1433+"'E4!(^p"</f>
        <v>#VALUE!</v>
      </c>
      <c r="HG174" t="e">
        <f>Nodes!I1433+"'E4!(^q"</f>
        <v>#VALUE!</v>
      </c>
      <c r="HH174" t="e">
        <f>Nodes!J1433+"'E4!(^r"</f>
        <v>#VALUE!</v>
      </c>
      <c r="HI174" t="e">
        <f>Nodes!K1433+"'E4!(^s"</f>
        <v>#VALUE!</v>
      </c>
      <c r="HJ174" t="e">
        <f>Nodes!L1433+"'E4!(^t"</f>
        <v>#VALUE!</v>
      </c>
      <c r="HK174" t="e">
        <f>Nodes!M1433+"'E4!(^u"</f>
        <v>#VALUE!</v>
      </c>
      <c r="HL174" t="e">
        <f>Nodes!N1433+"'E4!(^v"</f>
        <v>#VALUE!</v>
      </c>
      <c r="HM174" t="e">
        <f>Nodes!O1433+"'E4!(^w"</f>
        <v>#VALUE!</v>
      </c>
      <c r="HN174" t="e">
        <f>Nodes!P1433+"'E4!(^x"</f>
        <v>#VALUE!</v>
      </c>
      <c r="HO174" t="e">
        <f>Nodes!Q1433+"'E4!(^y"</f>
        <v>#VALUE!</v>
      </c>
      <c r="HP174" t="e">
        <f>Nodes!R1433+"'E4!(^z"</f>
        <v>#VALUE!</v>
      </c>
      <c r="HQ174" t="e">
        <f>Nodes!S1433+"'E4!(^{"</f>
        <v>#VALUE!</v>
      </c>
      <c r="HR174" t="e">
        <f>Nodes!T1433+"'E4!(^|"</f>
        <v>#VALUE!</v>
      </c>
      <c r="HS174" s="550" t="e">
        <f>Nodes!U1433+"'E4!(^}"</f>
        <v>#VALUE!</v>
      </c>
      <c r="HT174" t="e">
        <f>Nodes!V1433+"'E4!(^~"</f>
        <v>#VALUE!</v>
      </c>
      <c r="HU174" t="e">
        <f>Nodes!W1433+"'E4!(_#"</f>
        <v>#VALUE!</v>
      </c>
      <c r="HV174" t="e">
        <f>Nodes!X1433+"'E4!(_$"</f>
        <v>#VALUE!</v>
      </c>
      <c r="HW174" t="e">
        <f>Nodes!Y1433+"'E4!(_%"</f>
        <v>#VALUE!</v>
      </c>
      <c r="HX174" t="e">
        <f>Nodes!Z1433+"'E4!(_&amp;"</f>
        <v>#VALUE!</v>
      </c>
      <c r="HY174" t="e">
        <f>Nodes!AA1433+"'E4!(_'"</f>
        <v>#VALUE!</v>
      </c>
      <c r="HZ174" t="e">
        <f>Nodes!AB1433+"'E4!(_("</f>
        <v>#VALUE!</v>
      </c>
      <c r="IA174" t="e">
        <f>Nodes!AC1433+"'E4!(_)"</f>
        <v>#VALUE!</v>
      </c>
      <c r="IB174" t="e">
        <f>Nodes!A1434+"'E4!(_."</f>
        <v>#VALUE!</v>
      </c>
      <c r="IC174" t="e">
        <f>Nodes!B1434+"'E4!(_/"</f>
        <v>#VALUE!</v>
      </c>
      <c r="ID174" t="e">
        <f>Nodes!C1434+"'E4!(_0"</f>
        <v>#VALUE!</v>
      </c>
      <c r="IE174" t="e">
        <f>Nodes!D1434+"'E4!(_1"</f>
        <v>#VALUE!</v>
      </c>
      <c r="IF174" t="e">
        <f>Nodes!E1434+"'E4!(_2"</f>
        <v>#VALUE!</v>
      </c>
      <c r="IG174" t="e">
        <f>Nodes!F1434+"'E4!(_3"</f>
        <v>#VALUE!</v>
      </c>
      <c r="IH174" t="e">
        <f>Nodes!G1434+"'E4!(_4"</f>
        <v>#VALUE!</v>
      </c>
      <c r="II174" t="e">
        <f>Nodes!H1434+"'E4!(_5"</f>
        <v>#VALUE!</v>
      </c>
      <c r="IJ174" t="e">
        <f>Nodes!I1434+"'E4!(_6"</f>
        <v>#VALUE!</v>
      </c>
      <c r="IK174" t="e">
        <f>Nodes!J1434+"'E4!(_7"</f>
        <v>#VALUE!</v>
      </c>
      <c r="IL174" t="e">
        <f>Nodes!K1434+"'E4!(_8"</f>
        <v>#VALUE!</v>
      </c>
      <c r="IM174" t="e">
        <f>Nodes!L1434+"'E4!(_9"</f>
        <v>#VALUE!</v>
      </c>
      <c r="IN174" t="e">
        <f>Nodes!M1434+"'E4!(_:"</f>
        <v>#VALUE!</v>
      </c>
      <c r="IO174" t="e">
        <f>Nodes!N1434+"'E4!(_;"</f>
        <v>#VALUE!</v>
      </c>
      <c r="IP174" t="e">
        <f>Nodes!O1434+"'E4!(_&lt;"</f>
        <v>#VALUE!</v>
      </c>
      <c r="IQ174" t="e">
        <f>Nodes!P1434+"'E4!(_="</f>
        <v>#VALUE!</v>
      </c>
      <c r="IR174" t="e">
        <f>Nodes!Q1434+"'E4!(_&gt;"</f>
        <v>#VALUE!</v>
      </c>
      <c r="IS174" t="e">
        <f>Nodes!R1434+"'E4!(_?"</f>
        <v>#VALUE!</v>
      </c>
      <c r="IT174" t="e">
        <f>Nodes!S1434+"'E4!(_@"</f>
        <v>#VALUE!</v>
      </c>
      <c r="IU174" t="e">
        <f>Nodes!T1434+"'E4!(_A"</f>
        <v>#VALUE!</v>
      </c>
      <c r="IV174" s="550" t="e">
        <f>Nodes!U1434+"'E4!(_B"</f>
        <v>#VALUE!</v>
      </c>
    </row>
    <row r="175" spans="6:256">
      <c r="F175" t="e">
        <f>Nodes!V1434+"'E4!(_C"</f>
        <v>#VALUE!</v>
      </c>
      <c r="G175" t="e">
        <f>Nodes!W1434+"'E4!(_D"</f>
        <v>#VALUE!</v>
      </c>
      <c r="H175" t="e">
        <f>Nodes!X1434+"'E4!(_E"</f>
        <v>#VALUE!</v>
      </c>
      <c r="I175" t="e">
        <f>Nodes!Y1434+"'E4!(_F"</f>
        <v>#VALUE!</v>
      </c>
      <c r="J175" t="e">
        <f>Nodes!Z1434+"'E4!(_G"</f>
        <v>#VALUE!</v>
      </c>
      <c r="K175" t="e">
        <f>Nodes!AA1434+"'E4!(_H"</f>
        <v>#VALUE!</v>
      </c>
      <c r="L175" t="e">
        <f>Nodes!AB1434+"'E4!(_I"</f>
        <v>#VALUE!</v>
      </c>
      <c r="M175" t="e">
        <f>Nodes!AC1434+"'E4!(_J"</f>
        <v>#VALUE!</v>
      </c>
      <c r="N175" t="e">
        <f>Nodes!A1435+"'E4!(_K"</f>
        <v>#VALUE!</v>
      </c>
      <c r="O175" t="e">
        <f>Nodes!B1435+"'E4!(_L"</f>
        <v>#VALUE!</v>
      </c>
      <c r="P175" t="e">
        <f>Nodes!C1435+"'E4!(_M"</f>
        <v>#VALUE!</v>
      </c>
      <c r="Q175" t="e">
        <f>Nodes!D1435+"'E4!(_N"</f>
        <v>#VALUE!</v>
      </c>
      <c r="R175" t="e">
        <f>Nodes!E1435+"'E4!(_O"</f>
        <v>#VALUE!</v>
      </c>
      <c r="S175" t="e">
        <f>Nodes!F1435+"'E4!(_P"</f>
        <v>#VALUE!</v>
      </c>
      <c r="T175" t="e">
        <f>Nodes!G1435+"'E4!(_Q"</f>
        <v>#VALUE!</v>
      </c>
      <c r="U175" t="e">
        <f>Nodes!H1435+"'E4!(_R"</f>
        <v>#VALUE!</v>
      </c>
      <c r="V175" t="e">
        <f>Nodes!I1435+"'E4!(_S"</f>
        <v>#VALUE!</v>
      </c>
      <c r="W175" t="e">
        <f>Nodes!J1435+"'E4!(_T"</f>
        <v>#VALUE!</v>
      </c>
      <c r="X175" t="e">
        <f>Nodes!K1435+"'E4!(_U"</f>
        <v>#VALUE!</v>
      </c>
      <c r="Y175" t="e">
        <f>Nodes!L1435+"'E4!(_V"</f>
        <v>#VALUE!</v>
      </c>
      <c r="Z175" t="e">
        <f>Nodes!M1435+"'E4!(_W"</f>
        <v>#VALUE!</v>
      </c>
      <c r="AA175" t="e">
        <f>Nodes!N1435+"'E4!(_X"</f>
        <v>#VALUE!</v>
      </c>
      <c r="AB175" t="e">
        <f>Nodes!O1435+"'E4!(_Y"</f>
        <v>#VALUE!</v>
      </c>
      <c r="AC175" t="e">
        <f>Nodes!P1435+"'E4!(_Z"</f>
        <v>#VALUE!</v>
      </c>
      <c r="AD175" t="e">
        <f>Nodes!Q1435+"'E4!(_["</f>
        <v>#VALUE!</v>
      </c>
      <c r="AE175" t="e">
        <f>Nodes!R1435+"'E4!(_\"</f>
        <v>#VALUE!</v>
      </c>
      <c r="AF175" t="e">
        <f>Nodes!S1435+"'E4!(_]"</f>
        <v>#VALUE!</v>
      </c>
      <c r="AG175" t="e">
        <f>Nodes!T1435+"'E4!(_^"</f>
        <v>#VALUE!</v>
      </c>
      <c r="AH175" s="550" t="e">
        <f>Nodes!U1435+"'E4!(__"</f>
        <v>#VALUE!</v>
      </c>
      <c r="AI175" t="e">
        <f>Nodes!V1435+"'E4!(_`"</f>
        <v>#VALUE!</v>
      </c>
      <c r="AJ175" t="e">
        <f>Nodes!W1435+"'E4!(_a"</f>
        <v>#VALUE!</v>
      </c>
      <c r="AK175" t="e">
        <f>Nodes!X1435+"'E4!(_b"</f>
        <v>#VALUE!</v>
      </c>
      <c r="AL175" t="e">
        <f>Nodes!Y1435+"'E4!(_c"</f>
        <v>#VALUE!</v>
      </c>
      <c r="AM175" t="e">
        <f>Nodes!Z1435+"'E4!(_d"</f>
        <v>#VALUE!</v>
      </c>
      <c r="AN175" t="e">
        <f>Nodes!AA1435+"'E4!(_e"</f>
        <v>#VALUE!</v>
      </c>
      <c r="AO175" t="e">
        <f>Nodes!AB1435+"'E4!(_f"</f>
        <v>#VALUE!</v>
      </c>
      <c r="AP175" t="e">
        <f>Nodes!AC1435+"'E4!(_g"</f>
        <v>#VALUE!</v>
      </c>
      <c r="AQ175" t="e">
        <f>Nodes!A1436+"'E4!(_h"</f>
        <v>#VALUE!</v>
      </c>
      <c r="AR175" t="e">
        <f>Nodes!B1436+"'E4!(_i"</f>
        <v>#VALUE!</v>
      </c>
      <c r="AS175" t="e">
        <f>Nodes!C1436+"'E4!(_j"</f>
        <v>#VALUE!</v>
      </c>
      <c r="AT175" t="e">
        <f>Nodes!D1436+"'E4!(_k"</f>
        <v>#VALUE!</v>
      </c>
      <c r="AU175" t="e">
        <f>Nodes!E1436+"'E4!(_l"</f>
        <v>#VALUE!</v>
      </c>
      <c r="AV175" t="e">
        <f>Nodes!F1436+"'E4!(_m"</f>
        <v>#VALUE!</v>
      </c>
      <c r="AW175" t="e">
        <f>Nodes!G1436+"'E4!(_n"</f>
        <v>#VALUE!</v>
      </c>
      <c r="AX175" t="e">
        <f>Nodes!H1436+"'E4!(_o"</f>
        <v>#VALUE!</v>
      </c>
      <c r="AY175" t="e">
        <f>Nodes!I1436+"'E4!(_p"</f>
        <v>#VALUE!</v>
      </c>
      <c r="AZ175" t="e">
        <f>Nodes!J1436+"'E4!(_q"</f>
        <v>#VALUE!</v>
      </c>
      <c r="BA175" t="e">
        <f>Nodes!K1436+"'E4!(_r"</f>
        <v>#VALUE!</v>
      </c>
      <c r="BB175" t="e">
        <f>Nodes!L1436+"'E4!(_s"</f>
        <v>#VALUE!</v>
      </c>
      <c r="BC175" t="e">
        <f>Nodes!M1436+"'E4!(_t"</f>
        <v>#VALUE!</v>
      </c>
      <c r="BD175" t="e">
        <f>Nodes!N1436+"'E4!(_u"</f>
        <v>#VALUE!</v>
      </c>
      <c r="BE175" t="e">
        <f>Nodes!O1436+"'E4!(_v"</f>
        <v>#VALUE!</v>
      </c>
      <c r="BF175" t="e">
        <f>Nodes!P1436+"'E4!(_w"</f>
        <v>#VALUE!</v>
      </c>
      <c r="BG175" t="e">
        <f>Nodes!Q1436+"'E4!(_x"</f>
        <v>#VALUE!</v>
      </c>
      <c r="BH175" t="e">
        <f>Nodes!R1436+"'E4!(_y"</f>
        <v>#VALUE!</v>
      </c>
      <c r="BI175" t="e">
        <f>Nodes!S1436+"'E4!(_z"</f>
        <v>#VALUE!</v>
      </c>
      <c r="BJ175" t="e">
        <f>Nodes!T1436+"'E4!(_{"</f>
        <v>#VALUE!</v>
      </c>
      <c r="BK175" s="550" t="e">
        <f>Nodes!U1436+"'E4!(_|"</f>
        <v>#VALUE!</v>
      </c>
      <c r="BL175" t="e">
        <f>Nodes!V1436+"'E4!(_}"</f>
        <v>#VALUE!</v>
      </c>
      <c r="BM175" t="e">
        <f>Nodes!W1436+"'E4!(_~"</f>
        <v>#VALUE!</v>
      </c>
      <c r="BN175" t="e">
        <f>Nodes!X1436+"'E4!(`#"</f>
        <v>#VALUE!</v>
      </c>
      <c r="BO175" t="e">
        <f>Nodes!Y1436+"'E4!(`$"</f>
        <v>#VALUE!</v>
      </c>
      <c r="BP175" t="e">
        <f>Nodes!Z1436+"'E4!(`%"</f>
        <v>#VALUE!</v>
      </c>
      <c r="BQ175" t="e">
        <f>Nodes!AA1436+"'E4!(`&amp;"</f>
        <v>#VALUE!</v>
      </c>
      <c r="BR175" t="e">
        <f>Nodes!AB1436+"'E4!(`'"</f>
        <v>#VALUE!</v>
      </c>
      <c r="BS175" t="e">
        <f>Nodes!AC1436+"'E4!(`("</f>
        <v>#VALUE!</v>
      </c>
      <c r="BT175" t="e">
        <f>Nodes!A1437+"'E4!(`)"</f>
        <v>#VALUE!</v>
      </c>
      <c r="BU175" t="e">
        <f>Nodes!B1437+"'E4!(`."</f>
        <v>#VALUE!</v>
      </c>
      <c r="BV175" t="e">
        <f>Nodes!C1437+"'E4!(`/"</f>
        <v>#VALUE!</v>
      </c>
      <c r="BW175" t="e">
        <f>Nodes!D1437+"'E4!(`0"</f>
        <v>#VALUE!</v>
      </c>
      <c r="BX175" t="e">
        <f>Nodes!E1437+"'E4!(`1"</f>
        <v>#VALUE!</v>
      </c>
      <c r="BY175" t="e">
        <f>Nodes!F1437+"'E4!(`2"</f>
        <v>#VALUE!</v>
      </c>
      <c r="BZ175" t="e">
        <f>Nodes!G1437+"'E4!(`3"</f>
        <v>#VALUE!</v>
      </c>
      <c r="CA175" t="e">
        <f>Nodes!H1437+"'E4!(`4"</f>
        <v>#VALUE!</v>
      </c>
      <c r="CB175" t="e">
        <f>Nodes!I1437+"'E4!(`5"</f>
        <v>#VALUE!</v>
      </c>
      <c r="CC175" t="e">
        <f>Nodes!J1437+"'E4!(`6"</f>
        <v>#VALUE!</v>
      </c>
      <c r="CD175" t="e">
        <f>Nodes!K1437+"'E4!(`7"</f>
        <v>#VALUE!</v>
      </c>
      <c r="CE175" t="e">
        <f>Nodes!L1437+"'E4!(`8"</f>
        <v>#VALUE!</v>
      </c>
      <c r="CF175" t="e">
        <f>Nodes!M1437+"'E4!(`9"</f>
        <v>#VALUE!</v>
      </c>
      <c r="CG175" t="e">
        <f>Nodes!N1437+"'E4!(`:"</f>
        <v>#VALUE!</v>
      </c>
      <c r="CH175" t="e">
        <f>Nodes!O1437+"'E4!(`;"</f>
        <v>#VALUE!</v>
      </c>
      <c r="CI175" t="e">
        <f>Nodes!P1437+"'E4!(`&lt;"</f>
        <v>#VALUE!</v>
      </c>
      <c r="CJ175" t="e">
        <f>Nodes!Q1437+"'E4!(`="</f>
        <v>#VALUE!</v>
      </c>
      <c r="CK175" t="e">
        <f>Nodes!R1437+"'E4!(`&gt;"</f>
        <v>#VALUE!</v>
      </c>
      <c r="CL175" t="e">
        <f>Nodes!S1437+"'E4!(`?"</f>
        <v>#VALUE!</v>
      </c>
      <c r="CM175" t="e">
        <f>Nodes!T1437+"'E4!(`@"</f>
        <v>#VALUE!</v>
      </c>
      <c r="CN175" s="550" t="e">
        <f>Nodes!U1437+"'E4!(`A"</f>
        <v>#VALUE!</v>
      </c>
      <c r="CO175" t="e">
        <f>Nodes!V1437+"'E4!(`B"</f>
        <v>#VALUE!</v>
      </c>
      <c r="CP175" t="e">
        <f>Nodes!W1437+"'E4!(`C"</f>
        <v>#VALUE!</v>
      </c>
      <c r="CQ175" t="e">
        <f>Nodes!X1437+"'E4!(`D"</f>
        <v>#VALUE!</v>
      </c>
      <c r="CR175" t="e">
        <f>Nodes!Y1437+"'E4!(`E"</f>
        <v>#VALUE!</v>
      </c>
      <c r="CS175" t="e">
        <f>Nodes!Z1437+"'E4!(`F"</f>
        <v>#VALUE!</v>
      </c>
      <c r="CT175" t="e">
        <f>Nodes!AA1437+"'E4!(`G"</f>
        <v>#VALUE!</v>
      </c>
      <c r="CU175" t="e">
        <f>Nodes!AB1437+"'E4!(`H"</f>
        <v>#VALUE!</v>
      </c>
      <c r="CV175" t="e">
        <f>Nodes!AC1437+"'E4!(`I"</f>
        <v>#VALUE!</v>
      </c>
      <c r="CW175" t="e">
        <f>Nodes!A1438+"'E4!(`J"</f>
        <v>#VALUE!</v>
      </c>
      <c r="CX175" t="e">
        <f>Nodes!B1438+"'E4!(`K"</f>
        <v>#VALUE!</v>
      </c>
      <c r="CY175" t="e">
        <f>Nodes!C1438+"'E4!(`L"</f>
        <v>#VALUE!</v>
      </c>
      <c r="CZ175" t="e">
        <f>Nodes!D1438+"'E4!(`M"</f>
        <v>#VALUE!</v>
      </c>
      <c r="DA175" t="e">
        <f>Nodes!E1438+"'E4!(`N"</f>
        <v>#VALUE!</v>
      </c>
      <c r="DB175" t="e">
        <f>Nodes!F1438+"'E4!(`O"</f>
        <v>#VALUE!</v>
      </c>
      <c r="DC175" t="e">
        <f>Nodes!G1438+"'E4!(`P"</f>
        <v>#VALUE!</v>
      </c>
      <c r="DD175" t="e">
        <f>Nodes!H1438+"'E4!(`Q"</f>
        <v>#VALUE!</v>
      </c>
      <c r="DE175" t="e">
        <f>Nodes!I1438+"'E4!(`R"</f>
        <v>#VALUE!</v>
      </c>
      <c r="DF175" t="e">
        <f>Nodes!J1438+"'E4!(`S"</f>
        <v>#VALUE!</v>
      </c>
      <c r="DG175" t="e">
        <f>Nodes!K1438+"'E4!(`T"</f>
        <v>#VALUE!</v>
      </c>
      <c r="DH175" t="e">
        <f>Nodes!L1438+"'E4!(`U"</f>
        <v>#VALUE!</v>
      </c>
      <c r="DI175" t="e">
        <f>Nodes!M1438+"'E4!(`V"</f>
        <v>#VALUE!</v>
      </c>
      <c r="DJ175" t="e">
        <f>Nodes!N1438+"'E4!(`W"</f>
        <v>#VALUE!</v>
      </c>
      <c r="DK175" t="e">
        <f>Nodes!O1438+"'E4!(`X"</f>
        <v>#VALUE!</v>
      </c>
      <c r="DL175" t="e">
        <f>Nodes!P1438+"'E4!(`Y"</f>
        <v>#VALUE!</v>
      </c>
      <c r="DM175" t="e">
        <f>Nodes!Q1438+"'E4!(`Z"</f>
        <v>#VALUE!</v>
      </c>
      <c r="DN175" t="e">
        <f>Nodes!R1438+"'E4!(`["</f>
        <v>#VALUE!</v>
      </c>
      <c r="DO175" t="e">
        <f>Nodes!S1438+"'E4!(`\"</f>
        <v>#VALUE!</v>
      </c>
      <c r="DP175" t="e">
        <f>Nodes!T1438+"'E4!(`]"</f>
        <v>#VALUE!</v>
      </c>
      <c r="DQ175" s="550" t="e">
        <f>Nodes!U1438+"'E4!(`^"</f>
        <v>#VALUE!</v>
      </c>
      <c r="DR175" t="e">
        <f>Nodes!V1438+"'E4!(`_"</f>
        <v>#VALUE!</v>
      </c>
      <c r="DS175" t="e">
        <f>Nodes!W1438+"'E4!(``"</f>
        <v>#VALUE!</v>
      </c>
      <c r="DT175" t="e">
        <f>Nodes!X1438+"'E4!(`a"</f>
        <v>#VALUE!</v>
      </c>
      <c r="DU175" t="e">
        <f>Nodes!Y1438+"'E4!(`b"</f>
        <v>#VALUE!</v>
      </c>
      <c r="DV175" t="e">
        <f>Nodes!Z1438+"'E4!(`c"</f>
        <v>#VALUE!</v>
      </c>
      <c r="DW175" t="e">
        <f>Nodes!AA1438+"'E4!(`d"</f>
        <v>#VALUE!</v>
      </c>
      <c r="DX175" t="e">
        <f>Nodes!AB1438+"'E4!(`e"</f>
        <v>#VALUE!</v>
      </c>
      <c r="DY175" t="e">
        <f>Nodes!AC1438+"'E4!(`f"</f>
        <v>#VALUE!</v>
      </c>
      <c r="DZ175" t="e">
        <f>Nodes!A1439+"'E4!(`g"</f>
        <v>#VALUE!</v>
      </c>
      <c r="EA175" t="e">
        <f>Nodes!B1439+"'E4!(`h"</f>
        <v>#VALUE!</v>
      </c>
      <c r="EB175" t="e">
        <f>Nodes!C1439+"'E4!(`i"</f>
        <v>#VALUE!</v>
      </c>
      <c r="EC175" t="e">
        <f>Nodes!D1439+"'E4!(`j"</f>
        <v>#VALUE!</v>
      </c>
      <c r="ED175" t="e">
        <f>Nodes!E1439+"'E4!(`k"</f>
        <v>#VALUE!</v>
      </c>
      <c r="EE175" t="e">
        <f>Nodes!F1439+"'E4!(`l"</f>
        <v>#VALUE!</v>
      </c>
      <c r="EF175" t="e">
        <f>Nodes!G1439+"'E4!(`m"</f>
        <v>#VALUE!</v>
      </c>
      <c r="EG175" t="e">
        <f>Nodes!H1439+"'E4!(`n"</f>
        <v>#VALUE!</v>
      </c>
      <c r="EH175" t="e">
        <f>Nodes!I1439+"'E4!(`o"</f>
        <v>#VALUE!</v>
      </c>
      <c r="EI175" t="e">
        <f>Nodes!J1439+"'E4!(`p"</f>
        <v>#VALUE!</v>
      </c>
      <c r="EJ175" t="e">
        <f>Nodes!K1439+"'E4!(`q"</f>
        <v>#VALUE!</v>
      </c>
      <c r="EK175" t="e">
        <f>Nodes!L1439+"'E4!(`r"</f>
        <v>#VALUE!</v>
      </c>
      <c r="EL175" t="e">
        <f>Nodes!M1439+"'E4!(`s"</f>
        <v>#VALUE!</v>
      </c>
      <c r="EM175" t="e">
        <f>Nodes!N1439+"'E4!(`t"</f>
        <v>#VALUE!</v>
      </c>
      <c r="EN175" t="e">
        <f>Nodes!O1439+"'E4!(`u"</f>
        <v>#VALUE!</v>
      </c>
      <c r="EO175" t="e">
        <f>Nodes!P1439+"'E4!(`v"</f>
        <v>#VALUE!</v>
      </c>
      <c r="EP175" t="e">
        <f>Nodes!Q1439+"'E4!(`w"</f>
        <v>#VALUE!</v>
      </c>
      <c r="EQ175" t="e">
        <f>Nodes!R1439+"'E4!(`x"</f>
        <v>#VALUE!</v>
      </c>
      <c r="ER175" t="e">
        <f>Nodes!S1439+"'E4!(`y"</f>
        <v>#VALUE!</v>
      </c>
      <c r="ES175" t="e">
        <f>Nodes!T1439+"'E4!(`z"</f>
        <v>#VALUE!</v>
      </c>
      <c r="ET175" s="550" t="e">
        <f>Nodes!U1439+"'E4!(`{"</f>
        <v>#VALUE!</v>
      </c>
      <c r="EU175" t="e">
        <f>Nodes!V1439+"'E4!(`|"</f>
        <v>#VALUE!</v>
      </c>
      <c r="EV175" t="e">
        <f>Nodes!W1439+"'E4!(`}"</f>
        <v>#VALUE!</v>
      </c>
      <c r="EW175" t="e">
        <f>Nodes!X1439+"'E4!(`~"</f>
        <v>#VALUE!</v>
      </c>
      <c r="EX175" t="e">
        <f>Nodes!Y1439+"'E4!(a#"</f>
        <v>#VALUE!</v>
      </c>
      <c r="EY175" t="e">
        <f>Nodes!Z1439+"'E4!(a$"</f>
        <v>#VALUE!</v>
      </c>
      <c r="EZ175" t="e">
        <f>Nodes!AA1439+"'E4!(a%"</f>
        <v>#VALUE!</v>
      </c>
      <c r="FA175" t="e">
        <f>Nodes!AB1439+"'E4!(a&amp;"</f>
        <v>#VALUE!</v>
      </c>
      <c r="FB175" t="e">
        <f>Nodes!AC1439+"'E4!(a'"</f>
        <v>#VALUE!</v>
      </c>
      <c r="FC175" t="e">
        <f>Nodes!A1440+"'E4!(a("</f>
        <v>#VALUE!</v>
      </c>
      <c r="FD175" t="e">
        <f>Nodes!B1440+"'E4!(a)"</f>
        <v>#VALUE!</v>
      </c>
      <c r="FE175" t="e">
        <f>Nodes!C1440+"'E4!(a."</f>
        <v>#VALUE!</v>
      </c>
      <c r="FF175" t="e">
        <f>Nodes!D1440+"'E4!(a/"</f>
        <v>#VALUE!</v>
      </c>
      <c r="FG175" t="e">
        <f>Nodes!E1440+"'E4!(a0"</f>
        <v>#VALUE!</v>
      </c>
      <c r="FH175" t="e">
        <f>Nodes!F1440+"'E4!(a1"</f>
        <v>#VALUE!</v>
      </c>
      <c r="FI175" t="e">
        <f>Nodes!G1440+"'E4!(a2"</f>
        <v>#VALUE!</v>
      </c>
      <c r="FJ175" t="e">
        <f>Nodes!H1440+"'E4!(a3"</f>
        <v>#VALUE!</v>
      </c>
      <c r="FK175" t="e">
        <f>Nodes!I1440+"'E4!(a4"</f>
        <v>#VALUE!</v>
      </c>
      <c r="FL175" t="e">
        <f>Nodes!J1440+"'E4!(a5"</f>
        <v>#VALUE!</v>
      </c>
      <c r="FM175" t="e">
        <f>Nodes!K1440+"'E4!(a6"</f>
        <v>#VALUE!</v>
      </c>
      <c r="FN175" t="e">
        <f>Nodes!L1440+"'E4!(a7"</f>
        <v>#VALUE!</v>
      </c>
      <c r="FO175" t="e">
        <f>Nodes!M1440+"'E4!(a8"</f>
        <v>#VALUE!</v>
      </c>
      <c r="FP175" t="e">
        <f>Nodes!N1440+"'E4!(a9"</f>
        <v>#VALUE!</v>
      </c>
      <c r="FQ175" t="e">
        <f>Nodes!O1440+"'E4!(a:"</f>
        <v>#VALUE!</v>
      </c>
      <c r="FR175" t="e">
        <f>Nodes!P1440+"'E4!(a;"</f>
        <v>#VALUE!</v>
      </c>
      <c r="FS175" t="e">
        <f>Nodes!Q1440+"'E4!(a&lt;"</f>
        <v>#VALUE!</v>
      </c>
      <c r="FT175" t="e">
        <f>Nodes!R1440+"'E4!(a="</f>
        <v>#VALUE!</v>
      </c>
      <c r="FU175" t="e">
        <f>Nodes!S1440+"'E4!(a&gt;"</f>
        <v>#VALUE!</v>
      </c>
      <c r="FV175" t="e">
        <f>Nodes!T1440+"'E4!(a?"</f>
        <v>#VALUE!</v>
      </c>
      <c r="FW175" s="550" t="e">
        <f>Nodes!U1440+"'E4!(a@"</f>
        <v>#VALUE!</v>
      </c>
      <c r="FX175" t="e">
        <f>Nodes!V1440+"'E4!(aA"</f>
        <v>#VALUE!</v>
      </c>
      <c r="FY175" t="e">
        <f>Nodes!W1440+"'E4!(aB"</f>
        <v>#VALUE!</v>
      </c>
      <c r="FZ175" t="e">
        <f>Nodes!X1440+"'E4!(aC"</f>
        <v>#VALUE!</v>
      </c>
      <c r="GA175" t="e">
        <f>Nodes!Y1440+"'E4!(aD"</f>
        <v>#VALUE!</v>
      </c>
      <c r="GB175" t="e">
        <f>Nodes!Z1440+"'E4!(aE"</f>
        <v>#VALUE!</v>
      </c>
      <c r="GC175" t="e">
        <f>Nodes!AA1440+"'E4!(aF"</f>
        <v>#VALUE!</v>
      </c>
      <c r="GD175" t="e">
        <f>Nodes!AB1440+"'E4!(aG"</f>
        <v>#VALUE!</v>
      </c>
      <c r="GE175" t="e">
        <f>Nodes!AC1440+"'E4!(aH"</f>
        <v>#VALUE!</v>
      </c>
      <c r="GF175" t="e">
        <f>Nodes!A1441+"'E4!(aI"</f>
        <v>#VALUE!</v>
      </c>
      <c r="GG175" t="e">
        <f>Nodes!B1441+"'E4!(aJ"</f>
        <v>#VALUE!</v>
      </c>
      <c r="GH175" t="e">
        <f>Nodes!C1441+"'E4!(aK"</f>
        <v>#VALUE!</v>
      </c>
      <c r="GI175" t="e">
        <f>Nodes!D1441+"'E4!(aL"</f>
        <v>#VALUE!</v>
      </c>
      <c r="GJ175" t="e">
        <f>Nodes!E1441+"'E4!(aM"</f>
        <v>#VALUE!</v>
      </c>
      <c r="GK175" t="e">
        <f>Nodes!F1441+"'E4!(aN"</f>
        <v>#VALUE!</v>
      </c>
      <c r="GL175" t="e">
        <f>Nodes!G1441+"'E4!(aO"</f>
        <v>#VALUE!</v>
      </c>
      <c r="GM175" t="e">
        <f>Nodes!H1441+"'E4!(aP"</f>
        <v>#VALUE!</v>
      </c>
      <c r="GN175" t="e">
        <f>Nodes!I1441+"'E4!(aQ"</f>
        <v>#VALUE!</v>
      </c>
      <c r="GO175" t="e">
        <f>Nodes!J1441+"'E4!(aR"</f>
        <v>#VALUE!</v>
      </c>
      <c r="GP175" t="e">
        <f>Nodes!K1441+"'E4!(aS"</f>
        <v>#VALUE!</v>
      </c>
      <c r="GQ175" t="e">
        <f>Nodes!L1441+"'E4!(aT"</f>
        <v>#VALUE!</v>
      </c>
      <c r="GR175" t="e">
        <f>Nodes!M1441+"'E4!(aU"</f>
        <v>#VALUE!</v>
      </c>
      <c r="GS175" t="e">
        <f>Nodes!N1441+"'E4!(aV"</f>
        <v>#VALUE!</v>
      </c>
      <c r="GT175" t="e">
        <f>Nodes!O1441+"'E4!(aW"</f>
        <v>#VALUE!</v>
      </c>
      <c r="GU175" t="e">
        <f>Nodes!P1441+"'E4!(aX"</f>
        <v>#VALUE!</v>
      </c>
      <c r="GV175" t="e">
        <f>Nodes!Q1441+"'E4!(aY"</f>
        <v>#VALUE!</v>
      </c>
      <c r="GW175" t="e">
        <f>Nodes!R1441+"'E4!(aZ"</f>
        <v>#VALUE!</v>
      </c>
      <c r="GX175" t="e">
        <f>Nodes!S1441+"'E4!(a["</f>
        <v>#VALUE!</v>
      </c>
      <c r="GY175" t="e">
        <f>Nodes!T1441+"'E4!(a\"</f>
        <v>#VALUE!</v>
      </c>
      <c r="GZ175" s="550" t="e">
        <f>Nodes!U1441+"'E4!(a]"</f>
        <v>#VALUE!</v>
      </c>
      <c r="HA175" t="e">
        <f>Nodes!V1441+"'E4!(a^"</f>
        <v>#VALUE!</v>
      </c>
      <c r="HB175" t="e">
        <f>Nodes!W1441+"'E4!(a_"</f>
        <v>#VALUE!</v>
      </c>
      <c r="HC175" t="e">
        <f>Nodes!X1441+"'E4!(a`"</f>
        <v>#VALUE!</v>
      </c>
      <c r="HD175" t="e">
        <f>Nodes!Y1441+"'E4!(aa"</f>
        <v>#VALUE!</v>
      </c>
      <c r="HE175" t="e">
        <f>Nodes!Z1441+"'E4!(ab"</f>
        <v>#VALUE!</v>
      </c>
      <c r="HF175" t="e">
        <f>Nodes!AA1441+"'E4!(ac"</f>
        <v>#VALUE!</v>
      </c>
      <c r="HG175" t="e">
        <f>Nodes!AB1441+"'E4!(ad"</f>
        <v>#VALUE!</v>
      </c>
      <c r="HH175" t="e">
        <f>Nodes!AC1441+"'E4!(ae"</f>
        <v>#VALUE!</v>
      </c>
      <c r="HI175" t="e">
        <f>Nodes!A1442+"'E4!(af"</f>
        <v>#VALUE!</v>
      </c>
      <c r="HJ175" t="e">
        <f>Nodes!B1442+"'E4!(ag"</f>
        <v>#VALUE!</v>
      </c>
      <c r="HK175" t="e">
        <f>Nodes!C1442+"'E4!(ah"</f>
        <v>#VALUE!</v>
      </c>
      <c r="HL175" t="e">
        <f>Nodes!D1442+"'E4!(ai"</f>
        <v>#VALUE!</v>
      </c>
      <c r="HM175" t="e">
        <f>Nodes!E1442+"'E4!(aj"</f>
        <v>#VALUE!</v>
      </c>
      <c r="HN175" t="e">
        <f>Nodes!F1442+"'E4!(ak"</f>
        <v>#VALUE!</v>
      </c>
      <c r="HO175" t="e">
        <f>Nodes!G1442+"'E4!(al"</f>
        <v>#VALUE!</v>
      </c>
      <c r="HP175" t="e">
        <f>Nodes!H1442+"'E4!(am"</f>
        <v>#VALUE!</v>
      </c>
      <c r="HQ175" t="e">
        <f>Nodes!I1442+"'E4!(an"</f>
        <v>#VALUE!</v>
      </c>
      <c r="HR175" t="e">
        <f>Nodes!J1442+"'E4!(ao"</f>
        <v>#VALUE!</v>
      </c>
      <c r="HS175" t="e">
        <f>Nodes!K1442+"'E4!(ap"</f>
        <v>#VALUE!</v>
      </c>
      <c r="HT175" t="e">
        <f>Nodes!L1442+"'E4!(aq"</f>
        <v>#VALUE!</v>
      </c>
      <c r="HU175" t="e">
        <f>Nodes!M1442+"'E4!(ar"</f>
        <v>#VALUE!</v>
      </c>
      <c r="HV175" t="e">
        <f>Nodes!N1442+"'E4!(as"</f>
        <v>#VALUE!</v>
      </c>
      <c r="HW175" t="e">
        <f>Nodes!O1442+"'E4!(at"</f>
        <v>#VALUE!</v>
      </c>
      <c r="HX175" t="e">
        <f>Nodes!P1442+"'E4!(au"</f>
        <v>#VALUE!</v>
      </c>
      <c r="HY175" t="e">
        <f>Nodes!Q1442+"'E4!(av"</f>
        <v>#VALUE!</v>
      </c>
      <c r="HZ175" t="e">
        <f>Nodes!R1442+"'E4!(aw"</f>
        <v>#VALUE!</v>
      </c>
      <c r="IA175" t="e">
        <f>Nodes!S1442+"'E4!(ax"</f>
        <v>#VALUE!</v>
      </c>
      <c r="IB175" t="e">
        <f>Nodes!T1442+"'E4!(ay"</f>
        <v>#VALUE!</v>
      </c>
      <c r="IC175" s="550" t="e">
        <f>Nodes!U1442+"'E4!(az"</f>
        <v>#VALUE!</v>
      </c>
      <c r="ID175" t="e">
        <f>Nodes!V1442+"'E4!(a{"</f>
        <v>#VALUE!</v>
      </c>
      <c r="IE175" t="e">
        <f>Nodes!W1442+"'E4!(a|"</f>
        <v>#VALUE!</v>
      </c>
      <c r="IF175" t="e">
        <f>Nodes!X1442+"'E4!(a}"</f>
        <v>#VALUE!</v>
      </c>
      <c r="IG175" t="e">
        <f>Nodes!Y1442+"'E4!(a~"</f>
        <v>#VALUE!</v>
      </c>
      <c r="IH175" t="e">
        <f>Nodes!Z1442+"'E4!(b#"</f>
        <v>#VALUE!</v>
      </c>
      <c r="II175" t="e">
        <f>Nodes!AA1442+"'E4!(b$"</f>
        <v>#VALUE!</v>
      </c>
      <c r="IJ175" t="e">
        <f>Nodes!AB1442+"'E4!(b%"</f>
        <v>#VALUE!</v>
      </c>
      <c r="IK175" t="e">
        <f>Nodes!AC1442+"'E4!(b&amp;"</f>
        <v>#VALUE!</v>
      </c>
      <c r="IL175" t="e">
        <f>Nodes!A1443+"'E4!(b'"</f>
        <v>#VALUE!</v>
      </c>
      <c r="IM175" t="e">
        <f>Nodes!B1443+"'E4!(b("</f>
        <v>#VALUE!</v>
      </c>
      <c r="IN175" t="e">
        <f>Nodes!C1443+"'E4!(b)"</f>
        <v>#VALUE!</v>
      </c>
      <c r="IO175" t="e">
        <f>Nodes!D1443+"'E4!(b."</f>
        <v>#VALUE!</v>
      </c>
      <c r="IP175" t="e">
        <f>Nodes!E1443+"'E4!(b/"</f>
        <v>#VALUE!</v>
      </c>
      <c r="IQ175" t="e">
        <f>Nodes!F1443+"'E4!(b0"</f>
        <v>#VALUE!</v>
      </c>
      <c r="IR175" t="e">
        <f>Nodes!G1443+"'E4!(b1"</f>
        <v>#VALUE!</v>
      </c>
      <c r="IS175" t="e">
        <f>Nodes!H1443+"'E4!(b2"</f>
        <v>#VALUE!</v>
      </c>
      <c r="IT175" t="e">
        <f>Nodes!I1443+"'E4!(b3"</f>
        <v>#VALUE!</v>
      </c>
      <c r="IU175" t="e">
        <f>Nodes!J1443+"'E4!(b4"</f>
        <v>#VALUE!</v>
      </c>
      <c r="IV175" t="e">
        <f>Nodes!K1443+"'E4!(b5"</f>
        <v>#VALUE!</v>
      </c>
    </row>
    <row r="176" spans="6:256">
      <c r="F176" t="e">
        <f>Nodes!L1443+"'E4!(b6"</f>
        <v>#VALUE!</v>
      </c>
      <c r="G176" t="e">
        <f>Nodes!M1443+"'E4!(b7"</f>
        <v>#VALUE!</v>
      </c>
      <c r="H176" t="e">
        <f>Nodes!N1443+"'E4!(b8"</f>
        <v>#VALUE!</v>
      </c>
      <c r="I176" t="e">
        <f>Nodes!O1443+"'E4!(b9"</f>
        <v>#VALUE!</v>
      </c>
      <c r="J176" t="e">
        <f>Nodes!P1443+"'E4!(b:"</f>
        <v>#VALUE!</v>
      </c>
      <c r="K176" t="e">
        <f>Nodes!Q1443+"'E4!(b;"</f>
        <v>#VALUE!</v>
      </c>
      <c r="L176" t="e">
        <f>Nodes!R1443+"'E4!(b&lt;"</f>
        <v>#VALUE!</v>
      </c>
      <c r="M176" t="e">
        <f>Nodes!S1443+"'E4!(b="</f>
        <v>#VALUE!</v>
      </c>
      <c r="N176" t="e">
        <f>Nodes!T1443+"'E4!(b&gt;"</f>
        <v>#VALUE!</v>
      </c>
      <c r="O176" s="550" t="e">
        <f>Nodes!U1443+"'E4!(b?"</f>
        <v>#VALUE!</v>
      </c>
      <c r="P176" t="e">
        <f>Nodes!V1443+"'E4!(b@"</f>
        <v>#VALUE!</v>
      </c>
      <c r="Q176" t="e">
        <f>Nodes!W1443+"'E4!(bA"</f>
        <v>#VALUE!</v>
      </c>
      <c r="R176" t="e">
        <f>Nodes!X1443+"'E4!(bB"</f>
        <v>#VALUE!</v>
      </c>
      <c r="S176" t="e">
        <f>Nodes!Y1443+"'E4!(bC"</f>
        <v>#VALUE!</v>
      </c>
      <c r="T176" t="e">
        <f>Nodes!Z1443+"'E4!(bD"</f>
        <v>#VALUE!</v>
      </c>
      <c r="U176" t="e">
        <f>Nodes!AA1443+"'E4!(bE"</f>
        <v>#VALUE!</v>
      </c>
      <c r="V176" t="e">
        <f>Nodes!AB1443+"'E4!(bF"</f>
        <v>#VALUE!</v>
      </c>
      <c r="W176" t="e">
        <f>Nodes!AC1443+"'E4!(bG"</f>
        <v>#VALUE!</v>
      </c>
      <c r="X176" t="e">
        <f>Nodes!A1444+"'E4!(bH"</f>
        <v>#VALUE!</v>
      </c>
      <c r="Y176" t="e">
        <f>Nodes!B1444+"'E4!(bI"</f>
        <v>#VALUE!</v>
      </c>
      <c r="Z176" t="e">
        <f>Nodes!C1444+"'E4!(bJ"</f>
        <v>#VALUE!</v>
      </c>
      <c r="AA176" t="e">
        <f>Nodes!D1444+"'E4!(bK"</f>
        <v>#VALUE!</v>
      </c>
      <c r="AB176" t="e">
        <f>Nodes!E1444+"'E4!(bL"</f>
        <v>#VALUE!</v>
      </c>
      <c r="AC176" t="e">
        <f>Nodes!F1444+"'E4!(bM"</f>
        <v>#VALUE!</v>
      </c>
      <c r="AD176" t="e">
        <f>Nodes!G1444+"'E4!(bN"</f>
        <v>#VALUE!</v>
      </c>
      <c r="AE176" t="e">
        <f>Nodes!H1444+"'E4!(bO"</f>
        <v>#VALUE!</v>
      </c>
      <c r="AF176" t="e">
        <f>Nodes!I1444+"'E4!(bP"</f>
        <v>#VALUE!</v>
      </c>
      <c r="AG176" t="e">
        <f>Nodes!J1444+"'E4!(bQ"</f>
        <v>#VALUE!</v>
      </c>
      <c r="AH176" t="e">
        <f>Nodes!K1444+"'E4!(bR"</f>
        <v>#VALUE!</v>
      </c>
      <c r="AI176" t="e">
        <f>Nodes!L1444+"'E4!(bS"</f>
        <v>#VALUE!</v>
      </c>
      <c r="AJ176" t="e">
        <f>Nodes!M1444+"'E4!(bT"</f>
        <v>#VALUE!</v>
      </c>
      <c r="AK176" t="e">
        <f>Nodes!N1444+"'E4!(bU"</f>
        <v>#VALUE!</v>
      </c>
      <c r="AL176" t="e">
        <f>Nodes!O1444+"'E4!(bV"</f>
        <v>#VALUE!</v>
      </c>
      <c r="AM176" t="e">
        <f>Nodes!P1444+"'E4!(bW"</f>
        <v>#VALUE!</v>
      </c>
      <c r="AN176" t="e">
        <f>Nodes!Q1444+"'E4!(bX"</f>
        <v>#VALUE!</v>
      </c>
      <c r="AO176" t="e">
        <f>Nodes!R1444+"'E4!(bY"</f>
        <v>#VALUE!</v>
      </c>
      <c r="AP176" t="e">
        <f>Nodes!S1444+"'E4!(bZ"</f>
        <v>#VALUE!</v>
      </c>
      <c r="AQ176" t="e">
        <f>Nodes!T1444+"'E4!(b["</f>
        <v>#VALUE!</v>
      </c>
      <c r="AR176" s="550" t="e">
        <f>Nodes!U1444+"'E4!(b\"</f>
        <v>#VALUE!</v>
      </c>
      <c r="AS176" t="e">
        <f>Nodes!V1444+"'E4!(b]"</f>
        <v>#VALUE!</v>
      </c>
      <c r="AT176" t="e">
        <f>Nodes!W1444+"'E4!(b^"</f>
        <v>#VALUE!</v>
      </c>
      <c r="AU176" t="e">
        <f>Nodes!X1444+"'E4!(b_"</f>
        <v>#VALUE!</v>
      </c>
      <c r="AV176" t="e">
        <f>Nodes!Y1444+"'E4!(b`"</f>
        <v>#VALUE!</v>
      </c>
      <c r="AW176" t="e">
        <f>Nodes!Z1444+"'E4!(ba"</f>
        <v>#VALUE!</v>
      </c>
      <c r="AX176" t="e">
        <f>Nodes!AA1444+"'E4!(bb"</f>
        <v>#VALUE!</v>
      </c>
      <c r="AY176" t="e">
        <f>Nodes!AB1444+"'E4!(bc"</f>
        <v>#VALUE!</v>
      </c>
      <c r="AZ176" t="e">
        <f>Nodes!AC1444+"'E4!(bd"</f>
        <v>#VALUE!</v>
      </c>
      <c r="BA176" t="e">
        <f>Nodes!A1445+"'E4!(be"</f>
        <v>#VALUE!</v>
      </c>
      <c r="BB176" t="e">
        <f>Nodes!B1445+"'E4!(bf"</f>
        <v>#VALUE!</v>
      </c>
      <c r="BC176" t="e">
        <f>Nodes!C1445+"'E4!(bg"</f>
        <v>#VALUE!</v>
      </c>
      <c r="BD176" t="e">
        <f>Nodes!D1445+"'E4!(bh"</f>
        <v>#VALUE!</v>
      </c>
      <c r="BE176" t="e">
        <f>Nodes!E1445+"'E4!(bi"</f>
        <v>#VALUE!</v>
      </c>
      <c r="BF176" t="e">
        <f>Nodes!F1445+"'E4!(bj"</f>
        <v>#VALUE!</v>
      </c>
      <c r="BG176" t="e">
        <f>Nodes!G1445+"'E4!(bk"</f>
        <v>#VALUE!</v>
      </c>
      <c r="BH176" t="e">
        <f>Nodes!H1445+"'E4!(bl"</f>
        <v>#VALUE!</v>
      </c>
      <c r="BI176" t="e">
        <f>Nodes!I1445+"'E4!(bm"</f>
        <v>#VALUE!</v>
      </c>
      <c r="BJ176" t="e">
        <f>Nodes!J1445+"'E4!(bn"</f>
        <v>#VALUE!</v>
      </c>
      <c r="BK176" t="e">
        <f>Nodes!K1445+"'E4!(bo"</f>
        <v>#VALUE!</v>
      </c>
      <c r="BL176" t="e">
        <f>Nodes!L1445+"'E4!(bp"</f>
        <v>#VALUE!</v>
      </c>
      <c r="BM176" t="e">
        <f>Nodes!M1445+"'E4!(bq"</f>
        <v>#VALUE!</v>
      </c>
      <c r="BN176" t="e">
        <f>Nodes!N1445+"'E4!(br"</f>
        <v>#VALUE!</v>
      </c>
      <c r="BO176" t="e">
        <f>Nodes!O1445+"'E4!(bs"</f>
        <v>#VALUE!</v>
      </c>
      <c r="BP176" t="e">
        <f>Nodes!P1445+"'E4!(bt"</f>
        <v>#VALUE!</v>
      </c>
      <c r="BQ176" t="e">
        <f>Nodes!Q1445+"'E4!(bu"</f>
        <v>#VALUE!</v>
      </c>
      <c r="BR176" t="e">
        <f>Nodes!R1445+"'E4!(bv"</f>
        <v>#VALUE!</v>
      </c>
      <c r="BS176" t="e">
        <f>Nodes!S1445+"'E4!(bw"</f>
        <v>#VALUE!</v>
      </c>
      <c r="BT176" t="e">
        <f>Nodes!T1445+"'E4!(bx"</f>
        <v>#VALUE!</v>
      </c>
      <c r="BU176" s="550" t="e">
        <f>Nodes!U1445+"'E4!(by"</f>
        <v>#VALUE!</v>
      </c>
      <c r="BV176" t="e">
        <f>Nodes!V1445+"'E4!(bz"</f>
        <v>#VALUE!</v>
      </c>
      <c r="BW176" t="e">
        <f>Nodes!W1445+"'E4!(b{"</f>
        <v>#VALUE!</v>
      </c>
      <c r="BX176" t="e">
        <f>Nodes!X1445+"'E4!(b|"</f>
        <v>#VALUE!</v>
      </c>
      <c r="BY176" t="e">
        <f>Nodes!Y1445+"'E4!(b}"</f>
        <v>#VALUE!</v>
      </c>
      <c r="BZ176" t="e">
        <f>Nodes!Z1445+"'E4!(b~"</f>
        <v>#VALUE!</v>
      </c>
      <c r="CA176" t="e">
        <f>Nodes!AA1445+"'E4!(c#"</f>
        <v>#VALUE!</v>
      </c>
      <c r="CB176" t="e">
        <f>Nodes!AB1445+"'E4!(c$"</f>
        <v>#VALUE!</v>
      </c>
      <c r="CC176" t="e">
        <f>Nodes!AC1445+"'E4!(c%"</f>
        <v>#VALUE!</v>
      </c>
      <c r="CD176" t="e">
        <f>Nodes!A1446+"'E4!(c&amp;"</f>
        <v>#VALUE!</v>
      </c>
      <c r="CE176" t="e">
        <f>Nodes!B1446+"'E4!(c'"</f>
        <v>#VALUE!</v>
      </c>
      <c r="CF176" t="e">
        <f>Nodes!C1446+"'E4!(c("</f>
        <v>#VALUE!</v>
      </c>
      <c r="CG176" t="e">
        <f>Nodes!D1446+"'E4!(c)"</f>
        <v>#VALUE!</v>
      </c>
      <c r="CH176" t="e">
        <f>Nodes!E1446+"'E4!(c."</f>
        <v>#VALUE!</v>
      </c>
      <c r="CI176" t="e">
        <f>Nodes!F1446+"'E4!(c/"</f>
        <v>#VALUE!</v>
      </c>
      <c r="CJ176" t="e">
        <f>Nodes!G1446+"'E4!(c0"</f>
        <v>#VALUE!</v>
      </c>
      <c r="CK176" t="e">
        <f>Nodes!H1446+"'E4!(c1"</f>
        <v>#VALUE!</v>
      </c>
      <c r="CL176" t="e">
        <f>Nodes!I1446+"'E4!(c2"</f>
        <v>#VALUE!</v>
      </c>
      <c r="CM176" t="e">
        <f>Nodes!J1446+"'E4!(c3"</f>
        <v>#VALUE!</v>
      </c>
      <c r="CN176" t="e">
        <f>Nodes!K1446+"'E4!(c4"</f>
        <v>#VALUE!</v>
      </c>
      <c r="CO176" t="e">
        <f>Nodes!L1446+"'E4!(c5"</f>
        <v>#VALUE!</v>
      </c>
      <c r="CP176" t="e">
        <f>Nodes!M1446+"'E4!(c6"</f>
        <v>#VALUE!</v>
      </c>
      <c r="CQ176" t="e">
        <f>Nodes!N1446+"'E4!(c7"</f>
        <v>#VALUE!</v>
      </c>
      <c r="CR176" t="e">
        <f>Nodes!O1446+"'E4!(c8"</f>
        <v>#VALUE!</v>
      </c>
      <c r="CS176" t="e">
        <f>Nodes!P1446+"'E4!(c9"</f>
        <v>#VALUE!</v>
      </c>
      <c r="CT176" t="e">
        <f>Nodes!Q1446+"'E4!(c:"</f>
        <v>#VALUE!</v>
      </c>
      <c r="CU176" t="e">
        <f>Nodes!R1446+"'E4!(c;"</f>
        <v>#VALUE!</v>
      </c>
      <c r="CV176" t="e">
        <f>Nodes!S1446+"'E4!(c&lt;"</f>
        <v>#VALUE!</v>
      </c>
      <c r="CW176" t="e">
        <f>Nodes!T1446+"'E4!(c="</f>
        <v>#VALUE!</v>
      </c>
      <c r="CX176" s="550" t="e">
        <f>Nodes!U1446+"'E4!(c&gt;"</f>
        <v>#VALUE!</v>
      </c>
      <c r="CY176" t="e">
        <f>Nodes!V1446+"'E4!(c?"</f>
        <v>#VALUE!</v>
      </c>
      <c r="CZ176" t="e">
        <f>Nodes!W1446+"'E4!(c@"</f>
        <v>#VALUE!</v>
      </c>
      <c r="DA176" t="e">
        <f>Nodes!X1446+"'E4!(cA"</f>
        <v>#VALUE!</v>
      </c>
      <c r="DB176" t="e">
        <f>Nodes!Y1446+"'E4!(cB"</f>
        <v>#VALUE!</v>
      </c>
      <c r="DC176" t="e">
        <f>Nodes!Z1446+"'E4!(cC"</f>
        <v>#VALUE!</v>
      </c>
      <c r="DD176" t="e">
        <f>Nodes!AA1446+"'E4!(cD"</f>
        <v>#VALUE!</v>
      </c>
      <c r="DE176" t="e">
        <f>Nodes!AB1446+"'E4!(cE"</f>
        <v>#VALUE!</v>
      </c>
      <c r="DF176" t="e">
        <f>Nodes!AC1446+"'E4!(cF"</f>
        <v>#VALUE!</v>
      </c>
      <c r="DG176" t="e">
        <f>Nodes!A1447+"'E4!(cG"</f>
        <v>#VALUE!</v>
      </c>
      <c r="DH176" t="e">
        <f>Nodes!B1447+"'E4!(cH"</f>
        <v>#VALUE!</v>
      </c>
      <c r="DI176" t="e">
        <f>Nodes!C1447+"'E4!(cI"</f>
        <v>#VALUE!</v>
      </c>
      <c r="DJ176" t="e">
        <f>Nodes!D1447+"'E4!(cJ"</f>
        <v>#VALUE!</v>
      </c>
      <c r="DK176" t="e">
        <f>Nodes!E1447+"'E4!(cK"</f>
        <v>#VALUE!</v>
      </c>
      <c r="DL176" t="e">
        <f>Nodes!F1447+"'E4!(cL"</f>
        <v>#VALUE!</v>
      </c>
      <c r="DM176" t="e">
        <f>Nodes!G1447+"'E4!(cM"</f>
        <v>#VALUE!</v>
      </c>
      <c r="DN176" t="e">
        <f>Nodes!H1447+"'E4!(cN"</f>
        <v>#VALUE!</v>
      </c>
      <c r="DO176" t="e">
        <f>Nodes!I1447+"'E4!(cO"</f>
        <v>#VALUE!</v>
      </c>
      <c r="DP176" t="e">
        <f>Nodes!J1447+"'E4!(cP"</f>
        <v>#VALUE!</v>
      </c>
      <c r="DQ176" t="e">
        <f>Nodes!K1447+"'E4!(cQ"</f>
        <v>#VALUE!</v>
      </c>
      <c r="DR176" t="e">
        <f>Nodes!L1447+"'E4!(cR"</f>
        <v>#VALUE!</v>
      </c>
      <c r="DS176" t="e">
        <f>Nodes!M1447+"'E4!(cS"</f>
        <v>#VALUE!</v>
      </c>
      <c r="DT176" t="e">
        <f>Nodes!N1447+"'E4!(cT"</f>
        <v>#VALUE!</v>
      </c>
      <c r="DU176" t="e">
        <f>Nodes!O1447+"'E4!(cU"</f>
        <v>#VALUE!</v>
      </c>
      <c r="DV176" t="e">
        <f>Nodes!P1447+"'E4!(cV"</f>
        <v>#VALUE!</v>
      </c>
      <c r="DW176" t="e">
        <f>Nodes!Q1447+"'E4!(cW"</f>
        <v>#VALUE!</v>
      </c>
      <c r="DX176" t="e">
        <f>Nodes!R1447+"'E4!(cX"</f>
        <v>#VALUE!</v>
      </c>
      <c r="DY176" t="e">
        <f>Nodes!S1447+"'E4!(cY"</f>
        <v>#VALUE!</v>
      </c>
      <c r="DZ176" t="e">
        <f>Nodes!T1447+"'E4!(cZ"</f>
        <v>#VALUE!</v>
      </c>
      <c r="EA176" s="550" t="e">
        <f>Nodes!U1447+"'E4!(c["</f>
        <v>#VALUE!</v>
      </c>
      <c r="EB176" t="e">
        <f>Nodes!V1447+"'E4!(c\"</f>
        <v>#VALUE!</v>
      </c>
      <c r="EC176" t="e">
        <f>Nodes!W1447+"'E4!(c]"</f>
        <v>#VALUE!</v>
      </c>
      <c r="ED176" t="e">
        <f>Nodes!X1447+"'E4!(c^"</f>
        <v>#VALUE!</v>
      </c>
      <c r="EE176" t="e">
        <f>Nodes!Y1447+"'E4!(c_"</f>
        <v>#VALUE!</v>
      </c>
      <c r="EF176" t="e">
        <f>Nodes!Z1447+"'E4!(c`"</f>
        <v>#VALUE!</v>
      </c>
      <c r="EG176" t="e">
        <f>Nodes!AA1447+"'E4!(ca"</f>
        <v>#VALUE!</v>
      </c>
      <c r="EH176" t="e">
        <f>Nodes!AB1447+"'E4!(cb"</f>
        <v>#VALUE!</v>
      </c>
      <c r="EI176" t="e">
        <f>Nodes!AC1447+"'E4!(cc"</f>
        <v>#VALUE!</v>
      </c>
      <c r="EJ176" t="e">
        <f>Nodes!A1448+"'E4!(cd"</f>
        <v>#VALUE!</v>
      </c>
      <c r="EK176" t="e">
        <f>Nodes!B1448+"'E4!(ce"</f>
        <v>#VALUE!</v>
      </c>
      <c r="EL176" t="e">
        <f>Nodes!C1448+"'E4!(cf"</f>
        <v>#VALUE!</v>
      </c>
      <c r="EM176" t="e">
        <f>Nodes!D1448+"'E4!(cg"</f>
        <v>#VALUE!</v>
      </c>
      <c r="EN176" t="e">
        <f>Nodes!E1448+"'E4!(ch"</f>
        <v>#VALUE!</v>
      </c>
      <c r="EO176" t="e">
        <f>Nodes!F1448+"'E4!(ci"</f>
        <v>#VALUE!</v>
      </c>
      <c r="EP176" t="e">
        <f>Nodes!G1448+"'E4!(cj"</f>
        <v>#VALUE!</v>
      </c>
      <c r="EQ176" t="e">
        <f>Nodes!H1448+"'E4!(ck"</f>
        <v>#VALUE!</v>
      </c>
      <c r="ER176" t="e">
        <f>Nodes!I1448+"'E4!(cl"</f>
        <v>#VALUE!</v>
      </c>
      <c r="ES176" t="e">
        <f>Nodes!J1448+"'E4!(cm"</f>
        <v>#VALUE!</v>
      </c>
      <c r="ET176" t="e">
        <f>Nodes!K1448+"'E4!(cn"</f>
        <v>#VALUE!</v>
      </c>
      <c r="EU176" t="e">
        <f>Nodes!L1448+"'E4!(co"</f>
        <v>#VALUE!</v>
      </c>
      <c r="EV176" t="e">
        <f>Nodes!M1448+"'E4!(cp"</f>
        <v>#VALUE!</v>
      </c>
      <c r="EW176" t="e">
        <f>Nodes!N1448+"'E4!(cq"</f>
        <v>#VALUE!</v>
      </c>
      <c r="EX176" t="e">
        <f>Nodes!O1448+"'E4!(cr"</f>
        <v>#VALUE!</v>
      </c>
      <c r="EY176" t="e">
        <f>Nodes!P1448+"'E4!(cs"</f>
        <v>#VALUE!</v>
      </c>
      <c r="EZ176" t="e">
        <f>Nodes!Q1448+"'E4!(ct"</f>
        <v>#VALUE!</v>
      </c>
      <c r="FA176" t="e">
        <f>Nodes!R1448+"'E4!(cu"</f>
        <v>#VALUE!</v>
      </c>
      <c r="FB176" t="e">
        <f>Nodes!S1448+"'E4!(cv"</f>
        <v>#VALUE!</v>
      </c>
      <c r="FC176" t="e">
        <f>Nodes!T1448+"'E4!(cw"</f>
        <v>#VALUE!</v>
      </c>
      <c r="FD176" s="550" t="e">
        <f>Nodes!U1448+"'E4!(cx"</f>
        <v>#VALUE!</v>
      </c>
      <c r="FE176" t="e">
        <f>Nodes!V1448+"'E4!(cy"</f>
        <v>#VALUE!</v>
      </c>
      <c r="FF176" t="e">
        <f>Nodes!W1448+"'E4!(cz"</f>
        <v>#VALUE!</v>
      </c>
      <c r="FG176" t="e">
        <f>Nodes!X1448+"'E4!(c{"</f>
        <v>#VALUE!</v>
      </c>
      <c r="FH176" t="e">
        <f>Nodes!Y1448+"'E4!(c|"</f>
        <v>#VALUE!</v>
      </c>
      <c r="FI176" t="e">
        <f>Nodes!Z1448+"'E4!(c}"</f>
        <v>#VALUE!</v>
      </c>
      <c r="FJ176" t="e">
        <f>Nodes!AA1448+"'E4!(c~"</f>
        <v>#VALUE!</v>
      </c>
      <c r="FK176" t="e">
        <f>Nodes!AB1448+"'E4!(d#"</f>
        <v>#VALUE!</v>
      </c>
      <c r="FL176" t="e">
        <f>Nodes!AC1448+"'E4!(d$"</f>
        <v>#VALUE!</v>
      </c>
      <c r="FM176" t="e">
        <f>Nodes!A1449+"'E4!(d%"</f>
        <v>#VALUE!</v>
      </c>
      <c r="FN176" t="e">
        <f>Nodes!B1449+"'E4!(d&amp;"</f>
        <v>#VALUE!</v>
      </c>
      <c r="FO176" t="e">
        <f>Nodes!C1449+"'E4!(d'"</f>
        <v>#VALUE!</v>
      </c>
      <c r="FP176" t="e">
        <f>Nodes!D1449+"'E4!(d("</f>
        <v>#VALUE!</v>
      </c>
      <c r="FQ176" t="e">
        <f>Nodes!E1449+"'E4!(d)"</f>
        <v>#VALUE!</v>
      </c>
      <c r="FR176" t="e">
        <f>Nodes!F1449+"'E4!(d."</f>
        <v>#VALUE!</v>
      </c>
      <c r="FS176" t="e">
        <f>Nodes!G1449+"'E4!(d/"</f>
        <v>#VALUE!</v>
      </c>
      <c r="FT176" t="e">
        <f>Nodes!H1449+"'E4!(d0"</f>
        <v>#VALUE!</v>
      </c>
      <c r="FU176" t="e">
        <f>Nodes!I1449+"'E4!(d1"</f>
        <v>#VALUE!</v>
      </c>
      <c r="FV176" t="e">
        <f>Nodes!J1449+"'E4!(d2"</f>
        <v>#VALUE!</v>
      </c>
      <c r="FW176" t="e">
        <f>Nodes!K1449+"'E4!(d3"</f>
        <v>#VALUE!</v>
      </c>
      <c r="FX176" t="e">
        <f>Nodes!L1449+"'E4!(d4"</f>
        <v>#VALUE!</v>
      </c>
      <c r="FY176" t="e">
        <f>Nodes!M1449+"'E4!(d5"</f>
        <v>#VALUE!</v>
      </c>
      <c r="FZ176" t="e">
        <f>Nodes!N1449+"'E4!(d6"</f>
        <v>#VALUE!</v>
      </c>
      <c r="GA176" t="e">
        <f>Nodes!O1449+"'E4!(d7"</f>
        <v>#VALUE!</v>
      </c>
      <c r="GB176" t="e">
        <f>Nodes!P1449+"'E4!(d8"</f>
        <v>#VALUE!</v>
      </c>
      <c r="GC176" t="e">
        <f>Nodes!Q1449+"'E4!(d9"</f>
        <v>#VALUE!</v>
      </c>
      <c r="GD176" t="e">
        <f>Nodes!R1449+"'E4!(d:"</f>
        <v>#VALUE!</v>
      </c>
      <c r="GE176" t="e">
        <f>Nodes!S1449+"'E4!(d;"</f>
        <v>#VALUE!</v>
      </c>
      <c r="GF176" t="e">
        <f>Nodes!T1449+"'E4!(d&lt;"</f>
        <v>#VALUE!</v>
      </c>
      <c r="GG176" s="550" t="e">
        <f>Nodes!U1449+"'E4!(d="</f>
        <v>#VALUE!</v>
      </c>
      <c r="GH176" t="e">
        <f>Nodes!V1449+"'E4!(d&gt;"</f>
        <v>#VALUE!</v>
      </c>
      <c r="GI176" t="e">
        <f>Nodes!W1449+"'E4!(d?"</f>
        <v>#VALUE!</v>
      </c>
      <c r="GJ176" t="e">
        <f>Nodes!X1449+"'E4!(d@"</f>
        <v>#VALUE!</v>
      </c>
      <c r="GK176" t="e">
        <f>Nodes!Y1449+"'E4!(dA"</f>
        <v>#VALUE!</v>
      </c>
      <c r="GL176" t="e">
        <f>Nodes!Z1449+"'E4!(dB"</f>
        <v>#VALUE!</v>
      </c>
      <c r="GM176" t="e">
        <f>Nodes!AA1449+"'E4!(dC"</f>
        <v>#VALUE!</v>
      </c>
      <c r="GN176" t="e">
        <f>Nodes!AB1449+"'E4!(dD"</f>
        <v>#VALUE!</v>
      </c>
      <c r="GO176" t="e">
        <f>Nodes!AC1449+"'E4!(dE"</f>
        <v>#VALUE!</v>
      </c>
      <c r="GP176" t="e">
        <f>Nodes!A1450+"'E4!(dF"</f>
        <v>#VALUE!</v>
      </c>
      <c r="GQ176" t="e">
        <f>Nodes!B1450+"'E4!(dG"</f>
        <v>#VALUE!</v>
      </c>
      <c r="GR176" t="e">
        <f>Nodes!C1450+"'E4!(dH"</f>
        <v>#VALUE!</v>
      </c>
      <c r="GS176" t="e">
        <f>Nodes!D1450+"'E4!(dI"</f>
        <v>#VALUE!</v>
      </c>
      <c r="GT176" t="e">
        <f>Nodes!E1450+"'E4!(dJ"</f>
        <v>#VALUE!</v>
      </c>
      <c r="GU176" t="e">
        <f>Nodes!F1450+"'E4!(dK"</f>
        <v>#VALUE!</v>
      </c>
      <c r="GV176" t="e">
        <f>Nodes!G1450+"'E4!(dL"</f>
        <v>#VALUE!</v>
      </c>
      <c r="GW176" t="e">
        <f>Nodes!H1450+"'E4!(dM"</f>
        <v>#VALUE!</v>
      </c>
      <c r="GX176" t="e">
        <f>Nodes!I1450+"'E4!(dN"</f>
        <v>#VALUE!</v>
      </c>
      <c r="GY176" t="e">
        <f>Nodes!J1450+"'E4!(dO"</f>
        <v>#VALUE!</v>
      </c>
      <c r="GZ176" t="e">
        <f>Nodes!K1450+"'E4!(dP"</f>
        <v>#VALUE!</v>
      </c>
      <c r="HA176" t="e">
        <f>Nodes!L1450+"'E4!(dQ"</f>
        <v>#VALUE!</v>
      </c>
      <c r="HB176" t="e">
        <f>Nodes!M1450+"'E4!(dR"</f>
        <v>#VALUE!</v>
      </c>
      <c r="HC176" t="e">
        <f>Nodes!N1450+"'E4!(dS"</f>
        <v>#VALUE!</v>
      </c>
      <c r="HD176" t="e">
        <f>Nodes!O1450+"'E4!(dT"</f>
        <v>#VALUE!</v>
      </c>
      <c r="HE176" t="e">
        <f>Nodes!P1450+"'E4!(dU"</f>
        <v>#VALUE!</v>
      </c>
      <c r="HF176" t="e">
        <f>Nodes!Q1450+"'E4!(dV"</f>
        <v>#VALUE!</v>
      </c>
      <c r="HG176" t="e">
        <f>Nodes!R1450+"'E4!(dW"</f>
        <v>#VALUE!</v>
      </c>
      <c r="HH176" t="e">
        <f>Nodes!S1450+"'E4!(dX"</f>
        <v>#VALUE!</v>
      </c>
      <c r="HI176" t="e">
        <f>Nodes!T1450+"'E4!(dY"</f>
        <v>#VALUE!</v>
      </c>
      <c r="HJ176" s="550" t="e">
        <f>Nodes!U1450+"'E4!(dZ"</f>
        <v>#VALUE!</v>
      </c>
      <c r="HK176" t="e">
        <f>Nodes!V1450+"'E4!(d["</f>
        <v>#VALUE!</v>
      </c>
      <c r="HL176" t="e">
        <f>Nodes!W1450+"'E4!(d\"</f>
        <v>#VALUE!</v>
      </c>
      <c r="HM176" t="e">
        <f>Nodes!X1450+"'E4!(d]"</f>
        <v>#VALUE!</v>
      </c>
      <c r="HN176" t="e">
        <f>Nodes!Y1450+"'E4!(d^"</f>
        <v>#VALUE!</v>
      </c>
      <c r="HO176" t="e">
        <f>Nodes!Z1450+"'E4!(d_"</f>
        <v>#VALUE!</v>
      </c>
      <c r="HP176" t="e">
        <f>Nodes!AA1450+"'E4!(d`"</f>
        <v>#VALUE!</v>
      </c>
      <c r="HQ176" t="e">
        <f>Nodes!AB1450+"'E4!(da"</f>
        <v>#VALUE!</v>
      </c>
      <c r="HR176" t="e">
        <f>Nodes!AC1450+"'E4!(db"</f>
        <v>#VALUE!</v>
      </c>
      <c r="HS176" t="e">
        <f>Nodes!A1451+"'E4!(dc"</f>
        <v>#VALUE!</v>
      </c>
      <c r="HT176" t="e">
        <f>Nodes!B1451+"'E4!(dd"</f>
        <v>#VALUE!</v>
      </c>
      <c r="HU176" t="e">
        <f>Nodes!C1451+"'E4!(de"</f>
        <v>#VALUE!</v>
      </c>
      <c r="HV176" t="e">
        <f>Nodes!D1451+"'E4!(df"</f>
        <v>#VALUE!</v>
      </c>
      <c r="HW176" t="e">
        <f>Nodes!E1451+"'E4!(dg"</f>
        <v>#VALUE!</v>
      </c>
      <c r="HX176" t="e">
        <f>Nodes!F1451+"'E4!(dh"</f>
        <v>#VALUE!</v>
      </c>
      <c r="HY176" t="e">
        <f>Nodes!G1451+"'E4!(di"</f>
        <v>#VALUE!</v>
      </c>
      <c r="HZ176" t="e">
        <f>Nodes!H1451+"'E4!(dj"</f>
        <v>#VALUE!</v>
      </c>
      <c r="IA176" t="e">
        <f>Nodes!I1451+"'E4!(dk"</f>
        <v>#VALUE!</v>
      </c>
      <c r="IB176" t="e">
        <f>Nodes!J1451+"'E4!(dl"</f>
        <v>#VALUE!</v>
      </c>
      <c r="IC176" t="e">
        <f>Nodes!K1451+"'E4!(dm"</f>
        <v>#VALUE!</v>
      </c>
      <c r="ID176" t="e">
        <f>Nodes!L1451+"'E4!(dn"</f>
        <v>#VALUE!</v>
      </c>
      <c r="IE176" t="e">
        <f>Nodes!M1451+"'E4!(do"</f>
        <v>#VALUE!</v>
      </c>
      <c r="IF176" t="e">
        <f>Nodes!N1451+"'E4!(dp"</f>
        <v>#VALUE!</v>
      </c>
      <c r="IG176" t="e">
        <f>Nodes!O1451+"'E4!(dq"</f>
        <v>#VALUE!</v>
      </c>
      <c r="IH176" t="e">
        <f>Nodes!P1451+"'E4!(dr"</f>
        <v>#VALUE!</v>
      </c>
      <c r="II176" t="e">
        <f>Nodes!Q1451+"'E4!(ds"</f>
        <v>#VALUE!</v>
      </c>
      <c r="IJ176" t="e">
        <f>Nodes!R1451+"'E4!(dt"</f>
        <v>#VALUE!</v>
      </c>
      <c r="IK176" t="e">
        <f>Nodes!S1451+"'E4!(du"</f>
        <v>#VALUE!</v>
      </c>
      <c r="IL176" t="e">
        <f>Nodes!T1451+"'E4!(dv"</f>
        <v>#VALUE!</v>
      </c>
      <c r="IM176" s="550" t="e">
        <f>Nodes!U1451+"'E4!(dw"</f>
        <v>#VALUE!</v>
      </c>
      <c r="IN176" t="e">
        <f>Nodes!V1451+"'E4!(dx"</f>
        <v>#VALUE!</v>
      </c>
      <c r="IO176" t="e">
        <f>Nodes!W1451+"'E4!(dy"</f>
        <v>#VALUE!</v>
      </c>
      <c r="IP176" t="e">
        <f>Nodes!X1451+"'E4!(dz"</f>
        <v>#VALUE!</v>
      </c>
      <c r="IQ176" t="e">
        <f>Nodes!Y1451+"'E4!(d{"</f>
        <v>#VALUE!</v>
      </c>
      <c r="IR176" t="e">
        <f>Nodes!Z1451+"'E4!(d|"</f>
        <v>#VALUE!</v>
      </c>
      <c r="IS176" t="e">
        <f>Nodes!AA1451+"'E4!(d}"</f>
        <v>#VALUE!</v>
      </c>
      <c r="IT176" t="e">
        <f>Nodes!AB1451+"'E4!(d~"</f>
        <v>#VALUE!</v>
      </c>
      <c r="IU176" t="e">
        <f>Nodes!AC1451+"'E4!(e#"</f>
        <v>#VALUE!</v>
      </c>
      <c r="IV176" t="e">
        <f>Nodes!A1452+"'E4!(e$"</f>
        <v>#VALUE!</v>
      </c>
    </row>
    <row r="177" spans="6:256">
      <c r="F177" t="e">
        <f>Nodes!B1452+"'E4!(e%"</f>
        <v>#VALUE!</v>
      </c>
      <c r="G177" t="e">
        <f>Nodes!C1452+"'E4!(e&amp;"</f>
        <v>#VALUE!</v>
      </c>
      <c r="H177" t="e">
        <f>Nodes!D1452+"'E4!(e'"</f>
        <v>#VALUE!</v>
      </c>
      <c r="I177" t="e">
        <f>Nodes!E1452+"'E4!(e("</f>
        <v>#VALUE!</v>
      </c>
      <c r="J177" t="e">
        <f>Nodes!F1452+"'E4!(e)"</f>
        <v>#VALUE!</v>
      </c>
      <c r="K177" t="e">
        <f>Nodes!G1452+"'E4!(e."</f>
        <v>#VALUE!</v>
      </c>
      <c r="L177" t="e">
        <f>Nodes!H1452+"'E4!(e/"</f>
        <v>#VALUE!</v>
      </c>
      <c r="M177" t="e">
        <f>Nodes!I1452+"'E4!(e0"</f>
        <v>#VALUE!</v>
      </c>
      <c r="N177" t="e">
        <f>Nodes!J1452+"'E4!(e1"</f>
        <v>#VALUE!</v>
      </c>
      <c r="O177" t="e">
        <f>Nodes!K1452+"'E4!(e2"</f>
        <v>#VALUE!</v>
      </c>
      <c r="P177" t="e">
        <f>Nodes!L1452+"'E4!(e3"</f>
        <v>#VALUE!</v>
      </c>
      <c r="Q177" t="e">
        <f>Nodes!M1452+"'E4!(e4"</f>
        <v>#VALUE!</v>
      </c>
      <c r="R177" t="e">
        <f>Nodes!N1452+"'E4!(e5"</f>
        <v>#VALUE!</v>
      </c>
      <c r="S177" t="e">
        <f>Nodes!O1452+"'E4!(e6"</f>
        <v>#VALUE!</v>
      </c>
      <c r="T177" t="e">
        <f>Nodes!P1452+"'E4!(e7"</f>
        <v>#VALUE!</v>
      </c>
      <c r="U177" t="e">
        <f>Nodes!Q1452+"'E4!(e8"</f>
        <v>#VALUE!</v>
      </c>
      <c r="V177" t="e">
        <f>Nodes!R1452+"'E4!(e9"</f>
        <v>#VALUE!</v>
      </c>
      <c r="W177" t="e">
        <f>Nodes!S1452+"'E4!(e:"</f>
        <v>#VALUE!</v>
      </c>
      <c r="X177" t="e">
        <f>Nodes!T1452+"'E4!(e;"</f>
        <v>#VALUE!</v>
      </c>
      <c r="Y177" s="550" t="e">
        <f>Nodes!U1452+"'E4!(e&lt;"</f>
        <v>#VALUE!</v>
      </c>
      <c r="Z177" t="e">
        <f>Nodes!V1452+"'E4!(e="</f>
        <v>#VALUE!</v>
      </c>
      <c r="AA177" t="e">
        <f>Nodes!W1452+"'E4!(e&gt;"</f>
        <v>#VALUE!</v>
      </c>
      <c r="AB177" t="e">
        <f>Nodes!X1452+"'E4!(e?"</f>
        <v>#VALUE!</v>
      </c>
      <c r="AC177" t="e">
        <f>Nodes!Y1452+"'E4!(e@"</f>
        <v>#VALUE!</v>
      </c>
      <c r="AD177" t="e">
        <f>Nodes!Z1452+"'E4!(eA"</f>
        <v>#VALUE!</v>
      </c>
      <c r="AE177" t="e">
        <f>Nodes!AA1452+"'E4!(eB"</f>
        <v>#VALUE!</v>
      </c>
      <c r="AF177" t="e">
        <f>Nodes!AB1452+"'E4!(eC"</f>
        <v>#VALUE!</v>
      </c>
      <c r="AG177" t="e">
        <f>Nodes!AC1452+"'E4!(eD"</f>
        <v>#VALUE!</v>
      </c>
      <c r="AH177" t="e">
        <f>Nodes!A1453+"'E4!(eE"</f>
        <v>#VALUE!</v>
      </c>
      <c r="AI177" t="e">
        <f>Nodes!B1453+"'E4!(eF"</f>
        <v>#VALUE!</v>
      </c>
      <c r="AJ177" t="e">
        <f>Nodes!C1453+"'E4!(eG"</f>
        <v>#VALUE!</v>
      </c>
      <c r="AK177" t="e">
        <f>Nodes!D1453+"'E4!(eH"</f>
        <v>#VALUE!</v>
      </c>
      <c r="AL177" t="e">
        <f>Nodes!E1453+"'E4!(eI"</f>
        <v>#VALUE!</v>
      </c>
      <c r="AM177" t="e">
        <f>Nodes!F1453+"'E4!(eJ"</f>
        <v>#VALUE!</v>
      </c>
      <c r="AN177" t="e">
        <f>Nodes!G1453+"'E4!(eK"</f>
        <v>#VALUE!</v>
      </c>
      <c r="AO177" t="e">
        <f>Nodes!H1453+"'E4!(eL"</f>
        <v>#VALUE!</v>
      </c>
      <c r="AP177" t="e">
        <f>Nodes!I1453+"'E4!(eM"</f>
        <v>#VALUE!</v>
      </c>
      <c r="AQ177" t="e">
        <f>Nodes!J1453+"'E4!(eN"</f>
        <v>#VALUE!</v>
      </c>
      <c r="AR177" t="e">
        <f>Nodes!K1453+"'E4!(eO"</f>
        <v>#VALUE!</v>
      </c>
      <c r="AS177" t="e">
        <f>Nodes!L1453+"'E4!(eP"</f>
        <v>#VALUE!</v>
      </c>
      <c r="AT177" t="e">
        <f>Nodes!M1453+"'E4!(eQ"</f>
        <v>#VALUE!</v>
      </c>
      <c r="AU177" t="e">
        <f>Nodes!N1453+"'E4!(eR"</f>
        <v>#VALUE!</v>
      </c>
      <c r="AV177" t="e">
        <f>Nodes!O1453+"'E4!(eS"</f>
        <v>#VALUE!</v>
      </c>
      <c r="AW177" t="e">
        <f>Nodes!P1453+"'E4!(eT"</f>
        <v>#VALUE!</v>
      </c>
      <c r="AX177" t="e">
        <f>Nodes!Q1453+"'E4!(eU"</f>
        <v>#VALUE!</v>
      </c>
      <c r="AY177" t="e">
        <f>Nodes!R1453+"'E4!(eV"</f>
        <v>#VALUE!</v>
      </c>
      <c r="AZ177" t="e">
        <f>Nodes!S1453+"'E4!(eW"</f>
        <v>#VALUE!</v>
      </c>
      <c r="BA177" t="e">
        <f>Nodes!T1453+"'E4!(eX"</f>
        <v>#VALUE!</v>
      </c>
      <c r="BB177" s="550" t="e">
        <f>Nodes!U1453+"'E4!(eY"</f>
        <v>#VALUE!</v>
      </c>
      <c r="BC177" t="e">
        <f>Nodes!V1453+"'E4!(eZ"</f>
        <v>#VALUE!</v>
      </c>
      <c r="BD177" t="e">
        <f>Nodes!W1453+"'E4!(e["</f>
        <v>#VALUE!</v>
      </c>
      <c r="BE177" t="e">
        <f>Nodes!X1453+"'E4!(e\"</f>
        <v>#VALUE!</v>
      </c>
      <c r="BF177" t="e">
        <f>Nodes!Y1453+"'E4!(e]"</f>
        <v>#VALUE!</v>
      </c>
      <c r="BG177" t="e">
        <f>Nodes!Z1453+"'E4!(e^"</f>
        <v>#VALUE!</v>
      </c>
      <c r="BH177" t="e">
        <f>Nodes!AA1453+"'E4!(e_"</f>
        <v>#VALUE!</v>
      </c>
      <c r="BI177" t="e">
        <f>Nodes!AB1453+"'E4!(e`"</f>
        <v>#VALUE!</v>
      </c>
      <c r="BJ177" t="e">
        <f>Nodes!AC1453+"'E4!(ea"</f>
        <v>#VALUE!</v>
      </c>
      <c r="BK177" t="e">
        <f>Nodes!A1454+"'E4!(eb"</f>
        <v>#VALUE!</v>
      </c>
      <c r="BL177" t="e">
        <f>Nodes!B1454+"'E4!(ec"</f>
        <v>#VALUE!</v>
      </c>
      <c r="BM177" t="e">
        <f>Nodes!C1454+"'E4!(ed"</f>
        <v>#VALUE!</v>
      </c>
      <c r="BN177" t="e">
        <f>Nodes!D1454+"'E4!(ee"</f>
        <v>#VALUE!</v>
      </c>
      <c r="BO177" t="e">
        <f>Nodes!E1454+"'E4!(ef"</f>
        <v>#VALUE!</v>
      </c>
      <c r="BP177" t="e">
        <f>Nodes!F1454+"'E4!(eg"</f>
        <v>#VALUE!</v>
      </c>
      <c r="BQ177" t="e">
        <f>Nodes!G1454+"'E4!(eh"</f>
        <v>#VALUE!</v>
      </c>
      <c r="BR177" t="e">
        <f>Nodes!H1454+"'E4!(ei"</f>
        <v>#VALUE!</v>
      </c>
      <c r="BS177" t="e">
        <f>Nodes!I1454+"'E4!(ej"</f>
        <v>#VALUE!</v>
      </c>
      <c r="BT177" t="e">
        <f>Nodes!J1454+"'E4!(ek"</f>
        <v>#VALUE!</v>
      </c>
      <c r="BU177" t="e">
        <f>Nodes!K1454+"'E4!(el"</f>
        <v>#VALUE!</v>
      </c>
      <c r="BV177" t="e">
        <f>Nodes!L1454+"'E4!(em"</f>
        <v>#VALUE!</v>
      </c>
      <c r="BW177" t="e">
        <f>Nodes!M1454+"'E4!(en"</f>
        <v>#VALUE!</v>
      </c>
      <c r="BX177" t="e">
        <f>Nodes!N1454+"'E4!(eo"</f>
        <v>#VALUE!</v>
      </c>
      <c r="BY177" t="e">
        <f>Nodes!O1454+"'E4!(ep"</f>
        <v>#VALUE!</v>
      </c>
      <c r="BZ177" t="e">
        <f>Nodes!P1454+"'E4!(eq"</f>
        <v>#VALUE!</v>
      </c>
      <c r="CA177" t="e">
        <f>Nodes!Q1454+"'E4!(er"</f>
        <v>#VALUE!</v>
      </c>
      <c r="CB177" t="e">
        <f>Nodes!R1454+"'E4!(es"</f>
        <v>#VALUE!</v>
      </c>
      <c r="CC177" t="e">
        <f>Nodes!S1454+"'E4!(et"</f>
        <v>#VALUE!</v>
      </c>
      <c r="CD177" t="e">
        <f>Nodes!T1454+"'E4!(eu"</f>
        <v>#VALUE!</v>
      </c>
      <c r="CE177" s="550" t="e">
        <f>Nodes!U1454+"'E4!(ev"</f>
        <v>#VALUE!</v>
      </c>
      <c r="CF177" t="e">
        <f>Nodes!V1454+"'E4!(ew"</f>
        <v>#VALUE!</v>
      </c>
      <c r="CG177" t="e">
        <f>Nodes!W1454+"'E4!(ex"</f>
        <v>#VALUE!</v>
      </c>
      <c r="CH177" t="e">
        <f>Nodes!X1454+"'E4!(ey"</f>
        <v>#VALUE!</v>
      </c>
      <c r="CI177" t="e">
        <f>Nodes!Y1454+"'E4!(ez"</f>
        <v>#VALUE!</v>
      </c>
      <c r="CJ177" t="e">
        <f>Nodes!Z1454+"'E4!(e{"</f>
        <v>#VALUE!</v>
      </c>
      <c r="CK177" t="e">
        <f>Nodes!AA1454+"'E4!(e|"</f>
        <v>#VALUE!</v>
      </c>
      <c r="CL177" t="e">
        <f>Nodes!AB1454+"'E4!(e}"</f>
        <v>#VALUE!</v>
      </c>
      <c r="CM177" t="e">
        <f>Nodes!AC1454+"'E4!(e~"</f>
        <v>#VALUE!</v>
      </c>
      <c r="CN177" t="e">
        <f>Nodes!A1455+"'E4!(f#"</f>
        <v>#VALUE!</v>
      </c>
      <c r="CO177" t="e">
        <f>Nodes!B1455+"'E4!(f$"</f>
        <v>#VALUE!</v>
      </c>
      <c r="CP177" t="e">
        <f>Nodes!C1455+"'E4!(f%"</f>
        <v>#VALUE!</v>
      </c>
      <c r="CQ177" t="e">
        <f>Nodes!D1455+"'E4!(f&amp;"</f>
        <v>#VALUE!</v>
      </c>
      <c r="CR177" t="e">
        <f>Nodes!E1455+"'E4!(f'"</f>
        <v>#VALUE!</v>
      </c>
      <c r="CS177" t="e">
        <f>Nodes!F1455+"'E4!(f("</f>
        <v>#VALUE!</v>
      </c>
      <c r="CT177" t="e">
        <f>Nodes!G1455+"'E4!(f)"</f>
        <v>#VALUE!</v>
      </c>
      <c r="CU177" t="e">
        <f>Nodes!H1455+"'E4!(f."</f>
        <v>#VALUE!</v>
      </c>
      <c r="CV177" t="e">
        <f>Nodes!I1455+"'E4!(f/"</f>
        <v>#VALUE!</v>
      </c>
      <c r="CW177" t="e">
        <f>Nodes!J1455+"'E4!(f0"</f>
        <v>#VALUE!</v>
      </c>
      <c r="CX177" t="e">
        <f>Nodes!K1455+"'E4!(f1"</f>
        <v>#VALUE!</v>
      </c>
      <c r="CY177" t="e">
        <f>Nodes!L1455+"'E4!(f2"</f>
        <v>#VALUE!</v>
      </c>
      <c r="CZ177" t="e">
        <f>Nodes!M1455+"'E4!(f3"</f>
        <v>#VALUE!</v>
      </c>
      <c r="DA177" t="e">
        <f>Nodes!N1455+"'E4!(f4"</f>
        <v>#VALUE!</v>
      </c>
      <c r="DB177" t="e">
        <f>Nodes!O1455+"'E4!(f5"</f>
        <v>#VALUE!</v>
      </c>
      <c r="DC177" t="e">
        <f>Nodes!P1455+"'E4!(f6"</f>
        <v>#VALUE!</v>
      </c>
      <c r="DD177" t="e">
        <f>Nodes!Q1455+"'E4!(f7"</f>
        <v>#VALUE!</v>
      </c>
      <c r="DE177" t="e">
        <f>Nodes!R1455+"'E4!(f8"</f>
        <v>#VALUE!</v>
      </c>
      <c r="DF177" t="e">
        <f>Nodes!S1455+"'E4!(f9"</f>
        <v>#VALUE!</v>
      </c>
      <c r="DG177" t="e">
        <f>Nodes!T1455+"'E4!(f:"</f>
        <v>#VALUE!</v>
      </c>
      <c r="DH177" s="550" t="e">
        <f>Nodes!U1455+"'E4!(f;"</f>
        <v>#VALUE!</v>
      </c>
      <c r="DI177" t="e">
        <f>Nodes!V1455+"'E4!(f&lt;"</f>
        <v>#VALUE!</v>
      </c>
      <c r="DJ177" t="e">
        <f>Nodes!W1455+"'E4!(f="</f>
        <v>#VALUE!</v>
      </c>
      <c r="DK177" t="e">
        <f>Nodes!X1455+"'E4!(f&gt;"</f>
        <v>#VALUE!</v>
      </c>
      <c r="DL177" t="e">
        <f>Nodes!Y1455+"'E4!(f?"</f>
        <v>#VALUE!</v>
      </c>
      <c r="DM177" t="e">
        <f>Nodes!Z1455+"'E4!(f@"</f>
        <v>#VALUE!</v>
      </c>
      <c r="DN177" t="e">
        <f>Nodes!AA1455+"'E4!(fA"</f>
        <v>#VALUE!</v>
      </c>
      <c r="DO177" t="e">
        <f>Nodes!AB1455+"'E4!(fB"</f>
        <v>#VALUE!</v>
      </c>
      <c r="DP177" t="e">
        <f>Nodes!AC1455+"'E4!(fC"</f>
        <v>#VALUE!</v>
      </c>
      <c r="DQ177" t="e">
        <f>Nodes!A1456+"'E4!(fD"</f>
        <v>#VALUE!</v>
      </c>
      <c r="DR177" t="e">
        <f>Nodes!B1456+"'E4!(fE"</f>
        <v>#VALUE!</v>
      </c>
      <c r="DS177" t="e">
        <f>Nodes!C1456+"'E4!(fF"</f>
        <v>#VALUE!</v>
      </c>
      <c r="DT177" t="e">
        <f>Nodes!D1456+"'E4!(fG"</f>
        <v>#VALUE!</v>
      </c>
      <c r="DU177" t="e">
        <f>Nodes!E1456+"'E4!(fH"</f>
        <v>#VALUE!</v>
      </c>
      <c r="DV177" t="e">
        <f>Nodes!F1456+"'E4!(fI"</f>
        <v>#VALUE!</v>
      </c>
      <c r="DW177" t="e">
        <f>Nodes!G1456+"'E4!(fJ"</f>
        <v>#VALUE!</v>
      </c>
      <c r="DX177" t="e">
        <f>Nodes!H1456+"'E4!(fK"</f>
        <v>#VALUE!</v>
      </c>
      <c r="DY177" t="e">
        <f>Nodes!I1456+"'E4!(fL"</f>
        <v>#VALUE!</v>
      </c>
      <c r="DZ177" t="e">
        <f>Nodes!J1456+"'E4!(fM"</f>
        <v>#VALUE!</v>
      </c>
      <c r="EA177" t="e">
        <f>Nodes!K1456+"'E4!(fN"</f>
        <v>#VALUE!</v>
      </c>
      <c r="EB177" t="e">
        <f>Nodes!L1456+"'E4!(fO"</f>
        <v>#VALUE!</v>
      </c>
      <c r="EC177" t="e">
        <f>Nodes!M1456+"'E4!(fP"</f>
        <v>#VALUE!</v>
      </c>
      <c r="ED177" t="e">
        <f>Nodes!N1456+"'E4!(fQ"</f>
        <v>#VALUE!</v>
      </c>
      <c r="EE177" t="e">
        <f>Nodes!O1456+"'E4!(fR"</f>
        <v>#VALUE!</v>
      </c>
      <c r="EF177" t="e">
        <f>Nodes!P1456+"'E4!(fS"</f>
        <v>#VALUE!</v>
      </c>
      <c r="EG177" t="e">
        <f>Nodes!Q1456+"'E4!(fT"</f>
        <v>#VALUE!</v>
      </c>
      <c r="EH177" t="e">
        <f>Nodes!R1456+"'E4!(fU"</f>
        <v>#VALUE!</v>
      </c>
      <c r="EI177" t="e">
        <f>Nodes!S1456+"'E4!(fV"</f>
        <v>#VALUE!</v>
      </c>
      <c r="EJ177" t="e">
        <f>Nodes!T1456+"'E4!(fW"</f>
        <v>#VALUE!</v>
      </c>
      <c r="EK177" s="550" t="e">
        <f>Nodes!U1456+"'E4!(fX"</f>
        <v>#VALUE!</v>
      </c>
      <c r="EL177" t="e">
        <f>Nodes!V1456+"'E4!(fY"</f>
        <v>#VALUE!</v>
      </c>
      <c r="EM177" t="e">
        <f>Nodes!W1456+"'E4!(fZ"</f>
        <v>#VALUE!</v>
      </c>
      <c r="EN177" t="e">
        <f>Nodes!X1456+"'E4!(f["</f>
        <v>#VALUE!</v>
      </c>
      <c r="EO177" t="e">
        <f>Nodes!Y1456+"'E4!(f\"</f>
        <v>#VALUE!</v>
      </c>
      <c r="EP177" t="e">
        <f>Nodes!Z1456+"'E4!(f]"</f>
        <v>#VALUE!</v>
      </c>
      <c r="EQ177" t="e">
        <f>Nodes!AA1456+"'E4!(f^"</f>
        <v>#VALUE!</v>
      </c>
      <c r="ER177" t="e">
        <f>Nodes!AB1456+"'E4!(f_"</f>
        <v>#VALUE!</v>
      </c>
      <c r="ES177" t="e">
        <f>Nodes!AC1456+"'E4!(f`"</f>
        <v>#VALUE!</v>
      </c>
      <c r="ET177" t="e">
        <f>Nodes!A1457+"'E4!(fa"</f>
        <v>#VALUE!</v>
      </c>
      <c r="EU177" t="e">
        <f>Nodes!B1457+"'E4!(fb"</f>
        <v>#VALUE!</v>
      </c>
      <c r="EV177" t="e">
        <f>Nodes!C1457+"'E4!(fc"</f>
        <v>#VALUE!</v>
      </c>
      <c r="EW177" t="e">
        <f>Nodes!D1457+"'E4!(fd"</f>
        <v>#VALUE!</v>
      </c>
      <c r="EX177" t="e">
        <f>Nodes!E1457+"'E4!(fe"</f>
        <v>#VALUE!</v>
      </c>
      <c r="EY177" t="e">
        <f>Nodes!F1457+"'E4!(ff"</f>
        <v>#VALUE!</v>
      </c>
      <c r="EZ177" t="e">
        <f>Nodes!G1457+"'E4!(fg"</f>
        <v>#VALUE!</v>
      </c>
      <c r="FA177" t="e">
        <f>Nodes!H1457+"'E4!(fh"</f>
        <v>#VALUE!</v>
      </c>
      <c r="FB177" t="e">
        <f>Nodes!I1457+"'E4!(fi"</f>
        <v>#VALUE!</v>
      </c>
      <c r="FC177" t="e">
        <f>Nodes!J1457+"'E4!(fj"</f>
        <v>#VALUE!</v>
      </c>
      <c r="FD177" t="e">
        <f>Nodes!K1457+"'E4!(fk"</f>
        <v>#VALUE!</v>
      </c>
      <c r="FE177" t="e">
        <f>Nodes!L1457+"'E4!(fl"</f>
        <v>#VALUE!</v>
      </c>
      <c r="FF177" t="e">
        <f>Nodes!M1457+"'E4!(fm"</f>
        <v>#VALUE!</v>
      </c>
      <c r="FG177" t="e">
        <f>Nodes!N1457+"'E4!(fn"</f>
        <v>#VALUE!</v>
      </c>
      <c r="FH177" t="e">
        <f>Nodes!O1457+"'E4!(fo"</f>
        <v>#VALUE!</v>
      </c>
      <c r="FI177" t="e">
        <f>Nodes!P1457+"'E4!(fp"</f>
        <v>#VALUE!</v>
      </c>
      <c r="FJ177" t="e">
        <f>Nodes!Q1457+"'E4!(fq"</f>
        <v>#VALUE!</v>
      </c>
      <c r="FK177" t="e">
        <f>Nodes!R1457+"'E4!(fr"</f>
        <v>#VALUE!</v>
      </c>
      <c r="FL177" t="e">
        <f>Nodes!S1457+"'E4!(fs"</f>
        <v>#VALUE!</v>
      </c>
      <c r="FM177" t="e">
        <f>Nodes!T1457+"'E4!(ft"</f>
        <v>#VALUE!</v>
      </c>
      <c r="FN177" s="550" t="e">
        <f>Nodes!U1457+"'E4!(fu"</f>
        <v>#VALUE!</v>
      </c>
      <c r="FO177" t="e">
        <f>Nodes!V1457+"'E4!(fv"</f>
        <v>#VALUE!</v>
      </c>
      <c r="FP177" t="e">
        <f>Nodes!W1457+"'E4!(fw"</f>
        <v>#VALUE!</v>
      </c>
      <c r="FQ177" t="e">
        <f>Nodes!X1457+"'E4!(fx"</f>
        <v>#VALUE!</v>
      </c>
      <c r="FR177" t="e">
        <f>Nodes!Y1457+"'E4!(fy"</f>
        <v>#VALUE!</v>
      </c>
      <c r="FS177" t="e">
        <f>Nodes!Z1457+"'E4!(fz"</f>
        <v>#VALUE!</v>
      </c>
      <c r="FT177" t="e">
        <f>Nodes!AA1457+"'E4!(f{"</f>
        <v>#VALUE!</v>
      </c>
      <c r="FU177" t="e">
        <f>Nodes!AB1457+"'E4!(f|"</f>
        <v>#VALUE!</v>
      </c>
      <c r="FV177" t="e">
        <f>Nodes!AC1457+"'E4!(f}"</f>
        <v>#VALUE!</v>
      </c>
      <c r="FW177" t="e">
        <f>Nodes!A1458+"'E4!(f~"</f>
        <v>#VALUE!</v>
      </c>
      <c r="FX177" t="e">
        <f>Nodes!B1458+"'E4!(g#"</f>
        <v>#VALUE!</v>
      </c>
      <c r="FY177" t="e">
        <f>Nodes!C1458+"'E4!(g$"</f>
        <v>#VALUE!</v>
      </c>
      <c r="FZ177" t="e">
        <f>Nodes!D1458+"'E4!(g%"</f>
        <v>#VALUE!</v>
      </c>
      <c r="GA177" t="e">
        <f>Nodes!E1458+"'E4!(g&amp;"</f>
        <v>#VALUE!</v>
      </c>
      <c r="GB177" t="e">
        <f>Nodes!F1458+"'E4!(g'"</f>
        <v>#VALUE!</v>
      </c>
      <c r="GC177" t="e">
        <f>Nodes!G1458+"'E4!(g("</f>
        <v>#VALUE!</v>
      </c>
      <c r="GD177" t="e">
        <f>Nodes!H1458+"'E4!(g)"</f>
        <v>#VALUE!</v>
      </c>
      <c r="GE177" t="e">
        <f>Nodes!I1458+"'E4!(g."</f>
        <v>#VALUE!</v>
      </c>
      <c r="GF177" t="e">
        <f>Nodes!J1458+"'E4!(g/"</f>
        <v>#VALUE!</v>
      </c>
      <c r="GG177" t="e">
        <f>Nodes!K1458+"'E4!(g0"</f>
        <v>#VALUE!</v>
      </c>
      <c r="GH177" t="e">
        <f>Nodes!L1458+"'E4!(g1"</f>
        <v>#VALUE!</v>
      </c>
      <c r="GI177" t="e">
        <f>Nodes!M1458+"'E4!(g2"</f>
        <v>#VALUE!</v>
      </c>
      <c r="GJ177" t="e">
        <f>Nodes!N1458+"'E4!(g3"</f>
        <v>#VALUE!</v>
      </c>
      <c r="GK177" t="e">
        <f>Nodes!O1458+"'E4!(g4"</f>
        <v>#VALUE!</v>
      </c>
      <c r="GL177" t="e">
        <f>Nodes!P1458+"'E4!(g5"</f>
        <v>#VALUE!</v>
      </c>
      <c r="GM177" t="e">
        <f>Nodes!Q1458+"'E4!(g6"</f>
        <v>#VALUE!</v>
      </c>
      <c r="GN177" t="e">
        <f>Nodes!R1458+"'E4!(g7"</f>
        <v>#VALUE!</v>
      </c>
      <c r="GO177" t="e">
        <f>Nodes!S1458+"'E4!(g8"</f>
        <v>#VALUE!</v>
      </c>
      <c r="GP177" t="e">
        <f>Nodes!T1458+"'E4!(g9"</f>
        <v>#VALUE!</v>
      </c>
      <c r="GQ177" s="550" t="e">
        <f>Nodes!U1458+"'E4!(g:"</f>
        <v>#VALUE!</v>
      </c>
      <c r="GR177" t="e">
        <f>Nodes!V1458+"'E4!(g;"</f>
        <v>#VALUE!</v>
      </c>
      <c r="GS177" t="e">
        <f>Nodes!W1458+"'E4!(g&lt;"</f>
        <v>#VALUE!</v>
      </c>
      <c r="GT177" t="e">
        <f>Nodes!X1458+"'E4!(g="</f>
        <v>#VALUE!</v>
      </c>
      <c r="GU177" t="e">
        <f>Nodes!Y1458+"'E4!(g&gt;"</f>
        <v>#VALUE!</v>
      </c>
      <c r="GV177" t="e">
        <f>Nodes!Z1458+"'E4!(g?"</f>
        <v>#VALUE!</v>
      </c>
      <c r="GW177" t="e">
        <f>Nodes!AA1458+"'E4!(g@"</f>
        <v>#VALUE!</v>
      </c>
      <c r="GX177" t="e">
        <f>Nodes!AB1458+"'E4!(gA"</f>
        <v>#VALUE!</v>
      </c>
      <c r="GY177" t="e">
        <f>Nodes!AC1458+"'E4!(gB"</f>
        <v>#VALUE!</v>
      </c>
      <c r="GZ177" t="e">
        <f>Nodes!A1459+"'E4!(gC"</f>
        <v>#VALUE!</v>
      </c>
      <c r="HA177" t="e">
        <f>Nodes!B1459+"'E4!(gD"</f>
        <v>#VALUE!</v>
      </c>
      <c r="HB177" t="e">
        <f>Nodes!C1459+"'E4!(gE"</f>
        <v>#VALUE!</v>
      </c>
      <c r="HC177" t="e">
        <f>Nodes!D1459+"'E4!(gF"</f>
        <v>#VALUE!</v>
      </c>
      <c r="HD177" t="e">
        <f>Nodes!E1459+"'E4!(gG"</f>
        <v>#VALUE!</v>
      </c>
      <c r="HE177" t="e">
        <f>Nodes!F1459+"'E4!(gH"</f>
        <v>#VALUE!</v>
      </c>
      <c r="HF177" t="e">
        <f>Nodes!G1459+"'E4!(gI"</f>
        <v>#VALUE!</v>
      </c>
      <c r="HG177" t="e">
        <f>Nodes!H1459+"'E4!(gJ"</f>
        <v>#VALUE!</v>
      </c>
      <c r="HH177" t="e">
        <f>Nodes!I1459+"'E4!(gK"</f>
        <v>#VALUE!</v>
      </c>
      <c r="HI177" t="e">
        <f>Nodes!J1459+"'E4!(gL"</f>
        <v>#VALUE!</v>
      </c>
      <c r="HJ177" t="e">
        <f>Nodes!K1459+"'E4!(gM"</f>
        <v>#VALUE!</v>
      </c>
      <c r="HK177" t="e">
        <f>Nodes!L1459+"'E4!(gN"</f>
        <v>#VALUE!</v>
      </c>
      <c r="HL177" t="e">
        <f>Nodes!M1459+"'E4!(gO"</f>
        <v>#VALUE!</v>
      </c>
      <c r="HM177" t="e">
        <f>Nodes!N1459+"'E4!(gP"</f>
        <v>#VALUE!</v>
      </c>
      <c r="HN177" t="e">
        <f>Nodes!O1459+"'E4!(gQ"</f>
        <v>#VALUE!</v>
      </c>
      <c r="HO177" t="e">
        <f>Nodes!P1459+"'E4!(gR"</f>
        <v>#VALUE!</v>
      </c>
      <c r="HP177" t="e">
        <f>Nodes!Q1459+"'E4!(gS"</f>
        <v>#VALUE!</v>
      </c>
      <c r="HQ177" t="e">
        <f>Nodes!R1459+"'E4!(gT"</f>
        <v>#VALUE!</v>
      </c>
      <c r="HR177" t="e">
        <f>Nodes!S1459+"'E4!(gU"</f>
        <v>#VALUE!</v>
      </c>
      <c r="HS177" t="e">
        <f>Nodes!T1459+"'E4!(gV"</f>
        <v>#VALUE!</v>
      </c>
      <c r="HT177" s="550" t="e">
        <f>Nodes!U1459+"'E4!(gW"</f>
        <v>#VALUE!</v>
      </c>
      <c r="HU177" t="e">
        <f>Nodes!V1459+"'E4!(gX"</f>
        <v>#VALUE!</v>
      </c>
      <c r="HV177" t="e">
        <f>Nodes!W1459+"'E4!(gY"</f>
        <v>#VALUE!</v>
      </c>
      <c r="HW177" t="e">
        <f>Nodes!X1459+"'E4!(gZ"</f>
        <v>#VALUE!</v>
      </c>
      <c r="HX177" t="e">
        <f>Nodes!Y1459+"'E4!(g["</f>
        <v>#VALUE!</v>
      </c>
      <c r="HY177" t="e">
        <f>Nodes!Z1459+"'E4!(g\"</f>
        <v>#VALUE!</v>
      </c>
      <c r="HZ177" t="e">
        <f>Nodes!AA1459+"'E4!(g]"</f>
        <v>#VALUE!</v>
      </c>
      <c r="IA177" t="e">
        <f>Nodes!AB1459+"'E4!(g^"</f>
        <v>#VALUE!</v>
      </c>
      <c r="IB177" t="e">
        <f>Nodes!AC1459+"'E4!(g_"</f>
        <v>#VALUE!</v>
      </c>
      <c r="IC177" t="e">
        <f>Nodes!A1460+"'E4!(g`"</f>
        <v>#VALUE!</v>
      </c>
      <c r="ID177" t="e">
        <f>Nodes!B1460+"'E4!(ga"</f>
        <v>#VALUE!</v>
      </c>
      <c r="IE177" t="e">
        <f>Nodes!C1460+"'E4!(gb"</f>
        <v>#VALUE!</v>
      </c>
      <c r="IF177" t="e">
        <f>Nodes!D1460+"'E4!(gc"</f>
        <v>#VALUE!</v>
      </c>
      <c r="IG177" t="e">
        <f>Nodes!E1460+"'E4!(gd"</f>
        <v>#VALUE!</v>
      </c>
      <c r="IH177" t="e">
        <f>Nodes!F1460+"'E4!(ge"</f>
        <v>#VALUE!</v>
      </c>
      <c r="II177" t="e">
        <f>Nodes!G1460+"'E4!(gf"</f>
        <v>#VALUE!</v>
      </c>
      <c r="IJ177" t="e">
        <f>Nodes!H1460+"'E4!(gg"</f>
        <v>#VALUE!</v>
      </c>
      <c r="IK177" t="e">
        <f>Nodes!I1460+"'E4!(gh"</f>
        <v>#VALUE!</v>
      </c>
      <c r="IL177" t="e">
        <f>Nodes!J1460+"'E4!(gi"</f>
        <v>#VALUE!</v>
      </c>
      <c r="IM177" t="e">
        <f>Nodes!K1460+"'E4!(gj"</f>
        <v>#VALUE!</v>
      </c>
      <c r="IN177" t="e">
        <f>Nodes!L1460+"'E4!(gk"</f>
        <v>#VALUE!</v>
      </c>
      <c r="IO177" t="e">
        <f>Nodes!M1460+"'E4!(gl"</f>
        <v>#VALUE!</v>
      </c>
      <c r="IP177" t="e">
        <f>Nodes!N1460+"'E4!(gm"</f>
        <v>#VALUE!</v>
      </c>
      <c r="IQ177" t="e">
        <f>Nodes!O1460+"'E4!(gn"</f>
        <v>#VALUE!</v>
      </c>
      <c r="IR177" t="e">
        <f>Nodes!P1460+"'E4!(go"</f>
        <v>#VALUE!</v>
      </c>
      <c r="IS177" t="e">
        <f>Nodes!Q1460+"'E4!(gp"</f>
        <v>#VALUE!</v>
      </c>
      <c r="IT177" t="e">
        <f>Nodes!R1460+"'E4!(gq"</f>
        <v>#VALUE!</v>
      </c>
      <c r="IU177" t="e">
        <f>Nodes!S1460+"'E4!(gr"</f>
        <v>#VALUE!</v>
      </c>
      <c r="IV177" t="e">
        <f>Nodes!T1460+"'E4!(gs"</f>
        <v>#VALUE!</v>
      </c>
    </row>
    <row r="178" spans="6:256">
      <c r="F178" s="550" t="e">
        <f>Nodes!U1460+"'E4!(gt"</f>
        <v>#VALUE!</v>
      </c>
      <c r="G178" t="e">
        <f>Nodes!V1460+"'E4!(gu"</f>
        <v>#VALUE!</v>
      </c>
      <c r="H178" t="e">
        <f>Nodes!W1460+"'E4!(gv"</f>
        <v>#VALUE!</v>
      </c>
      <c r="I178" t="e">
        <f>Nodes!X1460+"'E4!(gw"</f>
        <v>#VALUE!</v>
      </c>
      <c r="J178" t="e">
        <f>Nodes!Y1460+"'E4!(gx"</f>
        <v>#VALUE!</v>
      </c>
      <c r="K178" t="e">
        <f>Nodes!Z1460+"'E4!(gy"</f>
        <v>#VALUE!</v>
      </c>
      <c r="L178" t="e">
        <f>Nodes!AA1460+"'E4!(gz"</f>
        <v>#VALUE!</v>
      </c>
      <c r="M178" t="e">
        <f>Nodes!AB1460+"'E4!(g{"</f>
        <v>#VALUE!</v>
      </c>
      <c r="N178" t="e">
        <f>Nodes!AC1460+"'E4!(g|"</f>
        <v>#VALUE!</v>
      </c>
      <c r="O178" t="e">
        <f>Nodes!A1461+"'E4!(g}"</f>
        <v>#VALUE!</v>
      </c>
      <c r="P178" t="e">
        <f>Nodes!B1461+"'E4!(g~"</f>
        <v>#VALUE!</v>
      </c>
      <c r="Q178" t="e">
        <f>Nodes!C1461+"'E4!(h#"</f>
        <v>#VALUE!</v>
      </c>
      <c r="R178" t="e">
        <f>Nodes!D1461+"'E4!(h$"</f>
        <v>#VALUE!</v>
      </c>
      <c r="S178" t="e">
        <f>Nodes!E1461+"'E4!(h%"</f>
        <v>#VALUE!</v>
      </c>
      <c r="T178" t="e">
        <f>Nodes!F1461+"'E4!(h&amp;"</f>
        <v>#VALUE!</v>
      </c>
      <c r="U178" t="e">
        <f>Nodes!G1461+"'E4!(h'"</f>
        <v>#VALUE!</v>
      </c>
      <c r="V178" t="e">
        <f>Nodes!H1461+"'E4!(h("</f>
        <v>#VALUE!</v>
      </c>
      <c r="W178" t="e">
        <f>Nodes!I1461+"'E4!(h)"</f>
        <v>#VALUE!</v>
      </c>
      <c r="X178" t="e">
        <f>Nodes!J1461+"'E4!(h."</f>
        <v>#VALUE!</v>
      </c>
      <c r="Y178" t="e">
        <f>Nodes!K1461+"'E4!(h/"</f>
        <v>#VALUE!</v>
      </c>
      <c r="Z178" t="e">
        <f>Nodes!L1461+"'E4!(h0"</f>
        <v>#VALUE!</v>
      </c>
      <c r="AA178" t="e">
        <f>Nodes!M1461+"'E4!(h1"</f>
        <v>#VALUE!</v>
      </c>
      <c r="AB178" t="e">
        <f>Nodes!N1461+"'E4!(h2"</f>
        <v>#VALUE!</v>
      </c>
      <c r="AC178" t="e">
        <f>Nodes!O1461+"'E4!(h3"</f>
        <v>#VALUE!</v>
      </c>
      <c r="AD178" t="e">
        <f>Nodes!P1461+"'E4!(h4"</f>
        <v>#VALUE!</v>
      </c>
      <c r="AE178" t="e">
        <f>Nodes!Q1461+"'E4!(h5"</f>
        <v>#VALUE!</v>
      </c>
      <c r="AF178" t="e">
        <f>Nodes!R1461+"'E4!(h6"</f>
        <v>#VALUE!</v>
      </c>
      <c r="AG178" t="e">
        <f>Nodes!S1461+"'E4!(h7"</f>
        <v>#VALUE!</v>
      </c>
      <c r="AH178" t="e">
        <f>Nodes!T1461+"'E4!(h8"</f>
        <v>#VALUE!</v>
      </c>
      <c r="AI178" s="550" t="e">
        <f>Nodes!U1461+"'E4!(h9"</f>
        <v>#VALUE!</v>
      </c>
      <c r="AJ178" t="e">
        <f>Nodes!V1461+"'E4!(h:"</f>
        <v>#VALUE!</v>
      </c>
      <c r="AK178" t="e">
        <f>Nodes!W1461+"'E4!(h;"</f>
        <v>#VALUE!</v>
      </c>
      <c r="AL178" t="e">
        <f>Nodes!X1461+"'E4!(h&lt;"</f>
        <v>#VALUE!</v>
      </c>
      <c r="AM178" t="e">
        <f>Nodes!Y1461+"'E4!(h="</f>
        <v>#VALUE!</v>
      </c>
      <c r="AN178" t="e">
        <f>Nodes!Z1461+"'E4!(h&gt;"</f>
        <v>#VALUE!</v>
      </c>
      <c r="AO178" t="e">
        <f>Nodes!AA1461+"'E4!(h?"</f>
        <v>#VALUE!</v>
      </c>
      <c r="AP178" t="e">
        <f>Nodes!AB1461+"'E4!(h@"</f>
        <v>#VALUE!</v>
      </c>
      <c r="AQ178" t="e">
        <f>Nodes!AC1461+"'E4!(hA"</f>
        <v>#VALUE!</v>
      </c>
      <c r="AR178" t="e">
        <f>Nodes!A1462+"'E4!(hB"</f>
        <v>#VALUE!</v>
      </c>
      <c r="AS178" t="e">
        <f>Nodes!B1462+"'E4!(hC"</f>
        <v>#VALUE!</v>
      </c>
      <c r="AT178" t="e">
        <f>Nodes!C1462+"'E4!(hD"</f>
        <v>#VALUE!</v>
      </c>
      <c r="AU178" t="e">
        <f>Nodes!D1462+"'E4!(hE"</f>
        <v>#VALUE!</v>
      </c>
      <c r="AV178" t="e">
        <f>Nodes!E1462+"'E4!(hF"</f>
        <v>#VALUE!</v>
      </c>
      <c r="AW178" t="e">
        <f>Nodes!F1462+"'E4!(hG"</f>
        <v>#VALUE!</v>
      </c>
      <c r="AX178" t="e">
        <f>Nodes!G1462+"'E4!(hH"</f>
        <v>#VALUE!</v>
      </c>
      <c r="AY178" t="e">
        <f>Nodes!H1462+"'E4!(hI"</f>
        <v>#VALUE!</v>
      </c>
      <c r="AZ178" t="e">
        <f>Nodes!I1462+"'E4!(hJ"</f>
        <v>#VALUE!</v>
      </c>
      <c r="BA178" t="e">
        <f>Nodes!J1462+"'E4!(hK"</f>
        <v>#VALUE!</v>
      </c>
      <c r="BB178" t="e">
        <f>Nodes!K1462+"'E4!(hL"</f>
        <v>#VALUE!</v>
      </c>
      <c r="BC178" t="e">
        <f>Nodes!L1462+"'E4!(hM"</f>
        <v>#VALUE!</v>
      </c>
      <c r="BD178" t="e">
        <f>Nodes!M1462+"'E4!(hN"</f>
        <v>#VALUE!</v>
      </c>
      <c r="BE178" t="e">
        <f>Nodes!N1462+"'E4!(hO"</f>
        <v>#VALUE!</v>
      </c>
      <c r="BF178" t="e">
        <f>Nodes!O1462+"'E4!(hP"</f>
        <v>#VALUE!</v>
      </c>
      <c r="BG178" t="e">
        <f>Nodes!P1462+"'E4!(hQ"</f>
        <v>#VALUE!</v>
      </c>
      <c r="BH178" t="e">
        <f>Nodes!Q1462+"'E4!(hR"</f>
        <v>#VALUE!</v>
      </c>
      <c r="BI178" t="e">
        <f>Nodes!R1462+"'E4!(hS"</f>
        <v>#VALUE!</v>
      </c>
      <c r="BJ178" t="e">
        <f>Nodes!S1462+"'E4!(hT"</f>
        <v>#VALUE!</v>
      </c>
      <c r="BK178" t="e">
        <f>Nodes!T1462+"'E4!(hU"</f>
        <v>#VALUE!</v>
      </c>
      <c r="BL178" s="550" t="e">
        <f>Nodes!U1462+"'E4!(hV"</f>
        <v>#VALUE!</v>
      </c>
      <c r="BM178" t="e">
        <f>Nodes!V1462+"'E4!(hW"</f>
        <v>#VALUE!</v>
      </c>
      <c r="BN178" t="e">
        <f>Nodes!W1462+"'E4!(hX"</f>
        <v>#VALUE!</v>
      </c>
      <c r="BO178" t="e">
        <f>Nodes!X1462+"'E4!(hY"</f>
        <v>#VALUE!</v>
      </c>
      <c r="BP178" t="e">
        <f>Nodes!Y1462+"'E4!(hZ"</f>
        <v>#VALUE!</v>
      </c>
      <c r="BQ178" t="e">
        <f>Nodes!Z1462+"'E4!(h["</f>
        <v>#VALUE!</v>
      </c>
      <c r="BR178" t="e">
        <f>Nodes!AA1462+"'E4!(h\"</f>
        <v>#VALUE!</v>
      </c>
      <c r="BS178" t="e">
        <f>Nodes!AB1462+"'E4!(h]"</f>
        <v>#VALUE!</v>
      </c>
      <c r="BT178" t="e">
        <f>Nodes!AC1462+"'E4!(h^"</f>
        <v>#VALUE!</v>
      </c>
      <c r="BU178" t="e">
        <f>Nodes!A1463+"'E4!(h_"</f>
        <v>#VALUE!</v>
      </c>
      <c r="BV178" t="e">
        <f>Nodes!B1463+"'E4!(h`"</f>
        <v>#VALUE!</v>
      </c>
      <c r="BW178" t="e">
        <f>Nodes!C1463+"'E4!(ha"</f>
        <v>#VALUE!</v>
      </c>
      <c r="BX178" t="e">
        <f>Nodes!D1463+"'E4!(hb"</f>
        <v>#VALUE!</v>
      </c>
      <c r="BY178" t="e">
        <f>Nodes!E1463+"'E4!(hc"</f>
        <v>#VALUE!</v>
      </c>
      <c r="BZ178" t="e">
        <f>Nodes!F1463+"'E4!(hd"</f>
        <v>#VALUE!</v>
      </c>
      <c r="CA178" t="e">
        <f>Nodes!G1463+"'E4!(he"</f>
        <v>#VALUE!</v>
      </c>
      <c r="CB178" t="e">
        <f>Nodes!H1463+"'E4!(hf"</f>
        <v>#VALUE!</v>
      </c>
      <c r="CC178" t="e">
        <f>Nodes!I1463+"'E4!(hg"</f>
        <v>#VALUE!</v>
      </c>
      <c r="CD178" t="e">
        <f>Nodes!J1463+"'E4!(hh"</f>
        <v>#VALUE!</v>
      </c>
      <c r="CE178" t="e">
        <f>Nodes!K1463+"'E4!(hi"</f>
        <v>#VALUE!</v>
      </c>
      <c r="CF178" t="e">
        <f>Nodes!L1463+"'E4!(hj"</f>
        <v>#VALUE!</v>
      </c>
      <c r="CG178" t="e">
        <f>Nodes!M1463+"'E4!(hk"</f>
        <v>#VALUE!</v>
      </c>
      <c r="CH178" t="e">
        <f>Nodes!N1463+"'E4!(hl"</f>
        <v>#VALUE!</v>
      </c>
      <c r="CI178" t="e">
        <f>Nodes!O1463+"'E4!(hm"</f>
        <v>#VALUE!</v>
      </c>
      <c r="CJ178" t="e">
        <f>Nodes!P1463+"'E4!(hn"</f>
        <v>#VALUE!</v>
      </c>
      <c r="CK178" t="e">
        <f>Nodes!Q1463+"'E4!(ho"</f>
        <v>#VALUE!</v>
      </c>
      <c r="CL178" t="e">
        <f>Nodes!R1463+"'E4!(hp"</f>
        <v>#VALUE!</v>
      </c>
      <c r="CM178" t="e">
        <f>Nodes!S1463+"'E4!(hq"</f>
        <v>#VALUE!</v>
      </c>
      <c r="CN178" t="e">
        <f>Nodes!T1463+"'E4!(hr"</f>
        <v>#VALUE!</v>
      </c>
      <c r="CO178" s="550" t="e">
        <f>Nodes!U1463+"'E4!(hs"</f>
        <v>#VALUE!</v>
      </c>
      <c r="CP178" t="e">
        <f>Nodes!V1463+"'E4!(ht"</f>
        <v>#VALUE!</v>
      </c>
      <c r="CQ178" t="e">
        <f>Nodes!W1463+"'E4!(hu"</f>
        <v>#VALUE!</v>
      </c>
      <c r="CR178" t="e">
        <f>Nodes!X1463+"'E4!(hv"</f>
        <v>#VALUE!</v>
      </c>
      <c r="CS178" t="e">
        <f>Nodes!Y1463+"'E4!(hw"</f>
        <v>#VALUE!</v>
      </c>
      <c r="CT178" t="e">
        <f>Nodes!Z1463+"'E4!(hx"</f>
        <v>#VALUE!</v>
      </c>
      <c r="CU178" t="e">
        <f>Nodes!AA1463+"'E4!(hy"</f>
        <v>#VALUE!</v>
      </c>
      <c r="CV178" t="e">
        <f>Nodes!AB1463+"'E4!(hz"</f>
        <v>#VALUE!</v>
      </c>
      <c r="CW178" t="e">
        <f>Nodes!AC1463+"'E4!(h{"</f>
        <v>#VALUE!</v>
      </c>
      <c r="CX178" t="e">
        <f>Nodes!A1464+"'E4!(h|"</f>
        <v>#VALUE!</v>
      </c>
      <c r="CY178" t="e">
        <f>Nodes!B1464+"'E4!(h}"</f>
        <v>#VALUE!</v>
      </c>
      <c r="CZ178" t="e">
        <f>Nodes!C1464+"'E4!(h~"</f>
        <v>#VALUE!</v>
      </c>
      <c r="DA178" t="e">
        <f>Nodes!D1464+"'E4!(i#"</f>
        <v>#VALUE!</v>
      </c>
      <c r="DB178" t="e">
        <f>Nodes!E1464+"'E4!(i$"</f>
        <v>#VALUE!</v>
      </c>
      <c r="DC178" t="e">
        <f>Nodes!F1464+"'E4!(i%"</f>
        <v>#VALUE!</v>
      </c>
      <c r="DD178" t="e">
        <f>Nodes!G1464+"'E4!(i&amp;"</f>
        <v>#VALUE!</v>
      </c>
      <c r="DE178" t="e">
        <f>Nodes!H1464+"'E4!(i'"</f>
        <v>#VALUE!</v>
      </c>
      <c r="DF178" t="e">
        <f>Nodes!I1464+"'E4!(i("</f>
        <v>#VALUE!</v>
      </c>
      <c r="DG178" t="e">
        <f>Nodes!J1464+"'E4!(i)"</f>
        <v>#VALUE!</v>
      </c>
      <c r="DH178" t="e">
        <f>Nodes!K1464+"'E4!(i."</f>
        <v>#VALUE!</v>
      </c>
      <c r="DI178" t="e">
        <f>Nodes!L1464+"'E4!(i/"</f>
        <v>#VALUE!</v>
      </c>
      <c r="DJ178" t="e">
        <f>Nodes!M1464+"'E4!(i0"</f>
        <v>#VALUE!</v>
      </c>
      <c r="DK178" t="e">
        <f>Nodes!N1464+"'E4!(i1"</f>
        <v>#VALUE!</v>
      </c>
      <c r="DL178" t="e">
        <f>Nodes!O1464+"'E4!(i2"</f>
        <v>#VALUE!</v>
      </c>
      <c r="DM178" t="e">
        <f>Nodes!P1464+"'E4!(i3"</f>
        <v>#VALUE!</v>
      </c>
      <c r="DN178" t="e">
        <f>Nodes!Q1464+"'E4!(i4"</f>
        <v>#VALUE!</v>
      </c>
      <c r="DO178" t="e">
        <f>Nodes!R1464+"'E4!(i5"</f>
        <v>#VALUE!</v>
      </c>
      <c r="DP178" t="e">
        <f>Nodes!S1464+"'E4!(i6"</f>
        <v>#VALUE!</v>
      </c>
      <c r="DQ178" t="e">
        <f>Nodes!T1464+"'E4!(i7"</f>
        <v>#VALUE!</v>
      </c>
      <c r="DR178" s="550" t="e">
        <f>Nodes!U1464+"'E4!(i8"</f>
        <v>#VALUE!</v>
      </c>
      <c r="DS178" t="e">
        <f>Nodes!V1464+"'E4!(i9"</f>
        <v>#VALUE!</v>
      </c>
      <c r="DT178" t="e">
        <f>Nodes!W1464+"'E4!(i:"</f>
        <v>#VALUE!</v>
      </c>
      <c r="DU178" t="e">
        <f>Nodes!X1464+"'E4!(i;"</f>
        <v>#VALUE!</v>
      </c>
      <c r="DV178" t="e">
        <f>Nodes!Y1464+"'E4!(i&lt;"</f>
        <v>#VALUE!</v>
      </c>
      <c r="DW178" t="e">
        <f>Nodes!Z1464+"'E4!(i="</f>
        <v>#VALUE!</v>
      </c>
      <c r="DX178" t="e">
        <f>Nodes!AA1464+"'E4!(i&gt;"</f>
        <v>#VALUE!</v>
      </c>
      <c r="DY178" t="e">
        <f>Nodes!AB1464+"'E4!(i?"</f>
        <v>#VALUE!</v>
      </c>
      <c r="DZ178" t="e">
        <f>Nodes!AC1464+"'E4!(i@"</f>
        <v>#VALUE!</v>
      </c>
      <c r="EA178" t="e">
        <f>Nodes!A1465+"'E4!(iA"</f>
        <v>#VALUE!</v>
      </c>
      <c r="EB178" t="e">
        <f>Nodes!B1465+"'E4!(iB"</f>
        <v>#VALUE!</v>
      </c>
      <c r="EC178" t="e">
        <f>Nodes!C1465+"'E4!(iC"</f>
        <v>#VALUE!</v>
      </c>
      <c r="ED178" t="e">
        <f>Nodes!D1465+"'E4!(iD"</f>
        <v>#VALUE!</v>
      </c>
      <c r="EE178" t="e">
        <f>Nodes!E1465+"'E4!(iE"</f>
        <v>#VALUE!</v>
      </c>
      <c r="EF178" t="e">
        <f>Nodes!F1465+"'E4!(iF"</f>
        <v>#VALUE!</v>
      </c>
      <c r="EG178" t="e">
        <f>Nodes!G1465+"'E4!(iG"</f>
        <v>#VALUE!</v>
      </c>
      <c r="EH178" t="e">
        <f>Nodes!H1465+"'E4!(iH"</f>
        <v>#VALUE!</v>
      </c>
      <c r="EI178" t="e">
        <f>Nodes!I1465+"'E4!(iI"</f>
        <v>#VALUE!</v>
      </c>
      <c r="EJ178" t="e">
        <f>Nodes!J1465+"'E4!(iJ"</f>
        <v>#VALUE!</v>
      </c>
      <c r="EK178" t="e">
        <f>Nodes!K1465+"'E4!(iK"</f>
        <v>#VALUE!</v>
      </c>
      <c r="EL178" t="e">
        <f>Nodes!L1465+"'E4!(iL"</f>
        <v>#VALUE!</v>
      </c>
      <c r="EM178" t="e">
        <f>Nodes!M1465+"'E4!(iM"</f>
        <v>#VALUE!</v>
      </c>
      <c r="EN178" t="e">
        <f>Nodes!N1465+"'E4!(iN"</f>
        <v>#VALUE!</v>
      </c>
      <c r="EO178" t="e">
        <f>Nodes!O1465+"'E4!(iO"</f>
        <v>#VALUE!</v>
      </c>
      <c r="EP178" t="e">
        <f>Nodes!P1465+"'E4!(iP"</f>
        <v>#VALUE!</v>
      </c>
      <c r="EQ178" t="e">
        <f>Nodes!Q1465+"'E4!(iQ"</f>
        <v>#VALUE!</v>
      </c>
      <c r="ER178" t="e">
        <f>Nodes!R1465+"'E4!(iR"</f>
        <v>#VALUE!</v>
      </c>
      <c r="ES178" t="e">
        <f>Nodes!S1465+"'E4!(iS"</f>
        <v>#VALUE!</v>
      </c>
      <c r="ET178" t="e">
        <f>Nodes!T1465+"'E4!(iT"</f>
        <v>#VALUE!</v>
      </c>
      <c r="EU178" s="550" t="e">
        <f>Nodes!U1465+"'E4!(iU"</f>
        <v>#VALUE!</v>
      </c>
      <c r="EV178" t="e">
        <f>Nodes!V1465+"'E4!(iV"</f>
        <v>#VALUE!</v>
      </c>
      <c r="EW178" t="e">
        <f>Nodes!W1465+"'E4!(iW"</f>
        <v>#VALUE!</v>
      </c>
      <c r="EX178" t="e">
        <f>Nodes!X1465+"'E4!(iX"</f>
        <v>#VALUE!</v>
      </c>
      <c r="EY178" t="e">
        <f>Nodes!Y1465+"'E4!(iY"</f>
        <v>#VALUE!</v>
      </c>
      <c r="EZ178" t="e">
        <f>Nodes!Z1465+"'E4!(iZ"</f>
        <v>#VALUE!</v>
      </c>
      <c r="FA178" t="e">
        <f>Nodes!AA1465+"'E4!(i["</f>
        <v>#VALUE!</v>
      </c>
      <c r="FB178" t="e">
        <f>Nodes!AB1465+"'E4!(i\"</f>
        <v>#VALUE!</v>
      </c>
      <c r="FC178" t="e">
        <f>Nodes!AC1465+"'E4!(i]"</f>
        <v>#VALUE!</v>
      </c>
      <c r="FD178" t="e">
        <f>Nodes!A1466+"'E4!(i^"</f>
        <v>#VALUE!</v>
      </c>
      <c r="FE178" t="e">
        <f>Nodes!B1466+"'E4!(i_"</f>
        <v>#VALUE!</v>
      </c>
      <c r="FF178" t="e">
        <f>Nodes!C1466+"'E4!(i`"</f>
        <v>#VALUE!</v>
      </c>
      <c r="FG178" t="e">
        <f>Nodes!D1466+"'E4!(ia"</f>
        <v>#VALUE!</v>
      </c>
      <c r="FH178" t="e">
        <f>Nodes!E1466+"'E4!(ib"</f>
        <v>#VALUE!</v>
      </c>
      <c r="FI178" t="e">
        <f>Nodes!F1466+"'E4!(ic"</f>
        <v>#VALUE!</v>
      </c>
      <c r="FJ178" t="e">
        <f>Nodes!G1466+"'E4!(id"</f>
        <v>#VALUE!</v>
      </c>
      <c r="FK178" t="e">
        <f>Nodes!H1466+"'E4!(ie"</f>
        <v>#VALUE!</v>
      </c>
      <c r="FL178" t="e">
        <f>Nodes!I1466+"'E4!(if"</f>
        <v>#VALUE!</v>
      </c>
      <c r="FM178" t="e">
        <f>Nodes!J1466+"'E4!(ig"</f>
        <v>#VALUE!</v>
      </c>
      <c r="FN178" t="e">
        <f>Nodes!K1466+"'E4!(ih"</f>
        <v>#VALUE!</v>
      </c>
      <c r="FO178" t="e">
        <f>Nodes!L1466+"'E4!(ii"</f>
        <v>#VALUE!</v>
      </c>
      <c r="FP178" t="e">
        <f>Nodes!M1466+"'E4!(ij"</f>
        <v>#VALUE!</v>
      </c>
      <c r="FQ178" t="e">
        <f>Nodes!N1466+"'E4!(ik"</f>
        <v>#VALUE!</v>
      </c>
      <c r="FR178" t="e">
        <f>Nodes!O1466+"'E4!(il"</f>
        <v>#VALUE!</v>
      </c>
      <c r="FS178" t="e">
        <f>Nodes!P1466+"'E4!(im"</f>
        <v>#VALUE!</v>
      </c>
      <c r="FT178" t="e">
        <f>Nodes!Q1466+"'E4!(in"</f>
        <v>#VALUE!</v>
      </c>
      <c r="FU178" t="e">
        <f>Nodes!R1466+"'E4!(io"</f>
        <v>#VALUE!</v>
      </c>
      <c r="FV178" t="e">
        <f>Nodes!S1466+"'E4!(ip"</f>
        <v>#VALUE!</v>
      </c>
      <c r="FW178" t="e">
        <f>Nodes!T1466+"'E4!(iq"</f>
        <v>#VALUE!</v>
      </c>
      <c r="FX178" s="550" t="e">
        <f>Nodes!U1466+"'E4!(ir"</f>
        <v>#VALUE!</v>
      </c>
      <c r="FY178" t="e">
        <f>Nodes!V1466+"'E4!(is"</f>
        <v>#VALUE!</v>
      </c>
      <c r="FZ178" t="e">
        <f>Nodes!W1466+"'E4!(it"</f>
        <v>#VALUE!</v>
      </c>
      <c r="GA178" t="e">
        <f>Nodes!X1466+"'E4!(iu"</f>
        <v>#VALUE!</v>
      </c>
      <c r="GB178" t="e">
        <f>Nodes!Y1466+"'E4!(iv"</f>
        <v>#VALUE!</v>
      </c>
      <c r="GC178" t="e">
        <f>Nodes!Z1466+"'E4!(iw"</f>
        <v>#VALUE!</v>
      </c>
      <c r="GD178" t="e">
        <f>Nodes!AA1466+"'E4!(ix"</f>
        <v>#VALUE!</v>
      </c>
      <c r="GE178" t="e">
        <f>Nodes!AB1466+"'E4!(iy"</f>
        <v>#VALUE!</v>
      </c>
      <c r="GF178" t="e">
        <f>Nodes!AC1466+"'E4!(iz"</f>
        <v>#VALUE!</v>
      </c>
      <c r="GG178" t="e">
        <f>Nodes!A1467+"'E4!(i{"</f>
        <v>#VALUE!</v>
      </c>
      <c r="GH178" t="e">
        <f>Nodes!B1467+"'E4!(i|"</f>
        <v>#VALUE!</v>
      </c>
      <c r="GI178" t="e">
        <f>Nodes!C1467+"'E4!(i}"</f>
        <v>#VALUE!</v>
      </c>
      <c r="GJ178" t="e">
        <f>Nodes!D1467+"'E4!(i~"</f>
        <v>#VALUE!</v>
      </c>
      <c r="GK178" t="e">
        <f>Nodes!E1467+"'E4!(j#"</f>
        <v>#VALUE!</v>
      </c>
      <c r="GL178" t="e">
        <f>Nodes!F1467+"'E4!(j$"</f>
        <v>#VALUE!</v>
      </c>
      <c r="GM178" t="e">
        <f>Nodes!G1467+"'E4!(j%"</f>
        <v>#VALUE!</v>
      </c>
      <c r="GN178" t="e">
        <f>Nodes!H1467+"'E4!(j&amp;"</f>
        <v>#VALUE!</v>
      </c>
      <c r="GO178" t="e">
        <f>Nodes!I1467+"'E4!(j'"</f>
        <v>#VALUE!</v>
      </c>
      <c r="GP178" t="e">
        <f>Nodes!J1467+"'E4!(j("</f>
        <v>#VALUE!</v>
      </c>
      <c r="GQ178" t="e">
        <f>Nodes!K1467+"'E4!(j)"</f>
        <v>#VALUE!</v>
      </c>
      <c r="GR178" t="e">
        <f>Nodes!L1467+"'E4!(j."</f>
        <v>#VALUE!</v>
      </c>
      <c r="GS178" t="e">
        <f>Nodes!M1467+"'E4!(j/"</f>
        <v>#VALUE!</v>
      </c>
      <c r="GT178" t="e">
        <f>Nodes!N1467+"'E4!(j0"</f>
        <v>#VALUE!</v>
      </c>
      <c r="GU178" t="e">
        <f>Nodes!O1467+"'E4!(j1"</f>
        <v>#VALUE!</v>
      </c>
      <c r="GV178" t="e">
        <f>Nodes!P1467+"'E4!(j2"</f>
        <v>#VALUE!</v>
      </c>
      <c r="GW178" t="e">
        <f>Nodes!Q1467+"'E4!(j3"</f>
        <v>#VALUE!</v>
      </c>
      <c r="GX178" t="e">
        <f>Nodes!R1467+"'E4!(j4"</f>
        <v>#VALUE!</v>
      </c>
      <c r="GY178" t="e">
        <f>Nodes!S1467+"'E4!(j5"</f>
        <v>#VALUE!</v>
      </c>
      <c r="GZ178" t="e">
        <f>Nodes!T1467+"'E4!(j6"</f>
        <v>#VALUE!</v>
      </c>
      <c r="HA178" s="550" t="e">
        <f>Nodes!U1467+"'E4!(j7"</f>
        <v>#VALUE!</v>
      </c>
      <c r="HB178" t="e">
        <f>Nodes!V1467+"'E4!(j8"</f>
        <v>#VALUE!</v>
      </c>
      <c r="HC178" t="e">
        <f>Nodes!W1467+"'E4!(j9"</f>
        <v>#VALUE!</v>
      </c>
      <c r="HD178" t="e">
        <f>Nodes!X1467+"'E4!(j:"</f>
        <v>#VALUE!</v>
      </c>
      <c r="HE178" t="e">
        <f>Nodes!Y1467+"'E4!(j;"</f>
        <v>#VALUE!</v>
      </c>
      <c r="HF178" t="e">
        <f>Nodes!Z1467+"'E4!(j&lt;"</f>
        <v>#VALUE!</v>
      </c>
      <c r="HG178" t="e">
        <f>Nodes!AA1467+"'E4!(j="</f>
        <v>#VALUE!</v>
      </c>
      <c r="HH178" t="e">
        <f>Nodes!AB1467+"'E4!(j&gt;"</f>
        <v>#VALUE!</v>
      </c>
      <c r="HI178" t="e">
        <f>Nodes!AC1467+"'E4!(j?"</f>
        <v>#VALUE!</v>
      </c>
      <c r="HJ178" t="e">
        <f>Nodes!A1468+"'E4!(j@"</f>
        <v>#VALUE!</v>
      </c>
      <c r="HK178" t="e">
        <f>Nodes!B1468+"'E4!(jA"</f>
        <v>#VALUE!</v>
      </c>
      <c r="HL178" t="e">
        <f>Nodes!C1468+"'E4!(jB"</f>
        <v>#VALUE!</v>
      </c>
      <c r="HM178" t="e">
        <f>Nodes!D1468+"'E4!(jC"</f>
        <v>#VALUE!</v>
      </c>
      <c r="HN178" t="e">
        <f>Nodes!E1468+"'E4!(jD"</f>
        <v>#VALUE!</v>
      </c>
      <c r="HO178" t="e">
        <f>Nodes!F1468+"'E4!(jE"</f>
        <v>#VALUE!</v>
      </c>
      <c r="HP178" t="e">
        <f>Nodes!G1468+"'E4!(jF"</f>
        <v>#VALUE!</v>
      </c>
      <c r="HQ178" t="e">
        <f>Nodes!H1468+"'E4!(jG"</f>
        <v>#VALUE!</v>
      </c>
      <c r="HR178" t="e">
        <f>Nodes!I1468+"'E4!(jH"</f>
        <v>#VALUE!</v>
      </c>
      <c r="HS178" t="e">
        <f>Nodes!J1468+"'E4!(jI"</f>
        <v>#VALUE!</v>
      </c>
      <c r="HT178" t="e">
        <f>Nodes!K1468+"'E4!(jJ"</f>
        <v>#VALUE!</v>
      </c>
      <c r="HU178" t="e">
        <f>Nodes!L1468+"'E4!(jK"</f>
        <v>#VALUE!</v>
      </c>
      <c r="HV178" t="e">
        <f>Nodes!M1468+"'E4!(jL"</f>
        <v>#VALUE!</v>
      </c>
      <c r="HW178" t="e">
        <f>Nodes!N1468+"'E4!(jM"</f>
        <v>#VALUE!</v>
      </c>
      <c r="HX178" t="e">
        <f>Nodes!O1468+"'E4!(jN"</f>
        <v>#VALUE!</v>
      </c>
      <c r="HY178" t="e">
        <f>Nodes!P1468+"'E4!(jO"</f>
        <v>#VALUE!</v>
      </c>
      <c r="HZ178" t="e">
        <f>Nodes!Q1468+"'E4!(jP"</f>
        <v>#VALUE!</v>
      </c>
      <c r="IA178" t="e">
        <f>Nodes!R1468+"'E4!(jQ"</f>
        <v>#VALUE!</v>
      </c>
      <c r="IB178" t="e">
        <f>Nodes!S1468+"'E4!(jR"</f>
        <v>#VALUE!</v>
      </c>
      <c r="IC178" t="e">
        <f>Nodes!T1468+"'E4!(jS"</f>
        <v>#VALUE!</v>
      </c>
      <c r="ID178" s="550" t="e">
        <f>Nodes!U1468+"'E4!(jT"</f>
        <v>#VALUE!</v>
      </c>
      <c r="IE178" t="e">
        <f>Nodes!V1468+"'E4!(jU"</f>
        <v>#VALUE!</v>
      </c>
      <c r="IF178" t="e">
        <f>Nodes!W1468+"'E4!(jV"</f>
        <v>#VALUE!</v>
      </c>
      <c r="IG178" t="e">
        <f>Nodes!X1468+"'E4!(jW"</f>
        <v>#VALUE!</v>
      </c>
      <c r="IH178" t="e">
        <f>Nodes!Y1468+"'E4!(jX"</f>
        <v>#VALUE!</v>
      </c>
      <c r="II178" t="e">
        <f>Nodes!Z1468+"'E4!(jY"</f>
        <v>#VALUE!</v>
      </c>
      <c r="IJ178" t="e">
        <f>Nodes!AA1468+"'E4!(jZ"</f>
        <v>#VALUE!</v>
      </c>
      <c r="IK178" t="e">
        <f>Nodes!AB1468+"'E4!(j["</f>
        <v>#VALUE!</v>
      </c>
      <c r="IL178" t="e">
        <f>Nodes!AC1468+"'E4!(j\"</f>
        <v>#VALUE!</v>
      </c>
      <c r="IM178" t="e">
        <f>Nodes!A1469+"'E4!(j]"</f>
        <v>#VALUE!</v>
      </c>
      <c r="IN178" t="e">
        <f>Nodes!B1469+"'E4!(j^"</f>
        <v>#VALUE!</v>
      </c>
      <c r="IO178" t="e">
        <f>Nodes!C1469+"'E4!(j_"</f>
        <v>#VALUE!</v>
      </c>
      <c r="IP178" t="e">
        <f>Nodes!D1469+"'E4!(j`"</f>
        <v>#VALUE!</v>
      </c>
      <c r="IQ178" t="e">
        <f>Nodes!E1469+"'E4!(ja"</f>
        <v>#VALUE!</v>
      </c>
      <c r="IR178" t="e">
        <f>Nodes!F1469+"'E4!(jb"</f>
        <v>#VALUE!</v>
      </c>
      <c r="IS178" t="e">
        <f>Nodes!G1469+"'E4!(jc"</f>
        <v>#VALUE!</v>
      </c>
      <c r="IT178" t="e">
        <f>Nodes!H1469+"'E4!(jd"</f>
        <v>#VALUE!</v>
      </c>
      <c r="IU178" t="e">
        <f>Nodes!I1469+"'E4!(je"</f>
        <v>#VALUE!</v>
      </c>
      <c r="IV178" t="e">
        <f>Nodes!J1469+"'E4!(jf"</f>
        <v>#VALUE!</v>
      </c>
    </row>
    <row r="179" spans="6:256">
      <c r="F179" t="e">
        <f>Nodes!K1469+"'E4!(jg"</f>
        <v>#VALUE!</v>
      </c>
      <c r="G179" t="e">
        <f>Nodes!L1469+"'E4!(jh"</f>
        <v>#VALUE!</v>
      </c>
      <c r="H179" t="e">
        <f>Nodes!M1469+"'E4!(ji"</f>
        <v>#VALUE!</v>
      </c>
      <c r="I179" t="e">
        <f>Nodes!N1469+"'E4!(jj"</f>
        <v>#VALUE!</v>
      </c>
      <c r="J179" t="e">
        <f>Nodes!O1469+"'E4!(jk"</f>
        <v>#VALUE!</v>
      </c>
      <c r="K179" t="e">
        <f>Nodes!P1469+"'E4!(jl"</f>
        <v>#VALUE!</v>
      </c>
      <c r="L179" t="e">
        <f>Nodes!Q1469+"'E4!(jm"</f>
        <v>#VALUE!</v>
      </c>
      <c r="M179" t="e">
        <f>Nodes!R1469+"'E4!(jn"</f>
        <v>#VALUE!</v>
      </c>
      <c r="N179" t="e">
        <f>Nodes!S1469+"'E4!(jo"</f>
        <v>#VALUE!</v>
      </c>
      <c r="O179" t="e">
        <f>Nodes!T1469+"'E4!(jp"</f>
        <v>#VALUE!</v>
      </c>
      <c r="P179" s="550" t="e">
        <f>Nodes!U1469+"'E4!(jq"</f>
        <v>#VALUE!</v>
      </c>
      <c r="Q179" t="e">
        <f>Nodes!V1469+"'E4!(jr"</f>
        <v>#VALUE!</v>
      </c>
      <c r="R179" t="e">
        <f>Nodes!W1469+"'E4!(js"</f>
        <v>#VALUE!</v>
      </c>
      <c r="S179" t="e">
        <f>Nodes!X1469+"'E4!(jt"</f>
        <v>#VALUE!</v>
      </c>
      <c r="T179" t="e">
        <f>Nodes!Y1469+"'E4!(ju"</f>
        <v>#VALUE!</v>
      </c>
      <c r="U179" t="e">
        <f>Nodes!Z1469+"'E4!(jv"</f>
        <v>#VALUE!</v>
      </c>
      <c r="V179" t="e">
        <f>Nodes!AA1469+"'E4!(jw"</f>
        <v>#VALUE!</v>
      </c>
      <c r="W179" t="e">
        <f>Nodes!AB1469+"'E4!(jx"</f>
        <v>#VALUE!</v>
      </c>
      <c r="X179" t="e">
        <f>Nodes!AC1469+"'E4!(jy"</f>
        <v>#VALUE!</v>
      </c>
      <c r="Y179" t="e">
        <f>Nodes!A1470+"'E4!(jz"</f>
        <v>#VALUE!</v>
      </c>
      <c r="Z179" t="e">
        <f>Nodes!B1470+"'E4!(j{"</f>
        <v>#VALUE!</v>
      </c>
      <c r="AA179" t="e">
        <f>Nodes!C1470+"'E4!(j|"</f>
        <v>#VALUE!</v>
      </c>
      <c r="AB179" t="e">
        <f>Nodes!D1470+"'E4!(j}"</f>
        <v>#VALUE!</v>
      </c>
      <c r="AC179" t="e">
        <f>Nodes!E1470+"'E4!(j~"</f>
        <v>#VALUE!</v>
      </c>
      <c r="AD179" t="e">
        <f>Nodes!F1470+"'E4!(k#"</f>
        <v>#VALUE!</v>
      </c>
      <c r="AE179" t="e">
        <f>Nodes!G1470+"'E4!(k$"</f>
        <v>#VALUE!</v>
      </c>
      <c r="AF179" t="e">
        <f>Nodes!H1470+"'E4!(k%"</f>
        <v>#VALUE!</v>
      </c>
      <c r="AG179" t="e">
        <f>Nodes!I1470+"'E4!(k&amp;"</f>
        <v>#VALUE!</v>
      </c>
      <c r="AH179" t="e">
        <f>Nodes!J1470+"'E4!(k'"</f>
        <v>#VALUE!</v>
      </c>
      <c r="AI179" t="e">
        <f>Nodes!K1470+"'E4!(k("</f>
        <v>#VALUE!</v>
      </c>
      <c r="AJ179" t="e">
        <f>Nodes!L1470+"'E4!(k)"</f>
        <v>#VALUE!</v>
      </c>
      <c r="AK179" t="e">
        <f>Nodes!M1470+"'E4!(k."</f>
        <v>#VALUE!</v>
      </c>
      <c r="AL179" t="e">
        <f>Nodes!N1470+"'E4!(k/"</f>
        <v>#VALUE!</v>
      </c>
      <c r="AM179" t="e">
        <f>Nodes!O1470+"'E4!(k0"</f>
        <v>#VALUE!</v>
      </c>
      <c r="AN179" t="e">
        <f>Nodes!P1470+"'E4!(k1"</f>
        <v>#VALUE!</v>
      </c>
      <c r="AO179" t="e">
        <f>Nodes!Q1470+"'E4!(k2"</f>
        <v>#VALUE!</v>
      </c>
      <c r="AP179" t="e">
        <f>Nodes!R1470+"'E4!(k3"</f>
        <v>#VALUE!</v>
      </c>
      <c r="AQ179" t="e">
        <f>Nodes!S1470+"'E4!(k4"</f>
        <v>#VALUE!</v>
      </c>
      <c r="AR179" t="e">
        <f>Nodes!T1470+"'E4!(k5"</f>
        <v>#VALUE!</v>
      </c>
      <c r="AS179" s="550" t="e">
        <f>Nodes!U1470+"'E4!(k6"</f>
        <v>#VALUE!</v>
      </c>
      <c r="AT179" t="e">
        <f>Nodes!V1470+"'E4!(k7"</f>
        <v>#VALUE!</v>
      </c>
      <c r="AU179" t="e">
        <f>Nodes!W1470+"'E4!(k8"</f>
        <v>#VALUE!</v>
      </c>
      <c r="AV179" t="e">
        <f>Nodes!X1470+"'E4!(k9"</f>
        <v>#VALUE!</v>
      </c>
      <c r="AW179" t="e">
        <f>Nodes!Y1470+"'E4!(k:"</f>
        <v>#VALUE!</v>
      </c>
      <c r="AX179" t="e">
        <f>Nodes!Z1470+"'E4!(k;"</f>
        <v>#VALUE!</v>
      </c>
      <c r="AY179" t="e">
        <f>Nodes!AA1470+"'E4!(k&lt;"</f>
        <v>#VALUE!</v>
      </c>
      <c r="AZ179" t="e">
        <f>Nodes!AB1470+"'E4!(k="</f>
        <v>#VALUE!</v>
      </c>
      <c r="BA179" t="e">
        <f>Nodes!AC1470+"'E4!(k&gt;"</f>
        <v>#VALUE!</v>
      </c>
      <c r="BB179" t="e">
        <f>Nodes!A1471+"'E4!(k?"</f>
        <v>#VALUE!</v>
      </c>
      <c r="BC179" t="e">
        <f>Nodes!B1471+"'E4!(k@"</f>
        <v>#VALUE!</v>
      </c>
      <c r="BD179" t="e">
        <f>Nodes!C1471+"'E4!(kA"</f>
        <v>#VALUE!</v>
      </c>
      <c r="BE179" t="e">
        <f>Nodes!D1471+"'E4!(kB"</f>
        <v>#VALUE!</v>
      </c>
      <c r="BF179" t="e">
        <f>Nodes!E1471+"'E4!(kC"</f>
        <v>#VALUE!</v>
      </c>
      <c r="BG179" t="e">
        <f>Nodes!F1471+"'E4!(kD"</f>
        <v>#VALUE!</v>
      </c>
      <c r="BH179" t="e">
        <f>Nodes!G1471+"'E4!(kE"</f>
        <v>#VALUE!</v>
      </c>
      <c r="BI179" t="e">
        <f>Nodes!H1471+"'E4!(kF"</f>
        <v>#VALUE!</v>
      </c>
      <c r="BJ179" t="e">
        <f>Nodes!I1471+"'E4!(kG"</f>
        <v>#VALUE!</v>
      </c>
      <c r="BK179" t="e">
        <f>Nodes!J1471+"'E4!(kH"</f>
        <v>#VALUE!</v>
      </c>
      <c r="BL179" t="e">
        <f>Nodes!K1471+"'E4!(kI"</f>
        <v>#VALUE!</v>
      </c>
      <c r="BM179" t="e">
        <f>Nodes!L1471+"'E4!(kJ"</f>
        <v>#VALUE!</v>
      </c>
      <c r="BN179" t="e">
        <f>Nodes!M1471+"'E4!(kK"</f>
        <v>#VALUE!</v>
      </c>
      <c r="BO179" t="e">
        <f>Nodes!N1471+"'E4!(kL"</f>
        <v>#VALUE!</v>
      </c>
      <c r="BP179" t="e">
        <f>Nodes!O1471+"'E4!(kM"</f>
        <v>#VALUE!</v>
      </c>
      <c r="BQ179" t="e">
        <f>Nodes!P1471+"'E4!(kN"</f>
        <v>#VALUE!</v>
      </c>
      <c r="BR179" t="e">
        <f>Nodes!Q1471+"'E4!(kO"</f>
        <v>#VALUE!</v>
      </c>
      <c r="BS179" t="e">
        <f>Nodes!R1471+"'E4!(kP"</f>
        <v>#VALUE!</v>
      </c>
      <c r="BT179" t="e">
        <f>Nodes!S1471+"'E4!(kQ"</f>
        <v>#VALUE!</v>
      </c>
      <c r="BU179" t="e">
        <f>Nodes!T1471+"'E4!(kR"</f>
        <v>#VALUE!</v>
      </c>
      <c r="BV179" s="550" t="e">
        <f>Nodes!U1471+"'E4!(kS"</f>
        <v>#VALUE!</v>
      </c>
      <c r="BW179" t="e">
        <f>Nodes!V1471+"'E4!(kT"</f>
        <v>#VALUE!</v>
      </c>
      <c r="BX179" t="e">
        <f>Nodes!W1471+"'E4!(kU"</f>
        <v>#VALUE!</v>
      </c>
      <c r="BY179" t="e">
        <f>Nodes!X1471+"'E4!(kV"</f>
        <v>#VALUE!</v>
      </c>
      <c r="BZ179" t="e">
        <f>Nodes!Y1471+"'E4!(kW"</f>
        <v>#VALUE!</v>
      </c>
      <c r="CA179" t="e">
        <f>Nodes!Z1471+"'E4!(kX"</f>
        <v>#VALUE!</v>
      </c>
      <c r="CB179" t="e">
        <f>Nodes!AA1471+"'E4!(kY"</f>
        <v>#VALUE!</v>
      </c>
      <c r="CC179" t="e">
        <f>Nodes!AB1471+"'E4!(kZ"</f>
        <v>#VALUE!</v>
      </c>
      <c r="CD179" t="e">
        <f>Nodes!AC1471+"'E4!(k["</f>
        <v>#VALUE!</v>
      </c>
      <c r="CE179" t="e">
        <f>Nodes!A1472+"'E4!(k\"</f>
        <v>#VALUE!</v>
      </c>
      <c r="CF179" t="e">
        <f>Nodes!B1472+"'E4!(k]"</f>
        <v>#VALUE!</v>
      </c>
      <c r="CG179" t="e">
        <f>Nodes!C1472+"'E4!(k^"</f>
        <v>#VALUE!</v>
      </c>
      <c r="CH179" t="e">
        <f>Nodes!D1472+"'E4!(k_"</f>
        <v>#VALUE!</v>
      </c>
      <c r="CI179" t="e">
        <f>Nodes!E1472+"'E4!(k`"</f>
        <v>#VALUE!</v>
      </c>
      <c r="CJ179" t="e">
        <f>Nodes!F1472+"'E4!(ka"</f>
        <v>#VALUE!</v>
      </c>
      <c r="CK179" t="e">
        <f>Nodes!G1472+"'E4!(kb"</f>
        <v>#VALUE!</v>
      </c>
      <c r="CL179" t="e">
        <f>Nodes!H1472+"'E4!(kc"</f>
        <v>#VALUE!</v>
      </c>
      <c r="CM179" t="e">
        <f>Nodes!I1472+"'E4!(kd"</f>
        <v>#VALUE!</v>
      </c>
      <c r="CN179" t="e">
        <f>Nodes!J1472+"'E4!(ke"</f>
        <v>#VALUE!</v>
      </c>
      <c r="CO179" t="e">
        <f>Nodes!K1472+"'E4!(kf"</f>
        <v>#VALUE!</v>
      </c>
      <c r="CP179" t="e">
        <f>Nodes!L1472+"'E4!(kg"</f>
        <v>#VALUE!</v>
      </c>
      <c r="CQ179" t="e">
        <f>Nodes!M1472+"'E4!(kh"</f>
        <v>#VALUE!</v>
      </c>
      <c r="CR179" t="e">
        <f>Nodes!N1472+"'E4!(ki"</f>
        <v>#VALUE!</v>
      </c>
      <c r="CS179" t="e">
        <f>Nodes!O1472+"'E4!(kj"</f>
        <v>#VALUE!</v>
      </c>
      <c r="CT179" t="e">
        <f>Nodes!P1472+"'E4!(kk"</f>
        <v>#VALUE!</v>
      </c>
      <c r="CU179" t="e">
        <f>Nodes!Q1472+"'E4!(kl"</f>
        <v>#VALUE!</v>
      </c>
      <c r="CV179" t="e">
        <f>Nodes!R1472+"'E4!(km"</f>
        <v>#VALUE!</v>
      </c>
      <c r="CW179" t="e">
        <f>Nodes!S1472+"'E4!(kn"</f>
        <v>#VALUE!</v>
      </c>
      <c r="CX179" t="e">
        <f>Nodes!T1472+"'E4!(ko"</f>
        <v>#VALUE!</v>
      </c>
      <c r="CY179" s="550" t="e">
        <f>Nodes!U1472+"'E4!(kp"</f>
        <v>#VALUE!</v>
      </c>
      <c r="CZ179" t="e">
        <f>Nodes!V1472+"'E4!(kq"</f>
        <v>#VALUE!</v>
      </c>
      <c r="DA179" t="e">
        <f>Nodes!W1472+"'E4!(kr"</f>
        <v>#VALUE!</v>
      </c>
      <c r="DB179" t="e">
        <f>Nodes!X1472+"'E4!(ks"</f>
        <v>#VALUE!</v>
      </c>
      <c r="DC179" t="e">
        <f>Nodes!Y1472+"'E4!(kt"</f>
        <v>#VALUE!</v>
      </c>
      <c r="DD179" t="e">
        <f>Nodes!Z1472+"'E4!(ku"</f>
        <v>#VALUE!</v>
      </c>
      <c r="DE179" t="e">
        <f>Nodes!AA1472+"'E4!(kv"</f>
        <v>#VALUE!</v>
      </c>
      <c r="DF179" t="e">
        <f>Nodes!AB1472+"'E4!(kw"</f>
        <v>#VALUE!</v>
      </c>
      <c r="DG179" t="e">
        <f>Nodes!AC1472+"'E4!(kx"</f>
        <v>#VALUE!</v>
      </c>
      <c r="DH179" t="e">
        <f>Nodes!A1473+"'E4!(ky"</f>
        <v>#VALUE!</v>
      </c>
      <c r="DI179" t="e">
        <f>Nodes!B1473+"'E4!(kz"</f>
        <v>#VALUE!</v>
      </c>
      <c r="DJ179" t="e">
        <f>Nodes!C1473+"'E4!(k{"</f>
        <v>#VALUE!</v>
      </c>
      <c r="DK179" t="e">
        <f>Nodes!D1473+"'E4!(k|"</f>
        <v>#VALUE!</v>
      </c>
      <c r="DL179" t="e">
        <f>Nodes!E1473+"'E4!(k}"</f>
        <v>#VALUE!</v>
      </c>
      <c r="DM179" t="e">
        <f>Nodes!F1473+"'E4!(k~"</f>
        <v>#VALUE!</v>
      </c>
      <c r="DN179" t="e">
        <f>Nodes!G1473+"'E4!(l#"</f>
        <v>#VALUE!</v>
      </c>
      <c r="DO179" t="e">
        <f>Nodes!H1473+"'E4!(l$"</f>
        <v>#VALUE!</v>
      </c>
      <c r="DP179" t="e">
        <f>Nodes!I1473+"'E4!(l%"</f>
        <v>#VALUE!</v>
      </c>
      <c r="DQ179" t="e">
        <f>Nodes!J1473+"'E4!(l&amp;"</f>
        <v>#VALUE!</v>
      </c>
      <c r="DR179" t="e">
        <f>Nodes!K1473+"'E4!(l'"</f>
        <v>#VALUE!</v>
      </c>
      <c r="DS179" t="e">
        <f>Nodes!L1473+"'E4!(l("</f>
        <v>#VALUE!</v>
      </c>
      <c r="DT179" t="e">
        <f>Nodes!M1473+"'E4!(l)"</f>
        <v>#VALUE!</v>
      </c>
      <c r="DU179" t="e">
        <f>Nodes!N1473+"'E4!(l."</f>
        <v>#VALUE!</v>
      </c>
      <c r="DV179" t="e">
        <f>Nodes!O1473+"'E4!(l/"</f>
        <v>#VALUE!</v>
      </c>
      <c r="DW179" t="e">
        <f>Nodes!P1473+"'E4!(l0"</f>
        <v>#VALUE!</v>
      </c>
      <c r="DX179" t="e">
        <f>Nodes!Q1473+"'E4!(l1"</f>
        <v>#VALUE!</v>
      </c>
      <c r="DY179" t="e">
        <f>Nodes!R1473+"'E4!(l2"</f>
        <v>#VALUE!</v>
      </c>
      <c r="DZ179" t="e">
        <f>Nodes!S1473+"'E4!(l3"</f>
        <v>#VALUE!</v>
      </c>
      <c r="EA179" t="e">
        <f>Nodes!T1473+"'E4!(l4"</f>
        <v>#VALUE!</v>
      </c>
      <c r="EB179" s="550" t="e">
        <f>Nodes!U1473+"'E4!(l5"</f>
        <v>#VALUE!</v>
      </c>
      <c r="EC179" t="e">
        <f>Nodes!V1473+"'E4!(l6"</f>
        <v>#VALUE!</v>
      </c>
      <c r="ED179" t="e">
        <f>Nodes!W1473+"'E4!(l7"</f>
        <v>#VALUE!</v>
      </c>
      <c r="EE179" t="e">
        <f>Nodes!X1473+"'E4!(l8"</f>
        <v>#VALUE!</v>
      </c>
      <c r="EF179" t="e">
        <f>Nodes!Y1473+"'E4!(l9"</f>
        <v>#VALUE!</v>
      </c>
      <c r="EG179" t="e">
        <f>Nodes!Z1473+"'E4!(l:"</f>
        <v>#VALUE!</v>
      </c>
      <c r="EH179" t="e">
        <f>Nodes!AA1473+"'E4!(l;"</f>
        <v>#VALUE!</v>
      </c>
      <c r="EI179" t="e">
        <f>Nodes!AB1473+"'E4!(l&lt;"</f>
        <v>#VALUE!</v>
      </c>
      <c r="EJ179" t="e">
        <f>Nodes!AC1473+"'E4!(l="</f>
        <v>#VALUE!</v>
      </c>
      <c r="EK179" t="e">
        <f>Nodes!A1474+"'E4!(l&gt;"</f>
        <v>#VALUE!</v>
      </c>
      <c r="EL179" t="e">
        <f>Nodes!B1474+"'E4!(l?"</f>
        <v>#VALUE!</v>
      </c>
      <c r="EM179" t="e">
        <f>Nodes!C1474+"'E4!(l@"</f>
        <v>#VALUE!</v>
      </c>
      <c r="EN179" t="e">
        <f>Nodes!D1474+"'E4!(lA"</f>
        <v>#VALUE!</v>
      </c>
      <c r="EO179" t="e">
        <f>Nodes!E1474+"'E4!(lB"</f>
        <v>#VALUE!</v>
      </c>
      <c r="EP179" t="e">
        <f>Nodes!F1474+"'E4!(lC"</f>
        <v>#VALUE!</v>
      </c>
      <c r="EQ179" t="e">
        <f>Nodes!G1474+"'E4!(lD"</f>
        <v>#VALUE!</v>
      </c>
      <c r="ER179" t="e">
        <f>Nodes!H1474+"'E4!(lE"</f>
        <v>#VALUE!</v>
      </c>
      <c r="ES179" t="e">
        <f>Nodes!I1474+"'E4!(lF"</f>
        <v>#VALUE!</v>
      </c>
      <c r="ET179" t="e">
        <f>Nodes!J1474+"'E4!(lG"</f>
        <v>#VALUE!</v>
      </c>
      <c r="EU179" t="e">
        <f>Nodes!K1474+"'E4!(lH"</f>
        <v>#VALUE!</v>
      </c>
      <c r="EV179" t="e">
        <f>Nodes!L1474+"'E4!(lI"</f>
        <v>#VALUE!</v>
      </c>
      <c r="EW179" t="e">
        <f>Nodes!M1474+"'E4!(lJ"</f>
        <v>#VALUE!</v>
      </c>
      <c r="EX179" t="e">
        <f>Nodes!N1474+"'E4!(lK"</f>
        <v>#VALUE!</v>
      </c>
      <c r="EY179" t="e">
        <f>Nodes!O1474+"'E4!(lL"</f>
        <v>#VALUE!</v>
      </c>
      <c r="EZ179" t="e">
        <f>Nodes!P1474+"'E4!(lM"</f>
        <v>#VALUE!</v>
      </c>
      <c r="FA179" t="e">
        <f>Nodes!Q1474+"'E4!(lN"</f>
        <v>#VALUE!</v>
      </c>
      <c r="FB179" t="e">
        <f>Nodes!R1474+"'E4!(lO"</f>
        <v>#VALUE!</v>
      </c>
      <c r="FC179" t="e">
        <f>Nodes!S1474+"'E4!(lP"</f>
        <v>#VALUE!</v>
      </c>
      <c r="FD179" t="e">
        <f>Nodes!T1474+"'E4!(lQ"</f>
        <v>#VALUE!</v>
      </c>
      <c r="FE179" s="550" t="e">
        <f>Nodes!U1474+"'E4!(lR"</f>
        <v>#VALUE!</v>
      </c>
      <c r="FF179" t="e">
        <f>Nodes!V1474+"'E4!(lS"</f>
        <v>#VALUE!</v>
      </c>
      <c r="FG179" t="e">
        <f>Nodes!W1474+"'E4!(lT"</f>
        <v>#VALUE!</v>
      </c>
      <c r="FH179" t="e">
        <f>Nodes!X1474+"'E4!(lU"</f>
        <v>#VALUE!</v>
      </c>
      <c r="FI179" t="e">
        <f>Nodes!Y1474+"'E4!(lV"</f>
        <v>#VALUE!</v>
      </c>
      <c r="FJ179" t="e">
        <f>Nodes!Z1474+"'E4!(lW"</f>
        <v>#VALUE!</v>
      </c>
      <c r="FK179" t="e">
        <f>Nodes!AA1474+"'E4!(lX"</f>
        <v>#VALUE!</v>
      </c>
      <c r="FL179" t="e">
        <f>Nodes!AB1474+"'E4!(lY"</f>
        <v>#VALUE!</v>
      </c>
      <c r="FM179" t="e">
        <f>Nodes!AC1474+"'E4!(lZ"</f>
        <v>#VALUE!</v>
      </c>
      <c r="FN179" t="e">
        <f>Nodes!A1475+"'E4!(l["</f>
        <v>#VALUE!</v>
      </c>
      <c r="FO179" t="e">
        <f>Nodes!B1475+"'E4!(l\"</f>
        <v>#VALUE!</v>
      </c>
      <c r="FP179" t="e">
        <f>Nodes!C1475+"'E4!(l]"</f>
        <v>#VALUE!</v>
      </c>
      <c r="FQ179" t="e">
        <f>Nodes!D1475+"'E4!(l^"</f>
        <v>#VALUE!</v>
      </c>
      <c r="FR179" t="e">
        <f>Nodes!E1475+"'E4!(l_"</f>
        <v>#VALUE!</v>
      </c>
      <c r="FS179" t="e">
        <f>Nodes!F1475+"'E4!(l`"</f>
        <v>#VALUE!</v>
      </c>
      <c r="FT179" t="e">
        <f>Nodes!G1475+"'E4!(la"</f>
        <v>#VALUE!</v>
      </c>
      <c r="FU179" t="e">
        <f>Nodes!H1475+"'E4!(lb"</f>
        <v>#VALUE!</v>
      </c>
      <c r="FV179" t="e">
        <f>Nodes!I1475+"'E4!(lc"</f>
        <v>#VALUE!</v>
      </c>
      <c r="FW179" t="e">
        <f>Nodes!J1475+"'E4!(ld"</f>
        <v>#VALUE!</v>
      </c>
      <c r="FX179" t="e">
        <f>Nodes!K1475+"'E4!(le"</f>
        <v>#VALUE!</v>
      </c>
      <c r="FY179" t="e">
        <f>Nodes!L1475+"'E4!(lf"</f>
        <v>#VALUE!</v>
      </c>
      <c r="FZ179" t="e">
        <f>Nodes!M1475+"'E4!(lg"</f>
        <v>#VALUE!</v>
      </c>
      <c r="GA179" t="e">
        <f>Nodes!N1475+"'E4!(lh"</f>
        <v>#VALUE!</v>
      </c>
      <c r="GB179" t="e">
        <f>Nodes!O1475+"'E4!(li"</f>
        <v>#VALUE!</v>
      </c>
      <c r="GC179" t="e">
        <f>Nodes!P1475+"'E4!(lj"</f>
        <v>#VALUE!</v>
      </c>
      <c r="GD179" t="e">
        <f>Nodes!Q1475+"'E4!(lk"</f>
        <v>#VALUE!</v>
      </c>
      <c r="GE179" t="e">
        <f>Nodes!R1475+"'E4!(ll"</f>
        <v>#VALUE!</v>
      </c>
      <c r="GF179" t="e">
        <f>Nodes!S1475+"'E4!(lm"</f>
        <v>#VALUE!</v>
      </c>
      <c r="GG179" t="e">
        <f>Nodes!T1475+"'E4!(ln"</f>
        <v>#VALUE!</v>
      </c>
      <c r="GH179" s="550" t="e">
        <f>Nodes!U1475+"'E4!(lo"</f>
        <v>#VALUE!</v>
      </c>
      <c r="GI179" t="e">
        <f>Nodes!V1475+"'E4!(lp"</f>
        <v>#VALUE!</v>
      </c>
      <c r="GJ179" t="e">
        <f>Nodes!W1475+"'E4!(lq"</f>
        <v>#VALUE!</v>
      </c>
      <c r="GK179" t="e">
        <f>Nodes!X1475+"'E4!(lr"</f>
        <v>#VALUE!</v>
      </c>
      <c r="GL179" t="e">
        <f>Nodes!Y1475+"'E4!(ls"</f>
        <v>#VALUE!</v>
      </c>
      <c r="GM179" t="e">
        <f>Nodes!Z1475+"'E4!(lt"</f>
        <v>#VALUE!</v>
      </c>
      <c r="GN179" t="e">
        <f>Nodes!AA1475+"'E4!(lu"</f>
        <v>#VALUE!</v>
      </c>
      <c r="GO179" t="e">
        <f>Nodes!AB1475+"'E4!(lv"</f>
        <v>#VALUE!</v>
      </c>
      <c r="GP179" t="e">
        <f>Nodes!AC1475+"'E4!(lw"</f>
        <v>#VALUE!</v>
      </c>
      <c r="GQ179" t="e">
        <f>Nodes!A1476+"'E4!(lx"</f>
        <v>#VALUE!</v>
      </c>
      <c r="GR179" t="e">
        <f>Nodes!B1476+"'E4!(ly"</f>
        <v>#VALUE!</v>
      </c>
      <c r="GS179" t="e">
        <f>Nodes!C1476+"'E4!(lz"</f>
        <v>#VALUE!</v>
      </c>
      <c r="GT179" t="e">
        <f>Nodes!D1476+"'E4!(l{"</f>
        <v>#VALUE!</v>
      </c>
      <c r="GU179" t="e">
        <f>Nodes!E1476+"'E4!(l|"</f>
        <v>#VALUE!</v>
      </c>
      <c r="GV179" t="e">
        <f>Nodes!F1476+"'E4!(l}"</f>
        <v>#VALUE!</v>
      </c>
      <c r="GW179" t="e">
        <f>Nodes!G1476+"'E4!(l~"</f>
        <v>#VALUE!</v>
      </c>
      <c r="GX179" t="e">
        <f>Nodes!H1476+"'E4!(m#"</f>
        <v>#VALUE!</v>
      </c>
      <c r="GY179" t="e">
        <f>Nodes!I1476+"'E4!(m$"</f>
        <v>#VALUE!</v>
      </c>
      <c r="GZ179" t="e">
        <f>Nodes!J1476+"'E4!(m%"</f>
        <v>#VALUE!</v>
      </c>
      <c r="HA179" t="e">
        <f>Nodes!K1476+"'E4!(m&amp;"</f>
        <v>#VALUE!</v>
      </c>
      <c r="HB179" t="e">
        <f>Nodes!L1476+"'E4!(m'"</f>
        <v>#VALUE!</v>
      </c>
      <c r="HC179" t="e">
        <f>Nodes!M1476+"'E4!(m("</f>
        <v>#VALUE!</v>
      </c>
      <c r="HD179" t="e">
        <f>Nodes!N1476+"'E4!(m)"</f>
        <v>#VALUE!</v>
      </c>
      <c r="HE179" t="e">
        <f>Nodes!O1476+"'E4!(m."</f>
        <v>#VALUE!</v>
      </c>
      <c r="HF179" t="e">
        <f>Nodes!P1476+"'E4!(m/"</f>
        <v>#VALUE!</v>
      </c>
      <c r="HG179" t="e">
        <f>Nodes!Q1476+"'E4!(m0"</f>
        <v>#VALUE!</v>
      </c>
      <c r="HH179" t="e">
        <f>Nodes!R1476+"'E4!(m1"</f>
        <v>#VALUE!</v>
      </c>
      <c r="HI179" t="e">
        <f>Nodes!S1476+"'E4!(m2"</f>
        <v>#VALUE!</v>
      </c>
      <c r="HJ179" t="e">
        <f>Nodes!T1476+"'E4!(m3"</f>
        <v>#VALUE!</v>
      </c>
      <c r="HK179" s="550" t="e">
        <f>Nodes!U1476+"'E4!(m4"</f>
        <v>#VALUE!</v>
      </c>
      <c r="HL179" t="e">
        <f>Nodes!V1476+"'E4!(m5"</f>
        <v>#VALUE!</v>
      </c>
      <c r="HM179" t="e">
        <f>Nodes!W1476+"'E4!(m6"</f>
        <v>#VALUE!</v>
      </c>
      <c r="HN179" t="e">
        <f>Nodes!X1476+"'E4!(m7"</f>
        <v>#VALUE!</v>
      </c>
      <c r="HO179" t="e">
        <f>Nodes!Y1476+"'E4!(m8"</f>
        <v>#VALUE!</v>
      </c>
      <c r="HP179" t="e">
        <f>Nodes!Z1476+"'E4!(m9"</f>
        <v>#VALUE!</v>
      </c>
      <c r="HQ179" t="e">
        <f>Nodes!AA1476+"'E4!(m:"</f>
        <v>#VALUE!</v>
      </c>
      <c r="HR179" t="e">
        <f>Nodes!AB1476+"'E4!(m;"</f>
        <v>#VALUE!</v>
      </c>
      <c r="HS179" t="e">
        <f>Nodes!AC1476+"'E4!(m&lt;"</f>
        <v>#VALUE!</v>
      </c>
      <c r="HT179" t="e">
        <f>Nodes!A1477+"'E4!(m="</f>
        <v>#VALUE!</v>
      </c>
      <c r="HU179" t="e">
        <f>Nodes!B1477+"'E4!(m&gt;"</f>
        <v>#VALUE!</v>
      </c>
      <c r="HV179" t="e">
        <f>Nodes!C1477+"'E4!(m?"</f>
        <v>#VALUE!</v>
      </c>
      <c r="HW179" t="e">
        <f>Nodes!D1477+"'E4!(m@"</f>
        <v>#VALUE!</v>
      </c>
      <c r="HX179" t="e">
        <f>Nodes!E1477+"'E4!(mA"</f>
        <v>#VALUE!</v>
      </c>
      <c r="HY179" t="e">
        <f>Nodes!F1477+"'E4!(mB"</f>
        <v>#VALUE!</v>
      </c>
      <c r="HZ179" t="e">
        <f>Nodes!G1477+"'E4!(mC"</f>
        <v>#VALUE!</v>
      </c>
      <c r="IA179" t="e">
        <f>Nodes!H1477+"'E4!(mD"</f>
        <v>#VALUE!</v>
      </c>
      <c r="IB179" t="e">
        <f>Nodes!I1477+"'E4!(mE"</f>
        <v>#VALUE!</v>
      </c>
      <c r="IC179" t="e">
        <f>Nodes!J1477+"'E4!(mF"</f>
        <v>#VALUE!</v>
      </c>
      <c r="ID179" t="e">
        <f>Nodes!K1477+"'E4!(mG"</f>
        <v>#VALUE!</v>
      </c>
      <c r="IE179" t="e">
        <f>Nodes!L1477+"'E4!(mH"</f>
        <v>#VALUE!</v>
      </c>
      <c r="IF179" t="e">
        <f>Nodes!M1477+"'E4!(mI"</f>
        <v>#VALUE!</v>
      </c>
      <c r="IG179" t="e">
        <f>Nodes!N1477+"'E4!(mJ"</f>
        <v>#VALUE!</v>
      </c>
      <c r="IH179" t="e">
        <f>Nodes!O1477+"'E4!(mK"</f>
        <v>#VALUE!</v>
      </c>
      <c r="II179" t="e">
        <f>Nodes!P1477+"'E4!(mL"</f>
        <v>#VALUE!</v>
      </c>
      <c r="IJ179" t="e">
        <f>Nodes!Q1477+"'E4!(mM"</f>
        <v>#VALUE!</v>
      </c>
      <c r="IK179" t="e">
        <f>Nodes!R1477+"'E4!(mN"</f>
        <v>#VALUE!</v>
      </c>
      <c r="IL179" t="e">
        <f>Nodes!S1477+"'E4!(mO"</f>
        <v>#VALUE!</v>
      </c>
      <c r="IM179" t="e">
        <f>Nodes!T1477+"'E4!(mP"</f>
        <v>#VALUE!</v>
      </c>
      <c r="IN179" s="550" t="e">
        <f>Nodes!U1477+"'E4!(mQ"</f>
        <v>#VALUE!</v>
      </c>
      <c r="IO179" t="e">
        <f>Nodes!V1477+"'E4!(mR"</f>
        <v>#VALUE!</v>
      </c>
      <c r="IP179" t="e">
        <f>Nodes!W1477+"'E4!(mS"</f>
        <v>#VALUE!</v>
      </c>
      <c r="IQ179" t="e">
        <f>Nodes!X1477+"'E4!(mT"</f>
        <v>#VALUE!</v>
      </c>
      <c r="IR179" t="e">
        <f>Nodes!Y1477+"'E4!(mU"</f>
        <v>#VALUE!</v>
      </c>
      <c r="IS179" t="e">
        <f>Nodes!Z1477+"'E4!(mV"</f>
        <v>#VALUE!</v>
      </c>
      <c r="IT179" t="e">
        <f>Nodes!AA1477+"'E4!(mW"</f>
        <v>#VALUE!</v>
      </c>
      <c r="IU179" t="e">
        <f>Nodes!AB1477+"'E4!(mX"</f>
        <v>#VALUE!</v>
      </c>
      <c r="IV179" t="e">
        <f>Nodes!AC1477+"'E4!(mY"</f>
        <v>#VALUE!</v>
      </c>
    </row>
    <row r="180" spans="6:256">
      <c r="F180" t="e">
        <f>Nodes!A1478+"'E4!(mZ"</f>
        <v>#VALUE!</v>
      </c>
      <c r="G180" t="e">
        <f>Nodes!B1478+"'E4!(m["</f>
        <v>#VALUE!</v>
      </c>
      <c r="H180" t="e">
        <f>Nodes!C1478+"'E4!(m\"</f>
        <v>#VALUE!</v>
      </c>
      <c r="I180" t="e">
        <f>Nodes!D1478+"'E4!(m]"</f>
        <v>#VALUE!</v>
      </c>
      <c r="J180" t="e">
        <f>Nodes!E1478+"'E4!(m^"</f>
        <v>#VALUE!</v>
      </c>
      <c r="K180" t="e">
        <f>Nodes!F1478+"'E4!(m_"</f>
        <v>#VALUE!</v>
      </c>
      <c r="L180" t="e">
        <f>Nodes!G1478+"'E4!(m`"</f>
        <v>#VALUE!</v>
      </c>
      <c r="M180" t="e">
        <f>Nodes!H1478+"'E4!(ma"</f>
        <v>#VALUE!</v>
      </c>
      <c r="N180" t="e">
        <f>Nodes!I1478+"'E4!(mb"</f>
        <v>#VALUE!</v>
      </c>
      <c r="O180" t="e">
        <f>Nodes!J1478+"'E4!(mc"</f>
        <v>#VALUE!</v>
      </c>
      <c r="P180" t="e">
        <f>Nodes!K1478+"'E4!(md"</f>
        <v>#VALUE!</v>
      </c>
      <c r="Q180" t="e">
        <f>Nodes!L1478+"'E4!(me"</f>
        <v>#VALUE!</v>
      </c>
      <c r="R180" t="e">
        <f>Nodes!M1478+"'E4!(mf"</f>
        <v>#VALUE!</v>
      </c>
      <c r="S180" t="e">
        <f>Nodes!N1478+"'E4!(mg"</f>
        <v>#VALUE!</v>
      </c>
      <c r="T180" t="e">
        <f>Nodes!O1478+"'E4!(mh"</f>
        <v>#VALUE!</v>
      </c>
      <c r="U180" t="e">
        <f>Nodes!P1478+"'E4!(mi"</f>
        <v>#VALUE!</v>
      </c>
      <c r="V180" t="e">
        <f>Nodes!Q1478+"'E4!(mj"</f>
        <v>#VALUE!</v>
      </c>
      <c r="W180" t="e">
        <f>Nodes!R1478+"'E4!(mk"</f>
        <v>#VALUE!</v>
      </c>
      <c r="X180" t="e">
        <f>Nodes!S1478+"'E4!(ml"</f>
        <v>#VALUE!</v>
      </c>
      <c r="Y180" t="e">
        <f>Nodes!T1478+"'E4!(mm"</f>
        <v>#VALUE!</v>
      </c>
      <c r="Z180" s="550" t="e">
        <f>Nodes!U1478+"'E4!(mn"</f>
        <v>#VALUE!</v>
      </c>
      <c r="AA180" t="e">
        <f>Nodes!V1478+"'E4!(mo"</f>
        <v>#VALUE!</v>
      </c>
      <c r="AB180" t="e">
        <f>Nodes!W1478+"'E4!(mp"</f>
        <v>#VALUE!</v>
      </c>
      <c r="AC180" t="e">
        <f>Nodes!X1478+"'E4!(mq"</f>
        <v>#VALUE!</v>
      </c>
      <c r="AD180" t="e">
        <f>Nodes!Y1478+"'E4!(mr"</f>
        <v>#VALUE!</v>
      </c>
      <c r="AE180" t="e">
        <f>Nodes!Z1478+"'E4!(ms"</f>
        <v>#VALUE!</v>
      </c>
      <c r="AF180" t="e">
        <f>Nodes!AA1478+"'E4!(mt"</f>
        <v>#VALUE!</v>
      </c>
      <c r="AG180" t="e">
        <f>Nodes!AB1478+"'E4!(mu"</f>
        <v>#VALUE!</v>
      </c>
      <c r="AH180" t="e">
        <f>Nodes!AC1478+"'E4!(mv"</f>
        <v>#VALUE!</v>
      </c>
      <c r="AI180" t="e">
        <f>Nodes!A1479+"'E4!(mw"</f>
        <v>#VALUE!</v>
      </c>
      <c r="AJ180" t="e">
        <f>Nodes!B1479+"'E4!(mx"</f>
        <v>#VALUE!</v>
      </c>
      <c r="AK180" t="e">
        <f>Nodes!C1479+"'E4!(my"</f>
        <v>#VALUE!</v>
      </c>
      <c r="AL180" t="e">
        <f>Nodes!D1479+"'E4!(mz"</f>
        <v>#VALUE!</v>
      </c>
      <c r="AM180" t="e">
        <f>Nodes!E1479+"'E4!(m{"</f>
        <v>#VALUE!</v>
      </c>
      <c r="AN180" t="e">
        <f>Nodes!F1479+"'E4!(m|"</f>
        <v>#VALUE!</v>
      </c>
      <c r="AO180" t="e">
        <f>Nodes!G1479+"'E4!(m}"</f>
        <v>#VALUE!</v>
      </c>
      <c r="AP180" t="e">
        <f>Nodes!H1479+"'E4!(m~"</f>
        <v>#VALUE!</v>
      </c>
      <c r="AQ180" t="e">
        <f>Nodes!I1479+"'E4!(n#"</f>
        <v>#VALUE!</v>
      </c>
      <c r="AR180" t="e">
        <f>Nodes!J1479+"'E4!(n$"</f>
        <v>#VALUE!</v>
      </c>
      <c r="AS180" t="e">
        <f>Nodes!K1479+"'E4!(n%"</f>
        <v>#VALUE!</v>
      </c>
      <c r="AT180" t="e">
        <f>Nodes!L1479+"'E4!(n&amp;"</f>
        <v>#VALUE!</v>
      </c>
      <c r="AU180" t="e">
        <f>Nodes!M1479+"'E4!(n'"</f>
        <v>#VALUE!</v>
      </c>
      <c r="AV180" t="e">
        <f>Nodes!N1479+"'E4!(n("</f>
        <v>#VALUE!</v>
      </c>
      <c r="AW180" t="e">
        <f>Nodes!O1479+"'E4!(n)"</f>
        <v>#VALUE!</v>
      </c>
      <c r="AX180" t="e">
        <f>Nodes!P1479+"'E4!(n."</f>
        <v>#VALUE!</v>
      </c>
      <c r="AY180" t="e">
        <f>Nodes!Q1479+"'E4!(n/"</f>
        <v>#VALUE!</v>
      </c>
      <c r="AZ180" t="e">
        <f>Nodes!R1479+"'E4!(n0"</f>
        <v>#VALUE!</v>
      </c>
      <c r="BA180" t="e">
        <f>Nodes!S1479+"'E4!(n1"</f>
        <v>#VALUE!</v>
      </c>
      <c r="BB180" t="e">
        <f>Nodes!T1479+"'E4!(n2"</f>
        <v>#VALUE!</v>
      </c>
      <c r="BC180" s="550" t="e">
        <f>Nodes!U1479+"'E4!(n3"</f>
        <v>#VALUE!</v>
      </c>
      <c r="BD180" t="e">
        <f>Nodes!V1479+"'E4!(n4"</f>
        <v>#VALUE!</v>
      </c>
      <c r="BE180" t="e">
        <f>Nodes!W1479+"'E4!(n5"</f>
        <v>#VALUE!</v>
      </c>
      <c r="BF180" t="e">
        <f>Nodes!X1479+"'E4!(n6"</f>
        <v>#VALUE!</v>
      </c>
      <c r="BG180" t="e">
        <f>Nodes!Y1479+"'E4!(n7"</f>
        <v>#VALUE!</v>
      </c>
      <c r="BH180" t="e">
        <f>Nodes!Z1479+"'E4!(n8"</f>
        <v>#VALUE!</v>
      </c>
      <c r="BI180" t="e">
        <f>Nodes!AA1479+"'E4!(n9"</f>
        <v>#VALUE!</v>
      </c>
      <c r="BJ180" t="e">
        <f>Nodes!AB1479+"'E4!(n:"</f>
        <v>#VALUE!</v>
      </c>
      <c r="BK180" t="e">
        <f>Nodes!AC1479+"'E4!(n;"</f>
        <v>#VALUE!</v>
      </c>
      <c r="BL180" t="e">
        <f>Nodes!A1480+"'E4!(n&lt;"</f>
        <v>#VALUE!</v>
      </c>
      <c r="BM180" t="e">
        <f>Nodes!B1480+"'E4!(n="</f>
        <v>#VALUE!</v>
      </c>
      <c r="BN180" t="e">
        <f>Nodes!C1480+"'E4!(n&gt;"</f>
        <v>#VALUE!</v>
      </c>
      <c r="BO180" t="e">
        <f>Nodes!D1480+"'E4!(n?"</f>
        <v>#VALUE!</v>
      </c>
      <c r="BP180" t="e">
        <f>Nodes!E1480+"'E4!(n@"</f>
        <v>#VALUE!</v>
      </c>
      <c r="BQ180" t="e">
        <f>Nodes!F1480+"'E4!(nA"</f>
        <v>#VALUE!</v>
      </c>
      <c r="BR180" t="e">
        <f>Nodes!G1480+"'E4!(nB"</f>
        <v>#VALUE!</v>
      </c>
      <c r="BS180" t="e">
        <f>Nodes!H1480+"'E4!(nC"</f>
        <v>#VALUE!</v>
      </c>
      <c r="BT180" t="e">
        <f>Nodes!I1480+"'E4!(nD"</f>
        <v>#VALUE!</v>
      </c>
      <c r="BU180" t="e">
        <f>Nodes!J1480+"'E4!(nE"</f>
        <v>#VALUE!</v>
      </c>
      <c r="BV180" t="e">
        <f>Nodes!K1480+"'E4!(nF"</f>
        <v>#VALUE!</v>
      </c>
      <c r="BW180" t="e">
        <f>Nodes!L1480+"'E4!(nG"</f>
        <v>#VALUE!</v>
      </c>
      <c r="BX180" t="e">
        <f>Nodes!M1480+"'E4!(nH"</f>
        <v>#VALUE!</v>
      </c>
      <c r="BY180" t="e">
        <f>Nodes!N1480+"'E4!(nI"</f>
        <v>#VALUE!</v>
      </c>
      <c r="BZ180" t="e">
        <f>Nodes!O1480+"'E4!(nJ"</f>
        <v>#VALUE!</v>
      </c>
      <c r="CA180" t="e">
        <f>Nodes!P1480+"'E4!(nK"</f>
        <v>#VALUE!</v>
      </c>
      <c r="CB180" t="e">
        <f>Nodes!Q1480+"'E4!(nL"</f>
        <v>#VALUE!</v>
      </c>
      <c r="CC180" t="e">
        <f>Nodes!R1480+"'E4!(nM"</f>
        <v>#VALUE!</v>
      </c>
      <c r="CD180" t="e">
        <f>Nodes!S1480+"'E4!(nN"</f>
        <v>#VALUE!</v>
      </c>
      <c r="CE180" t="e">
        <f>Nodes!T1480+"'E4!(nO"</f>
        <v>#VALUE!</v>
      </c>
      <c r="CF180" s="550" t="e">
        <f>Nodes!U1480+"'E4!(nP"</f>
        <v>#VALUE!</v>
      </c>
      <c r="CG180" t="e">
        <f>Nodes!V1480+"'E4!(nQ"</f>
        <v>#VALUE!</v>
      </c>
      <c r="CH180" t="e">
        <f>Nodes!W1480+"'E4!(nR"</f>
        <v>#VALUE!</v>
      </c>
      <c r="CI180" t="e">
        <f>Nodes!X1480+"'E4!(nS"</f>
        <v>#VALUE!</v>
      </c>
      <c r="CJ180" t="e">
        <f>Nodes!Y1480+"'E4!(nT"</f>
        <v>#VALUE!</v>
      </c>
      <c r="CK180" t="e">
        <f>Nodes!Z1480+"'E4!(nU"</f>
        <v>#VALUE!</v>
      </c>
      <c r="CL180" t="e">
        <f>Nodes!AA1480+"'E4!(nV"</f>
        <v>#VALUE!</v>
      </c>
      <c r="CM180" t="e">
        <f>Nodes!AB1480+"'E4!(nW"</f>
        <v>#VALUE!</v>
      </c>
      <c r="CN180" t="e">
        <f>Nodes!AC1480+"'E4!(nX"</f>
        <v>#VALUE!</v>
      </c>
      <c r="CO180" t="e">
        <f>Nodes!A1481+"'E4!(nY"</f>
        <v>#VALUE!</v>
      </c>
      <c r="CP180" t="e">
        <f>Nodes!B1481+"'E4!(nZ"</f>
        <v>#VALUE!</v>
      </c>
      <c r="CQ180" t="e">
        <f>Nodes!C1481+"'E4!(n["</f>
        <v>#VALUE!</v>
      </c>
      <c r="CR180" t="e">
        <f>Nodes!D1481+"'E4!(n\"</f>
        <v>#VALUE!</v>
      </c>
      <c r="CS180" t="e">
        <f>Nodes!E1481+"'E4!(n]"</f>
        <v>#VALUE!</v>
      </c>
      <c r="CT180" t="e">
        <f>Nodes!F1481+"'E4!(n^"</f>
        <v>#VALUE!</v>
      </c>
      <c r="CU180" t="e">
        <f>Nodes!G1481+"'E4!(n_"</f>
        <v>#VALUE!</v>
      </c>
      <c r="CV180" t="e">
        <f>Nodes!H1481+"'E4!(n`"</f>
        <v>#VALUE!</v>
      </c>
      <c r="CW180" t="e">
        <f>Nodes!I1481+"'E4!(na"</f>
        <v>#VALUE!</v>
      </c>
      <c r="CX180" t="e">
        <f>Nodes!J1481+"'E4!(nb"</f>
        <v>#VALUE!</v>
      </c>
      <c r="CY180" t="e">
        <f>Nodes!K1481+"'E4!(nc"</f>
        <v>#VALUE!</v>
      </c>
      <c r="CZ180" t="e">
        <f>Nodes!L1481+"'E4!(nd"</f>
        <v>#VALUE!</v>
      </c>
      <c r="DA180" t="e">
        <f>Nodes!M1481+"'E4!(ne"</f>
        <v>#VALUE!</v>
      </c>
      <c r="DB180" t="e">
        <f>Nodes!N1481+"'E4!(nf"</f>
        <v>#VALUE!</v>
      </c>
      <c r="DC180" t="e">
        <f>Nodes!O1481+"'E4!(ng"</f>
        <v>#VALUE!</v>
      </c>
      <c r="DD180" t="e">
        <f>Nodes!P1481+"'E4!(nh"</f>
        <v>#VALUE!</v>
      </c>
      <c r="DE180" t="e">
        <f>Nodes!Q1481+"'E4!(ni"</f>
        <v>#VALUE!</v>
      </c>
      <c r="DF180" t="e">
        <f>Nodes!R1481+"'E4!(nj"</f>
        <v>#VALUE!</v>
      </c>
      <c r="DG180" t="e">
        <f>Nodes!S1481+"'E4!(nk"</f>
        <v>#VALUE!</v>
      </c>
      <c r="DH180" t="e">
        <f>Nodes!T1481+"'E4!(nl"</f>
        <v>#VALUE!</v>
      </c>
      <c r="DI180" s="550" t="e">
        <f>Nodes!U1481+"'E4!(nm"</f>
        <v>#VALUE!</v>
      </c>
      <c r="DJ180" t="e">
        <f>Nodes!V1481+"'E4!(nn"</f>
        <v>#VALUE!</v>
      </c>
      <c r="DK180" t="e">
        <f>Nodes!W1481+"'E4!(no"</f>
        <v>#VALUE!</v>
      </c>
      <c r="DL180" t="e">
        <f>Nodes!X1481+"'E4!(np"</f>
        <v>#VALUE!</v>
      </c>
      <c r="DM180" t="e">
        <f>Nodes!Y1481+"'E4!(nq"</f>
        <v>#VALUE!</v>
      </c>
      <c r="DN180" t="e">
        <f>Nodes!Z1481+"'E4!(nr"</f>
        <v>#VALUE!</v>
      </c>
      <c r="DO180" t="e">
        <f>Nodes!AA1481+"'E4!(ns"</f>
        <v>#VALUE!</v>
      </c>
      <c r="DP180" t="e">
        <f>Nodes!AB1481+"'E4!(nt"</f>
        <v>#VALUE!</v>
      </c>
      <c r="DQ180" t="e">
        <f>Nodes!AC1481+"'E4!(nu"</f>
        <v>#VALUE!</v>
      </c>
      <c r="DR180" t="e">
        <f>Nodes!A1482+"'E4!(nv"</f>
        <v>#VALUE!</v>
      </c>
      <c r="DS180" t="e">
        <f>Nodes!B1482+"'E4!(nw"</f>
        <v>#VALUE!</v>
      </c>
      <c r="DT180" t="e">
        <f>Nodes!C1482+"'E4!(nx"</f>
        <v>#VALUE!</v>
      </c>
      <c r="DU180" t="e">
        <f>Nodes!D1482+"'E4!(ny"</f>
        <v>#VALUE!</v>
      </c>
      <c r="DV180" t="e">
        <f>Nodes!E1482+"'E4!(nz"</f>
        <v>#VALUE!</v>
      </c>
      <c r="DW180" t="e">
        <f>Nodes!F1482+"'E4!(n{"</f>
        <v>#VALUE!</v>
      </c>
      <c r="DX180" t="e">
        <f>Nodes!G1482+"'E4!(n|"</f>
        <v>#VALUE!</v>
      </c>
      <c r="DY180" t="e">
        <f>Nodes!H1482+"'E4!(n}"</f>
        <v>#VALUE!</v>
      </c>
      <c r="DZ180" t="e">
        <f>Nodes!I1482+"'E4!(n~"</f>
        <v>#VALUE!</v>
      </c>
      <c r="EA180" t="e">
        <f>Nodes!J1482+"'E4!(o#"</f>
        <v>#VALUE!</v>
      </c>
      <c r="EB180" t="e">
        <f>Nodes!K1482+"'E4!(o$"</f>
        <v>#VALUE!</v>
      </c>
      <c r="EC180" t="e">
        <f>Nodes!L1482+"'E4!(o%"</f>
        <v>#VALUE!</v>
      </c>
      <c r="ED180" t="e">
        <f>Nodes!M1482+"'E4!(o&amp;"</f>
        <v>#VALUE!</v>
      </c>
      <c r="EE180" t="e">
        <f>Nodes!N1482+"'E4!(o'"</f>
        <v>#VALUE!</v>
      </c>
      <c r="EF180" t="e">
        <f>Nodes!O1482+"'E4!(o("</f>
        <v>#VALUE!</v>
      </c>
      <c r="EG180" t="e">
        <f>Nodes!P1482+"'E4!(o)"</f>
        <v>#VALUE!</v>
      </c>
      <c r="EH180" t="e">
        <f>Nodes!Q1482+"'E4!(o."</f>
        <v>#VALUE!</v>
      </c>
      <c r="EI180" t="e">
        <f>Nodes!R1482+"'E4!(o/"</f>
        <v>#VALUE!</v>
      </c>
      <c r="EJ180" t="e">
        <f>Nodes!S1482+"'E4!(o0"</f>
        <v>#VALUE!</v>
      </c>
      <c r="EK180" t="e">
        <f>Nodes!T1482+"'E4!(o1"</f>
        <v>#VALUE!</v>
      </c>
      <c r="EL180" s="550" t="e">
        <f>Nodes!U1482+"'E4!(o2"</f>
        <v>#VALUE!</v>
      </c>
      <c r="EM180" t="e">
        <f>Nodes!V1482+"'E4!(o3"</f>
        <v>#VALUE!</v>
      </c>
      <c r="EN180" t="e">
        <f>Nodes!W1482+"'E4!(o4"</f>
        <v>#VALUE!</v>
      </c>
      <c r="EO180" t="e">
        <f>Nodes!X1482+"'E4!(o5"</f>
        <v>#VALUE!</v>
      </c>
      <c r="EP180" t="e">
        <f>Nodes!Y1482+"'E4!(o6"</f>
        <v>#VALUE!</v>
      </c>
      <c r="EQ180" t="e">
        <f>Nodes!Z1482+"'E4!(o7"</f>
        <v>#VALUE!</v>
      </c>
      <c r="ER180" t="e">
        <f>Nodes!AA1482+"'E4!(o8"</f>
        <v>#VALUE!</v>
      </c>
      <c r="ES180" t="e">
        <f>Nodes!AB1482+"'E4!(o9"</f>
        <v>#VALUE!</v>
      </c>
      <c r="ET180" t="e">
        <f>Nodes!AC1482+"'E4!(o:"</f>
        <v>#VALUE!</v>
      </c>
      <c r="EU180" t="e">
        <f>Nodes!A1483+"'E4!(o;"</f>
        <v>#VALUE!</v>
      </c>
      <c r="EV180" t="e">
        <f>Nodes!B1483+"'E4!(o&lt;"</f>
        <v>#VALUE!</v>
      </c>
      <c r="EW180" t="e">
        <f>Nodes!C1483+"'E4!(o="</f>
        <v>#VALUE!</v>
      </c>
      <c r="EX180" t="e">
        <f>Nodes!D1483+"'E4!(o&gt;"</f>
        <v>#VALUE!</v>
      </c>
      <c r="EY180" t="e">
        <f>Nodes!E1483+"'E4!(o?"</f>
        <v>#VALUE!</v>
      </c>
      <c r="EZ180" t="e">
        <f>Nodes!F1483+"'E4!(o@"</f>
        <v>#VALUE!</v>
      </c>
      <c r="FA180" t="e">
        <f>Nodes!G1483+"'E4!(oA"</f>
        <v>#VALUE!</v>
      </c>
      <c r="FB180" t="e">
        <f>Nodes!H1483+"'E4!(oB"</f>
        <v>#VALUE!</v>
      </c>
      <c r="FC180" t="e">
        <f>Nodes!I1483+"'E4!(oC"</f>
        <v>#VALUE!</v>
      </c>
      <c r="FD180" t="e">
        <f>Nodes!J1483+"'E4!(oD"</f>
        <v>#VALUE!</v>
      </c>
      <c r="FE180" t="e">
        <f>Nodes!K1483+"'E4!(oE"</f>
        <v>#VALUE!</v>
      </c>
      <c r="FF180" t="e">
        <f>Nodes!L1483+"'E4!(oF"</f>
        <v>#VALUE!</v>
      </c>
      <c r="FG180" t="e">
        <f>Nodes!M1483+"'E4!(oG"</f>
        <v>#VALUE!</v>
      </c>
      <c r="FH180" t="e">
        <f>Nodes!N1483+"'E4!(oH"</f>
        <v>#VALUE!</v>
      </c>
      <c r="FI180" t="e">
        <f>Nodes!O1483+"'E4!(oI"</f>
        <v>#VALUE!</v>
      </c>
      <c r="FJ180" t="e">
        <f>Nodes!P1483+"'E4!(oJ"</f>
        <v>#VALUE!</v>
      </c>
      <c r="FK180" t="e">
        <f>Nodes!Q1483+"'E4!(oK"</f>
        <v>#VALUE!</v>
      </c>
      <c r="FL180" t="e">
        <f>Nodes!R1483+"'E4!(oL"</f>
        <v>#VALUE!</v>
      </c>
      <c r="FM180" t="e">
        <f>Nodes!S1483+"'E4!(oM"</f>
        <v>#VALUE!</v>
      </c>
      <c r="FN180" t="e">
        <f>Nodes!T1483+"'E4!(oN"</f>
        <v>#VALUE!</v>
      </c>
      <c r="FO180" s="550" t="e">
        <f>Nodes!U1483+"'E4!(oO"</f>
        <v>#VALUE!</v>
      </c>
      <c r="FP180" t="e">
        <f>Nodes!V1483+"'E4!(oP"</f>
        <v>#VALUE!</v>
      </c>
      <c r="FQ180" t="e">
        <f>Nodes!W1483+"'E4!(oQ"</f>
        <v>#VALUE!</v>
      </c>
      <c r="FR180" t="e">
        <f>Nodes!X1483+"'E4!(oR"</f>
        <v>#VALUE!</v>
      </c>
      <c r="FS180" t="e">
        <f>Nodes!Y1483+"'E4!(oS"</f>
        <v>#VALUE!</v>
      </c>
      <c r="FT180" t="e">
        <f>Nodes!Z1483+"'E4!(oT"</f>
        <v>#VALUE!</v>
      </c>
      <c r="FU180" t="e">
        <f>Nodes!AA1483+"'E4!(oU"</f>
        <v>#VALUE!</v>
      </c>
      <c r="FV180" t="e">
        <f>Nodes!AB1483+"'E4!(oV"</f>
        <v>#VALUE!</v>
      </c>
      <c r="FW180" t="e">
        <f>Nodes!AC1483+"'E4!(oW"</f>
        <v>#VALUE!</v>
      </c>
      <c r="FX180" t="e">
        <f>Nodes!A1484+"'E4!(oX"</f>
        <v>#VALUE!</v>
      </c>
      <c r="FY180" t="e">
        <f>Nodes!B1484+"'E4!(oY"</f>
        <v>#VALUE!</v>
      </c>
      <c r="FZ180" t="e">
        <f>Nodes!C1484+"'E4!(oZ"</f>
        <v>#VALUE!</v>
      </c>
      <c r="GA180" t="e">
        <f>Nodes!D1484+"'E4!(o["</f>
        <v>#VALUE!</v>
      </c>
      <c r="GB180" t="e">
        <f>Nodes!E1484+"'E4!(o\"</f>
        <v>#VALUE!</v>
      </c>
      <c r="GC180" t="e">
        <f>Nodes!F1484+"'E4!(o]"</f>
        <v>#VALUE!</v>
      </c>
      <c r="GD180" t="e">
        <f>Nodes!G1484+"'E4!(o^"</f>
        <v>#VALUE!</v>
      </c>
      <c r="GE180" t="e">
        <f>Nodes!H1484+"'E4!(o_"</f>
        <v>#VALUE!</v>
      </c>
      <c r="GF180" t="e">
        <f>Nodes!I1484+"'E4!(o`"</f>
        <v>#VALUE!</v>
      </c>
      <c r="GG180" t="e">
        <f>Nodes!J1484+"'E4!(oa"</f>
        <v>#VALUE!</v>
      </c>
      <c r="GH180" t="e">
        <f>Nodes!K1484+"'E4!(ob"</f>
        <v>#VALUE!</v>
      </c>
      <c r="GI180" t="e">
        <f>Nodes!L1484+"'E4!(oc"</f>
        <v>#VALUE!</v>
      </c>
      <c r="GJ180" t="e">
        <f>Nodes!M1484+"'E4!(od"</f>
        <v>#VALUE!</v>
      </c>
      <c r="GK180" t="e">
        <f>Nodes!N1484+"'E4!(oe"</f>
        <v>#VALUE!</v>
      </c>
      <c r="GL180" t="e">
        <f>Nodes!O1484+"'E4!(of"</f>
        <v>#VALUE!</v>
      </c>
      <c r="GM180" t="e">
        <f>Nodes!P1484+"'E4!(og"</f>
        <v>#VALUE!</v>
      </c>
      <c r="GN180" t="e">
        <f>Nodes!Q1484+"'E4!(oh"</f>
        <v>#VALUE!</v>
      </c>
      <c r="GO180" t="e">
        <f>Nodes!R1484+"'E4!(oi"</f>
        <v>#VALUE!</v>
      </c>
      <c r="GP180" t="e">
        <f>Nodes!S1484+"'E4!(oj"</f>
        <v>#VALUE!</v>
      </c>
      <c r="GQ180" t="e">
        <f>Nodes!T1484+"'E4!(ok"</f>
        <v>#VALUE!</v>
      </c>
      <c r="GR180" s="550" t="e">
        <f>Nodes!U1484+"'E4!(ol"</f>
        <v>#VALUE!</v>
      </c>
      <c r="GS180" t="e">
        <f>Nodes!V1484+"'E4!(om"</f>
        <v>#VALUE!</v>
      </c>
      <c r="GT180" t="e">
        <f>Nodes!W1484+"'E4!(on"</f>
        <v>#VALUE!</v>
      </c>
      <c r="GU180" t="e">
        <f>Nodes!X1484+"'E4!(oo"</f>
        <v>#VALUE!</v>
      </c>
      <c r="GV180" t="e">
        <f>Nodes!Y1484+"'E4!(op"</f>
        <v>#VALUE!</v>
      </c>
      <c r="GW180" t="e">
        <f>Nodes!Z1484+"'E4!(oq"</f>
        <v>#VALUE!</v>
      </c>
      <c r="GX180" t="e">
        <f>Nodes!AA1484+"'E4!(or"</f>
        <v>#VALUE!</v>
      </c>
      <c r="GY180" t="e">
        <f>Nodes!AB1484+"'E4!(os"</f>
        <v>#VALUE!</v>
      </c>
      <c r="GZ180" t="e">
        <f>Nodes!AC1484+"'E4!(ot"</f>
        <v>#VALUE!</v>
      </c>
      <c r="HA180" t="e">
        <f>Nodes!A1485+"'E4!(ou"</f>
        <v>#VALUE!</v>
      </c>
      <c r="HB180" t="e">
        <f>Nodes!B1485+"'E4!(ov"</f>
        <v>#VALUE!</v>
      </c>
      <c r="HC180" t="e">
        <f>Nodes!C1485+"'E4!(ow"</f>
        <v>#VALUE!</v>
      </c>
      <c r="HD180" t="e">
        <f>Nodes!D1485+"'E4!(ox"</f>
        <v>#VALUE!</v>
      </c>
      <c r="HE180" t="e">
        <f>Nodes!E1485+"'E4!(oy"</f>
        <v>#VALUE!</v>
      </c>
      <c r="HF180" t="e">
        <f>Nodes!F1485+"'E4!(oz"</f>
        <v>#VALUE!</v>
      </c>
      <c r="HG180" t="e">
        <f>Nodes!G1485+"'E4!(o{"</f>
        <v>#VALUE!</v>
      </c>
      <c r="HH180" t="e">
        <f>Nodes!H1485+"'E4!(o|"</f>
        <v>#VALUE!</v>
      </c>
      <c r="HI180" t="e">
        <f>Nodes!I1485+"'E4!(o}"</f>
        <v>#VALUE!</v>
      </c>
      <c r="HJ180" t="e">
        <f>Nodes!J1485+"'E4!(o~"</f>
        <v>#VALUE!</v>
      </c>
      <c r="HK180" t="e">
        <f>Nodes!K1485+"'E4!(p#"</f>
        <v>#VALUE!</v>
      </c>
      <c r="HL180" t="e">
        <f>Nodes!L1485+"'E4!(p$"</f>
        <v>#VALUE!</v>
      </c>
      <c r="HM180" t="e">
        <f>Nodes!M1485+"'E4!(p%"</f>
        <v>#VALUE!</v>
      </c>
      <c r="HN180" t="e">
        <f>Nodes!N1485+"'E4!(p&amp;"</f>
        <v>#VALUE!</v>
      </c>
      <c r="HO180" t="e">
        <f>Nodes!O1485+"'E4!(p'"</f>
        <v>#VALUE!</v>
      </c>
      <c r="HP180" t="e">
        <f>Nodes!P1485+"'E4!(p("</f>
        <v>#VALUE!</v>
      </c>
      <c r="HQ180" t="e">
        <f>Nodes!Q1485+"'E4!(p)"</f>
        <v>#VALUE!</v>
      </c>
      <c r="HR180" t="e">
        <f>Nodes!R1485+"'E4!(p."</f>
        <v>#VALUE!</v>
      </c>
      <c r="HS180" t="e">
        <f>Nodes!S1485+"'E4!(p/"</f>
        <v>#VALUE!</v>
      </c>
      <c r="HT180" t="e">
        <f>Nodes!T1485+"'E4!(p0"</f>
        <v>#VALUE!</v>
      </c>
      <c r="HU180" s="550" t="e">
        <f>Nodes!U1485+"'E4!(p1"</f>
        <v>#VALUE!</v>
      </c>
      <c r="HV180" t="e">
        <f>Nodes!V1485+"'E4!(p2"</f>
        <v>#VALUE!</v>
      </c>
      <c r="HW180" t="e">
        <f>Nodes!W1485+"'E4!(p3"</f>
        <v>#VALUE!</v>
      </c>
      <c r="HX180" t="e">
        <f>Nodes!X1485+"'E4!(p4"</f>
        <v>#VALUE!</v>
      </c>
      <c r="HY180" t="e">
        <f>Nodes!Y1485+"'E4!(p5"</f>
        <v>#VALUE!</v>
      </c>
      <c r="HZ180" t="e">
        <f>Nodes!Z1485+"'E4!(p6"</f>
        <v>#VALUE!</v>
      </c>
      <c r="IA180" t="e">
        <f>Nodes!AA1485+"'E4!(p7"</f>
        <v>#VALUE!</v>
      </c>
      <c r="IB180" t="e">
        <f>Nodes!AB1485+"'E4!(p8"</f>
        <v>#VALUE!</v>
      </c>
      <c r="IC180" t="e">
        <f>Nodes!AC1485+"'E4!(p9"</f>
        <v>#VALUE!</v>
      </c>
      <c r="ID180" t="e">
        <f>Nodes!A1486+"'E4!(p:"</f>
        <v>#VALUE!</v>
      </c>
      <c r="IE180" t="e">
        <f>Nodes!B1486+"'E4!(p;"</f>
        <v>#VALUE!</v>
      </c>
      <c r="IF180" t="e">
        <f>Nodes!C1486+"'E4!(p&lt;"</f>
        <v>#VALUE!</v>
      </c>
      <c r="IG180" t="e">
        <f>Nodes!D1486+"'E4!(p="</f>
        <v>#VALUE!</v>
      </c>
      <c r="IH180" t="e">
        <f>Nodes!E1486+"'E4!(p&gt;"</f>
        <v>#VALUE!</v>
      </c>
      <c r="II180" t="e">
        <f>Nodes!F1486+"'E4!(p?"</f>
        <v>#VALUE!</v>
      </c>
      <c r="IJ180" t="e">
        <f>Nodes!G1486+"'E4!(p@"</f>
        <v>#VALUE!</v>
      </c>
      <c r="IK180" t="e">
        <f>Nodes!H1486+"'E4!(pA"</f>
        <v>#VALUE!</v>
      </c>
      <c r="IL180" t="e">
        <f>Nodes!I1486+"'E4!(pB"</f>
        <v>#VALUE!</v>
      </c>
      <c r="IM180" t="e">
        <f>Nodes!J1486+"'E4!(pC"</f>
        <v>#VALUE!</v>
      </c>
      <c r="IN180" t="e">
        <f>Nodes!K1486+"'E4!(pD"</f>
        <v>#VALUE!</v>
      </c>
      <c r="IO180" t="e">
        <f>Nodes!L1486+"'E4!(pE"</f>
        <v>#VALUE!</v>
      </c>
      <c r="IP180" t="e">
        <f>Nodes!M1486+"'E4!(pF"</f>
        <v>#VALUE!</v>
      </c>
      <c r="IQ180" t="e">
        <f>Nodes!N1486+"'E4!(pG"</f>
        <v>#VALUE!</v>
      </c>
      <c r="IR180" t="e">
        <f>Nodes!O1486+"'E4!(pH"</f>
        <v>#VALUE!</v>
      </c>
      <c r="IS180" t="e">
        <f>Nodes!P1486+"'E4!(pI"</f>
        <v>#VALUE!</v>
      </c>
      <c r="IT180" t="e">
        <f>Nodes!Q1486+"'E4!(pJ"</f>
        <v>#VALUE!</v>
      </c>
      <c r="IU180" t="e">
        <f>Nodes!R1486+"'E4!(pK"</f>
        <v>#VALUE!</v>
      </c>
      <c r="IV180" t="e">
        <f>Nodes!S1486+"'E4!(pL"</f>
        <v>#VALUE!</v>
      </c>
    </row>
    <row r="181" spans="6:256">
      <c r="F181" t="e">
        <f>Nodes!T1486+"'E4!(pM"</f>
        <v>#VALUE!</v>
      </c>
      <c r="G181" s="550" t="e">
        <f>Nodes!U1486+"'E4!(pN"</f>
        <v>#VALUE!</v>
      </c>
      <c r="H181" t="e">
        <f>Nodes!V1486+"'E4!(pO"</f>
        <v>#VALUE!</v>
      </c>
      <c r="I181" t="e">
        <f>Nodes!W1486+"'E4!(pP"</f>
        <v>#VALUE!</v>
      </c>
      <c r="J181" t="e">
        <f>Nodes!X1486+"'E4!(pQ"</f>
        <v>#VALUE!</v>
      </c>
      <c r="K181" t="e">
        <f>Nodes!Y1486+"'E4!(pR"</f>
        <v>#VALUE!</v>
      </c>
      <c r="L181" t="e">
        <f>Nodes!Z1486+"'E4!(pS"</f>
        <v>#VALUE!</v>
      </c>
      <c r="M181" t="e">
        <f>Nodes!AA1486+"'E4!(pT"</f>
        <v>#VALUE!</v>
      </c>
      <c r="N181" t="e">
        <f>Nodes!AB1486+"'E4!(pU"</f>
        <v>#VALUE!</v>
      </c>
      <c r="O181" t="e">
        <f>Nodes!AC1486+"'E4!(pV"</f>
        <v>#VALUE!</v>
      </c>
      <c r="P181" t="e">
        <f>Nodes!A1487+"'E4!(pW"</f>
        <v>#VALUE!</v>
      </c>
      <c r="Q181" t="e">
        <f>Nodes!B1487+"'E4!(pX"</f>
        <v>#VALUE!</v>
      </c>
      <c r="R181" t="e">
        <f>Nodes!C1487+"'E4!(pY"</f>
        <v>#VALUE!</v>
      </c>
      <c r="S181" t="e">
        <f>Nodes!D1487+"'E4!(pZ"</f>
        <v>#VALUE!</v>
      </c>
      <c r="T181" t="e">
        <f>Nodes!E1487+"'E4!(p["</f>
        <v>#VALUE!</v>
      </c>
      <c r="U181" t="e">
        <f>Nodes!F1487+"'E4!(p\"</f>
        <v>#VALUE!</v>
      </c>
      <c r="V181" t="e">
        <f>Nodes!G1487+"'E4!(p]"</f>
        <v>#VALUE!</v>
      </c>
      <c r="W181" t="e">
        <f>Nodes!H1487+"'E4!(p^"</f>
        <v>#VALUE!</v>
      </c>
      <c r="X181" t="e">
        <f>Nodes!I1487+"'E4!(p_"</f>
        <v>#VALUE!</v>
      </c>
      <c r="Y181" t="e">
        <f>Nodes!J1487+"'E4!(p`"</f>
        <v>#VALUE!</v>
      </c>
      <c r="Z181" t="e">
        <f>Nodes!K1487+"'E4!(pa"</f>
        <v>#VALUE!</v>
      </c>
      <c r="AA181" t="e">
        <f>Nodes!L1487+"'E4!(pb"</f>
        <v>#VALUE!</v>
      </c>
      <c r="AB181" t="e">
        <f>Nodes!M1487+"'E4!(pc"</f>
        <v>#VALUE!</v>
      </c>
      <c r="AC181" t="e">
        <f>Nodes!N1487+"'E4!(pd"</f>
        <v>#VALUE!</v>
      </c>
      <c r="AD181" t="e">
        <f>Nodes!O1487+"'E4!(pe"</f>
        <v>#VALUE!</v>
      </c>
      <c r="AE181" t="e">
        <f>Nodes!P1487+"'E4!(pf"</f>
        <v>#VALUE!</v>
      </c>
      <c r="AF181" t="e">
        <f>Nodes!Q1487+"'E4!(pg"</f>
        <v>#VALUE!</v>
      </c>
      <c r="AG181" t="e">
        <f>Nodes!R1487+"'E4!(ph"</f>
        <v>#VALUE!</v>
      </c>
      <c r="AH181" t="e">
        <f>Nodes!S1487+"'E4!(pi"</f>
        <v>#VALUE!</v>
      </c>
      <c r="AI181" t="e">
        <f>Nodes!T1487+"'E4!(pj"</f>
        <v>#VALUE!</v>
      </c>
      <c r="AJ181" s="550" t="e">
        <f>Nodes!U1487+"'E4!(pk"</f>
        <v>#VALUE!</v>
      </c>
      <c r="AK181" t="e">
        <f>Nodes!V1487+"'E4!(pl"</f>
        <v>#VALUE!</v>
      </c>
      <c r="AL181" t="e">
        <f>Nodes!W1487+"'E4!(pm"</f>
        <v>#VALUE!</v>
      </c>
      <c r="AM181" t="e">
        <f>Nodes!X1487+"'E4!(pn"</f>
        <v>#VALUE!</v>
      </c>
      <c r="AN181" t="e">
        <f>Nodes!Y1487+"'E4!(po"</f>
        <v>#VALUE!</v>
      </c>
      <c r="AO181" t="e">
        <f>Nodes!Z1487+"'E4!(pp"</f>
        <v>#VALUE!</v>
      </c>
      <c r="AP181" t="e">
        <f>Nodes!AA1487+"'E4!(pq"</f>
        <v>#VALUE!</v>
      </c>
      <c r="AQ181" t="e">
        <f>Nodes!AB1487+"'E4!(pr"</f>
        <v>#VALUE!</v>
      </c>
      <c r="AR181" t="e">
        <f>Nodes!AC1487+"'E4!(ps"</f>
        <v>#VALUE!</v>
      </c>
      <c r="AS181" t="e">
        <f>Nodes!A1488+"'E4!(pt"</f>
        <v>#VALUE!</v>
      </c>
      <c r="AT181" t="e">
        <f>Nodes!B1488+"'E4!(pu"</f>
        <v>#VALUE!</v>
      </c>
      <c r="AU181" t="e">
        <f>Nodes!C1488+"'E4!(pv"</f>
        <v>#VALUE!</v>
      </c>
      <c r="AV181" t="e">
        <f>Nodes!D1488+"'E4!(pw"</f>
        <v>#VALUE!</v>
      </c>
      <c r="AW181" t="e">
        <f>Nodes!E1488+"'E4!(px"</f>
        <v>#VALUE!</v>
      </c>
      <c r="AX181" t="e">
        <f>Nodes!F1488+"'E4!(py"</f>
        <v>#VALUE!</v>
      </c>
      <c r="AY181" t="e">
        <f>Nodes!G1488+"'E4!(pz"</f>
        <v>#VALUE!</v>
      </c>
      <c r="AZ181" t="e">
        <f>Nodes!H1488+"'E4!(p{"</f>
        <v>#VALUE!</v>
      </c>
      <c r="BA181" t="e">
        <f>Nodes!I1488+"'E4!(p|"</f>
        <v>#VALUE!</v>
      </c>
      <c r="BB181" t="e">
        <f>Nodes!J1488+"'E4!(p}"</f>
        <v>#VALUE!</v>
      </c>
      <c r="BC181" t="e">
        <f>Nodes!K1488+"'E4!(p~"</f>
        <v>#VALUE!</v>
      </c>
      <c r="BD181" t="e">
        <f>Nodes!L1488+"'E4!(q#"</f>
        <v>#VALUE!</v>
      </c>
      <c r="BE181" t="e">
        <f>Nodes!M1488+"'E4!(q$"</f>
        <v>#VALUE!</v>
      </c>
      <c r="BF181" t="e">
        <f>Nodes!N1488+"'E4!(q%"</f>
        <v>#VALUE!</v>
      </c>
      <c r="BG181" t="e">
        <f>Nodes!O1488+"'E4!(q&amp;"</f>
        <v>#VALUE!</v>
      </c>
      <c r="BH181" t="e">
        <f>Nodes!P1488+"'E4!(q'"</f>
        <v>#VALUE!</v>
      </c>
      <c r="BI181" t="e">
        <f>Nodes!Q1488+"'E4!(q("</f>
        <v>#VALUE!</v>
      </c>
      <c r="BJ181" t="e">
        <f>Nodes!R1488+"'E4!(q)"</f>
        <v>#VALUE!</v>
      </c>
      <c r="BK181" t="e">
        <f>Nodes!S1488+"'E4!(q."</f>
        <v>#VALUE!</v>
      </c>
      <c r="BL181" t="e">
        <f>Nodes!T1488+"'E4!(q/"</f>
        <v>#VALUE!</v>
      </c>
      <c r="BM181" s="550" t="e">
        <f>Nodes!U1488+"'E4!(q0"</f>
        <v>#VALUE!</v>
      </c>
      <c r="BN181" t="e">
        <f>Nodes!V1488+"'E4!(q1"</f>
        <v>#VALUE!</v>
      </c>
      <c r="BO181" t="e">
        <f>Nodes!W1488+"'E4!(q2"</f>
        <v>#VALUE!</v>
      </c>
      <c r="BP181" t="e">
        <f>Nodes!X1488+"'E4!(q3"</f>
        <v>#VALUE!</v>
      </c>
      <c r="BQ181" t="e">
        <f>Nodes!Y1488+"'E4!(q4"</f>
        <v>#VALUE!</v>
      </c>
      <c r="BR181" t="e">
        <f>Nodes!Z1488+"'E4!(q5"</f>
        <v>#VALUE!</v>
      </c>
      <c r="BS181" t="e">
        <f>Nodes!AA1488+"'E4!(q6"</f>
        <v>#VALUE!</v>
      </c>
      <c r="BT181" t="e">
        <f>Nodes!AB1488+"'E4!(q7"</f>
        <v>#VALUE!</v>
      </c>
      <c r="BU181" t="e">
        <f>Nodes!AC1488+"'E4!(q8"</f>
        <v>#VALUE!</v>
      </c>
      <c r="BV181" t="e">
        <f>Nodes!A1489+"'E4!(q9"</f>
        <v>#VALUE!</v>
      </c>
      <c r="BW181" t="e">
        <f>Nodes!B1489+"'E4!(q:"</f>
        <v>#VALUE!</v>
      </c>
      <c r="BX181" t="e">
        <f>Nodes!C1489+"'E4!(q;"</f>
        <v>#VALUE!</v>
      </c>
      <c r="BY181" t="e">
        <f>Nodes!D1489+"'E4!(q&lt;"</f>
        <v>#VALUE!</v>
      </c>
      <c r="BZ181" t="e">
        <f>Nodes!E1489+"'E4!(q="</f>
        <v>#VALUE!</v>
      </c>
      <c r="CA181" t="e">
        <f>Nodes!F1489+"'E4!(q&gt;"</f>
        <v>#VALUE!</v>
      </c>
      <c r="CB181" t="e">
        <f>Nodes!G1489+"'E4!(q?"</f>
        <v>#VALUE!</v>
      </c>
      <c r="CC181" t="e">
        <f>Nodes!H1489+"'E4!(q@"</f>
        <v>#VALUE!</v>
      </c>
      <c r="CD181" t="e">
        <f>Nodes!I1489+"'E4!(qA"</f>
        <v>#VALUE!</v>
      </c>
      <c r="CE181" t="e">
        <f>Nodes!J1489+"'E4!(qB"</f>
        <v>#VALUE!</v>
      </c>
      <c r="CF181" t="e">
        <f>Nodes!K1489+"'E4!(qC"</f>
        <v>#VALUE!</v>
      </c>
      <c r="CG181" t="e">
        <f>Nodes!L1489+"'E4!(qD"</f>
        <v>#VALUE!</v>
      </c>
      <c r="CH181" t="e">
        <f>Nodes!M1489+"'E4!(qE"</f>
        <v>#VALUE!</v>
      </c>
      <c r="CI181" t="e">
        <f>Nodes!N1489+"'E4!(qF"</f>
        <v>#VALUE!</v>
      </c>
      <c r="CJ181" t="e">
        <f>Nodes!O1489+"'E4!(qG"</f>
        <v>#VALUE!</v>
      </c>
      <c r="CK181" t="e">
        <f>Nodes!P1489+"'E4!(qH"</f>
        <v>#VALUE!</v>
      </c>
      <c r="CL181" t="e">
        <f>Nodes!Q1489+"'E4!(qI"</f>
        <v>#VALUE!</v>
      </c>
      <c r="CM181" t="e">
        <f>Nodes!R1489+"'E4!(qJ"</f>
        <v>#VALUE!</v>
      </c>
      <c r="CN181" t="e">
        <f>Nodes!S1489+"'E4!(qK"</f>
        <v>#VALUE!</v>
      </c>
      <c r="CO181" t="e">
        <f>Nodes!T1489+"'E4!(qL"</f>
        <v>#VALUE!</v>
      </c>
      <c r="CP181" s="550" t="e">
        <f>Nodes!U1489+"'E4!(qM"</f>
        <v>#VALUE!</v>
      </c>
      <c r="CQ181" t="e">
        <f>Nodes!V1489+"'E4!(qN"</f>
        <v>#VALUE!</v>
      </c>
      <c r="CR181" t="e">
        <f>Nodes!W1489+"'E4!(qO"</f>
        <v>#VALUE!</v>
      </c>
      <c r="CS181" t="e">
        <f>Nodes!X1489+"'E4!(qP"</f>
        <v>#VALUE!</v>
      </c>
      <c r="CT181" t="e">
        <f>Nodes!Y1489+"'E4!(qQ"</f>
        <v>#VALUE!</v>
      </c>
      <c r="CU181" t="e">
        <f>Nodes!Z1489+"'E4!(qR"</f>
        <v>#VALUE!</v>
      </c>
      <c r="CV181" t="e">
        <f>Nodes!AA1489+"'E4!(qS"</f>
        <v>#VALUE!</v>
      </c>
      <c r="CW181" t="e">
        <f>Nodes!AB1489+"'E4!(qT"</f>
        <v>#VALUE!</v>
      </c>
      <c r="CX181" t="e">
        <f>Nodes!AC1489+"'E4!(qU"</f>
        <v>#VALUE!</v>
      </c>
      <c r="CY181" t="e">
        <f>Nodes!A1490+"'E4!(qV"</f>
        <v>#VALUE!</v>
      </c>
      <c r="CZ181" t="e">
        <f>Nodes!B1490+"'E4!(qW"</f>
        <v>#VALUE!</v>
      </c>
      <c r="DA181" t="e">
        <f>Nodes!C1490+"'E4!(qX"</f>
        <v>#VALUE!</v>
      </c>
      <c r="DB181" t="e">
        <f>Nodes!D1490+"'E4!(qY"</f>
        <v>#VALUE!</v>
      </c>
      <c r="DC181" t="e">
        <f>Nodes!E1490+"'E4!(qZ"</f>
        <v>#VALUE!</v>
      </c>
      <c r="DD181" t="e">
        <f>Nodes!F1490+"'E4!(q["</f>
        <v>#VALUE!</v>
      </c>
      <c r="DE181" t="e">
        <f>Nodes!G1490+"'E4!(q\"</f>
        <v>#VALUE!</v>
      </c>
      <c r="DF181" t="e">
        <f>Nodes!H1490+"'E4!(q]"</f>
        <v>#VALUE!</v>
      </c>
      <c r="DG181" t="e">
        <f>Nodes!I1490+"'E4!(q^"</f>
        <v>#VALUE!</v>
      </c>
      <c r="DH181" t="e">
        <f>Nodes!J1490+"'E4!(q_"</f>
        <v>#VALUE!</v>
      </c>
      <c r="DI181" t="e">
        <f>Nodes!K1490+"'E4!(q`"</f>
        <v>#VALUE!</v>
      </c>
      <c r="DJ181" t="e">
        <f>Nodes!L1490+"'E4!(qa"</f>
        <v>#VALUE!</v>
      </c>
      <c r="DK181" t="e">
        <f>Nodes!M1490+"'E4!(qb"</f>
        <v>#VALUE!</v>
      </c>
      <c r="DL181" t="e">
        <f>Nodes!N1490+"'E4!(qc"</f>
        <v>#VALUE!</v>
      </c>
      <c r="DM181" t="e">
        <f>Nodes!O1490+"'E4!(qd"</f>
        <v>#VALUE!</v>
      </c>
      <c r="DN181" t="e">
        <f>Nodes!P1490+"'E4!(qe"</f>
        <v>#VALUE!</v>
      </c>
      <c r="DO181" t="e">
        <f>Nodes!Q1490+"'E4!(qf"</f>
        <v>#VALUE!</v>
      </c>
      <c r="DP181" t="e">
        <f>Nodes!R1490+"'E4!(qg"</f>
        <v>#VALUE!</v>
      </c>
      <c r="DQ181" t="e">
        <f>Nodes!S1490+"'E4!(qh"</f>
        <v>#VALUE!</v>
      </c>
      <c r="DR181" t="e">
        <f>Nodes!T1490+"'E4!(qi"</f>
        <v>#VALUE!</v>
      </c>
      <c r="DS181" s="550" t="e">
        <f>Nodes!U1490+"'E4!(qj"</f>
        <v>#VALUE!</v>
      </c>
      <c r="DT181" t="e">
        <f>Nodes!V1490+"'E4!(qk"</f>
        <v>#VALUE!</v>
      </c>
      <c r="DU181" t="e">
        <f>Nodes!W1490+"'E4!(ql"</f>
        <v>#VALUE!</v>
      </c>
      <c r="DV181" t="e">
        <f>Nodes!X1490+"'E4!(qm"</f>
        <v>#VALUE!</v>
      </c>
      <c r="DW181" t="e">
        <f>Nodes!Y1490+"'E4!(qn"</f>
        <v>#VALUE!</v>
      </c>
      <c r="DX181" t="e">
        <f>Nodes!Z1490+"'E4!(qo"</f>
        <v>#VALUE!</v>
      </c>
      <c r="DY181" t="e">
        <f>Nodes!AA1490+"'E4!(qp"</f>
        <v>#VALUE!</v>
      </c>
      <c r="DZ181" t="e">
        <f>Nodes!AB1490+"'E4!(qq"</f>
        <v>#VALUE!</v>
      </c>
      <c r="EA181" t="e">
        <f>Nodes!AC1490+"'E4!(qr"</f>
        <v>#VALUE!</v>
      </c>
      <c r="EB181" t="e">
        <f>Nodes!A1491+"'E4!(qs"</f>
        <v>#VALUE!</v>
      </c>
      <c r="EC181" t="e">
        <f>Nodes!B1491+"'E4!(qt"</f>
        <v>#VALUE!</v>
      </c>
      <c r="ED181" t="e">
        <f>Nodes!C1491+"'E4!(qu"</f>
        <v>#VALUE!</v>
      </c>
      <c r="EE181" t="e">
        <f>Nodes!D1491+"'E4!(qv"</f>
        <v>#VALUE!</v>
      </c>
      <c r="EF181" t="e">
        <f>Nodes!E1491+"'E4!(qw"</f>
        <v>#VALUE!</v>
      </c>
      <c r="EG181" t="e">
        <f>Nodes!F1491+"'E4!(qx"</f>
        <v>#VALUE!</v>
      </c>
      <c r="EH181" t="e">
        <f>Nodes!G1491+"'E4!(qy"</f>
        <v>#VALUE!</v>
      </c>
      <c r="EI181" t="e">
        <f>Nodes!H1491+"'E4!(qz"</f>
        <v>#VALUE!</v>
      </c>
      <c r="EJ181" t="e">
        <f>Nodes!I1491+"'E4!(q{"</f>
        <v>#VALUE!</v>
      </c>
      <c r="EK181" t="e">
        <f>Nodes!J1491+"'E4!(q|"</f>
        <v>#VALUE!</v>
      </c>
      <c r="EL181" t="e">
        <f>Nodes!K1491+"'E4!(q}"</f>
        <v>#VALUE!</v>
      </c>
      <c r="EM181" t="e">
        <f>Nodes!L1491+"'E4!(q~"</f>
        <v>#VALUE!</v>
      </c>
      <c r="EN181" t="e">
        <f>Nodes!M1491+"'E4!(r#"</f>
        <v>#VALUE!</v>
      </c>
      <c r="EO181" t="e">
        <f>Nodes!N1491+"'E4!(r$"</f>
        <v>#VALUE!</v>
      </c>
      <c r="EP181" t="e">
        <f>Nodes!O1491+"'E4!(r%"</f>
        <v>#VALUE!</v>
      </c>
      <c r="EQ181" t="e">
        <f>Nodes!P1491+"'E4!(r&amp;"</f>
        <v>#VALUE!</v>
      </c>
      <c r="ER181" t="e">
        <f>Nodes!Q1491+"'E4!(r'"</f>
        <v>#VALUE!</v>
      </c>
      <c r="ES181" t="e">
        <f>Nodes!R1491+"'E4!(r("</f>
        <v>#VALUE!</v>
      </c>
      <c r="ET181" t="e">
        <f>Nodes!S1491+"'E4!(r)"</f>
        <v>#VALUE!</v>
      </c>
      <c r="EU181" t="e">
        <f>Nodes!T1491+"'E4!(r."</f>
        <v>#VALUE!</v>
      </c>
      <c r="EV181" s="550" t="e">
        <f>Nodes!U1491+"'E4!(r/"</f>
        <v>#VALUE!</v>
      </c>
      <c r="EW181" t="e">
        <f>Nodes!V1491+"'E4!(r0"</f>
        <v>#VALUE!</v>
      </c>
      <c r="EX181" t="e">
        <f>Nodes!W1491+"'E4!(r1"</f>
        <v>#VALUE!</v>
      </c>
      <c r="EY181" t="e">
        <f>Nodes!X1491+"'E4!(r2"</f>
        <v>#VALUE!</v>
      </c>
      <c r="EZ181" t="e">
        <f>Nodes!Y1491+"'E4!(r3"</f>
        <v>#VALUE!</v>
      </c>
      <c r="FA181" t="e">
        <f>Nodes!Z1491+"'E4!(r4"</f>
        <v>#VALUE!</v>
      </c>
      <c r="FB181" t="e">
        <f>Nodes!AA1491+"'E4!(r5"</f>
        <v>#VALUE!</v>
      </c>
      <c r="FC181" t="e">
        <f>Nodes!AB1491+"'E4!(r6"</f>
        <v>#VALUE!</v>
      </c>
      <c r="FD181" t="e">
        <f>Nodes!AC1491+"'E4!(r7"</f>
        <v>#VALUE!</v>
      </c>
      <c r="FE181" t="e">
        <f>Nodes!A1492+"'E4!(r8"</f>
        <v>#VALUE!</v>
      </c>
      <c r="FF181" t="e">
        <f>Nodes!B1492+"'E4!(r9"</f>
        <v>#VALUE!</v>
      </c>
      <c r="FG181" t="e">
        <f>Nodes!C1492+"'E4!(r:"</f>
        <v>#VALUE!</v>
      </c>
      <c r="FH181" t="e">
        <f>Nodes!D1492+"'E4!(r;"</f>
        <v>#VALUE!</v>
      </c>
      <c r="FI181" t="e">
        <f>Nodes!E1492+"'E4!(r&lt;"</f>
        <v>#VALUE!</v>
      </c>
      <c r="FJ181" t="e">
        <f>Nodes!F1492+"'E4!(r="</f>
        <v>#VALUE!</v>
      </c>
      <c r="FK181" t="e">
        <f>Nodes!G1492+"'E4!(r&gt;"</f>
        <v>#VALUE!</v>
      </c>
      <c r="FL181" t="e">
        <f>Nodes!H1492+"'E4!(r?"</f>
        <v>#VALUE!</v>
      </c>
      <c r="FM181" t="e">
        <f>Nodes!I1492+"'E4!(r@"</f>
        <v>#VALUE!</v>
      </c>
      <c r="FN181" t="e">
        <f>Nodes!J1492+"'E4!(rA"</f>
        <v>#VALUE!</v>
      </c>
      <c r="FO181" t="e">
        <f>Nodes!K1492+"'E4!(rB"</f>
        <v>#VALUE!</v>
      </c>
      <c r="FP181" t="e">
        <f>Nodes!L1492+"'E4!(rC"</f>
        <v>#VALUE!</v>
      </c>
      <c r="FQ181" t="e">
        <f>Nodes!M1492+"'E4!(rD"</f>
        <v>#VALUE!</v>
      </c>
      <c r="FR181" t="e">
        <f>Nodes!N1492+"'E4!(rE"</f>
        <v>#VALUE!</v>
      </c>
      <c r="FS181" t="e">
        <f>Nodes!O1492+"'E4!(rF"</f>
        <v>#VALUE!</v>
      </c>
      <c r="FT181" t="e">
        <f>Nodes!P1492+"'E4!(rG"</f>
        <v>#VALUE!</v>
      </c>
      <c r="FU181" t="e">
        <f>Nodes!Q1492+"'E4!(rH"</f>
        <v>#VALUE!</v>
      </c>
      <c r="FV181" t="e">
        <f>Nodes!R1492+"'E4!(rI"</f>
        <v>#VALUE!</v>
      </c>
      <c r="FW181" t="e">
        <f>Nodes!S1492+"'E4!(rJ"</f>
        <v>#VALUE!</v>
      </c>
      <c r="FX181" t="e">
        <f>Nodes!T1492+"'E4!(rK"</f>
        <v>#VALUE!</v>
      </c>
      <c r="FY181" s="550" t="e">
        <f>Nodes!U1492+"'E4!(rL"</f>
        <v>#VALUE!</v>
      </c>
      <c r="FZ181" t="e">
        <f>Nodes!V1492+"'E4!(rM"</f>
        <v>#VALUE!</v>
      </c>
      <c r="GA181" t="e">
        <f>Nodes!W1492+"'E4!(rN"</f>
        <v>#VALUE!</v>
      </c>
      <c r="GB181" t="e">
        <f>Nodes!X1492+"'E4!(rO"</f>
        <v>#VALUE!</v>
      </c>
      <c r="GC181" t="e">
        <f>Nodes!Y1492+"'E4!(rP"</f>
        <v>#VALUE!</v>
      </c>
      <c r="GD181" t="e">
        <f>Nodes!Z1492+"'E4!(rQ"</f>
        <v>#VALUE!</v>
      </c>
      <c r="GE181" t="e">
        <f>Nodes!AA1492+"'E4!(rR"</f>
        <v>#VALUE!</v>
      </c>
      <c r="GF181" t="e">
        <f>Nodes!AB1492+"'E4!(rS"</f>
        <v>#VALUE!</v>
      </c>
      <c r="GG181" t="e">
        <f>Nodes!AC1492+"'E4!(rT"</f>
        <v>#VALUE!</v>
      </c>
      <c r="GH181" t="e">
        <f>Nodes!A1493+"'E4!(rU"</f>
        <v>#VALUE!</v>
      </c>
      <c r="GI181" t="e">
        <f>Nodes!B1493+"'E4!(rV"</f>
        <v>#VALUE!</v>
      </c>
      <c r="GJ181" t="e">
        <f>Nodes!C1493+"'E4!(rW"</f>
        <v>#VALUE!</v>
      </c>
      <c r="GK181" t="e">
        <f>Nodes!D1493+"'E4!(rX"</f>
        <v>#VALUE!</v>
      </c>
      <c r="GL181" t="e">
        <f>Nodes!E1493+"'E4!(rY"</f>
        <v>#VALUE!</v>
      </c>
      <c r="GM181" t="e">
        <f>Nodes!F1493+"'E4!(rZ"</f>
        <v>#VALUE!</v>
      </c>
      <c r="GN181" t="e">
        <f>Nodes!G1493+"'E4!(r["</f>
        <v>#VALUE!</v>
      </c>
      <c r="GO181" t="e">
        <f>Nodes!H1493+"'E4!(r\"</f>
        <v>#VALUE!</v>
      </c>
      <c r="GP181" t="e">
        <f>Nodes!I1493+"'E4!(r]"</f>
        <v>#VALUE!</v>
      </c>
      <c r="GQ181" t="e">
        <f>Nodes!J1493+"'E4!(r^"</f>
        <v>#VALUE!</v>
      </c>
      <c r="GR181" t="e">
        <f>Nodes!K1493+"'E4!(r_"</f>
        <v>#VALUE!</v>
      </c>
      <c r="GS181" t="e">
        <f>Nodes!L1493+"'E4!(r`"</f>
        <v>#VALUE!</v>
      </c>
      <c r="GT181" t="e">
        <f>Nodes!M1493+"'E4!(ra"</f>
        <v>#VALUE!</v>
      </c>
      <c r="GU181" t="e">
        <f>Nodes!N1493+"'E4!(rb"</f>
        <v>#VALUE!</v>
      </c>
      <c r="GV181" t="e">
        <f>Nodes!O1493+"'E4!(rc"</f>
        <v>#VALUE!</v>
      </c>
      <c r="GW181" t="e">
        <f>Nodes!P1493+"'E4!(rd"</f>
        <v>#VALUE!</v>
      </c>
      <c r="GX181" t="e">
        <f>Nodes!Q1493+"'E4!(re"</f>
        <v>#VALUE!</v>
      </c>
      <c r="GY181" t="e">
        <f>Nodes!R1493+"'E4!(rf"</f>
        <v>#VALUE!</v>
      </c>
      <c r="GZ181" t="e">
        <f>Nodes!S1493+"'E4!(rg"</f>
        <v>#VALUE!</v>
      </c>
      <c r="HA181" t="e">
        <f>Nodes!T1493+"'E4!(rh"</f>
        <v>#VALUE!</v>
      </c>
      <c r="HB181" s="550" t="e">
        <f>Nodes!U1493+"'E4!(ri"</f>
        <v>#VALUE!</v>
      </c>
      <c r="HC181" t="e">
        <f>Nodes!V1493+"'E4!(rj"</f>
        <v>#VALUE!</v>
      </c>
      <c r="HD181" t="e">
        <f>Nodes!W1493+"'E4!(rk"</f>
        <v>#VALUE!</v>
      </c>
      <c r="HE181" t="e">
        <f>Nodes!X1493+"'E4!(rl"</f>
        <v>#VALUE!</v>
      </c>
      <c r="HF181" t="e">
        <f>Nodes!Y1493+"'E4!(rm"</f>
        <v>#VALUE!</v>
      </c>
      <c r="HG181" t="e">
        <f>Nodes!Z1493+"'E4!(rn"</f>
        <v>#VALUE!</v>
      </c>
      <c r="HH181" t="e">
        <f>Nodes!AA1493+"'E4!(ro"</f>
        <v>#VALUE!</v>
      </c>
      <c r="HI181" t="e">
        <f>Nodes!AB1493+"'E4!(rp"</f>
        <v>#VALUE!</v>
      </c>
      <c r="HJ181" t="e">
        <f>Nodes!AC1493+"'E4!(rq"</f>
        <v>#VALUE!</v>
      </c>
      <c r="HK181" t="e">
        <f>Nodes!A1494+"'E4!(rr"</f>
        <v>#VALUE!</v>
      </c>
      <c r="HL181" t="e">
        <f>Nodes!B1494+"'E4!(rs"</f>
        <v>#VALUE!</v>
      </c>
      <c r="HM181" t="e">
        <f>Nodes!C1494+"'E4!(rt"</f>
        <v>#VALUE!</v>
      </c>
      <c r="HN181" t="e">
        <f>Nodes!D1494+"'E4!(ru"</f>
        <v>#VALUE!</v>
      </c>
      <c r="HO181" t="e">
        <f>Nodes!E1494+"'E4!(rv"</f>
        <v>#VALUE!</v>
      </c>
      <c r="HP181" t="e">
        <f>Nodes!F1494+"'E4!(rw"</f>
        <v>#VALUE!</v>
      </c>
      <c r="HQ181" t="e">
        <f>Nodes!G1494+"'E4!(rx"</f>
        <v>#VALUE!</v>
      </c>
      <c r="HR181" t="e">
        <f>Nodes!H1494+"'E4!(ry"</f>
        <v>#VALUE!</v>
      </c>
      <c r="HS181" t="e">
        <f>Nodes!I1494+"'E4!(rz"</f>
        <v>#VALUE!</v>
      </c>
      <c r="HT181" t="e">
        <f>Nodes!J1494+"'E4!(r{"</f>
        <v>#VALUE!</v>
      </c>
      <c r="HU181" t="e">
        <f>Nodes!K1494+"'E4!(r|"</f>
        <v>#VALUE!</v>
      </c>
      <c r="HV181" t="e">
        <f>Nodes!L1494+"'E4!(r}"</f>
        <v>#VALUE!</v>
      </c>
      <c r="HW181" t="e">
        <f>Nodes!M1494+"'E4!(r~"</f>
        <v>#VALUE!</v>
      </c>
      <c r="HX181" t="e">
        <f>Nodes!N1494+"'E4!(s#"</f>
        <v>#VALUE!</v>
      </c>
      <c r="HY181" t="e">
        <f>Nodes!O1494+"'E4!(s$"</f>
        <v>#VALUE!</v>
      </c>
      <c r="HZ181" t="e">
        <f>Nodes!P1494+"'E4!(s%"</f>
        <v>#VALUE!</v>
      </c>
      <c r="IA181" t="e">
        <f>Nodes!Q1494+"'E4!(s&amp;"</f>
        <v>#VALUE!</v>
      </c>
      <c r="IB181" t="e">
        <f>Nodes!R1494+"'E4!(s'"</f>
        <v>#VALUE!</v>
      </c>
      <c r="IC181" t="e">
        <f>Nodes!S1494+"'E4!(s("</f>
        <v>#VALUE!</v>
      </c>
      <c r="ID181" t="e">
        <f>Nodes!T1494+"'E4!(s)"</f>
        <v>#VALUE!</v>
      </c>
      <c r="IE181" s="550" t="e">
        <f>Nodes!U1494+"'E4!(s."</f>
        <v>#VALUE!</v>
      </c>
      <c r="IF181" t="e">
        <f>Nodes!V1494+"'E4!(s/"</f>
        <v>#VALUE!</v>
      </c>
      <c r="IG181" t="e">
        <f>Nodes!W1494+"'E4!(s0"</f>
        <v>#VALUE!</v>
      </c>
      <c r="IH181" t="e">
        <f>Nodes!X1494+"'E4!(s1"</f>
        <v>#VALUE!</v>
      </c>
      <c r="II181" t="e">
        <f>Nodes!Y1494+"'E4!(s2"</f>
        <v>#VALUE!</v>
      </c>
      <c r="IJ181" t="e">
        <f>Nodes!Z1494+"'E4!(s3"</f>
        <v>#VALUE!</v>
      </c>
      <c r="IK181" t="e">
        <f>Nodes!AA1494+"'E4!(s4"</f>
        <v>#VALUE!</v>
      </c>
      <c r="IL181" t="e">
        <f>Nodes!AB1494+"'E4!(s5"</f>
        <v>#VALUE!</v>
      </c>
      <c r="IM181" t="e">
        <f>Nodes!AC1494+"'E4!(s6"</f>
        <v>#VALUE!</v>
      </c>
      <c r="IN181" t="e">
        <f>Nodes!A1495+"'E4!(s7"</f>
        <v>#VALUE!</v>
      </c>
      <c r="IO181" t="e">
        <f>Nodes!B1495+"'E4!(s8"</f>
        <v>#VALUE!</v>
      </c>
      <c r="IP181" t="e">
        <f>Nodes!C1495+"'E4!(s9"</f>
        <v>#VALUE!</v>
      </c>
      <c r="IQ181" t="e">
        <f>Nodes!D1495+"'E4!(s:"</f>
        <v>#VALUE!</v>
      </c>
      <c r="IR181" t="e">
        <f>Nodes!E1495+"'E4!(s;"</f>
        <v>#VALUE!</v>
      </c>
      <c r="IS181" t="e">
        <f>Nodes!F1495+"'E4!(s&lt;"</f>
        <v>#VALUE!</v>
      </c>
      <c r="IT181" t="e">
        <f>Nodes!G1495+"'E4!(s="</f>
        <v>#VALUE!</v>
      </c>
      <c r="IU181" t="e">
        <f>Nodes!H1495+"'E4!(s&gt;"</f>
        <v>#VALUE!</v>
      </c>
      <c r="IV181" t="e">
        <f>Nodes!I1495+"'E4!(s?"</f>
        <v>#VALUE!</v>
      </c>
    </row>
    <row r="182" spans="6:256">
      <c r="F182" t="e">
        <f>Nodes!J1495+"'E4!(s@"</f>
        <v>#VALUE!</v>
      </c>
      <c r="G182" t="e">
        <f>Nodes!K1495+"'E4!(sA"</f>
        <v>#VALUE!</v>
      </c>
      <c r="H182" t="e">
        <f>Nodes!L1495+"'E4!(sB"</f>
        <v>#VALUE!</v>
      </c>
      <c r="I182" t="e">
        <f>Nodes!M1495+"'E4!(sC"</f>
        <v>#VALUE!</v>
      </c>
      <c r="J182" t="e">
        <f>Nodes!N1495+"'E4!(sD"</f>
        <v>#VALUE!</v>
      </c>
      <c r="K182" t="e">
        <f>Nodes!O1495+"'E4!(sE"</f>
        <v>#VALUE!</v>
      </c>
      <c r="L182" t="e">
        <f>Nodes!P1495+"'E4!(sF"</f>
        <v>#VALUE!</v>
      </c>
      <c r="M182" t="e">
        <f>Nodes!Q1495+"'E4!(sG"</f>
        <v>#VALUE!</v>
      </c>
      <c r="N182" t="e">
        <f>Nodes!R1495+"'E4!(sH"</f>
        <v>#VALUE!</v>
      </c>
      <c r="O182" t="e">
        <f>Nodes!S1495+"'E4!(sI"</f>
        <v>#VALUE!</v>
      </c>
      <c r="P182" t="e">
        <f>Nodes!T1495+"'E4!(sJ"</f>
        <v>#VALUE!</v>
      </c>
      <c r="Q182" s="550" t="e">
        <f>Nodes!U1495+"'E4!(sK"</f>
        <v>#VALUE!</v>
      </c>
      <c r="R182" t="e">
        <f>Nodes!V1495+"'E4!(sL"</f>
        <v>#VALUE!</v>
      </c>
      <c r="S182" t="e">
        <f>Nodes!W1495+"'E4!(sM"</f>
        <v>#VALUE!</v>
      </c>
      <c r="T182" t="e">
        <f>Nodes!X1495+"'E4!(sN"</f>
        <v>#VALUE!</v>
      </c>
      <c r="U182" t="e">
        <f>Nodes!Y1495+"'E4!(sO"</f>
        <v>#VALUE!</v>
      </c>
      <c r="V182" t="e">
        <f>Nodes!Z1495+"'E4!(sP"</f>
        <v>#VALUE!</v>
      </c>
      <c r="W182" t="e">
        <f>Nodes!AA1495+"'E4!(sQ"</f>
        <v>#VALUE!</v>
      </c>
      <c r="X182" t="e">
        <f>Nodes!AB1495+"'E4!(sR"</f>
        <v>#VALUE!</v>
      </c>
      <c r="Y182" t="e">
        <f>Nodes!AC1495+"'E4!(sS"</f>
        <v>#VALUE!</v>
      </c>
      <c r="Z182" t="e">
        <f>Nodes!A1496+"'E4!(sT"</f>
        <v>#VALUE!</v>
      </c>
      <c r="AA182" t="e">
        <f>Nodes!B1496+"'E4!(sU"</f>
        <v>#VALUE!</v>
      </c>
      <c r="AB182" t="e">
        <f>Nodes!C1496+"'E4!(sV"</f>
        <v>#VALUE!</v>
      </c>
      <c r="AC182" t="e">
        <f>Nodes!D1496+"'E4!(sW"</f>
        <v>#VALUE!</v>
      </c>
      <c r="AD182" t="e">
        <f>Nodes!E1496+"'E4!(sX"</f>
        <v>#VALUE!</v>
      </c>
      <c r="AE182" t="e">
        <f>Nodes!F1496+"'E4!(sY"</f>
        <v>#VALUE!</v>
      </c>
      <c r="AF182" t="e">
        <f>Nodes!G1496+"'E4!(sZ"</f>
        <v>#VALUE!</v>
      </c>
      <c r="AG182" t="e">
        <f>Nodes!H1496+"'E4!(s["</f>
        <v>#VALUE!</v>
      </c>
      <c r="AH182" t="e">
        <f>Nodes!I1496+"'E4!(s\"</f>
        <v>#VALUE!</v>
      </c>
      <c r="AI182" t="e">
        <f>Nodes!J1496+"'E4!(s]"</f>
        <v>#VALUE!</v>
      </c>
      <c r="AJ182" t="e">
        <f>Nodes!K1496+"'E4!(s^"</f>
        <v>#VALUE!</v>
      </c>
      <c r="AK182" t="e">
        <f>Nodes!L1496+"'E4!(s_"</f>
        <v>#VALUE!</v>
      </c>
      <c r="AL182" t="e">
        <f>Nodes!M1496+"'E4!(s`"</f>
        <v>#VALUE!</v>
      </c>
      <c r="AM182" t="e">
        <f>Nodes!N1496+"'E4!(sa"</f>
        <v>#VALUE!</v>
      </c>
      <c r="AN182" t="e">
        <f>Nodes!O1496+"'E4!(sb"</f>
        <v>#VALUE!</v>
      </c>
      <c r="AO182" t="e">
        <f>Nodes!P1496+"'E4!(sc"</f>
        <v>#VALUE!</v>
      </c>
      <c r="AP182" t="e">
        <f>Nodes!Q1496+"'E4!(sd"</f>
        <v>#VALUE!</v>
      </c>
      <c r="AQ182" t="e">
        <f>Nodes!R1496+"'E4!(se"</f>
        <v>#VALUE!</v>
      </c>
      <c r="AR182" t="e">
        <f>Nodes!S1496+"'E4!(sf"</f>
        <v>#VALUE!</v>
      </c>
      <c r="AS182" t="e">
        <f>Nodes!T1496+"'E4!(sg"</f>
        <v>#VALUE!</v>
      </c>
      <c r="AT182" s="550" t="e">
        <f>Nodes!U1496+"'E4!(sh"</f>
        <v>#VALUE!</v>
      </c>
      <c r="AU182" t="e">
        <f>Nodes!V1496+"'E4!(si"</f>
        <v>#VALUE!</v>
      </c>
      <c r="AV182" t="e">
        <f>Nodes!W1496+"'E4!(sj"</f>
        <v>#VALUE!</v>
      </c>
      <c r="AW182" t="e">
        <f>Nodes!X1496+"'E4!(sk"</f>
        <v>#VALUE!</v>
      </c>
      <c r="AX182" t="e">
        <f>Nodes!Y1496+"'E4!(sl"</f>
        <v>#VALUE!</v>
      </c>
      <c r="AY182" t="e">
        <f>Nodes!Z1496+"'E4!(sm"</f>
        <v>#VALUE!</v>
      </c>
      <c r="AZ182" t="e">
        <f>Nodes!AA1496+"'E4!(sn"</f>
        <v>#VALUE!</v>
      </c>
      <c r="BA182" t="e">
        <f>Nodes!AB1496+"'E4!(so"</f>
        <v>#VALUE!</v>
      </c>
      <c r="BB182" t="e">
        <f>Nodes!AC1496+"'E4!(sp"</f>
        <v>#VALUE!</v>
      </c>
      <c r="BC182" t="e">
        <f>Nodes!A1497+"'E4!(sq"</f>
        <v>#VALUE!</v>
      </c>
      <c r="BD182" t="e">
        <f>Nodes!B1497+"'E4!(sr"</f>
        <v>#VALUE!</v>
      </c>
      <c r="BE182" t="e">
        <f>Nodes!C1497+"'E4!(ss"</f>
        <v>#VALUE!</v>
      </c>
      <c r="BF182" t="e">
        <f>Nodes!D1497+"'E4!(st"</f>
        <v>#VALUE!</v>
      </c>
      <c r="BG182" t="e">
        <f>Nodes!E1497+"'E4!(su"</f>
        <v>#VALUE!</v>
      </c>
      <c r="BH182" t="e">
        <f>Nodes!F1497+"'E4!(sv"</f>
        <v>#VALUE!</v>
      </c>
      <c r="BI182" t="e">
        <f>Nodes!G1497+"'E4!(sw"</f>
        <v>#VALUE!</v>
      </c>
      <c r="BJ182" t="e">
        <f>Nodes!H1497+"'E4!(sx"</f>
        <v>#VALUE!</v>
      </c>
      <c r="BK182" t="e">
        <f>Nodes!I1497+"'E4!(sy"</f>
        <v>#VALUE!</v>
      </c>
      <c r="BL182" t="e">
        <f>Nodes!J1497+"'E4!(sz"</f>
        <v>#VALUE!</v>
      </c>
      <c r="BM182" t="e">
        <f>Nodes!K1497+"'E4!(s{"</f>
        <v>#VALUE!</v>
      </c>
      <c r="BN182" t="e">
        <f>Nodes!L1497+"'E4!(s|"</f>
        <v>#VALUE!</v>
      </c>
      <c r="BO182" t="e">
        <f>Nodes!M1497+"'E4!(s}"</f>
        <v>#VALUE!</v>
      </c>
      <c r="BP182" t="e">
        <f>Nodes!N1497+"'E4!(s~"</f>
        <v>#VALUE!</v>
      </c>
      <c r="BQ182" t="e">
        <f>Nodes!O1497+"'E4!(t#"</f>
        <v>#VALUE!</v>
      </c>
      <c r="BR182" t="e">
        <f>Nodes!P1497+"'E4!(t$"</f>
        <v>#VALUE!</v>
      </c>
      <c r="BS182" t="e">
        <f>Nodes!Q1497+"'E4!(t%"</f>
        <v>#VALUE!</v>
      </c>
      <c r="BT182" t="e">
        <f>Nodes!R1497+"'E4!(t&amp;"</f>
        <v>#VALUE!</v>
      </c>
      <c r="BU182" t="e">
        <f>Nodes!S1497+"'E4!(t'"</f>
        <v>#VALUE!</v>
      </c>
      <c r="BV182" t="e">
        <f>Nodes!T1497+"'E4!(t("</f>
        <v>#VALUE!</v>
      </c>
      <c r="BW182" s="550" t="e">
        <f>Nodes!U1497+"'E4!(t)"</f>
        <v>#VALUE!</v>
      </c>
      <c r="BX182" t="e">
        <f>Nodes!V1497+"'E4!(t."</f>
        <v>#VALUE!</v>
      </c>
      <c r="BY182" t="e">
        <f>Nodes!W1497+"'E4!(t/"</f>
        <v>#VALUE!</v>
      </c>
      <c r="BZ182" t="e">
        <f>Nodes!X1497+"'E4!(t0"</f>
        <v>#VALUE!</v>
      </c>
      <c r="CA182" t="e">
        <f>Nodes!Y1497+"'E4!(t1"</f>
        <v>#VALUE!</v>
      </c>
      <c r="CB182" t="e">
        <f>Nodes!Z1497+"'E4!(t2"</f>
        <v>#VALUE!</v>
      </c>
      <c r="CC182" t="e">
        <f>Nodes!AA1497+"'E4!(t3"</f>
        <v>#VALUE!</v>
      </c>
      <c r="CD182" t="e">
        <f>Nodes!AB1497+"'E4!(t4"</f>
        <v>#VALUE!</v>
      </c>
      <c r="CE182" t="e">
        <f>Nodes!AC1497+"'E4!(t5"</f>
        <v>#VALUE!</v>
      </c>
      <c r="CF182" t="e">
        <f>Nodes!A1498+"'E4!(t6"</f>
        <v>#VALUE!</v>
      </c>
      <c r="CG182" t="e">
        <f>Nodes!B1498+"'E4!(t7"</f>
        <v>#VALUE!</v>
      </c>
      <c r="CH182" t="e">
        <f>Nodes!C1498+"'E4!(t8"</f>
        <v>#VALUE!</v>
      </c>
      <c r="CI182" t="e">
        <f>Nodes!D1498+"'E4!(t9"</f>
        <v>#VALUE!</v>
      </c>
      <c r="CJ182" t="e">
        <f>Nodes!E1498+"'E4!(t:"</f>
        <v>#VALUE!</v>
      </c>
      <c r="CK182" t="e">
        <f>Nodes!F1498+"'E4!(t;"</f>
        <v>#VALUE!</v>
      </c>
      <c r="CL182" t="e">
        <f>Nodes!G1498+"'E4!(t&lt;"</f>
        <v>#VALUE!</v>
      </c>
      <c r="CM182" t="e">
        <f>Nodes!H1498+"'E4!(t="</f>
        <v>#VALUE!</v>
      </c>
      <c r="CN182" t="e">
        <f>Nodes!I1498+"'E4!(t&gt;"</f>
        <v>#VALUE!</v>
      </c>
      <c r="CO182" t="e">
        <f>Nodes!J1498+"'E4!(t?"</f>
        <v>#VALUE!</v>
      </c>
      <c r="CP182" t="e">
        <f>Nodes!K1498+"'E4!(t@"</f>
        <v>#VALUE!</v>
      </c>
      <c r="CQ182" t="e">
        <f>Nodes!L1498+"'E4!(tA"</f>
        <v>#VALUE!</v>
      </c>
      <c r="CR182" t="e">
        <f>Nodes!M1498+"'E4!(tB"</f>
        <v>#VALUE!</v>
      </c>
      <c r="CS182" t="e">
        <f>Nodes!N1498+"'E4!(tC"</f>
        <v>#VALUE!</v>
      </c>
      <c r="CT182" t="e">
        <f>Nodes!O1498+"'E4!(tD"</f>
        <v>#VALUE!</v>
      </c>
      <c r="CU182" t="e">
        <f>Nodes!P1498+"'E4!(tE"</f>
        <v>#VALUE!</v>
      </c>
      <c r="CV182" t="e">
        <f>Nodes!Q1498+"'E4!(tF"</f>
        <v>#VALUE!</v>
      </c>
      <c r="CW182" t="e">
        <f>Nodes!R1498+"'E4!(tG"</f>
        <v>#VALUE!</v>
      </c>
      <c r="CX182" t="e">
        <f>Nodes!S1498+"'E4!(tH"</f>
        <v>#VALUE!</v>
      </c>
      <c r="CY182" t="e">
        <f>Nodes!T1498+"'E4!(tI"</f>
        <v>#VALUE!</v>
      </c>
      <c r="CZ182" s="550" t="e">
        <f>Nodes!U1498+"'E4!(tJ"</f>
        <v>#VALUE!</v>
      </c>
      <c r="DA182" t="e">
        <f>Nodes!V1498+"'E4!(tK"</f>
        <v>#VALUE!</v>
      </c>
      <c r="DB182" t="e">
        <f>Nodes!W1498+"'E4!(tL"</f>
        <v>#VALUE!</v>
      </c>
      <c r="DC182" t="e">
        <f>Nodes!X1498+"'E4!(tM"</f>
        <v>#VALUE!</v>
      </c>
      <c r="DD182" t="e">
        <f>Nodes!Y1498+"'E4!(tN"</f>
        <v>#VALUE!</v>
      </c>
      <c r="DE182" t="e">
        <f>Nodes!Z1498+"'E4!(tO"</f>
        <v>#VALUE!</v>
      </c>
      <c r="DF182" t="e">
        <f>Nodes!AA1498+"'E4!(tP"</f>
        <v>#VALUE!</v>
      </c>
      <c r="DG182" t="e">
        <f>Nodes!AB1498+"'E4!(tQ"</f>
        <v>#VALUE!</v>
      </c>
      <c r="DH182" t="e">
        <f>Nodes!AC1498+"'E4!(tR"</f>
        <v>#VALUE!</v>
      </c>
      <c r="DI182" t="e">
        <f>Nodes!A1499+"'E4!(tS"</f>
        <v>#VALUE!</v>
      </c>
      <c r="DJ182" t="e">
        <f>Nodes!B1499+"'E4!(tT"</f>
        <v>#VALUE!</v>
      </c>
      <c r="DK182" t="e">
        <f>Nodes!C1499+"'E4!(tU"</f>
        <v>#VALUE!</v>
      </c>
      <c r="DL182" t="e">
        <f>Nodes!D1499+"'E4!(tV"</f>
        <v>#VALUE!</v>
      </c>
      <c r="DM182" t="e">
        <f>Nodes!E1499+"'E4!(tW"</f>
        <v>#VALUE!</v>
      </c>
      <c r="DN182" t="e">
        <f>Nodes!F1499+"'E4!(tX"</f>
        <v>#VALUE!</v>
      </c>
      <c r="DO182" t="e">
        <f>Nodes!G1499+"'E4!(tY"</f>
        <v>#VALUE!</v>
      </c>
      <c r="DP182" t="e">
        <f>Nodes!H1499+"'E4!(tZ"</f>
        <v>#VALUE!</v>
      </c>
      <c r="DQ182" t="e">
        <f>Nodes!I1499+"'E4!(t["</f>
        <v>#VALUE!</v>
      </c>
      <c r="DR182" t="e">
        <f>Nodes!J1499+"'E4!(t\"</f>
        <v>#VALUE!</v>
      </c>
      <c r="DS182" t="e">
        <f>Nodes!K1499+"'E4!(t]"</f>
        <v>#VALUE!</v>
      </c>
      <c r="DT182" t="e">
        <f>Nodes!L1499+"'E4!(t^"</f>
        <v>#VALUE!</v>
      </c>
      <c r="DU182" t="e">
        <f>Nodes!M1499+"'E4!(t_"</f>
        <v>#VALUE!</v>
      </c>
      <c r="DV182" t="e">
        <f>Nodes!N1499+"'E4!(t`"</f>
        <v>#VALUE!</v>
      </c>
      <c r="DW182" t="e">
        <f>Nodes!O1499+"'E4!(ta"</f>
        <v>#VALUE!</v>
      </c>
      <c r="DX182" t="e">
        <f>Nodes!P1499+"'E4!(tb"</f>
        <v>#VALUE!</v>
      </c>
      <c r="DY182" t="e">
        <f>Nodes!Q1499+"'E4!(tc"</f>
        <v>#VALUE!</v>
      </c>
      <c r="DZ182" t="e">
        <f>Nodes!R1499+"'E4!(td"</f>
        <v>#VALUE!</v>
      </c>
      <c r="EA182" t="e">
        <f>Nodes!S1499+"'E4!(te"</f>
        <v>#VALUE!</v>
      </c>
      <c r="EB182" t="e">
        <f>Nodes!T1499+"'E4!(tf"</f>
        <v>#VALUE!</v>
      </c>
      <c r="EC182" s="550" t="e">
        <f>Nodes!U1499+"'E4!(tg"</f>
        <v>#VALUE!</v>
      </c>
      <c r="ED182" t="e">
        <f>Nodes!V1499+"'E4!(th"</f>
        <v>#VALUE!</v>
      </c>
      <c r="EE182" t="e">
        <f>Nodes!W1499+"'E4!(ti"</f>
        <v>#VALUE!</v>
      </c>
      <c r="EF182" t="e">
        <f>Nodes!X1499+"'E4!(tj"</f>
        <v>#VALUE!</v>
      </c>
      <c r="EG182" t="e">
        <f>Nodes!Y1499+"'E4!(tk"</f>
        <v>#VALUE!</v>
      </c>
      <c r="EH182" t="e">
        <f>Nodes!Z1499+"'E4!(tl"</f>
        <v>#VALUE!</v>
      </c>
      <c r="EI182" t="e">
        <f>Nodes!AA1499+"'E4!(tm"</f>
        <v>#VALUE!</v>
      </c>
      <c r="EJ182" t="e">
        <f>Nodes!AB1499+"'E4!(tn"</f>
        <v>#VALUE!</v>
      </c>
      <c r="EK182" t="e">
        <f>Nodes!AC1499+"'E4!(to"</f>
        <v>#VALUE!</v>
      </c>
      <c r="EL182" t="e">
        <f>Nodes!A1500+"'E4!(tp"</f>
        <v>#VALUE!</v>
      </c>
      <c r="EM182" t="e">
        <f>Nodes!B1500+"'E4!(tq"</f>
        <v>#VALUE!</v>
      </c>
      <c r="EN182" t="e">
        <f>Nodes!C1500+"'E4!(tr"</f>
        <v>#VALUE!</v>
      </c>
      <c r="EO182" t="e">
        <f>Nodes!D1500+"'E4!(ts"</f>
        <v>#VALUE!</v>
      </c>
      <c r="EP182" t="e">
        <f>Nodes!E1500+"'E4!(tt"</f>
        <v>#VALUE!</v>
      </c>
      <c r="EQ182" t="e">
        <f>Nodes!F1500+"'E4!(tu"</f>
        <v>#VALUE!</v>
      </c>
      <c r="ER182" t="e">
        <f>Nodes!G1500+"'E4!(tv"</f>
        <v>#VALUE!</v>
      </c>
      <c r="ES182" t="e">
        <f>Nodes!H1500+"'E4!(tw"</f>
        <v>#VALUE!</v>
      </c>
      <c r="ET182" t="e">
        <f>Nodes!I1500+"'E4!(tx"</f>
        <v>#VALUE!</v>
      </c>
      <c r="EU182" t="e">
        <f>Nodes!J1500+"'E4!(ty"</f>
        <v>#VALUE!</v>
      </c>
      <c r="EV182" t="e">
        <f>Nodes!K1500+"'E4!(tz"</f>
        <v>#VALUE!</v>
      </c>
      <c r="EW182" t="e">
        <f>Nodes!L1500+"'E4!(t{"</f>
        <v>#VALUE!</v>
      </c>
      <c r="EX182" t="e">
        <f>Nodes!M1500+"'E4!(t|"</f>
        <v>#VALUE!</v>
      </c>
      <c r="EY182" t="e">
        <f>Nodes!N1500+"'E4!(t}"</f>
        <v>#VALUE!</v>
      </c>
      <c r="EZ182" t="e">
        <f>Nodes!O1500+"'E4!(t~"</f>
        <v>#VALUE!</v>
      </c>
      <c r="FA182" t="e">
        <f>Nodes!P1500+"'E4!(u#"</f>
        <v>#VALUE!</v>
      </c>
      <c r="FB182" t="e">
        <f>Nodes!Q1500+"'E4!(u$"</f>
        <v>#VALUE!</v>
      </c>
      <c r="FC182" t="e">
        <f>Nodes!R1500+"'E4!(u%"</f>
        <v>#VALUE!</v>
      </c>
      <c r="FD182" t="e">
        <f>Nodes!S1500+"'E4!(u&amp;"</f>
        <v>#VALUE!</v>
      </c>
      <c r="FE182" t="e">
        <f>Nodes!T1500+"'E4!(u'"</f>
        <v>#VALUE!</v>
      </c>
      <c r="FF182" s="550" t="e">
        <f>Nodes!U1500+"'E4!(u("</f>
        <v>#VALUE!</v>
      </c>
      <c r="FG182" t="e">
        <f>Nodes!V1500+"'E4!(u)"</f>
        <v>#VALUE!</v>
      </c>
      <c r="FH182" t="e">
        <f>Nodes!W1500+"'E4!(u."</f>
        <v>#VALUE!</v>
      </c>
      <c r="FI182" t="e">
        <f>Nodes!X1500+"'E4!(u/"</f>
        <v>#VALUE!</v>
      </c>
      <c r="FJ182" t="e">
        <f>Nodes!Y1500+"'E4!(u0"</f>
        <v>#VALUE!</v>
      </c>
      <c r="FK182" t="e">
        <f>Nodes!Z1500+"'E4!(u1"</f>
        <v>#VALUE!</v>
      </c>
      <c r="FL182" t="e">
        <f>Nodes!AA1500+"'E4!(u2"</f>
        <v>#VALUE!</v>
      </c>
      <c r="FM182" t="e">
        <f>Nodes!AB1500+"'E4!(u3"</f>
        <v>#VALUE!</v>
      </c>
      <c r="FN182" t="e">
        <f>Nodes!AC1500+"'E4!(u4"</f>
        <v>#VALUE!</v>
      </c>
      <c r="FO182" t="e">
        <f>Nodes!A1501+"'E4!(u5"</f>
        <v>#VALUE!</v>
      </c>
      <c r="FP182" t="e">
        <f>Nodes!B1501+"'E4!(u6"</f>
        <v>#VALUE!</v>
      </c>
      <c r="FQ182" t="e">
        <f>Nodes!C1501+"'E4!(u7"</f>
        <v>#VALUE!</v>
      </c>
      <c r="FR182" t="e">
        <f>Nodes!D1501+"'E4!(u8"</f>
        <v>#VALUE!</v>
      </c>
      <c r="FS182" t="e">
        <f>Nodes!E1501+"'E4!(u9"</f>
        <v>#VALUE!</v>
      </c>
      <c r="FT182" t="e">
        <f>Nodes!F1501+"'E4!(u:"</f>
        <v>#VALUE!</v>
      </c>
      <c r="FU182" t="e">
        <f>Nodes!G1501+"'E4!(u;"</f>
        <v>#VALUE!</v>
      </c>
      <c r="FV182" t="e">
        <f>Nodes!H1501+"'E4!(u&lt;"</f>
        <v>#VALUE!</v>
      </c>
      <c r="FW182" t="e">
        <f>Nodes!I1501+"'E4!(u="</f>
        <v>#VALUE!</v>
      </c>
      <c r="FX182" t="e">
        <f>Nodes!J1501+"'E4!(u&gt;"</f>
        <v>#VALUE!</v>
      </c>
      <c r="FY182" t="e">
        <f>Nodes!K1501+"'E4!(u?"</f>
        <v>#VALUE!</v>
      </c>
      <c r="FZ182" t="e">
        <f>Nodes!L1501+"'E4!(u@"</f>
        <v>#VALUE!</v>
      </c>
      <c r="GA182" t="e">
        <f>Nodes!M1501+"'E4!(uA"</f>
        <v>#VALUE!</v>
      </c>
      <c r="GB182" t="e">
        <f>Nodes!N1501+"'E4!(uB"</f>
        <v>#VALUE!</v>
      </c>
      <c r="GC182" t="e">
        <f>Nodes!O1501+"'E4!(uC"</f>
        <v>#VALUE!</v>
      </c>
      <c r="GD182" t="e">
        <f>Nodes!P1501+"'E4!(uD"</f>
        <v>#VALUE!</v>
      </c>
      <c r="GE182" t="e">
        <f>Nodes!Q1501+"'E4!(uE"</f>
        <v>#VALUE!</v>
      </c>
      <c r="GF182" t="e">
        <f>Nodes!R1501+"'E4!(uF"</f>
        <v>#VALUE!</v>
      </c>
      <c r="GG182" t="e">
        <f>Nodes!S1501+"'E4!(uG"</f>
        <v>#VALUE!</v>
      </c>
      <c r="GH182" t="e">
        <f>Nodes!T1501+"'E4!(uH"</f>
        <v>#VALUE!</v>
      </c>
      <c r="GI182" s="550" t="e">
        <f>Nodes!U1501+"'E4!(uI"</f>
        <v>#VALUE!</v>
      </c>
      <c r="GJ182" t="e">
        <f>Nodes!V1501+"'E4!(uJ"</f>
        <v>#VALUE!</v>
      </c>
      <c r="GK182" t="e">
        <f>Nodes!W1501+"'E4!(uK"</f>
        <v>#VALUE!</v>
      </c>
      <c r="GL182" t="e">
        <f>Nodes!X1501+"'E4!(uL"</f>
        <v>#VALUE!</v>
      </c>
      <c r="GM182" t="e">
        <f>Nodes!Y1501+"'E4!(uM"</f>
        <v>#VALUE!</v>
      </c>
      <c r="GN182" t="e">
        <f>Nodes!Z1501+"'E4!(uN"</f>
        <v>#VALUE!</v>
      </c>
      <c r="GO182" t="e">
        <f>Nodes!AA1501+"'E4!(uO"</f>
        <v>#VALUE!</v>
      </c>
      <c r="GP182" t="e">
        <f>Nodes!AB1501+"'E4!(uP"</f>
        <v>#VALUE!</v>
      </c>
      <c r="GQ182" t="e">
        <f>Nodes!AC1501+"'E4!(uQ"</f>
        <v>#VALUE!</v>
      </c>
      <c r="GR182" t="e">
        <f>Nodes!A1502+"'E4!(uR"</f>
        <v>#VALUE!</v>
      </c>
      <c r="GS182" t="e">
        <f>Nodes!B1502+"'E4!(uS"</f>
        <v>#VALUE!</v>
      </c>
      <c r="GT182" t="e">
        <f>Nodes!C1502+"'E4!(uT"</f>
        <v>#VALUE!</v>
      </c>
      <c r="GU182" t="e">
        <f>Nodes!D1502+"'E4!(uU"</f>
        <v>#VALUE!</v>
      </c>
      <c r="GV182" t="e">
        <f>Nodes!E1502+"'E4!(uV"</f>
        <v>#VALUE!</v>
      </c>
      <c r="GW182" t="e">
        <f>Nodes!F1502+"'E4!(uW"</f>
        <v>#VALUE!</v>
      </c>
      <c r="GX182" t="e">
        <f>Nodes!G1502+"'E4!(uX"</f>
        <v>#VALUE!</v>
      </c>
      <c r="GY182" t="e">
        <f>Nodes!H1502+"'E4!(uY"</f>
        <v>#VALUE!</v>
      </c>
      <c r="GZ182" t="e">
        <f>Nodes!I1502+"'E4!(uZ"</f>
        <v>#VALUE!</v>
      </c>
      <c r="HA182" t="e">
        <f>Nodes!J1502+"'E4!(u["</f>
        <v>#VALUE!</v>
      </c>
      <c r="HB182" t="e">
        <f>Nodes!K1502+"'E4!(u\"</f>
        <v>#VALUE!</v>
      </c>
      <c r="HC182" t="e">
        <f>Nodes!L1502+"'E4!(u]"</f>
        <v>#VALUE!</v>
      </c>
      <c r="HD182" t="e">
        <f>Nodes!M1502+"'E4!(u^"</f>
        <v>#VALUE!</v>
      </c>
      <c r="HE182" t="e">
        <f>Nodes!N1502+"'E4!(u_"</f>
        <v>#VALUE!</v>
      </c>
      <c r="HF182" t="e">
        <f>Nodes!O1502+"'E4!(u`"</f>
        <v>#VALUE!</v>
      </c>
      <c r="HG182" t="e">
        <f>Nodes!P1502+"'E4!(ua"</f>
        <v>#VALUE!</v>
      </c>
      <c r="HH182" t="e">
        <f>Nodes!Q1502+"'E4!(ub"</f>
        <v>#VALUE!</v>
      </c>
      <c r="HI182" t="e">
        <f>Nodes!R1502+"'E4!(uc"</f>
        <v>#VALUE!</v>
      </c>
      <c r="HJ182" t="e">
        <f>Nodes!S1502+"'E4!(ud"</f>
        <v>#VALUE!</v>
      </c>
      <c r="HK182" t="e">
        <f>Nodes!T1502+"'E4!(ue"</f>
        <v>#VALUE!</v>
      </c>
      <c r="HL182" s="550" t="e">
        <f>Nodes!U1502+"'E4!(uf"</f>
        <v>#VALUE!</v>
      </c>
      <c r="HM182" t="e">
        <f>Nodes!V1502+"'E4!(ug"</f>
        <v>#VALUE!</v>
      </c>
      <c r="HN182" t="e">
        <f>Nodes!W1502+"'E4!(uh"</f>
        <v>#VALUE!</v>
      </c>
      <c r="HO182" t="e">
        <f>Nodes!X1502+"'E4!(ui"</f>
        <v>#VALUE!</v>
      </c>
      <c r="HP182" t="e">
        <f>Nodes!Y1502+"'E4!(uj"</f>
        <v>#VALUE!</v>
      </c>
      <c r="HQ182" t="e">
        <f>Nodes!Z1502+"'E4!(uk"</f>
        <v>#VALUE!</v>
      </c>
      <c r="HR182" t="e">
        <f>Nodes!AA1502+"'E4!(ul"</f>
        <v>#VALUE!</v>
      </c>
      <c r="HS182" t="e">
        <f>Nodes!AB1502+"'E4!(um"</f>
        <v>#VALUE!</v>
      </c>
      <c r="HT182" t="e">
        <f>Nodes!AC1502+"'E4!(un"</f>
        <v>#VALUE!</v>
      </c>
      <c r="HU182" t="e">
        <f>Nodes!A1503+"'E4!(uo"</f>
        <v>#VALUE!</v>
      </c>
      <c r="HV182" t="e">
        <f>Nodes!B1503+"'E4!(up"</f>
        <v>#VALUE!</v>
      </c>
      <c r="HW182" t="e">
        <f>Nodes!C1503+"'E4!(uq"</f>
        <v>#VALUE!</v>
      </c>
      <c r="HX182" t="e">
        <f>Nodes!D1503+"'E4!(ur"</f>
        <v>#VALUE!</v>
      </c>
      <c r="HY182" t="e">
        <f>Nodes!E1503+"'E4!(us"</f>
        <v>#VALUE!</v>
      </c>
      <c r="HZ182" t="e">
        <f>Nodes!F1503+"'E4!(ut"</f>
        <v>#VALUE!</v>
      </c>
      <c r="IA182" t="e">
        <f>Nodes!G1503+"'E4!(uu"</f>
        <v>#VALUE!</v>
      </c>
      <c r="IB182" t="e">
        <f>Nodes!H1503+"'E4!(uv"</f>
        <v>#VALUE!</v>
      </c>
      <c r="IC182" t="e">
        <f>Nodes!I1503+"'E4!(uw"</f>
        <v>#VALUE!</v>
      </c>
      <c r="ID182" t="e">
        <f>Nodes!J1503+"'E4!(ux"</f>
        <v>#VALUE!</v>
      </c>
      <c r="IE182" t="e">
        <f>Nodes!K1503+"'E4!(uy"</f>
        <v>#VALUE!</v>
      </c>
      <c r="IF182" t="e">
        <f>Nodes!L1503+"'E4!(uz"</f>
        <v>#VALUE!</v>
      </c>
      <c r="IG182" t="e">
        <f>Nodes!M1503+"'E4!(u{"</f>
        <v>#VALUE!</v>
      </c>
      <c r="IH182" t="e">
        <f>Nodes!N1503+"'E4!(u|"</f>
        <v>#VALUE!</v>
      </c>
      <c r="II182" t="e">
        <f>Nodes!O1503+"'E4!(u}"</f>
        <v>#VALUE!</v>
      </c>
      <c r="IJ182" t="e">
        <f>Nodes!P1503+"'E4!(u~"</f>
        <v>#VALUE!</v>
      </c>
      <c r="IK182" t="e">
        <f>Nodes!Q1503+"'E4!(v#"</f>
        <v>#VALUE!</v>
      </c>
      <c r="IL182" t="e">
        <f>Nodes!R1503+"'E4!(v$"</f>
        <v>#VALUE!</v>
      </c>
      <c r="IM182" t="e">
        <f>Nodes!S1503+"'E4!(v%"</f>
        <v>#VALUE!</v>
      </c>
      <c r="IN182" t="e">
        <f>Nodes!T1503+"'E4!(v&amp;"</f>
        <v>#VALUE!</v>
      </c>
      <c r="IO182" s="550" t="e">
        <f>Nodes!U1503+"'E4!(v'"</f>
        <v>#VALUE!</v>
      </c>
      <c r="IP182" t="e">
        <f>Nodes!V1503+"'E4!(v("</f>
        <v>#VALUE!</v>
      </c>
      <c r="IQ182" t="e">
        <f>Nodes!W1503+"'E4!(v)"</f>
        <v>#VALUE!</v>
      </c>
      <c r="IR182" t="e">
        <f>Nodes!X1503+"'E4!(v."</f>
        <v>#VALUE!</v>
      </c>
      <c r="IS182" t="e">
        <f>Nodes!Y1503+"'E4!(v/"</f>
        <v>#VALUE!</v>
      </c>
      <c r="IT182" t="e">
        <f>Nodes!Z1503+"'E4!(v0"</f>
        <v>#VALUE!</v>
      </c>
      <c r="IU182" t="e">
        <f>Nodes!AA1503+"'E4!(v1"</f>
        <v>#VALUE!</v>
      </c>
      <c r="IV182" t="e">
        <f>Nodes!AB1503+"'E4!(v2"</f>
        <v>#VALUE!</v>
      </c>
    </row>
    <row r="183" spans="6:256">
      <c r="F183" t="e">
        <f>Nodes!AC1503+"'E4!(v3"</f>
        <v>#VALUE!</v>
      </c>
      <c r="G183" t="e">
        <f>Nodes!A1504+"'E4!(v4"</f>
        <v>#VALUE!</v>
      </c>
      <c r="H183" t="e">
        <f>Nodes!B1504+"'E4!(v5"</f>
        <v>#VALUE!</v>
      </c>
      <c r="I183" t="e">
        <f>Nodes!C1504+"'E4!(v6"</f>
        <v>#VALUE!</v>
      </c>
      <c r="J183" t="e">
        <f>Nodes!D1504+"'E4!(v7"</f>
        <v>#VALUE!</v>
      </c>
      <c r="K183" t="e">
        <f>Nodes!E1504+"'E4!(v8"</f>
        <v>#VALUE!</v>
      </c>
      <c r="L183" t="e">
        <f>Nodes!F1504+"'E4!(v9"</f>
        <v>#VALUE!</v>
      </c>
      <c r="M183" t="e">
        <f>Nodes!G1504+"'E4!(v:"</f>
        <v>#VALUE!</v>
      </c>
      <c r="N183" t="e">
        <f>Nodes!H1504+"'E4!(v;"</f>
        <v>#VALUE!</v>
      </c>
      <c r="O183" t="e">
        <f>Nodes!I1504+"'E4!(v&lt;"</f>
        <v>#VALUE!</v>
      </c>
      <c r="P183" t="e">
        <f>Nodes!J1504+"'E4!(v="</f>
        <v>#VALUE!</v>
      </c>
      <c r="Q183" t="e">
        <f>Nodes!K1504+"'E4!(v&gt;"</f>
        <v>#VALUE!</v>
      </c>
      <c r="R183" t="e">
        <f>Nodes!L1504+"'E4!(v?"</f>
        <v>#VALUE!</v>
      </c>
      <c r="S183" t="e">
        <f>Nodes!M1504+"'E4!(v@"</f>
        <v>#VALUE!</v>
      </c>
      <c r="T183" t="e">
        <f>Nodes!N1504+"'E4!(vA"</f>
        <v>#VALUE!</v>
      </c>
      <c r="U183" t="e">
        <f>Nodes!O1504+"'E4!(vB"</f>
        <v>#VALUE!</v>
      </c>
      <c r="V183" t="e">
        <f>Nodes!P1504+"'E4!(vC"</f>
        <v>#VALUE!</v>
      </c>
      <c r="W183" t="e">
        <f>Nodes!Q1504+"'E4!(vD"</f>
        <v>#VALUE!</v>
      </c>
      <c r="X183" t="e">
        <f>Nodes!R1504+"'E4!(vE"</f>
        <v>#VALUE!</v>
      </c>
      <c r="Y183" t="e">
        <f>Nodes!S1504+"'E4!(vF"</f>
        <v>#VALUE!</v>
      </c>
      <c r="Z183" t="e">
        <f>Nodes!T1504+"'E4!(vG"</f>
        <v>#VALUE!</v>
      </c>
      <c r="AA183" s="550" t="e">
        <f>Nodes!U1504+"'E4!(vH"</f>
        <v>#VALUE!</v>
      </c>
      <c r="AB183" t="e">
        <f>Nodes!V1504+"'E4!(vI"</f>
        <v>#VALUE!</v>
      </c>
      <c r="AC183" t="e">
        <f>Nodes!W1504+"'E4!(vJ"</f>
        <v>#VALUE!</v>
      </c>
      <c r="AD183" t="e">
        <f>Nodes!X1504+"'E4!(vK"</f>
        <v>#VALUE!</v>
      </c>
      <c r="AE183" t="e">
        <f>Nodes!Y1504+"'E4!(vL"</f>
        <v>#VALUE!</v>
      </c>
      <c r="AF183" t="e">
        <f>Nodes!Z1504+"'E4!(vM"</f>
        <v>#VALUE!</v>
      </c>
      <c r="AG183" t="e">
        <f>Nodes!AA1504+"'E4!(vN"</f>
        <v>#VALUE!</v>
      </c>
      <c r="AH183" t="e">
        <f>Nodes!AB1504+"'E4!(vO"</f>
        <v>#VALUE!</v>
      </c>
      <c r="AI183" t="e">
        <f>Nodes!AC1504+"'E4!(vP"</f>
        <v>#VALUE!</v>
      </c>
      <c r="AJ183" t="e">
        <f>Nodes!A1505+"'E4!(vQ"</f>
        <v>#VALUE!</v>
      </c>
      <c r="AK183" t="e">
        <f>Nodes!B1505+"'E4!(vR"</f>
        <v>#VALUE!</v>
      </c>
      <c r="AL183" t="e">
        <f>Nodes!C1505+"'E4!(vS"</f>
        <v>#VALUE!</v>
      </c>
      <c r="AM183" t="e">
        <f>Nodes!D1505+"'E4!(vT"</f>
        <v>#VALUE!</v>
      </c>
      <c r="AN183" t="e">
        <f>Nodes!E1505+"'E4!(vU"</f>
        <v>#VALUE!</v>
      </c>
      <c r="AO183" t="e">
        <f>Nodes!F1505+"'E4!(vV"</f>
        <v>#VALUE!</v>
      </c>
      <c r="AP183" t="e">
        <f>Nodes!G1505+"'E4!(vW"</f>
        <v>#VALUE!</v>
      </c>
      <c r="AQ183" t="e">
        <f>Nodes!H1505+"'E4!(vX"</f>
        <v>#VALUE!</v>
      </c>
      <c r="AR183" t="e">
        <f>Nodes!I1505+"'E4!(vY"</f>
        <v>#VALUE!</v>
      </c>
      <c r="AS183" t="e">
        <f>Nodes!J1505+"'E4!(vZ"</f>
        <v>#VALUE!</v>
      </c>
      <c r="AT183" t="e">
        <f>Nodes!K1505+"'E4!(v["</f>
        <v>#VALUE!</v>
      </c>
      <c r="AU183" t="e">
        <f>Nodes!L1505+"'E4!(v\"</f>
        <v>#VALUE!</v>
      </c>
      <c r="AV183" t="e">
        <f>Nodes!M1505+"'E4!(v]"</f>
        <v>#VALUE!</v>
      </c>
      <c r="AW183" t="e">
        <f>Nodes!N1505+"'E4!(v^"</f>
        <v>#VALUE!</v>
      </c>
      <c r="AX183" t="e">
        <f>Nodes!O1505+"'E4!(v_"</f>
        <v>#VALUE!</v>
      </c>
      <c r="AY183" t="e">
        <f>Nodes!P1505+"'E4!(v`"</f>
        <v>#VALUE!</v>
      </c>
      <c r="AZ183" t="e">
        <f>Nodes!Q1505+"'E4!(va"</f>
        <v>#VALUE!</v>
      </c>
      <c r="BA183" t="e">
        <f>Nodes!R1505+"'E4!(vb"</f>
        <v>#VALUE!</v>
      </c>
      <c r="BB183" t="e">
        <f>Nodes!S1505+"'E4!(vc"</f>
        <v>#VALUE!</v>
      </c>
      <c r="BC183" t="e">
        <f>Nodes!T1505+"'E4!(vd"</f>
        <v>#VALUE!</v>
      </c>
      <c r="BD183" s="550" t="e">
        <f>Nodes!U1505+"'E4!(ve"</f>
        <v>#VALUE!</v>
      </c>
      <c r="BE183" t="e">
        <f>Nodes!V1505+"'E4!(vf"</f>
        <v>#VALUE!</v>
      </c>
      <c r="BF183" t="e">
        <f>Nodes!W1505+"'E4!(vg"</f>
        <v>#VALUE!</v>
      </c>
      <c r="BG183" t="e">
        <f>Nodes!X1505+"'E4!(vh"</f>
        <v>#VALUE!</v>
      </c>
      <c r="BH183" t="e">
        <f>Nodes!Y1505+"'E4!(vi"</f>
        <v>#VALUE!</v>
      </c>
      <c r="BI183" t="e">
        <f>Nodes!Z1505+"'E4!(vj"</f>
        <v>#VALUE!</v>
      </c>
      <c r="BJ183" t="e">
        <f>Nodes!AA1505+"'E4!(vk"</f>
        <v>#VALUE!</v>
      </c>
      <c r="BK183" t="e">
        <f>Nodes!AB1505+"'E4!(vl"</f>
        <v>#VALUE!</v>
      </c>
      <c r="BL183" t="e">
        <f>Nodes!AC1505+"'E4!(vm"</f>
        <v>#VALUE!</v>
      </c>
      <c r="BM183" t="e">
        <f>Nodes!A1506+"'E4!(vn"</f>
        <v>#VALUE!</v>
      </c>
      <c r="BN183" t="e">
        <f>Nodes!B1506+"'E4!(vo"</f>
        <v>#VALUE!</v>
      </c>
      <c r="BO183" t="e">
        <f>Nodes!C1506+"'E4!(vp"</f>
        <v>#VALUE!</v>
      </c>
      <c r="BP183" t="e">
        <f>Nodes!D1506+"'E4!(vq"</f>
        <v>#VALUE!</v>
      </c>
      <c r="BQ183" t="e">
        <f>Nodes!E1506+"'E4!(vr"</f>
        <v>#VALUE!</v>
      </c>
      <c r="BR183" t="e">
        <f>Nodes!F1506+"'E4!(vs"</f>
        <v>#VALUE!</v>
      </c>
      <c r="BS183" t="e">
        <f>Nodes!G1506+"'E4!(vt"</f>
        <v>#VALUE!</v>
      </c>
      <c r="BT183" t="e">
        <f>Nodes!H1506+"'E4!(vu"</f>
        <v>#VALUE!</v>
      </c>
      <c r="BU183" t="e">
        <f>Nodes!I1506+"'E4!(vv"</f>
        <v>#VALUE!</v>
      </c>
      <c r="BV183" t="e">
        <f>Nodes!J1506+"'E4!(vw"</f>
        <v>#VALUE!</v>
      </c>
      <c r="BW183" t="e">
        <f>Nodes!K1506+"'E4!(vx"</f>
        <v>#VALUE!</v>
      </c>
      <c r="BX183" t="e">
        <f>Nodes!L1506+"'E4!(vy"</f>
        <v>#VALUE!</v>
      </c>
      <c r="BY183" t="e">
        <f>Nodes!M1506+"'E4!(vz"</f>
        <v>#VALUE!</v>
      </c>
      <c r="BZ183" t="e">
        <f>Nodes!N1506+"'E4!(v{"</f>
        <v>#VALUE!</v>
      </c>
      <c r="CA183" t="e">
        <f>Nodes!O1506+"'E4!(v|"</f>
        <v>#VALUE!</v>
      </c>
      <c r="CB183" t="e">
        <f>Nodes!P1506+"'E4!(v}"</f>
        <v>#VALUE!</v>
      </c>
      <c r="CC183" t="e">
        <f>Nodes!Q1506+"'E4!(v~"</f>
        <v>#VALUE!</v>
      </c>
      <c r="CD183" t="e">
        <f>Nodes!R1506+"'E4!(w#"</f>
        <v>#VALUE!</v>
      </c>
      <c r="CE183" t="e">
        <f>Nodes!S1506+"'E4!(w$"</f>
        <v>#VALUE!</v>
      </c>
      <c r="CF183" t="e">
        <f>Nodes!T1506+"'E4!(w%"</f>
        <v>#VALUE!</v>
      </c>
      <c r="CG183" s="550" t="e">
        <f>Nodes!U1506+"'E4!(w&amp;"</f>
        <v>#VALUE!</v>
      </c>
      <c r="CH183" t="e">
        <f>Nodes!V1506+"'E4!(w'"</f>
        <v>#VALUE!</v>
      </c>
      <c r="CI183" t="e">
        <f>Nodes!W1506+"'E4!(w("</f>
        <v>#VALUE!</v>
      </c>
      <c r="CJ183" t="e">
        <f>Nodes!X1506+"'E4!(w)"</f>
        <v>#VALUE!</v>
      </c>
      <c r="CK183" t="e">
        <f>Nodes!Y1506+"'E4!(w."</f>
        <v>#VALUE!</v>
      </c>
      <c r="CL183" t="e">
        <f>Nodes!Z1506+"'E4!(w/"</f>
        <v>#VALUE!</v>
      </c>
      <c r="CM183" t="e">
        <f>Nodes!AA1506+"'E4!(w0"</f>
        <v>#VALUE!</v>
      </c>
      <c r="CN183" t="e">
        <f>Nodes!AB1506+"'E4!(w1"</f>
        <v>#VALUE!</v>
      </c>
      <c r="CO183" t="e">
        <f>Nodes!AC1506+"'E4!(w2"</f>
        <v>#VALUE!</v>
      </c>
      <c r="CP183" t="e">
        <f>Nodes!A1507+"'E4!(w3"</f>
        <v>#VALUE!</v>
      </c>
      <c r="CQ183" t="e">
        <f>Nodes!B1507+"'E4!(w4"</f>
        <v>#VALUE!</v>
      </c>
      <c r="CR183" t="e">
        <f>Nodes!C1507+"'E4!(w5"</f>
        <v>#VALUE!</v>
      </c>
      <c r="CS183" t="e">
        <f>Nodes!D1507+"'E4!(w6"</f>
        <v>#VALUE!</v>
      </c>
      <c r="CT183" t="e">
        <f>Nodes!E1507+"'E4!(w7"</f>
        <v>#VALUE!</v>
      </c>
      <c r="CU183" t="e">
        <f>Nodes!F1507+"'E4!(w8"</f>
        <v>#VALUE!</v>
      </c>
      <c r="CV183" t="e">
        <f>Nodes!G1507+"'E4!(w9"</f>
        <v>#VALUE!</v>
      </c>
      <c r="CW183" t="e">
        <f>Nodes!H1507+"'E4!(w:"</f>
        <v>#VALUE!</v>
      </c>
      <c r="CX183" t="e">
        <f>Nodes!I1507+"'E4!(w;"</f>
        <v>#VALUE!</v>
      </c>
      <c r="CY183" t="e">
        <f>Nodes!J1507+"'E4!(w&lt;"</f>
        <v>#VALUE!</v>
      </c>
      <c r="CZ183" t="e">
        <f>Nodes!K1507+"'E4!(w="</f>
        <v>#VALUE!</v>
      </c>
      <c r="DA183" t="e">
        <f>Nodes!L1507+"'E4!(w&gt;"</f>
        <v>#VALUE!</v>
      </c>
      <c r="DB183" t="e">
        <f>Nodes!M1507+"'E4!(w?"</f>
        <v>#VALUE!</v>
      </c>
      <c r="DC183" t="e">
        <f>Nodes!N1507+"'E4!(w@"</f>
        <v>#VALUE!</v>
      </c>
      <c r="DD183" t="e">
        <f>Nodes!O1507+"'E4!(wA"</f>
        <v>#VALUE!</v>
      </c>
      <c r="DE183" t="e">
        <f>Nodes!P1507+"'E4!(wB"</f>
        <v>#VALUE!</v>
      </c>
      <c r="DF183" t="e">
        <f>Nodes!Q1507+"'E4!(wC"</f>
        <v>#VALUE!</v>
      </c>
      <c r="DG183" t="e">
        <f>Nodes!R1507+"'E4!(wD"</f>
        <v>#VALUE!</v>
      </c>
      <c r="DH183" t="e">
        <f>Nodes!S1507+"'E4!(wE"</f>
        <v>#VALUE!</v>
      </c>
      <c r="DI183" t="e">
        <f>Nodes!T1507+"'E4!(wF"</f>
        <v>#VALUE!</v>
      </c>
      <c r="DJ183" s="548" t="e">
        <f>Nodes!U1507+"'E4!(wG"</f>
        <v>#VALUE!</v>
      </c>
      <c r="DK183" t="e">
        <f>Nodes!V1507+"'E4!(wH"</f>
        <v>#VALUE!</v>
      </c>
      <c r="DL183" t="e">
        <f>Nodes!W1507+"'E4!(wI"</f>
        <v>#VALUE!</v>
      </c>
      <c r="DM183" t="e">
        <f>Nodes!X1507+"'E4!(wJ"</f>
        <v>#VALUE!</v>
      </c>
      <c r="DN183" t="e">
        <f>Nodes!Y1507+"'E4!(wK"</f>
        <v>#VALUE!</v>
      </c>
      <c r="DO183" t="e">
        <f>Nodes!Z1507+"'E4!(wL"</f>
        <v>#VALUE!</v>
      </c>
      <c r="DP183" t="e">
        <f>Nodes!AA1507+"'E4!(wM"</f>
        <v>#VALUE!</v>
      </c>
      <c r="DQ183" t="e">
        <f>Nodes!AB1507+"'E4!(wN"</f>
        <v>#VALUE!</v>
      </c>
      <c r="DR183" t="e">
        <f>Nodes!AC1507+"'E4!(wO"</f>
        <v>#VALUE!</v>
      </c>
      <c r="DS183" t="e">
        <f>Nodes!A1508+"'E4!(wP"</f>
        <v>#VALUE!</v>
      </c>
      <c r="DT183" t="e">
        <f>Nodes!B1508+"'E4!(wQ"</f>
        <v>#VALUE!</v>
      </c>
      <c r="DU183" t="e">
        <f>Nodes!C1508+"'E4!(wR"</f>
        <v>#VALUE!</v>
      </c>
      <c r="DV183" t="e">
        <f>Nodes!D1508+"'E4!(wS"</f>
        <v>#VALUE!</v>
      </c>
      <c r="DW183" t="e">
        <f>Nodes!E1508+"'E4!(wT"</f>
        <v>#VALUE!</v>
      </c>
      <c r="DX183" t="e">
        <f>Nodes!F1508+"'E4!(wU"</f>
        <v>#VALUE!</v>
      </c>
      <c r="DY183" t="e">
        <f>Nodes!G1508+"'E4!(wV"</f>
        <v>#VALUE!</v>
      </c>
      <c r="DZ183" t="e">
        <f>Nodes!H1508+"'E4!(wW"</f>
        <v>#VALUE!</v>
      </c>
      <c r="EA183" t="e">
        <f>Nodes!I1508+"'E4!(wX"</f>
        <v>#VALUE!</v>
      </c>
      <c r="EB183" t="e">
        <f>Nodes!J1508+"'E4!(wY"</f>
        <v>#VALUE!</v>
      </c>
      <c r="EC183" t="e">
        <f>Nodes!K1508+"'E4!(wZ"</f>
        <v>#VALUE!</v>
      </c>
      <c r="ED183" t="e">
        <f>Nodes!L1508+"'E4!(w["</f>
        <v>#VALUE!</v>
      </c>
      <c r="EE183" t="e">
        <f>Nodes!M1508+"'E4!(w\"</f>
        <v>#VALUE!</v>
      </c>
      <c r="EF183" t="e">
        <f>Nodes!N1508+"'E4!(w]"</f>
        <v>#VALUE!</v>
      </c>
      <c r="EG183" t="e">
        <f>Nodes!O1508+"'E4!(w^"</f>
        <v>#VALUE!</v>
      </c>
      <c r="EH183" t="e">
        <f>Nodes!P1508+"'E4!(w_"</f>
        <v>#VALUE!</v>
      </c>
      <c r="EI183" t="e">
        <f>Nodes!Q1508+"'E4!(w`"</f>
        <v>#VALUE!</v>
      </c>
      <c r="EJ183" t="e">
        <f>Nodes!R1508+"'E4!(wa"</f>
        <v>#VALUE!</v>
      </c>
      <c r="EK183" t="e">
        <f>Nodes!S1508+"'E4!(wb"</f>
        <v>#VALUE!</v>
      </c>
      <c r="EL183" t="e">
        <f>Nodes!T1508+"'E4!(wc"</f>
        <v>#VALUE!</v>
      </c>
      <c r="EM183" s="548" t="e">
        <f>Nodes!U1508+"'E4!(wd"</f>
        <v>#VALUE!</v>
      </c>
      <c r="EN183" t="e">
        <f>Nodes!V1508+"'E4!(we"</f>
        <v>#VALUE!</v>
      </c>
      <c r="EO183" t="e">
        <f>Nodes!W1508+"'E4!(wf"</f>
        <v>#VALUE!</v>
      </c>
      <c r="EP183" t="e">
        <f>Nodes!X1508+"'E4!(wg"</f>
        <v>#VALUE!</v>
      </c>
      <c r="EQ183" t="e">
        <f>Nodes!Y1508+"'E4!(wh"</f>
        <v>#VALUE!</v>
      </c>
      <c r="ER183" t="e">
        <f>Nodes!Z1508+"'E4!(wi"</f>
        <v>#VALUE!</v>
      </c>
      <c r="ES183" t="e">
        <f>Nodes!AA1508+"'E4!(wj"</f>
        <v>#VALUE!</v>
      </c>
      <c r="ET183" t="e">
        <f>Nodes!AB1508+"'E4!(wk"</f>
        <v>#VALUE!</v>
      </c>
      <c r="EU183" t="e">
        <f>Nodes!AC1508+"'E4!(wl"</f>
        <v>#VALUE!</v>
      </c>
      <c r="EV183" t="e">
        <f>Nodes!A1509+"'E4!(wm"</f>
        <v>#VALUE!</v>
      </c>
      <c r="EW183" t="e">
        <f>Nodes!B1509+"'E4!(wn"</f>
        <v>#VALUE!</v>
      </c>
      <c r="EX183" t="e">
        <f>Nodes!C1509+"'E4!(wo"</f>
        <v>#VALUE!</v>
      </c>
      <c r="EY183" t="e">
        <f>Nodes!D1509+"'E4!(wp"</f>
        <v>#VALUE!</v>
      </c>
      <c r="EZ183" t="e">
        <f>Nodes!E1509+"'E4!(wq"</f>
        <v>#VALUE!</v>
      </c>
      <c r="FA183" t="e">
        <f>Nodes!F1509+"'E4!(wr"</f>
        <v>#VALUE!</v>
      </c>
      <c r="FB183" t="e">
        <f>Nodes!G1509+"'E4!(ws"</f>
        <v>#VALUE!</v>
      </c>
      <c r="FC183" t="e">
        <f>Nodes!H1509+"'E4!(wt"</f>
        <v>#VALUE!</v>
      </c>
      <c r="FD183" t="e">
        <f>Nodes!I1509+"'E4!(wu"</f>
        <v>#VALUE!</v>
      </c>
      <c r="FE183" t="e">
        <f>Nodes!J1509+"'E4!(wv"</f>
        <v>#VALUE!</v>
      </c>
      <c r="FF183" t="e">
        <f>Nodes!K1509+"'E4!(ww"</f>
        <v>#VALUE!</v>
      </c>
      <c r="FG183" t="e">
        <f>Nodes!L1509+"'E4!(wx"</f>
        <v>#VALUE!</v>
      </c>
      <c r="FH183" t="e">
        <f>Nodes!M1509+"'E4!(wy"</f>
        <v>#VALUE!</v>
      </c>
      <c r="FI183" t="e">
        <f>Nodes!N1509+"'E4!(wz"</f>
        <v>#VALUE!</v>
      </c>
      <c r="FJ183" t="e">
        <f>Nodes!O1509+"'E4!(w{"</f>
        <v>#VALUE!</v>
      </c>
      <c r="FK183" t="e">
        <f>Nodes!P1509+"'E4!(w|"</f>
        <v>#VALUE!</v>
      </c>
      <c r="FL183" t="e">
        <f>Nodes!Q1509+"'E4!(w}"</f>
        <v>#VALUE!</v>
      </c>
      <c r="FM183" t="e">
        <f>Nodes!R1509+"'E4!(w~"</f>
        <v>#VALUE!</v>
      </c>
      <c r="FN183" t="e">
        <f>Nodes!S1509+"'E4!(x#"</f>
        <v>#VALUE!</v>
      </c>
      <c r="FO183" t="e">
        <f>Nodes!T1509+"'E4!(x$"</f>
        <v>#VALUE!</v>
      </c>
      <c r="FP183" s="548" t="e">
        <f>Nodes!U1509+"'E4!(x%"</f>
        <v>#VALUE!</v>
      </c>
      <c r="FQ183" t="e">
        <f>Nodes!V1509+"'E4!(x&amp;"</f>
        <v>#VALUE!</v>
      </c>
      <c r="FR183" t="e">
        <f>Nodes!W1509+"'E4!(x'"</f>
        <v>#VALUE!</v>
      </c>
      <c r="FS183" t="e">
        <f>Nodes!X1509+"'E4!(x("</f>
        <v>#VALUE!</v>
      </c>
      <c r="FT183" t="e">
        <f>Nodes!Y1509+"'E4!(x)"</f>
        <v>#VALUE!</v>
      </c>
      <c r="FU183" t="e">
        <f>Nodes!Z1509+"'E4!(x."</f>
        <v>#VALUE!</v>
      </c>
      <c r="FV183" t="e">
        <f>Nodes!AA1509+"'E4!(x/"</f>
        <v>#VALUE!</v>
      </c>
      <c r="FW183" t="e">
        <f>Nodes!AB1509+"'E4!(x0"</f>
        <v>#VALUE!</v>
      </c>
      <c r="FX183" t="e">
        <f>Nodes!AC1509+"'E4!(x1"</f>
        <v>#VALUE!</v>
      </c>
      <c r="FY183" t="e">
        <f>Nodes!A1510+"'E4!(x2"</f>
        <v>#VALUE!</v>
      </c>
      <c r="FZ183" t="e">
        <f>Nodes!B1510+"'E4!(x3"</f>
        <v>#VALUE!</v>
      </c>
      <c r="GA183" t="e">
        <f>Nodes!C1510+"'E4!(x4"</f>
        <v>#VALUE!</v>
      </c>
      <c r="GB183" t="e">
        <f>Nodes!D1510+"'E4!(x5"</f>
        <v>#VALUE!</v>
      </c>
      <c r="GC183" t="e">
        <f>Nodes!E1510+"'E4!(x6"</f>
        <v>#VALUE!</v>
      </c>
      <c r="GD183" t="e">
        <f>Nodes!F1510+"'E4!(x7"</f>
        <v>#VALUE!</v>
      </c>
      <c r="GE183" t="e">
        <f>Nodes!G1510+"'E4!(x8"</f>
        <v>#VALUE!</v>
      </c>
      <c r="GF183" t="e">
        <f>Nodes!H1510+"'E4!(x9"</f>
        <v>#VALUE!</v>
      </c>
      <c r="GG183" t="e">
        <f>Nodes!I1510+"'E4!(x:"</f>
        <v>#VALUE!</v>
      </c>
      <c r="GH183" t="e">
        <f>Nodes!J1510+"'E4!(x;"</f>
        <v>#VALUE!</v>
      </c>
      <c r="GI183" t="e">
        <f>Nodes!K1510+"'E4!(x&lt;"</f>
        <v>#VALUE!</v>
      </c>
      <c r="GJ183" t="e">
        <f>Nodes!L1510+"'E4!(x="</f>
        <v>#VALUE!</v>
      </c>
      <c r="GK183" t="e">
        <f>Nodes!M1510+"'E4!(x&gt;"</f>
        <v>#VALUE!</v>
      </c>
      <c r="GL183" t="e">
        <f>Nodes!N1510+"'E4!(x?"</f>
        <v>#VALUE!</v>
      </c>
      <c r="GM183" t="e">
        <f>Nodes!O1510+"'E4!(x@"</f>
        <v>#VALUE!</v>
      </c>
      <c r="GN183" t="e">
        <f>Nodes!P1510+"'E4!(xA"</f>
        <v>#VALUE!</v>
      </c>
      <c r="GO183" t="e">
        <f>Nodes!Q1510+"'E4!(xB"</f>
        <v>#VALUE!</v>
      </c>
      <c r="GP183" t="e">
        <f>Nodes!R1510+"'E4!(xC"</f>
        <v>#VALUE!</v>
      </c>
      <c r="GQ183" t="e">
        <f>Nodes!S1510+"'E4!(xD"</f>
        <v>#VALUE!</v>
      </c>
      <c r="GR183" t="e">
        <f>Nodes!T1510+"'E4!(xE"</f>
        <v>#VALUE!</v>
      </c>
      <c r="GS183" s="548" t="e">
        <f>Nodes!U1510+"'E4!(xF"</f>
        <v>#VALUE!</v>
      </c>
      <c r="GT183" t="e">
        <f>Nodes!V1510+"'E4!(xG"</f>
        <v>#VALUE!</v>
      </c>
      <c r="GU183" t="e">
        <f>Nodes!W1510+"'E4!(xH"</f>
        <v>#VALUE!</v>
      </c>
      <c r="GV183" t="e">
        <f>Nodes!X1510+"'E4!(xI"</f>
        <v>#VALUE!</v>
      </c>
      <c r="GW183" t="e">
        <f>Nodes!Y1510+"'E4!(xJ"</f>
        <v>#VALUE!</v>
      </c>
      <c r="GX183" t="e">
        <f>Nodes!Z1510+"'E4!(xK"</f>
        <v>#VALUE!</v>
      </c>
      <c r="GY183" t="e">
        <f>Nodes!AA1510+"'E4!(xL"</f>
        <v>#VALUE!</v>
      </c>
      <c r="GZ183" t="e">
        <f>Nodes!AB1510+"'E4!(xM"</f>
        <v>#VALUE!</v>
      </c>
      <c r="HA183" t="e">
        <f>Nodes!AC1510+"'E4!(xN"</f>
        <v>#VALUE!</v>
      </c>
      <c r="HB183" t="e">
        <f>Nodes!A1511+"'E4!(xO"</f>
        <v>#VALUE!</v>
      </c>
      <c r="HC183" t="e">
        <f>Nodes!B1511+"'E4!(xP"</f>
        <v>#VALUE!</v>
      </c>
      <c r="HD183" t="e">
        <f>Nodes!C1511+"'E4!(xQ"</f>
        <v>#VALUE!</v>
      </c>
      <c r="HE183" t="e">
        <f>Nodes!D1511+"'E4!(xR"</f>
        <v>#VALUE!</v>
      </c>
      <c r="HF183" t="e">
        <f>Nodes!E1511+"'E4!(xS"</f>
        <v>#VALUE!</v>
      </c>
      <c r="HG183" t="e">
        <f>Nodes!F1511+"'E4!(xT"</f>
        <v>#VALUE!</v>
      </c>
      <c r="HH183" t="e">
        <f>Nodes!G1511+"'E4!(xU"</f>
        <v>#VALUE!</v>
      </c>
      <c r="HI183" t="e">
        <f>Nodes!H1511+"'E4!(xV"</f>
        <v>#VALUE!</v>
      </c>
      <c r="HJ183" t="e">
        <f>Nodes!I1511+"'E4!(xW"</f>
        <v>#VALUE!</v>
      </c>
      <c r="HK183" t="e">
        <f>Nodes!J1511+"'E4!(xX"</f>
        <v>#VALUE!</v>
      </c>
      <c r="HL183" t="e">
        <f>Nodes!K1511+"'E4!(xY"</f>
        <v>#VALUE!</v>
      </c>
      <c r="HM183" t="e">
        <f>Nodes!L1511+"'E4!(xZ"</f>
        <v>#VALUE!</v>
      </c>
      <c r="HN183" t="e">
        <f>Nodes!M1511+"'E4!(x["</f>
        <v>#VALUE!</v>
      </c>
      <c r="HO183" t="e">
        <f>Nodes!N1511+"'E4!(x\"</f>
        <v>#VALUE!</v>
      </c>
      <c r="HP183" t="e">
        <f>Nodes!O1511+"'E4!(x]"</f>
        <v>#VALUE!</v>
      </c>
      <c r="HQ183" t="e">
        <f>Nodes!P1511+"'E4!(x^"</f>
        <v>#VALUE!</v>
      </c>
      <c r="HR183" t="e">
        <f>Nodes!Q1511+"'E4!(x_"</f>
        <v>#VALUE!</v>
      </c>
      <c r="HS183" t="e">
        <f>Nodes!R1511+"'E4!(x`"</f>
        <v>#VALUE!</v>
      </c>
      <c r="HT183" t="e">
        <f>Nodes!S1511+"'E4!(xa"</f>
        <v>#VALUE!</v>
      </c>
      <c r="HU183" t="e">
        <f>Nodes!T1511+"'E4!(xb"</f>
        <v>#VALUE!</v>
      </c>
      <c r="HV183" s="548" t="e">
        <f>Nodes!U1511+"'E4!(xc"</f>
        <v>#VALUE!</v>
      </c>
      <c r="HW183" t="e">
        <f>Nodes!V1511+"'E4!(xd"</f>
        <v>#VALUE!</v>
      </c>
      <c r="HX183" t="e">
        <f>Nodes!W1511+"'E4!(xe"</f>
        <v>#VALUE!</v>
      </c>
      <c r="HY183" t="e">
        <f>Nodes!X1511+"'E4!(xf"</f>
        <v>#VALUE!</v>
      </c>
      <c r="HZ183" t="e">
        <f>Nodes!Y1511+"'E4!(xg"</f>
        <v>#VALUE!</v>
      </c>
      <c r="IA183" t="e">
        <f>Nodes!Z1511+"'E4!(xh"</f>
        <v>#VALUE!</v>
      </c>
      <c r="IB183" t="e">
        <f>Nodes!AA1511+"'E4!(xi"</f>
        <v>#VALUE!</v>
      </c>
      <c r="IC183" t="e">
        <f>Nodes!AB1511+"'E4!(xj"</f>
        <v>#VALUE!</v>
      </c>
      <c r="ID183" t="e">
        <f>Nodes!AC1511+"'E4!(xk"</f>
        <v>#VALUE!</v>
      </c>
      <c r="IE183" t="e">
        <f>Nodes!A1512+"'E4!(xl"</f>
        <v>#VALUE!</v>
      </c>
      <c r="IF183" t="e">
        <f>Nodes!B1512+"'E4!(xm"</f>
        <v>#VALUE!</v>
      </c>
      <c r="IG183" t="e">
        <f>Nodes!C1512+"'E4!(xn"</f>
        <v>#VALUE!</v>
      </c>
      <c r="IH183" t="e">
        <f>Nodes!D1512+"'E4!(xo"</f>
        <v>#VALUE!</v>
      </c>
      <c r="II183" t="e">
        <f>Nodes!E1512+"'E4!(xp"</f>
        <v>#VALUE!</v>
      </c>
      <c r="IJ183" t="e">
        <f>Nodes!F1512+"'E4!(xq"</f>
        <v>#VALUE!</v>
      </c>
      <c r="IK183" t="e">
        <f>Nodes!G1512+"'E4!(xr"</f>
        <v>#VALUE!</v>
      </c>
      <c r="IL183" t="e">
        <f>Nodes!H1512+"'E4!(xs"</f>
        <v>#VALUE!</v>
      </c>
      <c r="IM183" t="e">
        <f>Nodes!I1512+"'E4!(xt"</f>
        <v>#VALUE!</v>
      </c>
      <c r="IN183" t="e">
        <f>Nodes!J1512+"'E4!(xu"</f>
        <v>#VALUE!</v>
      </c>
      <c r="IO183" t="e">
        <f>Nodes!K1512+"'E4!(xv"</f>
        <v>#VALUE!</v>
      </c>
      <c r="IP183" t="e">
        <f>Nodes!L1512+"'E4!(xw"</f>
        <v>#VALUE!</v>
      </c>
      <c r="IQ183" t="e">
        <f>Nodes!M1512+"'E4!(xx"</f>
        <v>#VALUE!</v>
      </c>
      <c r="IR183" t="e">
        <f>Nodes!N1512+"'E4!(xy"</f>
        <v>#VALUE!</v>
      </c>
      <c r="IS183" t="e">
        <f>Nodes!O1512+"'E4!(xz"</f>
        <v>#VALUE!</v>
      </c>
      <c r="IT183" t="e">
        <f>Nodes!P1512+"'E4!(x{"</f>
        <v>#VALUE!</v>
      </c>
      <c r="IU183" t="e">
        <f>Nodes!Q1512+"'E4!(x|"</f>
        <v>#VALUE!</v>
      </c>
      <c r="IV183" t="e">
        <f>Nodes!R1512+"'E4!(x}"</f>
        <v>#VALUE!</v>
      </c>
    </row>
    <row r="184" spans="6:256">
      <c r="F184" t="e">
        <f>Nodes!S1512+"'E4!(x~"</f>
        <v>#VALUE!</v>
      </c>
      <c r="G184" t="e">
        <f>Nodes!T1512+"'E4!(y#"</f>
        <v>#VALUE!</v>
      </c>
      <c r="H184" s="550" t="e">
        <f>Nodes!U1512+"'E4!(y$"</f>
        <v>#VALUE!</v>
      </c>
      <c r="I184" t="e">
        <f>Nodes!V1512+"'E4!(y%"</f>
        <v>#VALUE!</v>
      </c>
      <c r="J184" t="e">
        <f>Nodes!W1512+"'E4!(y&amp;"</f>
        <v>#VALUE!</v>
      </c>
      <c r="K184" t="e">
        <f>Nodes!X1512+"'E4!(y'"</f>
        <v>#VALUE!</v>
      </c>
      <c r="L184" t="e">
        <f>Nodes!Y1512+"'E4!(y("</f>
        <v>#VALUE!</v>
      </c>
      <c r="M184" t="e">
        <f>Nodes!Z1512+"'E4!(y)"</f>
        <v>#VALUE!</v>
      </c>
      <c r="N184" t="e">
        <f>Nodes!AA1512+"'E4!(y."</f>
        <v>#VALUE!</v>
      </c>
      <c r="O184" t="e">
        <f>Nodes!AB1512+"'E4!(y/"</f>
        <v>#VALUE!</v>
      </c>
      <c r="P184" t="e">
        <f>Nodes!AC1512+"'E4!(y0"</f>
        <v>#VALUE!</v>
      </c>
      <c r="Q184" t="e">
        <f>Nodes!A1513+"'E4!(y1"</f>
        <v>#VALUE!</v>
      </c>
      <c r="R184" t="e">
        <f>Nodes!B1513+"'E4!(y2"</f>
        <v>#VALUE!</v>
      </c>
      <c r="S184" t="e">
        <f>Nodes!C1513+"'E4!(y3"</f>
        <v>#VALUE!</v>
      </c>
      <c r="T184" t="e">
        <f>Nodes!D1513+"'E4!(y4"</f>
        <v>#VALUE!</v>
      </c>
      <c r="U184" t="e">
        <f>Nodes!E1513+"'E4!(y5"</f>
        <v>#VALUE!</v>
      </c>
      <c r="V184" t="e">
        <f>Nodes!F1513+"'E4!(y6"</f>
        <v>#VALUE!</v>
      </c>
      <c r="W184" t="e">
        <f>Nodes!G1513+"'E4!(y7"</f>
        <v>#VALUE!</v>
      </c>
      <c r="X184" t="e">
        <f>Nodes!H1513+"'E4!(y8"</f>
        <v>#VALUE!</v>
      </c>
      <c r="Y184" t="e">
        <f>Nodes!I1513+"'E4!(y9"</f>
        <v>#VALUE!</v>
      </c>
      <c r="Z184" t="e">
        <f>Nodes!J1513+"'E4!(y:"</f>
        <v>#VALUE!</v>
      </c>
      <c r="AA184" t="e">
        <f>Nodes!K1513+"'E4!(y;"</f>
        <v>#VALUE!</v>
      </c>
      <c r="AB184" t="e">
        <f>Nodes!L1513+"'E4!(y&lt;"</f>
        <v>#VALUE!</v>
      </c>
      <c r="AC184" t="e">
        <f>Nodes!M1513+"'E4!(y="</f>
        <v>#VALUE!</v>
      </c>
      <c r="AD184" t="e">
        <f>Nodes!N1513+"'E4!(y&gt;"</f>
        <v>#VALUE!</v>
      </c>
      <c r="AE184" t="e">
        <f>Nodes!O1513+"'E4!(y?"</f>
        <v>#VALUE!</v>
      </c>
      <c r="AF184" t="e">
        <f>Nodes!P1513+"'E4!(y@"</f>
        <v>#VALUE!</v>
      </c>
      <c r="AG184" t="e">
        <f>Nodes!Q1513+"'E4!(yA"</f>
        <v>#VALUE!</v>
      </c>
      <c r="AH184" t="e">
        <f>Nodes!R1513+"'E4!(yB"</f>
        <v>#VALUE!</v>
      </c>
      <c r="AI184" t="e">
        <f>Nodes!S1513+"'E4!(yC"</f>
        <v>#VALUE!</v>
      </c>
      <c r="AJ184" t="e">
        <f>Nodes!T1513+"'E4!(yD"</f>
        <v>#VALUE!</v>
      </c>
      <c r="AK184" s="548" t="e">
        <f>Nodes!U1513+"'E4!(yE"</f>
        <v>#VALUE!</v>
      </c>
      <c r="AL184" t="e">
        <f>Nodes!V1513+"'E4!(yF"</f>
        <v>#VALUE!</v>
      </c>
      <c r="AM184" t="e">
        <f>Nodes!W1513+"'E4!(yG"</f>
        <v>#VALUE!</v>
      </c>
      <c r="AN184" t="e">
        <f>Nodes!X1513+"'E4!(yH"</f>
        <v>#VALUE!</v>
      </c>
      <c r="AO184" t="e">
        <f>Nodes!Y1513+"'E4!(yI"</f>
        <v>#VALUE!</v>
      </c>
      <c r="AP184" t="e">
        <f>Nodes!Z1513+"'E4!(yJ"</f>
        <v>#VALUE!</v>
      </c>
      <c r="AQ184" t="e">
        <f>Nodes!AA1513+"'E4!(yK"</f>
        <v>#VALUE!</v>
      </c>
      <c r="AR184" t="e">
        <f>Nodes!AB1513+"'E4!(yL"</f>
        <v>#VALUE!</v>
      </c>
      <c r="AS184" t="e">
        <f>Nodes!AC1513+"'E4!(yM"</f>
        <v>#VALUE!</v>
      </c>
      <c r="AT184" t="e">
        <f>Nodes!A1514+"'E4!(yN"</f>
        <v>#VALUE!</v>
      </c>
      <c r="AU184" t="e">
        <f>Nodes!B1514+"'E4!(yO"</f>
        <v>#VALUE!</v>
      </c>
      <c r="AV184" t="e">
        <f>Nodes!C1514+"'E4!(yP"</f>
        <v>#VALUE!</v>
      </c>
      <c r="AW184" t="e">
        <f>Nodes!D1514+"'E4!(yQ"</f>
        <v>#VALUE!</v>
      </c>
      <c r="AX184" t="e">
        <f>Nodes!E1514+"'E4!(yR"</f>
        <v>#VALUE!</v>
      </c>
      <c r="AY184" t="e">
        <f>Nodes!F1514+"'E4!(yS"</f>
        <v>#VALUE!</v>
      </c>
      <c r="AZ184" t="e">
        <f>Nodes!G1514+"'E4!(yT"</f>
        <v>#VALUE!</v>
      </c>
      <c r="BA184" t="e">
        <f>Nodes!H1514+"'E4!(yU"</f>
        <v>#VALUE!</v>
      </c>
      <c r="BB184" t="e">
        <f>Nodes!I1514+"'E4!(yV"</f>
        <v>#VALUE!</v>
      </c>
      <c r="BC184" t="e">
        <f>Nodes!J1514+"'E4!(yW"</f>
        <v>#VALUE!</v>
      </c>
      <c r="BD184" t="e">
        <f>Nodes!K1514+"'E4!(yX"</f>
        <v>#VALUE!</v>
      </c>
      <c r="BE184" t="e">
        <f>Nodes!L1514+"'E4!(yY"</f>
        <v>#VALUE!</v>
      </c>
      <c r="BF184" t="e">
        <f>Nodes!M1514+"'E4!(yZ"</f>
        <v>#VALUE!</v>
      </c>
      <c r="BG184" t="e">
        <f>Nodes!N1514+"'E4!(y["</f>
        <v>#VALUE!</v>
      </c>
      <c r="BH184" t="e">
        <f>Nodes!O1514+"'E4!(y\"</f>
        <v>#VALUE!</v>
      </c>
      <c r="BI184" t="e">
        <f>Nodes!P1514+"'E4!(y]"</f>
        <v>#VALUE!</v>
      </c>
      <c r="BJ184" t="e">
        <f>Nodes!Q1514+"'E4!(y^"</f>
        <v>#VALUE!</v>
      </c>
      <c r="BK184" t="e">
        <f>Nodes!R1514+"'E4!(y_"</f>
        <v>#VALUE!</v>
      </c>
      <c r="BL184" t="e">
        <f>Nodes!S1514+"'E4!(y`"</f>
        <v>#VALUE!</v>
      </c>
      <c r="BM184" t="e">
        <f>Nodes!T1514+"'E4!(ya"</f>
        <v>#VALUE!</v>
      </c>
      <c r="BN184" t="e">
        <f>Nodes!U1514+"'E4!(yb"</f>
        <v>#VALUE!</v>
      </c>
      <c r="BO184" t="e">
        <f>Nodes!V1514+"'E4!(yc"</f>
        <v>#VALUE!</v>
      </c>
      <c r="BP184" t="e">
        <f>Nodes!W1514+"'E4!(yd"</f>
        <v>#VALUE!</v>
      </c>
      <c r="BQ184" t="e">
        <f>Nodes!X1514+"'E4!(ye"</f>
        <v>#VALUE!</v>
      </c>
      <c r="BR184" t="e">
        <f>Nodes!Y1514+"'E4!(yf"</f>
        <v>#VALUE!</v>
      </c>
      <c r="BS184" t="e">
        <f>Nodes!Z1514+"'E4!(yg"</f>
        <v>#VALUE!</v>
      </c>
      <c r="BT184" t="e">
        <f>Nodes!AA1514+"'E4!(yh"</f>
        <v>#VALUE!</v>
      </c>
      <c r="BU184" t="e">
        <f>Nodes!AB1514+"'E4!(yi"</f>
        <v>#VALUE!</v>
      </c>
      <c r="BV184" t="e">
        <f>Nodes!AC1514+"'E4!(yj"</f>
        <v>#VALUE!</v>
      </c>
      <c r="BW184" t="e">
        <f>Nodes!A1515+"'E4!(yk"</f>
        <v>#VALUE!</v>
      </c>
      <c r="BX184" t="e">
        <f>Nodes!B1515+"'E4!(yl"</f>
        <v>#VALUE!</v>
      </c>
      <c r="BY184" t="e">
        <f>Nodes!C1515+"'E4!(ym"</f>
        <v>#VALUE!</v>
      </c>
      <c r="BZ184" t="e">
        <f>Nodes!D1515+"'E4!(yn"</f>
        <v>#VALUE!</v>
      </c>
      <c r="CA184" t="e">
        <f>Nodes!E1515+"'E4!(yo"</f>
        <v>#VALUE!</v>
      </c>
      <c r="CB184" t="e">
        <f>Nodes!F1515+"'E4!(yp"</f>
        <v>#VALUE!</v>
      </c>
      <c r="CC184" t="e">
        <f>Nodes!G1515+"'E4!(yq"</f>
        <v>#VALUE!</v>
      </c>
      <c r="CD184" t="e">
        <f>Nodes!H1515+"'E4!(yr"</f>
        <v>#VALUE!</v>
      </c>
      <c r="CE184" t="e">
        <f>Nodes!I1515+"'E4!(ys"</f>
        <v>#VALUE!</v>
      </c>
      <c r="CF184" t="e">
        <f>Nodes!J1515+"'E4!(yt"</f>
        <v>#VALUE!</v>
      </c>
      <c r="CG184" t="e">
        <f>Nodes!K1515+"'E4!(yu"</f>
        <v>#VALUE!</v>
      </c>
      <c r="CH184" t="e">
        <f>Nodes!L1515+"'E4!(yv"</f>
        <v>#VALUE!</v>
      </c>
      <c r="CI184" t="e">
        <f>Nodes!M1515+"'E4!(yw"</f>
        <v>#VALUE!</v>
      </c>
      <c r="CJ184" t="e">
        <f>Nodes!N1515+"'E4!(yx"</f>
        <v>#VALUE!</v>
      </c>
      <c r="CK184" t="e">
        <f>Nodes!O1515+"'E4!(yy"</f>
        <v>#VALUE!</v>
      </c>
      <c r="CL184" t="e">
        <f>Nodes!P1515+"'E4!(yz"</f>
        <v>#VALUE!</v>
      </c>
      <c r="CM184" t="e">
        <f>Nodes!Q1515+"'E4!(y{"</f>
        <v>#VALUE!</v>
      </c>
      <c r="CN184" t="e">
        <f>Nodes!R1515+"'E4!(y|"</f>
        <v>#VALUE!</v>
      </c>
      <c r="CO184" t="e">
        <f>Nodes!S1515+"'E4!(y}"</f>
        <v>#VALUE!</v>
      </c>
      <c r="CP184" t="e">
        <f>Nodes!T1515+"'E4!(y~"</f>
        <v>#VALUE!</v>
      </c>
      <c r="CQ184" t="e">
        <f>Nodes!U1515+"'E4!(z#"</f>
        <v>#VALUE!</v>
      </c>
      <c r="CR184" t="e">
        <f>Nodes!V1515+"'E4!(z$"</f>
        <v>#VALUE!</v>
      </c>
      <c r="CS184" t="e">
        <f>Nodes!W1515+"'E4!(z%"</f>
        <v>#VALUE!</v>
      </c>
      <c r="CT184" t="e">
        <f>Nodes!X1515+"'E4!(z&amp;"</f>
        <v>#VALUE!</v>
      </c>
      <c r="CU184" t="e">
        <f>Nodes!Y1515+"'E4!(z'"</f>
        <v>#VALUE!</v>
      </c>
      <c r="CV184" t="e">
        <f>Nodes!Z1515+"'E4!(z("</f>
        <v>#VALUE!</v>
      </c>
      <c r="CW184" t="e">
        <f>Nodes!AA1515+"'E4!(z)"</f>
        <v>#VALUE!</v>
      </c>
      <c r="CX184" t="e">
        <f>Nodes!AB1515+"'E4!(z."</f>
        <v>#VALUE!</v>
      </c>
      <c r="CY184" t="e">
        <f>Nodes!AC1515+"'E4!(z/"</f>
        <v>#VALUE!</v>
      </c>
      <c r="CZ184" t="e">
        <f>Nodes!A1516+"'E4!(z0"</f>
        <v>#VALUE!</v>
      </c>
      <c r="DA184" t="e">
        <f>Nodes!B1516+"'E4!(z1"</f>
        <v>#VALUE!</v>
      </c>
      <c r="DB184" t="e">
        <f>Nodes!C1516+"'E4!(z2"</f>
        <v>#VALUE!</v>
      </c>
      <c r="DC184" t="e">
        <f>Nodes!D1516+"'E4!(z3"</f>
        <v>#VALUE!</v>
      </c>
      <c r="DD184" t="e">
        <f>Nodes!E1516+"'E4!(z4"</f>
        <v>#VALUE!</v>
      </c>
      <c r="DE184" t="e">
        <f>Nodes!F1516+"'E4!(z5"</f>
        <v>#VALUE!</v>
      </c>
      <c r="DF184" t="e">
        <f>Nodes!G1516+"'E4!(z6"</f>
        <v>#VALUE!</v>
      </c>
      <c r="DG184" t="e">
        <f>Nodes!H1516+"'E4!(z7"</f>
        <v>#VALUE!</v>
      </c>
      <c r="DH184" t="e">
        <f>Nodes!I1516+"'E4!(z8"</f>
        <v>#VALUE!</v>
      </c>
      <c r="DI184" t="e">
        <f>Nodes!J1516+"'E4!(z9"</f>
        <v>#VALUE!</v>
      </c>
      <c r="DJ184" t="e">
        <f>Nodes!K1516+"'E4!(z:"</f>
        <v>#VALUE!</v>
      </c>
      <c r="DK184" t="e">
        <f>Nodes!L1516+"'E4!(z;"</f>
        <v>#VALUE!</v>
      </c>
      <c r="DL184" t="e">
        <f>Nodes!M1516+"'E4!(z&lt;"</f>
        <v>#VALUE!</v>
      </c>
      <c r="DM184" t="e">
        <f>Nodes!N1516+"'E4!(z="</f>
        <v>#VALUE!</v>
      </c>
      <c r="DN184" t="e">
        <f>Nodes!O1516+"'E4!(z&gt;"</f>
        <v>#VALUE!</v>
      </c>
      <c r="DO184" t="e">
        <f>Nodes!P1516+"'E4!(z?"</f>
        <v>#VALUE!</v>
      </c>
      <c r="DP184" t="e">
        <f>Nodes!Q1516+"'E4!(z@"</f>
        <v>#VALUE!</v>
      </c>
      <c r="DQ184" t="e">
        <f>Nodes!R1516+"'E4!(zA"</f>
        <v>#VALUE!</v>
      </c>
      <c r="DR184" t="e">
        <f>Nodes!S1516+"'E4!(zB"</f>
        <v>#VALUE!</v>
      </c>
      <c r="DS184" t="e">
        <f>Nodes!T1516+"'E4!(zC"</f>
        <v>#VALUE!</v>
      </c>
      <c r="DT184" t="e">
        <f>Nodes!U1516+"'E4!(zD"</f>
        <v>#VALUE!</v>
      </c>
      <c r="DU184" t="e">
        <f>Nodes!V1516+"'E4!(zE"</f>
        <v>#VALUE!</v>
      </c>
      <c r="DV184" t="e">
        <f>Nodes!W1516+"'E4!(zF"</f>
        <v>#VALUE!</v>
      </c>
      <c r="DW184" t="e">
        <f>Nodes!X1516+"'E4!(zG"</f>
        <v>#VALUE!</v>
      </c>
      <c r="DX184" t="e">
        <f>Nodes!Y1516+"'E4!(zH"</f>
        <v>#VALUE!</v>
      </c>
      <c r="DY184" t="e">
        <f>Nodes!Z1516+"'E4!(zI"</f>
        <v>#VALUE!</v>
      </c>
      <c r="DZ184" t="e">
        <f>Nodes!AA1516+"'E4!(zJ"</f>
        <v>#VALUE!</v>
      </c>
      <c r="EA184" t="e">
        <f>Nodes!AB1516+"'E4!(zK"</f>
        <v>#VALUE!</v>
      </c>
      <c r="EB184" t="e">
        <f>Nodes!AC1516+"'E4!(zL"</f>
        <v>#VALUE!</v>
      </c>
      <c r="EC184" t="e">
        <f>Nodes!A1517+"'E4!(zM"</f>
        <v>#VALUE!</v>
      </c>
      <c r="ED184" t="e">
        <f>Nodes!B1517+"'E4!(zN"</f>
        <v>#VALUE!</v>
      </c>
      <c r="EE184" t="e">
        <f>Nodes!C1517+"'E4!(zO"</f>
        <v>#VALUE!</v>
      </c>
      <c r="EF184" t="e">
        <f>Nodes!D1517+"'E4!(zP"</f>
        <v>#VALUE!</v>
      </c>
      <c r="EG184" t="e">
        <f>Nodes!E1517+"'E4!(zQ"</f>
        <v>#VALUE!</v>
      </c>
      <c r="EH184" t="e">
        <f>Nodes!F1517+"'E4!(zR"</f>
        <v>#VALUE!</v>
      </c>
      <c r="EI184" t="e">
        <f>Nodes!G1517+"'E4!(zS"</f>
        <v>#VALUE!</v>
      </c>
      <c r="EJ184" t="e">
        <f>Nodes!H1517+"'E4!(zT"</f>
        <v>#VALUE!</v>
      </c>
      <c r="EK184" t="e">
        <f>Nodes!I1517+"'E4!(zU"</f>
        <v>#VALUE!</v>
      </c>
      <c r="EL184" t="e">
        <f>Nodes!J1517+"'E4!(zV"</f>
        <v>#VALUE!</v>
      </c>
      <c r="EM184" t="e">
        <f>Nodes!K1517+"'E4!(zW"</f>
        <v>#VALUE!</v>
      </c>
      <c r="EN184" t="e">
        <f>Nodes!L1517+"'E4!(zX"</f>
        <v>#VALUE!</v>
      </c>
      <c r="EO184" t="e">
        <f>Nodes!M1517+"'E4!(zY"</f>
        <v>#VALUE!</v>
      </c>
      <c r="EP184" t="e">
        <f>Nodes!N1517+"'E4!(zZ"</f>
        <v>#VALUE!</v>
      </c>
      <c r="EQ184" t="e">
        <f>Nodes!O1517+"'E4!(z["</f>
        <v>#VALUE!</v>
      </c>
      <c r="ER184" t="e">
        <f>Nodes!P1517+"'E4!(z\"</f>
        <v>#VALUE!</v>
      </c>
      <c r="ES184" t="e">
        <f>Nodes!Q1517+"'E4!(z]"</f>
        <v>#VALUE!</v>
      </c>
      <c r="ET184" t="e">
        <f>Nodes!R1517+"'E4!(z^"</f>
        <v>#VALUE!</v>
      </c>
      <c r="EU184" t="e">
        <f>Nodes!S1517+"'E4!(z_"</f>
        <v>#VALUE!</v>
      </c>
      <c r="EV184" t="e">
        <f>Nodes!T1517+"'E4!(z`"</f>
        <v>#VALUE!</v>
      </c>
      <c r="EW184" t="e">
        <f>Nodes!U1517+"'E4!(za"</f>
        <v>#VALUE!</v>
      </c>
      <c r="EX184" t="e">
        <f>Nodes!V1517+"'E4!(zb"</f>
        <v>#VALUE!</v>
      </c>
      <c r="EY184" t="e">
        <f>Nodes!W1517+"'E4!(zc"</f>
        <v>#VALUE!</v>
      </c>
      <c r="EZ184" t="e">
        <f>Nodes!X1517+"'E4!(zd"</f>
        <v>#VALUE!</v>
      </c>
      <c r="FA184" t="e">
        <f>Nodes!Y1517+"'E4!(ze"</f>
        <v>#VALUE!</v>
      </c>
      <c r="FB184" t="e">
        <f>Nodes!Z1517+"'E4!(zf"</f>
        <v>#VALUE!</v>
      </c>
      <c r="FC184" t="e">
        <f>Nodes!AA1517+"'E4!(zg"</f>
        <v>#VALUE!</v>
      </c>
      <c r="FD184" t="e">
        <f>Nodes!AB1517+"'E4!(zh"</f>
        <v>#VALUE!</v>
      </c>
      <c r="FE184" t="e">
        <f>Nodes!AC1517+"'E4!(zi"</f>
        <v>#VALUE!</v>
      </c>
      <c r="FF184" t="e">
        <f>Nodes!A1518+"'E4!(zj"</f>
        <v>#VALUE!</v>
      </c>
      <c r="FG184" t="e">
        <f>Nodes!B1518+"'E4!(zk"</f>
        <v>#VALUE!</v>
      </c>
      <c r="FH184" t="e">
        <f>Nodes!C1518+"'E4!(zl"</f>
        <v>#VALUE!</v>
      </c>
      <c r="FI184" t="e">
        <f>Nodes!D1518+"'E4!(zm"</f>
        <v>#VALUE!</v>
      </c>
      <c r="FJ184" t="e">
        <f>Nodes!E1518+"'E4!(zn"</f>
        <v>#VALUE!</v>
      </c>
      <c r="FK184" t="e">
        <f>Nodes!F1518+"'E4!(zo"</f>
        <v>#VALUE!</v>
      </c>
      <c r="FL184" t="e">
        <f>Nodes!G1518+"'E4!(zp"</f>
        <v>#VALUE!</v>
      </c>
      <c r="FM184" t="e">
        <f>Nodes!H1518+"'E4!(zq"</f>
        <v>#VALUE!</v>
      </c>
      <c r="FN184" t="e">
        <f>Nodes!I1518+"'E4!(zr"</f>
        <v>#VALUE!</v>
      </c>
      <c r="FO184" t="e">
        <f>Nodes!J1518+"'E4!(zs"</f>
        <v>#VALUE!</v>
      </c>
      <c r="FP184" t="e">
        <f>Nodes!K1518+"'E4!(zt"</f>
        <v>#VALUE!</v>
      </c>
      <c r="FQ184" t="e">
        <f>Nodes!L1518+"'E4!(zu"</f>
        <v>#VALUE!</v>
      </c>
      <c r="FR184" t="e">
        <f>Nodes!M1518+"'E4!(zv"</f>
        <v>#VALUE!</v>
      </c>
      <c r="FS184" t="e">
        <f>Nodes!N1518+"'E4!(zw"</f>
        <v>#VALUE!</v>
      </c>
      <c r="FT184" t="e">
        <f>Nodes!O1518+"'E4!(zx"</f>
        <v>#VALUE!</v>
      </c>
      <c r="FU184" t="e">
        <f>Nodes!P1518+"'E4!(zy"</f>
        <v>#VALUE!</v>
      </c>
      <c r="FV184" t="e">
        <f>Nodes!Q1518+"'E4!(zz"</f>
        <v>#VALUE!</v>
      </c>
      <c r="FW184" t="e">
        <f>Nodes!R1518+"'E4!(z{"</f>
        <v>#VALUE!</v>
      </c>
      <c r="FX184" t="e">
        <f>Nodes!S1518+"'E4!(z|"</f>
        <v>#VALUE!</v>
      </c>
      <c r="FY184" t="e">
        <f>Nodes!T1518+"'E4!(z}"</f>
        <v>#VALUE!</v>
      </c>
      <c r="FZ184" t="e">
        <f>Nodes!U1518+"'E4!(z~"</f>
        <v>#VALUE!</v>
      </c>
      <c r="GA184" t="e">
        <f>Nodes!V1518+"'E4!({#"</f>
        <v>#VALUE!</v>
      </c>
      <c r="GB184" t="e">
        <f>Nodes!W1518+"'E4!({$"</f>
        <v>#VALUE!</v>
      </c>
      <c r="GC184" t="e">
        <f>Nodes!X1518+"'E4!({%"</f>
        <v>#VALUE!</v>
      </c>
      <c r="GD184" t="e">
        <f>Nodes!Y1518+"'E4!({&amp;"</f>
        <v>#VALUE!</v>
      </c>
      <c r="GE184" t="e">
        <f>Nodes!Z1518+"'E4!({'"</f>
        <v>#VALUE!</v>
      </c>
      <c r="GF184" t="e">
        <f>Nodes!AA1518+"'E4!({("</f>
        <v>#VALUE!</v>
      </c>
      <c r="GG184" t="e">
        <f>Nodes!AB1518+"'E4!({)"</f>
        <v>#VALUE!</v>
      </c>
      <c r="GH184" t="e">
        <f>Nodes!AC1518+"'E4!({."</f>
        <v>#VALUE!</v>
      </c>
      <c r="GI184" t="e">
        <f>Nodes!A1519+"'E4!({/"</f>
        <v>#VALUE!</v>
      </c>
      <c r="GJ184" t="e">
        <f>Nodes!B1519+"'E4!({0"</f>
        <v>#VALUE!</v>
      </c>
      <c r="GK184" t="e">
        <f>Nodes!C1519+"'E4!({1"</f>
        <v>#VALUE!</v>
      </c>
      <c r="GL184" t="e">
        <f>Nodes!D1519+"'E4!({2"</f>
        <v>#VALUE!</v>
      </c>
      <c r="GM184" t="e">
        <f>Nodes!E1519+"'E4!({3"</f>
        <v>#VALUE!</v>
      </c>
      <c r="GN184" t="e">
        <f>Nodes!F1519+"'E4!({4"</f>
        <v>#VALUE!</v>
      </c>
      <c r="GO184" t="e">
        <f>Nodes!G1519+"'E4!({5"</f>
        <v>#VALUE!</v>
      </c>
      <c r="GP184" t="e">
        <f>Nodes!H1519+"'E4!({6"</f>
        <v>#VALUE!</v>
      </c>
      <c r="GQ184" t="e">
        <f>Nodes!I1519+"'E4!({7"</f>
        <v>#VALUE!</v>
      </c>
      <c r="GR184" t="e">
        <f>Nodes!J1519+"'E4!({8"</f>
        <v>#VALUE!</v>
      </c>
      <c r="GS184" t="e">
        <f>Nodes!K1519+"'E4!({9"</f>
        <v>#VALUE!</v>
      </c>
      <c r="GT184" t="e">
        <f>Nodes!L1519+"'E4!({:"</f>
        <v>#VALUE!</v>
      </c>
      <c r="GU184" t="e">
        <f>Nodes!M1519+"'E4!({;"</f>
        <v>#VALUE!</v>
      </c>
      <c r="GV184" t="e">
        <f>Nodes!N1519+"'E4!({&lt;"</f>
        <v>#VALUE!</v>
      </c>
      <c r="GW184" t="e">
        <f>Nodes!O1519+"'E4!({="</f>
        <v>#VALUE!</v>
      </c>
      <c r="GX184" t="e">
        <f>Nodes!P1519+"'E4!({&gt;"</f>
        <v>#VALUE!</v>
      </c>
      <c r="GY184" t="e">
        <f>Nodes!Q1519+"'E4!({?"</f>
        <v>#VALUE!</v>
      </c>
      <c r="GZ184" t="e">
        <f>Nodes!R1519+"'E4!({@"</f>
        <v>#VALUE!</v>
      </c>
      <c r="HA184" t="e">
        <f>Nodes!S1519+"'E4!({A"</f>
        <v>#VALUE!</v>
      </c>
      <c r="HB184" t="e">
        <f>Nodes!T1519+"'E4!({B"</f>
        <v>#VALUE!</v>
      </c>
      <c r="HC184" t="e">
        <f>Nodes!U1519+"'E4!({C"</f>
        <v>#VALUE!</v>
      </c>
      <c r="HD184" t="e">
        <f>Nodes!V1519+"'E4!({D"</f>
        <v>#VALUE!</v>
      </c>
      <c r="HE184" t="e">
        <f>Nodes!W1519+"'E4!({E"</f>
        <v>#VALUE!</v>
      </c>
      <c r="HF184" t="e">
        <f>Nodes!X1519+"'E4!({F"</f>
        <v>#VALUE!</v>
      </c>
      <c r="HG184" t="e">
        <f>Nodes!Y1519+"'E4!({G"</f>
        <v>#VALUE!</v>
      </c>
      <c r="HH184" t="e">
        <f>Nodes!Z1519+"'E4!({H"</f>
        <v>#VALUE!</v>
      </c>
      <c r="HI184" t="e">
        <f>Nodes!AA1519+"'E4!({I"</f>
        <v>#VALUE!</v>
      </c>
      <c r="HJ184" t="e">
        <f>Nodes!AB1519+"'E4!({J"</f>
        <v>#VALUE!</v>
      </c>
      <c r="HK184" t="e">
        <f>Nodes!AC1519+"'E4!({K"</f>
        <v>#VALUE!</v>
      </c>
      <c r="HL184" t="e">
        <f>Nodes!A1520+"'E4!({L"</f>
        <v>#VALUE!</v>
      </c>
      <c r="HM184" t="e">
        <f>Nodes!B1520+"'E4!({M"</f>
        <v>#VALUE!</v>
      </c>
      <c r="HN184" t="e">
        <f>Nodes!C1520+"'E4!({N"</f>
        <v>#VALUE!</v>
      </c>
      <c r="HO184" t="e">
        <f>Nodes!D1520+"'E4!({O"</f>
        <v>#VALUE!</v>
      </c>
      <c r="HP184" t="e">
        <f>Nodes!E1520+"'E4!({P"</f>
        <v>#VALUE!</v>
      </c>
      <c r="HQ184" t="e">
        <f>Nodes!F1520+"'E4!({Q"</f>
        <v>#VALUE!</v>
      </c>
      <c r="HR184" t="e">
        <f>Nodes!G1520+"'E4!({R"</f>
        <v>#VALUE!</v>
      </c>
      <c r="HS184" t="e">
        <f>Nodes!H1520+"'E4!({S"</f>
        <v>#VALUE!</v>
      </c>
      <c r="HT184" t="e">
        <f>Nodes!I1520+"'E4!({T"</f>
        <v>#VALUE!</v>
      </c>
      <c r="HU184" t="e">
        <f>Nodes!J1520+"'E4!({U"</f>
        <v>#VALUE!</v>
      </c>
      <c r="HV184" t="e">
        <f>Nodes!K1520+"'E4!({V"</f>
        <v>#VALUE!</v>
      </c>
      <c r="HW184" t="e">
        <f>Nodes!L1520+"'E4!({W"</f>
        <v>#VALUE!</v>
      </c>
      <c r="HX184" t="e">
        <f>Nodes!M1520+"'E4!({X"</f>
        <v>#VALUE!</v>
      </c>
      <c r="HY184" t="e">
        <f>Nodes!N1520+"'E4!({Y"</f>
        <v>#VALUE!</v>
      </c>
      <c r="HZ184" t="e">
        <f>Nodes!O1520+"'E4!({Z"</f>
        <v>#VALUE!</v>
      </c>
      <c r="IA184" t="e">
        <f>Nodes!P1520+"'E4!({["</f>
        <v>#VALUE!</v>
      </c>
      <c r="IB184" t="e">
        <f>Nodes!Q1520+"'E4!({\"</f>
        <v>#VALUE!</v>
      </c>
      <c r="IC184" t="e">
        <f>Nodes!R1520+"'E4!({]"</f>
        <v>#VALUE!</v>
      </c>
      <c r="ID184" t="e">
        <f>Nodes!S1520+"'E4!({^"</f>
        <v>#VALUE!</v>
      </c>
      <c r="IE184" t="e">
        <f>Nodes!T1520+"'E4!({_"</f>
        <v>#VALUE!</v>
      </c>
      <c r="IF184" t="e">
        <f>Nodes!U1520+"'E4!({`"</f>
        <v>#VALUE!</v>
      </c>
      <c r="IG184" t="e">
        <f>Nodes!V1520+"'E4!({a"</f>
        <v>#VALUE!</v>
      </c>
      <c r="IH184" t="e">
        <f>Nodes!W1520+"'E4!({b"</f>
        <v>#VALUE!</v>
      </c>
      <c r="II184" t="e">
        <f>Nodes!X1520+"'E4!({c"</f>
        <v>#VALUE!</v>
      </c>
      <c r="IJ184" t="e">
        <f>Nodes!Y1520+"'E4!({d"</f>
        <v>#VALUE!</v>
      </c>
      <c r="IK184" t="e">
        <f>Nodes!Z1520+"'E4!({e"</f>
        <v>#VALUE!</v>
      </c>
      <c r="IL184" t="e">
        <f>Nodes!AA1520+"'E4!({f"</f>
        <v>#VALUE!</v>
      </c>
      <c r="IM184" t="e">
        <f>Nodes!AB1520+"'E4!({g"</f>
        <v>#VALUE!</v>
      </c>
      <c r="IN184" t="e">
        <f>Nodes!AC1520+"'E4!({h"</f>
        <v>#VALUE!</v>
      </c>
      <c r="IO184" t="e">
        <f>Nodes!A1521+"'E4!({i"</f>
        <v>#VALUE!</v>
      </c>
      <c r="IP184" t="e">
        <f>Nodes!B1521+"'E4!({j"</f>
        <v>#VALUE!</v>
      </c>
      <c r="IQ184" t="e">
        <f>Nodes!C1521+"'E4!({k"</f>
        <v>#VALUE!</v>
      </c>
      <c r="IR184" t="e">
        <f>Nodes!D1521+"'E4!({l"</f>
        <v>#VALUE!</v>
      </c>
      <c r="IS184" t="e">
        <f>Nodes!E1521+"'E4!({m"</f>
        <v>#VALUE!</v>
      </c>
      <c r="IT184" t="e">
        <f>Nodes!F1521+"'E4!({n"</f>
        <v>#VALUE!</v>
      </c>
      <c r="IU184" t="e">
        <f>Nodes!G1521+"'E4!({o"</f>
        <v>#VALUE!</v>
      </c>
      <c r="IV184" t="e">
        <f>Nodes!H1521+"'E4!({p"</f>
        <v>#VALUE!</v>
      </c>
    </row>
    <row r="185" spans="6:256">
      <c r="F185" t="e">
        <f>Nodes!I1521+"'E4!({q"</f>
        <v>#VALUE!</v>
      </c>
      <c r="G185" t="e">
        <f>Nodes!J1521+"'E4!({r"</f>
        <v>#VALUE!</v>
      </c>
      <c r="H185" t="e">
        <f>Nodes!K1521+"'E4!({s"</f>
        <v>#VALUE!</v>
      </c>
      <c r="I185" t="e">
        <f>Nodes!L1521+"'E4!({t"</f>
        <v>#VALUE!</v>
      </c>
      <c r="J185" t="e">
        <f>Nodes!M1521+"'E4!({u"</f>
        <v>#VALUE!</v>
      </c>
      <c r="K185" t="e">
        <f>Nodes!N1521+"'E4!({v"</f>
        <v>#VALUE!</v>
      </c>
      <c r="L185" t="e">
        <f>Nodes!O1521+"'E4!({w"</f>
        <v>#VALUE!</v>
      </c>
      <c r="M185" t="e">
        <f>Nodes!P1521+"'E4!({x"</f>
        <v>#VALUE!</v>
      </c>
      <c r="N185" t="e">
        <f>Nodes!Q1521+"'E4!({y"</f>
        <v>#VALUE!</v>
      </c>
      <c r="O185" t="e">
        <f>Nodes!R1521+"'E4!({z"</f>
        <v>#VALUE!</v>
      </c>
      <c r="P185" t="e">
        <f>Nodes!S1521+"'E4!({{"</f>
        <v>#VALUE!</v>
      </c>
      <c r="Q185" t="e">
        <f>Nodes!T1521+"'E4!({|"</f>
        <v>#VALUE!</v>
      </c>
      <c r="R185" t="e">
        <f>Nodes!U1521+"'E4!({}"</f>
        <v>#VALUE!</v>
      </c>
      <c r="S185" t="e">
        <f>Nodes!V1521+"'E4!({~"</f>
        <v>#VALUE!</v>
      </c>
      <c r="T185" t="e">
        <f>Nodes!W1521+"'E4!(|#"</f>
        <v>#VALUE!</v>
      </c>
      <c r="U185" t="e">
        <f>Nodes!X1521+"'E4!(|$"</f>
        <v>#VALUE!</v>
      </c>
      <c r="V185" t="e">
        <f>Nodes!Y1521+"'E4!(|%"</f>
        <v>#VALUE!</v>
      </c>
      <c r="W185" t="e">
        <f>Nodes!Z1521+"'E4!(|&amp;"</f>
        <v>#VALUE!</v>
      </c>
      <c r="X185" t="e">
        <f>Nodes!AA1521+"'E4!(|'"</f>
        <v>#VALUE!</v>
      </c>
      <c r="Y185" t="e">
        <f>Nodes!AB1521+"'E4!(|("</f>
        <v>#VALUE!</v>
      </c>
      <c r="Z185" t="e">
        <f>Nodes!AC1521+"'E4!(|)"</f>
        <v>#VALUE!</v>
      </c>
      <c r="AA185" t="e">
        <f>Nodes!A1522+"'E4!(|."</f>
        <v>#VALUE!</v>
      </c>
      <c r="AB185" t="e">
        <f>Nodes!B1522+"'E4!(|/"</f>
        <v>#VALUE!</v>
      </c>
      <c r="AC185" t="e">
        <f>Nodes!C1522+"'E4!(|0"</f>
        <v>#VALUE!</v>
      </c>
      <c r="AD185" t="e">
        <f>Nodes!D1522+"'E4!(|1"</f>
        <v>#VALUE!</v>
      </c>
      <c r="AE185" t="e">
        <f>Nodes!E1522+"'E4!(|2"</f>
        <v>#VALUE!</v>
      </c>
      <c r="AF185" t="e">
        <f>Nodes!F1522+"'E4!(|3"</f>
        <v>#VALUE!</v>
      </c>
      <c r="AG185" t="e">
        <f>Nodes!G1522+"'E4!(|4"</f>
        <v>#VALUE!</v>
      </c>
      <c r="AH185" t="e">
        <f>Nodes!H1522+"'E4!(|5"</f>
        <v>#VALUE!</v>
      </c>
      <c r="AI185" t="e">
        <f>Nodes!I1522+"'E4!(|6"</f>
        <v>#VALUE!</v>
      </c>
      <c r="AJ185" t="e">
        <f>Nodes!J1522+"'E4!(|7"</f>
        <v>#VALUE!</v>
      </c>
      <c r="AK185" t="e">
        <f>Nodes!K1522+"'E4!(|8"</f>
        <v>#VALUE!</v>
      </c>
      <c r="AL185" t="e">
        <f>Nodes!L1522+"'E4!(|9"</f>
        <v>#VALUE!</v>
      </c>
      <c r="AM185" t="e">
        <f>Nodes!M1522+"'E4!(|:"</f>
        <v>#VALUE!</v>
      </c>
      <c r="AN185" t="e">
        <f>Nodes!N1522+"'E4!(|;"</f>
        <v>#VALUE!</v>
      </c>
      <c r="AO185" t="e">
        <f>Nodes!O1522+"'E4!(|&lt;"</f>
        <v>#VALUE!</v>
      </c>
      <c r="AP185" t="e">
        <f>Nodes!P1522+"'E4!(|="</f>
        <v>#VALUE!</v>
      </c>
      <c r="AQ185" t="e">
        <f>Nodes!Q1522+"'E4!(|&gt;"</f>
        <v>#VALUE!</v>
      </c>
      <c r="AR185" t="e">
        <f>Nodes!R1522+"'E4!(|?"</f>
        <v>#VALUE!</v>
      </c>
      <c r="AS185" t="e">
        <f>Nodes!S1522+"'E4!(|@"</f>
        <v>#VALUE!</v>
      </c>
      <c r="AT185" t="e">
        <f>Nodes!T1522+"'E4!(|A"</f>
        <v>#VALUE!</v>
      </c>
      <c r="AU185" t="e">
        <f>Nodes!U1522+"'E4!(|B"</f>
        <v>#VALUE!</v>
      </c>
      <c r="AV185" t="e">
        <f>Nodes!V1522+"'E4!(|C"</f>
        <v>#VALUE!</v>
      </c>
      <c r="AW185" t="e">
        <f>Nodes!W1522+"'E4!(|D"</f>
        <v>#VALUE!</v>
      </c>
      <c r="AX185" t="e">
        <f>Nodes!X1522+"'E4!(|E"</f>
        <v>#VALUE!</v>
      </c>
      <c r="AY185" t="e">
        <f>Nodes!Y1522+"'E4!(|F"</f>
        <v>#VALUE!</v>
      </c>
      <c r="AZ185" t="e">
        <f>Nodes!Z1522+"'E4!(|G"</f>
        <v>#VALUE!</v>
      </c>
      <c r="BA185" t="e">
        <f>Nodes!AA1522+"'E4!(|H"</f>
        <v>#VALUE!</v>
      </c>
      <c r="BB185" t="e">
        <f>Nodes!AB1522+"'E4!(|I"</f>
        <v>#VALUE!</v>
      </c>
      <c r="BC185" t="e">
        <f>Nodes!AC1522+"'E4!(|J"</f>
        <v>#VALUE!</v>
      </c>
      <c r="BD185" t="e">
        <f>Nodes!A1523+"'E4!(|K"</f>
        <v>#VALUE!</v>
      </c>
      <c r="BE185" t="e">
        <f>Nodes!B1523+"'E4!(|L"</f>
        <v>#VALUE!</v>
      </c>
      <c r="BF185" t="e">
        <f>Nodes!C1523+"'E4!(|M"</f>
        <v>#VALUE!</v>
      </c>
      <c r="BG185" t="e">
        <f>Nodes!D1523+"'E4!(|N"</f>
        <v>#VALUE!</v>
      </c>
      <c r="BH185" t="e">
        <f>Nodes!E1523+"'E4!(|O"</f>
        <v>#VALUE!</v>
      </c>
      <c r="BI185" t="e">
        <f>Nodes!F1523+"'E4!(|P"</f>
        <v>#VALUE!</v>
      </c>
      <c r="BJ185" t="e">
        <f>Nodes!G1523+"'E4!(|Q"</f>
        <v>#VALUE!</v>
      </c>
      <c r="BK185" t="e">
        <f>Nodes!H1523+"'E4!(|R"</f>
        <v>#VALUE!</v>
      </c>
      <c r="BL185" t="e">
        <f>Nodes!I1523+"'E4!(|S"</f>
        <v>#VALUE!</v>
      </c>
      <c r="BM185" t="e">
        <f>Nodes!J1523+"'E4!(|T"</f>
        <v>#VALUE!</v>
      </c>
      <c r="BN185" t="e">
        <f>Nodes!K1523+"'E4!(|U"</f>
        <v>#VALUE!</v>
      </c>
      <c r="BO185" t="e">
        <f>Nodes!L1523+"'E4!(|V"</f>
        <v>#VALUE!</v>
      </c>
      <c r="BP185" t="e">
        <f>Nodes!M1523+"'E4!(|W"</f>
        <v>#VALUE!</v>
      </c>
      <c r="BQ185" t="e">
        <f>Nodes!N1523+"'E4!(|X"</f>
        <v>#VALUE!</v>
      </c>
      <c r="BR185" t="e">
        <f>Nodes!O1523+"'E4!(|Y"</f>
        <v>#VALUE!</v>
      </c>
      <c r="BS185" t="e">
        <f>Nodes!P1523+"'E4!(|Z"</f>
        <v>#VALUE!</v>
      </c>
      <c r="BT185" t="e">
        <f>Nodes!Q1523+"'E4!(|["</f>
        <v>#VALUE!</v>
      </c>
      <c r="BU185" t="e">
        <f>Nodes!R1523+"'E4!(|\"</f>
        <v>#VALUE!</v>
      </c>
      <c r="BV185" t="e">
        <f>Nodes!S1523+"'E4!(|]"</f>
        <v>#VALUE!</v>
      </c>
      <c r="BW185" t="e">
        <f>Nodes!T1523+"'E4!(|^"</f>
        <v>#VALUE!</v>
      </c>
      <c r="BX185" t="e">
        <f>Nodes!U1523+"'E4!(|_"</f>
        <v>#VALUE!</v>
      </c>
      <c r="BY185" t="e">
        <f>Nodes!V1523+"'E4!(|`"</f>
        <v>#VALUE!</v>
      </c>
      <c r="BZ185" t="e">
        <f>Nodes!W1523+"'E4!(|a"</f>
        <v>#VALUE!</v>
      </c>
      <c r="CA185" t="e">
        <f>Nodes!X1523+"'E4!(|b"</f>
        <v>#VALUE!</v>
      </c>
      <c r="CB185" t="e">
        <f>Nodes!Y1523+"'E4!(|c"</f>
        <v>#VALUE!</v>
      </c>
      <c r="CC185" t="e">
        <f>Nodes!Z1523+"'E4!(|d"</f>
        <v>#VALUE!</v>
      </c>
      <c r="CD185" t="e">
        <f>Nodes!AA1523+"'E4!(|e"</f>
        <v>#VALUE!</v>
      </c>
      <c r="CE185" t="e">
        <f>Nodes!AB1523+"'E4!(|f"</f>
        <v>#VALUE!</v>
      </c>
      <c r="CF185" t="e">
        <f>Nodes!AC1523+"'E4!(|g"</f>
        <v>#VALUE!</v>
      </c>
      <c r="CG185" t="e">
        <f>Nodes!A1524+"'E4!(|h"</f>
        <v>#VALUE!</v>
      </c>
      <c r="CH185" t="e">
        <f>Nodes!B1524+"'E4!(|i"</f>
        <v>#VALUE!</v>
      </c>
      <c r="CI185" t="e">
        <f>Nodes!C1524+"'E4!(|j"</f>
        <v>#VALUE!</v>
      </c>
      <c r="CJ185" t="e">
        <f>Nodes!D1524+"'E4!(|k"</f>
        <v>#VALUE!</v>
      </c>
      <c r="CK185" t="e">
        <f>Nodes!E1524+"'E4!(|l"</f>
        <v>#VALUE!</v>
      </c>
      <c r="CL185" t="e">
        <f>Nodes!F1524+"'E4!(|m"</f>
        <v>#VALUE!</v>
      </c>
      <c r="CM185" t="e">
        <f>Nodes!G1524+"'E4!(|n"</f>
        <v>#VALUE!</v>
      </c>
      <c r="CN185" t="e">
        <f>Nodes!H1524+"'E4!(|o"</f>
        <v>#VALUE!</v>
      </c>
      <c r="CO185" t="e">
        <f>Nodes!I1524+"'E4!(|p"</f>
        <v>#VALUE!</v>
      </c>
      <c r="CP185" t="e">
        <f>Nodes!J1524+"'E4!(|q"</f>
        <v>#VALUE!</v>
      </c>
      <c r="CQ185" t="e">
        <f>Nodes!K1524+"'E4!(|r"</f>
        <v>#VALUE!</v>
      </c>
      <c r="CR185" t="e">
        <f>Nodes!L1524+"'E4!(|s"</f>
        <v>#VALUE!</v>
      </c>
      <c r="CS185" t="e">
        <f>Nodes!M1524+"'E4!(|t"</f>
        <v>#VALUE!</v>
      </c>
      <c r="CT185" t="e">
        <f>Nodes!N1524+"'E4!(|u"</f>
        <v>#VALUE!</v>
      </c>
      <c r="CU185" t="e">
        <f>Nodes!O1524+"'E4!(|v"</f>
        <v>#VALUE!</v>
      </c>
      <c r="CV185" t="e">
        <f>Nodes!P1524+"'E4!(|w"</f>
        <v>#VALUE!</v>
      </c>
      <c r="CW185" t="e">
        <f>Nodes!Q1524+"'E4!(|x"</f>
        <v>#VALUE!</v>
      </c>
      <c r="CX185" t="e">
        <f>Nodes!R1524+"'E4!(|y"</f>
        <v>#VALUE!</v>
      </c>
      <c r="CY185" t="e">
        <f>Nodes!S1524+"'E4!(|z"</f>
        <v>#VALUE!</v>
      </c>
      <c r="CZ185" t="e">
        <f>Nodes!T1524+"'E4!(|{"</f>
        <v>#VALUE!</v>
      </c>
      <c r="DA185" t="e">
        <f>Nodes!U1524+"'E4!(||"</f>
        <v>#VALUE!</v>
      </c>
      <c r="DB185" t="e">
        <f>Nodes!V1524+"'E4!(|}"</f>
        <v>#VALUE!</v>
      </c>
      <c r="DC185" t="e">
        <f>Nodes!W1524+"'E4!(|~"</f>
        <v>#VALUE!</v>
      </c>
      <c r="DD185" t="e">
        <f>Nodes!X1524+"'E4!(}#"</f>
        <v>#VALUE!</v>
      </c>
      <c r="DE185" t="e">
        <f>Nodes!Y1524+"'E4!(}$"</f>
        <v>#VALUE!</v>
      </c>
      <c r="DF185" t="e">
        <f>Nodes!Z1524+"'E4!(}%"</f>
        <v>#VALUE!</v>
      </c>
      <c r="DG185" t="e">
        <f>Nodes!AA1524+"'E4!(}&amp;"</f>
        <v>#VALUE!</v>
      </c>
      <c r="DH185" t="e">
        <f>Nodes!AB1524+"'E4!(}'"</f>
        <v>#VALUE!</v>
      </c>
      <c r="DI185" t="e">
        <f>Nodes!AC1524+"'E4!(}("</f>
        <v>#VALUE!</v>
      </c>
      <c r="DJ185" t="e">
        <f>Nodes!A1525+"'E4!(})"</f>
        <v>#VALUE!</v>
      </c>
      <c r="DK185" t="e">
        <f>Nodes!B1525+"'E4!(}."</f>
        <v>#VALUE!</v>
      </c>
      <c r="DL185" t="e">
        <f>Nodes!C1525+"'E4!(}/"</f>
        <v>#VALUE!</v>
      </c>
      <c r="DM185" t="e">
        <f>Nodes!D1525+"'E4!(}0"</f>
        <v>#VALUE!</v>
      </c>
      <c r="DN185" t="e">
        <f>Nodes!E1525+"'E4!(}1"</f>
        <v>#VALUE!</v>
      </c>
      <c r="DO185" t="e">
        <f>Nodes!F1525+"'E4!(}2"</f>
        <v>#VALUE!</v>
      </c>
      <c r="DP185" t="e">
        <f>Nodes!G1525+"'E4!(}3"</f>
        <v>#VALUE!</v>
      </c>
      <c r="DQ185" t="e">
        <f>Nodes!H1525+"'E4!(}4"</f>
        <v>#VALUE!</v>
      </c>
      <c r="DR185" t="e">
        <f>Nodes!I1525+"'E4!(}5"</f>
        <v>#VALUE!</v>
      </c>
      <c r="DS185" t="e">
        <f>Nodes!J1525+"'E4!(}6"</f>
        <v>#VALUE!</v>
      </c>
      <c r="DT185" t="e">
        <f>Nodes!K1525+"'E4!(}7"</f>
        <v>#VALUE!</v>
      </c>
      <c r="DU185" t="e">
        <f>Nodes!L1525+"'E4!(}8"</f>
        <v>#VALUE!</v>
      </c>
      <c r="DV185" t="e">
        <f>Nodes!M1525+"'E4!(}9"</f>
        <v>#VALUE!</v>
      </c>
      <c r="DW185" t="e">
        <f>Nodes!N1525+"'E4!(}:"</f>
        <v>#VALUE!</v>
      </c>
      <c r="DX185" t="e">
        <f>Nodes!O1525+"'E4!(};"</f>
        <v>#VALUE!</v>
      </c>
      <c r="DY185" t="e">
        <f>Nodes!P1525+"'E4!(}&lt;"</f>
        <v>#VALUE!</v>
      </c>
      <c r="DZ185" t="e">
        <f>Nodes!Q1525+"'E4!(}="</f>
        <v>#VALUE!</v>
      </c>
      <c r="EA185" t="e">
        <f>Nodes!R1525+"'E4!(}&gt;"</f>
        <v>#VALUE!</v>
      </c>
      <c r="EB185" t="e">
        <f>Nodes!S1525+"'E4!(}?"</f>
        <v>#VALUE!</v>
      </c>
      <c r="EC185" t="e">
        <f>Nodes!T1525+"'E4!(}@"</f>
        <v>#VALUE!</v>
      </c>
      <c r="ED185" t="e">
        <f>Nodes!U1525+"'E4!(}A"</f>
        <v>#VALUE!</v>
      </c>
      <c r="EE185" t="e">
        <f>Nodes!V1525+"'E4!(}B"</f>
        <v>#VALUE!</v>
      </c>
      <c r="EF185" t="e">
        <f>Nodes!W1525+"'E4!(}C"</f>
        <v>#VALUE!</v>
      </c>
      <c r="EG185" t="e">
        <f>Nodes!X1525+"'E4!(}D"</f>
        <v>#VALUE!</v>
      </c>
      <c r="EH185" t="e">
        <f>Nodes!Y1525+"'E4!(}E"</f>
        <v>#VALUE!</v>
      </c>
      <c r="EI185" t="e">
        <f>Nodes!Z1525+"'E4!(}F"</f>
        <v>#VALUE!</v>
      </c>
      <c r="EJ185" t="e">
        <f>Nodes!AA1525+"'E4!(}G"</f>
        <v>#VALUE!</v>
      </c>
      <c r="EK185" t="e">
        <f>Nodes!AB1525+"'E4!(}H"</f>
        <v>#VALUE!</v>
      </c>
      <c r="EL185" t="e">
        <f>Nodes!AC1525+"'E4!(}I"</f>
        <v>#VALUE!</v>
      </c>
      <c r="EM185" t="e">
        <f>Nodes!A1526+"'E4!(}J"</f>
        <v>#VALUE!</v>
      </c>
      <c r="EN185" t="e">
        <f>Nodes!B1526+"'E4!(}K"</f>
        <v>#VALUE!</v>
      </c>
      <c r="EO185" t="e">
        <f>Nodes!C1526+"'E4!(}L"</f>
        <v>#VALUE!</v>
      </c>
      <c r="EP185" t="e">
        <f>Nodes!D1526+"'E4!(}M"</f>
        <v>#VALUE!</v>
      </c>
      <c r="EQ185" t="e">
        <f>Nodes!E1526+"'E4!(}N"</f>
        <v>#VALUE!</v>
      </c>
      <c r="ER185" t="e">
        <f>Nodes!F1526+"'E4!(}O"</f>
        <v>#VALUE!</v>
      </c>
      <c r="ES185" t="e">
        <f>Nodes!G1526+"'E4!(}P"</f>
        <v>#VALUE!</v>
      </c>
      <c r="ET185" t="e">
        <f>Nodes!H1526+"'E4!(}Q"</f>
        <v>#VALUE!</v>
      </c>
      <c r="EU185" t="e">
        <f>Nodes!I1526+"'E4!(}R"</f>
        <v>#VALUE!</v>
      </c>
      <c r="EV185" t="e">
        <f>Nodes!J1526+"'E4!(}S"</f>
        <v>#VALUE!</v>
      </c>
      <c r="EW185" t="e">
        <f>Nodes!K1526+"'E4!(}T"</f>
        <v>#VALUE!</v>
      </c>
      <c r="EX185" t="e">
        <f>Nodes!L1526+"'E4!(}U"</f>
        <v>#VALUE!</v>
      </c>
      <c r="EY185" t="e">
        <f>Nodes!M1526+"'E4!(}V"</f>
        <v>#VALUE!</v>
      </c>
      <c r="EZ185" t="e">
        <f>Nodes!N1526+"'E4!(}W"</f>
        <v>#VALUE!</v>
      </c>
      <c r="FA185" t="e">
        <f>Nodes!O1526+"'E4!(}X"</f>
        <v>#VALUE!</v>
      </c>
      <c r="FB185" t="e">
        <f>Nodes!P1526+"'E4!(}Y"</f>
        <v>#VALUE!</v>
      </c>
      <c r="FC185" t="e">
        <f>Nodes!Q1526+"'E4!(}Z"</f>
        <v>#VALUE!</v>
      </c>
      <c r="FD185" t="e">
        <f>Nodes!R1526+"'E4!(}["</f>
        <v>#VALUE!</v>
      </c>
      <c r="FE185" t="e">
        <f>Nodes!S1526+"'E4!(}\"</f>
        <v>#VALUE!</v>
      </c>
      <c r="FF185" t="e">
        <f>Nodes!T1526+"'E4!(}]"</f>
        <v>#VALUE!</v>
      </c>
      <c r="FG185" t="e">
        <f>Nodes!U1526+"'E4!(}^"</f>
        <v>#VALUE!</v>
      </c>
      <c r="FH185" t="e">
        <f>Nodes!V1526+"'E4!(}_"</f>
        <v>#VALUE!</v>
      </c>
      <c r="FI185" t="e">
        <f>Nodes!W1526+"'E4!(}`"</f>
        <v>#VALUE!</v>
      </c>
      <c r="FJ185" t="e">
        <f>Nodes!X1526+"'E4!(}a"</f>
        <v>#VALUE!</v>
      </c>
      <c r="FK185" t="e">
        <f>Nodes!Y1526+"'E4!(}b"</f>
        <v>#VALUE!</v>
      </c>
      <c r="FL185" t="e">
        <f>Nodes!Z1526+"'E4!(}c"</f>
        <v>#VALUE!</v>
      </c>
      <c r="FM185" t="e">
        <f>Nodes!AA1526+"'E4!(}d"</f>
        <v>#VALUE!</v>
      </c>
      <c r="FN185" t="e">
        <f>Nodes!AB1526+"'E4!(}e"</f>
        <v>#VALUE!</v>
      </c>
      <c r="FO185" t="e">
        <f>Nodes!AC1526+"'E4!(}f"</f>
        <v>#VALUE!</v>
      </c>
      <c r="FP185" t="e">
        <f>Nodes!A1527+"'E4!(}g"</f>
        <v>#VALUE!</v>
      </c>
      <c r="FQ185" t="e">
        <f>Nodes!B1527+"'E4!(}h"</f>
        <v>#VALUE!</v>
      </c>
      <c r="FR185" t="e">
        <f>Nodes!C1527+"'E4!(}i"</f>
        <v>#VALUE!</v>
      </c>
      <c r="FS185" t="e">
        <f>Nodes!D1527+"'E4!(}j"</f>
        <v>#VALUE!</v>
      </c>
      <c r="FT185" t="e">
        <f>Nodes!E1527+"'E4!(}k"</f>
        <v>#VALUE!</v>
      </c>
      <c r="FU185" t="e">
        <f>Nodes!F1527+"'E4!(}l"</f>
        <v>#VALUE!</v>
      </c>
      <c r="FV185" t="e">
        <f>Nodes!G1527+"'E4!(}m"</f>
        <v>#VALUE!</v>
      </c>
      <c r="FW185" t="e">
        <f>Nodes!H1527+"'E4!(}n"</f>
        <v>#VALUE!</v>
      </c>
      <c r="FX185" t="e">
        <f>Nodes!I1527+"'E4!(}o"</f>
        <v>#VALUE!</v>
      </c>
      <c r="FY185" t="e">
        <f>Nodes!J1527+"'E4!(}p"</f>
        <v>#VALUE!</v>
      </c>
      <c r="FZ185" t="e">
        <f>Nodes!K1527+"'E4!(}q"</f>
        <v>#VALUE!</v>
      </c>
      <c r="GA185" t="e">
        <f>Nodes!L1527+"'E4!(}r"</f>
        <v>#VALUE!</v>
      </c>
      <c r="GB185" t="e">
        <f>Nodes!M1527+"'E4!(}s"</f>
        <v>#VALUE!</v>
      </c>
      <c r="GC185" t="e">
        <f>Nodes!N1527+"'E4!(}t"</f>
        <v>#VALUE!</v>
      </c>
      <c r="GD185" t="e">
        <f>Nodes!O1527+"'E4!(}u"</f>
        <v>#VALUE!</v>
      </c>
      <c r="GE185" t="e">
        <f>Nodes!P1527+"'E4!(}v"</f>
        <v>#VALUE!</v>
      </c>
      <c r="GF185" t="e">
        <f>Nodes!Q1527+"'E4!(}w"</f>
        <v>#VALUE!</v>
      </c>
      <c r="GG185" t="e">
        <f>Nodes!R1527+"'E4!(}x"</f>
        <v>#VALUE!</v>
      </c>
      <c r="GH185" t="e">
        <f>Nodes!S1527+"'E4!(}y"</f>
        <v>#VALUE!</v>
      </c>
      <c r="GI185" t="e">
        <f>Nodes!T1527+"'E4!(}z"</f>
        <v>#VALUE!</v>
      </c>
      <c r="GJ185" t="e">
        <f>Nodes!U1527+"'E4!(}{"</f>
        <v>#VALUE!</v>
      </c>
      <c r="GK185" t="e">
        <f>Nodes!V1527+"'E4!(}|"</f>
        <v>#VALUE!</v>
      </c>
      <c r="GL185" t="e">
        <f>Nodes!W1527+"'E4!(}}"</f>
        <v>#VALUE!</v>
      </c>
      <c r="GM185" t="e">
        <f>Nodes!X1527+"'E4!(}~"</f>
        <v>#VALUE!</v>
      </c>
      <c r="GN185" t="e">
        <f>Nodes!Y1527+"'E4!(~#"</f>
        <v>#VALUE!</v>
      </c>
      <c r="GO185" t="e">
        <f>Nodes!Z1527+"'E4!(~$"</f>
        <v>#VALUE!</v>
      </c>
      <c r="GP185" t="e">
        <f>Nodes!AA1527+"'E4!(~%"</f>
        <v>#VALUE!</v>
      </c>
      <c r="GQ185" t="e">
        <f>Nodes!AB1527+"'E4!(~&amp;"</f>
        <v>#VALUE!</v>
      </c>
      <c r="GR185" t="e">
        <f>Nodes!AC1527+"'E4!(~'"</f>
        <v>#VALUE!</v>
      </c>
      <c r="GS185" t="e">
        <f>Nodes!A1528+"'E4!(~("</f>
        <v>#VALUE!</v>
      </c>
      <c r="GT185" t="e">
        <f>Nodes!B1528+"'E4!(~)"</f>
        <v>#VALUE!</v>
      </c>
      <c r="GU185" t="e">
        <f>Nodes!C1528+"'E4!(~."</f>
        <v>#VALUE!</v>
      </c>
      <c r="GV185" t="e">
        <f>Nodes!D1528+"'E4!(~/"</f>
        <v>#VALUE!</v>
      </c>
      <c r="GW185" t="e">
        <f>Nodes!E1528+"'E4!(~0"</f>
        <v>#VALUE!</v>
      </c>
      <c r="GX185" t="e">
        <f>Nodes!F1528+"'E4!(~1"</f>
        <v>#VALUE!</v>
      </c>
      <c r="GY185" t="e">
        <f>Nodes!G1528+"'E4!(~2"</f>
        <v>#VALUE!</v>
      </c>
      <c r="GZ185" t="e">
        <f>Nodes!H1528+"'E4!(~3"</f>
        <v>#VALUE!</v>
      </c>
      <c r="HA185" t="e">
        <f>Nodes!I1528+"'E4!(~4"</f>
        <v>#VALUE!</v>
      </c>
      <c r="HB185" t="e">
        <f>Nodes!J1528+"'E4!(~5"</f>
        <v>#VALUE!</v>
      </c>
      <c r="HC185" t="e">
        <f>Nodes!K1528+"'E4!(~6"</f>
        <v>#VALUE!</v>
      </c>
      <c r="HD185" t="e">
        <f>Nodes!L1528+"'E4!(~7"</f>
        <v>#VALUE!</v>
      </c>
      <c r="HE185" t="e">
        <f>Nodes!M1528+"'E4!(~8"</f>
        <v>#VALUE!</v>
      </c>
      <c r="HF185" t="e">
        <f>Nodes!N1528+"'E4!(~9"</f>
        <v>#VALUE!</v>
      </c>
      <c r="HG185" t="e">
        <f>Nodes!O1528+"'E4!(~:"</f>
        <v>#VALUE!</v>
      </c>
      <c r="HH185" t="e">
        <f>Nodes!P1528+"'E4!(~;"</f>
        <v>#VALUE!</v>
      </c>
      <c r="HI185" t="e">
        <f>Nodes!Q1528+"'E4!(~&lt;"</f>
        <v>#VALUE!</v>
      </c>
      <c r="HJ185" t="e">
        <f>Nodes!R1528+"'E4!(~="</f>
        <v>#VALUE!</v>
      </c>
      <c r="HK185" t="e">
        <f>Nodes!S1528+"'E4!(~&gt;"</f>
        <v>#VALUE!</v>
      </c>
      <c r="HL185" t="e">
        <f>Nodes!T1528+"'E4!(~?"</f>
        <v>#VALUE!</v>
      </c>
      <c r="HM185" t="e">
        <f>Nodes!U1528+"'E4!(~@"</f>
        <v>#VALUE!</v>
      </c>
      <c r="HN185" t="e">
        <f>Nodes!V1528+"'E4!(~A"</f>
        <v>#VALUE!</v>
      </c>
      <c r="HO185" t="e">
        <f>Nodes!W1528+"'E4!(~B"</f>
        <v>#VALUE!</v>
      </c>
      <c r="HP185" t="e">
        <f>Nodes!X1528+"'E4!(~C"</f>
        <v>#VALUE!</v>
      </c>
      <c r="HQ185" t="e">
        <f>Nodes!Y1528+"'E4!(~D"</f>
        <v>#VALUE!</v>
      </c>
      <c r="HR185" t="e">
        <f>Nodes!Z1528+"'E4!(~E"</f>
        <v>#VALUE!</v>
      </c>
      <c r="HS185" t="e">
        <f>Nodes!AA1528+"'E4!(~F"</f>
        <v>#VALUE!</v>
      </c>
      <c r="HT185" t="e">
        <f>Nodes!AB1528+"'E4!(~G"</f>
        <v>#VALUE!</v>
      </c>
      <c r="HU185" t="e">
        <f>Nodes!AC1528+"'E4!(~H"</f>
        <v>#VALUE!</v>
      </c>
      <c r="HV185" t="e">
        <f>Nodes!A1529+"'E4!(~I"</f>
        <v>#VALUE!</v>
      </c>
      <c r="HW185" t="e">
        <f>Nodes!B1529+"'E4!(~J"</f>
        <v>#VALUE!</v>
      </c>
      <c r="HX185" t="e">
        <f>Nodes!C1529+"'E4!(~K"</f>
        <v>#VALUE!</v>
      </c>
      <c r="HY185" t="e">
        <f>Nodes!D1529+"'E4!(~L"</f>
        <v>#VALUE!</v>
      </c>
      <c r="HZ185" t="e">
        <f>Nodes!E1529+"'E4!(~M"</f>
        <v>#VALUE!</v>
      </c>
      <c r="IA185" t="e">
        <f>Nodes!F1529+"'E4!(~N"</f>
        <v>#VALUE!</v>
      </c>
      <c r="IB185" t="e">
        <f>Nodes!G1529+"'E4!(~O"</f>
        <v>#VALUE!</v>
      </c>
      <c r="IC185" t="e">
        <f>Nodes!H1529+"'E4!(~P"</f>
        <v>#VALUE!</v>
      </c>
      <c r="ID185" t="e">
        <f>Nodes!I1529+"'E4!(~Q"</f>
        <v>#VALUE!</v>
      </c>
      <c r="IE185" t="e">
        <f>Nodes!J1529+"'E4!(~R"</f>
        <v>#VALUE!</v>
      </c>
      <c r="IF185" t="e">
        <f>Nodes!K1529+"'E4!(~S"</f>
        <v>#VALUE!</v>
      </c>
      <c r="IG185" t="e">
        <f>Nodes!L1529+"'E4!(~T"</f>
        <v>#VALUE!</v>
      </c>
      <c r="IH185" t="e">
        <f>Nodes!M1529+"'E4!(~U"</f>
        <v>#VALUE!</v>
      </c>
      <c r="II185" t="e">
        <f>Nodes!N1529+"'E4!(~V"</f>
        <v>#VALUE!</v>
      </c>
      <c r="IJ185" t="e">
        <f>Nodes!O1529+"'E4!(~W"</f>
        <v>#VALUE!</v>
      </c>
      <c r="IK185" t="e">
        <f>Nodes!P1529+"'E4!(~X"</f>
        <v>#VALUE!</v>
      </c>
      <c r="IL185" t="e">
        <f>Nodes!Q1529+"'E4!(~Y"</f>
        <v>#VALUE!</v>
      </c>
      <c r="IM185" t="e">
        <f>Nodes!R1529+"'E4!(~Z"</f>
        <v>#VALUE!</v>
      </c>
      <c r="IN185" t="e">
        <f>Nodes!S1529+"'E4!(~["</f>
        <v>#VALUE!</v>
      </c>
      <c r="IO185" t="e">
        <f>Nodes!T1529+"'E4!(~\"</f>
        <v>#VALUE!</v>
      </c>
      <c r="IP185" t="e">
        <f>Nodes!U1529+"'E4!(~]"</f>
        <v>#VALUE!</v>
      </c>
      <c r="IQ185" t="e">
        <f>Nodes!V1529+"'E4!(~^"</f>
        <v>#VALUE!</v>
      </c>
      <c r="IR185" t="e">
        <f>Nodes!W1529+"'E4!(~_"</f>
        <v>#VALUE!</v>
      </c>
      <c r="IS185" t="e">
        <f>Nodes!X1529+"'E4!(~`"</f>
        <v>#VALUE!</v>
      </c>
      <c r="IT185" t="e">
        <f>Nodes!Y1529+"'E4!(~a"</f>
        <v>#VALUE!</v>
      </c>
      <c r="IU185" t="e">
        <f>Nodes!Z1529+"'E4!(~b"</f>
        <v>#VALUE!</v>
      </c>
      <c r="IV185" t="e">
        <f>Nodes!AA1529+"'E4!(~c"</f>
        <v>#VALUE!</v>
      </c>
    </row>
    <row r="186" spans="6:256">
      <c r="F186" t="e">
        <f>Nodes!AB1529+"'E4!(~d"</f>
        <v>#VALUE!</v>
      </c>
      <c r="G186" t="e">
        <f>Nodes!AC1529+"'E4!(~e"</f>
        <v>#VALUE!</v>
      </c>
      <c r="H186" t="e">
        <f>Nodes!A1530+"'E4!(~f"</f>
        <v>#VALUE!</v>
      </c>
      <c r="I186" t="e">
        <f>Nodes!B1530+"'E4!(~g"</f>
        <v>#VALUE!</v>
      </c>
      <c r="J186" t="e">
        <f>Nodes!C1530+"'E4!(~h"</f>
        <v>#VALUE!</v>
      </c>
      <c r="K186" t="e">
        <f>Nodes!D1530+"'E4!(~i"</f>
        <v>#VALUE!</v>
      </c>
      <c r="L186" t="e">
        <f>Nodes!E1530+"'E4!(~j"</f>
        <v>#VALUE!</v>
      </c>
      <c r="M186" t="e">
        <f>Nodes!F1530+"'E4!(~k"</f>
        <v>#VALUE!</v>
      </c>
      <c r="N186" t="e">
        <f>Nodes!G1530+"'E4!(~l"</f>
        <v>#VALUE!</v>
      </c>
      <c r="O186" t="e">
        <f>Nodes!H1530+"'E4!(~m"</f>
        <v>#VALUE!</v>
      </c>
      <c r="P186" t="e">
        <f>Nodes!I1530+"'E4!(~n"</f>
        <v>#VALUE!</v>
      </c>
      <c r="Q186" t="e">
        <f>Nodes!J1530+"'E4!(~o"</f>
        <v>#VALUE!</v>
      </c>
      <c r="R186" t="e">
        <f>Nodes!K1530+"'E4!(~p"</f>
        <v>#VALUE!</v>
      </c>
      <c r="S186" t="e">
        <f>Nodes!L1530+"'E4!(~q"</f>
        <v>#VALUE!</v>
      </c>
      <c r="T186" t="e">
        <f>Nodes!M1530+"'E4!(~r"</f>
        <v>#VALUE!</v>
      </c>
      <c r="U186" t="e">
        <f>Nodes!N1530+"'E4!(~s"</f>
        <v>#VALUE!</v>
      </c>
      <c r="V186" t="e">
        <f>Nodes!O1530+"'E4!(~t"</f>
        <v>#VALUE!</v>
      </c>
      <c r="W186" t="e">
        <f>Nodes!P1530+"'E4!(~u"</f>
        <v>#VALUE!</v>
      </c>
      <c r="X186" t="e">
        <f>Nodes!Q1530+"'E4!(~v"</f>
        <v>#VALUE!</v>
      </c>
      <c r="Y186" t="e">
        <f>Nodes!R1530+"'E4!(~w"</f>
        <v>#VALUE!</v>
      </c>
      <c r="Z186" t="e">
        <f>Nodes!S1530+"'E4!(~x"</f>
        <v>#VALUE!</v>
      </c>
      <c r="AA186" t="e">
        <f>Nodes!T1530+"'E4!(~y"</f>
        <v>#VALUE!</v>
      </c>
      <c r="AB186" t="e">
        <f>Nodes!U1530+"'E4!(~z"</f>
        <v>#VALUE!</v>
      </c>
      <c r="AC186" t="e">
        <f>Nodes!V1530+"'E4!(~{"</f>
        <v>#VALUE!</v>
      </c>
      <c r="AD186" t="e">
        <f>Nodes!W1530+"'E4!(~|"</f>
        <v>#VALUE!</v>
      </c>
      <c r="AE186" t="e">
        <f>Nodes!X1530+"'E4!(~}"</f>
        <v>#VALUE!</v>
      </c>
      <c r="AF186" t="e">
        <f>Nodes!Y1530+"'E4!(~~"</f>
        <v>#VALUE!</v>
      </c>
      <c r="AG186" t="e">
        <f>Nodes!Z1530+"'E4!)##"</f>
        <v>#VALUE!</v>
      </c>
      <c r="AH186" t="e">
        <f>Nodes!AA1530+"'E4!)#$"</f>
        <v>#VALUE!</v>
      </c>
      <c r="AI186" t="e">
        <f>Nodes!AB1530+"'E4!)#%"</f>
        <v>#VALUE!</v>
      </c>
      <c r="AJ186" t="e">
        <f>Nodes!AC1530+"'E4!)#&amp;"</f>
        <v>#VALUE!</v>
      </c>
      <c r="AK186" t="e">
        <f>Nodes!A1531+"'E4!)#'"</f>
        <v>#VALUE!</v>
      </c>
      <c r="AL186" t="e">
        <f>Nodes!B1531+"'E4!)#("</f>
        <v>#VALUE!</v>
      </c>
      <c r="AM186" t="e">
        <f>Nodes!C1531+"'E4!)#)"</f>
        <v>#VALUE!</v>
      </c>
      <c r="AN186" t="e">
        <f>Nodes!D1531+"'E4!)#."</f>
        <v>#VALUE!</v>
      </c>
      <c r="AO186" t="e">
        <f>Nodes!E1531+"'E4!)#/"</f>
        <v>#VALUE!</v>
      </c>
      <c r="AP186" t="e">
        <f>Nodes!F1531+"'E4!)#0"</f>
        <v>#VALUE!</v>
      </c>
      <c r="AQ186" t="e">
        <f>Nodes!G1531+"'E4!)#1"</f>
        <v>#VALUE!</v>
      </c>
      <c r="AR186" t="e">
        <f>Nodes!H1531+"'E4!)#2"</f>
        <v>#VALUE!</v>
      </c>
      <c r="AS186" t="e">
        <f>Nodes!I1531+"'E4!)#3"</f>
        <v>#VALUE!</v>
      </c>
      <c r="AT186" t="e">
        <f>Nodes!J1531+"'E4!)#4"</f>
        <v>#VALUE!</v>
      </c>
      <c r="AU186" t="e">
        <f>Nodes!K1531+"'E4!)#5"</f>
        <v>#VALUE!</v>
      </c>
      <c r="AV186" t="e">
        <f>Nodes!L1531+"'E4!)#6"</f>
        <v>#VALUE!</v>
      </c>
      <c r="AW186" t="e">
        <f>Nodes!M1531+"'E4!)#7"</f>
        <v>#VALUE!</v>
      </c>
      <c r="AX186" t="e">
        <f>Nodes!N1531+"'E4!)#8"</f>
        <v>#VALUE!</v>
      </c>
      <c r="AY186" t="e">
        <f>Nodes!O1531+"'E4!)#9"</f>
        <v>#VALUE!</v>
      </c>
      <c r="AZ186" t="e">
        <f>Nodes!P1531+"'E4!)#:"</f>
        <v>#VALUE!</v>
      </c>
      <c r="BA186" t="e">
        <f>Nodes!Q1531+"'E4!)#;"</f>
        <v>#VALUE!</v>
      </c>
      <c r="BB186" t="e">
        <f>Nodes!R1531+"'E4!)#&lt;"</f>
        <v>#VALUE!</v>
      </c>
      <c r="BC186" t="e">
        <f>Nodes!S1531+"'E4!)#="</f>
        <v>#VALUE!</v>
      </c>
      <c r="BD186" t="e">
        <f>Nodes!T1531+"'E4!)#&gt;"</f>
        <v>#VALUE!</v>
      </c>
      <c r="BE186" t="e">
        <f>Nodes!U1531+"'E4!)#?"</f>
        <v>#VALUE!</v>
      </c>
      <c r="BF186" t="e">
        <f>Nodes!V1531+"'E4!)#@"</f>
        <v>#VALUE!</v>
      </c>
      <c r="BG186" t="e">
        <f>Nodes!W1531+"'E4!)#A"</f>
        <v>#VALUE!</v>
      </c>
      <c r="BH186" t="e">
        <f>Nodes!X1531+"'E4!)#B"</f>
        <v>#VALUE!</v>
      </c>
      <c r="BI186" t="e">
        <f>Nodes!Y1531+"'E4!)#C"</f>
        <v>#VALUE!</v>
      </c>
      <c r="BJ186" t="e">
        <f>Nodes!Z1531+"'E4!)#D"</f>
        <v>#VALUE!</v>
      </c>
      <c r="BK186" t="e">
        <f>Nodes!AA1531+"'E4!)#E"</f>
        <v>#VALUE!</v>
      </c>
      <c r="BL186" t="e">
        <f>Nodes!AB1531+"'E4!)#F"</f>
        <v>#VALUE!</v>
      </c>
      <c r="BM186" t="e">
        <f>Nodes!AC1531+"'E4!)#G"</f>
        <v>#VALUE!</v>
      </c>
      <c r="BN186" t="e">
        <f>Nodes!A1532+"'E4!)#H"</f>
        <v>#VALUE!</v>
      </c>
      <c r="BO186" t="e">
        <f>Nodes!B1532+"'E4!)#I"</f>
        <v>#VALUE!</v>
      </c>
      <c r="BP186" t="e">
        <f>Nodes!C1532+"'E4!)#J"</f>
        <v>#VALUE!</v>
      </c>
      <c r="BQ186" t="e">
        <f>Nodes!D1532+"'E4!)#K"</f>
        <v>#VALUE!</v>
      </c>
      <c r="BR186" t="e">
        <f>Nodes!E1532+"'E4!)#L"</f>
        <v>#VALUE!</v>
      </c>
      <c r="BS186" t="e">
        <f>Nodes!F1532+"'E4!)#M"</f>
        <v>#VALUE!</v>
      </c>
      <c r="BT186" t="e">
        <f>Nodes!G1532+"'E4!)#N"</f>
        <v>#VALUE!</v>
      </c>
      <c r="BU186" t="e">
        <f>Nodes!H1532+"'E4!)#O"</f>
        <v>#VALUE!</v>
      </c>
      <c r="BV186" t="e">
        <f>Nodes!I1532+"'E4!)#P"</f>
        <v>#VALUE!</v>
      </c>
      <c r="BW186" t="e">
        <f>Nodes!J1532+"'E4!)#Q"</f>
        <v>#VALUE!</v>
      </c>
      <c r="BX186" t="e">
        <f>Nodes!K1532+"'E4!)#R"</f>
        <v>#VALUE!</v>
      </c>
      <c r="BY186" t="e">
        <f>Nodes!L1532+"'E4!)#S"</f>
        <v>#VALUE!</v>
      </c>
      <c r="BZ186" t="e">
        <f>Nodes!M1532+"'E4!)#T"</f>
        <v>#VALUE!</v>
      </c>
      <c r="CA186" t="e">
        <f>Nodes!N1532+"'E4!)#U"</f>
        <v>#VALUE!</v>
      </c>
      <c r="CB186" t="e">
        <f>Nodes!O1532+"'E4!)#V"</f>
        <v>#VALUE!</v>
      </c>
      <c r="CC186" t="e">
        <f>Nodes!P1532+"'E4!)#W"</f>
        <v>#VALUE!</v>
      </c>
      <c r="CD186" t="e">
        <f>Nodes!Q1532+"'E4!)#X"</f>
        <v>#VALUE!</v>
      </c>
      <c r="CE186" t="e">
        <f>Nodes!R1532+"'E4!)#Y"</f>
        <v>#VALUE!</v>
      </c>
      <c r="CF186" t="e">
        <f>Nodes!S1532+"'E4!)#Z"</f>
        <v>#VALUE!</v>
      </c>
      <c r="CG186" t="e">
        <f>Nodes!T1532+"'E4!)#["</f>
        <v>#VALUE!</v>
      </c>
      <c r="CH186" t="e">
        <f>Nodes!U1532+"'E4!)#\"</f>
        <v>#VALUE!</v>
      </c>
      <c r="CI186" t="e">
        <f>Nodes!V1532+"'E4!)#]"</f>
        <v>#VALUE!</v>
      </c>
      <c r="CJ186" t="e">
        <f>Nodes!W1532+"'E4!)#^"</f>
        <v>#VALUE!</v>
      </c>
      <c r="CK186" t="e">
        <f>Nodes!X1532+"'E4!)#_"</f>
        <v>#VALUE!</v>
      </c>
      <c r="CL186" t="e">
        <f>Nodes!Y1532+"'E4!)#`"</f>
        <v>#VALUE!</v>
      </c>
      <c r="CM186" t="e">
        <f>Nodes!Z1532+"'E4!)#a"</f>
        <v>#VALUE!</v>
      </c>
      <c r="CN186" t="e">
        <f>Nodes!AA1532+"'E4!)#b"</f>
        <v>#VALUE!</v>
      </c>
      <c r="CO186" t="e">
        <f>Nodes!AB1532+"'E4!)#c"</f>
        <v>#VALUE!</v>
      </c>
      <c r="CP186" t="e">
        <f>Nodes!AC1532+"'E4!)#d"</f>
        <v>#VALUE!</v>
      </c>
      <c r="CQ186" t="e">
        <f>Nodes!A1533+"'E4!)#e"</f>
        <v>#VALUE!</v>
      </c>
      <c r="CR186" t="e">
        <f>Nodes!B1533+"'E4!)#f"</f>
        <v>#VALUE!</v>
      </c>
      <c r="CS186" t="e">
        <f>Nodes!C1533+"'E4!)#g"</f>
        <v>#VALUE!</v>
      </c>
      <c r="CT186" t="e">
        <f>Nodes!D1533+"'E4!)#h"</f>
        <v>#VALUE!</v>
      </c>
      <c r="CU186" t="e">
        <f>Nodes!E1533+"'E4!)#i"</f>
        <v>#VALUE!</v>
      </c>
      <c r="CV186" t="e">
        <f>Nodes!F1533+"'E4!)#j"</f>
        <v>#VALUE!</v>
      </c>
      <c r="CW186" t="e">
        <f>Nodes!G1533+"'E4!)#k"</f>
        <v>#VALUE!</v>
      </c>
      <c r="CX186" t="e">
        <f>Nodes!H1533+"'E4!)#l"</f>
        <v>#VALUE!</v>
      </c>
      <c r="CY186" t="e">
        <f>Nodes!I1533+"'E4!)#m"</f>
        <v>#VALUE!</v>
      </c>
      <c r="CZ186" t="e">
        <f>Nodes!J1533+"'E4!)#n"</f>
        <v>#VALUE!</v>
      </c>
      <c r="DA186" t="e">
        <f>Nodes!K1533+"'E4!)#o"</f>
        <v>#VALUE!</v>
      </c>
      <c r="DB186" t="e">
        <f>Nodes!L1533+"'E4!)#p"</f>
        <v>#VALUE!</v>
      </c>
      <c r="DC186" t="e">
        <f>Nodes!M1533+"'E4!)#q"</f>
        <v>#VALUE!</v>
      </c>
      <c r="DD186" t="e">
        <f>Nodes!N1533+"'E4!)#r"</f>
        <v>#VALUE!</v>
      </c>
      <c r="DE186" t="e">
        <f>Nodes!O1533+"'E4!)#s"</f>
        <v>#VALUE!</v>
      </c>
      <c r="DF186" t="e">
        <f>Nodes!P1533+"'E4!)#t"</f>
        <v>#VALUE!</v>
      </c>
      <c r="DG186" t="e">
        <f>Nodes!Q1533+"'E4!)#u"</f>
        <v>#VALUE!</v>
      </c>
      <c r="DH186" t="e">
        <f>Nodes!R1533+"'E4!)#v"</f>
        <v>#VALUE!</v>
      </c>
      <c r="DI186" t="e">
        <f>Nodes!S1533+"'E4!)#w"</f>
        <v>#VALUE!</v>
      </c>
      <c r="DJ186" t="e">
        <f>Nodes!T1533+"'E4!)#x"</f>
        <v>#VALUE!</v>
      </c>
      <c r="DK186" t="e">
        <f>Nodes!U1533+"'E4!)#y"</f>
        <v>#VALUE!</v>
      </c>
      <c r="DL186" t="e">
        <f>Nodes!V1533+"'E4!)#z"</f>
        <v>#VALUE!</v>
      </c>
      <c r="DM186" t="e">
        <f>Nodes!W1533+"'E4!)#{"</f>
        <v>#VALUE!</v>
      </c>
      <c r="DN186" t="e">
        <f>Nodes!X1533+"'E4!)#|"</f>
        <v>#VALUE!</v>
      </c>
      <c r="DO186" t="e">
        <f>Nodes!Y1533+"'E4!)#}"</f>
        <v>#VALUE!</v>
      </c>
      <c r="DP186" t="e">
        <f>Nodes!Z1533+"'E4!)#~"</f>
        <v>#VALUE!</v>
      </c>
      <c r="DQ186" t="e">
        <f>Nodes!AA1533+"'E4!)$#"</f>
        <v>#VALUE!</v>
      </c>
      <c r="DR186" t="e">
        <f>Nodes!AB1533+"'E4!)$$"</f>
        <v>#VALUE!</v>
      </c>
      <c r="DS186" t="e">
        <f>Nodes!AC1533+"'E4!)$%"</f>
        <v>#VALUE!</v>
      </c>
      <c r="DT186" t="e">
        <f>Nodes!A1534+"'E4!)$&amp;"</f>
        <v>#VALUE!</v>
      </c>
      <c r="DU186" t="e">
        <f>Nodes!B1534+"'E4!)$'"</f>
        <v>#VALUE!</v>
      </c>
      <c r="DV186" t="e">
        <f>Nodes!C1534+"'E4!)$("</f>
        <v>#VALUE!</v>
      </c>
      <c r="DW186" t="e">
        <f>Nodes!D1534+"'E4!)$)"</f>
        <v>#VALUE!</v>
      </c>
      <c r="DX186" t="e">
        <f>Nodes!E1534+"'E4!)$."</f>
        <v>#VALUE!</v>
      </c>
      <c r="DY186" t="e">
        <f>Nodes!F1534+"'E4!)$/"</f>
        <v>#VALUE!</v>
      </c>
      <c r="DZ186" t="e">
        <f>Nodes!G1534+"'E4!)$0"</f>
        <v>#VALUE!</v>
      </c>
      <c r="EA186" t="e">
        <f>Nodes!H1534+"'E4!)$1"</f>
        <v>#VALUE!</v>
      </c>
      <c r="EB186" t="e">
        <f>Nodes!I1534+"'E4!)$2"</f>
        <v>#VALUE!</v>
      </c>
      <c r="EC186" t="e">
        <f>Nodes!J1534+"'E4!)$3"</f>
        <v>#VALUE!</v>
      </c>
      <c r="ED186" t="e">
        <f>Nodes!K1534+"'E4!)$4"</f>
        <v>#VALUE!</v>
      </c>
      <c r="EE186" t="e">
        <f>Nodes!L1534+"'E4!)$5"</f>
        <v>#VALUE!</v>
      </c>
      <c r="EF186" t="e">
        <f>Nodes!M1534+"'E4!)$6"</f>
        <v>#VALUE!</v>
      </c>
      <c r="EG186" t="e">
        <f>Nodes!N1534+"'E4!)$7"</f>
        <v>#VALUE!</v>
      </c>
      <c r="EH186" t="e">
        <f>Nodes!O1534+"'E4!)$8"</f>
        <v>#VALUE!</v>
      </c>
      <c r="EI186" t="e">
        <f>Nodes!P1534+"'E4!)$9"</f>
        <v>#VALUE!</v>
      </c>
      <c r="EJ186" t="e">
        <f>Nodes!Q1534+"'E4!)$:"</f>
        <v>#VALUE!</v>
      </c>
      <c r="EK186" t="e">
        <f>Nodes!R1534+"'E4!)$;"</f>
        <v>#VALUE!</v>
      </c>
      <c r="EL186" t="e">
        <f>Nodes!S1534+"'E4!)$&lt;"</f>
        <v>#VALUE!</v>
      </c>
      <c r="EM186" t="e">
        <f>Nodes!T1534+"'E4!)$="</f>
        <v>#VALUE!</v>
      </c>
      <c r="EN186" t="e">
        <f>Nodes!U1534+"'E4!)$&gt;"</f>
        <v>#VALUE!</v>
      </c>
      <c r="EO186" t="e">
        <f>Nodes!V1534+"'E4!)$?"</f>
        <v>#VALUE!</v>
      </c>
      <c r="EP186" t="e">
        <f>Nodes!W1534+"'E4!)$@"</f>
        <v>#VALUE!</v>
      </c>
      <c r="EQ186" t="e">
        <f>Nodes!X1534+"'E4!)$A"</f>
        <v>#VALUE!</v>
      </c>
      <c r="ER186" t="e">
        <f>Nodes!Y1534+"'E4!)$B"</f>
        <v>#VALUE!</v>
      </c>
      <c r="ES186" t="e">
        <f>Nodes!Z1534+"'E4!)$C"</f>
        <v>#VALUE!</v>
      </c>
      <c r="ET186" t="e">
        <f>Nodes!AA1534+"'E4!)$D"</f>
        <v>#VALUE!</v>
      </c>
      <c r="EU186" t="e">
        <f>Nodes!AB1534+"'E4!)$E"</f>
        <v>#VALUE!</v>
      </c>
      <c r="EV186" t="e">
        <f>Nodes!AC1534+"'E4!)$F"</f>
        <v>#VALUE!</v>
      </c>
      <c r="EW186" t="e">
        <f>Nodes!A1535+"'E4!)$G"</f>
        <v>#VALUE!</v>
      </c>
      <c r="EX186" t="e">
        <f>Nodes!B1535+"'E4!)$H"</f>
        <v>#VALUE!</v>
      </c>
      <c r="EY186" t="e">
        <f>Nodes!C1535+"'E4!)$I"</f>
        <v>#VALUE!</v>
      </c>
      <c r="EZ186" t="e">
        <f>Nodes!D1535+"'E4!)$J"</f>
        <v>#VALUE!</v>
      </c>
      <c r="FA186" t="e">
        <f>Nodes!E1535+"'E4!)$K"</f>
        <v>#VALUE!</v>
      </c>
      <c r="FB186" t="e">
        <f>Nodes!F1535+"'E4!)$L"</f>
        <v>#VALUE!</v>
      </c>
      <c r="FC186" t="e">
        <f>Nodes!G1535+"'E4!)$M"</f>
        <v>#VALUE!</v>
      </c>
      <c r="FD186" t="e">
        <f>Nodes!H1535+"'E4!)$N"</f>
        <v>#VALUE!</v>
      </c>
      <c r="FE186" t="e">
        <f>Nodes!I1535+"'E4!)$O"</f>
        <v>#VALUE!</v>
      </c>
      <c r="FF186" t="e">
        <f>Nodes!J1535+"'E4!)$P"</f>
        <v>#VALUE!</v>
      </c>
      <c r="FG186" t="e">
        <f>Nodes!K1535+"'E4!)$Q"</f>
        <v>#VALUE!</v>
      </c>
      <c r="FH186" t="e">
        <f>Nodes!L1535+"'E4!)$R"</f>
        <v>#VALUE!</v>
      </c>
      <c r="FI186" t="e">
        <f>Nodes!M1535+"'E4!)$S"</f>
        <v>#VALUE!</v>
      </c>
      <c r="FJ186" t="e">
        <f>Nodes!N1535+"'E4!)$T"</f>
        <v>#VALUE!</v>
      </c>
      <c r="FK186" t="e">
        <f>Nodes!O1535+"'E4!)$U"</f>
        <v>#VALUE!</v>
      </c>
      <c r="FL186" t="e">
        <f>Nodes!P1535+"'E4!)$V"</f>
        <v>#VALUE!</v>
      </c>
      <c r="FM186" t="e">
        <f>Nodes!Q1535+"'E4!)$W"</f>
        <v>#VALUE!</v>
      </c>
      <c r="FN186" t="e">
        <f>Nodes!R1535+"'E4!)$X"</f>
        <v>#VALUE!</v>
      </c>
      <c r="FO186" t="e">
        <f>Nodes!S1535+"'E4!)$Y"</f>
        <v>#VALUE!</v>
      </c>
      <c r="FP186" t="e">
        <f>Nodes!T1535+"'E4!)$Z"</f>
        <v>#VALUE!</v>
      </c>
      <c r="FQ186" t="e">
        <f>Nodes!U1535+"'E4!)$["</f>
        <v>#VALUE!</v>
      </c>
      <c r="FR186" t="e">
        <f>Nodes!V1535+"'E4!)$\"</f>
        <v>#VALUE!</v>
      </c>
      <c r="FS186" t="e">
        <f>Nodes!W1535+"'E4!)$]"</f>
        <v>#VALUE!</v>
      </c>
      <c r="FT186" t="e">
        <f>Nodes!X1535+"'E4!)$^"</f>
        <v>#VALUE!</v>
      </c>
      <c r="FU186" t="e">
        <f>Nodes!Y1535+"'E4!)$_"</f>
        <v>#VALUE!</v>
      </c>
      <c r="FV186" t="e">
        <f>Nodes!Z1535+"'E4!)$`"</f>
        <v>#VALUE!</v>
      </c>
      <c r="FW186" t="e">
        <f>Nodes!AA1535+"'E4!)$a"</f>
        <v>#VALUE!</v>
      </c>
      <c r="FX186" t="e">
        <f>Nodes!AB1535+"'E4!)$b"</f>
        <v>#VALUE!</v>
      </c>
      <c r="FY186" t="e">
        <f>Nodes!AC1535+"'E4!)$c"</f>
        <v>#VALUE!</v>
      </c>
      <c r="FZ186" t="e">
        <f>Nodes!A1536+"'E4!)$d"</f>
        <v>#VALUE!</v>
      </c>
      <c r="GA186" t="e">
        <f>Nodes!B1536+"'E4!)$e"</f>
        <v>#VALUE!</v>
      </c>
      <c r="GB186" t="e">
        <f>Nodes!C1536+"'E4!)$f"</f>
        <v>#VALUE!</v>
      </c>
      <c r="GC186" t="e">
        <f>Nodes!D1536+"'E4!)$g"</f>
        <v>#VALUE!</v>
      </c>
      <c r="GD186" t="e">
        <f>Nodes!E1536+"'E4!)$h"</f>
        <v>#VALUE!</v>
      </c>
      <c r="GE186" t="e">
        <f>Nodes!F1536+"'E4!)$i"</f>
        <v>#VALUE!</v>
      </c>
      <c r="GF186" t="e">
        <f>Nodes!G1536+"'E4!)$j"</f>
        <v>#VALUE!</v>
      </c>
      <c r="GG186" t="e">
        <f>Nodes!H1536+"'E4!)$k"</f>
        <v>#VALUE!</v>
      </c>
      <c r="GH186" t="e">
        <f>Nodes!I1536+"'E4!)$l"</f>
        <v>#VALUE!</v>
      </c>
      <c r="GI186" t="e">
        <f>Nodes!J1536+"'E4!)$m"</f>
        <v>#VALUE!</v>
      </c>
      <c r="GJ186" t="e">
        <f>Nodes!K1536+"'E4!)$n"</f>
        <v>#VALUE!</v>
      </c>
      <c r="GK186" t="e">
        <f>Nodes!L1536+"'E4!)$o"</f>
        <v>#VALUE!</v>
      </c>
      <c r="GL186" t="e">
        <f>Nodes!M1536+"'E4!)$p"</f>
        <v>#VALUE!</v>
      </c>
      <c r="GM186" t="e">
        <f>Nodes!N1536+"'E4!)$q"</f>
        <v>#VALUE!</v>
      </c>
      <c r="GN186" t="e">
        <f>Nodes!O1536+"'E4!)$r"</f>
        <v>#VALUE!</v>
      </c>
      <c r="GO186" t="e">
        <f>Nodes!P1536+"'E4!)$s"</f>
        <v>#VALUE!</v>
      </c>
      <c r="GP186" t="e">
        <f>Nodes!Q1536+"'E4!)$t"</f>
        <v>#VALUE!</v>
      </c>
      <c r="GQ186" t="e">
        <f>Nodes!R1536+"'E4!)$u"</f>
        <v>#VALUE!</v>
      </c>
      <c r="GR186" t="e">
        <f>Nodes!S1536+"'E4!)$v"</f>
        <v>#VALUE!</v>
      </c>
      <c r="GS186" t="e">
        <f>Nodes!T1536+"'E4!)$w"</f>
        <v>#VALUE!</v>
      </c>
      <c r="GT186" t="e">
        <f>Nodes!U1536+"'E4!)$x"</f>
        <v>#VALUE!</v>
      </c>
      <c r="GU186" t="e">
        <f>Nodes!V1536+"'E4!)$y"</f>
        <v>#VALUE!</v>
      </c>
      <c r="GV186" t="e">
        <f>Nodes!W1536+"'E4!)$z"</f>
        <v>#VALUE!</v>
      </c>
      <c r="GW186" t="e">
        <f>Nodes!X1536+"'E4!)${"</f>
        <v>#VALUE!</v>
      </c>
      <c r="GX186" t="e">
        <f>Nodes!Y1536+"'E4!)$|"</f>
        <v>#VALUE!</v>
      </c>
      <c r="GY186" t="e">
        <f>Nodes!Z1536+"'E4!)$}"</f>
        <v>#VALUE!</v>
      </c>
      <c r="GZ186" t="e">
        <f>Nodes!AA1536+"'E4!)$~"</f>
        <v>#VALUE!</v>
      </c>
      <c r="HA186" t="e">
        <f>Nodes!AB1536+"'E4!)%#"</f>
        <v>#VALUE!</v>
      </c>
      <c r="HB186" t="e">
        <f>Nodes!AC1536+"'E4!)%$"</f>
        <v>#VALUE!</v>
      </c>
      <c r="HC186" t="e">
        <f>Nodes!A1537+"'E4!)%%"</f>
        <v>#VALUE!</v>
      </c>
      <c r="HD186" t="e">
        <f>Nodes!B1537+"'E4!)%&amp;"</f>
        <v>#VALUE!</v>
      </c>
      <c r="HE186" t="e">
        <f>Nodes!C1537+"'E4!)%'"</f>
        <v>#VALUE!</v>
      </c>
      <c r="HF186" t="e">
        <f>Nodes!D1537+"'E4!)%("</f>
        <v>#VALUE!</v>
      </c>
      <c r="HG186" t="e">
        <f>Nodes!E1537+"'E4!)%)"</f>
        <v>#VALUE!</v>
      </c>
      <c r="HH186" t="e">
        <f>Nodes!F1537+"'E4!)%."</f>
        <v>#VALUE!</v>
      </c>
      <c r="HI186" t="e">
        <f>Nodes!G1537+"'E4!)%/"</f>
        <v>#VALUE!</v>
      </c>
      <c r="HJ186" t="e">
        <f>Nodes!H1537+"'E4!)%0"</f>
        <v>#VALUE!</v>
      </c>
      <c r="HK186" t="e">
        <f>Nodes!I1537+"'E4!)%1"</f>
        <v>#VALUE!</v>
      </c>
      <c r="HL186" t="e">
        <f>Nodes!J1537+"'E4!)%2"</f>
        <v>#VALUE!</v>
      </c>
      <c r="HM186" t="e">
        <f>Nodes!K1537+"'E4!)%3"</f>
        <v>#VALUE!</v>
      </c>
      <c r="HN186" t="e">
        <f>Nodes!L1537+"'E4!)%4"</f>
        <v>#VALUE!</v>
      </c>
      <c r="HO186" t="e">
        <f>Nodes!M1537+"'E4!)%5"</f>
        <v>#VALUE!</v>
      </c>
      <c r="HP186" t="e">
        <f>Nodes!N1537+"'E4!)%6"</f>
        <v>#VALUE!</v>
      </c>
      <c r="HQ186" t="e">
        <f>Nodes!O1537+"'E4!)%7"</f>
        <v>#VALUE!</v>
      </c>
      <c r="HR186" t="e">
        <f>Nodes!P1537+"'E4!)%8"</f>
        <v>#VALUE!</v>
      </c>
      <c r="HS186" t="e">
        <f>Nodes!Q1537+"'E4!)%9"</f>
        <v>#VALUE!</v>
      </c>
      <c r="HT186" t="e">
        <f>Nodes!R1537+"'E4!)%:"</f>
        <v>#VALUE!</v>
      </c>
      <c r="HU186" t="e">
        <f>Nodes!S1537+"'E4!)%;"</f>
        <v>#VALUE!</v>
      </c>
      <c r="HV186" t="e">
        <f>Nodes!T1537+"'E4!)%&lt;"</f>
        <v>#VALUE!</v>
      </c>
      <c r="HW186" t="e">
        <f>Nodes!U1537+"'E4!)%="</f>
        <v>#VALUE!</v>
      </c>
      <c r="HX186" t="e">
        <f>Nodes!V1537+"'E4!)%&gt;"</f>
        <v>#VALUE!</v>
      </c>
      <c r="HY186" t="e">
        <f>Nodes!W1537+"'E4!)%?"</f>
        <v>#VALUE!</v>
      </c>
      <c r="HZ186" t="e">
        <f>Nodes!X1537+"'E4!)%@"</f>
        <v>#VALUE!</v>
      </c>
      <c r="IA186" t="e">
        <f>Nodes!Y1537+"'E4!)%A"</f>
        <v>#VALUE!</v>
      </c>
      <c r="IB186" t="e">
        <f>Nodes!Z1537+"'E4!)%B"</f>
        <v>#VALUE!</v>
      </c>
      <c r="IC186" t="e">
        <f>Nodes!AA1537+"'E4!)%C"</f>
        <v>#VALUE!</v>
      </c>
      <c r="ID186" t="e">
        <f>Nodes!AB1537+"'E4!)%D"</f>
        <v>#VALUE!</v>
      </c>
      <c r="IE186" t="e">
        <f>Nodes!AC1537+"'E4!)%E"</f>
        <v>#VALUE!</v>
      </c>
      <c r="IF186" t="e">
        <f>Nodes!A1538+"'E4!)%F"</f>
        <v>#VALUE!</v>
      </c>
      <c r="IG186" t="e">
        <f>Nodes!B1538+"'E4!)%G"</f>
        <v>#VALUE!</v>
      </c>
      <c r="IH186" t="e">
        <f>Nodes!C1538+"'E4!)%H"</f>
        <v>#VALUE!</v>
      </c>
      <c r="II186" t="e">
        <f>Nodes!D1538+"'E4!)%I"</f>
        <v>#VALUE!</v>
      </c>
      <c r="IJ186" t="e">
        <f>Nodes!E1538+"'E4!)%J"</f>
        <v>#VALUE!</v>
      </c>
      <c r="IK186" t="e">
        <f>Nodes!F1538+"'E4!)%K"</f>
        <v>#VALUE!</v>
      </c>
      <c r="IL186" t="e">
        <f>Nodes!G1538+"'E4!)%L"</f>
        <v>#VALUE!</v>
      </c>
      <c r="IM186" t="e">
        <f>Nodes!H1538+"'E4!)%M"</f>
        <v>#VALUE!</v>
      </c>
      <c r="IN186" t="e">
        <f>Nodes!I1538+"'E4!)%N"</f>
        <v>#VALUE!</v>
      </c>
      <c r="IO186" t="e">
        <f>Nodes!J1538+"'E4!)%O"</f>
        <v>#VALUE!</v>
      </c>
      <c r="IP186" t="e">
        <f>Nodes!K1538+"'E4!)%P"</f>
        <v>#VALUE!</v>
      </c>
      <c r="IQ186" t="e">
        <f>Nodes!L1538+"'E4!)%Q"</f>
        <v>#VALUE!</v>
      </c>
      <c r="IR186" t="e">
        <f>Nodes!M1538+"'E4!)%R"</f>
        <v>#VALUE!</v>
      </c>
      <c r="IS186" t="e">
        <f>Nodes!N1538+"'E4!)%S"</f>
        <v>#VALUE!</v>
      </c>
      <c r="IT186" t="e">
        <f>Nodes!O1538+"'E4!)%T"</f>
        <v>#VALUE!</v>
      </c>
      <c r="IU186" t="e">
        <f>Nodes!P1538+"'E4!)%U"</f>
        <v>#VALUE!</v>
      </c>
      <c r="IV186" t="e">
        <f>Nodes!Q1538+"'E4!)%V"</f>
        <v>#VALUE!</v>
      </c>
    </row>
    <row r="187" spans="6:256">
      <c r="F187" t="e">
        <f>Nodes!R1538+"'E4!)%W"</f>
        <v>#VALUE!</v>
      </c>
      <c r="G187" t="e">
        <f>Nodes!S1538+"'E4!)%X"</f>
        <v>#VALUE!</v>
      </c>
      <c r="H187" t="e">
        <f>Nodes!T1538+"'E4!)%Y"</f>
        <v>#VALUE!</v>
      </c>
      <c r="I187" t="e">
        <f>Nodes!U1538+"'E4!)%Z"</f>
        <v>#VALUE!</v>
      </c>
      <c r="J187" t="e">
        <f>Nodes!V1538+"'E4!)%["</f>
        <v>#VALUE!</v>
      </c>
      <c r="K187" t="e">
        <f>Nodes!W1538+"'E4!)%\"</f>
        <v>#VALUE!</v>
      </c>
      <c r="L187" t="e">
        <f>Nodes!X1538+"'E4!)%]"</f>
        <v>#VALUE!</v>
      </c>
      <c r="M187" t="e">
        <f>Nodes!Y1538+"'E4!)%^"</f>
        <v>#VALUE!</v>
      </c>
      <c r="N187" t="e">
        <f>Nodes!Z1538+"'E4!)%_"</f>
        <v>#VALUE!</v>
      </c>
      <c r="O187" t="e">
        <f>Nodes!AA1538+"'E4!)%`"</f>
        <v>#VALUE!</v>
      </c>
      <c r="P187" t="e">
        <f>Nodes!AB1538+"'E4!)%a"</f>
        <v>#VALUE!</v>
      </c>
      <c r="Q187" t="e">
        <f>Nodes!AC1538+"'E4!)%b"</f>
        <v>#VALUE!</v>
      </c>
      <c r="R187" t="e">
        <f>Nodes!A1539+"'E4!)%c"</f>
        <v>#VALUE!</v>
      </c>
      <c r="S187" t="e">
        <f>Nodes!B1539+"'E4!)%d"</f>
        <v>#VALUE!</v>
      </c>
      <c r="T187" t="e">
        <f>Nodes!C1539+"'E4!)%e"</f>
        <v>#VALUE!</v>
      </c>
      <c r="U187" t="e">
        <f>Nodes!D1539+"'E4!)%f"</f>
        <v>#VALUE!</v>
      </c>
      <c r="V187" t="e">
        <f>Nodes!E1539+"'E4!)%g"</f>
        <v>#VALUE!</v>
      </c>
      <c r="W187" t="e">
        <f>Nodes!F1539+"'E4!)%h"</f>
        <v>#VALUE!</v>
      </c>
      <c r="X187" t="e">
        <f>Nodes!G1539+"'E4!)%i"</f>
        <v>#VALUE!</v>
      </c>
      <c r="Y187" t="e">
        <f>Nodes!H1539+"'E4!)%j"</f>
        <v>#VALUE!</v>
      </c>
      <c r="Z187" t="e">
        <f>Nodes!I1539+"'E4!)%k"</f>
        <v>#VALUE!</v>
      </c>
      <c r="AA187" t="e">
        <f>Nodes!J1539+"'E4!)%l"</f>
        <v>#VALUE!</v>
      </c>
      <c r="AB187" t="e">
        <f>Nodes!K1539+"'E4!)%m"</f>
        <v>#VALUE!</v>
      </c>
      <c r="AC187" t="e">
        <f>Nodes!L1539+"'E4!)%n"</f>
        <v>#VALUE!</v>
      </c>
      <c r="AD187" t="e">
        <f>Nodes!M1539+"'E4!)%o"</f>
        <v>#VALUE!</v>
      </c>
      <c r="AE187" t="e">
        <f>Nodes!N1539+"'E4!)%p"</f>
        <v>#VALUE!</v>
      </c>
      <c r="AF187" t="e">
        <f>Nodes!O1539+"'E4!)%q"</f>
        <v>#VALUE!</v>
      </c>
      <c r="AG187" t="e">
        <f>Nodes!P1539+"'E4!)%r"</f>
        <v>#VALUE!</v>
      </c>
      <c r="AH187" t="e">
        <f>Nodes!Q1539+"'E4!)%s"</f>
        <v>#VALUE!</v>
      </c>
      <c r="AI187" t="e">
        <f>Nodes!R1539+"'E4!)%t"</f>
        <v>#VALUE!</v>
      </c>
      <c r="AJ187" t="e">
        <f>Nodes!S1539+"'E4!)%u"</f>
        <v>#VALUE!</v>
      </c>
      <c r="AK187" t="e">
        <f>Nodes!T1539+"'E4!)%v"</f>
        <v>#VALUE!</v>
      </c>
      <c r="AL187" t="e">
        <f>Nodes!U1539+"'E4!)%w"</f>
        <v>#VALUE!</v>
      </c>
      <c r="AM187" t="e">
        <f>Nodes!V1539+"'E4!)%x"</f>
        <v>#VALUE!</v>
      </c>
      <c r="AN187" t="e">
        <f>Nodes!W1539+"'E4!)%y"</f>
        <v>#VALUE!</v>
      </c>
      <c r="AO187" t="e">
        <f>Nodes!X1539+"'E4!)%z"</f>
        <v>#VALUE!</v>
      </c>
      <c r="AP187" t="e">
        <f>Nodes!Y1539+"'E4!)%{"</f>
        <v>#VALUE!</v>
      </c>
      <c r="AQ187" t="e">
        <f>Nodes!Z1539+"'E4!)%|"</f>
        <v>#VALUE!</v>
      </c>
      <c r="AR187" t="e">
        <f>Nodes!AA1539+"'E4!)%}"</f>
        <v>#VALUE!</v>
      </c>
      <c r="AS187" t="e">
        <f>Nodes!AB1539+"'E4!)%~"</f>
        <v>#VALUE!</v>
      </c>
      <c r="AT187" t="e">
        <f>Nodes!AC1539+"'E4!)&amp;#"</f>
        <v>#VALUE!</v>
      </c>
      <c r="AU187" t="e">
        <f>Nodes!A1540+"'E4!)&amp;$"</f>
        <v>#VALUE!</v>
      </c>
      <c r="AV187" t="e">
        <f>Nodes!B1540+"'E4!)&amp;%"</f>
        <v>#VALUE!</v>
      </c>
      <c r="AW187" t="e">
        <f>Nodes!C1540+"'E4!)&amp;&amp;"</f>
        <v>#VALUE!</v>
      </c>
      <c r="AX187" t="e">
        <f>Nodes!D1540+"'E4!)&amp;'"</f>
        <v>#VALUE!</v>
      </c>
      <c r="AY187" t="e">
        <f>Nodes!E1540+"'E4!)&amp;("</f>
        <v>#VALUE!</v>
      </c>
      <c r="AZ187" t="e">
        <f>Nodes!F1540+"'E4!)&amp;)"</f>
        <v>#VALUE!</v>
      </c>
      <c r="BA187" t="e">
        <f>Nodes!G1540+"'E4!)&amp;."</f>
        <v>#VALUE!</v>
      </c>
      <c r="BB187" t="e">
        <f>Nodes!H1540+"'E4!)&amp;/"</f>
        <v>#VALUE!</v>
      </c>
      <c r="BC187" t="e">
        <f>Nodes!I1540+"'E4!)&amp;0"</f>
        <v>#VALUE!</v>
      </c>
      <c r="BD187" t="e">
        <f>Nodes!J1540+"'E4!)&amp;1"</f>
        <v>#VALUE!</v>
      </c>
      <c r="BE187" t="e">
        <f>Nodes!K1540+"'E4!)&amp;2"</f>
        <v>#VALUE!</v>
      </c>
      <c r="BF187" t="e">
        <f>Nodes!L1540+"'E4!)&amp;3"</f>
        <v>#VALUE!</v>
      </c>
      <c r="BG187" t="e">
        <f>Nodes!M1540+"'E4!)&amp;4"</f>
        <v>#VALUE!</v>
      </c>
      <c r="BH187" t="e">
        <f>Nodes!N1540+"'E4!)&amp;5"</f>
        <v>#VALUE!</v>
      </c>
      <c r="BI187" t="e">
        <f>Nodes!O1540+"'E4!)&amp;6"</f>
        <v>#VALUE!</v>
      </c>
      <c r="BJ187" t="e">
        <f>Nodes!P1540+"'E4!)&amp;7"</f>
        <v>#VALUE!</v>
      </c>
      <c r="BK187" t="e">
        <f>Nodes!Q1540+"'E4!)&amp;8"</f>
        <v>#VALUE!</v>
      </c>
      <c r="BL187" t="e">
        <f>Nodes!R1540+"'E4!)&amp;9"</f>
        <v>#VALUE!</v>
      </c>
      <c r="BM187" t="e">
        <f>Nodes!S1540+"'E4!)&amp;:"</f>
        <v>#VALUE!</v>
      </c>
      <c r="BN187" t="e">
        <f>Nodes!T1540+"'E4!)&amp;;"</f>
        <v>#VALUE!</v>
      </c>
      <c r="BO187" t="e">
        <f>Nodes!U1540+"'E4!)&amp;&lt;"</f>
        <v>#VALUE!</v>
      </c>
      <c r="BP187" t="e">
        <f>Nodes!V1540+"'E4!)&amp;="</f>
        <v>#VALUE!</v>
      </c>
      <c r="BQ187" t="e">
        <f>Nodes!W1540+"'E4!)&amp;&gt;"</f>
        <v>#VALUE!</v>
      </c>
      <c r="BR187" t="e">
        <f>Nodes!X1540+"'E4!)&amp;?"</f>
        <v>#VALUE!</v>
      </c>
      <c r="BS187" t="e">
        <f>Nodes!Y1540+"'E4!)&amp;@"</f>
        <v>#VALUE!</v>
      </c>
      <c r="BT187" t="e">
        <f>Nodes!Z1540+"'E4!)&amp;A"</f>
        <v>#VALUE!</v>
      </c>
      <c r="BU187" t="e">
        <f>Nodes!AA1540+"'E4!)&amp;B"</f>
        <v>#VALUE!</v>
      </c>
      <c r="BV187" t="e">
        <f>Nodes!AB1540+"'E4!)&amp;C"</f>
        <v>#VALUE!</v>
      </c>
      <c r="BW187" t="e">
        <f>Nodes!AC1540+"'E4!)&amp;D"</f>
        <v>#VALUE!</v>
      </c>
      <c r="BX187" t="e">
        <f>Nodes!A1541+"'E4!)&amp;E"</f>
        <v>#VALUE!</v>
      </c>
      <c r="BY187" t="e">
        <f>Nodes!B1541+"'E4!)&amp;F"</f>
        <v>#VALUE!</v>
      </c>
      <c r="BZ187" t="e">
        <f>Nodes!C1541+"'E4!)&amp;G"</f>
        <v>#VALUE!</v>
      </c>
      <c r="CA187" t="e">
        <f>Nodes!D1541+"'E4!)&amp;H"</f>
        <v>#VALUE!</v>
      </c>
      <c r="CB187" t="e">
        <f>Nodes!E1541+"'E4!)&amp;I"</f>
        <v>#VALUE!</v>
      </c>
      <c r="CC187" t="e">
        <f>Nodes!F1541+"'E4!)&amp;J"</f>
        <v>#VALUE!</v>
      </c>
      <c r="CD187" t="e">
        <f>Nodes!G1541+"'E4!)&amp;K"</f>
        <v>#VALUE!</v>
      </c>
      <c r="CE187" t="e">
        <f>Nodes!H1541+"'E4!)&amp;L"</f>
        <v>#VALUE!</v>
      </c>
      <c r="CF187" t="e">
        <f>Nodes!I1541+"'E4!)&amp;M"</f>
        <v>#VALUE!</v>
      </c>
      <c r="CG187" t="e">
        <f>Nodes!J1541+"'E4!)&amp;N"</f>
        <v>#VALUE!</v>
      </c>
      <c r="CH187" t="e">
        <f>Nodes!K1541+"'E4!)&amp;O"</f>
        <v>#VALUE!</v>
      </c>
      <c r="CI187" t="e">
        <f>Nodes!L1541+"'E4!)&amp;P"</f>
        <v>#VALUE!</v>
      </c>
      <c r="CJ187" t="e">
        <f>Nodes!M1541+"'E4!)&amp;Q"</f>
        <v>#VALUE!</v>
      </c>
      <c r="CK187" t="e">
        <f>Nodes!N1541+"'E4!)&amp;R"</f>
        <v>#VALUE!</v>
      </c>
      <c r="CL187" t="e">
        <f>Nodes!O1541+"'E4!)&amp;S"</f>
        <v>#VALUE!</v>
      </c>
      <c r="CM187" t="e">
        <f>Nodes!P1541+"'E4!)&amp;T"</f>
        <v>#VALUE!</v>
      </c>
      <c r="CN187" t="e">
        <f>Nodes!Q1541+"'E4!)&amp;U"</f>
        <v>#VALUE!</v>
      </c>
      <c r="CO187" t="e">
        <f>Nodes!R1541+"'E4!)&amp;V"</f>
        <v>#VALUE!</v>
      </c>
      <c r="CP187" t="e">
        <f>Nodes!S1541+"'E4!)&amp;W"</f>
        <v>#VALUE!</v>
      </c>
      <c r="CQ187" t="e">
        <f>Nodes!T1541+"'E4!)&amp;X"</f>
        <v>#VALUE!</v>
      </c>
      <c r="CR187" t="e">
        <f>Nodes!U1541+"'E4!)&amp;Y"</f>
        <v>#VALUE!</v>
      </c>
      <c r="CS187" t="e">
        <f>Nodes!V1541+"'E4!)&amp;Z"</f>
        <v>#VALUE!</v>
      </c>
      <c r="CT187" t="e">
        <f>Nodes!W1541+"'E4!)&amp;["</f>
        <v>#VALUE!</v>
      </c>
      <c r="CU187" t="e">
        <f>Nodes!X1541+"'E4!)&amp;\"</f>
        <v>#VALUE!</v>
      </c>
      <c r="CV187" t="e">
        <f>Nodes!Y1541+"'E4!)&amp;]"</f>
        <v>#VALUE!</v>
      </c>
      <c r="CW187" t="e">
        <f>Nodes!Z1541+"'E4!)&amp;^"</f>
        <v>#VALUE!</v>
      </c>
      <c r="CX187" t="e">
        <f>Nodes!AA1541+"'E4!)&amp;_"</f>
        <v>#VALUE!</v>
      </c>
      <c r="CY187" t="e">
        <f>Nodes!AB1541+"'E4!)&amp;`"</f>
        <v>#VALUE!</v>
      </c>
      <c r="CZ187" t="e">
        <f>Nodes!AC1541+"'E4!)&amp;a"</f>
        <v>#VALUE!</v>
      </c>
      <c r="DA187" t="e">
        <f>Nodes!A1542+"'E4!)&amp;b"</f>
        <v>#VALUE!</v>
      </c>
      <c r="DB187" t="e">
        <f>Nodes!B1542+"'E4!)&amp;c"</f>
        <v>#VALUE!</v>
      </c>
      <c r="DC187" t="e">
        <f>Nodes!C1542+"'E4!)&amp;d"</f>
        <v>#VALUE!</v>
      </c>
      <c r="DD187" t="e">
        <f>Nodes!D1542+"'E4!)&amp;e"</f>
        <v>#VALUE!</v>
      </c>
      <c r="DE187" t="e">
        <f>Nodes!E1542+"'E4!)&amp;f"</f>
        <v>#VALUE!</v>
      </c>
      <c r="DF187" t="e">
        <f>Nodes!F1542+"'E4!)&amp;g"</f>
        <v>#VALUE!</v>
      </c>
      <c r="DG187" t="e">
        <f>Nodes!G1542+"'E4!)&amp;h"</f>
        <v>#VALUE!</v>
      </c>
      <c r="DH187" t="e">
        <f>Nodes!H1542+"'E4!)&amp;i"</f>
        <v>#VALUE!</v>
      </c>
      <c r="DI187" t="e">
        <f>Nodes!I1542+"'E4!)&amp;j"</f>
        <v>#VALUE!</v>
      </c>
      <c r="DJ187" t="e">
        <f>Nodes!J1542+"'E4!)&amp;k"</f>
        <v>#VALUE!</v>
      </c>
      <c r="DK187" t="e">
        <f>Nodes!K1542+"'E4!)&amp;l"</f>
        <v>#VALUE!</v>
      </c>
      <c r="DL187" t="e">
        <f>Nodes!L1542+"'E4!)&amp;m"</f>
        <v>#VALUE!</v>
      </c>
      <c r="DM187" t="e">
        <f>Nodes!M1542+"'E4!)&amp;n"</f>
        <v>#VALUE!</v>
      </c>
      <c r="DN187" t="e">
        <f>Nodes!N1542+"'E4!)&amp;o"</f>
        <v>#VALUE!</v>
      </c>
      <c r="DO187" t="e">
        <f>Nodes!O1542+"'E4!)&amp;p"</f>
        <v>#VALUE!</v>
      </c>
      <c r="DP187" t="e">
        <f>Nodes!P1542+"'E4!)&amp;q"</f>
        <v>#VALUE!</v>
      </c>
      <c r="DQ187" t="e">
        <f>Nodes!Q1542+"'E4!)&amp;r"</f>
        <v>#VALUE!</v>
      </c>
      <c r="DR187" t="e">
        <f>Nodes!R1542+"'E4!)&amp;s"</f>
        <v>#VALUE!</v>
      </c>
      <c r="DS187" t="e">
        <f>Nodes!S1542+"'E4!)&amp;t"</f>
        <v>#VALUE!</v>
      </c>
      <c r="DT187" t="e">
        <f>Nodes!T1542+"'E4!)&amp;u"</f>
        <v>#VALUE!</v>
      </c>
      <c r="DU187" t="e">
        <f>Nodes!U1542+"'E4!)&amp;v"</f>
        <v>#VALUE!</v>
      </c>
      <c r="DV187" t="e">
        <f>Nodes!V1542+"'E4!)&amp;w"</f>
        <v>#VALUE!</v>
      </c>
      <c r="DW187" t="e">
        <f>Nodes!W1542+"'E4!)&amp;x"</f>
        <v>#VALUE!</v>
      </c>
      <c r="DX187" t="e">
        <f>Nodes!X1542+"'E4!)&amp;y"</f>
        <v>#VALUE!</v>
      </c>
      <c r="DY187" t="e">
        <f>Nodes!Y1542+"'E4!)&amp;z"</f>
        <v>#VALUE!</v>
      </c>
      <c r="DZ187" t="e">
        <f>Nodes!Z1542+"'E4!)&amp;{"</f>
        <v>#VALUE!</v>
      </c>
      <c r="EA187" t="e">
        <f>Nodes!AA1542+"'E4!)&amp;|"</f>
        <v>#VALUE!</v>
      </c>
      <c r="EB187" t="e">
        <f>Nodes!AB1542+"'E4!)&amp;}"</f>
        <v>#VALUE!</v>
      </c>
      <c r="EC187" t="e">
        <f>Nodes!AC1542+"'E4!)&amp;~"</f>
        <v>#VALUE!</v>
      </c>
      <c r="ED187" t="e">
        <f>Nodes!A1543+"'E4!)'#"</f>
        <v>#VALUE!</v>
      </c>
      <c r="EE187" t="e">
        <f>Nodes!B1543+"'E4!)'$"</f>
        <v>#VALUE!</v>
      </c>
      <c r="EF187" t="e">
        <f>Nodes!C1543+"'E4!)'%"</f>
        <v>#VALUE!</v>
      </c>
      <c r="EG187" t="e">
        <f>Nodes!D1543+"'E4!)'&amp;"</f>
        <v>#VALUE!</v>
      </c>
      <c r="EH187" t="e">
        <f>Nodes!E1543+"'E4!)''"</f>
        <v>#VALUE!</v>
      </c>
      <c r="EI187" t="e">
        <f>Nodes!F1543+"'E4!)'("</f>
        <v>#VALUE!</v>
      </c>
      <c r="EJ187" t="e">
        <f>Nodes!G1543+"'E4!)')"</f>
        <v>#VALUE!</v>
      </c>
      <c r="EK187" t="e">
        <f>Nodes!H1543+"'E4!)'."</f>
        <v>#VALUE!</v>
      </c>
      <c r="EL187" t="e">
        <f>Nodes!I1543+"'E4!)'/"</f>
        <v>#VALUE!</v>
      </c>
      <c r="EM187" t="e">
        <f>Nodes!J1543+"'E4!)'0"</f>
        <v>#VALUE!</v>
      </c>
      <c r="EN187" t="e">
        <f>Nodes!K1543+"'E4!)'1"</f>
        <v>#VALUE!</v>
      </c>
      <c r="EO187" t="e">
        <f>Nodes!L1543+"'E4!)'2"</f>
        <v>#VALUE!</v>
      </c>
      <c r="EP187" t="e">
        <f>Nodes!M1543+"'E4!)'3"</f>
        <v>#VALUE!</v>
      </c>
      <c r="EQ187" t="e">
        <f>Nodes!N1543+"'E4!)'4"</f>
        <v>#VALUE!</v>
      </c>
      <c r="ER187" t="e">
        <f>Nodes!O1543+"'E4!)'5"</f>
        <v>#VALUE!</v>
      </c>
      <c r="ES187" t="e">
        <f>Nodes!P1543+"'E4!)'6"</f>
        <v>#VALUE!</v>
      </c>
      <c r="ET187" t="e">
        <f>Nodes!Q1543+"'E4!)'7"</f>
        <v>#VALUE!</v>
      </c>
      <c r="EU187" t="e">
        <f>Nodes!R1543+"'E4!)'8"</f>
        <v>#VALUE!</v>
      </c>
      <c r="EV187" t="e">
        <f>Nodes!S1543+"'E4!)'9"</f>
        <v>#VALUE!</v>
      </c>
      <c r="EW187" t="e">
        <f>Nodes!T1543+"'E4!)':"</f>
        <v>#VALUE!</v>
      </c>
      <c r="EX187" t="e">
        <f>Nodes!U1543+"'E4!)';"</f>
        <v>#VALUE!</v>
      </c>
      <c r="EY187" t="e">
        <f>Nodes!V1543+"'E4!)'&lt;"</f>
        <v>#VALUE!</v>
      </c>
      <c r="EZ187" t="e">
        <f>Nodes!W1543+"'E4!)'="</f>
        <v>#VALUE!</v>
      </c>
      <c r="FA187" t="e">
        <f>Nodes!X1543+"'E4!)'&gt;"</f>
        <v>#VALUE!</v>
      </c>
      <c r="FB187" t="e">
        <f>Nodes!Y1543+"'E4!)'?"</f>
        <v>#VALUE!</v>
      </c>
      <c r="FC187" t="e">
        <f>Nodes!Z1543+"'E4!)'@"</f>
        <v>#VALUE!</v>
      </c>
      <c r="FD187" t="e">
        <f>Nodes!AA1543+"'E4!)'A"</f>
        <v>#VALUE!</v>
      </c>
      <c r="FE187" t="e">
        <f>Nodes!AB1543+"'E4!)'B"</f>
        <v>#VALUE!</v>
      </c>
      <c r="FF187" t="e">
        <f>Nodes!AC1543+"'E4!)'C"</f>
        <v>#VALUE!</v>
      </c>
      <c r="FG187" t="e">
        <f>Nodes!A1544+"'E4!)'D"</f>
        <v>#VALUE!</v>
      </c>
      <c r="FH187" t="e">
        <f>Nodes!B1544+"'E4!)'E"</f>
        <v>#VALUE!</v>
      </c>
      <c r="FI187" t="e">
        <f>Nodes!C1544+"'E4!)'F"</f>
        <v>#VALUE!</v>
      </c>
      <c r="FJ187" t="e">
        <f>Nodes!D1544+"'E4!)'G"</f>
        <v>#VALUE!</v>
      </c>
      <c r="FK187" t="e">
        <f>Nodes!E1544+"'E4!)'H"</f>
        <v>#VALUE!</v>
      </c>
      <c r="FL187" t="e">
        <f>Nodes!F1544+"'E4!)'I"</f>
        <v>#VALUE!</v>
      </c>
      <c r="FM187" t="e">
        <f>Nodes!G1544+"'E4!)'J"</f>
        <v>#VALUE!</v>
      </c>
      <c r="FN187" t="e">
        <f>Nodes!H1544+"'E4!)'K"</f>
        <v>#VALUE!</v>
      </c>
      <c r="FO187" t="e">
        <f>Nodes!I1544+"'E4!)'L"</f>
        <v>#VALUE!</v>
      </c>
      <c r="FP187" t="e">
        <f>Nodes!J1544+"'E4!)'M"</f>
        <v>#VALUE!</v>
      </c>
      <c r="FQ187" t="e">
        <f>Nodes!K1544+"'E4!)'N"</f>
        <v>#VALUE!</v>
      </c>
      <c r="FR187" t="e">
        <f>Nodes!L1544+"'E4!)'O"</f>
        <v>#VALUE!</v>
      </c>
      <c r="FS187" t="e">
        <f>Nodes!M1544+"'E4!)'P"</f>
        <v>#VALUE!</v>
      </c>
      <c r="FT187" t="e">
        <f>Nodes!N1544+"'E4!)'Q"</f>
        <v>#VALUE!</v>
      </c>
      <c r="FU187" t="e">
        <f>Nodes!O1544+"'E4!)'R"</f>
        <v>#VALUE!</v>
      </c>
      <c r="FV187" t="e">
        <f>Nodes!P1544+"'E4!)'S"</f>
        <v>#VALUE!</v>
      </c>
      <c r="FW187" t="e">
        <f>Nodes!Q1544+"'E4!)'T"</f>
        <v>#VALUE!</v>
      </c>
      <c r="FX187" t="e">
        <f>Nodes!R1544+"'E4!)'U"</f>
        <v>#VALUE!</v>
      </c>
      <c r="FY187" t="e">
        <f>Nodes!S1544+"'E4!)'V"</f>
        <v>#VALUE!</v>
      </c>
      <c r="FZ187" t="e">
        <f>Nodes!T1544+"'E4!)'W"</f>
        <v>#VALUE!</v>
      </c>
      <c r="GA187" t="e">
        <f>Nodes!U1544+"'E4!)'X"</f>
        <v>#VALUE!</v>
      </c>
      <c r="GB187" t="e">
        <f>Nodes!V1544+"'E4!)'Y"</f>
        <v>#VALUE!</v>
      </c>
      <c r="GC187" t="e">
        <f>Nodes!W1544+"'E4!)'Z"</f>
        <v>#VALUE!</v>
      </c>
      <c r="GD187" t="e">
        <f>Nodes!X1544+"'E4!)'["</f>
        <v>#VALUE!</v>
      </c>
      <c r="GE187" t="e">
        <f>Nodes!Y1544+"'E4!)'\"</f>
        <v>#VALUE!</v>
      </c>
      <c r="GF187" t="e">
        <f>Nodes!Z1544+"'E4!)']"</f>
        <v>#VALUE!</v>
      </c>
      <c r="GG187" t="e">
        <f>Nodes!AA1544+"'E4!)'^"</f>
        <v>#VALUE!</v>
      </c>
      <c r="GH187" t="e">
        <f>Nodes!AB1544+"'E4!)'_"</f>
        <v>#VALUE!</v>
      </c>
      <c r="GI187" t="e">
        <f>Nodes!AC1544+"'E4!)'`"</f>
        <v>#VALUE!</v>
      </c>
      <c r="GJ187" t="e">
        <f>Nodes!A1545+"'E4!)'a"</f>
        <v>#VALUE!</v>
      </c>
      <c r="GK187" t="e">
        <f>Nodes!B1545+"'E4!)'b"</f>
        <v>#VALUE!</v>
      </c>
      <c r="GL187" t="e">
        <f>Nodes!C1545+"'E4!)'c"</f>
        <v>#VALUE!</v>
      </c>
      <c r="GM187" t="e">
        <f>Nodes!D1545+"'E4!)'d"</f>
        <v>#VALUE!</v>
      </c>
      <c r="GN187" t="e">
        <f>Nodes!E1545+"'E4!)'e"</f>
        <v>#VALUE!</v>
      </c>
      <c r="GO187" t="e">
        <f>Nodes!F1545+"'E4!)'f"</f>
        <v>#VALUE!</v>
      </c>
      <c r="GP187" t="e">
        <f>Nodes!G1545+"'E4!)'g"</f>
        <v>#VALUE!</v>
      </c>
      <c r="GQ187" t="e">
        <f>Nodes!H1545+"'E4!)'h"</f>
        <v>#VALUE!</v>
      </c>
      <c r="GR187" t="e">
        <f>Nodes!I1545+"'E4!)'i"</f>
        <v>#VALUE!</v>
      </c>
      <c r="GS187" t="e">
        <f>Nodes!J1545+"'E4!)'j"</f>
        <v>#VALUE!</v>
      </c>
      <c r="GT187" t="e">
        <f>Nodes!K1545+"'E4!)'k"</f>
        <v>#VALUE!</v>
      </c>
      <c r="GU187" t="e">
        <f>Nodes!L1545+"'E4!)'l"</f>
        <v>#VALUE!</v>
      </c>
      <c r="GV187" t="e">
        <f>Nodes!M1545+"'E4!)'m"</f>
        <v>#VALUE!</v>
      </c>
      <c r="GW187" t="e">
        <f>Nodes!N1545+"'E4!)'n"</f>
        <v>#VALUE!</v>
      </c>
      <c r="GX187" t="e">
        <f>Nodes!O1545+"'E4!)'o"</f>
        <v>#VALUE!</v>
      </c>
      <c r="GY187" t="e">
        <f>Nodes!P1545+"'E4!)'p"</f>
        <v>#VALUE!</v>
      </c>
      <c r="GZ187" t="e">
        <f>Nodes!Q1545+"'E4!)'q"</f>
        <v>#VALUE!</v>
      </c>
      <c r="HA187" t="e">
        <f>Nodes!R1545+"'E4!)'r"</f>
        <v>#VALUE!</v>
      </c>
      <c r="HB187" t="e">
        <f>Nodes!S1545+"'E4!)'s"</f>
        <v>#VALUE!</v>
      </c>
      <c r="HC187" t="e">
        <f>Nodes!T1545+"'E4!)'t"</f>
        <v>#VALUE!</v>
      </c>
      <c r="HD187" t="e">
        <f>Nodes!U1545+"'E4!)'u"</f>
        <v>#VALUE!</v>
      </c>
      <c r="HE187" t="e">
        <f>Nodes!V1545+"'E4!)'v"</f>
        <v>#VALUE!</v>
      </c>
      <c r="HF187" t="e">
        <f>Nodes!W1545+"'E4!)'w"</f>
        <v>#VALUE!</v>
      </c>
      <c r="HG187" t="e">
        <f>Nodes!X1545+"'E4!)'x"</f>
        <v>#VALUE!</v>
      </c>
      <c r="HH187" t="e">
        <f>Nodes!Y1545+"'E4!)'y"</f>
        <v>#VALUE!</v>
      </c>
      <c r="HI187" t="e">
        <f>Nodes!Z1545+"'E4!)'z"</f>
        <v>#VALUE!</v>
      </c>
      <c r="HJ187" t="e">
        <f>Nodes!AA1545+"'E4!)'{"</f>
        <v>#VALUE!</v>
      </c>
      <c r="HK187" t="e">
        <f>Nodes!AB1545+"'E4!)'|"</f>
        <v>#VALUE!</v>
      </c>
      <c r="HL187" t="e">
        <f>Nodes!AC1545+"'E4!)'}"</f>
        <v>#VALUE!</v>
      </c>
      <c r="HM187" t="e">
        <f>Nodes!A1546+"'E4!)'~"</f>
        <v>#VALUE!</v>
      </c>
      <c r="HN187" t="e">
        <f>Nodes!B1546+"'E4!)(#"</f>
        <v>#VALUE!</v>
      </c>
      <c r="HO187" t="e">
        <f>Nodes!C1546+"'E4!)($"</f>
        <v>#VALUE!</v>
      </c>
      <c r="HP187" t="e">
        <f>Nodes!D1546+"'E4!)(%"</f>
        <v>#VALUE!</v>
      </c>
      <c r="HQ187" t="e">
        <f>Nodes!E1546+"'E4!)(&amp;"</f>
        <v>#VALUE!</v>
      </c>
      <c r="HR187" t="e">
        <f>Nodes!F1546+"'E4!)('"</f>
        <v>#VALUE!</v>
      </c>
      <c r="HS187" t="e">
        <f>Nodes!G1546+"'E4!)(("</f>
        <v>#VALUE!</v>
      </c>
      <c r="HT187" t="e">
        <f>Nodes!H1546+"'E4!)()"</f>
        <v>#VALUE!</v>
      </c>
      <c r="HU187" t="e">
        <f>Nodes!I1546+"'E4!)(."</f>
        <v>#VALUE!</v>
      </c>
      <c r="HV187" t="e">
        <f>Nodes!J1546+"'E4!)(/"</f>
        <v>#VALUE!</v>
      </c>
      <c r="HW187" t="e">
        <f>Nodes!K1546+"'E4!)(0"</f>
        <v>#VALUE!</v>
      </c>
      <c r="HX187" t="e">
        <f>Nodes!L1546+"'E4!)(1"</f>
        <v>#VALUE!</v>
      </c>
      <c r="HY187" t="e">
        <f>Nodes!M1546+"'E4!)(2"</f>
        <v>#VALUE!</v>
      </c>
      <c r="HZ187" t="e">
        <f>Nodes!N1546+"'E4!)(3"</f>
        <v>#VALUE!</v>
      </c>
      <c r="IA187" t="e">
        <f>Nodes!O1546+"'E4!)(4"</f>
        <v>#VALUE!</v>
      </c>
      <c r="IB187" t="e">
        <f>Nodes!P1546+"'E4!)(5"</f>
        <v>#VALUE!</v>
      </c>
      <c r="IC187" t="e">
        <f>Nodes!Q1546+"'E4!)(6"</f>
        <v>#VALUE!</v>
      </c>
      <c r="ID187" t="e">
        <f>Nodes!R1546+"'E4!)(7"</f>
        <v>#VALUE!</v>
      </c>
      <c r="IE187" t="e">
        <f>Nodes!S1546+"'E4!)(8"</f>
        <v>#VALUE!</v>
      </c>
      <c r="IF187" t="e">
        <f>Nodes!T1546+"'E4!)(9"</f>
        <v>#VALUE!</v>
      </c>
      <c r="IG187" t="e">
        <f>Nodes!U1546+"'E4!)(:"</f>
        <v>#VALUE!</v>
      </c>
      <c r="IH187" t="e">
        <f>Nodes!V1546+"'E4!)(;"</f>
        <v>#VALUE!</v>
      </c>
      <c r="II187" t="e">
        <f>Nodes!W1546+"'E4!)(&lt;"</f>
        <v>#VALUE!</v>
      </c>
      <c r="IJ187" t="e">
        <f>Nodes!X1546+"'E4!)(="</f>
        <v>#VALUE!</v>
      </c>
      <c r="IK187" t="e">
        <f>Nodes!Y1546+"'E4!)(&gt;"</f>
        <v>#VALUE!</v>
      </c>
      <c r="IL187" t="e">
        <f>Nodes!Z1546+"'E4!)(?"</f>
        <v>#VALUE!</v>
      </c>
      <c r="IM187" t="e">
        <f>Nodes!AA1546+"'E4!)(@"</f>
        <v>#VALUE!</v>
      </c>
      <c r="IN187" t="e">
        <f>Nodes!AB1546+"'E4!)(A"</f>
        <v>#VALUE!</v>
      </c>
      <c r="IO187" t="e">
        <f>Nodes!AC1546+"'E4!)(B"</f>
        <v>#VALUE!</v>
      </c>
      <c r="IP187" t="e">
        <f>Nodes!A1547+"'E4!)(C"</f>
        <v>#VALUE!</v>
      </c>
      <c r="IQ187" t="e">
        <f>Nodes!B1547+"'E4!)(D"</f>
        <v>#VALUE!</v>
      </c>
      <c r="IR187" t="e">
        <f>Nodes!C1547+"'E4!)(E"</f>
        <v>#VALUE!</v>
      </c>
      <c r="IS187" t="e">
        <f>Nodes!D1547+"'E4!)(F"</f>
        <v>#VALUE!</v>
      </c>
      <c r="IT187" t="e">
        <f>Nodes!E1547+"'E4!)(G"</f>
        <v>#VALUE!</v>
      </c>
      <c r="IU187" t="e">
        <f>Nodes!F1547+"'E4!)(H"</f>
        <v>#VALUE!</v>
      </c>
      <c r="IV187" t="e">
        <f>Nodes!G1547+"'E4!)(I"</f>
        <v>#VALUE!</v>
      </c>
    </row>
    <row r="188" spans="6:256">
      <c r="F188" t="e">
        <f>Nodes!H1547+"'E4!)(J"</f>
        <v>#VALUE!</v>
      </c>
      <c r="G188" t="e">
        <f>Nodes!I1547+"'E4!)(K"</f>
        <v>#VALUE!</v>
      </c>
      <c r="H188" t="e">
        <f>Nodes!J1547+"'E4!)(L"</f>
        <v>#VALUE!</v>
      </c>
      <c r="I188" t="e">
        <f>Nodes!K1547+"'E4!)(M"</f>
        <v>#VALUE!</v>
      </c>
      <c r="J188" t="e">
        <f>Nodes!L1547+"'E4!)(N"</f>
        <v>#VALUE!</v>
      </c>
      <c r="K188" t="e">
        <f>Nodes!M1547+"'E4!)(O"</f>
        <v>#VALUE!</v>
      </c>
      <c r="L188" t="e">
        <f>Nodes!N1547+"'E4!)(P"</f>
        <v>#VALUE!</v>
      </c>
      <c r="M188" t="e">
        <f>Nodes!O1547+"'E4!)(Q"</f>
        <v>#VALUE!</v>
      </c>
      <c r="N188" t="e">
        <f>Nodes!P1547+"'E4!)(R"</f>
        <v>#VALUE!</v>
      </c>
      <c r="O188" t="e">
        <f>Nodes!Q1547+"'E4!)(S"</f>
        <v>#VALUE!</v>
      </c>
      <c r="P188" t="e">
        <f>Nodes!R1547+"'E4!)(T"</f>
        <v>#VALUE!</v>
      </c>
      <c r="Q188" t="e">
        <f>Nodes!S1547+"'E4!)(U"</f>
        <v>#VALUE!</v>
      </c>
      <c r="R188" t="e">
        <f>Nodes!T1547+"'E4!)(V"</f>
        <v>#VALUE!</v>
      </c>
      <c r="S188" t="e">
        <f>Nodes!U1547+"'E4!)(W"</f>
        <v>#VALUE!</v>
      </c>
      <c r="T188" t="e">
        <f>Nodes!V1547+"'E4!)(X"</f>
        <v>#VALUE!</v>
      </c>
      <c r="U188" t="e">
        <f>Nodes!W1547+"'E4!)(Y"</f>
        <v>#VALUE!</v>
      </c>
      <c r="V188" t="e">
        <f>Nodes!X1547+"'E4!)(Z"</f>
        <v>#VALUE!</v>
      </c>
      <c r="W188" t="e">
        <f>Nodes!Y1547+"'E4!)(["</f>
        <v>#VALUE!</v>
      </c>
      <c r="X188" t="e">
        <f>Nodes!Z1547+"'E4!)(\"</f>
        <v>#VALUE!</v>
      </c>
      <c r="Y188" t="e">
        <f>Nodes!AA1547+"'E4!)(]"</f>
        <v>#VALUE!</v>
      </c>
      <c r="Z188" t="e">
        <f>Nodes!AB1547+"'E4!)(^"</f>
        <v>#VALUE!</v>
      </c>
      <c r="AA188" t="e">
        <f>Nodes!AC1547+"'E4!)(_"</f>
        <v>#VALUE!</v>
      </c>
      <c r="AB188" t="e">
        <f>Nodes!A1548+"'E4!)(`"</f>
        <v>#VALUE!</v>
      </c>
      <c r="AC188" t="e">
        <f>Nodes!B1548+"'E4!)(a"</f>
        <v>#VALUE!</v>
      </c>
      <c r="AD188" t="e">
        <f>Nodes!C1548+"'E4!)(b"</f>
        <v>#VALUE!</v>
      </c>
      <c r="AE188" t="e">
        <f>Nodes!D1548+"'E4!)(c"</f>
        <v>#VALUE!</v>
      </c>
      <c r="AF188" t="e">
        <f>Nodes!E1548+"'E4!)(d"</f>
        <v>#VALUE!</v>
      </c>
      <c r="AG188" t="e">
        <f>Nodes!F1548+"'E4!)(e"</f>
        <v>#VALUE!</v>
      </c>
      <c r="AH188" t="e">
        <f>Nodes!G1548+"'E4!)(f"</f>
        <v>#VALUE!</v>
      </c>
      <c r="AI188" t="e">
        <f>Nodes!H1548+"'E4!)(g"</f>
        <v>#VALUE!</v>
      </c>
      <c r="AJ188" t="e">
        <f>Nodes!I1548+"'E4!)(h"</f>
        <v>#VALUE!</v>
      </c>
      <c r="AK188" t="e">
        <f>Nodes!J1548+"'E4!)(i"</f>
        <v>#VALUE!</v>
      </c>
      <c r="AL188" t="e">
        <f>Nodes!K1548+"'E4!)(j"</f>
        <v>#VALUE!</v>
      </c>
      <c r="AM188" t="e">
        <f>Nodes!L1548+"'E4!)(k"</f>
        <v>#VALUE!</v>
      </c>
      <c r="AN188" t="e">
        <f>Nodes!M1548+"'E4!)(l"</f>
        <v>#VALUE!</v>
      </c>
      <c r="AO188" t="e">
        <f>Nodes!N1548+"'E4!)(m"</f>
        <v>#VALUE!</v>
      </c>
      <c r="AP188" t="e">
        <f>Nodes!O1548+"'E4!)(n"</f>
        <v>#VALUE!</v>
      </c>
      <c r="AQ188" t="e">
        <f>Nodes!P1548+"'E4!)(o"</f>
        <v>#VALUE!</v>
      </c>
      <c r="AR188" t="e">
        <f>Nodes!Q1548+"'E4!)(p"</f>
        <v>#VALUE!</v>
      </c>
      <c r="AS188" t="e">
        <f>Nodes!R1548+"'E4!)(q"</f>
        <v>#VALUE!</v>
      </c>
      <c r="AT188" t="e">
        <f>Nodes!S1548+"'E4!)(r"</f>
        <v>#VALUE!</v>
      </c>
      <c r="AU188" t="e">
        <f>Nodes!T1548+"'E4!)(s"</f>
        <v>#VALUE!</v>
      </c>
      <c r="AV188" t="e">
        <f>Nodes!U1548+"'E4!)(t"</f>
        <v>#VALUE!</v>
      </c>
      <c r="AW188" t="e">
        <f>Nodes!V1548+"'E4!)(u"</f>
        <v>#VALUE!</v>
      </c>
      <c r="AX188" t="e">
        <f>Nodes!W1548+"'E4!)(v"</f>
        <v>#VALUE!</v>
      </c>
      <c r="AY188" t="e">
        <f>Nodes!X1548+"'E4!)(w"</f>
        <v>#VALUE!</v>
      </c>
      <c r="AZ188" t="e">
        <f>Nodes!Y1548+"'E4!)(x"</f>
        <v>#VALUE!</v>
      </c>
      <c r="BA188" t="e">
        <f>Nodes!Z1548+"'E4!)(y"</f>
        <v>#VALUE!</v>
      </c>
      <c r="BB188" t="e">
        <f>Nodes!AA1548+"'E4!)(z"</f>
        <v>#VALUE!</v>
      </c>
      <c r="BC188" t="e">
        <f>Nodes!AB1548+"'E4!)({"</f>
        <v>#VALUE!</v>
      </c>
      <c r="BD188" t="e">
        <f>Nodes!AC1548+"'E4!)(|"</f>
        <v>#VALUE!</v>
      </c>
      <c r="BE188" t="e">
        <f>Nodes!A1549+"'E4!)(}"</f>
        <v>#VALUE!</v>
      </c>
      <c r="BF188" t="e">
        <f>Nodes!B1549+"'E4!)(~"</f>
        <v>#VALUE!</v>
      </c>
      <c r="BG188" t="e">
        <f>Nodes!C1549+"'E4!))#"</f>
        <v>#VALUE!</v>
      </c>
      <c r="BH188" t="e">
        <f>Nodes!D1549+"'E4!))$"</f>
        <v>#VALUE!</v>
      </c>
      <c r="BI188" t="e">
        <f>Nodes!E1549+"'E4!))%"</f>
        <v>#VALUE!</v>
      </c>
      <c r="BJ188" t="e">
        <f>Nodes!F1549+"'E4!))&amp;"</f>
        <v>#VALUE!</v>
      </c>
      <c r="BK188" t="e">
        <f>Nodes!G1549+"'E4!))'"</f>
        <v>#VALUE!</v>
      </c>
      <c r="BL188" t="e">
        <f>Nodes!H1549+"'E4!))("</f>
        <v>#VALUE!</v>
      </c>
      <c r="BM188" t="e">
        <f>Nodes!I1549+"'E4!)))"</f>
        <v>#VALUE!</v>
      </c>
      <c r="BN188" t="e">
        <f>Nodes!J1549+"'E4!))."</f>
        <v>#VALUE!</v>
      </c>
      <c r="BO188" t="e">
        <f>Nodes!K1549+"'E4!))/"</f>
        <v>#VALUE!</v>
      </c>
      <c r="BP188" t="e">
        <f>Nodes!L1549+"'E4!))0"</f>
        <v>#VALUE!</v>
      </c>
      <c r="BQ188" t="e">
        <f>Nodes!M1549+"'E4!))1"</f>
        <v>#VALUE!</v>
      </c>
      <c r="BR188" t="e">
        <f>Nodes!N1549+"'E4!))2"</f>
        <v>#VALUE!</v>
      </c>
      <c r="BS188" t="e">
        <f>Nodes!O1549+"'E4!))3"</f>
        <v>#VALUE!</v>
      </c>
      <c r="BT188" t="e">
        <f>Nodes!P1549+"'E4!))4"</f>
        <v>#VALUE!</v>
      </c>
      <c r="BU188" t="e">
        <f>Nodes!Q1549+"'E4!))5"</f>
        <v>#VALUE!</v>
      </c>
      <c r="BV188" t="e">
        <f>Nodes!R1549+"'E4!))6"</f>
        <v>#VALUE!</v>
      </c>
      <c r="BW188" t="e">
        <f>Nodes!S1549+"'E4!))7"</f>
        <v>#VALUE!</v>
      </c>
      <c r="BX188" t="e">
        <f>Nodes!T1549+"'E4!))8"</f>
        <v>#VALUE!</v>
      </c>
      <c r="BY188" t="e">
        <f>Nodes!U1549+"'E4!))9"</f>
        <v>#VALUE!</v>
      </c>
      <c r="BZ188" t="e">
        <f>Nodes!V1549+"'E4!)):"</f>
        <v>#VALUE!</v>
      </c>
      <c r="CA188" t="e">
        <f>Nodes!W1549+"'E4!));"</f>
        <v>#VALUE!</v>
      </c>
      <c r="CB188" t="e">
        <f>Nodes!X1549+"'E4!))&lt;"</f>
        <v>#VALUE!</v>
      </c>
      <c r="CC188" t="e">
        <f>Nodes!Y1549+"'E4!))="</f>
        <v>#VALUE!</v>
      </c>
      <c r="CD188" t="e">
        <f>Nodes!Z1549+"'E4!))&gt;"</f>
        <v>#VALUE!</v>
      </c>
      <c r="CE188" t="e">
        <f>Nodes!AA1549+"'E4!))?"</f>
        <v>#VALUE!</v>
      </c>
      <c r="CF188" t="e">
        <f>Nodes!AB1549+"'E4!))@"</f>
        <v>#VALUE!</v>
      </c>
      <c r="CG188" t="e">
        <f>Nodes!AC1549+"'E4!))A"</f>
        <v>#VALUE!</v>
      </c>
      <c r="CH188" t="e">
        <f>Nodes!A1550+"'E4!))B"</f>
        <v>#VALUE!</v>
      </c>
      <c r="CI188" t="e">
        <f>Nodes!B1550+"'E4!))C"</f>
        <v>#VALUE!</v>
      </c>
      <c r="CJ188" t="e">
        <f>Nodes!C1550+"'E4!))D"</f>
        <v>#VALUE!</v>
      </c>
      <c r="CK188" t="e">
        <f>Nodes!D1550+"'E4!))E"</f>
        <v>#VALUE!</v>
      </c>
      <c r="CL188" t="e">
        <f>Nodes!E1550+"'E4!))F"</f>
        <v>#VALUE!</v>
      </c>
      <c r="CM188" t="e">
        <f>Nodes!F1550+"'E4!))G"</f>
        <v>#VALUE!</v>
      </c>
      <c r="CN188" t="e">
        <f>Nodes!G1550+"'E4!))H"</f>
        <v>#VALUE!</v>
      </c>
      <c r="CO188" t="e">
        <f>Nodes!H1550+"'E4!))I"</f>
        <v>#VALUE!</v>
      </c>
      <c r="CP188" t="e">
        <f>Nodes!I1550+"'E4!))J"</f>
        <v>#VALUE!</v>
      </c>
      <c r="CQ188" t="e">
        <f>Nodes!J1550+"'E4!))K"</f>
        <v>#VALUE!</v>
      </c>
      <c r="CR188" t="e">
        <f>Nodes!K1550+"'E4!))L"</f>
        <v>#VALUE!</v>
      </c>
      <c r="CS188" t="e">
        <f>Nodes!L1550+"'E4!))M"</f>
        <v>#VALUE!</v>
      </c>
      <c r="CT188" t="e">
        <f>Nodes!M1550+"'E4!))N"</f>
        <v>#VALUE!</v>
      </c>
      <c r="CU188" t="e">
        <f>Nodes!N1550+"'E4!))O"</f>
        <v>#VALUE!</v>
      </c>
      <c r="CV188" t="e">
        <f>Nodes!O1550+"'E4!))P"</f>
        <v>#VALUE!</v>
      </c>
      <c r="CW188" t="e">
        <f>Nodes!P1550+"'E4!))Q"</f>
        <v>#VALUE!</v>
      </c>
      <c r="CX188" t="e">
        <f>Nodes!Q1550+"'E4!))R"</f>
        <v>#VALUE!</v>
      </c>
      <c r="CY188" t="e">
        <f>Nodes!R1550+"'E4!))S"</f>
        <v>#VALUE!</v>
      </c>
      <c r="CZ188" t="e">
        <f>Nodes!S1550+"'E4!))T"</f>
        <v>#VALUE!</v>
      </c>
      <c r="DA188" t="e">
        <f>Nodes!T1550+"'E4!))U"</f>
        <v>#VALUE!</v>
      </c>
      <c r="DB188" t="e">
        <f>Nodes!U1550+"'E4!))V"</f>
        <v>#VALUE!</v>
      </c>
      <c r="DC188" t="e">
        <f>Nodes!V1550+"'E4!))W"</f>
        <v>#VALUE!</v>
      </c>
      <c r="DD188" t="e">
        <f>Nodes!W1550+"'E4!))X"</f>
        <v>#VALUE!</v>
      </c>
      <c r="DE188" t="e">
        <f>Nodes!X1550+"'E4!))Y"</f>
        <v>#VALUE!</v>
      </c>
      <c r="DF188" t="e">
        <f>Nodes!Y1550+"'E4!))Z"</f>
        <v>#VALUE!</v>
      </c>
      <c r="DG188" t="e">
        <f>Nodes!Z1550+"'E4!))["</f>
        <v>#VALUE!</v>
      </c>
      <c r="DH188" t="e">
        <f>Nodes!AA1550+"'E4!))\"</f>
        <v>#VALUE!</v>
      </c>
      <c r="DI188" t="e">
        <f>Nodes!AB1550+"'E4!))]"</f>
        <v>#VALUE!</v>
      </c>
      <c r="DJ188" t="e">
        <f>Nodes!AC1550+"'E4!))^"</f>
        <v>#VALUE!</v>
      </c>
      <c r="DK188" t="e">
        <f>Nodes!A1551+"'E4!))_"</f>
        <v>#VALUE!</v>
      </c>
      <c r="DL188" t="e">
        <f>Nodes!B1551+"'E4!))`"</f>
        <v>#VALUE!</v>
      </c>
      <c r="DM188" t="e">
        <f>Nodes!C1551+"'E4!))a"</f>
        <v>#VALUE!</v>
      </c>
      <c r="DN188" t="e">
        <f>Nodes!D1551+"'E4!))b"</f>
        <v>#VALUE!</v>
      </c>
      <c r="DO188" t="e">
        <f>Nodes!E1551+"'E4!))c"</f>
        <v>#VALUE!</v>
      </c>
      <c r="DP188" t="e">
        <f>Nodes!F1551+"'E4!))d"</f>
        <v>#VALUE!</v>
      </c>
      <c r="DQ188" t="e">
        <f>Nodes!G1551+"'E4!))e"</f>
        <v>#VALUE!</v>
      </c>
      <c r="DR188" t="e">
        <f>Nodes!H1551+"'E4!))f"</f>
        <v>#VALUE!</v>
      </c>
      <c r="DS188" t="e">
        <f>Nodes!I1551+"'E4!))g"</f>
        <v>#VALUE!</v>
      </c>
      <c r="DT188" t="e">
        <f>Nodes!J1551+"'E4!))h"</f>
        <v>#VALUE!</v>
      </c>
      <c r="DU188" t="e">
        <f>Nodes!K1551+"'E4!))i"</f>
        <v>#VALUE!</v>
      </c>
      <c r="DV188" t="e">
        <f>Nodes!L1551+"'E4!))j"</f>
        <v>#VALUE!</v>
      </c>
      <c r="DW188" t="e">
        <f>Nodes!M1551+"'E4!))k"</f>
        <v>#VALUE!</v>
      </c>
      <c r="DX188" t="e">
        <f>Nodes!N1551+"'E4!))l"</f>
        <v>#VALUE!</v>
      </c>
      <c r="DY188" t="e">
        <f>Nodes!O1551+"'E4!))m"</f>
        <v>#VALUE!</v>
      </c>
      <c r="DZ188" t="e">
        <f>Nodes!P1551+"'E4!))n"</f>
        <v>#VALUE!</v>
      </c>
      <c r="EA188" t="e">
        <f>Nodes!Q1551+"'E4!))o"</f>
        <v>#VALUE!</v>
      </c>
      <c r="EB188" t="e">
        <f>Nodes!R1551+"'E4!))p"</f>
        <v>#VALUE!</v>
      </c>
      <c r="EC188" t="e">
        <f>Nodes!S1551+"'E4!))q"</f>
        <v>#VALUE!</v>
      </c>
      <c r="ED188" t="e">
        <f>Nodes!T1551+"'E4!))r"</f>
        <v>#VALUE!</v>
      </c>
      <c r="EE188" t="e">
        <f>Nodes!U1551+"'E4!))s"</f>
        <v>#VALUE!</v>
      </c>
      <c r="EF188" t="e">
        <f>Nodes!V1551+"'E4!))t"</f>
        <v>#VALUE!</v>
      </c>
      <c r="EG188" t="e">
        <f>Nodes!W1551+"'E4!))u"</f>
        <v>#VALUE!</v>
      </c>
      <c r="EH188" t="e">
        <f>Nodes!X1551+"'E4!))v"</f>
        <v>#VALUE!</v>
      </c>
      <c r="EI188" t="e">
        <f>Nodes!Y1551+"'E4!))w"</f>
        <v>#VALUE!</v>
      </c>
      <c r="EJ188" t="e">
        <f>Nodes!Z1551+"'E4!))x"</f>
        <v>#VALUE!</v>
      </c>
      <c r="EK188" t="e">
        <f>Nodes!AA1551+"'E4!))y"</f>
        <v>#VALUE!</v>
      </c>
      <c r="EL188" t="e">
        <f>Nodes!AB1551+"'E4!))z"</f>
        <v>#VALUE!</v>
      </c>
      <c r="EM188" t="e">
        <f>Nodes!AC1551+"'E4!)){"</f>
        <v>#VALUE!</v>
      </c>
      <c r="EN188" t="e">
        <f>Nodes!A1552+"'E4!))|"</f>
        <v>#VALUE!</v>
      </c>
      <c r="EO188" t="e">
        <f>Nodes!B1552+"'E4!))}"</f>
        <v>#VALUE!</v>
      </c>
      <c r="EP188" t="e">
        <f>Nodes!C1552+"'E4!))~"</f>
        <v>#VALUE!</v>
      </c>
      <c r="EQ188" t="e">
        <f>Nodes!D1552+"'E4!).#"</f>
        <v>#VALUE!</v>
      </c>
      <c r="ER188" t="e">
        <f>Nodes!E1552+"'E4!).$"</f>
        <v>#VALUE!</v>
      </c>
      <c r="ES188" t="e">
        <f>Nodes!F1552+"'E4!).%"</f>
        <v>#VALUE!</v>
      </c>
      <c r="ET188" t="e">
        <f>Nodes!G1552+"'E4!).&amp;"</f>
        <v>#VALUE!</v>
      </c>
      <c r="EU188" t="e">
        <f>Nodes!H1552+"'E4!).'"</f>
        <v>#VALUE!</v>
      </c>
      <c r="EV188" t="e">
        <f>Nodes!I1552+"'E4!).("</f>
        <v>#VALUE!</v>
      </c>
      <c r="EW188" t="e">
        <f>Nodes!J1552+"'E4!).)"</f>
        <v>#VALUE!</v>
      </c>
      <c r="EX188" t="e">
        <f>Nodes!K1552+"'E4!).."</f>
        <v>#VALUE!</v>
      </c>
      <c r="EY188" t="e">
        <f>Nodes!L1552+"'E4!)./"</f>
        <v>#VALUE!</v>
      </c>
      <c r="EZ188" t="e">
        <f>Nodes!M1552+"'E4!).0"</f>
        <v>#VALUE!</v>
      </c>
      <c r="FA188" t="e">
        <f>Nodes!N1552+"'E4!).1"</f>
        <v>#VALUE!</v>
      </c>
      <c r="FB188" t="e">
        <f>Nodes!O1552+"'E4!).2"</f>
        <v>#VALUE!</v>
      </c>
      <c r="FC188" t="e">
        <f>Nodes!P1552+"'E4!).3"</f>
        <v>#VALUE!</v>
      </c>
      <c r="FD188" t="e">
        <f>Nodes!Q1552+"'E4!).4"</f>
        <v>#VALUE!</v>
      </c>
      <c r="FE188" t="e">
        <f>Nodes!R1552+"'E4!).5"</f>
        <v>#VALUE!</v>
      </c>
      <c r="FF188" t="e">
        <f>Nodes!S1552+"'E4!).6"</f>
        <v>#VALUE!</v>
      </c>
      <c r="FG188" t="e">
        <f>Nodes!T1552+"'E4!).7"</f>
        <v>#VALUE!</v>
      </c>
      <c r="FH188" t="e">
        <f>Nodes!U1552+"'E4!).8"</f>
        <v>#VALUE!</v>
      </c>
      <c r="FI188" t="e">
        <f>Nodes!V1552+"'E4!).9"</f>
        <v>#VALUE!</v>
      </c>
      <c r="FJ188" t="e">
        <f>Nodes!W1552+"'E4!).:"</f>
        <v>#VALUE!</v>
      </c>
      <c r="FK188" t="e">
        <f>Nodes!X1552+"'E4!).;"</f>
        <v>#VALUE!</v>
      </c>
      <c r="FL188" t="e">
        <f>Nodes!Y1552+"'E4!).&lt;"</f>
        <v>#VALUE!</v>
      </c>
      <c r="FM188" t="e">
        <f>Nodes!Z1552+"'E4!).="</f>
        <v>#VALUE!</v>
      </c>
      <c r="FN188" t="e">
        <f>Nodes!AA1552+"'E4!).&gt;"</f>
        <v>#VALUE!</v>
      </c>
      <c r="FO188" t="e">
        <f>Nodes!AB1552+"'E4!).?"</f>
        <v>#VALUE!</v>
      </c>
      <c r="FP188" t="e">
        <f>Nodes!AC1552+"'E4!).@"</f>
        <v>#VALUE!</v>
      </c>
      <c r="FQ188" t="e">
        <f>Nodes!A1553+"'E4!).A"</f>
        <v>#VALUE!</v>
      </c>
      <c r="FR188" t="e">
        <f>Nodes!B1553+"'E4!).B"</f>
        <v>#VALUE!</v>
      </c>
      <c r="FS188" t="e">
        <f>Nodes!C1553+"'E4!).C"</f>
        <v>#VALUE!</v>
      </c>
      <c r="FT188" t="e">
        <f>Nodes!D1553+"'E4!).D"</f>
        <v>#VALUE!</v>
      </c>
      <c r="FU188" t="e">
        <f>Nodes!E1553+"'E4!).E"</f>
        <v>#VALUE!</v>
      </c>
      <c r="FV188" t="e">
        <f>Nodes!F1553+"'E4!).F"</f>
        <v>#VALUE!</v>
      </c>
      <c r="FW188" t="e">
        <f>Nodes!G1553+"'E4!).G"</f>
        <v>#VALUE!</v>
      </c>
      <c r="FX188" t="e">
        <f>Nodes!H1553+"'E4!).H"</f>
        <v>#VALUE!</v>
      </c>
      <c r="FY188" t="e">
        <f>Nodes!I1553+"'E4!).I"</f>
        <v>#VALUE!</v>
      </c>
      <c r="FZ188" t="e">
        <f>Nodes!J1553+"'E4!).J"</f>
        <v>#VALUE!</v>
      </c>
      <c r="GA188" t="e">
        <f>Nodes!K1553+"'E4!).K"</f>
        <v>#VALUE!</v>
      </c>
      <c r="GB188" t="e">
        <f>Nodes!L1553+"'E4!).L"</f>
        <v>#VALUE!</v>
      </c>
      <c r="GC188" t="e">
        <f>Nodes!M1553+"'E4!).M"</f>
        <v>#VALUE!</v>
      </c>
      <c r="GD188" t="e">
        <f>Nodes!N1553+"'E4!).N"</f>
        <v>#VALUE!</v>
      </c>
      <c r="GE188" t="e">
        <f>Nodes!O1553+"'E4!).O"</f>
        <v>#VALUE!</v>
      </c>
      <c r="GF188" t="e">
        <f>Nodes!P1553+"'E4!).P"</f>
        <v>#VALUE!</v>
      </c>
      <c r="GG188" t="e">
        <f>Nodes!Q1553+"'E4!).Q"</f>
        <v>#VALUE!</v>
      </c>
      <c r="GH188" t="e">
        <f>Nodes!R1553+"'E4!).R"</f>
        <v>#VALUE!</v>
      </c>
      <c r="GI188" t="e">
        <f>Nodes!S1553+"'E4!).S"</f>
        <v>#VALUE!</v>
      </c>
      <c r="GJ188" t="e">
        <f>Nodes!T1553+"'E4!).T"</f>
        <v>#VALUE!</v>
      </c>
      <c r="GK188" t="e">
        <f>Nodes!U1553+"'E4!).U"</f>
        <v>#VALUE!</v>
      </c>
      <c r="GL188" t="e">
        <f>Nodes!V1553+"'E4!).V"</f>
        <v>#VALUE!</v>
      </c>
      <c r="GM188" t="e">
        <f>Nodes!W1553+"'E4!).W"</f>
        <v>#VALUE!</v>
      </c>
      <c r="GN188" t="e">
        <f>Nodes!X1553+"'E4!).X"</f>
        <v>#VALUE!</v>
      </c>
      <c r="GO188" t="e">
        <f>Nodes!Y1553+"'E4!).Y"</f>
        <v>#VALUE!</v>
      </c>
      <c r="GP188" t="e">
        <f>Nodes!Z1553+"'E4!).Z"</f>
        <v>#VALUE!</v>
      </c>
      <c r="GQ188" t="e">
        <f>Nodes!AA1553+"'E4!).["</f>
        <v>#VALUE!</v>
      </c>
      <c r="GR188" t="e">
        <f>Nodes!AB1553+"'E4!).\"</f>
        <v>#VALUE!</v>
      </c>
      <c r="GS188" t="e">
        <f>Nodes!AC1553+"'E4!).]"</f>
        <v>#VALUE!</v>
      </c>
      <c r="GT188" t="e">
        <f>Nodes!A1554+"'E4!).^"</f>
        <v>#VALUE!</v>
      </c>
      <c r="GU188" t="e">
        <f>Nodes!B1554+"'E4!)._"</f>
        <v>#VALUE!</v>
      </c>
      <c r="GV188" t="e">
        <f>Nodes!C1554+"'E4!).`"</f>
        <v>#VALUE!</v>
      </c>
      <c r="GW188" t="e">
        <f>Nodes!D1554+"'E4!).a"</f>
        <v>#VALUE!</v>
      </c>
      <c r="GX188" t="e">
        <f>Nodes!E1554+"'E4!).b"</f>
        <v>#VALUE!</v>
      </c>
      <c r="GY188" t="e">
        <f>Nodes!F1554+"'E4!).c"</f>
        <v>#VALUE!</v>
      </c>
      <c r="GZ188" t="e">
        <f>Nodes!G1554+"'E4!).d"</f>
        <v>#VALUE!</v>
      </c>
      <c r="HA188" t="e">
        <f>Nodes!H1554+"'E4!).e"</f>
        <v>#VALUE!</v>
      </c>
      <c r="HB188" t="e">
        <f>Nodes!I1554+"'E4!).f"</f>
        <v>#VALUE!</v>
      </c>
      <c r="HC188" t="e">
        <f>Nodes!J1554+"'E4!).g"</f>
        <v>#VALUE!</v>
      </c>
      <c r="HD188" t="e">
        <f>Nodes!K1554+"'E4!).h"</f>
        <v>#VALUE!</v>
      </c>
      <c r="HE188" t="e">
        <f>Nodes!L1554+"'E4!).i"</f>
        <v>#VALUE!</v>
      </c>
      <c r="HF188" t="e">
        <f>Nodes!M1554+"'E4!).j"</f>
        <v>#VALUE!</v>
      </c>
      <c r="HG188" t="e">
        <f>Nodes!N1554+"'E4!).k"</f>
        <v>#VALUE!</v>
      </c>
      <c r="HH188" t="e">
        <f>Nodes!O1554+"'E4!).l"</f>
        <v>#VALUE!</v>
      </c>
      <c r="HI188" t="e">
        <f>Nodes!P1554+"'E4!).m"</f>
        <v>#VALUE!</v>
      </c>
      <c r="HJ188" t="e">
        <f>Nodes!Q1554+"'E4!).n"</f>
        <v>#VALUE!</v>
      </c>
      <c r="HK188" t="e">
        <f>Nodes!R1554+"'E4!).o"</f>
        <v>#VALUE!</v>
      </c>
      <c r="HL188" t="e">
        <f>Nodes!S1554+"'E4!).p"</f>
        <v>#VALUE!</v>
      </c>
      <c r="HM188" t="e">
        <f>Nodes!T1554+"'E4!).q"</f>
        <v>#VALUE!</v>
      </c>
      <c r="HN188" t="e">
        <f>Nodes!U1554+"'E4!).r"</f>
        <v>#VALUE!</v>
      </c>
      <c r="HO188" t="e">
        <f>Nodes!V1554+"'E4!).s"</f>
        <v>#VALUE!</v>
      </c>
      <c r="HP188" t="e">
        <f>Nodes!W1554+"'E4!).t"</f>
        <v>#VALUE!</v>
      </c>
      <c r="HQ188" t="e">
        <f>Nodes!X1554+"'E4!).u"</f>
        <v>#VALUE!</v>
      </c>
      <c r="HR188" t="e">
        <f>Nodes!Y1554+"'E4!).v"</f>
        <v>#VALUE!</v>
      </c>
      <c r="HS188" t="e">
        <f>Nodes!Z1554+"'E4!).w"</f>
        <v>#VALUE!</v>
      </c>
      <c r="HT188" t="e">
        <f>Nodes!AA1554+"'E4!).x"</f>
        <v>#VALUE!</v>
      </c>
      <c r="HU188" t="e">
        <f>Nodes!AB1554+"'E4!).y"</f>
        <v>#VALUE!</v>
      </c>
      <c r="HV188" t="e">
        <f>Nodes!AC1554+"'E4!).z"</f>
        <v>#VALUE!</v>
      </c>
      <c r="HW188" t="e">
        <f>Nodes!A1555+"'E4!).{"</f>
        <v>#VALUE!</v>
      </c>
      <c r="HX188" t="e">
        <f>Nodes!B1555+"'E4!).|"</f>
        <v>#VALUE!</v>
      </c>
      <c r="HY188" t="e">
        <f>Nodes!C1555+"'E4!).}"</f>
        <v>#VALUE!</v>
      </c>
      <c r="HZ188" t="e">
        <f>Nodes!D1555+"'E4!).~"</f>
        <v>#VALUE!</v>
      </c>
      <c r="IA188" t="e">
        <f>Nodes!E1555+"'E4!)/#"</f>
        <v>#VALUE!</v>
      </c>
      <c r="IB188" t="e">
        <f>Nodes!F1555+"'E4!)/$"</f>
        <v>#VALUE!</v>
      </c>
      <c r="IC188" t="e">
        <f>Nodes!G1555+"'E4!)/%"</f>
        <v>#VALUE!</v>
      </c>
      <c r="ID188" t="e">
        <f>Nodes!H1555+"'E4!)/&amp;"</f>
        <v>#VALUE!</v>
      </c>
      <c r="IE188" t="e">
        <f>Nodes!I1555+"'E4!)/'"</f>
        <v>#VALUE!</v>
      </c>
      <c r="IF188" t="e">
        <f>Nodes!J1555+"'E4!)/("</f>
        <v>#VALUE!</v>
      </c>
      <c r="IG188" t="e">
        <f>Nodes!K1555+"'E4!)/)"</f>
        <v>#VALUE!</v>
      </c>
      <c r="IH188" t="e">
        <f>Nodes!L1555+"'E4!)/."</f>
        <v>#VALUE!</v>
      </c>
      <c r="II188" t="e">
        <f>Nodes!M1555+"'E4!)//"</f>
        <v>#VALUE!</v>
      </c>
      <c r="IJ188" t="e">
        <f>Nodes!N1555+"'E4!)/0"</f>
        <v>#VALUE!</v>
      </c>
      <c r="IK188" t="e">
        <f>Nodes!O1555+"'E4!)/1"</f>
        <v>#VALUE!</v>
      </c>
      <c r="IL188" t="e">
        <f>Nodes!P1555+"'E4!)/2"</f>
        <v>#VALUE!</v>
      </c>
      <c r="IM188" t="e">
        <f>Nodes!Q1555+"'E4!)/3"</f>
        <v>#VALUE!</v>
      </c>
      <c r="IN188" t="e">
        <f>Nodes!R1555+"'E4!)/4"</f>
        <v>#VALUE!</v>
      </c>
      <c r="IO188" t="e">
        <f>Nodes!S1555+"'E4!)/5"</f>
        <v>#VALUE!</v>
      </c>
      <c r="IP188" t="e">
        <f>Nodes!T1555+"'E4!)/6"</f>
        <v>#VALUE!</v>
      </c>
      <c r="IQ188" t="e">
        <f>Nodes!U1555+"'E4!)/7"</f>
        <v>#VALUE!</v>
      </c>
      <c r="IR188" t="e">
        <f>Nodes!V1555+"'E4!)/8"</f>
        <v>#VALUE!</v>
      </c>
      <c r="IS188" t="e">
        <f>Nodes!W1555+"'E4!)/9"</f>
        <v>#VALUE!</v>
      </c>
      <c r="IT188" t="e">
        <f>Nodes!X1555+"'E4!)/:"</f>
        <v>#VALUE!</v>
      </c>
      <c r="IU188" t="e">
        <f>Nodes!Y1555+"'E4!)/;"</f>
        <v>#VALUE!</v>
      </c>
      <c r="IV188" t="e">
        <f>Nodes!Z1555+"'E4!)/&lt;"</f>
        <v>#VALUE!</v>
      </c>
    </row>
    <row r="189" spans="6:256">
      <c r="F189" t="e">
        <f>Nodes!AA1555+"'E4!)/="</f>
        <v>#VALUE!</v>
      </c>
      <c r="G189" t="e">
        <f>Nodes!AB1555+"'E4!)/&gt;"</f>
        <v>#VALUE!</v>
      </c>
      <c r="H189" t="e">
        <f>Nodes!AC1555+"'E4!)/?"</f>
        <v>#VALUE!</v>
      </c>
      <c r="I189" t="e">
        <f>Nodes!A1556+"'E4!)/@"</f>
        <v>#VALUE!</v>
      </c>
      <c r="J189" t="e">
        <f>Nodes!B1556+"'E4!)/A"</f>
        <v>#VALUE!</v>
      </c>
      <c r="K189" t="e">
        <f>Nodes!C1556+"'E4!)/B"</f>
        <v>#VALUE!</v>
      </c>
      <c r="L189" t="e">
        <f>Nodes!D1556+"'E4!)/C"</f>
        <v>#VALUE!</v>
      </c>
      <c r="M189" t="e">
        <f>Nodes!E1556+"'E4!)/D"</f>
        <v>#VALUE!</v>
      </c>
      <c r="N189" t="e">
        <f>Nodes!F1556+"'E4!)/E"</f>
        <v>#VALUE!</v>
      </c>
      <c r="O189" t="e">
        <f>Nodes!G1556+"'E4!)/F"</f>
        <v>#VALUE!</v>
      </c>
      <c r="P189" t="e">
        <f>Nodes!H1556+"'E4!)/G"</f>
        <v>#VALUE!</v>
      </c>
      <c r="Q189" t="e">
        <f>Nodes!I1556+"'E4!)/H"</f>
        <v>#VALUE!</v>
      </c>
      <c r="R189" t="e">
        <f>Nodes!J1556+"'E4!)/I"</f>
        <v>#VALUE!</v>
      </c>
      <c r="S189" t="e">
        <f>Nodes!K1556+"'E4!)/J"</f>
        <v>#VALUE!</v>
      </c>
      <c r="T189" t="e">
        <f>Nodes!L1556+"'E4!)/K"</f>
        <v>#VALUE!</v>
      </c>
      <c r="U189" t="e">
        <f>Nodes!M1556+"'E4!)/L"</f>
        <v>#VALUE!</v>
      </c>
      <c r="V189" t="e">
        <f>Nodes!N1556+"'E4!)/M"</f>
        <v>#VALUE!</v>
      </c>
      <c r="W189" t="e">
        <f>Nodes!O1556+"'E4!)/N"</f>
        <v>#VALUE!</v>
      </c>
      <c r="X189" t="e">
        <f>Nodes!P1556+"'E4!)/O"</f>
        <v>#VALUE!</v>
      </c>
      <c r="Y189" t="e">
        <f>Nodes!Q1556+"'E4!)/P"</f>
        <v>#VALUE!</v>
      </c>
      <c r="Z189" t="e">
        <f>Nodes!R1556+"'E4!)/Q"</f>
        <v>#VALUE!</v>
      </c>
      <c r="AA189" t="e">
        <f>Nodes!S1556+"'E4!)/R"</f>
        <v>#VALUE!</v>
      </c>
      <c r="AB189" t="e">
        <f>Nodes!T1556+"'E4!)/S"</f>
        <v>#VALUE!</v>
      </c>
      <c r="AC189" t="e">
        <f>Nodes!U1556+"'E4!)/T"</f>
        <v>#VALUE!</v>
      </c>
      <c r="AD189" t="e">
        <f>Nodes!V1556+"'E4!)/U"</f>
        <v>#VALUE!</v>
      </c>
      <c r="AE189" t="e">
        <f>Nodes!W1556+"'E4!)/V"</f>
        <v>#VALUE!</v>
      </c>
      <c r="AF189" t="e">
        <f>Nodes!X1556+"'E4!)/W"</f>
        <v>#VALUE!</v>
      </c>
      <c r="AG189" t="e">
        <f>Nodes!Y1556+"'E4!)/X"</f>
        <v>#VALUE!</v>
      </c>
      <c r="AH189" t="e">
        <f>Nodes!Z1556+"'E4!)/Y"</f>
        <v>#VALUE!</v>
      </c>
      <c r="AI189" t="e">
        <f>Nodes!AA1556+"'E4!)/Z"</f>
        <v>#VALUE!</v>
      </c>
      <c r="AJ189" t="e">
        <f>Nodes!AB1556+"'E4!)/["</f>
        <v>#VALUE!</v>
      </c>
      <c r="AK189" t="e">
        <f>Nodes!AC1556+"'E4!)/\"</f>
        <v>#VALUE!</v>
      </c>
      <c r="AL189" t="e">
        <f>Nodes!A1557+"'E4!)/]"</f>
        <v>#VALUE!</v>
      </c>
      <c r="AM189" t="e">
        <f>Nodes!B1557+"'E4!)/^"</f>
        <v>#VALUE!</v>
      </c>
      <c r="AN189" t="e">
        <f>Nodes!C1557+"'E4!)/_"</f>
        <v>#VALUE!</v>
      </c>
      <c r="AO189" t="e">
        <f>Nodes!D1557+"'E4!)/`"</f>
        <v>#VALUE!</v>
      </c>
      <c r="AP189" t="e">
        <f>Nodes!E1557+"'E4!)/a"</f>
        <v>#VALUE!</v>
      </c>
      <c r="AQ189" t="e">
        <f>Nodes!F1557+"'E4!)/b"</f>
        <v>#VALUE!</v>
      </c>
      <c r="AR189" t="e">
        <f>Nodes!G1557+"'E4!)/c"</f>
        <v>#VALUE!</v>
      </c>
      <c r="AS189" t="e">
        <f>Nodes!H1557+"'E4!)/d"</f>
        <v>#VALUE!</v>
      </c>
      <c r="AT189" t="e">
        <f>Nodes!I1557+"'E4!)/e"</f>
        <v>#VALUE!</v>
      </c>
      <c r="AU189" t="e">
        <f>Nodes!J1557+"'E4!)/f"</f>
        <v>#VALUE!</v>
      </c>
      <c r="AV189" t="e">
        <f>Nodes!K1557+"'E4!)/g"</f>
        <v>#VALUE!</v>
      </c>
      <c r="AW189" t="e">
        <f>Nodes!L1557+"'E4!)/h"</f>
        <v>#VALUE!</v>
      </c>
      <c r="AX189" t="e">
        <f>Nodes!M1557+"'E4!)/i"</f>
        <v>#VALUE!</v>
      </c>
      <c r="AY189" t="e">
        <f>Nodes!N1557+"'E4!)/j"</f>
        <v>#VALUE!</v>
      </c>
      <c r="AZ189" t="e">
        <f>Nodes!O1557+"'E4!)/k"</f>
        <v>#VALUE!</v>
      </c>
      <c r="BA189" t="e">
        <f>Nodes!P1557+"'E4!)/l"</f>
        <v>#VALUE!</v>
      </c>
      <c r="BB189" t="e">
        <f>Nodes!Q1557+"'E4!)/m"</f>
        <v>#VALUE!</v>
      </c>
      <c r="BC189" t="e">
        <f>Nodes!R1557+"'E4!)/n"</f>
        <v>#VALUE!</v>
      </c>
      <c r="BD189" t="e">
        <f>Nodes!S1557+"'E4!)/o"</f>
        <v>#VALUE!</v>
      </c>
      <c r="BE189" t="e">
        <f>Nodes!T1557+"'E4!)/p"</f>
        <v>#VALUE!</v>
      </c>
      <c r="BF189" t="e">
        <f>Nodes!U1557+"'E4!)/q"</f>
        <v>#VALUE!</v>
      </c>
      <c r="BG189" t="e">
        <f>Nodes!V1557+"'E4!)/r"</f>
        <v>#VALUE!</v>
      </c>
      <c r="BH189" t="e">
        <f>Nodes!W1557+"'E4!)/s"</f>
        <v>#VALUE!</v>
      </c>
      <c r="BI189" t="e">
        <f>Nodes!X1557+"'E4!)/t"</f>
        <v>#VALUE!</v>
      </c>
      <c r="BJ189" t="e">
        <f>Nodes!Y1557+"'E4!)/u"</f>
        <v>#VALUE!</v>
      </c>
      <c r="BK189" t="e">
        <f>Nodes!Z1557+"'E4!)/v"</f>
        <v>#VALUE!</v>
      </c>
      <c r="BL189" t="e">
        <f>Nodes!AA1557+"'E4!)/w"</f>
        <v>#VALUE!</v>
      </c>
      <c r="BM189" t="e">
        <f>Nodes!AB1557+"'E4!)/x"</f>
        <v>#VALUE!</v>
      </c>
      <c r="BN189" t="e">
        <f>Nodes!AC1557+"'E4!)/y"</f>
        <v>#VALUE!</v>
      </c>
      <c r="BO189" t="e">
        <f>Nodes!A1558+"'E4!)/z"</f>
        <v>#VALUE!</v>
      </c>
      <c r="BP189" t="e">
        <f>Nodes!B1558+"'E4!)/{"</f>
        <v>#VALUE!</v>
      </c>
      <c r="BQ189" t="e">
        <f>Nodes!C1558+"'E4!)/|"</f>
        <v>#VALUE!</v>
      </c>
      <c r="BR189" t="e">
        <f>Nodes!D1558+"'E4!)/}"</f>
        <v>#VALUE!</v>
      </c>
      <c r="BS189" t="e">
        <f>Nodes!E1558+"'E4!)/~"</f>
        <v>#VALUE!</v>
      </c>
      <c r="BT189" t="e">
        <f>Nodes!F1558+"'E4!)0#"</f>
        <v>#VALUE!</v>
      </c>
      <c r="BU189" t="e">
        <f>Nodes!G1558+"'E4!)0$"</f>
        <v>#VALUE!</v>
      </c>
      <c r="BV189" t="e">
        <f>Nodes!H1558+"'E4!)0%"</f>
        <v>#VALUE!</v>
      </c>
      <c r="BW189" t="e">
        <f>Nodes!I1558+"'E4!)0&amp;"</f>
        <v>#VALUE!</v>
      </c>
      <c r="BX189" t="e">
        <f>Nodes!J1558+"'E4!)0'"</f>
        <v>#VALUE!</v>
      </c>
      <c r="BY189" t="e">
        <f>Nodes!K1558+"'E4!)0("</f>
        <v>#VALUE!</v>
      </c>
      <c r="BZ189" t="e">
        <f>Nodes!L1558+"'E4!)0)"</f>
        <v>#VALUE!</v>
      </c>
      <c r="CA189" t="e">
        <f>Nodes!M1558+"'E4!)0."</f>
        <v>#VALUE!</v>
      </c>
      <c r="CB189" t="e">
        <f>Nodes!N1558+"'E4!)0/"</f>
        <v>#VALUE!</v>
      </c>
      <c r="CC189" t="e">
        <f>Nodes!O1558+"'E4!)00"</f>
        <v>#VALUE!</v>
      </c>
      <c r="CD189" t="e">
        <f>Nodes!P1558+"'E4!)01"</f>
        <v>#VALUE!</v>
      </c>
      <c r="CE189" t="e">
        <f>Nodes!Q1558+"'E4!)02"</f>
        <v>#VALUE!</v>
      </c>
      <c r="CF189" t="e">
        <f>Nodes!R1558+"'E4!)03"</f>
        <v>#VALUE!</v>
      </c>
      <c r="CG189" t="e">
        <f>Nodes!S1558+"'E4!)04"</f>
        <v>#VALUE!</v>
      </c>
      <c r="CH189" t="e">
        <f>Nodes!T1558+"'E4!)05"</f>
        <v>#VALUE!</v>
      </c>
      <c r="CI189" t="e">
        <f>Nodes!U1558+"'E4!)06"</f>
        <v>#VALUE!</v>
      </c>
      <c r="CJ189" t="e">
        <f>Nodes!V1558+"'E4!)07"</f>
        <v>#VALUE!</v>
      </c>
      <c r="CK189" t="e">
        <f>Nodes!W1558+"'E4!)08"</f>
        <v>#VALUE!</v>
      </c>
      <c r="CL189" t="e">
        <f>Nodes!X1558+"'E4!)09"</f>
        <v>#VALUE!</v>
      </c>
      <c r="CM189" t="e">
        <f>Nodes!Y1558+"'E4!)0:"</f>
        <v>#VALUE!</v>
      </c>
      <c r="CN189" t="e">
        <f>Nodes!Z1558+"'E4!)0;"</f>
        <v>#VALUE!</v>
      </c>
      <c r="CO189" t="e">
        <f>Nodes!AA1558+"'E4!)0&lt;"</f>
        <v>#VALUE!</v>
      </c>
      <c r="CP189" t="e">
        <f>Nodes!AB1558+"'E4!)0="</f>
        <v>#VALUE!</v>
      </c>
      <c r="CQ189" t="e">
        <f>Nodes!AC1558+"'E4!)0&gt;"</f>
        <v>#VALUE!</v>
      </c>
      <c r="CR189" t="e">
        <f>Nodes!A1559+"'E4!)0?"</f>
        <v>#VALUE!</v>
      </c>
      <c r="CS189" t="e">
        <f>Nodes!B1559+"'E4!)0@"</f>
        <v>#VALUE!</v>
      </c>
      <c r="CT189" t="e">
        <f>Nodes!C1559+"'E4!)0A"</f>
        <v>#VALUE!</v>
      </c>
      <c r="CU189" t="e">
        <f>Nodes!D1559+"'E4!)0B"</f>
        <v>#VALUE!</v>
      </c>
      <c r="CV189" t="e">
        <f>Nodes!E1559+"'E4!)0C"</f>
        <v>#VALUE!</v>
      </c>
      <c r="CW189" t="e">
        <f>Nodes!F1559+"'E4!)0D"</f>
        <v>#VALUE!</v>
      </c>
      <c r="CX189" t="e">
        <f>Nodes!G1559+"'E4!)0E"</f>
        <v>#VALUE!</v>
      </c>
      <c r="CY189" t="e">
        <f>Nodes!H1559+"'E4!)0F"</f>
        <v>#VALUE!</v>
      </c>
      <c r="CZ189" t="e">
        <f>Nodes!I1559+"'E4!)0G"</f>
        <v>#VALUE!</v>
      </c>
      <c r="DA189" t="e">
        <f>Nodes!J1559+"'E4!)0H"</f>
        <v>#VALUE!</v>
      </c>
      <c r="DB189" t="e">
        <f>Nodes!K1559+"'E4!)0I"</f>
        <v>#VALUE!</v>
      </c>
      <c r="DC189" t="e">
        <f>Nodes!L1559+"'E4!)0J"</f>
        <v>#VALUE!</v>
      </c>
      <c r="DD189" t="e">
        <f>Nodes!M1559+"'E4!)0K"</f>
        <v>#VALUE!</v>
      </c>
      <c r="DE189" t="e">
        <f>Nodes!N1559+"'E4!)0L"</f>
        <v>#VALUE!</v>
      </c>
      <c r="DF189" t="e">
        <f>Nodes!O1559+"'E4!)0M"</f>
        <v>#VALUE!</v>
      </c>
      <c r="DG189" t="e">
        <f>Nodes!P1559+"'E4!)0N"</f>
        <v>#VALUE!</v>
      </c>
      <c r="DH189" t="e">
        <f>Nodes!Q1559+"'E4!)0O"</f>
        <v>#VALUE!</v>
      </c>
      <c r="DI189" t="e">
        <f>Nodes!R1559+"'E4!)0P"</f>
        <v>#VALUE!</v>
      </c>
      <c r="DJ189" t="e">
        <f>Nodes!S1559+"'E4!)0Q"</f>
        <v>#VALUE!</v>
      </c>
      <c r="DK189" t="e">
        <f>Nodes!T1559+"'E4!)0R"</f>
        <v>#VALUE!</v>
      </c>
      <c r="DL189" t="e">
        <f>Nodes!U1559+"'E4!)0S"</f>
        <v>#VALUE!</v>
      </c>
      <c r="DM189" t="e">
        <f>Nodes!V1559+"'E4!)0T"</f>
        <v>#VALUE!</v>
      </c>
      <c r="DN189" t="e">
        <f>Nodes!W1559+"'E4!)0U"</f>
        <v>#VALUE!</v>
      </c>
      <c r="DO189" t="e">
        <f>Nodes!X1559+"'E4!)0V"</f>
        <v>#VALUE!</v>
      </c>
      <c r="DP189" t="e">
        <f>Nodes!Y1559+"'E4!)0W"</f>
        <v>#VALUE!</v>
      </c>
      <c r="DQ189" t="e">
        <f>Nodes!Z1559+"'E4!)0X"</f>
        <v>#VALUE!</v>
      </c>
      <c r="DR189" t="e">
        <f>Nodes!AA1559+"'E4!)0Y"</f>
        <v>#VALUE!</v>
      </c>
      <c r="DS189" t="e">
        <f>Nodes!AB1559+"'E4!)0Z"</f>
        <v>#VALUE!</v>
      </c>
      <c r="DT189" t="e">
        <f>Nodes!AC1559+"'E4!)0["</f>
        <v>#VALUE!</v>
      </c>
      <c r="DU189" t="e">
        <f>Nodes!A1560+"'E4!)0\"</f>
        <v>#VALUE!</v>
      </c>
      <c r="DV189" t="e">
        <f>Nodes!B1560+"'E4!)0]"</f>
        <v>#VALUE!</v>
      </c>
      <c r="DW189" t="e">
        <f>Nodes!C1560+"'E4!)0^"</f>
        <v>#VALUE!</v>
      </c>
      <c r="DX189" t="e">
        <f>Nodes!D1560+"'E4!)0_"</f>
        <v>#VALUE!</v>
      </c>
      <c r="DY189" t="e">
        <f>Nodes!E1560+"'E4!)0`"</f>
        <v>#VALUE!</v>
      </c>
      <c r="DZ189" t="e">
        <f>Nodes!F1560+"'E4!)0a"</f>
        <v>#VALUE!</v>
      </c>
      <c r="EA189" t="e">
        <f>Nodes!G1560+"'E4!)0b"</f>
        <v>#VALUE!</v>
      </c>
      <c r="EB189" t="e">
        <f>Nodes!H1560+"'E4!)0c"</f>
        <v>#VALUE!</v>
      </c>
      <c r="EC189" t="e">
        <f>Nodes!I1560+"'E4!)0d"</f>
        <v>#VALUE!</v>
      </c>
      <c r="ED189" t="e">
        <f>Nodes!J1560+"'E4!)0e"</f>
        <v>#VALUE!</v>
      </c>
      <c r="EE189" t="e">
        <f>Nodes!K1560+"'E4!)0f"</f>
        <v>#VALUE!</v>
      </c>
      <c r="EF189" t="e">
        <f>Nodes!L1560+"'E4!)0g"</f>
        <v>#VALUE!</v>
      </c>
      <c r="EG189" t="e">
        <f>Nodes!M1560+"'E4!)0h"</f>
        <v>#VALUE!</v>
      </c>
      <c r="EH189" t="e">
        <f>Nodes!N1560+"'E4!)0i"</f>
        <v>#VALUE!</v>
      </c>
      <c r="EI189" t="e">
        <f>Nodes!O1560+"'E4!)0j"</f>
        <v>#VALUE!</v>
      </c>
      <c r="EJ189" t="e">
        <f>Nodes!P1560+"'E4!)0k"</f>
        <v>#VALUE!</v>
      </c>
      <c r="EK189" t="e">
        <f>Nodes!Q1560+"'E4!)0l"</f>
        <v>#VALUE!</v>
      </c>
      <c r="EL189" t="e">
        <f>Nodes!R1560+"'E4!)0m"</f>
        <v>#VALUE!</v>
      </c>
      <c r="EM189" t="e">
        <f>Nodes!S1560+"'E4!)0n"</f>
        <v>#VALUE!</v>
      </c>
      <c r="EN189" t="e">
        <f>Nodes!T1560+"'E4!)0o"</f>
        <v>#VALUE!</v>
      </c>
      <c r="EO189" t="e">
        <f>Nodes!U1560+"'E4!)0p"</f>
        <v>#VALUE!</v>
      </c>
      <c r="EP189" t="e">
        <f>Nodes!V1560+"'E4!)0q"</f>
        <v>#VALUE!</v>
      </c>
      <c r="EQ189" t="e">
        <f>Nodes!W1560+"'E4!)0r"</f>
        <v>#VALUE!</v>
      </c>
      <c r="ER189" t="e">
        <f>Nodes!X1560+"'E4!)0s"</f>
        <v>#VALUE!</v>
      </c>
      <c r="ES189" t="e">
        <f>Nodes!Y1560+"'E4!)0t"</f>
        <v>#VALUE!</v>
      </c>
      <c r="ET189" t="e">
        <f>Nodes!Z1560+"'E4!)0u"</f>
        <v>#VALUE!</v>
      </c>
      <c r="EU189" t="e">
        <f>Nodes!AA1560+"'E4!)0v"</f>
        <v>#VALUE!</v>
      </c>
      <c r="EV189" t="e">
        <f>Nodes!AB1560+"'E4!)0w"</f>
        <v>#VALUE!</v>
      </c>
      <c r="EW189" t="e">
        <f>Nodes!AC1560+"'E4!)0x"</f>
        <v>#VALUE!</v>
      </c>
      <c r="EX189" t="e">
        <f>Nodes!A1561+"'E4!)0y"</f>
        <v>#VALUE!</v>
      </c>
      <c r="EY189" t="e">
        <f>Nodes!B1561+"'E4!)0z"</f>
        <v>#VALUE!</v>
      </c>
      <c r="EZ189" t="e">
        <f>Nodes!C1561+"'E4!)0{"</f>
        <v>#VALUE!</v>
      </c>
      <c r="FA189" t="e">
        <f>Nodes!D1561+"'E4!)0|"</f>
        <v>#VALUE!</v>
      </c>
      <c r="FB189" t="e">
        <f>Nodes!E1561+"'E4!)0}"</f>
        <v>#VALUE!</v>
      </c>
      <c r="FC189" t="e">
        <f>Nodes!F1561+"'E4!)0~"</f>
        <v>#VALUE!</v>
      </c>
      <c r="FD189" t="e">
        <f>Nodes!G1561+"'E4!)1#"</f>
        <v>#VALUE!</v>
      </c>
      <c r="FE189" t="e">
        <f>Nodes!H1561+"'E4!)1$"</f>
        <v>#VALUE!</v>
      </c>
      <c r="FF189" t="e">
        <f>Nodes!I1561+"'E4!)1%"</f>
        <v>#VALUE!</v>
      </c>
      <c r="FG189" t="e">
        <f>Nodes!J1561+"'E4!)1&amp;"</f>
        <v>#VALUE!</v>
      </c>
      <c r="FH189" t="e">
        <f>Nodes!K1561+"'E4!)1'"</f>
        <v>#VALUE!</v>
      </c>
      <c r="FI189" t="e">
        <f>Nodes!L1561+"'E4!)1("</f>
        <v>#VALUE!</v>
      </c>
      <c r="FJ189" t="e">
        <f>Nodes!M1561+"'E4!)1)"</f>
        <v>#VALUE!</v>
      </c>
      <c r="FK189" t="e">
        <f>Nodes!N1561+"'E4!)1."</f>
        <v>#VALUE!</v>
      </c>
      <c r="FL189" t="e">
        <f>Nodes!O1561+"'E4!)1/"</f>
        <v>#VALUE!</v>
      </c>
      <c r="FM189" t="e">
        <f>Nodes!P1561+"'E4!)10"</f>
        <v>#VALUE!</v>
      </c>
      <c r="FN189" t="e">
        <f>Nodes!Q1561+"'E4!)11"</f>
        <v>#VALUE!</v>
      </c>
      <c r="FO189" t="e">
        <f>Nodes!R1561+"'E4!)12"</f>
        <v>#VALUE!</v>
      </c>
      <c r="FP189" t="e">
        <f>Nodes!S1561+"'E4!)13"</f>
        <v>#VALUE!</v>
      </c>
      <c r="FQ189" t="e">
        <f>Nodes!T1561+"'E4!)14"</f>
        <v>#VALUE!</v>
      </c>
      <c r="FR189" t="e">
        <f>Nodes!U1561+"'E4!)15"</f>
        <v>#VALUE!</v>
      </c>
      <c r="FS189" t="e">
        <f>Nodes!V1561+"'E4!)16"</f>
        <v>#VALUE!</v>
      </c>
      <c r="FT189" t="e">
        <f>Nodes!W1561+"'E4!)17"</f>
        <v>#VALUE!</v>
      </c>
      <c r="FU189" t="e">
        <f>Nodes!X1561+"'E4!)18"</f>
        <v>#VALUE!</v>
      </c>
      <c r="FV189" t="e">
        <f>Nodes!Y1561+"'E4!)19"</f>
        <v>#VALUE!</v>
      </c>
      <c r="FW189" t="e">
        <f>Nodes!Z1561+"'E4!)1:"</f>
        <v>#VALUE!</v>
      </c>
      <c r="FX189" t="e">
        <f>Nodes!AA1561+"'E4!)1;"</f>
        <v>#VALUE!</v>
      </c>
      <c r="FY189" t="e">
        <f>Nodes!AB1561+"'E4!)1&lt;"</f>
        <v>#VALUE!</v>
      </c>
      <c r="FZ189" t="e">
        <f>Nodes!AC1561+"'E4!)1="</f>
        <v>#VALUE!</v>
      </c>
      <c r="GA189" t="e">
        <f>Nodes!A1562+"'E4!)1&gt;"</f>
        <v>#VALUE!</v>
      </c>
      <c r="GB189" t="e">
        <f>Nodes!B1562+"'E4!)1?"</f>
        <v>#VALUE!</v>
      </c>
      <c r="GC189" t="e">
        <f>Nodes!C1562+"'E4!)1@"</f>
        <v>#VALUE!</v>
      </c>
      <c r="GD189" t="e">
        <f>Nodes!D1562+"'E4!)1A"</f>
        <v>#VALUE!</v>
      </c>
      <c r="GE189" t="e">
        <f>Nodes!E1562+"'E4!)1B"</f>
        <v>#VALUE!</v>
      </c>
      <c r="GF189" t="e">
        <f>Nodes!F1562+"'E4!)1C"</f>
        <v>#VALUE!</v>
      </c>
      <c r="GG189" t="e">
        <f>Nodes!G1562+"'E4!)1D"</f>
        <v>#VALUE!</v>
      </c>
      <c r="GH189" t="e">
        <f>Nodes!H1562+"'E4!)1E"</f>
        <v>#VALUE!</v>
      </c>
      <c r="GI189" t="e">
        <f>Nodes!I1562+"'E4!)1F"</f>
        <v>#VALUE!</v>
      </c>
      <c r="GJ189" t="e">
        <f>Nodes!J1562+"'E4!)1G"</f>
        <v>#VALUE!</v>
      </c>
      <c r="GK189" t="e">
        <f>Nodes!K1562+"'E4!)1H"</f>
        <v>#VALUE!</v>
      </c>
      <c r="GL189" t="e">
        <f>Nodes!L1562+"'E4!)1I"</f>
        <v>#VALUE!</v>
      </c>
      <c r="GM189" t="e">
        <f>Nodes!M1562+"'E4!)1J"</f>
        <v>#VALUE!</v>
      </c>
      <c r="GN189" t="e">
        <f>Nodes!N1562+"'E4!)1K"</f>
        <v>#VALUE!</v>
      </c>
      <c r="GO189" t="e">
        <f>Nodes!O1562+"'E4!)1L"</f>
        <v>#VALUE!</v>
      </c>
      <c r="GP189" t="e">
        <f>Nodes!P1562+"'E4!)1M"</f>
        <v>#VALUE!</v>
      </c>
      <c r="GQ189" t="e">
        <f>Nodes!Q1562+"'E4!)1N"</f>
        <v>#VALUE!</v>
      </c>
      <c r="GR189" t="e">
        <f>Nodes!R1562+"'E4!)1O"</f>
        <v>#VALUE!</v>
      </c>
      <c r="GS189" t="e">
        <f>Nodes!S1562+"'E4!)1P"</f>
        <v>#VALUE!</v>
      </c>
      <c r="GT189" t="e">
        <f>Nodes!T1562+"'E4!)1Q"</f>
        <v>#VALUE!</v>
      </c>
      <c r="GU189" t="e">
        <f>Nodes!U1562+"'E4!)1R"</f>
        <v>#VALUE!</v>
      </c>
      <c r="GV189" t="e">
        <f>Nodes!V1562+"'E4!)1S"</f>
        <v>#VALUE!</v>
      </c>
      <c r="GW189" t="e">
        <f>Nodes!W1562+"'E4!)1T"</f>
        <v>#VALUE!</v>
      </c>
      <c r="GX189" t="e">
        <f>Nodes!X1562+"'E4!)1U"</f>
        <v>#VALUE!</v>
      </c>
      <c r="GY189" t="e">
        <f>Nodes!Y1562+"'E4!)1V"</f>
        <v>#VALUE!</v>
      </c>
      <c r="GZ189" t="e">
        <f>Nodes!Z1562+"'E4!)1W"</f>
        <v>#VALUE!</v>
      </c>
      <c r="HA189" t="e">
        <f>Nodes!AA1562+"'E4!)1X"</f>
        <v>#VALUE!</v>
      </c>
      <c r="HB189" t="e">
        <f>Nodes!AB1562+"'E4!)1Y"</f>
        <v>#VALUE!</v>
      </c>
      <c r="HC189" t="e">
        <f>Nodes!AC1562+"'E4!)1Z"</f>
        <v>#VALUE!</v>
      </c>
      <c r="HD189" t="e">
        <f>Nodes!A1563+"'E4!)1["</f>
        <v>#VALUE!</v>
      </c>
      <c r="HE189" t="e">
        <f>Nodes!B1563+"'E4!)1\"</f>
        <v>#VALUE!</v>
      </c>
      <c r="HF189" t="e">
        <f>Nodes!C1563+"'E4!)1]"</f>
        <v>#VALUE!</v>
      </c>
      <c r="HG189" t="e">
        <f>Nodes!D1563+"'E4!)1^"</f>
        <v>#VALUE!</v>
      </c>
      <c r="HH189" t="e">
        <f>Nodes!E1563+"'E4!)1_"</f>
        <v>#VALUE!</v>
      </c>
      <c r="HI189" t="e">
        <f>Nodes!F1563+"'E4!)1`"</f>
        <v>#VALUE!</v>
      </c>
      <c r="HJ189" t="e">
        <f>Nodes!G1563+"'E4!)1a"</f>
        <v>#VALUE!</v>
      </c>
      <c r="HK189" t="e">
        <f>Nodes!H1563+"'E4!)1b"</f>
        <v>#VALUE!</v>
      </c>
      <c r="HL189" t="e">
        <f>Nodes!I1563+"'E4!)1c"</f>
        <v>#VALUE!</v>
      </c>
      <c r="HM189" t="e">
        <f>Nodes!J1563+"'E4!)1d"</f>
        <v>#VALUE!</v>
      </c>
      <c r="HN189" t="e">
        <f>Nodes!K1563+"'E4!)1e"</f>
        <v>#VALUE!</v>
      </c>
      <c r="HO189" t="e">
        <f>Nodes!L1563+"'E4!)1f"</f>
        <v>#VALUE!</v>
      </c>
      <c r="HP189" t="e">
        <f>Nodes!M1563+"'E4!)1g"</f>
        <v>#VALUE!</v>
      </c>
      <c r="HQ189" t="e">
        <f>Nodes!N1563+"'E4!)1h"</f>
        <v>#VALUE!</v>
      </c>
      <c r="HR189" t="e">
        <f>Nodes!O1563+"'E4!)1i"</f>
        <v>#VALUE!</v>
      </c>
      <c r="HS189" t="e">
        <f>Nodes!P1563+"'E4!)1j"</f>
        <v>#VALUE!</v>
      </c>
      <c r="HT189" t="e">
        <f>Nodes!Q1563+"'E4!)1k"</f>
        <v>#VALUE!</v>
      </c>
      <c r="HU189" t="e">
        <f>Nodes!R1563+"'E4!)1l"</f>
        <v>#VALUE!</v>
      </c>
      <c r="HV189" t="e">
        <f>Nodes!S1563+"'E4!)1m"</f>
        <v>#VALUE!</v>
      </c>
      <c r="HW189" t="e">
        <f>Nodes!T1563+"'E4!)1n"</f>
        <v>#VALUE!</v>
      </c>
      <c r="HX189" t="e">
        <f>Nodes!U1563+"'E4!)1o"</f>
        <v>#VALUE!</v>
      </c>
      <c r="HY189" t="e">
        <f>Nodes!V1563+"'E4!)1p"</f>
        <v>#VALUE!</v>
      </c>
      <c r="HZ189" t="e">
        <f>Nodes!W1563+"'E4!)1q"</f>
        <v>#VALUE!</v>
      </c>
      <c r="IA189" t="e">
        <f>Nodes!X1563+"'E4!)1r"</f>
        <v>#VALUE!</v>
      </c>
      <c r="IB189" t="e">
        <f>Nodes!Y1563+"'E4!)1s"</f>
        <v>#VALUE!</v>
      </c>
      <c r="IC189" t="e">
        <f>Nodes!Z1563+"'E4!)1t"</f>
        <v>#VALUE!</v>
      </c>
      <c r="ID189" t="e">
        <f>Nodes!AA1563+"'E4!)1u"</f>
        <v>#VALUE!</v>
      </c>
      <c r="IE189" t="e">
        <f>Nodes!AB1563+"'E4!)1v"</f>
        <v>#VALUE!</v>
      </c>
      <c r="IF189" t="e">
        <f>Nodes!AC1563+"'E4!)1w"</f>
        <v>#VALUE!</v>
      </c>
      <c r="IG189" t="e">
        <f>Nodes!A1564+"'E4!)1x"</f>
        <v>#VALUE!</v>
      </c>
      <c r="IH189" t="e">
        <f>Nodes!B1564+"'E4!)1y"</f>
        <v>#VALUE!</v>
      </c>
      <c r="II189" t="e">
        <f>Nodes!C1564+"'E4!)1z"</f>
        <v>#VALUE!</v>
      </c>
      <c r="IJ189" t="e">
        <f>Nodes!D1564+"'E4!)1{"</f>
        <v>#VALUE!</v>
      </c>
      <c r="IK189" t="e">
        <f>Nodes!E1564+"'E4!)1|"</f>
        <v>#VALUE!</v>
      </c>
      <c r="IL189" t="e">
        <f>Nodes!F1564+"'E4!)1}"</f>
        <v>#VALUE!</v>
      </c>
      <c r="IM189" t="e">
        <f>Nodes!G1564+"'E4!)1~"</f>
        <v>#VALUE!</v>
      </c>
      <c r="IN189" t="e">
        <f>Nodes!H1564+"'E4!)2#"</f>
        <v>#VALUE!</v>
      </c>
      <c r="IO189" t="e">
        <f>Nodes!I1564+"'E4!)2$"</f>
        <v>#VALUE!</v>
      </c>
      <c r="IP189" t="e">
        <f>Nodes!J1564+"'E4!)2%"</f>
        <v>#VALUE!</v>
      </c>
      <c r="IQ189" t="e">
        <f>Nodes!K1564+"'E4!)2&amp;"</f>
        <v>#VALUE!</v>
      </c>
      <c r="IR189" t="e">
        <f>Nodes!L1564+"'E4!)2'"</f>
        <v>#VALUE!</v>
      </c>
      <c r="IS189" t="e">
        <f>Nodes!M1564+"'E4!)2("</f>
        <v>#VALUE!</v>
      </c>
      <c r="IT189" t="e">
        <f>Nodes!N1564+"'E4!)2)"</f>
        <v>#VALUE!</v>
      </c>
      <c r="IU189" t="e">
        <f>Nodes!O1564+"'E4!)2."</f>
        <v>#VALUE!</v>
      </c>
      <c r="IV189" t="e">
        <f>Nodes!P1564+"'E4!)2/"</f>
        <v>#VALUE!</v>
      </c>
    </row>
    <row r="190" spans="6:256">
      <c r="F190" t="e">
        <f>Nodes!Q1564+"'E4!)20"</f>
        <v>#VALUE!</v>
      </c>
      <c r="G190" t="e">
        <f>Nodes!R1564+"'E4!)21"</f>
        <v>#VALUE!</v>
      </c>
      <c r="H190" t="e">
        <f>Nodes!S1564+"'E4!)22"</f>
        <v>#VALUE!</v>
      </c>
      <c r="I190" t="e">
        <f>Nodes!T1564+"'E4!)23"</f>
        <v>#VALUE!</v>
      </c>
      <c r="J190" t="e">
        <f>Nodes!U1564+"'E4!)24"</f>
        <v>#VALUE!</v>
      </c>
      <c r="K190" t="e">
        <f>Nodes!V1564+"'E4!)25"</f>
        <v>#VALUE!</v>
      </c>
      <c r="L190" t="e">
        <f>Nodes!W1564+"'E4!)26"</f>
        <v>#VALUE!</v>
      </c>
      <c r="M190" t="e">
        <f>Nodes!X1564+"'E4!)27"</f>
        <v>#VALUE!</v>
      </c>
      <c r="N190" t="e">
        <f>Nodes!Y1564+"'E4!)28"</f>
        <v>#VALUE!</v>
      </c>
      <c r="O190" t="e">
        <f>Nodes!Z1564+"'E4!)29"</f>
        <v>#VALUE!</v>
      </c>
      <c r="P190" t="e">
        <f>Nodes!AA1564+"'E4!)2:"</f>
        <v>#VALUE!</v>
      </c>
      <c r="Q190" t="e">
        <f>Nodes!AB1564+"'E4!)2;"</f>
        <v>#VALUE!</v>
      </c>
      <c r="R190" t="e">
        <f>Nodes!AC1564+"'E4!)2&lt;"</f>
        <v>#VALUE!</v>
      </c>
      <c r="S190" t="e">
        <f>Nodes!A1565+"'E4!)2="</f>
        <v>#VALUE!</v>
      </c>
      <c r="T190" t="e">
        <f>Nodes!B1565+"'E4!)2&gt;"</f>
        <v>#VALUE!</v>
      </c>
      <c r="U190" t="e">
        <f>Nodes!C1565+"'E4!)2?"</f>
        <v>#VALUE!</v>
      </c>
      <c r="V190" t="e">
        <f>Nodes!D1565+"'E4!)2@"</f>
        <v>#VALUE!</v>
      </c>
      <c r="W190" t="e">
        <f>Nodes!E1565+"'E4!)2A"</f>
        <v>#VALUE!</v>
      </c>
      <c r="X190" t="e">
        <f>Nodes!F1565+"'E4!)2B"</f>
        <v>#VALUE!</v>
      </c>
      <c r="Y190" t="e">
        <f>Nodes!G1565+"'E4!)2C"</f>
        <v>#VALUE!</v>
      </c>
      <c r="Z190" t="e">
        <f>Nodes!H1565+"'E4!)2D"</f>
        <v>#VALUE!</v>
      </c>
      <c r="AA190" t="e">
        <f>Nodes!I1565+"'E4!)2E"</f>
        <v>#VALUE!</v>
      </c>
      <c r="AB190" t="e">
        <f>Nodes!J1565+"'E4!)2F"</f>
        <v>#VALUE!</v>
      </c>
      <c r="AC190" t="e">
        <f>Nodes!K1565+"'E4!)2G"</f>
        <v>#VALUE!</v>
      </c>
      <c r="AD190" t="e">
        <f>Nodes!L1565+"'E4!)2H"</f>
        <v>#VALUE!</v>
      </c>
      <c r="AE190" t="e">
        <f>Nodes!M1565+"'E4!)2I"</f>
        <v>#VALUE!</v>
      </c>
      <c r="AF190" t="e">
        <f>Nodes!N1565+"'E4!)2J"</f>
        <v>#VALUE!</v>
      </c>
      <c r="AG190" t="e">
        <f>Nodes!O1565+"'E4!)2K"</f>
        <v>#VALUE!</v>
      </c>
      <c r="AH190" t="e">
        <f>Nodes!P1565+"'E4!)2L"</f>
        <v>#VALUE!</v>
      </c>
      <c r="AI190" t="e">
        <f>Nodes!Q1565+"'E4!)2M"</f>
        <v>#VALUE!</v>
      </c>
      <c r="AJ190" t="e">
        <f>Nodes!R1565+"'E4!)2N"</f>
        <v>#VALUE!</v>
      </c>
      <c r="AK190" t="e">
        <f>Nodes!S1565+"'E4!)2O"</f>
        <v>#VALUE!</v>
      </c>
      <c r="AL190" t="e">
        <f>Nodes!T1565+"'E4!)2P"</f>
        <v>#VALUE!</v>
      </c>
      <c r="AM190" t="e">
        <f>Nodes!U1565+"'E4!)2Q"</f>
        <v>#VALUE!</v>
      </c>
      <c r="AN190" t="e">
        <f>Nodes!V1565+"'E4!)2R"</f>
        <v>#VALUE!</v>
      </c>
      <c r="AO190" t="e">
        <f>Nodes!W1565+"'E4!)2S"</f>
        <v>#VALUE!</v>
      </c>
      <c r="AP190" t="e">
        <f>Nodes!X1565+"'E4!)2T"</f>
        <v>#VALUE!</v>
      </c>
      <c r="AQ190" t="e">
        <f>Nodes!Y1565+"'E4!)2U"</f>
        <v>#VALUE!</v>
      </c>
      <c r="AR190" t="e">
        <f>Nodes!Z1565+"'E4!)2V"</f>
        <v>#VALUE!</v>
      </c>
      <c r="AS190" t="e">
        <f>Nodes!AA1565+"'E4!)2W"</f>
        <v>#VALUE!</v>
      </c>
      <c r="AT190" t="e">
        <f>Nodes!AB1565+"'E4!)2X"</f>
        <v>#VALUE!</v>
      </c>
      <c r="AU190" t="e">
        <f>Nodes!AC1565+"'E4!)2Y"</f>
        <v>#VALUE!</v>
      </c>
      <c r="AV190" t="e">
        <f>Nodes!A1566+"'E4!)2Z"</f>
        <v>#VALUE!</v>
      </c>
      <c r="AW190" t="e">
        <f>Nodes!B1566+"'E4!)2["</f>
        <v>#VALUE!</v>
      </c>
      <c r="AX190" t="e">
        <f>Nodes!C1566+"'E4!)2\"</f>
        <v>#VALUE!</v>
      </c>
      <c r="AY190" t="e">
        <f>Nodes!D1566+"'E4!)2]"</f>
        <v>#VALUE!</v>
      </c>
      <c r="AZ190" t="e">
        <f>Nodes!E1566+"'E4!)2^"</f>
        <v>#VALUE!</v>
      </c>
      <c r="BA190" t="e">
        <f>Nodes!F1566+"'E4!)2_"</f>
        <v>#VALUE!</v>
      </c>
      <c r="BB190" t="e">
        <f>Nodes!G1566+"'E4!)2`"</f>
        <v>#VALUE!</v>
      </c>
      <c r="BC190" t="e">
        <f>Nodes!H1566+"'E4!)2a"</f>
        <v>#VALUE!</v>
      </c>
      <c r="BD190" t="e">
        <f>Nodes!I1566+"'E4!)2b"</f>
        <v>#VALUE!</v>
      </c>
      <c r="BE190" t="e">
        <f>Nodes!J1566+"'E4!)2c"</f>
        <v>#VALUE!</v>
      </c>
      <c r="BF190" t="e">
        <f>Nodes!K1566+"'E4!)2d"</f>
        <v>#VALUE!</v>
      </c>
      <c r="BG190" t="e">
        <f>Nodes!L1566+"'E4!)2e"</f>
        <v>#VALUE!</v>
      </c>
      <c r="BH190" t="e">
        <f>Nodes!M1566+"'E4!)2f"</f>
        <v>#VALUE!</v>
      </c>
      <c r="BI190" t="e">
        <f>Nodes!N1566+"'E4!)2g"</f>
        <v>#VALUE!</v>
      </c>
      <c r="BJ190" t="e">
        <f>Nodes!O1566+"'E4!)2h"</f>
        <v>#VALUE!</v>
      </c>
      <c r="BK190" t="e">
        <f>Nodes!P1566+"'E4!)2i"</f>
        <v>#VALUE!</v>
      </c>
      <c r="BL190" t="e">
        <f>Nodes!Q1566+"'E4!)2j"</f>
        <v>#VALUE!</v>
      </c>
      <c r="BM190" t="e">
        <f>Nodes!R1566+"'E4!)2k"</f>
        <v>#VALUE!</v>
      </c>
      <c r="BN190" t="e">
        <f>Nodes!S1566+"'E4!)2l"</f>
        <v>#VALUE!</v>
      </c>
      <c r="BO190" t="e">
        <f>Nodes!T1566+"'E4!)2m"</f>
        <v>#VALUE!</v>
      </c>
      <c r="BP190" t="e">
        <f>Nodes!U1566+"'E4!)2n"</f>
        <v>#VALUE!</v>
      </c>
      <c r="BQ190" t="e">
        <f>Nodes!V1566+"'E4!)2o"</f>
        <v>#VALUE!</v>
      </c>
      <c r="BR190" t="e">
        <f>Nodes!W1566+"'E4!)2p"</f>
        <v>#VALUE!</v>
      </c>
      <c r="BS190" t="e">
        <f>Nodes!X1566+"'E4!)2q"</f>
        <v>#VALUE!</v>
      </c>
      <c r="BT190" t="e">
        <f>Nodes!Y1566+"'E4!)2r"</f>
        <v>#VALUE!</v>
      </c>
      <c r="BU190" t="e">
        <f>Nodes!Z1566+"'E4!)2s"</f>
        <v>#VALUE!</v>
      </c>
      <c r="BV190" t="e">
        <f>Nodes!AA1566+"'E4!)2t"</f>
        <v>#VALUE!</v>
      </c>
      <c r="BW190" t="e">
        <f>Nodes!AB1566+"'E4!)2u"</f>
        <v>#VALUE!</v>
      </c>
      <c r="BX190" t="e">
        <f>Nodes!AC1566+"'E4!)2v"</f>
        <v>#VALUE!</v>
      </c>
      <c r="BY190" t="e">
        <f>Nodes!A1567+"'E4!)2w"</f>
        <v>#VALUE!</v>
      </c>
      <c r="BZ190" t="e">
        <f>Nodes!B1567+"'E4!)2x"</f>
        <v>#VALUE!</v>
      </c>
      <c r="CA190" t="e">
        <f>Nodes!C1567+"'E4!)2y"</f>
        <v>#VALUE!</v>
      </c>
      <c r="CB190" t="e">
        <f>Nodes!D1567+"'E4!)2z"</f>
        <v>#VALUE!</v>
      </c>
      <c r="CC190" t="e">
        <f>Nodes!E1567+"'E4!)2{"</f>
        <v>#VALUE!</v>
      </c>
      <c r="CD190" t="e">
        <f>Nodes!F1567+"'E4!)2|"</f>
        <v>#VALUE!</v>
      </c>
      <c r="CE190" t="e">
        <f>Nodes!G1567+"'E4!)2}"</f>
        <v>#VALUE!</v>
      </c>
      <c r="CF190" t="e">
        <f>Nodes!H1567+"'E4!)2~"</f>
        <v>#VALUE!</v>
      </c>
      <c r="CG190" t="e">
        <f>Nodes!I1567+"'E4!)3#"</f>
        <v>#VALUE!</v>
      </c>
      <c r="CH190" t="e">
        <f>Nodes!J1567+"'E4!)3$"</f>
        <v>#VALUE!</v>
      </c>
      <c r="CI190" t="e">
        <f>Nodes!K1567+"'E4!)3%"</f>
        <v>#VALUE!</v>
      </c>
      <c r="CJ190" t="e">
        <f>Nodes!L1567+"'E4!)3&amp;"</f>
        <v>#VALUE!</v>
      </c>
      <c r="CK190" t="e">
        <f>Nodes!M1567+"'E4!)3'"</f>
        <v>#VALUE!</v>
      </c>
      <c r="CL190" t="e">
        <f>Nodes!N1567+"'E4!)3("</f>
        <v>#VALUE!</v>
      </c>
      <c r="CM190" t="e">
        <f>Nodes!O1567+"'E4!)3)"</f>
        <v>#VALUE!</v>
      </c>
      <c r="CN190" t="e">
        <f>Nodes!P1567+"'E4!)3."</f>
        <v>#VALUE!</v>
      </c>
      <c r="CO190" t="e">
        <f>Nodes!Q1567+"'E4!)3/"</f>
        <v>#VALUE!</v>
      </c>
      <c r="CP190" t="e">
        <f>Nodes!R1567+"'E4!)30"</f>
        <v>#VALUE!</v>
      </c>
      <c r="CQ190" t="e">
        <f>Nodes!S1567+"'E4!)31"</f>
        <v>#VALUE!</v>
      </c>
      <c r="CR190" t="e">
        <f>Nodes!T1567+"'E4!)32"</f>
        <v>#VALUE!</v>
      </c>
      <c r="CS190" t="e">
        <f>Nodes!U1567+"'E4!)33"</f>
        <v>#VALUE!</v>
      </c>
      <c r="CT190" t="e">
        <f>Nodes!V1567+"'E4!)34"</f>
        <v>#VALUE!</v>
      </c>
      <c r="CU190" t="e">
        <f>Nodes!W1567+"'E4!)35"</f>
        <v>#VALUE!</v>
      </c>
      <c r="CV190" t="e">
        <f>Nodes!X1567+"'E4!)36"</f>
        <v>#VALUE!</v>
      </c>
      <c r="CW190" t="e">
        <f>Nodes!Y1567+"'E4!)37"</f>
        <v>#VALUE!</v>
      </c>
      <c r="CX190" t="e">
        <f>Nodes!Z1567+"'E4!)38"</f>
        <v>#VALUE!</v>
      </c>
      <c r="CY190" t="e">
        <f>Nodes!AA1567+"'E4!)39"</f>
        <v>#VALUE!</v>
      </c>
      <c r="CZ190" t="e">
        <f>Nodes!AB1567+"'E4!)3:"</f>
        <v>#VALUE!</v>
      </c>
      <c r="DA190" t="e">
        <f>Nodes!AC1567+"'E4!)3;"</f>
        <v>#VALUE!</v>
      </c>
      <c r="DB190" t="e">
        <f>Nodes!A1568+"'E4!)3&lt;"</f>
        <v>#VALUE!</v>
      </c>
      <c r="DC190" t="e">
        <f>Nodes!B1568+"'E4!)3="</f>
        <v>#VALUE!</v>
      </c>
      <c r="DD190" t="e">
        <f>Nodes!C1568+"'E4!)3&gt;"</f>
        <v>#VALUE!</v>
      </c>
      <c r="DE190" t="e">
        <f>Nodes!D1568+"'E4!)3?"</f>
        <v>#VALUE!</v>
      </c>
      <c r="DF190" t="e">
        <f>Nodes!E1568+"'E4!)3@"</f>
        <v>#VALUE!</v>
      </c>
      <c r="DG190" t="e">
        <f>Nodes!F1568+"'E4!)3A"</f>
        <v>#VALUE!</v>
      </c>
      <c r="DH190" t="e">
        <f>Nodes!G1568+"'E4!)3B"</f>
        <v>#VALUE!</v>
      </c>
      <c r="DI190" t="e">
        <f>Nodes!H1568+"'E4!)3C"</f>
        <v>#VALUE!</v>
      </c>
      <c r="DJ190" t="e">
        <f>Nodes!I1568+"'E4!)3D"</f>
        <v>#VALUE!</v>
      </c>
      <c r="DK190" t="e">
        <f>Nodes!J1568+"'E4!)3E"</f>
        <v>#VALUE!</v>
      </c>
      <c r="DL190" t="e">
        <f>Nodes!K1568+"'E4!)3F"</f>
        <v>#VALUE!</v>
      </c>
      <c r="DM190" t="e">
        <f>Nodes!L1568+"'E4!)3G"</f>
        <v>#VALUE!</v>
      </c>
      <c r="DN190" t="e">
        <f>Nodes!M1568+"'E4!)3H"</f>
        <v>#VALUE!</v>
      </c>
      <c r="DO190" t="e">
        <f>Nodes!N1568+"'E4!)3I"</f>
        <v>#VALUE!</v>
      </c>
      <c r="DP190" t="e">
        <f>Nodes!O1568+"'E4!)3J"</f>
        <v>#VALUE!</v>
      </c>
      <c r="DQ190" t="e">
        <f>Nodes!P1568+"'E4!)3K"</f>
        <v>#VALUE!</v>
      </c>
      <c r="DR190" t="e">
        <f>Nodes!Q1568+"'E4!)3L"</f>
        <v>#VALUE!</v>
      </c>
      <c r="DS190" t="e">
        <f>Nodes!R1568+"'E4!)3M"</f>
        <v>#VALUE!</v>
      </c>
      <c r="DT190" t="e">
        <f>Nodes!S1568+"'E4!)3N"</f>
        <v>#VALUE!</v>
      </c>
      <c r="DU190" t="e">
        <f>Nodes!T1568+"'E4!)3O"</f>
        <v>#VALUE!</v>
      </c>
      <c r="DV190" t="e">
        <f>Nodes!U1568+"'E4!)3P"</f>
        <v>#VALUE!</v>
      </c>
      <c r="DW190" t="e">
        <f>Nodes!V1568+"'E4!)3Q"</f>
        <v>#VALUE!</v>
      </c>
      <c r="DX190" t="e">
        <f>Nodes!W1568+"'E4!)3R"</f>
        <v>#VALUE!</v>
      </c>
      <c r="DY190" t="e">
        <f>Nodes!X1568+"'E4!)3S"</f>
        <v>#VALUE!</v>
      </c>
      <c r="DZ190" t="e">
        <f>Nodes!Y1568+"'E4!)3T"</f>
        <v>#VALUE!</v>
      </c>
      <c r="EA190" t="e">
        <f>Nodes!Z1568+"'E4!)3U"</f>
        <v>#VALUE!</v>
      </c>
      <c r="EB190" t="e">
        <f>Nodes!AA1568+"'E4!)3V"</f>
        <v>#VALUE!</v>
      </c>
      <c r="EC190" t="e">
        <f>Nodes!AB1568+"'E4!)3W"</f>
        <v>#VALUE!</v>
      </c>
      <c r="ED190" t="e">
        <f>Nodes!AC1568+"'E4!)3X"</f>
        <v>#VALUE!</v>
      </c>
      <c r="EE190" t="e">
        <f>Nodes!A1569+"'E4!)3Y"</f>
        <v>#VALUE!</v>
      </c>
      <c r="EF190" t="e">
        <f>Nodes!B1569+"'E4!)3Z"</f>
        <v>#VALUE!</v>
      </c>
      <c r="EG190" t="e">
        <f>Nodes!C1569+"'E4!)3["</f>
        <v>#VALUE!</v>
      </c>
      <c r="EH190" t="e">
        <f>Nodes!D1569+"'E4!)3\"</f>
        <v>#VALUE!</v>
      </c>
      <c r="EI190" t="e">
        <f>Nodes!E1569+"'E4!)3]"</f>
        <v>#VALUE!</v>
      </c>
      <c r="EJ190" t="e">
        <f>Nodes!F1569+"'E4!)3^"</f>
        <v>#VALUE!</v>
      </c>
      <c r="EK190" t="e">
        <f>Nodes!G1569+"'E4!)3_"</f>
        <v>#VALUE!</v>
      </c>
      <c r="EL190" t="e">
        <f>Nodes!H1569+"'E4!)3`"</f>
        <v>#VALUE!</v>
      </c>
      <c r="EM190" t="e">
        <f>Nodes!I1569+"'E4!)3a"</f>
        <v>#VALUE!</v>
      </c>
      <c r="EN190" t="e">
        <f>Nodes!J1569+"'E4!)3b"</f>
        <v>#VALUE!</v>
      </c>
      <c r="EO190" t="e">
        <f>Nodes!K1569+"'E4!)3c"</f>
        <v>#VALUE!</v>
      </c>
      <c r="EP190" t="e">
        <f>Nodes!L1569+"'E4!)3d"</f>
        <v>#VALUE!</v>
      </c>
      <c r="EQ190" t="e">
        <f>Nodes!M1569+"'E4!)3e"</f>
        <v>#VALUE!</v>
      </c>
      <c r="ER190" t="e">
        <f>Nodes!N1569+"'E4!)3f"</f>
        <v>#VALUE!</v>
      </c>
      <c r="ES190" t="e">
        <f>Nodes!O1569+"'E4!)3g"</f>
        <v>#VALUE!</v>
      </c>
      <c r="ET190" t="e">
        <f>Nodes!P1569+"'E4!)3h"</f>
        <v>#VALUE!</v>
      </c>
      <c r="EU190" t="e">
        <f>Nodes!Q1569+"'E4!)3i"</f>
        <v>#VALUE!</v>
      </c>
      <c r="EV190" t="e">
        <f>Nodes!R1569+"'E4!)3j"</f>
        <v>#VALUE!</v>
      </c>
      <c r="EW190" t="e">
        <f>Nodes!S1569+"'E4!)3k"</f>
        <v>#VALUE!</v>
      </c>
      <c r="EX190" t="e">
        <f>Nodes!T1569+"'E4!)3l"</f>
        <v>#VALUE!</v>
      </c>
      <c r="EY190" t="e">
        <f>Nodes!U1569+"'E4!)3m"</f>
        <v>#VALUE!</v>
      </c>
      <c r="EZ190" t="e">
        <f>Nodes!V1569+"'E4!)3n"</f>
        <v>#VALUE!</v>
      </c>
      <c r="FA190" t="e">
        <f>Nodes!W1569+"'E4!)3o"</f>
        <v>#VALUE!</v>
      </c>
      <c r="FB190" t="e">
        <f>Nodes!X1569+"'E4!)3p"</f>
        <v>#VALUE!</v>
      </c>
      <c r="FC190" t="e">
        <f>Nodes!Y1569+"'E4!)3q"</f>
        <v>#VALUE!</v>
      </c>
      <c r="FD190" t="e">
        <f>Nodes!Z1569+"'E4!)3r"</f>
        <v>#VALUE!</v>
      </c>
      <c r="FE190" t="e">
        <f>Nodes!AA1569+"'E4!)3s"</f>
        <v>#VALUE!</v>
      </c>
      <c r="FF190" t="e">
        <f>Nodes!AB1569+"'E4!)3t"</f>
        <v>#VALUE!</v>
      </c>
      <c r="FG190" t="e">
        <f>Nodes!AC1569+"'E4!)3u"</f>
        <v>#VALUE!</v>
      </c>
      <c r="FH190" t="e">
        <f>Nodes!A1570+"'E4!)3v"</f>
        <v>#VALUE!</v>
      </c>
      <c r="FI190" t="e">
        <f>Nodes!B1570+"'E4!)3w"</f>
        <v>#VALUE!</v>
      </c>
      <c r="FJ190" t="e">
        <f>Nodes!C1570+"'E4!)3x"</f>
        <v>#VALUE!</v>
      </c>
      <c r="FK190" t="e">
        <f>Nodes!D1570+"'E4!)3y"</f>
        <v>#VALUE!</v>
      </c>
      <c r="FL190" t="e">
        <f>Nodes!E1570+"'E4!)3z"</f>
        <v>#VALUE!</v>
      </c>
      <c r="FM190" t="e">
        <f>Nodes!F1570+"'E4!)3{"</f>
        <v>#VALUE!</v>
      </c>
      <c r="FN190" t="e">
        <f>Nodes!G1570+"'E4!)3|"</f>
        <v>#VALUE!</v>
      </c>
      <c r="FO190" t="e">
        <f>Nodes!H1570+"'E4!)3}"</f>
        <v>#VALUE!</v>
      </c>
      <c r="FP190" t="e">
        <f>Nodes!I1570+"'E4!)3~"</f>
        <v>#VALUE!</v>
      </c>
      <c r="FQ190" t="e">
        <f>Nodes!J1570+"'E4!)4#"</f>
        <v>#VALUE!</v>
      </c>
      <c r="FR190" t="e">
        <f>Nodes!K1570+"'E4!)4$"</f>
        <v>#VALUE!</v>
      </c>
      <c r="FS190" t="e">
        <f>Nodes!L1570+"'E4!)4%"</f>
        <v>#VALUE!</v>
      </c>
      <c r="FT190" t="e">
        <f>Nodes!M1570+"'E4!)4&amp;"</f>
        <v>#VALUE!</v>
      </c>
      <c r="FU190" t="e">
        <f>Nodes!N1570+"'E4!)4'"</f>
        <v>#VALUE!</v>
      </c>
      <c r="FV190" t="e">
        <f>Nodes!O1570+"'E4!)4("</f>
        <v>#VALUE!</v>
      </c>
      <c r="FW190" t="e">
        <f>Nodes!P1570+"'E4!)4)"</f>
        <v>#VALUE!</v>
      </c>
      <c r="FX190" t="e">
        <f>Nodes!Q1570+"'E4!)4."</f>
        <v>#VALUE!</v>
      </c>
      <c r="FY190" t="e">
        <f>Nodes!R1570+"'E4!)4/"</f>
        <v>#VALUE!</v>
      </c>
      <c r="FZ190" t="e">
        <f>Nodes!S1570+"'E4!)40"</f>
        <v>#VALUE!</v>
      </c>
      <c r="GA190" t="e">
        <f>Nodes!T1570+"'E4!)41"</f>
        <v>#VALUE!</v>
      </c>
      <c r="GB190" t="e">
        <f>Nodes!U1570+"'E4!)42"</f>
        <v>#VALUE!</v>
      </c>
      <c r="GC190" t="e">
        <f>Nodes!V1570+"'E4!)43"</f>
        <v>#VALUE!</v>
      </c>
      <c r="GD190" t="e">
        <f>Nodes!W1570+"'E4!)44"</f>
        <v>#VALUE!</v>
      </c>
      <c r="GE190" t="e">
        <f>Nodes!X1570+"'E4!)45"</f>
        <v>#VALUE!</v>
      </c>
      <c r="GF190" t="e">
        <f>Nodes!Y1570+"'E4!)46"</f>
        <v>#VALUE!</v>
      </c>
      <c r="GG190" t="e">
        <f>Nodes!Z1570+"'E4!)47"</f>
        <v>#VALUE!</v>
      </c>
      <c r="GH190" t="e">
        <f>Nodes!AA1570+"'E4!)48"</f>
        <v>#VALUE!</v>
      </c>
      <c r="GI190" t="e">
        <f>Nodes!AB1570+"'E4!)49"</f>
        <v>#VALUE!</v>
      </c>
      <c r="GJ190" t="e">
        <f>Nodes!AC1570+"'E4!)4:"</f>
        <v>#VALUE!</v>
      </c>
      <c r="GK190" t="e">
        <f>Nodes!A1571+"'E4!)4;"</f>
        <v>#VALUE!</v>
      </c>
      <c r="GL190" t="e">
        <f>Nodes!B1571+"'E4!)4&lt;"</f>
        <v>#VALUE!</v>
      </c>
      <c r="GM190" t="e">
        <f>Nodes!C1571+"'E4!)4="</f>
        <v>#VALUE!</v>
      </c>
      <c r="GN190" t="e">
        <f>Nodes!D1571+"'E4!)4&gt;"</f>
        <v>#VALUE!</v>
      </c>
      <c r="GO190" t="e">
        <f>Nodes!E1571+"'E4!)4?"</f>
        <v>#VALUE!</v>
      </c>
      <c r="GP190" t="e">
        <f>Nodes!F1571+"'E4!)4@"</f>
        <v>#VALUE!</v>
      </c>
      <c r="GQ190" t="e">
        <f>Nodes!G1571+"'E4!)4A"</f>
        <v>#VALUE!</v>
      </c>
      <c r="GR190" t="e">
        <f>Nodes!H1571+"'E4!)4B"</f>
        <v>#VALUE!</v>
      </c>
      <c r="GS190" t="e">
        <f>Nodes!I1571+"'E4!)4C"</f>
        <v>#VALUE!</v>
      </c>
      <c r="GT190" t="e">
        <f>Nodes!J1571+"'E4!)4D"</f>
        <v>#VALUE!</v>
      </c>
      <c r="GU190" t="e">
        <f>Nodes!K1571+"'E4!)4E"</f>
        <v>#VALUE!</v>
      </c>
      <c r="GV190" t="e">
        <f>Nodes!L1571+"'E4!)4F"</f>
        <v>#VALUE!</v>
      </c>
      <c r="GW190" t="e">
        <f>Nodes!M1571+"'E4!)4G"</f>
        <v>#VALUE!</v>
      </c>
      <c r="GX190" t="e">
        <f>Nodes!N1571+"'E4!)4H"</f>
        <v>#VALUE!</v>
      </c>
      <c r="GY190" t="e">
        <f>Nodes!O1571+"'E4!)4I"</f>
        <v>#VALUE!</v>
      </c>
      <c r="GZ190" t="e">
        <f>Nodes!P1571+"'E4!)4J"</f>
        <v>#VALUE!</v>
      </c>
      <c r="HA190" t="e">
        <f>Nodes!Q1571+"'E4!)4K"</f>
        <v>#VALUE!</v>
      </c>
      <c r="HB190" t="e">
        <f>Nodes!R1571+"'E4!)4L"</f>
        <v>#VALUE!</v>
      </c>
      <c r="HC190" t="e">
        <f>Nodes!S1571+"'E4!)4M"</f>
        <v>#VALUE!</v>
      </c>
      <c r="HD190" t="e">
        <f>Nodes!T1571+"'E4!)4N"</f>
        <v>#VALUE!</v>
      </c>
      <c r="HE190" t="e">
        <f>Nodes!U1571+"'E4!)4O"</f>
        <v>#VALUE!</v>
      </c>
      <c r="HF190" t="e">
        <f>Nodes!V1571+"'E4!)4P"</f>
        <v>#VALUE!</v>
      </c>
      <c r="HG190" t="e">
        <f>Nodes!W1571+"'E4!)4Q"</f>
        <v>#VALUE!</v>
      </c>
      <c r="HH190" t="e">
        <f>Nodes!X1571+"'E4!)4R"</f>
        <v>#VALUE!</v>
      </c>
      <c r="HI190" t="e">
        <f>Nodes!Y1571+"'E4!)4S"</f>
        <v>#VALUE!</v>
      </c>
      <c r="HJ190" t="e">
        <f>Nodes!Z1571+"'E4!)4T"</f>
        <v>#VALUE!</v>
      </c>
      <c r="HK190" t="e">
        <f>Nodes!AA1571+"'E4!)4U"</f>
        <v>#VALUE!</v>
      </c>
      <c r="HL190" t="e">
        <f>Nodes!AB1571+"'E4!)4V"</f>
        <v>#VALUE!</v>
      </c>
      <c r="HM190" t="e">
        <f>Nodes!AC1571+"'E4!)4W"</f>
        <v>#VALUE!</v>
      </c>
      <c r="HN190" t="e">
        <f>Nodes!A1572+"'E4!)4X"</f>
        <v>#VALUE!</v>
      </c>
      <c r="HO190" t="e">
        <f>Nodes!B1572+"'E4!)4Y"</f>
        <v>#VALUE!</v>
      </c>
      <c r="HP190" t="e">
        <f>Nodes!C1572+"'E4!)4Z"</f>
        <v>#VALUE!</v>
      </c>
      <c r="HQ190" t="e">
        <f>Nodes!D1572+"'E4!)4["</f>
        <v>#VALUE!</v>
      </c>
      <c r="HR190" t="e">
        <f>Nodes!E1572+"'E4!)4\"</f>
        <v>#VALUE!</v>
      </c>
      <c r="HS190" t="e">
        <f>Nodes!F1572+"'E4!)4]"</f>
        <v>#VALUE!</v>
      </c>
      <c r="HT190" t="e">
        <f>Nodes!G1572+"'E4!)4^"</f>
        <v>#VALUE!</v>
      </c>
      <c r="HU190" t="e">
        <f>Nodes!H1572+"'E4!)4_"</f>
        <v>#VALUE!</v>
      </c>
      <c r="HV190" t="e">
        <f>Nodes!I1572+"'E4!)4`"</f>
        <v>#VALUE!</v>
      </c>
      <c r="HW190" t="e">
        <f>Nodes!J1572+"'E4!)4a"</f>
        <v>#VALUE!</v>
      </c>
      <c r="HX190" t="e">
        <f>Nodes!K1572+"'E4!)4b"</f>
        <v>#VALUE!</v>
      </c>
      <c r="HY190" t="e">
        <f>Nodes!L1572+"'E4!)4c"</f>
        <v>#VALUE!</v>
      </c>
      <c r="HZ190" t="e">
        <f>Nodes!M1572+"'E4!)4d"</f>
        <v>#VALUE!</v>
      </c>
      <c r="IA190" t="e">
        <f>Nodes!N1572+"'E4!)4e"</f>
        <v>#VALUE!</v>
      </c>
      <c r="IB190" t="e">
        <f>Nodes!O1572+"'E4!)4f"</f>
        <v>#VALUE!</v>
      </c>
      <c r="IC190" t="e">
        <f>Nodes!P1572+"'E4!)4g"</f>
        <v>#VALUE!</v>
      </c>
      <c r="ID190" t="e">
        <f>Nodes!Q1572+"'E4!)4h"</f>
        <v>#VALUE!</v>
      </c>
      <c r="IE190" t="e">
        <f>Nodes!R1572+"'E4!)4i"</f>
        <v>#VALUE!</v>
      </c>
      <c r="IF190" t="e">
        <f>Nodes!S1572+"'E4!)4j"</f>
        <v>#VALUE!</v>
      </c>
      <c r="IG190" t="e">
        <f>Nodes!T1572+"'E4!)4k"</f>
        <v>#VALUE!</v>
      </c>
      <c r="IH190" t="e">
        <f>Nodes!U1572+"'E4!)4l"</f>
        <v>#VALUE!</v>
      </c>
      <c r="II190" t="e">
        <f>Nodes!V1572+"'E4!)4m"</f>
        <v>#VALUE!</v>
      </c>
      <c r="IJ190" t="e">
        <f>Nodes!W1572+"'E4!)4n"</f>
        <v>#VALUE!</v>
      </c>
      <c r="IK190" t="e">
        <f>Nodes!X1572+"'E4!)4o"</f>
        <v>#VALUE!</v>
      </c>
      <c r="IL190" t="e">
        <f>Nodes!Y1572+"'E4!)4p"</f>
        <v>#VALUE!</v>
      </c>
      <c r="IM190" t="e">
        <f>Nodes!Z1572+"'E4!)4q"</f>
        <v>#VALUE!</v>
      </c>
      <c r="IN190" t="e">
        <f>Nodes!AA1572+"'E4!)4r"</f>
        <v>#VALUE!</v>
      </c>
      <c r="IO190" t="e">
        <f>Nodes!AB1572+"'E4!)4s"</f>
        <v>#VALUE!</v>
      </c>
      <c r="IP190" t="e">
        <f>Nodes!AC1572+"'E4!)4t"</f>
        <v>#VALUE!</v>
      </c>
      <c r="IQ190" t="e">
        <f>Nodes!A1573+"'E4!)4u"</f>
        <v>#VALUE!</v>
      </c>
      <c r="IR190" t="e">
        <f>Nodes!B1573+"'E4!)4v"</f>
        <v>#VALUE!</v>
      </c>
      <c r="IS190" t="e">
        <f>Nodes!C1573+"'E4!)4w"</f>
        <v>#VALUE!</v>
      </c>
      <c r="IT190" t="e">
        <f>Nodes!D1573+"'E4!)4x"</f>
        <v>#VALUE!</v>
      </c>
      <c r="IU190" t="e">
        <f>Nodes!E1573+"'E4!)4y"</f>
        <v>#VALUE!</v>
      </c>
      <c r="IV190" t="e">
        <f>Nodes!F1573+"'E4!)4z"</f>
        <v>#VALUE!</v>
      </c>
    </row>
    <row r="191" spans="6:256">
      <c r="F191" t="e">
        <f>Nodes!G1573+"'E4!)4{"</f>
        <v>#VALUE!</v>
      </c>
      <c r="G191" t="e">
        <f>Nodes!H1573+"'E4!)4|"</f>
        <v>#VALUE!</v>
      </c>
      <c r="H191" t="e">
        <f>Nodes!I1573+"'E4!)4}"</f>
        <v>#VALUE!</v>
      </c>
      <c r="I191" t="e">
        <f>Nodes!J1573+"'E4!)4~"</f>
        <v>#VALUE!</v>
      </c>
      <c r="J191" t="e">
        <f>Nodes!K1573+"'E4!)5#"</f>
        <v>#VALUE!</v>
      </c>
      <c r="K191" t="e">
        <f>Nodes!L1573+"'E4!)5$"</f>
        <v>#VALUE!</v>
      </c>
      <c r="L191" t="e">
        <f>Nodes!M1573+"'E4!)5%"</f>
        <v>#VALUE!</v>
      </c>
      <c r="M191" t="e">
        <f>Nodes!N1573+"'E4!)5&amp;"</f>
        <v>#VALUE!</v>
      </c>
      <c r="N191" t="e">
        <f>Nodes!O1573+"'E4!)5'"</f>
        <v>#VALUE!</v>
      </c>
      <c r="O191" t="e">
        <f>Nodes!P1573+"'E4!)5("</f>
        <v>#VALUE!</v>
      </c>
      <c r="P191" t="e">
        <f>Nodes!Q1573+"'E4!)5)"</f>
        <v>#VALUE!</v>
      </c>
      <c r="Q191" t="e">
        <f>Nodes!R1573+"'E4!)5."</f>
        <v>#VALUE!</v>
      </c>
      <c r="R191" t="e">
        <f>Nodes!S1573+"'E4!)5/"</f>
        <v>#VALUE!</v>
      </c>
      <c r="S191" t="e">
        <f>Nodes!T1573+"'E4!)50"</f>
        <v>#VALUE!</v>
      </c>
      <c r="T191" t="e">
        <f>Nodes!U1573+"'E4!)51"</f>
        <v>#VALUE!</v>
      </c>
      <c r="U191" t="e">
        <f>Nodes!V1573+"'E4!)52"</f>
        <v>#VALUE!</v>
      </c>
      <c r="V191" t="e">
        <f>Nodes!W1573+"'E4!)53"</f>
        <v>#VALUE!</v>
      </c>
      <c r="W191" t="e">
        <f>Nodes!X1573+"'E4!)54"</f>
        <v>#VALUE!</v>
      </c>
      <c r="X191" t="e">
        <f>Nodes!Y1573+"'E4!)55"</f>
        <v>#VALUE!</v>
      </c>
      <c r="Y191" t="e">
        <f>Nodes!Z1573+"'E4!)56"</f>
        <v>#VALUE!</v>
      </c>
      <c r="Z191" t="e">
        <f>Nodes!AA1573+"'E4!)57"</f>
        <v>#VALUE!</v>
      </c>
      <c r="AA191" t="e">
        <f>Nodes!AB1573+"'E4!)58"</f>
        <v>#VALUE!</v>
      </c>
      <c r="AB191" t="e">
        <f>Nodes!AC1573+"'E4!)59"</f>
        <v>#VALUE!</v>
      </c>
      <c r="AC191" t="e">
        <f>Nodes!A1574+"'E4!)5:"</f>
        <v>#VALUE!</v>
      </c>
      <c r="AD191" t="e">
        <f>Nodes!B1574+"'E4!)5;"</f>
        <v>#VALUE!</v>
      </c>
      <c r="AE191" t="e">
        <f>Nodes!C1574+"'E4!)5&lt;"</f>
        <v>#VALUE!</v>
      </c>
      <c r="AF191" t="e">
        <f>Nodes!D1574+"'E4!)5="</f>
        <v>#VALUE!</v>
      </c>
      <c r="AG191" t="e">
        <f>Nodes!E1574+"'E4!)5&gt;"</f>
        <v>#VALUE!</v>
      </c>
      <c r="AH191" t="e">
        <f>Nodes!F1574+"'E4!)5?"</f>
        <v>#VALUE!</v>
      </c>
      <c r="AI191" t="e">
        <f>Nodes!G1574+"'E4!)5@"</f>
        <v>#VALUE!</v>
      </c>
      <c r="AJ191" t="e">
        <f>Nodes!H1574+"'E4!)5A"</f>
        <v>#VALUE!</v>
      </c>
      <c r="AK191" t="e">
        <f>Nodes!I1574+"'E4!)5B"</f>
        <v>#VALUE!</v>
      </c>
      <c r="AL191" t="e">
        <f>Nodes!J1574+"'E4!)5C"</f>
        <v>#VALUE!</v>
      </c>
      <c r="AM191" t="e">
        <f>Nodes!K1574+"'E4!)5D"</f>
        <v>#VALUE!</v>
      </c>
      <c r="AN191" t="e">
        <f>Nodes!L1574+"'E4!)5E"</f>
        <v>#VALUE!</v>
      </c>
      <c r="AO191" t="e">
        <f>Nodes!M1574+"'E4!)5F"</f>
        <v>#VALUE!</v>
      </c>
      <c r="AP191" t="e">
        <f>Nodes!N1574+"'E4!)5G"</f>
        <v>#VALUE!</v>
      </c>
      <c r="AQ191" t="e">
        <f>Nodes!O1574+"'E4!)5H"</f>
        <v>#VALUE!</v>
      </c>
      <c r="AR191" t="e">
        <f>Nodes!P1574+"'E4!)5I"</f>
        <v>#VALUE!</v>
      </c>
      <c r="AS191" t="e">
        <f>Nodes!Q1574+"'E4!)5J"</f>
        <v>#VALUE!</v>
      </c>
      <c r="AT191" t="e">
        <f>Nodes!R1574+"'E4!)5K"</f>
        <v>#VALUE!</v>
      </c>
      <c r="AU191" t="e">
        <f>Nodes!S1574+"'E4!)5L"</f>
        <v>#VALUE!</v>
      </c>
      <c r="AV191" t="e">
        <f>Nodes!T1574+"'E4!)5M"</f>
        <v>#VALUE!</v>
      </c>
      <c r="AW191" t="e">
        <f>Nodes!U1574+"'E4!)5N"</f>
        <v>#VALUE!</v>
      </c>
      <c r="AX191" t="e">
        <f>Nodes!V1574+"'E4!)5O"</f>
        <v>#VALUE!</v>
      </c>
      <c r="AY191" t="e">
        <f>Nodes!W1574+"'E4!)5P"</f>
        <v>#VALUE!</v>
      </c>
      <c r="AZ191" t="e">
        <f>Nodes!X1574+"'E4!)5Q"</f>
        <v>#VALUE!</v>
      </c>
      <c r="BA191" t="e">
        <f>Nodes!Y1574+"'E4!)5R"</f>
        <v>#VALUE!</v>
      </c>
      <c r="BB191" t="e">
        <f>Nodes!Z1574+"'E4!)5S"</f>
        <v>#VALUE!</v>
      </c>
      <c r="BC191" t="e">
        <f>Nodes!AA1574+"'E4!)5T"</f>
        <v>#VALUE!</v>
      </c>
      <c r="BD191" t="e">
        <f>Nodes!AB1574+"'E4!)5U"</f>
        <v>#VALUE!</v>
      </c>
      <c r="BE191" t="e">
        <f>Nodes!AC1574+"'E4!)5V"</f>
        <v>#VALUE!</v>
      </c>
      <c r="BF191" t="e">
        <f>Nodes!A1575+"'E4!)5W"</f>
        <v>#VALUE!</v>
      </c>
      <c r="BG191" t="e">
        <f>Nodes!B1575+"'E4!)5X"</f>
        <v>#VALUE!</v>
      </c>
      <c r="BH191" t="e">
        <f>Nodes!C1575+"'E4!)5Y"</f>
        <v>#VALUE!</v>
      </c>
      <c r="BI191" t="e">
        <f>Nodes!D1575+"'E4!)5Z"</f>
        <v>#VALUE!</v>
      </c>
      <c r="BJ191" t="e">
        <f>Nodes!E1575+"'E4!)5["</f>
        <v>#VALUE!</v>
      </c>
      <c r="BK191" t="e">
        <f>Nodes!F1575+"'E4!)5\"</f>
        <v>#VALUE!</v>
      </c>
      <c r="BL191" t="e">
        <f>Nodes!G1575+"'E4!)5]"</f>
        <v>#VALUE!</v>
      </c>
      <c r="BM191" t="e">
        <f>Nodes!H1575+"'E4!)5^"</f>
        <v>#VALUE!</v>
      </c>
      <c r="BN191" t="e">
        <f>Nodes!I1575+"'E4!)5_"</f>
        <v>#VALUE!</v>
      </c>
      <c r="BO191" t="e">
        <f>Nodes!J1575+"'E4!)5`"</f>
        <v>#VALUE!</v>
      </c>
      <c r="BP191" t="e">
        <f>Nodes!K1575+"'E4!)5a"</f>
        <v>#VALUE!</v>
      </c>
      <c r="BQ191" t="e">
        <f>Nodes!L1575+"'E4!)5b"</f>
        <v>#VALUE!</v>
      </c>
      <c r="BR191" t="e">
        <f>Nodes!M1575+"'E4!)5c"</f>
        <v>#VALUE!</v>
      </c>
      <c r="BS191" t="e">
        <f>Nodes!N1575+"'E4!)5d"</f>
        <v>#VALUE!</v>
      </c>
      <c r="BT191" t="e">
        <f>Nodes!O1575+"'E4!)5e"</f>
        <v>#VALUE!</v>
      </c>
      <c r="BU191" t="e">
        <f>Nodes!P1575+"'E4!)5f"</f>
        <v>#VALUE!</v>
      </c>
      <c r="BV191" t="e">
        <f>Nodes!Q1575+"'E4!)5g"</f>
        <v>#VALUE!</v>
      </c>
      <c r="BW191" t="e">
        <f>Nodes!R1575+"'E4!)5h"</f>
        <v>#VALUE!</v>
      </c>
      <c r="BX191" t="e">
        <f>Nodes!S1575+"'E4!)5i"</f>
        <v>#VALUE!</v>
      </c>
      <c r="BY191" t="e">
        <f>Nodes!T1575+"'E4!)5j"</f>
        <v>#VALUE!</v>
      </c>
      <c r="BZ191" t="e">
        <f>Nodes!U1575+"'E4!)5k"</f>
        <v>#VALUE!</v>
      </c>
      <c r="CA191" t="e">
        <f>Nodes!V1575+"'E4!)5l"</f>
        <v>#VALUE!</v>
      </c>
      <c r="CB191" t="e">
        <f>Nodes!W1575+"'E4!)5m"</f>
        <v>#VALUE!</v>
      </c>
      <c r="CC191" t="e">
        <f>Nodes!X1575+"'E4!)5n"</f>
        <v>#VALUE!</v>
      </c>
      <c r="CD191" t="e">
        <f>Nodes!Y1575+"'E4!)5o"</f>
        <v>#VALUE!</v>
      </c>
      <c r="CE191" t="e">
        <f>Nodes!Z1575+"'E4!)5p"</f>
        <v>#VALUE!</v>
      </c>
      <c r="CF191" t="e">
        <f>Nodes!AA1575+"'E4!)5q"</f>
        <v>#VALUE!</v>
      </c>
      <c r="CG191" t="e">
        <f>Nodes!AB1575+"'E4!)5r"</f>
        <v>#VALUE!</v>
      </c>
      <c r="CH191" t="e">
        <f>Nodes!AC1575+"'E4!)5s"</f>
        <v>#VALUE!</v>
      </c>
      <c r="CI191" t="e">
        <f>Nodes!A1576+"'E4!)5t"</f>
        <v>#VALUE!</v>
      </c>
      <c r="CJ191" t="e">
        <f>Nodes!B1576+"'E4!)5u"</f>
        <v>#VALUE!</v>
      </c>
      <c r="CK191" t="e">
        <f>Nodes!C1576+"'E4!)5v"</f>
        <v>#VALUE!</v>
      </c>
      <c r="CL191" t="e">
        <f>Nodes!D1576+"'E4!)5w"</f>
        <v>#VALUE!</v>
      </c>
      <c r="CM191" t="e">
        <f>Nodes!E1576+"'E4!)5x"</f>
        <v>#VALUE!</v>
      </c>
      <c r="CN191" t="e">
        <f>Nodes!F1576+"'E4!)5y"</f>
        <v>#VALUE!</v>
      </c>
      <c r="CO191" t="e">
        <f>Nodes!G1576+"'E4!)5z"</f>
        <v>#VALUE!</v>
      </c>
      <c r="CP191" t="e">
        <f>Nodes!H1576+"'E4!)5{"</f>
        <v>#VALUE!</v>
      </c>
      <c r="CQ191" t="e">
        <f>Nodes!I1576+"'E4!)5|"</f>
        <v>#VALUE!</v>
      </c>
      <c r="CR191" t="e">
        <f>Nodes!J1576+"'E4!)5}"</f>
        <v>#VALUE!</v>
      </c>
      <c r="CS191" t="e">
        <f>Nodes!K1576+"'E4!)5~"</f>
        <v>#VALUE!</v>
      </c>
      <c r="CT191" t="e">
        <f>Nodes!L1576+"'E4!)6#"</f>
        <v>#VALUE!</v>
      </c>
      <c r="CU191" t="e">
        <f>Nodes!M1576+"'E4!)6$"</f>
        <v>#VALUE!</v>
      </c>
      <c r="CV191" t="e">
        <f>Nodes!N1576+"'E4!)6%"</f>
        <v>#VALUE!</v>
      </c>
      <c r="CW191" t="e">
        <f>Nodes!O1576+"'E4!)6&amp;"</f>
        <v>#VALUE!</v>
      </c>
      <c r="CX191" t="e">
        <f>Nodes!P1576+"'E4!)6'"</f>
        <v>#VALUE!</v>
      </c>
      <c r="CY191" t="e">
        <f>Nodes!Q1576+"'E4!)6("</f>
        <v>#VALUE!</v>
      </c>
      <c r="CZ191" t="e">
        <f>Nodes!R1576+"'E4!)6)"</f>
        <v>#VALUE!</v>
      </c>
      <c r="DA191" t="e">
        <f>Nodes!S1576+"'E4!)6."</f>
        <v>#VALUE!</v>
      </c>
      <c r="DB191" t="e">
        <f>Nodes!T1576+"'E4!)6/"</f>
        <v>#VALUE!</v>
      </c>
      <c r="DC191" t="e">
        <f>Nodes!U1576+"'E4!)60"</f>
        <v>#VALUE!</v>
      </c>
      <c r="DD191" t="e">
        <f>Nodes!V1576+"'E4!)61"</f>
        <v>#VALUE!</v>
      </c>
      <c r="DE191" t="e">
        <f>Nodes!W1576+"'E4!)62"</f>
        <v>#VALUE!</v>
      </c>
      <c r="DF191" t="e">
        <f>Nodes!X1576+"'E4!)63"</f>
        <v>#VALUE!</v>
      </c>
      <c r="DG191" t="e">
        <f>Nodes!Y1576+"'E4!)64"</f>
        <v>#VALUE!</v>
      </c>
      <c r="DH191" t="e">
        <f>Nodes!Z1576+"'E4!)65"</f>
        <v>#VALUE!</v>
      </c>
      <c r="DI191" t="e">
        <f>Nodes!AA1576+"'E4!)66"</f>
        <v>#VALUE!</v>
      </c>
      <c r="DJ191" t="e">
        <f>Nodes!AB1576+"'E4!)67"</f>
        <v>#VALUE!</v>
      </c>
      <c r="DK191" t="e">
        <f>Nodes!AC1576+"'E4!)68"</f>
        <v>#VALUE!</v>
      </c>
      <c r="DL191" t="e">
        <f>Nodes!A1577+"'E4!)69"</f>
        <v>#VALUE!</v>
      </c>
      <c r="DM191" t="e">
        <f>Nodes!B1577+"'E4!)6:"</f>
        <v>#VALUE!</v>
      </c>
      <c r="DN191" t="e">
        <f>Nodes!C1577+"'E4!)6;"</f>
        <v>#VALUE!</v>
      </c>
      <c r="DO191" t="e">
        <f>Nodes!D1577+"'E4!)6&lt;"</f>
        <v>#VALUE!</v>
      </c>
      <c r="DP191" t="e">
        <f>Nodes!E1577+"'E4!)6="</f>
        <v>#VALUE!</v>
      </c>
      <c r="DQ191" t="e">
        <f>Nodes!F1577+"'E4!)6&gt;"</f>
        <v>#VALUE!</v>
      </c>
      <c r="DR191" t="e">
        <f>Nodes!G1577+"'E4!)6?"</f>
        <v>#VALUE!</v>
      </c>
      <c r="DS191" t="e">
        <f>Nodes!H1577+"'E4!)6@"</f>
        <v>#VALUE!</v>
      </c>
      <c r="DT191" t="e">
        <f>Nodes!I1577+"'E4!)6A"</f>
        <v>#VALUE!</v>
      </c>
      <c r="DU191" t="e">
        <f>Nodes!J1577+"'E4!)6B"</f>
        <v>#VALUE!</v>
      </c>
      <c r="DV191" t="e">
        <f>Nodes!K1577+"'E4!)6C"</f>
        <v>#VALUE!</v>
      </c>
      <c r="DW191" t="e">
        <f>Nodes!L1577+"'E4!)6D"</f>
        <v>#VALUE!</v>
      </c>
      <c r="DX191" t="e">
        <f>Nodes!M1577+"'E4!)6E"</f>
        <v>#VALUE!</v>
      </c>
      <c r="DY191" t="e">
        <f>Nodes!N1577+"'E4!)6F"</f>
        <v>#VALUE!</v>
      </c>
      <c r="DZ191" t="e">
        <f>Nodes!O1577+"'E4!)6G"</f>
        <v>#VALUE!</v>
      </c>
      <c r="EA191" t="e">
        <f>Nodes!P1577+"'E4!)6H"</f>
        <v>#VALUE!</v>
      </c>
      <c r="EB191" t="e">
        <f>Nodes!Q1577+"'E4!)6I"</f>
        <v>#VALUE!</v>
      </c>
      <c r="EC191" t="e">
        <f>Nodes!R1577+"'E4!)6J"</f>
        <v>#VALUE!</v>
      </c>
      <c r="ED191" t="e">
        <f>Nodes!S1577+"'E4!)6K"</f>
        <v>#VALUE!</v>
      </c>
      <c r="EE191" t="e">
        <f>Nodes!T1577+"'E4!)6L"</f>
        <v>#VALUE!</v>
      </c>
      <c r="EF191" t="e">
        <f>Nodes!U1577+"'E4!)6M"</f>
        <v>#VALUE!</v>
      </c>
      <c r="EG191" t="e">
        <f>Nodes!V1577+"'E4!)6N"</f>
        <v>#VALUE!</v>
      </c>
      <c r="EH191" t="e">
        <f>Nodes!W1577+"'E4!)6O"</f>
        <v>#VALUE!</v>
      </c>
      <c r="EI191" t="e">
        <f>Nodes!X1577+"'E4!)6P"</f>
        <v>#VALUE!</v>
      </c>
      <c r="EJ191" t="e">
        <f>Nodes!Y1577+"'E4!)6Q"</f>
        <v>#VALUE!</v>
      </c>
      <c r="EK191" t="e">
        <f>Nodes!Z1577+"'E4!)6R"</f>
        <v>#VALUE!</v>
      </c>
      <c r="EL191" t="e">
        <f>Nodes!AA1577+"'E4!)6S"</f>
        <v>#VALUE!</v>
      </c>
      <c r="EM191" t="e">
        <f>Nodes!AB1577+"'E4!)6T"</f>
        <v>#VALUE!</v>
      </c>
      <c r="EN191" t="e">
        <f>Nodes!AC1577+"'E4!)6U"</f>
        <v>#VALUE!</v>
      </c>
      <c r="EO191" t="e">
        <f>Nodes!A1578+"'E4!)6V"</f>
        <v>#VALUE!</v>
      </c>
      <c r="EP191" t="e">
        <f>Nodes!B1578+"'E4!)6W"</f>
        <v>#VALUE!</v>
      </c>
      <c r="EQ191" t="e">
        <f>Nodes!C1578+"'E4!)6X"</f>
        <v>#VALUE!</v>
      </c>
      <c r="ER191" t="e">
        <f>Nodes!D1578+"'E4!)6Y"</f>
        <v>#VALUE!</v>
      </c>
      <c r="ES191" t="e">
        <f>Nodes!E1578+"'E4!)6Z"</f>
        <v>#VALUE!</v>
      </c>
      <c r="ET191" t="e">
        <f>Nodes!F1578+"'E4!)6["</f>
        <v>#VALUE!</v>
      </c>
      <c r="EU191" t="e">
        <f>Nodes!G1578+"'E4!)6\"</f>
        <v>#VALUE!</v>
      </c>
      <c r="EV191" t="e">
        <f>Nodes!H1578+"'E4!)6]"</f>
        <v>#VALUE!</v>
      </c>
      <c r="EW191" t="e">
        <f>Nodes!I1578+"'E4!)6^"</f>
        <v>#VALUE!</v>
      </c>
      <c r="EX191" t="e">
        <f>Nodes!J1578+"'E4!)6_"</f>
        <v>#VALUE!</v>
      </c>
      <c r="EY191" t="e">
        <f>Nodes!K1578+"'E4!)6`"</f>
        <v>#VALUE!</v>
      </c>
      <c r="EZ191" t="e">
        <f>Nodes!L1578+"'E4!)6a"</f>
        <v>#VALUE!</v>
      </c>
      <c r="FA191" t="e">
        <f>Nodes!M1578+"'E4!)6b"</f>
        <v>#VALUE!</v>
      </c>
      <c r="FB191" t="e">
        <f>Nodes!N1578+"'E4!)6c"</f>
        <v>#VALUE!</v>
      </c>
      <c r="FC191" t="e">
        <f>Nodes!O1578+"'E4!)6d"</f>
        <v>#VALUE!</v>
      </c>
      <c r="FD191" t="e">
        <f>Nodes!P1578+"'E4!)6e"</f>
        <v>#VALUE!</v>
      </c>
      <c r="FE191" t="e">
        <f>Nodes!Q1578+"'E4!)6f"</f>
        <v>#VALUE!</v>
      </c>
      <c r="FF191" t="e">
        <f>Nodes!R1578+"'E4!)6g"</f>
        <v>#VALUE!</v>
      </c>
      <c r="FG191" t="e">
        <f>Nodes!S1578+"'E4!)6h"</f>
        <v>#VALUE!</v>
      </c>
      <c r="FH191" t="e">
        <f>Nodes!T1578+"'E4!)6i"</f>
        <v>#VALUE!</v>
      </c>
      <c r="FI191" t="e">
        <f>Nodes!U1578+"'E4!)6j"</f>
        <v>#VALUE!</v>
      </c>
      <c r="FJ191" t="e">
        <f>Nodes!V1578+"'E4!)6k"</f>
        <v>#VALUE!</v>
      </c>
      <c r="FK191" t="e">
        <f>Nodes!W1578+"'E4!)6l"</f>
        <v>#VALUE!</v>
      </c>
      <c r="FL191" t="e">
        <f>Nodes!X1578+"'E4!)6m"</f>
        <v>#VALUE!</v>
      </c>
      <c r="FM191" t="e">
        <f>Nodes!Y1578+"'E4!)6n"</f>
        <v>#VALUE!</v>
      </c>
      <c r="FN191" t="e">
        <f>Nodes!Z1578+"'E4!)6o"</f>
        <v>#VALUE!</v>
      </c>
      <c r="FO191" t="e">
        <f>Nodes!AA1578+"'E4!)6p"</f>
        <v>#VALUE!</v>
      </c>
      <c r="FP191" t="e">
        <f>Nodes!AB1578+"'E4!)6q"</f>
        <v>#VALUE!</v>
      </c>
      <c r="FQ191" t="e">
        <f>Nodes!AC1578+"'E4!)6r"</f>
        <v>#VALUE!</v>
      </c>
      <c r="FR191" t="e">
        <f>Nodes!A1579+"'E4!)6s"</f>
        <v>#VALUE!</v>
      </c>
      <c r="FS191" t="e">
        <f>Nodes!B1579+"'E4!)6t"</f>
        <v>#VALUE!</v>
      </c>
      <c r="FT191" t="e">
        <f>Nodes!C1579+"'E4!)6u"</f>
        <v>#VALUE!</v>
      </c>
      <c r="FU191" t="e">
        <f>Nodes!D1579+"'E4!)6v"</f>
        <v>#VALUE!</v>
      </c>
      <c r="FV191" t="e">
        <f>Nodes!E1579+"'E4!)6w"</f>
        <v>#VALUE!</v>
      </c>
      <c r="FW191" t="e">
        <f>Nodes!F1579+"'E4!)6x"</f>
        <v>#VALUE!</v>
      </c>
      <c r="FX191" t="e">
        <f>Nodes!G1579+"'E4!)6y"</f>
        <v>#VALUE!</v>
      </c>
      <c r="FY191" t="e">
        <f>Nodes!H1579+"'E4!)6z"</f>
        <v>#VALUE!</v>
      </c>
      <c r="FZ191" t="e">
        <f>Nodes!I1579+"'E4!)6{"</f>
        <v>#VALUE!</v>
      </c>
      <c r="GA191" t="e">
        <f>Nodes!J1579+"'E4!)6|"</f>
        <v>#VALUE!</v>
      </c>
      <c r="GB191" t="e">
        <f>Nodes!K1579+"'E4!)6}"</f>
        <v>#VALUE!</v>
      </c>
      <c r="GC191" t="e">
        <f>Nodes!L1579+"'E4!)6~"</f>
        <v>#VALUE!</v>
      </c>
      <c r="GD191" t="e">
        <f>Nodes!M1579+"'E4!)7#"</f>
        <v>#VALUE!</v>
      </c>
      <c r="GE191" t="e">
        <f>Nodes!N1579+"'E4!)7$"</f>
        <v>#VALUE!</v>
      </c>
      <c r="GF191" t="e">
        <f>Nodes!O1579+"'E4!)7%"</f>
        <v>#VALUE!</v>
      </c>
      <c r="GG191" t="e">
        <f>Nodes!P1579+"'E4!)7&amp;"</f>
        <v>#VALUE!</v>
      </c>
      <c r="GH191" t="e">
        <f>Nodes!Q1579+"'E4!)7'"</f>
        <v>#VALUE!</v>
      </c>
      <c r="GI191" t="e">
        <f>Nodes!R1579+"'E4!)7("</f>
        <v>#VALUE!</v>
      </c>
      <c r="GJ191" t="e">
        <f>Nodes!S1579+"'E4!)7)"</f>
        <v>#VALUE!</v>
      </c>
      <c r="GK191" t="e">
        <f>Nodes!T1579+"'E4!)7."</f>
        <v>#VALUE!</v>
      </c>
      <c r="GL191" t="e">
        <f>Nodes!U1579+"'E4!)7/"</f>
        <v>#VALUE!</v>
      </c>
      <c r="GM191" t="e">
        <f>Nodes!V1579+"'E4!)70"</f>
        <v>#VALUE!</v>
      </c>
      <c r="GN191" t="e">
        <f>Nodes!W1579+"'E4!)71"</f>
        <v>#VALUE!</v>
      </c>
      <c r="GO191" t="e">
        <f>Nodes!X1579+"'E4!)72"</f>
        <v>#VALUE!</v>
      </c>
      <c r="GP191" t="e">
        <f>Nodes!Y1579+"'E4!)73"</f>
        <v>#VALUE!</v>
      </c>
      <c r="GQ191" t="e">
        <f>Nodes!Z1579+"'E4!)74"</f>
        <v>#VALUE!</v>
      </c>
      <c r="GR191" t="e">
        <f>Nodes!AA1579+"'E4!)75"</f>
        <v>#VALUE!</v>
      </c>
      <c r="GS191" t="e">
        <f>Nodes!AB1579+"'E4!)76"</f>
        <v>#VALUE!</v>
      </c>
      <c r="GT191" t="e">
        <f>Nodes!AC1579+"'E4!)77"</f>
        <v>#VALUE!</v>
      </c>
      <c r="GU191" t="e">
        <f>Nodes!A1580+"'E4!)78"</f>
        <v>#VALUE!</v>
      </c>
      <c r="GV191" t="e">
        <f>Nodes!B1580+"'E4!)79"</f>
        <v>#VALUE!</v>
      </c>
      <c r="GW191" t="e">
        <f>Nodes!C1580+"'E4!)7:"</f>
        <v>#VALUE!</v>
      </c>
      <c r="GX191" t="e">
        <f>Nodes!D1580+"'E4!)7;"</f>
        <v>#VALUE!</v>
      </c>
      <c r="GY191" t="e">
        <f>Nodes!E1580+"'E4!)7&lt;"</f>
        <v>#VALUE!</v>
      </c>
      <c r="GZ191" t="e">
        <f>Nodes!F1580+"'E4!)7="</f>
        <v>#VALUE!</v>
      </c>
      <c r="HA191" t="e">
        <f>Nodes!G1580+"'E4!)7&gt;"</f>
        <v>#VALUE!</v>
      </c>
      <c r="HB191" t="e">
        <f>Nodes!H1580+"'E4!)7?"</f>
        <v>#VALUE!</v>
      </c>
      <c r="HC191" t="e">
        <f>Nodes!I1580+"'E4!)7@"</f>
        <v>#VALUE!</v>
      </c>
      <c r="HD191" t="e">
        <f>Nodes!J1580+"'E4!)7A"</f>
        <v>#VALUE!</v>
      </c>
      <c r="HE191" t="e">
        <f>Nodes!K1580+"'E4!)7B"</f>
        <v>#VALUE!</v>
      </c>
      <c r="HF191" t="e">
        <f>Nodes!L1580+"'E4!)7C"</f>
        <v>#VALUE!</v>
      </c>
      <c r="HG191" t="e">
        <f>Nodes!M1580+"'E4!)7D"</f>
        <v>#VALUE!</v>
      </c>
      <c r="HH191" t="e">
        <f>Nodes!N1580+"'E4!)7E"</f>
        <v>#VALUE!</v>
      </c>
      <c r="HI191" t="e">
        <f>Nodes!O1580+"'E4!)7F"</f>
        <v>#VALUE!</v>
      </c>
      <c r="HJ191" t="e">
        <f>Nodes!P1580+"'E4!)7G"</f>
        <v>#VALUE!</v>
      </c>
      <c r="HK191" t="e">
        <f>Nodes!Q1580+"'E4!)7H"</f>
        <v>#VALUE!</v>
      </c>
      <c r="HL191" t="e">
        <f>Nodes!R1580+"'E4!)7I"</f>
        <v>#VALUE!</v>
      </c>
      <c r="HM191" t="e">
        <f>Nodes!S1580+"'E4!)7J"</f>
        <v>#VALUE!</v>
      </c>
      <c r="HN191" t="e">
        <f>Nodes!T1580+"'E4!)7K"</f>
        <v>#VALUE!</v>
      </c>
      <c r="HO191" t="e">
        <f>Nodes!U1580+"'E4!)7L"</f>
        <v>#VALUE!</v>
      </c>
      <c r="HP191" t="e">
        <f>Nodes!V1580+"'E4!)7M"</f>
        <v>#VALUE!</v>
      </c>
      <c r="HQ191" t="e">
        <f>Nodes!W1580+"'E4!)7N"</f>
        <v>#VALUE!</v>
      </c>
      <c r="HR191" t="e">
        <f>Nodes!X1580+"'E4!)7O"</f>
        <v>#VALUE!</v>
      </c>
      <c r="HS191" t="e">
        <f>Nodes!Y1580+"'E4!)7P"</f>
        <v>#VALUE!</v>
      </c>
      <c r="HT191" t="e">
        <f>Nodes!Z1580+"'E4!)7Q"</f>
        <v>#VALUE!</v>
      </c>
      <c r="HU191" t="e">
        <f>Nodes!AA1580+"'E4!)7R"</f>
        <v>#VALUE!</v>
      </c>
      <c r="HV191" t="e">
        <f>Nodes!AB1580+"'E4!)7S"</f>
        <v>#VALUE!</v>
      </c>
      <c r="HW191" t="e">
        <f>Nodes!AC1580+"'E4!)7T"</f>
        <v>#VALUE!</v>
      </c>
      <c r="HX191" t="e">
        <f>Nodes!A1581+"'E4!)7U"</f>
        <v>#VALUE!</v>
      </c>
      <c r="HY191" t="e">
        <f>Nodes!B1581+"'E4!)7V"</f>
        <v>#VALUE!</v>
      </c>
      <c r="HZ191" t="e">
        <f>Nodes!C1581+"'E4!)7W"</f>
        <v>#VALUE!</v>
      </c>
      <c r="IA191" t="e">
        <f>Nodes!D1581+"'E4!)7X"</f>
        <v>#VALUE!</v>
      </c>
      <c r="IB191" t="e">
        <f>Nodes!E1581+"'E4!)7Y"</f>
        <v>#VALUE!</v>
      </c>
      <c r="IC191" t="e">
        <f>Nodes!F1581+"'E4!)7Z"</f>
        <v>#VALUE!</v>
      </c>
      <c r="ID191" t="e">
        <f>Nodes!G1581+"'E4!)7["</f>
        <v>#VALUE!</v>
      </c>
      <c r="IE191" t="e">
        <f>Nodes!H1581+"'E4!)7\"</f>
        <v>#VALUE!</v>
      </c>
      <c r="IF191" t="e">
        <f>Nodes!I1581+"'E4!)7]"</f>
        <v>#VALUE!</v>
      </c>
      <c r="IG191" t="e">
        <f>Nodes!J1581+"'E4!)7^"</f>
        <v>#VALUE!</v>
      </c>
      <c r="IH191" t="e">
        <f>Nodes!K1581+"'E4!)7_"</f>
        <v>#VALUE!</v>
      </c>
      <c r="II191" t="e">
        <f>Nodes!L1581+"'E4!)7`"</f>
        <v>#VALUE!</v>
      </c>
      <c r="IJ191" t="e">
        <f>Nodes!M1581+"'E4!)7a"</f>
        <v>#VALUE!</v>
      </c>
      <c r="IK191" t="e">
        <f>Nodes!N1581+"'E4!)7b"</f>
        <v>#VALUE!</v>
      </c>
      <c r="IL191" t="e">
        <f>Nodes!O1581+"'E4!)7c"</f>
        <v>#VALUE!</v>
      </c>
      <c r="IM191" t="e">
        <f>Nodes!P1581+"'E4!)7d"</f>
        <v>#VALUE!</v>
      </c>
      <c r="IN191" t="e">
        <f>Nodes!Q1581+"'E4!)7e"</f>
        <v>#VALUE!</v>
      </c>
      <c r="IO191" t="e">
        <f>Nodes!R1581+"'E4!)7f"</f>
        <v>#VALUE!</v>
      </c>
      <c r="IP191" t="e">
        <f>Nodes!S1581+"'E4!)7g"</f>
        <v>#VALUE!</v>
      </c>
      <c r="IQ191" t="e">
        <f>Nodes!T1581+"'E4!)7h"</f>
        <v>#VALUE!</v>
      </c>
      <c r="IR191" t="e">
        <f>Nodes!U1581+"'E4!)7i"</f>
        <v>#VALUE!</v>
      </c>
      <c r="IS191" t="e">
        <f>Nodes!V1581+"'E4!)7j"</f>
        <v>#VALUE!</v>
      </c>
      <c r="IT191" t="e">
        <f>Nodes!W1581+"'E4!)7k"</f>
        <v>#VALUE!</v>
      </c>
      <c r="IU191" t="e">
        <f>Nodes!X1581+"'E4!)7l"</f>
        <v>#VALUE!</v>
      </c>
      <c r="IV191" t="e">
        <f>Nodes!Y1581+"'E4!)7m"</f>
        <v>#VALUE!</v>
      </c>
    </row>
    <row r="192" spans="6:256">
      <c r="F192" t="e">
        <f>Nodes!Z1581+"'E4!)7n"</f>
        <v>#VALUE!</v>
      </c>
      <c r="G192" t="e">
        <f>Nodes!AA1581+"'E4!)7o"</f>
        <v>#VALUE!</v>
      </c>
      <c r="H192" t="e">
        <f>Nodes!AB1581+"'E4!)7p"</f>
        <v>#VALUE!</v>
      </c>
      <c r="I192" t="e">
        <f>Nodes!AC1581+"'E4!)7q"</f>
        <v>#VALUE!</v>
      </c>
      <c r="J192" t="e">
        <f>Nodes!A1582+"'E4!)7r"</f>
        <v>#VALUE!</v>
      </c>
      <c r="K192" t="e">
        <f>Nodes!B1582+"'E4!)7s"</f>
        <v>#VALUE!</v>
      </c>
      <c r="L192" t="e">
        <f>Nodes!C1582+"'E4!)7t"</f>
        <v>#VALUE!</v>
      </c>
      <c r="M192" t="e">
        <f>Nodes!D1582+"'E4!)7u"</f>
        <v>#VALUE!</v>
      </c>
      <c r="N192" t="e">
        <f>Nodes!E1582+"'E4!)7v"</f>
        <v>#VALUE!</v>
      </c>
      <c r="O192" t="e">
        <f>Nodes!F1582+"'E4!)7w"</f>
        <v>#VALUE!</v>
      </c>
      <c r="P192" t="e">
        <f>Nodes!G1582+"'E4!)7x"</f>
        <v>#VALUE!</v>
      </c>
      <c r="Q192" t="e">
        <f>Nodes!H1582+"'E4!)7y"</f>
        <v>#VALUE!</v>
      </c>
      <c r="R192" t="e">
        <f>Nodes!I1582+"'E4!)7z"</f>
        <v>#VALUE!</v>
      </c>
      <c r="S192" t="e">
        <f>Nodes!J1582+"'E4!)7{"</f>
        <v>#VALUE!</v>
      </c>
      <c r="T192" t="e">
        <f>Nodes!K1582+"'E4!)7|"</f>
        <v>#VALUE!</v>
      </c>
      <c r="U192" t="e">
        <f>Nodes!L1582+"'E4!)7}"</f>
        <v>#VALUE!</v>
      </c>
      <c r="V192" t="e">
        <f>Nodes!M1582+"'E4!)7~"</f>
        <v>#VALUE!</v>
      </c>
      <c r="W192" t="e">
        <f>Nodes!N1582+"'E4!)8#"</f>
        <v>#VALUE!</v>
      </c>
      <c r="X192" t="e">
        <f>Nodes!O1582+"'E4!)8$"</f>
        <v>#VALUE!</v>
      </c>
      <c r="Y192" t="e">
        <f>Nodes!P1582+"'E4!)8%"</f>
        <v>#VALUE!</v>
      </c>
      <c r="Z192" t="e">
        <f>Nodes!Q1582+"'E4!)8&amp;"</f>
        <v>#VALUE!</v>
      </c>
      <c r="AA192" t="e">
        <f>Nodes!R1582+"'E4!)8'"</f>
        <v>#VALUE!</v>
      </c>
      <c r="AB192" t="e">
        <f>Nodes!S1582+"'E4!)8("</f>
        <v>#VALUE!</v>
      </c>
      <c r="AC192" t="e">
        <f>Nodes!T1582+"'E4!)8)"</f>
        <v>#VALUE!</v>
      </c>
      <c r="AD192" t="e">
        <f>Nodes!U1582+"'E4!)8."</f>
        <v>#VALUE!</v>
      </c>
      <c r="AE192" t="e">
        <f>Nodes!V1582+"'E4!)8/"</f>
        <v>#VALUE!</v>
      </c>
      <c r="AF192" t="e">
        <f>Nodes!W1582+"'E4!)80"</f>
        <v>#VALUE!</v>
      </c>
      <c r="AG192" t="e">
        <f>Nodes!X1582+"'E4!)81"</f>
        <v>#VALUE!</v>
      </c>
      <c r="AH192" t="e">
        <f>Nodes!Y1582+"'E4!)82"</f>
        <v>#VALUE!</v>
      </c>
      <c r="AI192" t="e">
        <f>Nodes!Z1582+"'E4!)83"</f>
        <v>#VALUE!</v>
      </c>
      <c r="AJ192" t="e">
        <f>Nodes!AA1582+"'E4!)84"</f>
        <v>#VALUE!</v>
      </c>
      <c r="AK192" t="e">
        <f>Nodes!AB1582+"'E4!)85"</f>
        <v>#VALUE!</v>
      </c>
      <c r="AL192" t="e">
        <f>Nodes!AC1582+"'E4!)86"</f>
        <v>#VALUE!</v>
      </c>
      <c r="AM192" t="e">
        <f>Nodes!A1583+"'E4!)87"</f>
        <v>#VALUE!</v>
      </c>
      <c r="AN192" t="e">
        <f>Nodes!B1583+"'E4!)88"</f>
        <v>#VALUE!</v>
      </c>
      <c r="AO192" t="e">
        <f>Nodes!C1583+"'E4!)89"</f>
        <v>#VALUE!</v>
      </c>
      <c r="AP192" t="e">
        <f>Nodes!D1583+"'E4!)8:"</f>
        <v>#VALUE!</v>
      </c>
      <c r="AQ192" t="e">
        <f>Nodes!E1583+"'E4!)8;"</f>
        <v>#VALUE!</v>
      </c>
      <c r="AR192" t="e">
        <f>Nodes!F1583+"'E4!)8&lt;"</f>
        <v>#VALUE!</v>
      </c>
      <c r="AS192" t="e">
        <f>Nodes!G1583+"'E4!)8="</f>
        <v>#VALUE!</v>
      </c>
      <c r="AT192" t="e">
        <f>Nodes!H1583+"'E4!)8&gt;"</f>
        <v>#VALUE!</v>
      </c>
      <c r="AU192" t="e">
        <f>Nodes!I1583+"'E4!)8?"</f>
        <v>#VALUE!</v>
      </c>
      <c r="AV192" t="e">
        <f>Nodes!J1583+"'E4!)8@"</f>
        <v>#VALUE!</v>
      </c>
      <c r="AW192" t="e">
        <f>Nodes!K1583+"'E4!)8A"</f>
        <v>#VALUE!</v>
      </c>
      <c r="AX192" t="e">
        <f>Nodes!L1583+"'E4!)8B"</f>
        <v>#VALUE!</v>
      </c>
      <c r="AY192" t="e">
        <f>Nodes!M1583+"'E4!)8C"</f>
        <v>#VALUE!</v>
      </c>
      <c r="AZ192" t="e">
        <f>Nodes!N1583+"'E4!)8D"</f>
        <v>#VALUE!</v>
      </c>
      <c r="BA192" t="e">
        <f>Nodes!O1583+"'E4!)8E"</f>
        <v>#VALUE!</v>
      </c>
      <c r="BB192" t="e">
        <f>Nodes!P1583+"'E4!)8F"</f>
        <v>#VALUE!</v>
      </c>
      <c r="BC192" t="e">
        <f>Nodes!Q1583+"'E4!)8G"</f>
        <v>#VALUE!</v>
      </c>
      <c r="BD192" t="e">
        <f>Nodes!R1583+"'E4!)8H"</f>
        <v>#VALUE!</v>
      </c>
      <c r="BE192" t="e">
        <f>Nodes!S1583+"'E4!)8I"</f>
        <v>#VALUE!</v>
      </c>
      <c r="BF192" t="e">
        <f>Nodes!T1583+"'E4!)8J"</f>
        <v>#VALUE!</v>
      </c>
      <c r="BG192" t="e">
        <f>Nodes!U1583+"'E4!)8K"</f>
        <v>#VALUE!</v>
      </c>
      <c r="BH192" t="e">
        <f>Nodes!V1583+"'E4!)8L"</f>
        <v>#VALUE!</v>
      </c>
      <c r="BI192" t="e">
        <f>Nodes!W1583+"'E4!)8M"</f>
        <v>#VALUE!</v>
      </c>
      <c r="BJ192" t="e">
        <f>Nodes!X1583+"'E4!)8N"</f>
        <v>#VALUE!</v>
      </c>
      <c r="BK192" t="e">
        <f>Nodes!Y1583+"'E4!)8O"</f>
        <v>#VALUE!</v>
      </c>
      <c r="BL192" t="e">
        <f>Nodes!Z1583+"'E4!)8P"</f>
        <v>#VALUE!</v>
      </c>
      <c r="BM192" t="e">
        <f>Nodes!AA1583+"'E4!)8Q"</f>
        <v>#VALUE!</v>
      </c>
      <c r="BN192" t="e">
        <f>Nodes!AB1583+"'E4!)8R"</f>
        <v>#VALUE!</v>
      </c>
      <c r="BO192" t="e">
        <f>Nodes!AC1583+"'E4!)8S"</f>
        <v>#VALUE!</v>
      </c>
      <c r="BP192" t="e">
        <f>Nodes!A1584+"'E4!)8T"</f>
        <v>#VALUE!</v>
      </c>
      <c r="BQ192" t="e">
        <f>Nodes!B1584+"'E4!)8U"</f>
        <v>#VALUE!</v>
      </c>
      <c r="BR192" t="e">
        <f>Nodes!C1584+"'E4!)8V"</f>
        <v>#VALUE!</v>
      </c>
      <c r="BS192" t="e">
        <f>Nodes!D1584+"'E4!)8W"</f>
        <v>#VALUE!</v>
      </c>
      <c r="BT192" t="e">
        <f>Nodes!E1584+"'E4!)8X"</f>
        <v>#VALUE!</v>
      </c>
      <c r="BU192" t="e">
        <f>Nodes!F1584+"'E4!)8Y"</f>
        <v>#VALUE!</v>
      </c>
      <c r="BV192" t="e">
        <f>Nodes!G1584+"'E4!)8Z"</f>
        <v>#VALUE!</v>
      </c>
      <c r="BW192" t="e">
        <f>Nodes!H1584+"'E4!)8["</f>
        <v>#VALUE!</v>
      </c>
      <c r="BX192" t="e">
        <f>Nodes!I1584+"'E4!)8\"</f>
        <v>#VALUE!</v>
      </c>
      <c r="BY192" t="e">
        <f>Nodes!J1584+"'E4!)8]"</f>
        <v>#VALUE!</v>
      </c>
      <c r="BZ192" t="e">
        <f>Nodes!K1584+"'E4!)8^"</f>
        <v>#VALUE!</v>
      </c>
      <c r="CA192" t="e">
        <f>Nodes!L1584+"'E4!)8_"</f>
        <v>#VALUE!</v>
      </c>
      <c r="CB192" t="e">
        <f>Nodes!M1584+"'E4!)8`"</f>
        <v>#VALUE!</v>
      </c>
      <c r="CC192" t="e">
        <f>Nodes!N1584+"'E4!)8a"</f>
        <v>#VALUE!</v>
      </c>
      <c r="CD192" t="e">
        <f>Nodes!O1584+"'E4!)8b"</f>
        <v>#VALUE!</v>
      </c>
      <c r="CE192" t="e">
        <f>Nodes!P1584+"'E4!)8c"</f>
        <v>#VALUE!</v>
      </c>
      <c r="CF192" t="e">
        <f>Nodes!Q1584+"'E4!)8d"</f>
        <v>#VALUE!</v>
      </c>
      <c r="CG192" t="e">
        <f>Nodes!R1584+"'E4!)8e"</f>
        <v>#VALUE!</v>
      </c>
      <c r="CH192" t="e">
        <f>Nodes!S1584+"'E4!)8f"</f>
        <v>#VALUE!</v>
      </c>
      <c r="CI192" t="e">
        <f>Nodes!T1584+"'E4!)8g"</f>
        <v>#VALUE!</v>
      </c>
      <c r="CJ192" t="e">
        <f>Nodes!U1584+"'E4!)8h"</f>
        <v>#VALUE!</v>
      </c>
      <c r="CK192" t="e">
        <f>Nodes!V1584+"'E4!)8i"</f>
        <v>#VALUE!</v>
      </c>
      <c r="CL192" t="e">
        <f>Nodes!W1584+"'E4!)8j"</f>
        <v>#VALUE!</v>
      </c>
      <c r="CM192" t="e">
        <f>Nodes!X1584+"'E4!)8k"</f>
        <v>#VALUE!</v>
      </c>
      <c r="CN192" t="e">
        <f>Nodes!Y1584+"'E4!)8l"</f>
        <v>#VALUE!</v>
      </c>
      <c r="CO192" t="e">
        <f>Nodes!Z1584+"'E4!)8m"</f>
        <v>#VALUE!</v>
      </c>
      <c r="CP192" t="e">
        <f>Nodes!AA1584+"'E4!)8n"</f>
        <v>#VALUE!</v>
      </c>
      <c r="CQ192" t="e">
        <f>Nodes!AB1584+"'E4!)8o"</f>
        <v>#VALUE!</v>
      </c>
      <c r="CR192" t="e">
        <f>Nodes!AC1584+"'E4!)8p"</f>
        <v>#VALUE!</v>
      </c>
      <c r="CS192" t="e">
        <f>Nodes!A1585+"'E4!)8q"</f>
        <v>#VALUE!</v>
      </c>
      <c r="CT192" t="e">
        <f>Nodes!B1585+"'E4!)8r"</f>
        <v>#VALUE!</v>
      </c>
      <c r="CU192" t="e">
        <f>Nodes!C1585+"'E4!)8s"</f>
        <v>#VALUE!</v>
      </c>
      <c r="CV192" t="e">
        <f>Nodes!D1585+"'E4!)8t"</f>
        <v>#VALUE!</v>
      </c>
      <c r="CW192" t="e">
        <f>Nodes!E1585+"'E4!)8u"</f>
        <v>#VALUE!</v>
      </c>
      <c r="CX192" t="e">
        <f>Nodes!F1585+"'E4!)8v"</f>
        <v>#VALUE!</v>
      </c>
      <c r="CY192" t="e">
        <f>Nodes!G1585+"'E4!)8w"</f>
        <v>#VALUE!</v>
      </c>
      <c r="CZ192" t="e">
        <f>Nodes!H1585+"'E4!)8x"</f>
        <v>#VALUE!</v>
      </c>
      <c r="DA192" t="e">
        <f>Nodes!I1585+"'E4!)8y"</f>
        <v>#VALUE!</v>
      </c>
      <c r="DB192" t="e">
        <f>Nodes!J1585+"'E4!)8z"</f>
        <v>#VALUE!</v>
      </c>
      <c r="DC192" t="e">
        <f>Nodes!K1585+"'E4!)8{"</f>
        <v>#VALUE!</v>
      </c>
      <c r="DD192" t="e">
        <f>Nodes!L1585+"'E4!)8|"</f>
        <v>#VALUE!</v>
      </c>
      <c r="DE192" t="e">
        <f>Nodes!M1585+"'E4!)8}"</f>
        <v>#VALUE!</v>
      </c>
      <c r="DF192" t="e">
        <f>Nodes!N1585+"'E4!)8~"</f>
        <v>#VALUE!</v>
      </c>
      <c r="DG192" t="e">
        <f>Nodes!O1585+"'E4!)9#"</f>
        <v>#VALUE!</v>
      </c>
      <c r="DH192" t="e">
        <f>Nodes!P1585+"'E4!)9$"</f>
        <v>#VALUE!</v>
      </c>
      <c r="DI192" t="e">
        <f>Nodes!Q1585+"'E4!)9%"</f>
        <v>#VALUE!</v>
      </c>
      <c r="DJ192" t="e">
        <f>Nodes!R1585+"'E4!)9&amp;"</f>
        <v>#VALUE!</v>
      </c>
      <c r="DK192" t="e">
        <f>Nodes!S1585+"'E4!)9'"</f>
        <v>#VALUE!</v>
      </c>
      <c r="DL192" t="e">
        <f>Nodes!T1585+"'E4!)9("</f>
        <v>#VALUE!</v>
      </c>
      <c r="DM192" t="e">
        <f>Nodes!U1585+"'E4!)9)"</f>
        <v>#VALUE!</v>
      </c>
      <c r="DN192" t="e">
        <f>Nodes!V1585+"'E4!)9."</f>
        <v>#VALUE!</v>
      </c>
      <c r="DO192" t="e">
        <f>Nodes!W1585+"'E4!)9/"</f>
        <v>#VALUE!</v>
      </c>
      <c r="DP192" t="e">
        <f>Nodes!X1585+"'E4!)90"</f>
        <v>#VALUE!</v>
      </c>
      <c r="DQ192" t="e">
        <f>Nodes!Y1585+"'E4!)91"</f>
        <v>#VALUE!</v>
      </c>
      <c r="DR192" t="e">
        <f>Nodes!Z1585+"'E4!)92"</f>
        <v>#VALUE!</v>
      </c>
      <c r="DS192" t="e">
        <f>Nodes!AA1585+"'E4!)93"</f>
        <v>#VALUE!</v>
      </c>
      <c r="DT192" t="e">
        <f>Nodes!AB1585+"'E4!)94"</f>
        <v>#VALUE!</v>
      </c>
      <c r="DU192" t="e">
        <f>Nodes!AC1585+"'E4!)95"</f>
        <v>#VALUE!</v>
      </c>
      <c r="DV192" t="e">
        <f>Nodes!A1586+"'E4!)96"</f>
        <v>#VALUE!</v>
      </c>
      <c r="DW192" t="e">
        <f>Nodes!B1586+"'E4!)97"</f>
        <v>#VALUE!</v>
      </c>
      <c r="DX192" t="e">
        <f>Nodes!C1586+"'E4!)98"</f>
        <v>#VALUE!</v>
      </c>
      <c r="DY192" t="e">
        <f>Nodes!D1586+"'E4!)99"</f>
        <v>#VALUE!</v>
      </c>
      <c r="DZ192" t="e">
        <f>Nodes!E1586+"'E4!)9:"</f>
        <v>#VALUE!</v>
      </c>
      <c r="EA192" t="e">
        <f>Nodes!F1586+"'E4!)9;"</f>
        <v>#VALUE!</v>
      </c>
      <c r="EB192" t="e">
        <f>Nodes!G1586+"'E4!)9&lt;"</f>
        <v>#VALUE!</v>
      </c>
      <c r="EC192" t="e">
        <f>Nodes!H1586+"'E4!)9="</f>
        <v>#VALUE!</v>
      </c>
      <c r="ED192" t="e">
        <f>Nodes!I1586+"'E4!)9&gt;"</f>
        <v>#VALUE!</v>
      </c>
      <c r="EE192" t="e">
        <f>Nodes!J1586+"'E4!)9?"</f>
        <v>#VALUE!</v>
      </c>
      <c r="EF192" t="e">
        <f>Nodes!K1586+"'E4!)9@"</f>
        <v>#VALUE!</v>
      </c>
      <c r="EG192" t="e">
        <f>Nodes!L1586+"'E4!)9A"</f>
        <v>#VALUE!</v>
      </c>
      <c r="EH192" t="e">
        <f>Nodes!M1586+"'E4!)9B"</f>
        <v>#VALUE!</v>
      </c>
      <c r="EI192" t="e">
        <f>Nodes!N1586+"'E4!)9C"</f>
        <v>#VALUE!</v>
      </c>
      <c r="EJ192" t="e">
        <f>Nodes!O1586+"'E4!)9D"</f>
        <v>#VALUE!</v>
      </c>
      <c r="EK192" t="e">
        <f>Nodes!P1586+"'E4!)9E"</f>
        <v>#VALUE!</v>
      </c>
      <c r="EL192" t="e">
        <f>Nodes!Q1586+"'E4!)9F"</f>
        <v>#VALUE!</v>
      </c>
      <c r="EM192" t="e">
        <f>Nodes!R1586+"'E4!)9G"</f>
        <v>#VALUE!</v>
      </c>
      <c r="EN192" t="e">
        <f>Nodes!S1586+"'E4!)9H"</f>
        <v>#VALUE!</v>
      </c>
      <c r="EO192" t="e">
        <f>Nodes!T1586+"'E4!)9I"</f>
        <v>#VALUE!</v>
      </c>
      <c r="EP192" t="e">
        <f>Nodes!U1586+"'E4!)9J"</f>
        <v>#VALUE!</v>
      </c>
      <c r="EQ192" t="e">
        <f>Nodes!V1586+"'E4!)9K"</f>
        <v>#VALUE!</v>
      </c>
      <c r="ER192" t="e">
        <f>Nodes!W1586+"'E4!)9L"</f>
        <v>#VALUE!</v>
      </c>
      <c r="ES192" t="e">
        <f>Nodes!X1586+"'E4!)9M"</f>
        <v>#VALUE!</v>
      </c>
      <c r="ET192" t="e">
        <f>Nodes!Y1586+"'E4!)9N"</f>
        <v>#VALUE!</v>
      </c>
      <c r="EU192" t="e">
        <f>Nodes!Z1586+"'E4!)9O"</f>
        <v>#VALUE!</v>
      </c>
      <c r="EV192" t="e">
        <f>Nodes!AA1586+"'E4!)9P"</f>
        <v>#VALUE!</v>
      </c>
      <c r="EW192" t="e">
        <f>Nodes!AB1586+"'E4!)9Q"</f>
        <v>#VALUE!</v>
      </c>
      <c r="EX192" t="e">
        <f>Nodes!AC1586+"'E4!)9R"</f>
        <v>#VALUE!</v>
      </c>
      <c r="EY192" t="e">
        <f>Nodes!A1587+"'E4!)9S"</f>
        <v>#VALUE!</v>
      </c>
      <c r="EZ192" t="e">
        <f>Nodes!B1587+"'E4!)9T"</f>
        <v>#VALUE!</v>
      </c>
      <c r="FA192" t="e">
        <f>Nodes!C1587+"'E4!)9U"</f>
        <v>#VALUE!</v>
      </c>
      <c r="FB192" t="e">
        <f>Nodes!D1587+"'E4!)9V"</f>
        <v>#VALUE!</v>
      </c>
      <c r="FC192" t="e">
        <f>Nodes!E1587+"'E4!)9W"</f>
        <v>#VALUE!</v>
      </c>
      <c r="FD192" t="e">
        <f>Nodes!F1587+"'E4!)9X"</f>
        <v>#VALUE!</v>
      </c>
      <c r="FE192" t="e">
        <f>Nodes!G1587+"'E4!)9Y"</f>
        <v>#VALUE!</v>
      </c>
      <c r="FF192" t="e">
        <f>Nodes!H1587+"'E4!)9Z"</f>
        <v>#VALUE!</v>
      </c>
      <c r="FG192" t="e">
        <f>Nodes!I1587+"'E4!)9["</f>
        <v>#VALUE!</v>
      </c>
      <c r="FH192" t="e">
        <f>Nodes!J1587+"'E4!)9\"</f>
        <v>#VALUE!</v>
      </c>
      <c r="FI192" t="e">
        <f>Nodes!K1587+"'E4!)9]"</f>
        <v>#VALUE!</v>
      </c>
      <c r="FJ192" t="e">
        <f>Nodes!L1587+"'E4!)9^"</f>
        <v>#VALUE!</v>
      </c>
      <c r="FK192" t="e">
        <f>Nodes!M1587+"'E4!)9_"</f>
        <v>#VALUE!</v>
      </c>
      <c r="FL192" t="e">
        <f>Nodes!N1587+"'E4!)9`"</f>
        <v>#VALUE!</v>
      </c>
      <c r="FM192" t="e">
        <f>Nodes!O1587+"'E4!)9a"</f>
        <v>#VALUE!</v>
      </c>
      <c r="FN192" t="e">
        <f>Nodes!P1587+"'E4!)9b"</f>
        <v>#VALUE!</v>
      </c>
      <c r="FO192" t="e">
        <f>Nodes!Q1587+"'E4!)9c"</f>
        <v>#VALUE!</v>
      </c>
      <c r="FP192" t="e">
        <f>Nodes!R1587+"'E4!)9d"</f>
        <v>#VALUE!</v>
      </c>
      <c r="FQ192" t="e">
        <f>Nodes!S1587+"'E4!)9e"</f>
        <v>#VALUE!</v>
      </c>
      <c r="FR192" t="e">
        <f>Nodes!T1587+"'E4!)9f"</f>
        <v>#VALUE!</v>
      </c>
      <c r="FS192" t="e">
        <f>Nodes!U1587+"'E4!)9g"</f>
        <v>#VALUE!</v>
      </c>
      <c r="FT192" t="e">
        <f>Nodes!V1587+"'E4!)9h"</f>
        <v>#VALUE!</v>
      </c>
      <c r="FU192" t="e">
        <f>Nodes!W1587+"'E4!)9i"</f>
        <v>#VALUE!</v>
      </c>
      <c r="FV192" t="e">
        <f>Nodes!X1587+"'E4!)9j"</f>
        <v>#VALUE!</v>
      </c>
      <c r="FW192" t="e">
        <f>Nodes!Y1587+"'E4!)9k"</f>
        <v>#VALUE!</v>
      </c>
      <c r="FX192" t="e">
        <f>Nodes!Z1587+"'E4!)9l"</f>
        <v>#VALUE!</v>
      </c>
      <c r="FY192" t="e">
        <f>Nodes!AA1587+"'E4!)9m"</f>
        <v>#VALUE!</v>
      </c>
      <c r="FZ192" t="e">
        <f>Nodes!AB1587+"'E4!)9n"</f>
        <v>#VALUE!</v>
      </c>
      <c r="GA192" t="e">
        <f>Nodes!AC1587+"'E4!)9o"</f>
        <v>#VALUE!</v>
      </c>
      <c r="GB192" t="e">
        <f>Nodes!A1588+"'E4!)9p"</f>
        <v>#VALUE!</v>
      </c>
      <c r="GC192" t="e">
        <f>Nodes!B1588+"'E4!)9q"</f>
        <v>#VALUE!</v>
      </c>
      <c r="GD192" t="e">
        <f>Nodes!C1588+"'E4!)9r"</f>
        <v>#VALUE!</v>
      </c>
      <c r="GE192" t="e">
        <f>Nodes!D1588+"'E4!)9s"</f>
        <v>#VALUE!</v>
      </c>
      <c r="GF192" t="e">
        <f>Nodes!E1588+"'E4!)9t"</f>
        <v>#VALUE!</v>
      </c>
      <c r="GG192" t="e">
        <f>Nodes!F1588+"'E4!)9u"</f>
        <v>#VALUE!</v>
      </c>
      <c r="GH192" t="e">
        <f>Nodes!G1588+"'E4!)9v"</f>
        <v>#VALUE!</v>
      </c>
      <c r="GI192" t="e">
        <f>Nodes!H1588+"'E4!)9w"</f>
        <v>#VALUE!</v>
      </c>
      <c r="GJ192" t="e">
        <f>Nodes!I1588+"'E4!)9x"</f>
        <v>#VALUE!</v>
      </c>
      <c r="GK192" t="e">
        <f>Nodes!J1588+"'E4!)9y"</f>
        <v>#VALUE!</v>
      </c>
      <c r="GL192" t="e">
        <f>Nodes!K1588+"'E4!)9z"</f>
        <v>#VALUE!</v>
      </c>
      <c r="GM192" t="e">
        <f>Nodes!L1588+"'E4!)9{"</f>
        <v>#VALUE!</v>
      </c>
      <c r="GN192" t="e">
        <f>Nodes!M1588+"'E4!)9|"</f>
        <v>#VALUE!</v>
      </c>
      <c r="GO192" t="e">
        <f>Nodes!N1588+"'E4!)9}"</f>
        <v>#VALUE!</v>
      </c>
      <c r="GP192" t="e">
        <f>Nodes!O1588+"'E4!)9~"</f>
        <v>#VALUE!</v>
      </c>
      <c r="GQ192" t="e">
        <f>Nodes!P1588+"'E4!):#"</f>
        <v>#VALUE!</v>
      </c>
      <c r="GR192" t="e">
        <f>Nodes!Q1588+"'E4!):$"</f>
        <v>#VALUE!</v>
      </c>
      <c r="GS192" t="e">
        <f>Nodes!R1588+"'E4!):%"</f>
        <v>#VALUE!</v>
      </c>
      <c r="GT192" t="e">
        <f>Nodes!S1588+"'E4!):&amp;"</f>
        <v>#VALUE!</v>
      </c>
      <c r="GU192" t="e">
        <f>Nodes!T1588+"'E4!):'"</f>
        <v>#VALUE!</v>
      </c>
      <c r="GV192" t="e">
        <f>Nodes!U1588+"'E4!):("</f>
        <v>#VALUE!</v>
      </c>
      <c r="GW192" t="e">
        <f>Nodes!V1588+"'E4!):)"</f>
        <v>#VALUE!</v>
      </c>
      <c r="GX192" t="e">
        <f>Nodes!W1588+"'E4!):."</f>
        <v>#VALUE!</v>
      </c>
      <c r="GY192" t="e">
        <f>Nodes!X1588+"'E4!):/"</f>
        <v>#VALUE!</v>
      </c>
      <c r="GZ192" t="e">
        <f>Nodes!Y1588+"'E4!):0"</f>
        <v>#VALUE!</v>
      </c>
      <c r="HA192" t="e">
        <f>Nodes!Z1588+"'E4!):1"</f>
        <v>#VALUE!</v>
      </c>
      <c r="HB192" t="e">
        <f>Nodes!AA1588+"'E4!):2"</f>
        <v>#VALUE!</v>
      </c>
      <c r="HC192" t="e">
        <f>Nodes!AB1588+"'E4!):3"</f>
        <v>#VALUE!</v>
      </c>
      <c r="HD192" t="e">
        <f>Nodes!AC1588+"'E4!):4"</f>
        <v>#VALUE!</v>
      </c>
      <c r="HE192" t="e">
        <f>Nodes!A1589+"'E4!):5"</f>
        <v>#VALUE!</v>
      </c>
      <c r="HF192" t="e">
        <f>Nodes!B1589+"'E4!):6"</f>
        <v>#VALUE!</v>
      </c>
      <c r="HG192" t="e">
        <f>Nodes!C1589+"'E4!):7"</f>
        <v>#VALUE!</v>
      </c>
      <c r="HH192" t="e">
        <f>Nodes!D1589+"'E4!):8"</f>
        <v>#VALUE!</v>
      </c>
      <c r="HI192" t="e">
        <f>Nodes!E1589+"'E4!):9"</f>
        <v>#VALUE!</v>
      </c>
      <c r="HJ192" t="e">
        <f>Nodes!F1589+"'E4!)::"</f>
        <v>#VALUE!</v>
      </c>
      <c r="HK192" t="e">
        <f>Nodes!G1589+"'E4!):;"</f>
        <v>#VALUE!</v>
      </c>
      <c r="HL192" t="e">
        <f>Nodes!H1589+"'E4!):&lt;"</f>
        <v>#VALUE!</v>
      </c>
      <c r="HM192" t="e">
        <f>Nodes!I1589+"'E4!):="</f>
        <v>#VALUE!</v>
      </c>
      <c r="HN192" t="e">
        <f>Nodes!J1589+"'E4!):&gt;"</f>
        <v>#VALUE!</v>
      </c>
      <c r="HO192" t="e">
        <f>Nodes!K1589+"'E4!):?"</f>
        <v>#VALUE!</v>
      </c>
      <c r="HP192" t="e">
        <f>Nodes!L1589+"'E4!):@"</f>
        <v>#VALUE!</v>
      </c>
      <c r="HQ192" t="e">
        <f>Nodes!M1589+"'E4!):A"</f>
        <v>#VALUE!</v>
      </c>
      <c r="HR192" t="e">
        <f>Nodes!N1589+"'E4!):B"</f>
        <v>#VALUE!</v>
      </c>
      <c r="HS192" t="e">
        <f>Nodes!O1589+"'E4!):C"</f>
        <v>#VALUE!</v>
      </c>
      <c r="HT192" t="e">
        <f>Nodes!P1589+"'E4!):D"</f>
        <v>#VALUE!</v>
      </c>
      <c r="HU192" t="e">
        <f>Nodes!Q1589+"'E4!):E"</f>
        <v>#VALUE!</v>
      </c>
      <c r="HV192" t="e">
        <f>Nodes!R1589+"'E4!):F"</f>
        <v>#VALUE!</v>
      </c>
      <c r="HW192" t="e">
        <f>Nodes!S1589+"'E4!):G"</f>
        <v>#VALUE!</v>
      </c>
      <c r="HX192" t="e">
        <f>Nodes!T1589+"'E4!):H"</f>
        <v>#VALUE!</v>
      </c>
      <c r="HY192" t="e">
        <f>Nodes!U1589+"'E4!):I"</f>
        <v>#VALUE!</v>
      </c>
      <c r="HZ192" t="e">
        <f>Nodes!V1589+"'E4!):J"</f>
        <v>#VALUE!</v>
      </c>
      <c r="IA192" t="e">
        <f>Nodes!W1589+"'E4!):K"</f>
        <v>#VALUE!</v>
      </c>
      <c r="IB192" t="e">
        <f>Nodes!X1589+"'E4!):L"</f>
        <v>#VALUE!</v>
      </c>
      <c r="IC192" t="e">
        <f>Nodes!Y1589+"'E4!):M"</f>
        <v>#VALUE!</v>
      </c>
      <c r="ID192" t="e">
        <f>Nodes!Z1589+"'E4!):N"</f>
        <v>#VALUE!</v>
      </c>
      <c r="IE192" t="e">
        <f>Nodes!AA1589+"'E4!):O"</f>
        <v>#VALUE!</v>
      </c>
      <c r="IF192" t="e">
        <f>Nodes!AB1589+"'E4!):P"</f>
        <v>#VALUE!</v>
      </c>
      <c r="IG192" t="e">
        <f>Nodes!AC1589+"'E4!):Q"</f>
        <v>#VALUE!</v>
      </c>
      <c r="IH192" t="e">
        <f>Nodes!A1590+"'E4!):R"</f>
        <v>#VALUE!</v>
      </c>
      <c r="II192" t="e">
        <f>Nodes!B1590+"'E4!):S"</f>
        <v>#VALUE!</v>
      </c>
      <c r="IJ192" t="e">
        <f>Nodes!C1590+"'E4!):T"</f>
        <v>#VALUE!</v>
      </c>
      <c r="IK192" t="e">
        <f>Nodes!D1590+"'E4!):U"</f>
        <v>#VALUE!</v>
      </c>
      <c r="IL192" t="e">
        <f>Nodes!E1590+"'E4!):V"</f>
        <v>#VALUE!</v>
      </c>
      <c r="IM192" t="e">
        <f>Nodes!F1590+"'E4!):W"</f>
        <v>#VALUE!</v>
      </c>
      <c r="IN192" t="e">
        <f>Nodes!G1590+"'E4!):X"</f>
        <v>#VALUE!</v>
      </c>
      <c r="IO192" t="e">
        <f>Nodes!H1590+"'E4!):Y"</f>
        <v>#VALUE!</v>
      </c>
      <c r="IP192" t="e">
        <f>Nodes!I1590+"'E4!):Z"</f>
        <v>#VALUE!</v>
      </c>
      <c r="IQ192" t="e">
        <f>Nodes!J1590+"'E4!):["</f>
        <v>#VALUE!</v>
      </c>
      <c r="IR192" t="e">
        <f>Nodes!K1590+"'E4!):\"</f>
        <v>#VALUE!</v>
      </c>
      <c r="IS192" t="e">
        <f>Nodes!L1590+"'E4!):]"</f>
        <v>#VALUE!</v>
      </c>
      <c r="IT192" t="e">
        <f>Nodes!M1590+"'E4!):^"</f>
        <v>#VALUE!</v>
      </c>
      <c r="IU192" t="e">
        <f>Nodes!N1590+"'E4!):_"</f>
        <v>#VALUE!</v>
      </c>
      <c r="IV192" t="e">
        <f>Nodes!O1590+"'E4!):`"</f>
        <v>#VALUE!</v>
      </c>
    </row>
    <row r="193" spans="6:256">
      <c r="F193" t="e">
        <f>Nodes!P1590+"'E4!):a"</f>
        <v>#VALUE!</v>
      </c>
      <c r="G193" t="e">
        <f>Nodes!Q1590+"'E4!):b"</f>
        <v>#VALUE!</v>
      </c>
      <c r="H193" t="e">
        <f>Nodes!R1590+"'E4!):c"</f>
        <v>#VALUE!</v>
      </c>
      <c r="I193" t="e">
        <f>Nodes!S1590+"'E4!):d"</f>
        <v>#VALUE!</v>
      </c>
      <c r="J193" t="e">
        <f>Nodes!T1590+"'E4!):e"</f>
        <v>#VALUE!</v>
      </c>
      <c r="K193" t="e">
        <f>Nodes!U1590+"'E4!):f"</f>
        <v>#VALUE!</v>
      </c>
      <c r="L193" t="e">
        <f>Nodes!V1590+"'E4!):g"</f>
        <v>#VALUE!</v>
      </c>
      <c r="M193" t="e">
        <f>Nodes!W1590+"'E4!):h"</f>
        <v>#VALUE!</v>
      </c>
      <c r="N193" t="e">
        <f>Nodes!X1590+"'E4!):i"</f>
        <v>#VALUE!</v>
      </c>
      <c r="O193" t="e">
        <f>Nodes!Y1590+"'E4!):j"</f>
        <v>#VALUE!</v>
      </c>
      <c r="P193" t="e">
        <f>Nodes!Z1590+"'E4!):k"</f>
        <v>#VALUE!</v>
      </c>
      <c r="Q193" t="e">
        <f>Nodes!AA1590+"'E4!):l"</f>
        <v>#VALUE!</v>
      </c>
      <c r="R193" t="e">
        <f>Nodes!AB1590+"'E4!):m"</f>
        <v>#VALUE!</v>
      </c>
      <c r="S193" t="e">
        <f>Nodes!AC1590+"'E4!):n"</f>
        <v>#VALUE!</v>
      </c>
      <c r="T193" t="e">
        <f>Nodes!A1591+"'E4!):o"</f>
        <v>#VALUE!</v>
      </c>
      <c r="U193" t="e">
        <f>Nodes!B1591+"'E4!):p"</f>
        <v>#VALUE!</v>
      </c>
      <c r="V193" t="e">
        <f>Nodes!C1591+"'E4!):q"</f>
        <v>#VALUE!</v>
      </c>
      <c r="W193" t="e">
        <f>Nodes!D1591+"'E4!):r"</f>
        <v>#VALUE!</v>
      </c>
      <c r="X193" t="e">
        <f>Nodes!E1591+"'E4!):s"</f>
        <v>#VALUE!</v>
      </c>
      <c r="Y193" t="e">
        <f>Nodes!F1591+"'E4!):t"</f>
        <v>#VALUE!</v>
      </c>
      <c r="Z193" t="e">
        <f>Nodes!G1591+"'E4!):u"</f>
        <v>#VALUE!</v>
      </c>
      <c r="AA193" t="e">
        <f>Nodes!H1591+"'E4!):v"</f>
        <v>#VALUE!</v>
      </c>
      <c r="AB193" t="e">
        <f>Nodes!I1591+"'E4!):w"</f>
        <v>#VALUE!</v>
      </c>
      <c r="AC193" t="e">
        <f>Nodes!J1591+"'E4!):x"</f>
        <v>#VALUE!</v>
      </c>
      <c r="AD193" t="e">
        <f>Nodes!K1591+"'E4!):y"</f>
        <v>#VALUE!</v>
      </c>
      <c r="AE193" t="e">
        <f>Nodes!L1591+"'E4!):z"</f>
        <v>#VALUE!</v>
      </c>
      <c r="AF193" t="e">
        <f>Nodes!M1591+"'E4!):{"</f>
        <v>#VALUE!</v>
      </c>
      <c r="AG193" t="e">
        <f>Nodes!N1591+"'E4!):|"</f>
        <v>#VALUE!</v>
      </c>
      <c r="AH193" t="e">
        <f>Nodes!O1591+"'E4!):}"</f>
        <v>#VALUE!</v>
      </c>
      <c r="AI193" t="e">
        <f>Nodes!P1591+"'E4!):~"</f>
        <v>#VALUE!</v>
      </c>
      <c r="AJ193" t="e">
        <f>Nodes!Q1591+"'E4!);#"</f>
        <v>#VALUE!</v>
      </c>
      <c r="AK193" t="e">
        <f>Nodes!R1591+"'E4!);$"</f>
        <v>#VALUE!</v>
      </c>
      <c r="AL193" t="e">
        <f>Nodes!S1591+"'E4!);%"</f>
        <v>#VALUE!</v>
      </c>
      <c r="AM193" t="e">
        <f>Nodes!T1591+"'E4!);&amp;"</f>
        <v>#VALUE!</v>
      </c>
      <c r="AN193" t="e">
        <f>Nodes!U1591+"'E4!);'"</f>
        <v>#VALUE!</v>
      </c>
      <c r="AO193" t="e">
        <f>Nodes!V1591+"'E4!);("</f>
        <v>#VALUE!</v>
      </c>
      <c r="AP193" t="e">
        <f>Nodes!W1591+"'E4!);)"</f>
        <v>#VALUE!</v>
      </c>
      <c r="AQ193" t="e">
        <f>Nodes!X1591+"'E4!);."</f>
        <v>#VALUE!</v>
      </c>
      <c r="AR193" t="e">
        <f>Nodes!Y1591+"'E4!);/"</f>
        <v>#VALUE!</v>
      </c>
      <c r="AS193" t="e">
        <f>Nodes!Z1591+"'E4!);0"</f>
        <v>#VALUE!</v>
      </c>
      <c r="AT193" t="e">
        <f>Nodes!AA1591+"'E4!);1"</f>
        <v>#VALUE!</v>
      </c>
      <c r="AU193" t="e">
        <f>Nodes!AB1591+"'E4!);2"</f>
        <v>#VALUE!</v>
      </c>
      <c r="AV193" t="e">
        <f>Nodes!AC1591+"'E4!);3"</f>
        <v>#VALUE!</v>
      </c>
      <c r="AW193" t="e">
        <f>Nodes!A1592+"'E4!);4"</f>
        <v>#VALUE!</v>
      </c>
      <c r="AX193" t="e">
        <f>Nodes!B1592+"'E4!);5"</f>
        <v>#VALUE!</v>
      </c>
      <c r="AY193" t="e">
        <f>Nodes!C1592+"'E4!);6"</f>
        <v>#VALUE!</v>
      </c>
      <c r="AZ193" t="e">
        <f>Nodes!D1592+"'E4!);7"</f>
        <v>#VALUE!</v>
      </c>
      <c r="BA193" t="e">
        <f>Nodes!E1592+"'E4!);8"</f>
        <v>#VALUE!</v>
      </c>
      <c r="BB193" t="e">
        <f>Nodes!F1592+"'E4!);9"</f>
        <v>#VALUE!</v>
      </c>
      <c r="BC193" t="e">
        <f>Nodes!G1592+"'E4!);:"</f>
        <v>#VALUE!</v>
      </c>
      <c r="BD193" t="e">
        <f>Nodes!H1592+"'E4!);;"</f>
        <v>#VALUE!</v>
      </c>
      <c r="BE193" t="e">
        <f>Nodes!I1592+"'E4!);&lt;"</f>
        <v>#VALUE!</v>
      </c>
      <c r="BF193" t="e">
        <f>Nodes!J1592+"'E4!);="</f>
        <v>#VALUE!</v>
      </c>
      <c r="BG193" t="e">
        <f>Nodes!K1592+"'E4!);&gt;"</f>
        <v>#VALUE!</v>
      </c>
      <c r="BH193" t="e">
        <f>Nodes!L1592+"'E4!);?"</f>
        <v>#VALUE!</v>
      </c>
      <c r="BI193" t="e">
        <f>Nodes!M1592+"'E4!);@"</f>
        <v>#VALUE!</v>
      </c>
      <c r="BJ193" t="e">
        <f>Nodes!N1592+"'E4!);A"</f>
        <v>#VALUE!</v>
      </c>
      <c r="BK193" t="e">
        <f>Nodes!O1592+"'E4!);B"</f>
        <v>#VALUE!</v>
      </c>
      <c r="BL193" t="e">
        <f>Nodes!P1592+"'E4!);C"</f>
        <v>#VALUE!</v>
      </c>
      <c r="BM193" t="e">
        <f>Nodes!Q1592+"'E4!);D"</f>
        <v>#VALUE!</v>
      </c>
      <c r="BN193" t="e">
        <f>Nodes!R1592+"'E4!);E"</f>
        <v>#VALUE!</v>
      </c>
      <c r="BO193" t="e">
        <f>Nodes!S1592+"'E4!);F"</f>
        <v>#VALUE!</v>
      </c>
      <c r="BP193" t="e">
        <f>Nodes!T1592+"'E4!);G"</f>
        <v>#VALUE!</v>
      </c>
      <c r="BQ193" t="e">
        <f>Nodes!U1592+"'E4!);H"</f>
        <v>#VALUE!</v>
      </c>
      <c r="BR193" t="e">
        <f>Nodes!V1592+"'E4!);I"</f>
        <v>#VALUE!</v>
      </c>
      <c r="BS193" t="e">
        <f>Nodes!W1592+"'E4!);J"</f>
        <v>#VALUE!</v>
      </c>
      <c r="BT193" t="e">
        <f>Nodes!X1592+"'E4!);K"</f>
        <v>#VALUE!</v>
      </c>
      <c r="BU193" t="e">
        <f>Nodes!Y1592+"'E4!);L"</f>
        <v>#VALUE!</v>
      </c>
      <c r="BV193" t="e">
        <f>Nodes!Z1592+"'E4!);M"</f>
        <v>#VALUE!</v>
      </c>
      <c r="BW193" t="e">
        <f>Nodes!AA1592+"'E4!);N"</f>
        <v>#VALUE!</v>
      </c>
      <c r="BX193" t="e">
        <f>Nodes!AB1592+"'E4!);O"</f>
        <v>#VALUE!</v>
      </c>
      <c r="BY193" t="e">
        <f>Nodes!AC1592+"'E4!);P"</f>
        <v>#VALUE!</v>
      </c>
      <c r="BZ193" t="e">
        <f>Nodes!A1593+"'E4!);Q"</f>
        <v>#VALUE!</v>
      </c>
      <c r="CA193" t="e">
        <f>Nodes!B1593+"'E4!);R"</f>
        <v>#VALUE!</v>
      </c>
      <c r="CB193" t="e">
        <f>Nodes!C1593+"'E4!);S"</f>
        <v>#VALUE!</v>
      </c>
      <c r="CC193" t="e">
        <f>Nodes!D1593+"'E4!);T"</f>
        <v>#VALUE!</v>
      </c>
      <c r="CD193" t="e">
        <f>Nodes!E1593+"'E4!);U"</f>
        <v>#VALUE!</v>
      </c>
      <c r="CE193" t="e">
        <f>Nodes!F1593+"'E4!);V"</f>
        <v>#VALUE!</v>
      </c>
      <c r="CF193" t="e">
        <f>Nodes!G1593+"'E4!);W"</f>
        <v>#VALUE!</v>
      </c>
      <c r="CG193" t="e">
        <f>Nodes!H1593+"'E4!);X"</f>
        <v>#VALUE!</v>
      </c>
      <c r="CH193" t="e">
        <f>Nodes!I1593+"'E4!);Y"</f>
        <v>#VALUE!</v>
      </c>
      <c r="CI193" t="e">
        <f>Nodes!J1593+"'E4!);Z"</f>
        <v>#VALUE!</v>
      </c>
      <c r="CJ193" t="e">
        <f>Nodes!K1593+"'E4!);["</f>
        <v>#VALUE!</v>
      </c>
      <c r="CK193" t="e">
        <f>Nodes!L1593+"'E4!);\"</f>
        <v>#VALUE!</v>
      </c>
      <c r="CL193" t="e">
        <f>Nodes!M1593+"'E4!);]"</f>
        <v>#VALUE!</v>
      </c>
      <c r="CM193" t="e">
        <f>Nodes!N1593+"'E4!);^"</f>
        <v>#VALUE!</v>
      </c>
      <c r="CN193" t="e">
        <f>Nodes!O1593+"'E4!);_"</f>
        <v>#VALUE!</v>
      </c>
      <c r="CO193" t="e">
        <f>Nodes!P1593+"'E4!);`"</f>
        <v>#VALUE!</v>
      </c>
      <c r="CP193" t="e">
        <f>Nodes!Q1593+"'E4!);a"</f>
        <v>#VALUE!</v>
      </c>
      <c r="CQ193" t="e">
        <f>Nodes!R1593+"'E4!);b"</f>
        <v>#VALUE!</v>
      </c>
      <c r="CR193" t="e">
        <f>Nodes!S1593+"'E4!);c"</f>
        <v>#VALUE!</v>
      </c>
      <c r="CS193" t="e">
        <f>Nodes!T1593+"'E4!);d"</f>
        <v>#VALUE!</v>
      </c>
      <c r="CT193" t="e">
        <f>Nodes!U1593+"'E4!);e"</f>
        <v>#VALUE!</v>
      </c>
      <c r="CU193" t="e">
        <f>Nodes!V1593+"'E4!);f"</f>
        <v>#VALUE!</v>
      </c>
      <c r="CV193" t="e">
        <f>Nodes!W1593+"'E4!);g"</f>
        <v>#VALUE!</v>
      </c>
      <c r="CW193" t="e">
        <f>Nodes!X1593+"'E4!);h"</f>
        <v>#VALUE!</v>
      </c>
      <c r="CX193" t="e">
        <f>Nodes!Y1593+"'E4!);i"</f>
        <v>#VALUE!</v>
      </c>
      <c r="CY193" t="e">
        <f>Nodes!Z1593+"'E4!);j"</f>
        <v>#VALUE!</v>
      </c>
      <c r="CZ193" t="e">
        <f>Nodes!AA1593+"'E4!);k"</f>
        <v>#VALUE!</v>
      </c>
      <c r="DA193" t="e">
        <f>Nodes!AB1593+"'E4!);l"</f>
        <v>#VALUE!</v>
      </c>
      <c r="DB193" t="e">
        <f>Nodes!AC1593+"'E4!);m"</f>
        <v>#VALUE!</v>
      </c>
      <c r="DC193" t="e">
        <f>Nodes!A1594+"'E4!);n"</f>
        <v>#VALUE!</v>
      </c>
      <c r="DD193" t="e">
        <f>Nodes!B1594+"'E4!);o"</f>
        <v>#VALUE!</v>
      </c>
      <c r="DE193" t="e">
        <f>Nodes!C1594+"'E4!);p"</f>
        <v>#VALUE!</v>
      </c>
      <c r="DF193" t="e">
        <f>Nodes!D1594+"'E4!);q"</f>
        <v>#VALUE!</v>
      </c>
      <c r="DG193" t="e">
        <f>Nodes!E1594+"'E4!);r"</f>
        <v>#VALUE!</v>
      </c>
      <c r="DH193" t="e">
        <f>Nodes!F1594+"'E4!);s"</f>
        <v>#VALUE!</v>
      </c>
      <c r="DI193" t="e">
        <f>Nodes!G1594+"'E4!);t"</f>
        <v>#VALUE!</v>
      </c>
      <c r="DJ193" t="e">
        <f>Nodes!H1594+"'E4!);u"</f>
        <v>#VALUE!</v>
      </c>
      <c r="DK193" t="e">
        <f>Nodes!I1594+"'E4!);v"</f>
        <v>#VALUE!</v>
      </c>
      <c r="DL193" t="e">
        <f>Nodes!J1594+"'E4!);w"</f>
        <v>#VALUE!</v>
      </c>
      <c r="DM193" t="e">
        <f>Nodes!K1594+"'E4!);x"</f>
        <v>#VALUE!</v>
      </c>
      <c r="DN193" t="e">
        <f>Nodes!L1594+"'E4!);y"</f>
        <v>#VALUE!</v>
      </c>
      <c r="DO193" t="e">
        <f>Nodes!M1594+"'E4!);z"</f>
        <v>#VALUE!</v>
      </c>
      <c r="DP193" t="e">
        <f>Nodes!N1594+"'E4!);{"</f>
        <v>#VALUE!</v>
      </c>
      <c r="DQ193" t="e">
        <f>Nodes!O1594+"'E4!);|"</f>
        <v>#VALUE!</v>
      </c>
      <c r="DR193" t="e">
        <f>Nodes!P1594+"'E4!);}"</f>
        <v>#VALUE!</v>
      </c>
      <c r="DS193" t="e">
        <f>Nodes!Q1594+"'E4!);~"</f>
        <v>#VALUE!</v>
      </c>
      <c r="DT193" t="e">
        <f>Nodes!R1594+"'E4!)&lt;#"</f>
        <v>#VALUE!</v>
      </c>
      <c r="DU193" t="e">
        <f>Nodes!S1594+"'E4!)&lt;$"</f>
        <v>#VALUE!</v>
      </c>
      <c r="DV193" t="e">
        <f>Nodes!T1594+"'E4!)&lt;%"</f>
        <v>#VALUE!</v>
      </c>
      <c r="DW193" t="e">
        <f>Nodes!U1594+"'E4!)&lt;&amp;"</f>
        <v>#VALUE!</v>
      </c>
      <c r="DX193" t="e">
        <f>Nodes!V1594+"'E4!)&lt;'"</f>
        <v>#VALUE!</v>
      </c>
      <c r="DY193" t="e">
        <f>Nodes!W1594+"'E4!)&lt;("</f>
        <v>#VALUE!</v>
      </c>
      <c r="DZ193" t="e">
        <f>Nodes!X1594+"'E4!)&lt;)"</f>
        <v>#VALUE!</v>
      </c>
      <c r="EA193" t="e">
        <f>Nodes!Y1594+"'E4!)&lt;."</f>
        <v>#VALUE!</v>
      </c>
      <c r="EB193" t="e">
        <f>Nodes!Z1594+"'E4!)&lt;/"</f>
        <v>#VALUE!</v>
      </c>
      <c r="EC193" t="e">
        <f>Nodes!AA1594+"'E4!)&lt;0"</f>
        <v>#VALUE!</v>
      </c>
      <c r="ED193" t="e">
        <f>Nodes!AB1594+"'E4!)&lt;1"</f>
        <v>#VALUE!</v>
      </c>
      <c r="EE193" t="e">
        <f>Nodes!AC1594+"'E4!)&lt;2"</f>
        <v>#VALUE!</v>
      </c>
      <c r="EF193" t="e">
        <f>Nodes!A1595+"'E4!)&lt;3"</f>
        <v>#VALUE!</v>
      </c>
      <c r="EG193" t="e">
        <f>Nodes!B1595+"'E4!)&lt;4"</f>
        <v>#VALUE!</v>
      </c>
      <c r="EH193" t="e">
        <f>Nodes!C1595+"'E4!)&lt;5"</f>
        <v>#VALUE!</v>
      </c>
      <c r="EI193" t="e">
        <f>Nodes!D1595+"'E4!)&lt;6"</f>
        <v>#VALUE!</v>
      </c>
      <c r="EJ193" t="e">
        <f>Nodes!E1595+"'E4!)&lt;7"</f>
        <v>#VALUE!</v>
      </c>
      <c r="EK193" t="e">
        <f>Nodes!F1595+"'E4!)&lt;8"</f>
        <v>#VALUE!</v>
      </c>
      <c r="EL193" t="e">
        <f>Nodes!G1595+"'E4!)&lt;9"</f>
        <v>#VALUE!</v>
      </c>
      <c r="EM193" t="e">
        <f>Nodes!H1595+"'E4!)&lt;:"</f>
        <v>#VALUE!</v>
      </c>
      <c r="EN193" t="e">
        <f>Nodes!I1595+"'E4!)&lt;;"</f>
        <v>#VALUE!</v>
      </c>
      <c r="EO193" t="e">
        <f>Nodes!J1595+"'E4!)&lt;&lt;"</f>
        <v>#VALUE!</v>
      </c>
      <c r="EP193" t="e">
        <f>Nodes!K1595+"'E4!)&lt;="</f>
        <v>#VALUE!</v>
      </c>
      <c r="EQ193" t="e">
        <f>Nodes!L1595+"'E4!)&lt;&gt;"</f>
        <v>#VALUE!</v>
      </c>
      <c r="ER193" t="e">
        <f>Nodes!M1595+"'E4!)&lt;?"</f>
        <v>#VALUE!</v>
      </c>
      <c r="ES193" t="e">
        <f>Nodes!N1595+"'E4!)&lt;@"</f>
        <v>#VALUE!</v>
      </c>
      <c r="ET193" t="e">
        <f>Nodes!O1595+"'E4!)&lt;A"</f>
        <v>#VALUE!</v>
      </c>
      <c r="EU193" t="e">
        <f>Nodes!P1595+"'E4!)&lt;B"</f>
        <v>#VALUE!</v>
      </c>
      <c r="EV193" t="e">
        <f>Nodes!Q1595+"'E4!)&lt;C"</f>
        <v>#VALUE!</v>
      </c>
      <c r="EW193" t="e">
        <f>Nodes!R1595+"'E4!)&lt;D"</f>
        <v>#VALUE!</v>
      </c>
      <c r="EX193" t="e">
        <f>Nodes!S1595+"'E4!)&lt;E"</f>
        <v>#VALUE!</v>
      </c>
      <c r="EY193" t="e">
        <f>Nodes!T1595+"'E4!)&lt;F"</f>
        <v>#VALUE!</v>
      </c>
      <c r="EZ193" t="e">
        <f>Nodes!U1595+"'E4!)&lt;G"</f>
        <v>#VALUE!</v>
      </c>
      <c r="FA193" t="e">
        <f>Nodes!V1595+"'E4!)&lt;H"</f>
        <v>#VALUE!</v>
      </c>
      <c r="FB193" t="e">
        <f>Nodes!W1595+"'E4!)&lt;I"</f>
        <v>#VALUE!</v>
      </c>
      <c r="FC193" t="e">
        <f>Nodes!X1595+"'E4!)&lt;J"</f>
        <v>#VALUE!</v>
      </c>
      <c r="FD193" t="e">
        <f>Nodes!Y1595+"'E4!)&lt;K"</f>
        <v>#VALUE!</v>
      </c>
      <c r="FE193" t="e">
        <f>Nodes!Z1595+"'E4!)&lt;L"</f>
        <v>#VALUE!</v>
      </c>
      <c r="FF193" t="e">
        <f>Nodes!AA1595+"'E4!)&lt;M"</f>
        <v>#VALUE!</v>
      </c>
      <c r="FG193" t="e">
        <f>Nodes!AB1595+"'E4!)&lt;N"</f>
        <v>#VALUE!</v>
      </c>
      <c r="FH193" t="e">
        <f>Nodes!AC1595+"'E4!)&lt;O"</f>
        <v>#VALUE!</v>
      </c>
      <c r="FI193" t="e">
        <f>Nodes!A1596+"'E4!)&lt;P"</f>
        <v>#VALUE!</v>
      </c>
      <c r="FJ193" t="e">
        <f>Nodes!B1596+"'E4!)&lt;Q"</f>
        <v>#VALUE!</v>
      </c>
      <c r="FK193" t="e">
        <f>Nodes!C1596+"'E4!)&lt;R"</f>
        <v>#VALUE!</v>
      </c>
      <c r="FL193" t="e">
        <f>Nodes!D1596+"'E4!)&lt;S"</f>
        <v>#VALUE!</v>
      </c>
      <c r="FM193" t="e">
        <f>Nodes!E1596+"'E4!)&lt;T"</f>
        <v>#VALUE!</v>
      </c>
      <c r="FN193" t="e">
        <f>Nodes!F1596+"'E4!)&lt;U"</f>
        <v>#VALUE!</v>
      </c>
      <c r="FO193" t="e">
        <f>Nodes!G1596+"'E4!)&lt;V"</f>
        <v>#VALUE!</v>
      </c>
      <c r="FP193" t="e">
        <f>Nodes!H1596+"'E4!)&lt;W"</f>
        <v>#VALUE!</v>
      </c>
      <c r="FQ193" t="e">
        <f>Nodes!I1596+"'E4!)&lt;X"</f>
        <v>#VALUE!</v>
      </c>
      <c r="FR193" t="e">
        <f>Nodes!J1596+"'E4!)&lt;Y"</f>
        <v>#VALUE!</v>
      </c>
      <c r="FS193" t="e">
        <f>Nodes!K1596+"'E4!)&lt;Z"</f>
        <v>#VALUE!</v>
      </c>
      <c r="FT193" t="e">
        <f>Nodes!L1596+"'E4!)&lt;["</f>
        <v>#VALUE!</v>
      </c>
      <c r="FU193" t="e">
        <f>Nodes!M1596+"'E4!)&lt;\"</f>
        <v>#VALUE!</v>
      </c>
      <c r="FV193" t="e">
        <f>Nodes!N1596+"'E4!)&lt;]"</f>
        <v>#VALUE!</v>
      </c>
      <c r="FW193" t="e">
        <f>Nodes!O1596+"'E4!)&lt;^"</f>
        <v>#VALUE!</v>
      </c>
      <c r="FX193" t="e">
        <f>Nodes!P1596+"'E4!)&lt;_"</f>
        <v>#VALUE!</v>
      </c>
      <c r="FY193" t="e">
        <f>Nodes!Q1596+"'E4!)&lt;`"</f>
        <v>#VALUE!</v>
      </c>
      <c r="FZ193" t="e">
        <f>Nodes!R1596+"'E4!)&lt;a"</f>
        <v>#VALUE!</v>
      </c>
      <c r="GA193" t="e">
        <f>Nodes!S1596+"'E4!)&lt;b"</f>
        <v>#VALUE!</v>
      </c>
      <c r="GB193" t="e">
        <f>Nodes!T1596+"'E4!)&lt;c"</f>
        <v>#VALUE!</v>
      </c>
      <c r="GC193" t="e">
        <f>Nodes!U1596+"'E4!)&lt;d"</f>
        <v>#VALUE!</v>
      </c>
      <c r="GD193" t="e">
        <f>Nodes!V1596+"'E4!)&lt;e"</f>
        <v>#VALUE!</v>
      </c>
      <c r="GE193" t="e">
        <f>Nodes!W1596+"'E4!)&lt;f"</f>
        <v>#VALUE!</v>
      </c>
      <c r="GF193" t="e">
        <f>Nodes!X1596+"'E4!)&lt;g"</f>
        <v>#VALUE!</v>
      </c>
      <c r="GG193" t="e">
        <f>Nodes!Y1596+"'E4!)&lt;h"</f>
        <v>#VALUE!</v>
      </c>
      <c r="GH193" t="e">
        <f>Nodes!Z1596+"'E4!)&lt;i"</f>
        <v>#VALUE!</v>
      </c>
      <c r="GI193" t="e">
        <f>Nodes!AA1596+"'E4!)&lt;j"</f>
        <v>#VALUE!</v>
      </c>
      <c r="GJ193" t="e">
        <f>Nodes!AB1596+"'E4!)&lt;k"</f>
        <v>#VALUE!</v>
      </c>
      <c r="GK193" t="e">
        <f>Nodes!AC1596+"'E4!)&lt;l"</f>
        <v>#VALUE!</v>
      </c>
      <c r="GL193" t="e">
        <f>Nodes!A1597+"'E4!)&lt;m"</f>
        <v>#VALUE!</v>
      </c>
      <c r="GM193" t="e">
        <f>Nodes!B1597+"'E4!)&lt;n"</f>
        <v>#VALUE!</v>
      </c>
      <c r="GN193" t="e">
        <f>Nodes!C1597+"'E4!)&lt;o"</f>
        <v>#VALUE!</v>
      </c>
      <c r="GO193" t="e">
        <f>Nodes!D1597+"'E4!)&lt;p"</f>
        <v>#VALUE!</v>
      </c>
      <c r="GP193" t="e">
        <f>Nodes!E1597+"'E4!)&lt;q"</f>
        <v>#VALUE!</v>
      </c>
      <c r="GQ193" t="e">
        <f>Nodes!F1597+"'E4!)&lt;r"</f>
        <v>#VALUE!</v>
      </c>
      <c r="GR193" t="e">
        <f>Nodes!G1597+"'E4!)&lt;s"</f>
        <v>#VALUE!</v>
      </c>
      <c r="GS193" t="e">
        <f>Nodes!H1597+"'E4!)&lt;t"</f>
        <v>#VALUE!</v>
      </c>
      <c r="GT193" t="e">
        <f>Nodes!I1597+"'E4!)&lt;u"</f>
        <v>#VALUE!</v>
      </c>
      <c r="GU193" t="e">
        <f>Nodes!J1597+"'E4!)&lt;v"</f>
        <v>#VALUE!</v>
      </c>
      <c r="GV193" t="e">
        <f>Nodes!K1597+"'E4!)&lt;w"</f>
        <v>#VALUE!</v>
      </c>
      <c r="GW193" t="e">
        <f>Nodes!L1597+"'E4!)&lt;x"</f>
        <v>#VALUE!</v>
      </c>
      <c r="GX193" t="e">
        <f>Nodes!M1597+"'E4!)&lt;y"</f>
        <v>#VALUE!</v>
      </c>
      <c r="GY193" t="e">
        <f>Nodes!N1597+"'E4!)&lt;z"</f>
        <v>#VALUE!</v>
      </c>
      <c r="GZ193" t="e">
        <f>Nodes!O1597+"'E4!)&lt;{"</f>
        <v>#VALUE!</v>
      </c>
      <c r="HA193" t="e">
        <f>Nodes!P1597+"'E4!)&lt;|"</f>
        <v>#VALUE!</v>
      </c>
      <c r="HB193" t="e">
        <f>Nodes!Q1597+"'E4!)&lt;}"</f>
        <v>#VALUE!</v>
      </c>
      <c r="HC193" t="e">
        <f>Nodes!R1597+"'E4!)&lt;~"</f>
        <v>#VALUE!</v>
      </c>
      <c r="HD193" t="e">
        <f>Nodes!S1597+"'E4!)=#"</f>
        <v>#VALUE!</v>
      </c>
      <c r="HE193" t="e">
        <f>Nodes!T1597+"'E4!)=$"</f>
        <v>#VALUE!</v>
      </c>
      <c r="HF193" t="e">
        <f>Nodes!U1597+"'E4!)=%"</f>
        <v>#VALUE!</v>
      </c>
      <c r="HG193" t="e">
        <f>Nodes!V1597+"'E4!)=&amp;"</f>
        <v>#VALUE!</v>
      </c>
      <c r="HH193" t="e">
        <f>Nodes!W1597+"'E4!)='"</f>
        <v>#VALUE!</v>
      </c>
      <c r="HI193" t="e">
        <f>Nodes!X1597+"'E4!)=("</f>
        <v>#VALUE!</v>
      </c>
      <c r="HJ193" t="e">
        <f>Nodes!Y1597+"'E4!)=)"</f>
        <v>#VALUE!</v>
      </c>
      <c r="HK193" t="e">
        <f>Nodes!Z1597+"'E4!)=."</f>
        <v>#VALUE!</v>
      </c>
      <c r="HL193" t="e">
        <f>Nodes!AA1597+"'E4!)=/"</f>
        <v>#VALUE!</v>
      </c>
      <c r="HM193" t="e">
        <f>Nodes!AB1597+"'E4!)=0"</f>
        <v>#VALUE!</v>
      </c>
      <c r="HN193" t="e">
        <f>Nodes!AC1597+"'E4!)=1"</f>
        <v>#VALUE!</v>
      </c>
      <c r="HO193" t="e">
        <f>Nodes!A1598+"'E4!)=2"</f>
        <v>#VALUE!</v>
      </c>
      <c r="HP193" t="e">
        <f>Nodes!B1598+"'E4!)=3"</f>
        <v>#VALUE!</v>
      </c>
      <c r="HQ193" t="e">
        <f>Nodes!C1598+"'E4!)=4"</f>
        <v>#VALUE!</v>
      </c>
      <c r="HR193" t="e">
        <f>Nodes!D1598+"'E4!)=5"</f>
        <v>#VALUE!</v>
      </c>
      <c r="HS193" t="e">
        <f>Nodes!E1598+"'E4!)=6"</f>
        <v>#VALUE!</v>
      </c>
      <c r="HT193" t="e">
        <f>Nodes!F1598+"'E4!)=7"</f>
        <v>#VALUE!</v>
      </c>
      <c r="HU193" t="e">
        <f>Nodes!G1598+"'E4!)=8"</f>
        <v>#VALUE!</v>
      </c>
      <c r="HV193" t="e">
        <f>Nodes!H1598+"'E4!)=9"</f>
        <v>#VALUE!</v>
      </c>
      <c r="HW193" t="e">
        <f>Nodes!I1598+"'E4!)=:"</f>
        <v>#VALUE!</v>
      </c>
      <c r="HX193" t="e">
        <f>Nodes!J1598+"'E4!)=;"</f>
        <v>#VALUE!</v>
      </c>
      <c r="HY193" t="e">
        <f>Nodes!K1598+"'E4!)=&lt;"</f>
        <v>#VALUE!</v>
      </c>
      <c r="HZ193" t="e">
        <f>Nodes!L1598+"'E4!)=="</f>
        <v>#VALUE!</v>
      </c>
      <c r="IA193" t="e">
        <f>Nodes!M1598+"'E4!)=&gt;"</f>
        <v>#VALUE!</v>
      </c>
      <c r="IB193" t="e">
        <f>Nodes!N1598+"'E4!)=?"</f>
        <v>#VALUE!</v>
      </c>
      <c r="IC193" t="e">
        <f>Nodes!O1598+"'E4!)=@"</f>
        <v>#VALUE!</v>
      </c>
      <c r="ID193" t="e">
        <f>Nodes!P1598+"'E4!)=A"</f>
        <v>#VALUE!</v>
      </c>
      <c r="IE193" t="e">
        <f>Nodes!Q1598+"'E4!)=B"</f>
        <v>#VALUE!</v>
      </c>
      <c r="IF193" t="e">
        <f>Nodes!R1598+"'E4!)=C"</f>
        <v>#VALUE!</v>
      </c>
      <c r="IG193" t="e">
        <f>Nodes!S1598+"'E4!)=D"</f>
        <v>#VALUE!</v>
      </c>
      <c r="IH193" t="e">
        <f>Nodes!T1598+"'E4!)=E"</f>
        <v>#VALUE!</v>
      </c>
      <c r="II193" t="e">
        <f>Nodes!U1598+"'E4!)=F"</f>
        <v>#VALUE!</v>
      </c>
      <c r="IJ193" t="e">
        <f>Nodes!V1598+"'E4!)=G"</f>
        <v>#VALUE!</v>
      </c>
      <c r="IK193" t="e">
        <f>Nodes!W1598+"'E4!)=H"</f>
        <v>#VALUE!</v>
      </c>
      <c r="IL193" t="e">
        <f>Nodes!X1598+"'E4!)=I"</f>
        <v>#VALUE!</v>
      </c>
      <c r="IM193" t="e">
        <f>Nodes!Y1598+"'E4!)=J"</f>
        <v>#VALUE!</v>
      </c>
      <c r="IN193" t="e">
        <f>Nodes!Z1598+"'E4!)=K"</f>
        <v>#VALUE!</v>
      </c>
      <c r="IO193" t="e">
        <f>Nodes!AA1598+"'E4!)=L"</f>
        <v>#VALUE!</v>
      </c>
      <c r="IP193" t="e">
        <f>Nodes!AB1598+"'E4!)=M"</f>
        <v>#VALUE!</v>
      </c>
      <c r="IQ193" t="e">
        <f>Nodes!AC1598+"'E4!)=N"</f>
        <v>#VALUE!</v>
      </c>
      <c r="IR193" t="e">
        <f>Nodes!A1599+"'E4!)=O"</f>
        <v>#VALUE!</v>
      </c>
      <c r="IS193" t="e">
        <f>Nodes!B1599+"'E4!)=P"</f>
        <v>#VALUE!</v>
      </c>
      <c r="IT193" t="e">
        <f>Nodes!C1599+"'E4!)=Q"</f>
        <v>#VALUE!</v>
      </c>
      <c r="IU193" t="e">
        <f>Nodes!D1599+"'E4!)=R"</f>
        <v>#VALUE!</v>
      </c>
      <c r="IV193" t="e">
        <f>Nodes!E1599+"'E4!)=S"</f>
        <v>#VALUE!</v>
      </c>
    </row>
    <row r="194" spans="6:256">
      <c r="F194" t="e">
        <f>Nodes!F1599+"'E4!)=T"</f>
        <v>#VALUE!</v>
      </c>
      <c r="G194" t="e">
        <f>Nodes!G1599+"'E4!)=U"</f>
        <v>#VALUE!</v>
      </c>
      <c r="H194" t="e">
        <f>Nodes!H1599+"'E4!)=V"</f>
        <v>#VALUE!</v>
      </c>
      <c r="I194" t="e">
        <f>Nodes!I1599+"'E4!)=W"</f>
        <v>#VALUE!</v>
      </c>
      <c r="J194" t="e">
        <f>Nodes!J1599+"'E4!)=X"</f>
        <v>#VALUE!</v>
      </c>
      <c r="K194" t="e">
        <f>Nodes!K1599+"'E4!)=Y"</f>
        <v>#VALUE!</v>
      </c>
      <c r="L194" t="e">
        <f>Nodes!L1599+"'E4!)=Z"</f>
        <v>#VALUE!</v>
      </c>
      <c r="M194" t="e">
        <f>Nodes!M1599+"'E4!)=["</f>
        <v>#VALUE!</v>
      </c>
      <c r="N194" t="e">
        <f>Nodes!N1599+"'E4!)=\"</f>
        <v>#VALUE!</v>
      </c>
      <c r="O194" t="e">
        <f>Nodes!O1599+"'E4!)=]"</f>
        <v>#VALUE!</v>
      </c>
      <c r="P194" t="e">
        <f>Nodes!P1599+"'E4!)=^"</f>
        <v>#VALUE!</v>
      </c>
      <c r="Q194" t="e">
        <f>Nodes!Q1599+"'E4!)=_"</f>
        <v>#VALUE!</v>
      </c>
      <c r="R194" t="e">
        <f>Nodes!R1599+"'E4!)=`"</f>
        <v>#VALUE!</v>
      </c>
      <c r="S194" t="e">
        <f>Nodes!S1599+"'E4!)=a"</f>
        <v>#VALUE!</v>
      </c>
      <c r="T194" t="e">
        <f>Nodes!T1599+"'E4!)=b"</f>
        <v>#VALUE!</v>
      </c>
      <c r="U194" t="e">
        <f>Nodes!U1599+"'E4!)=c"</f>
        <v>#VALUE!</v>
      </c>
      <c r="V194" t="e">
        <f>Nodes!V1599+"'E4!)=d"</f>
        <v>#VALUE!</v>
      </c>
      <c r="W194" t="e">
        <f>Nodes!W1599+"'E4!)=e"</f>
        <v>#VALUE!</v>
      </c>
      <c r="X194" t="e">
        <f>Nodes!X1599+"'E4!)=f"</f>
        <v>#VALUE!</v>
      </c>
      <c r="Y194" t="e">
        <f>Nodes!Y1599+"'E4!)=g"</f>
        <v>#VALUE!</v>
      </c>
      <c r="Z194" t="e">
        <f>Nodes!Z1599+"'E4!)=h"</f>
        <v>#VALUE!</v>
      </c>
      <c r="AA194" t="e">
        <f>Nodes!AA1599+"'E4!)=i"</f>
        <v>#VALUE!</v>
      </c>
      <c r="AB194" t="e">
        <f>Nodes!AB1599+"'E4!)=j"</f>
        <v>#VALUE!</v>
      </c>
      <c r="AC194" t="e">
        <f>Nodes!AC1599+"'E4!)=k"</f>
        <v>#VALUE!</v>
      </c>
      <c r="AD194" t="e">
        <f>Nodes!A1600+"'E4!)=l"</f>
        <v>#VALUE!</v>
      </c>
      <c r="AE194" t="e">
        <f>Nodes!B1600+"'E4!)=m"</f>
        <v>#VALUE!</v>
      </c>
      <c r="AF194" t="e">
        <f>Nodes!C1600+"'E4!)=n"</f>
        <v>#VALUE!</v>
      </c>
      <c r="AG194" t="e">
        <f>Nodes!D1600+"'E4!)=o"</f>
        <v>#VALUE!</v>
      </c>
      <c r="AH194" t="e">
        <f>Nodes!E1600+"'E4!)=p"</f>
        <v>#VALUE!</v>
      </c>
      <c r="AI194" t="e">
        <f>Nodes!F1600+"'E4!)=q"</f>
        <v>#VALUE!</v>
      </c>
      <c r="AJ194" t="e">
        <f>Nodes!G1600+"'E4!)=r"</f>
        <v>#VALUE!</v>
      </c>
      <c r="AK194" t="e">
        <f>Nodes!H1600+"'E4!)=s"</f>
        <v>#VALUE!</v>
      </c>
      <c r="AL194" t="e">
        <f>Nodes!I1600+"'E4!)=t"</f>
        <v>#VALUE!</v>
      </c>
      <c r="AM194" t="e">
        <f>Nodes!J1600+"'E4!)=u"</f>
        <v>#VALUE!</v>
      </c>
      <c r="AN194" t="e">
        <f>Nodes!K1600+"'E4!)=v"</f>
        <v>#VALUE!</v>
      </c>
      <c r="AO194" t="e">
        <f>Nodes!L1600+"'E4!)=w"</f>
        <v>#VALUE!</v>
      </c>
      <c r="AP194" t="e">
        <f>Nodes!M1600+"'E4!)=x"</f>
        <v>#VALUE!</v>
      </c>
      <c r="AQ194" t="e">
        <f>Nodes!N1600+"'E4!)=y"</f>
        <v>#VALUE!</v>
      </c>
      <c r="AR194" t="e">
        <f>Nodes!O1600+"'E4!)=z"</f>
        <v>#VALUE!</v>
      </c>
      <c r="AS194" t="e">
        <f>Nodes!P1600+"'E4!)={"</f>
        <v>#VALUE!</v>
      </c>
      <c r="AT194" t="e">
        <f>Nodes!Q1600+"'E4!)=|"</f>
        <v>#VALUE!</v>
      </c>
      <c r="AU194" t="e">
        <f>Nodes!R1600+"'E4!)=}"</f>
        <v>#VALUE!</v>
      </c>
      <c r="AV194" t="e">
        <f>Nodes!S1600+"'E4!)=~"</f>
        <v>#VALUE!</v>
      </c>
      <c r="AW194" t="e">
        <f>Nodes!T1600+"'E4!)&gt;#"</f>
        <v>#VALUE!</v>
      </c>
      <c r="AX194" t="e">
        <f>Nodes!U1600+"'E4!)&gt;$"</f>
        <v>#VALUE!</v>
      </c>
      <c r="AY194" t="e">
        <f>Nodes!V1600+"'E4!)&gt;%"</f>
        <v>#VALUE!</v>
      </c>
      <c r="AZ194" t="e">
        <f>Nodes!W1600+"'E4!)&gt;&amp;"</f>
        <v>#VALUE!</v>
      </c>
      <c r="BA194" t="e">
        <f>Nodes!X1600+"'E4!)&gt;'"</f>
        <v>#VALUE!</v>
      </c>
      <c r="BB194" t="e">
        <f>Nodes!Y1600+"'E4!)&gt;("</f>
        <v>#VALUE!</v>
      </c>
      <c r="BC194" t="e">
        <f>Nodes!Z1600+"'E4!)&gt;)"</f>
        <v>#VALUE!</v>
      </c>
      <c r="BD194" t="e">
        <f>Nodes!AA1600+"'E4!)&gt;."</f>
        <v>#VALUE!</v>
      </c>
      <c r="BE194" t="e">
        <f>Nodes!AB1600+"'E4!)&gt;/"</f>
        <v>#VALUE!</v>
      </c>
      <c r="BF194" t="e">
        <f>Nodes!AC1600+"'E4!)&gt;0"</f>
        <v>#VALUE!</v>
      </c>
      <c r="BG194" t="e">
        <f>Nodes!A1601+"'E4!)&gt;1"</f>
        <v>#VALUE!</v>
      </c>
      <c r="BH194" t="e">
        <f>Nodes!B1601+"'E4!)&gt;2"</f>
        <v>#VALUE!</v>
      </c>
      <c r="BI194" t="e">
        <f>Nodes!C1601+"'E4!)&gt;3"</f>
        <v>#VALUE!</v>
      </c>
      <c r="BJ194" t="e">
        <f>Nodes!D1601+"'E4!)&gt;4"</f>
        <v>#VALUE!</v>
      </c>
      <c r="BK194" t="e">
        <f>Nodes!E1601+"'E4!)&gt;5"</f>
        <v>#VALUE!</v>
      </c>
      <c r="BL194" t="e">
        <f>Nodes!F1601+"'E4!)&gt;6"</f>
        <v>#VALUE!</v>
      </c>
      <c r="BM194" t="e">
        <f>Nodes!G1601+"'E4!)&gt;7"</f>
        <v>#VALUE!</v>
      </c>
      <c r="BN194" t="e">
        <f>Nodes!H1601+"'E4!)&gt;8"</f>
        <v>#VALUE!</v>
      </c>
      <c r="BO194" t="e">
        <f>Nodes!I1601+"'E4!)&gt;9"</f>
        <v>#VALUE!</v>
      </c>
      <c r="BP194" t="e">
        <f>Nodes!J1601+"'E4!)&gt;:"</f>
        <v>#VALUE!</v>
      </c>
      <c r="BQ194" t="e">
        <f>Nodes!K1601+"'E4!)&gt;;"</f>
        <v>#VALUE!</v>
      </c>
      <c r="BR194" t="e">
        <f>Nodes!L1601+"'E4!)&gt;&lt;"</f>
        <v>#VALUE!</v>
      </c>
      <c r="BS194" t="e">
        <f>Nodes!M1601+"'E4!)&gt;="</f>
        <v>#VALUE!</v>
      </c>
      <c r="BT194" t="e">
        <f>Nodes!N1601+"'E4!)&gt;&gt;"</f>
        <v>#VALUE!</v>
      </c>
      <c r="BU194" t="e">
        <f>Nodes!O1601+"'E4!)&gt;?"</f>
        <v>#VALUE!</v>
      </c>
      <c r="BV194" t="e">
        <f>Nodes!P1601+"'E4!)&gt;@"</f>
        <v>#VALUE!</v>
      </c>
      <c r="BW194" t="e">
        <f>Nodes!Q1601+"'E4!)&gt;A"</f>
        <v>#VALUE!</v>
      </c>
      <c r="BX194" t="e">
        <f>Nodes!R1601+"'E4!)&gt;B"</f>
        <v>#VALUE!</v>
      </c>
      <c r="BY194" t="e">
        <f>Nodes!S1601+"'E4!)&gt;C"</f>
        <v>#VALUE!</v>
      </c>
      <c r="BZ194" t="e">
        <f>Nodes!T1601+"'E4!)&gt;D"</f>
        <v>#VALUE!</v>
      </c>
      <c r="CA194" t="e">
        <f>Nodes!U1601+"'E4!)&gt;E"</f>
        <v>#VALUE!</v>
      </c>
      <c r="CB194" t="e">
        <f>Nodes!V1601+"'E4!)&gt;F"</f>
        <v>#VALUE!</v>
      </c>
      <c r="CC194" t="e">
        <f>Nodes!W1601+"'E4!)&gt;G"</f>
        <v>#VALUE!</v>
      </c>
      <c r="CD194" t="e">
        <f>Nodes!X1601+"'E4!)&gt;H"</f>
        <v>#VALUE!</v>
      </c>
      <c r="CE194" t="e">
        <f>Nodes!Y1601+"'E4!)&gt;I"</f>
        <v>#VALUE!</v>
      </c>
      <c r="CF194" t="e">
        <f>Nodes!Z1601+"'E4!)&gt;J"</f>
        <v>#VALUE!</v>
      </c>
      <c r="CG194" t="e">
        <f>Nodes!AA1601+"'E4!)&gt;K"</f>
        <v>#VALUE!</v>
      </c>
      <c r="CH194" t="e">
        <f>Nodes!AB1601+"'E4!)&gt;L"</f>
        <v>#VALUE!</v>
      </c>
      <c r="CI194" t="e">
        <f>Nodes!AC1601+"'E4!)&gt;M"</f>
        <v>#VALUE!</v>
      </c>
      <c r="CJ194" t="e">
        <f>Nodes!A1602+"'E4!)&gt;N"</f>
        <v>#VALUE!</v>
      </c>
      <c r="CK194" t="e">
        <f>Nodes!B1602+"'E4!)&gt;O"</f>
        <v>#VALUE!</v>
      </c>
      <c r="CL194" t="e">
        <f>Nodes!C1602+"'E4!)&gt;P"</f>
        <v>#VALUE!</v>
      </c>
      <c r="CM194" t="e">
        <f>Nodes!D1602+"'E4!)&gt;Q"</f>
        <v>#VALUE!</v>
      </c>
      <c r="CN194" t="e">
        <f>Nodes!E1602+"'E4!)&gt;R"</f>
        <v>#VALUE!</v>
      </c>
      <c r="CO194" t="e">
        <f>Nodes!F1602+"'E4!)&gt;S"</f>
        <v>#VALUE!</v>
      </c>
      <c r="CP194" t="e">
        <f>Nodes!G1602+"'E4!)&gt;T"</f>
        <v>#VALUE!</v>
      </c>
      <c r="CQ194" t="e">
        <f>Nodes!H1602+"'E4!)&gt;U"</f>
        <v>#VALUE!</v>
      </c>
      <c r="CR194" t="e">
        <f>Nodes!I1602+"'E4!)&gt;V"</f>
        <v>#VALUE!</v>
      </c>
      <c r="CS194" t="e">
        <f>Nodes!J1602+"'E4!)&gt;W"</f>
        <v>#VALUE!</v>
      </c>
      <c r="CT194" t="e">
        <f>Nodes!K1602+"'E4!)&gt;X"</f>
        <v>#VALUE!</v>
      </c>
      <c r="CU194" t="e">
        <f>Nodes!L1602+"'E4!)&gt;Y"</f>
        <v>#VALUE!</v>
      </c>
      <c r="CV194" t="e">
        <f>Nodes!M1602+"'E4!)&gt;Z"</f>
        <v>#VALUE!</v>
      </c>
      <c r="CW194" t="e">
        <f>Nodes!N1602+"'E4!)&gt;["</f>
        <v>#VALUE!</v>
      </c>
      <c r="CX194" t="e">
        <f>Nodes!O1602+"'E4!)&gt;\"</f>
        <v>#VALUE!</v>
      </c>
      <c r="CY194" t="e">
        <f>Nodes!P1602+"'E4!)&gt;]"</f>
        <v>#VALUE!</v>
      </c>
      <c r="CZ194" t="e">
        <f>Nodes!Q1602+"'E4!)&gt;^"</f>
        <v>#VALUE!</v>
      </c>
      <c r="DA194" t="e">
        <f>Nodes!R1602+"'E4!)&gt;_"</f>
        <v>#VALUE!</v>
      </c>
      <c r="DB194" t="e">
        <f>Nodes!S1602+"'E4!)&gt;`"</f>
        <v>#VALUE!</v>
      </c>
      <c r="DC194" t="e">
        <f>Nodes!T1602+"'E4!)&gt;a"</f>
        <v>#VALUE!</v>
      </c>
      <c r="DD194" t="e">
        <f>Nodes!U1602+"'E4!)&gt;b"</f>
        <v>#VALUE!</v>
      </c>
      <c r="DE194" t="e">
        <f>Nodes!V1602+"'E4!)&gt;c"</f>
        <v>#VALUE!</v>
      </c>
      <c r="DF194" t="e">
        <f>Nodes!W1602+"'E4!)&gt;d"</f>
        <v>#VALUE!</v>
      </c>
      <c r="DG194" t="e">
        <f>Nodes!X1602+"'E4!)&gt;e"</f>
        <v>#VALUE!</v>
      </c>
      <c r="DH194" t="e">
        <f>Nodes!Y1602+"'E4!)&gt;f"</f>
        <v>#VALUE!</v>
      </c>
      <c r="DI194" t="e">
        <f>Nodes!Z1602+"'E4!)&gt;g"</f>
        <v>#VALUE!</v>
      </c>
      <c r="DJ194" t="e">
        <f>Nodes!AA1602+"'E4!)&gt;h"</f>
        <v>#VALUE!</v>
      </c>
      <c r="DK194" t="e">
        <f>Nodes!AB1602+"'E4!)&gt;i"</f>
        <v>#VALUE!</v>
      </c>
      <c r="DL194" t="e">
        <f>Nodes!AC1602+"'E4!)&gt;j"</f>
        <v>#VALUE!</v>
      </c>
      <c r="DM194" t="e">
        <f>Nodes!A1603+"'E4!)&gt;k"</f>
        <v>#VALUE!</v>
      </c>
      <c r="DN194" t="e">
        <f>Nodes!B1603+"'E4!)&gt;l"</f>
        <v>#VALUE!</v>
      </c>
      <c r="DO194" t="e">
        <f>Nodes!C1603+"'E4!)&gt;m"</f>
        <v>#VALUE!</v>
      </c>
      <c r="DP194" t="e">
        <f>Nodes!D1603+"'E4!)&gt;n"</f>
        <v>#VALUE!</v>
      </c>
      <c r="DQ194" t="e">
        <f>Nodes!E1603+"'E4!)&gt;o"</f>
        <v>#VALUE!</v>
      </c>
      <c r="DR194" t="e">
        <f>Nodes!F1603+"'E4!)&gt;p"</f>
        <v>#VALUE!</v>
      </c>
      <c r="DS194" t="e">
        <f>Nodes!G1603+"'E4!)&gt;q"</f>
        <v>#VALUE!</v>
      </c>
      <c r="DT194" t="e">
        <f>Nodes!H1603+"'E4!)&gt;r"</f>
        <v>#VALUE!</v>
      </c>
      <c r="DU194" t="e">
        <f>Nodes!I1603+"'E4!)&gt;s"</f>
        <v>#VALUE!</v>
      </c>
      <c r="DV194" t="e">
        <f>Nodes!J1603+"'E4!)&gt;t"</f>
        <v>#VALUE!</v>
      </c>
      <c r="DW194" t="e">
        <f>Nodes!K1603+"'E4!)&gt;u"</f>
        <v>#VALUE!</v>
      </c>
      <c r="DX194" t="e">
        <f>Nodes!L1603+"'E4!)&gt;v"</f>
        <v>#VALUE!</v>
      </c>
      <c r="DY194" t="e">
        <f>Nodes!M1603+"'E4!)&gt;w"</f>
        <v>#VALUE!</v>
      </c>
      <c r="DZ194" t="e">
        <f>Nodes!N1603+"'E4!)&gt;x"</f>
        <v>#VALUE!</v>
      </c>
      <c r="EA194" t="e">
        <f>Nodes!O1603+"'E4!)&gt;y"</f>
        <v>#VALUE!</v>
      </c>
      <c r="EB194" t="e">
        <f>Nodes!P1603+"'E4!)&gt;z"</f>
        <v>#VALUE!</v>
      </c>
      <c r="EC194" t="e">
        <f>Nodes!Q1603+"'E4!)&gt;{"</f>
        <v>#VALUE!</v>
      </c>
      <c r="ED194" t="e">
        <f>Nodes!R1603+"'E4!)&gt;|"</f>
        <v>#VALUE!</v>
      </c>
      <c r="EE194" t="e">
        <f>Nodes!S1603+"'E4!)&gt;}"</f>
        <v>#VALUE!</v>
      </c>
      <c r="EF194" t="e">
        <f>Nodes!T1603+"'E4!)&gt;~"</f>
        <v>#VALUE!</v>
      </c>
      <c r="EG194" t="e">
        <f>Nodes!U1603+"'E4!)?#"</f>
        <v>#VALUE!</v>
      </c>
      <c r="EH194" t="e">
        <f>Nodes!V1603+"'E4!)?$"</f>
        <v>#VALUE!</v>
      </c>
      <c r="EI194" t="e">
        <f>Nodes!W1603+"'E4!)?%"</f>
        <v>#VALUE!</v>
      </c>
      <c r="EJ194" t="e">
        <f>Nodes!X1603+"'E4!)?&amp;"</f>
        <v>#VALUE!</v>
      </c>
      <c r="EK194" t="e">
        <f>Nodes!Y1603+"'E4!)?'"</f>
        <v>#VALUE!</v>
      </c>
      <c r="EL194" t="e">
        <f>Nodes!Z1603+"'E4!)?("</f>
        <v>#VALUE!</v>
      </c>
      <c r="EM194" t="e">
        <f>Nodes!AA1603+"'E4!)?)"</f>
        <v>#VALUE!</v>
      </c>
      <c r="EN194" t="e">
        <f>Nodes!AB1603+"'E4!)?."</f>
        <v>#VALUE!</v>
      </c>
      <c r="EO194" t="e">
        <f>Nodes!AC1603+"'E4!)?/"</f>
        <v>#VALUE!</v>
      </c>
      <c r="EP194" t="e">
        <f>Nodes!A1604+"'E4!)?0"</f>
        <v>#VALUE!</v>
      </c>
      <c r="EQ194" t="e">
        <f>Nodes!B1604+"'E4!)?1"</f>
        <v>#VALUE!</v>
      </c>
      <c r="ER194" t="e">
        <f>Nodes!C1604+"'E4!)?2"</f>
        <v>#VALUE!</v>
      </c>
      <c r="ES194" t="e">
        <f>Nodes!D1604+"'E4!)?3"</f>
        <v>#VALUE!</v>
      </c>
      <c r="ET194" t="e">
        <f>Nodes!E1604+"'E4!)?4"</f>
        <v>#VALUE!</v>
      </c>
      <c r="EU194" t="e">
        <f>Nodes!F1604+"'E4!)?5"</f>
        <v>#VALUE!</v>
      </c>
      <c r="EV194" t="e">
        <f>Nodes!G1604+"'E4!)?6"</f>
        <v>#VALUE!</v>
      </c>
      <c r="EW194" t="e">
        <f>Nodes!H1604+"'E4!)?7"</f>
        <v>#VALUE!</v>
      </c>
      <c r="EX194" t="e">
        <f>Nodes!I1604+"'E4!)?8"</f>
        <v>#VALUE!</v>
      </c>
      <c r="EY194" t="e">
        <f>Nodes!J1604+"'E4!)?9"</f>
        <v>#VALUE!</v>
      </c>
      <c r="EZ194" t="e">
        <f>Nodes!K1604+"'E4!)?:"</f>
        <v>#VALUE!</v>
      </c>
      <c r="FA194" t="e">
        <f>Nodes!L1604+"'E4!)?;"</f>
        <v>#VALUE!</v>
      </c>
      <c r="FB194" t="e">
        <f>Nodes!M1604+"'E4!)?&lt;"</f>
        <v>#VALUE!</v>
      </c>
      <c r="FC194" t="e">
        <f>Nodes!N1604+"'E4!)?="</f>
        <v>#VALUE!</v>
      </c>
      <c r="FD194" t="e">
        <f>Nodes!O1604+"'E4!)?&gt;"</f>
        <v>#VALUE!</v>
      </c>
      <c r="FE194" t="e">
        <f>Nodes!P1604+"'E4!)??"</f>
        <v>#VALUE!</v>
      </c>
      <c r="FF194" t="e">
        <f>Nodes!Q1604+"'E4!)?@"</f>
        <v>#VALUE!</v>
      </c>
      <c r="FG194" t="e">
        <f>Nodes!R1604+"'E4!)?A"</f>
        <v>#VALUE!</v>
      </c>
      <c r="FH194" t="e">
        <f>Nodes!S1604+"'E4!)?B"</f>
        <v>#VALUE!</v>
      </c>
      <c r="FI194" t="e">
        <f>Nodes!T1604+"'E4!)?C"</f>
        <v>#VALUE!</v>
      </c>
      <c r="FJ194" t="e">
        <f>Nodes!U1604+"'E4!)?D"</f>
        <v>#VALUE!</v>
      </c>
      <c r="FK194" t="e">
        <f>Nodes!V1604+"'E4!)?E"</f>
        <v>#VALUE!</v>
      </c>
      <c r="FL194" t="e">
        <f>Nodes!W1604+"'E4!)?F"</f>
        <v>#VALUE!</v>
      </c>
      <c r="FM194" t="e">
        <f>Nodes!X1604+"'E4!)?G"</f>
        <v>#VALUE!</v>
      </c>
      <c r="FN194" t="e">
        <f>Nodes!Y1604+"'E4!)?H"</f>
        <v>#VALUE!</v>
      </c>
      <c r="FO194" t="e">
        <f>Nodes!Z1604+"'E4!)?I"</f>
        <v>#VALUE!</v>
      </c>
      <c r="FP194" t="e">
        <f>Nodes!AA1604+"'E4!)?J"</f>
        <v>#VALUE!</v>
      </c>
      <c r="FQ194" t="e">
        <f>Nodes!AB1604+"'E4!)?K"</f>
        <v>#VALUE!</v>
      </c>
      <c r="FR194" t="e">
        <f>Nodes!AC1604+"'E4!)?L"</f>
        <v>#VALUE!</v>
      </c>
      <c r="FS194" t="e">
        <f>Nodes!A1605+"'E4!)?M"</f>
        <v>#VALUE!</v>
      </c>
      <c r="FT194" t="e">
        <f>Nodes!B1605+"'E4!)?N"</f>
        <v>#VALUE!</v>
      </c>
      <c r="FU194" t="e">
        <f>Nodes!C1605+"'E4!)?O"</f>
        <v>#VALUE!</v>
      </c>
      <c r="FV194" t="e">
        <f>Nodes!D1605+"'E4!)?P"</f>
        <v>#VALUE!</v>
      </c>
      <c r="FW194" t="e">
        <f>Nodes!E1605+"'E4!)?Q"</f>
        <v>#VALUE!</v>
      </c>
      <c r="FX194" t="e">
        <f>Nodes!F1605+"'E4!)?R"</f>
        <v>#VALUE!</v>
      </c>
      <c r="FY194" t="e">
        <f>Nodes!G1605+"'E4!)?S"</f>
        <v>#VALUE!</v>
      </c>
      <c r="FZ194" t="e">
        <f>Nodes!H1605+"'E4!)?T"</f>
        <v>#VALUE!</v>
      </c>
      <c r="GA194" t="e">
        <f>Nodes!I1605+"'E4!)?U"</f>
        <v>#VALUE!</v>
      </c>
      <c r="GB194" t="e">
        <f>Nodes!J1605+"'E4!)?V"</f>
        <v>#VALUE!</v>
      </c>
      <c r="GC194" t="e">
        <f>Nodes!K1605+"'E4!)?W"</f>
        <v>#VALUE!</v>
      </c>
      <c r="GD194" t="e">
        <f>Nodes!L1605+"'E4!)?X"</f>
        <v>#VALUE!</v>
      </c>
      <c r="GE194" t="e">
        <f>Nodes!M1605+"'E4!)?Y"</f>
        <v>#VALUE!</v>
      </c>
      <c r="GF194" t="e">
        <f>Nodes!N1605+"'E4!)?Z"</f>
        <v>#VALUE!</v>
      </c>
      <c r="GG194" t="e">
        <f>Nodes!O1605+"'E4!)?["</f>
        <v>#VALUE!</v>
      </c>
      <c r="GH194" t="e">
        <f>Nodes!P1605+"'E4!)?\"</f>
        <v>#VALUE!</v>
      </c>
      <c r="GI194" t="e">
        <f>Nodes!Q1605+"'E4!)?]"</f>
        <v>#VALUE!</v>
      </c>
      <c r="GJ194" t="e">
        <f>Nodes!R1605+"'E4!)?^"</f>
        <v>#VALUE!</v>
      </c>
      <c r="GK194" t="e">
        <f>Nodes!S1605+"'E4!)?_"</f>
        <v>#VALUE!</v>
      </c>
      <c r="GL194" t="e">
        <f>Nodes!T1605+"'E4!)?`"</f>
        <v>#VALUE!</v>
      </c>
      <c r="GM194" t="e">
        <f>Nodes!U1605+"'E4!)?a"</f>
        <v>#VALUE!</v>
      </c>
      <c r="GN194" t="e">
        <f>Nodes!V1605+"'E4!)?b"</f>
        <v>#VALUE!</v>
      </c>
      <c r="GO194" t="e">
        <f>Nodes!W1605+"'E4!)?c"</f>
        <v>#VALUE!</v>
      </c>
      <c r="GP194" t="e">
        <f>Nodes!X1605+"'E4!)?d"</f>
        <v>#VALUE!</v>
      </c>
      <c r="GQ194" t="e">
        <f>Nodes!Y1605+"'E4!)?e"</f>
        <v>#VALUE!</v>
      </c>
      <c r="GR194" t="e">
        <f>Nodes!Z1605+"'E4!)?f"</f>
        <v>#VALUE!</v>
      </c>
      <c r="GS194" t="e">
        <f>Nodes!AA1605+"'E4!)?g"</f>
        <v>#VALUE!</v>
      </c>
      <c r="GT194" t="e">
        <f>Nodes!AB1605+"'E4!)?h"</f>
        <v>#VALUE!</v>
      </c>
      <c r="GU194" t="e">
        <f>Nodes!AC1605+"'E4!)?i"</f>
        <v>#VALUE!</v>
      </c>
      <c r="GV194" t="e">
        <f>Nodes!A1606+"'E4!)?j"</f>
        <v>#VALUE!</v>
      </c>
      <c r="GW194" t="e">
        <f>Nodes!B1606+"'E4!)?k"</f>
        <v>#VALUE!</v>
      </c>
      <c r="GX194" t="e">
        <f>Nodes!C1606+"'E4!)?l"</f>
        <v>#VALUE!</v>
      </c>
      <c r="GY194" t="e">
        <f>Nodes!D1606+"'E4!)?m"</f>
        <v>#VALUE!</v>
      </c>
      <c r="GZ194" t="e">
        <f>Nodes!E1606+"'E4!)?n"</f>
        <v>#VALUE!</v>
      </c>
      <c r="HA194" t="e">
        <f>Nodes!F1606+"'E4!)?o"</f>
        <v>#VALUE!</v>
      </c>
      <c r="HB194" t="e">
        <f>Nodes!G1606+"'E4!)?p"</f>
        <v>#VALUE!</v>
      </c>
      <c r="HC194" t="e">
        <f>Nodes!H1606+"'E4!)?q"</f>
        <v>#VALUE!</v>
      </c>
      <c r="HD194" t="e">
        <f>Nodes!I1606+"'E4!)?r"</f>
        <v>#VALUE!</v>
      </c>
      <c r="HE194" t="e">
        <f>Nodes!J1606+"'E4!)?s"</f>
        <v>#VALUE!</v>
      </c>
      <c r="HF194" t="e">
        <f>Nodes!K1606+"'E4!)?t"</f>
        <v>#VALUE!</v>
      </c>
      <c r="HG194" t="e">
        <f>Nodes!L1606+"'E4!)?u"</f>
        <v>#VALUE!</v>
      </c>
      <c r="HH194" t="e">
        <f>Nodes!M1606+"'E4!)?v"</f>
        <v>#VALUE!</v>
      </c>
      <c r="HI194" t="e">
        <f>Nodes!N1606+"'E4!)?w"</f>
        <v>#VALUE!</v>
      </c>
      <c r="HJ194" t="e">
        <f>Nodes!O1606+"'E4!)?x"</f>
        <v>#VALUE!</v>
      </c>
      <c r="HK194" t="e">
        <f>Nodes!P1606+"'E4!)?y"</f>
        <v>#VALUE!</v>
      </c>
      <c r="HL194" t="e">
        <f>Nodes!Q1606+"'E4!)?z"</f>
        <v>#VALUE!</v>
      </c>
      <c r="HM194" t="e">
        <f>Nodes!R1606+"'E4!)?{"</f>
        <v>#VALUE!</v>
      </c>
      <c r="HN194" t="e">
        <f>Nodes!S1606+"'E4!)?|"</f>
        <v>#VALUE!</v>
      </c>
      <c r="HO194" t="e">
        <f>Nodes!T1606+"'E4!)?}"</f>
        <v>#VALUE!</v>
      </c>
      <c r="HP194" t="e">
        <f>Nodes!U1606+"'E4!)?~"</f>
        <v>#VALUE!</v>
      </c>
      <c r="HQ194" t="e">
        <f>Nodes!V1606+"'E4!)@#"</f>
        <v>#VALUE!</v>
      </c>
      <c r="HR194" t="e">
        <f>Nodes!W1606+"'E4!)@$"</f>
        <v>#VALUE!</v>
      </c>
      <c r="HS194" t="e">
        <f>Nodes!X1606+"'E4!)@%"</f>
        <v>#VALUE!</v>
      </c>
      <c r="HT194" t="e">
        <f>Nodes!Y1606+"'E4!)@&amp;"</f>
        <v>#VALUE!</v>
      </c>
      <c r="HU194" t="e">
        <f>Nodes!Z1606+"'E4!)@'"</f>
        <v>#VALUE!</v>
      </c>
      <c r="HV194" t="e">
        <f>Nodes!AA1606+"'E4!)@("</f>
        <v>#VALUE!</v>
      </c>
      <c r="HW194" t="e">
        <f>Nodes!AB1606+"'E4!)@)"</f>
        <v>#VALUE!</v>
      </c>
      <c r="HX194" t="e">
        <f>Nodes!AC1606+"'E4!)@."</f>
        <v>#VALUE!</v>
      </c>
      <c r="HY194" t="e">
        <f>Nodes!A1607+"'E4!)@/"</f>
        <v>#VALUE!</v>
      </c>
      <c r="HZ194" t="e">
        <f>Nodes!B1607+"'E4!)@0"</f>
        <v>#VALUE!</v>
      </c>
      <c r="IA194" t="e">
        <f>Nodes!C1607+"'E4!)@1"</f>
        <v>#VALUE!</v>
      </c>
      <c r="IB194" t="e">
        <f>Nodes!D1607+"'E4!)@2"</f>
        <v>#VALUE!</v>
      </c>
      <c r="IC194" t="e">
        <f>Nodes!E1607+"'E4!)@3"</f>
        <v>#VALUE!</v>
      </c>
      <c r="ID194" t="e">
        <f>Nodes!F1607+"'E4!)@4"</f>
        <v>#VALUE!</v>
      </c>
      <c r="IE194" t="e">
        <f>Nodes!G1607+"'E4!)@5"</f>
        <v>#VALUE!</v>
      </c>
      <c r="IF194" t="e">
        <f>Nodes!H1607+"'E4!)@6"</f>
        <v>#VALUE!</v>
      </c>
      <c r="IG194" t="e">
        <f>Nodes!I1607+"'E4!)@7"</f>
        <v>#VALUE!</v>
      </c>
      <c r="IH194" t="e">
        <f>Nodes!J1607+"'E4!)@8"</f>
        <v>#VALUE!</v>
      </c>
      <c r="II194" t="e">
        <f>Nodes!K1607+"'E4!)@9"</f>
        <v>#VALUE!</v>
      </c>
      <c r="IJ194" t="e">
        <f>Nodes!L1607+"'E4!)@:"</f>
        <v>#VALUE!</v>
      </c>
      <c r="IK194" t="e">
        <f>Nodes!M1607+"'E4!)@;"</f>
        <v>#VALUE!</v>
      </c>
      <c r="IL194" t="e">
        <f>Nodes!N1607+"'E4!)@&lt;"</f>
        <v>#VALUE!</v>
      </c>
      <c r="IM194" t="e">
        <f>Nodes!O1607+"'E4!)@="</f>
        <v>#VALUE!</v>
      </c>
      <c r="IN194" t="e">
        <f>Nodes!P1607+"'E4!)@&gt;"</f>
        <v>#VALUE!</v>
      </c>
      <c r="IO194" t="e">
        <f>Nodes!Q1607+"'E4!)@?"</f>
        <v>#VALUE!</v>
      </c>
      <c r="IP194" t="e">
        <f>Nodes!R1607+"'E4!)@@"</f>
        <v>#VALUE!</v>
      </c>
      <c r="IQ194" t="e">
        <f>Nodes!S1607+"'E4!)@A"</f>
        <v>#VALUE!</v>
      </c>
      <c r="IR194" s="547" t="e">
        <f>Nodes!T1607+"'E4!)@B"</f>
        <v>#VALUE!</v>
      </c>
      <c r="IS194" s="548" t="e">
        <f>Nodes!U1607+"'E4!)@C"</f>
        <v>#VALUE!</v>
      </c>
      <c r="IT194" s="548" t="e">
        <f>Nodes!V1607+"'E4!)@D"</f>
        <v>#VALUE!</v>
      </c>
      <c r="IU194" s="547" t="e">
        <f>Nodes!W1607+"'E4!)@E"</f>
        <v>#VALUE!</v>
      </c>
      <c r="IV194" t="e">
        <f>Nodes!X1607+"'E4!)@F"</f>
        <v>#VALUE!</v>
      </c>
    </row>
    <row r="195" spans="6:256">
      <c r="F195" t="e">
        <f>Nodes!Y1607+"'E4!)@G"</f>
        <v>#VALUE!</v>
      </c>
      <c r="G195" t="e">
        <f>Nodes!Z1607+"'E4!)@H"</f>
        <v>#VALUE!</v>
      </c>
      <c r="H195" t="e">
        <f>Nodes!AA1607+"'E4!)@I"</f>
        <v>#VALUE!</v>
      </c>
      <c r="I195" t="e">
        <f>Nodes!AB1607+"'E4!)@J"</f>
        <v>#VALUE!</v>
      </c>
      <c r="J195" t="e">
        <f>Nodes!AC1607+"'E4!)@K"</f>
        <v>#VALUE!</v>
      </c>
      <c r="K195" t="e">
        <f>Nodes!A1608+"'E4!)@L"</f>
        <v>#VALUE!</v>
      </c>
      <c r="L195" t="e">
        <f>Nodes!B1608+"'E4!)@M"</f>
        <v>#VALUE!</v>
      </c>
      <c r="M195" t="e">
        <f>Nodes!C1608+"'E4!)@N"</f>
        <v>#VALUE!</v>
      </c>
      <c r="N195" t="e">
        <f>Nodes!D1608+"'E4!)@O"</f>
        <v>#VALUE!</v>
      </c>
      <c r="O195" t="e">
        <f>Nodes!E1608+"'E4!)@P"</f>
        <v>#VALUE!</v>
      </c>
      <c r="P195" t="e">
        <f>Nodes!F1608+"'E4!)@Q"</f>
        <v>#VALUE!</v>
      </c>
      <c r="Q195" t="e">
        <f>Nodes!G1608+"'E4!)@R"</f>
        <v>#VALUE!</v>
      </c>
      <c r="R195" t="e">
        <f>Nodes!H1608+"'E4!)@S"</f>
        <v>#VALUE!</v>
      </c>
      <c r="S195" t="e">
        <f>Nodes!I1608+"'E4!)@T"</f>
        <v>#VALUE!</v>
      </c>
      <c r="T195" t="e">
        <f>Nodes!J1608+"'E4!)@U"</f>
        <v>#VALUE!</v>
      </c>
      <c r="U195" t="e">
        <f>Nodes!K1608+"'E4!)@V"</f>
        <v>#VALUE!</v>
      </c>
      <c r="V195" t="e">
        <f>Nodes!L1608+"'E4!)@W"</f>
        <v>#VALUE!</v>
      </c>
      <c r="W195" t="e">
        <f>Nodes!M1608+"'E4!)@X"</f>
        <v>#VALUE!</v>
      </c>
      <c r="X195" t="e">
        <f>Nodes!N1608+"'E4!)@Y"</f>
        <v>#VALUE!</v>
      </c>
      <c r="Y195" t="e">
        <f>Nodes!O1608+"'E4!)@Z"</f>
        <v>#VALUE!</v>
      </c>
      <c r="Z195" t="e">
        <f>Nodes!P1608+"'E4!)@["</f>
        <v>#VALUE!</v>
      </c>
      <c r="AA195" t="e">
        <f>Nodes!Q1608+"'E4!)@\"</f>
        <v>#VALUE!</v>
      </c>
      <c r="AB195" t="e">
        <f>Nodes!R1608+"'E4!)@]"</f>
        <v>#VALUE!</v>
      </c>
      <c r="AC195" t="e">
        <f>Nodes!S1608+"'E4!)@^"</f>
        <v>#VALUE!</v>
      </c>
      <c r="AD195" s="547" t="e">
        <f>Nodes!T1608+"'E4!)@_"</f>
        <v>#VALUE!</v>
      </c>
      <c r="AE195" s="548" t="e">
        <f>Nodes!U1608+"'E4!)@`"</f>
        <v>#VALUE!</v>
      </c>
      <c r="AF195" s="548" t="e">
        <f>Nodes!V1608+"'E4!)@a"</f>
        <v>#VALUE!</v>
      </c>
      <c r="AG195" s="547" t="e">
        <f>Nodes!W1608+"'E4!)@b"</f>
        <v>#VALUE!</v>
      </c>
      <c r="AH195" t="e">
        <f>Nodes!X1608+"'E4!)@c"</f>
        <v>#VALUE!</v>
      </c>
      <c r="AI195" t="e">
        <f>Nodes!Y1608+"'E4!)@d"</f>
        <v>#VALUE!</v>
      </c>
      <c r="AJ195" t="e">
        <f>Nodes!Z1608+"'E4!)@e"</f>
        <v>#VALUE!</v>
      </c>
      <c r="AK195" t="e">
        <f>Nodes!AA1608+"'E4!)@f"</f>
        <v>#VALUE!</v>
      </c>
      <c r="AL195" t="e">
        <f>Nodes!AB1608+"'E4!)@g"</f>
        <v>#VALUE!</v>
      </c>
      <c r="AM195" t="e">
        <f>Nodes!AC1608+"'E4!)@h"</f>
        <v>#VALUE!</v>
      </c>
      <c r="AN195" t="e">
        <f>Nodes!A1609+"'E4!)@i"</f>
        <v>#VALUE!</v>
      </c>
      <c r="AO195" t="e">
        <f>Nodes!B1609+"'E4!)@j"</f>
        <v>#VALUE!</v>
      </c>
      <c r="AP195" t="e">
        <f>Nodes!C1609+"'E4!)@k"</f>
        <v>#VALUE!</v>
      </c>
      <c r="AQ195" t="e">
        <f>Nodes!D1609+"'E4!)@l"</f>
        <v>#VALUE!</v>
      </c>
      <c r="AR195" t="e">
        <f>Nodes!E1609+"'E4!)@m"</f>
        <v>#VALUE!</v>
      </c>
      <c r="AS195" t="e">
        <f>Nodes!F1609+"'E4!)@n"</f>
        <v>#VALUE!</v>
      </c>
      <c r="AT195" t="e">
        <f>Nodes!G1609+"'E4!)@o"</f>
        <v>#VALUE!</v>
      </c>
      <c r="AU195" t="e">
        <f>Nodes!H1609+"'E4!)@p"</f>
        <v>#VALUE!</v>
      </c>
      <c r="AV195" t="e">
        <f>Nodes!I1609+"'E4!)@q"</f>
        <v>#VALUE!</v>
      </c>
      <c r="AW195" t="e">
        <f>Nodes!J1609+"'E4!)@r"</f>
        <v>#VALUE!</v>
      </c>
      <c r="AX195" t="e">
        <f>Nodes!K1609+"'E4!)@s"</f>
        <v>#VALUE!</v>
      </c>
      <c r="AY195" t="e">
        <f>Nodes!L1609+"'E4!)@t"</f>
        <v>#VALUE!</v>
      </c>
      <c r="AZ195" t="e">
        <f>Nodes!M1609+"'E4!)@u"</f>
        <v>#VALUE!</v>
      </c>
      <c r="BA195" t="e">
        <f>Nodes!N1609+"'E4!)@v"</f>
        <v>#VALUE!</v>
      </c>
      <c r="BB195" t="e">
        <f>Nodes!O1609+"'E4!)@w"</f>
        <v>#VALUE!</v>
      </c>
      <c r="BC195" t="e">
        <f>Nodes!P1609+"'E4!)@x"</f>
        <v>#VALUE!</v>
      </c>
      <c r="BD195" t="e">
        <f>Nodes!Q1609+"'E4!)@y"</f>
        <v>#VALUE!</v>
      </c>
      <c r="BE195" t="e">
        <f>Nodes!R1609+"'E4!)@z"</f>
        <v>#VALUE!</v>
      </c>
      <c r="BF195" t="e">
        <f>Nodes!S1609+"'E4!)@{"</f>
        <v>#VALUE!</v>
      </c>
      <c r="BG195" s="547" t="e">
        <f>Nodes!T1609+"'E4!)@|"</f>
        <v>#VALUE!</v>
      </c>
      <c r="BH195" s="548" t="e">
        <f>Nodes!U1609+"'E4!)@}"</f>
        <v>#VALUE!</v>
      </c>
      <c r="BI195" s="548" t="e">
        <f>Nodes!V1609+"'E4!)@~"</f>
        <v>#VALUE!</v>
      </c>
      <c r="BJ195" s="547" t="e">
        <f>Nodes!W1609+"'E4!)A#"</f>
        <v>#VALUE!</v>
      </c>
      <c r="BK195" t="e">
        <f>Nodes!X1609+"'E4!)A$"</f>
        <v>#VALUE!</v>
      </c>
      <c r="BL195" t="e">
        <f>Nodes!Y1609+"'E4!)A%"</f>
        <v>#VALUE!</v>
      </c>
      <c r="BM195" t="e">
        <f>Nodes!Z1609+"'E4!)A&amp;"</f>
        <v>#VALUE!</v>
      </c>
      <c r="BN195" t="e">
        <f>Nodes!AA1609+"'E4!)A'"</f>
        <v>#VALUE!</v>
      </c>
      <c r="BO195" t="e">
        <f>Nodes!AB1609+"'E4!)A("</f>
        <v>#VALUE!</v>
      </c>
      <c r="BP195" t="e">
        <f>Nodes!AC1609+"'E4!)A)"</f>
        <v>#VALUE!</v>
      </c>
      <c r="BQ195" t="e">
        <f>Nodes!A1610+"'E4!)A."</f>
        <v>#VALUE!</v>
      </c>
      <c r="BR195" t="e">
        <f>Nodes!B1610+"'E4!)A/"</f>
        <v>#VALUE!</v>
      </c>
      <c r="BS195" t="e">
        <f>Nodes!C1610+"'E4!)A0"</f>
        <v>#VALUE!</v>
      </c>
      <c r="BT195" t="e">
        <f>Nodes!D1610+"'E4!)A1"</f>
        <v>#VALUE!</v>
      </c>
      <c r="BU195" t="e">
        <f>Nodes!E1610+"'E4!)A2"</f>
        <v>#VALUE!</v>
      </c>
      <c r="BV195" t="e">
        <f>Nodes!F1610+"'E4!)A3"</f>
        <v>#VALUE!</v>
      </c>
      <c r="BW195" t="e">
        <f>Nodes!G1610+"'E4!)A4"</f>
        <v>#VALUE!</v>
      </c>
      <c r="BX195" t="e">
        <f>Nodes!H1610+"'E4!)A5"</f>
        <v>#VALUE!</v>
      </c>
      <c r="BY195" t="e">
        <f>Nodes!I1610+"'E4!)A6"</f>
        <v>#VALUE!</v>
      </c>
      <c r="BZ195" t="e">
        <f>Nodes!J1610+"'E4!)A7"</f>
        <v>#VALUE!</v>
      </c>
      <c r="CA195" t="e">
        <f>Nodes!K1610+"'E4!)A8"</f>
        <v>#VALUE!</v>
      </c>
      <c r="CB195" t="e">
        <f>Nodes!L1610+"'E4!)A9"</f>
        <v>#VALUE!</v>
      </c>
      <c r="CC195" t="e">
        <f>Nodes!M1610+"'E4!)A:"</f>
        <v>#VALUE!</v>
      </c>
      <c r="CD195" t="e">
        <f>Nodes!N1610+"'E4!)A;"</f>
        <v>#VALUE!</v>
      </c>
      <c r="CE195" t="e">
        <f>Nodes!O1610+"'E4!)A&lt;"</f>
        <v>#VALUE!</v>
      </c>
      <c r="CF195" t="e">
        <f>Nodes!P1610+"'E4!)A="</f>
        <v>#VALUE!</v>
      </c>
      <c r="CG195" t="e">
        <f>Nodes!Q1610+"'E4!)A&gt;"</f>
        <v>#VALUE!</v>
      </c>
      <c r="CH195" t="e">
        <f>Nodes!R1610+"'E4!)A?"</f>
        <v>#VALUE!</v>
      </c>
      <c r="CI195" t="e">
        <f>Nodes!S1610+"'E4!)A@"</f>
        <v>#VALUE!</v>
      </c>
      <c r="CJ195" s="547" t="e">
        <f>Nodes!T1610+"'E4!)AA"</f>
        <v>#VALUE!</v>
      </c>
      <c r="CK195" s="548" t="e">
        <f>Nodes!U1610+"'E4!)AB"</f>
        <v>#VALUE!</v>
      </c>
      <c r="CL195" s="548" t="e">
        <f>Nodes!V1610+"'E4!)AC"</f>
        <v>#VALUE!</v>
      </c>
      <c r="CM195" s="547" t="e">
        <f>Nodes!W1610+"'E4!)AD"</f>
        <v>#VALUE!</v>
      </c>
      <c r="CN195" t="e">
        <f>Nodes!X1610+"'E4!)AE"</f>
        <v>#VALUE!</v>
      </c>
      <c r="CO195" t="e">
        <f>Nodes!Y1610+"'E4!)AF"</f>
        <v>#VALUE!</v>
      </c>
      <c r="CP195" t="e">
        <f>Nodes!Z1610+"'E4!)AG"</f>
        <v>#VALUE!</v>
      </c>
      <c r="CQ195" t="e">
        <f>Nodes!AA1610+"'E4!)AH"</f>
        <v>#VALUE!</v>
      </c>
      <c r="CR195" t="e">
        <f>Nodes!AB1610+"'E4!)AI"</f>
        <v>#VALUE!</v>
      </c>
      <c r="CS195" t="e">
        <f>Nodes!AC1610+"'E4!)AJ"</f>
        <v>#VALUE!</v>
      </c>
      <c r="CT195" t="e">
        <f>Nodes!A1611+"'E4!)AK"</f>
        <v>#VALUE!</v>
      </c>
      <c r="CU195" t="e">
        <f>Nodes!B1611+"'E4!)AL"</f>
        <v>#VALUE!</v>
      </c>
      <c r="CV195" t="e">
        <f>Nodes!C1611+"'E4!)AM"</f>
        <v>#VALUE!</v>
      </c>
      <c r="CW195" t="e">
        <f>Nodes!D1611+"'E4!)AN"</f>
        <v>#VALUE!</v>
      </c>
      <c r="CX195" t="e">
        <f>Nodes!E1611+"'E4!)AO"</f>
        <v>#VALUE!</v>
      </c>
      <c r="CY195" t="e">
        <f>Nodes!F1611+"'E4!)AP"</f>
        <v>#VALUE!</v>
      </c>
      <c r="CZ195" t="e">
        <f>Nodes!G1611+"'E4!)AQ"</f>
        <v>#VALUE!</v>
      </c>
      <c r="DA195" t="e">
        <f>Nodes!H1611+"'E4!)AR"</f>
        <v>#VALUE!</v>
      </c>
      <c r="DB195" t="e">
        <f>Nodes!I1611+"'E4!)AS"</f>
        <v>#VALUE!</v>
      </c>
      <c r="DC195" t="e">
        <f>Nodes!J1611+"'E4!)AT"</f>
        <v>#VALUE!</v>
      </c>
      <c r="DD195" t="e">
        <f>Nodes!K1611+"'E4!)AU"</f>
        <v>#VALUE!</v>
      </c>
      <c r="DE195" t="e">
        <f>Nodes!L1611+"'E4!)AV"</f>
        <v>#VALUE!</v>
      </c>
      <c r="DF195" t="e">
        <f>Nodes!M1611+"'E4!)AW"</f>
        <v>#VALUE!</v>
      </c>
      <c r="DG195" t="e">
        <f>Nodes!N1611+"'E4!)AX"</f>
        <v>#VALUE!</v>
      </c>
      <c r="DH195" t="e">
        <f>Nodes!O1611+"'E4!)AY"</f>
        <v>#VALUE!</v>
      </c>
      <c r="DI195" t="e">
        <f>Nodes!P1611+"'E4!)AZ"</f>
        <v>#VALUE!</v>
      </c>
      <c r="DJ195" t="e">
        <f>Nodes!Q1611+"'E4!)A["</f>
        <v>#VALUE!</v>
      </c>
      <c r="DK195" t="e">
        <f>Nodes!R1611+"'E4!)A\"</f>
        <v>#VALUE!</v>
      </c>
      <c r="DL195" t="e">
        <f>Nodes!S1611+"'E4!)A]"</f>
        <v>#VALUE!</v>
      </c>
      <c r="DM195" s="547" t="e">
        <f>Nodes!T1611+"'E4!)A^"</f>
        <v>#VALUE!</v>
      </c>
      <c r="DN195" s="548" t="e">
        <f>Nodes!U1611+"'E4!)A_"</f>
        <v>#VALUE!</v>
      </c>
      <c r="DO195" s="548" t="e">
        <f>Nodes!V1611+"'E4!)A`"</f>
        <v>#VALUE!</v>
      </c>
      <c r="DP195" s="547" t="e">
        <f>Nodes!W1611+"'E4!)Aa"</f>
        <v>#VALUE!</v>
      </c>
      <c r="DQ195" t="e">
        <f>Nodes!X1611+"'E4!)Ab"</f>
        <v>#VALUE!</v>
      </c>
      <c r="DR195" t="e">
        <f>Nodes!Y1611+"'E4!)Ac"</f>
        <v>#VALUE!</v>
      </c>
      <c r="DS195" t="e">
        <f>Nodes!Z1611+"'E4!)Ad"</f>
        <v>#VALUE!</v>
      </c>
      <c r="DT195" t="e">
        <f>Nodes!AA1611+"'E4!)Ae"</f>
        <v>#VALUE!</v>
      </c>
      <c r="DU195" t="e">
        <f>Nodes!AB1611+"'E4!)Af"</f>
        <v>#VALUE!</v>
      </c>
      <c r="DV195" t="e">
        <f>Nodes!AC1611+"'E4!)Ag"</f>
        <v>#VALUE!</v>
      </c>
      <c r="DW195" t="e">
        <f>Nodes!A1612+"'E4!)Ah"</f>
        <v>#VALUE!</v>
      </c>
      <c r="DX195" t="e">
        <f>Nodes!B1612+"'E4!)Ai"</f>
        <v>#VALUE!</v>
      </c>
      <c r="DY195" t="e">
        <f>Nodes!C1612+"'E4!)Aj"</f>
        <v>#VALUE!</v>
      </c>
      <c r="DZ195" t="e">
        <f>Nodes!D1612+"'E4!)Ak"</f>
        <v>#VALUE!</v>
      </c>
      <c r="EA195" t="e">
        <f>Nodes!E1612+"'E4!)Al"</f>
        <v>#VALUE!</v>
      </c>
      <c r="EB195" t="e">
        <f>Nodes!F1612+"'E4!)Am"</f>
        <v>#VALUE!</v>
      </c>
      <c r="EC195" t="e">
        <f>Nodes!G1612+"'E4!)An"</f>
        <v>#VALUE!</v>
      </c>
      <c r="ED195" t="e">
        <f>Nodes!H1612+"'E4!)Ao"</f>
        <v>#VALUE!</v>
      </c>
      <c r="EE195" t="e">
        <f>Nodes!I1612+"'E4!)Ap"</f>
        <v>#VALUE!</v>
      </c>
      <c r="EF195" t="e">
        <f>Nodes!J1612+"'E4!)Aq"</f>
        <v>#VALUE!</v>
      </c>
      <c r="EG195" t="e">
        <f>Nodes!K1612+"'E4!)Ar"</f>
        <v>#VALUE!</v>
      </c>
      <c r="EH195" t="e">
        <f>Nodes!L1612+"'E4!)As"</f>
        <v>#VALUE!</v>
      </c>
      <c r="EI195" t="e">
        <f>Nodes!M1612+"'E4!)At"</f>
        <v>#VALUE!</v>
      </c>
      <c r="EJ195" t="e">
        <f>Nodes!N1612+"'E4!)Au"</f>
        <v>#VALUE!</v>
      </c>
      <c r="EK195" t="e">
        <f>Nodes!O1612+"'E4!)Av"</f>
        <v>#VALUE!</v>
      </c>
      <c r="EL195" t="e">
        <f>Nodes!P1612+"'E4!)Aw"</f>
        <v>#VALUE!</v>
      </c>
      <c r="EM195" t="e">
        <f>Nodes!Q1612+"'E4!)Ax"</f>
        <v>#VALUE!</v>
      </c>
      <c r="EN195" t="e">
        <f>Nodes!R1612+"'E4!)Ay"</f>
        <v>#VALUE!</v>
      </c>
      <c r="EO195" t="e">
        <f>Nodes!S1612+"'E4!)Az"</f>
        <v>#VALUE!</v>
      </c>
      <c r="EP195" s="547" t="e">
        <f>Nodes!T1612+"'E4!)A{"</f>
        <v>#VALUE!</v>
      </c>
      <c r="EQ195" s="548" t="e">
        <f>Nodes!U1612+"'E4!)A|"</f>
        <v>#VALUE!</v>
      </c>
      <c r="ER195" s="548" t="e">
        <f>Nodes!V1612+"'E4!)A}"</f>
        <v>#VALUE!</v>
      </c>
      <c r="ES195" s="547" t="e">
        <f>Nodes!W1612+"'E4!)A~"</f>
        <v>#VALUE!</v>
      </c>
      <c r="ET195" t="e">
        <f>Nodes!X1612+"'E4!)B#"</f>
        <v>#VALUE!</v>
      </c>
      <c r="EU195" t="e">
        <f>Nodes!Y1612+"'E4!)B$"</f>
        <v>#VALUE!</v>
      </c>
      <c r="EV195" t="e">
        <f>Nodes!Z1612+"'E4!)B%"</f>
        <v>#VALUE!</v>
      </c>
      <c r="EW195" t="e">
        <f>Nodes!AA1612+"'E4!)B&amp;"</f>
        <v>#VALUE!</v>
      </c>
      <c r="EX195" t="e">
        <f>Nodes!AB1612+"'E4!)B'"</f>
        <v>#VALUE!</v>
      </c>
      <c r="EY195" t="e">
        <f>Nodes!AC1612+"'E4!)B("</f>
        <v>#VALUE!</v>
      </c>
      <c r="EZ195" t="e">
        <f>Nodes!A1613+"'E4!)B)"</f>
        <v>#VALUE!</v>
      </c>
      <c r="FA195" t="e">
        <f>Nodes!B1613+"'E4!)B."</f>
        <v>#VALUE!</v>
      </c>
      <c r="FB195" t="e">
        <f>Nodes!C1613+"'E4!)B/"</f>
        <v>#VALUE!</v>
      </c>
      <c r="FC195" t="e">
        <f>Nodes!D1613+"'E4!)B0"</f>
        <v>#VALUE!</v>
      </c>
      <c r="FD195" t="e">
        <f>Nodes!E1613+"'E4!)B1"</f>
        <v>#VALUE!</v>
      </c>
      <c r="FE195" t="e">
        <f>Nodes!F1613+"'E4!)B2"</f>
        <v>#VALUE!</v>
      </c>
      <c r="FF195" t="e">
        <f>Nodes!G1613+"'E4!)B3"</f>
        <v>#VALUE!</v>
      </c>
      <c r="FG195" t="e">
        <f>Nodes!H1613+"'E4!)B4"</f>
        <v>#VALUE!</v>
      </c>
      <c r="FH195" t="e">
        <f>Nodes!I1613+"'E4!)B5"</f>
        <v>#VALUE!</v>
      </c>
      <c r="FI195" t="e">
        <f>Nodes!J1613+"'E4!)B6"</f>
        <v>#VALUE!</v>
      </c>
      <c r="FJ195" t="e">
        <f>Nodes!K1613+"'E4!)B7"</f>
        <v>#VALUE!</v>
      </c>
      <c r="FK195" t="e">
        <f>Nodes!L1613+"'E4!)B8"</f>
        <v>#VALUE!</v>
      </c>
      <c r="FL195" t="e">
        <f>Nodes!M1613+"'E4!)B9"</f>
        <v>#VALUE!</v>
      </c>
      <c r="FM195" t="e">
        <f>Nodes!N1613+"'E4!)B:"</f>
        <v>#VALUE!</v>
      </c>
      <c r="FN195" t="e">
        <f>Nodes!O1613+"'E4!)B;"</f>
        <v>#VALUE!</v>
      </c>
      <c r="FO195" t="e">
        <f>Nodes!P1613+"'E4!)B&lt;"</f>
        <v>#VALUE!</v>
      </c>
      <c r="FP195" t="e">
        <f>Nodes!Q1613+"'E4!)B="</f>
        <v>#VALUE!</v>
      </c>
      <c r="FQ195" t="e">
        <f>Nodes!R1613+"'E4!)B&gt;"</f>
        <v>#VALUE!</v>
      </c>
      <c r="FR195" t="e">
        <f>Nodes!S1613+"'E4!)B?"</f>
        <v>#VALUE!</v>
      </c>
      <c r="FS195" s="547" t="e">
        <f>Nodes!T1613+"'E4!)B@"</f>
        <v>#VALUE!</v>
      </c>
      <c r="FT195" s="548" t="e">
        <f>Nodes!U1613+"'E4!)BA"</f>
        <v>#VALUE!</v>
      </c>
      <c r="FU195" s="548" t="e">
        <f>Nodes!V1613+"'E4!)BB"</f>
        <v>#VALUE!</v>
      </c>
      <c r="FV195" s="547" t="e">
        <f>Nodes!W1613+"'E4!)BC"</f>
        <v>#VALUE!</v>
      </c>
      <c r="FW195" t="e">
        <f>Nodes!X1613+"'E4!)BD"</f>
        <v>#VALUE!</v>
      </c>
      <c r="FX195" t="e">
        <f>Nodes!Y1613+"'E4!)BE"</f>
        <v>#VALUE!</v>
      </c>
      <c r="FY195" t="e">
        <f>Nodes!Z1613+"'E4!)BF"</f>
        <v>#VALUE!</v>
      </c>
      <c r="FZ195" t="e">
        <f>Nodes!AA1613+"'E4!)BG"</f>
        <v>#VALUE!</v>
      </c>
      <c r="GA195" t="e">
        <f>Nodes!AB1613+"'E4!)BH"</f>
        <v>#VALUE!</v>
      </c>
      <c r="GB195" t="e">
        <f>Nodes!AC1613+"'E4!)BI"</f>
        <v>#VALUE!</v>
      </c>
      <c r="GC195" t="e">
        <f>Nodes!A1614+"'E4!)BJ"</f>
        <v>#VALUE!</v>
      </c>
      <c r="GD195" t="e">
        <f>Nodes!B1614+"'E4!)BK"</f>
        <v>#VALUE!</v>
      </c>
      <c r="GE195" t="e">
        <f>Nodes!C1614+"'E4!)BL"</f>
        <v>#VALUE!</v>
      </c>
      <c r="GF195" t="e">
        <f>Nodes!D1614+"'E4!)BM"</f>
        <v>#VALUE!</v>
      </c>
      <c r="GG195" t="e">
        <f>Nodes!E1614+"'E4!)BN"</f>
        <v>#VALUE!</v>
      </c>
      <c r="GH195" t="e">
        <f>Nodes!F1614+"'E4!)BO"</f>
        <v>#VALUE!</v>
      </c>
      <c r="GI195" t="e">
        <f>Nodes!G1614+"'E4!)BP"</f>
        <v>#VALUE!</v>
      </c>
      <c r="GJ195" t="e">
        <f>Nodes!H1614+"'E4!)BQ"</f>
        <v>#VALUE!</v>
      </c>
      <c r="GK195" t="e">
        <f>Nodes!I1614+"'E4!)BR"</f>
        <v>#VALUE!</v>
      </c>
      <c r="GL195" t="e">
        <f>Nodes!J1614+"'E4!)BS"</f>
        <v>#VALUE!</v>
      </c>
      <c r="GM195" t="e">
        <f>Nodes!K1614+"'E4!)BT"</f>
        <v>#VALUE!</v>
      </c>
      <c r="GN195" t="e">
        <f>Nodes!L1614+"'E4!)BU"</f>
        <v>#VALUE!</v>
      </c>
      <c r="GO195" t="e">
        <f>Nodes!M1614+"'E4!)BV"</f>
        <v>#VALUE!</v>
      </c>
      <c r="GP195" t="e">
        <f>Nodes!N1614+"'E4!)BW"</f>
        <v>#VALUE!</v>
      </c>
      <c r="GQ195" t="e">
        <f>Nodes!O1614+"'E4!)BX"</f>
        <v>#VALUE!</v>
      </c>
      <c r="GR195" t="e">
        <f>Nodes!P1614+"'E4!)BY"</f>
        <v>#VALUE!</v>
      </c>
      <c r="GS195" t="e">
        <f>Nodes!Q1614+"'E4!)BZ"</f>
        <v>#VALUE!</v>
      </c>
      <c r="GT195" t="e">
        <f>Nodes!R1614+"'E4!)B["</f>
        <v>#VALUE!</v>
      </c>
      <c r="GU195" t="e">
        <f>Nodes!S1614+"'E4!)B\"</f>
        <v>#VALUE!</v>
      </c>
      <c r="GV195" s="547" t="e">
        <f>Nodes!T1614+"'E4!)B]"</f>
        <v>#VALUE!</v>
      </c>
      <c r="GW195" s="548" t="e">
        <f>Nodes!U1614+"'E4!)B^"</f>
        <v>#VALUE!</v>
      </c>
      <c r="GX195" s="548" t="e">
        <f>Nodes!V1614+"'E4!)B_"</f>
        <v>#VALUE!</v>
      </c>
      <c r="GY195" s="547" t="e">
        <f>Nodes!W1614+"'E4!)B`"</f>
        <v>#VALUE!</v>
      </c>
      <c r="GZ195" t="e">
        <f>Nodes!X1614+"'E4!)Ba"</f>
        <v>#VALUE!</v>
      </c>
      <c r="HA195" t="e">
        <f>Nodes!Y1614+"'E4!)Bb"</f>
        <v>#VALUE!</v>
      </c>
      <c r="HB195" t="e">
        <f>Nodes!Z1614+"'E4!)Bc"</f>
        <v>#VALUE!</v>
      </c>
      <c r="HC195" t="e">
        <f>Nodes!AA1614+"'E4!)Bd"</f>
        <v>#VALUE!</v>
      </c>
      <c r="HD195" t="e">
        <f>Nodes!AB1614+"'E4!)Be"</f>
        <v>#VALUE!</v>
      </c>
      <c r="HE195" t="e">
        <f>Nodes!AC1614+"'E4!)Bf"</f>
        <v>#VALUE!</v>
      </c>
      <c r="HF195" t="e">
        <f>Nodes!A1615+"'E4!)Bg"</f>
        <v>#VALUE!</v>
      </c>
      <c r="HG195" t="e">
        <f>Nodes!B1615+"'E4!)Bh"</f>
        <v>#VALUE!</v>
      </c>
      <c r="HH195" t="e">
        <f>Nodes!C1615+"'E4!)Bi"</f>
        <v>#VALUE!</v>
      </c>
      <c r="HI195" t="e">
        <f>Nodes!D1615+"'E4!)Bj"</f>
        <v>#VALUE!</v>
      </c>
      <c r="HJ195" t="e">
        <f>Nodes!E1615+"'E4!)Bk"</f>
        <v>#VALUE!</v>
      </c>
      <c r="HK195" t="e">
        <f>Nodes!F1615+"'E4!)Bl"</f>
        <v>#VALUE!</v>
      </c>
      <c r="HL195" t="e">
        <f>Nodes!G1615+"'E4!)Bm"</f>
        <v>#VALUE!</v>
      </c>
      <c r="HM195" t="e">
        <f>Nodes!H1615+"'E4!)Bn"</f>
        <v>#VALUE!</v>
      </c>
      <c r="HN195" t="e">
        <f>Nodes!I1615+"'E4!)Bo"</f>
        <v>#VALUE!</v>
      </c>
      <c r="HO195" t="e">
        <f>Nodes!J1615+"'E4!)Bp"</f>
        <v>#VALUE!</v>
      </c>
      <c r="HP195" t="e">
        <f>Nodes!K1615+"'E4!)Bq"</f>
        <v>#VALUE!</v>
      </c>
      <c r="HQ195" t="e">
        <f>Nodes!L1615+"'E4!)Br"</f>
        <v>#VALUE!</v>
      </c>
      <c r="HR195" t="e">
        <f>Nodes!M1615+"'E4!)Bs"</f>
        <v>#VALUE!</v>
      </c>
      <c r="HS195" t="e">
        <f>Nodes!N1615+"'E4!)Bt"</f>
        <v>#VALUE!</v>
      </c>
      <c r="HT195" t="e">
        <f>Nodes!O1615+"'E4!)Bu"</f>
        <v>#VALUE!</v>
      </c>
      <c r="HU195" t="e">
        <f>Nodes!P1615+"'E4!)Bv"</f>
        <v>#VALUE!</v>
      </c>
      <c r="HV195" t="e">
        <f>Nodes!Q1615+"'E4!)Bw"</f>
        <v>#VALUE!</v>
      </c>
      <c r="HW195" t="e">
        <f>Nodes!R1615+"'E4!)Bx"</f>
        <v>#VALUE!</v>
      </c>
      <c r="HX195" t="e">
        <f>Nodes!X1615+"'E4!)By"</f>
        <v>#VALUE!</v>
      </c>
      <c r="HY195" t="e">
        <f>Nodes!Y1615+"'E4!)Bz"</f>
        <v>#VALUE!</v>
      </c>
      <c r="HZ195" t="e">
        <f>Nodes!Z1615+"'E4!)B{"</f>
        <v>#VALUE!</v>
      </c>
      <c r="IA195" t="e">
        <f>Nodes!AA1615+"'E4!)B|"</f>
        <v>#VALUE!</v>
      </c>
      <c r="IB195" t="e">
        <f>Nodes!AB1615+"'E4!)B}"</f>
        <v>#VALUE!</v>
      </c>
      <c r="IC195" t="e">
        <f>Nodes!AC1615+"'E4!)B~"</f>
        <v>#VALUE!</v>
      </c>
      <c r="ID195" t="e">
        <f>Nodes!A1616+"'E4!)C#"</f>
        <v>#VALUE!</v>
      </c>
      <c r="IE195" t="e">
        <f>Nodes!B1616+"'E4!)C$"</f>
        <v>#VALUE!</v>
      </c>
      <c r="IF195" t="e">
        <f>Nodes!C1616+"'E4!)C%"</f>
        <v>#VALUE!</v>
      </c>
      <c r="IG195" t="e">
        <f>Nodes!D1616+"'E4!)C&amp;"</f>
        <v>#VALUE!</v>
      </c>
      <c r="IH195" t="e">
        <f>Nodes!E1616+"'E4!)C'"</f>
        <v>#VALUE!</v>
      </c>
      <c r="II195" t="e">
        <f>Nodes!F1616+"'E4!)C("</f>
        <v>#VALUE!</v>
      </c>
      <c r="IJ195" t="e">
        <f>Nodes!G1616+"'E4!)C)"</f>
        <v>#VALUE!</v>
      </c>
      <c r="IK195" t="e">
        <f>Nodes!H1616+"'E4!)C."</f>
        <v>#VALUE!</v>
      </c>
      <c r="IL195" t="e">
        <f>Nodes!I1616+"'E4!)C/"</f>
        <v>#VALUE!</v>
      </c>
      <c r="IM195" t="e">
        <f>Nodes!J1616+"'E4!)C0"</f>
        <v>#VALUE!</v>
      </c>
      <c r="IN195" t="e">
        <f>Nodes!K1616+"'E4!)C1"</f>
        <v>#VALUE!</v>
      </c>
      <c r="IO195" t="e">
        <f>Nodes!L1616+"'E4!)C2"</f>
        <v>#VALUE!</v>
      </c>
      <c r="IP195" t="e">
        <f>Nodes!M1616+"'E4!)C3"</f>
        <v>#VALUE!</v>
      </c>
      <c r="IQ195" t="e">
        <f>Nodes!N1616+"'E4!)C4"</f>
        <v>#VALUE!</v>
      </c>
      <c r="IR195" t="e">
        <f>Nodes!O1616+"'E4!)C5"</f>
        <v>#VALUE!</v>
      </c>
      <c r="IS195" t="e">
        <f>Nodes!P1616+"'E4!)C6"</f>
        <v>#VALUE!</v>
      </c>
      <c r="IT195" t="e">
        <f>Nodes!Q1616+"'E4!)C7"</f>
        <v>#VALUE!</v>
      </c>
      <c r="IU195" t="e">
        <f>Nodes!R1616+"'E4!)C8"</f>
        <v>#VALUE!</v>
      </c>
      <c r="IV195" t="e">
        <f>Nodes!X1616+"'E4!)C9"</f>
        <v>#VALUE!</v>
      </c>
    </row>
    <row r="196" spans="6:256">
      <c r="F196" t="e">
        <f>Nodes!Y1616+"'E4!)C:"</f>
        <v>#VALUE!</v>
      </c>
      <c r="G196" t="e">
        <f>Nodes!Z1616+"'E4!)C;"</f>
        <v>#VALUE!</v>
      </c>
      <c r="H196" t="e">
        <f>Nodes!AA1616+"'E4!)C&lt;"</f>
        <v>#VALUE!</v>
      </c>
      <c r="I196" t="e">
        <f>Nodes!AB1616+"'E4!)C="</f>
        <v>#VALUE!</v>
      </c>
      <c r="J196" t="e">
        <f>Nodes!AC1616+"'E4!)C&gt;"</f>
        <v>#VALUE!</v>
      </c>
      <c r="K196" t="e">
        <f>Nodes!A1617+"'E4!)C?"</f>
        <v>#VALUE!</v>
      </c>
      <c r="L196" t="e">
        <f>Nodes!B1617+"'E4!)C@"</f>
        <v>#VALUE!</v>
      </c>
      <c r="M196" t="e">
        <f>Nodes!C1617+"'E4!)CA"</f>
        <v>#VALUE!</v>
      </c>
      <c r="N196" t="e">
        <f>Nodes!D1617+"'E4!)CB"</f>
        <v>#VALUE!</v>
      </c>
      <c r="O196" t="e">
        <f>Nodes!E1617+"'E4!)CC"</f>
        <v>#VALUE!</v>
      </c>
      <c r="P196" t="e">
        <f>Nodes!F1617+"'E4!)CD"</f>
        <v>#VALUE!</v>
      </c>
      <c r="Q196" t="e">
        <f>Nodes!G1617+"'E4!)CE"</f>
        <v>#VALUE!</v>
      </c>
      <c r="R196" t="e">
        <f>Nodes!H1617+"'E4!)CF"</f>
        <v>#VALUE!</v>
      </c>
      <c r="S196" t="e">
        <f>Nodes!I1617+"'E4!)CG"</f>
        <v>#VALUE!</v>
      </c>
      <c r="T196" t="e">
        <f>Nodes!J1617+"'E4!)CH"</f>
        <v>#VALUE!</v>
      </c>
      <c r="U196" t="e">
        <f>Nodes!K1617+"'E4!)CI"</f>
        <v>#VALUE!</v>
      </c>
      <c r="V196" t="e">
        <f>Nodes!L1617+"'E4!)CJ"</f>
        <v>#VALUE!</v>
      </c>
      <c r="W196" t="e">
        <f>Nodes!M1617+"'E4!)CK"</f>
        <v>#VALUE!</v>
      </c>
      <c r="X196" t="e">
        <f>Nodes!N1617+"'E4!)CL"</f>
        <v>#VALUE!</v>
      </c>
      <c r="Y196" t="e">
        <f>Nodes!O1617+"'E4!)CM"</f>
        <v>#VALUE!</v>
      </c>
      <c r="Z196" t="e">
        <f>Nodes!P1617+"'E4!)CN"</f>
        <v>#VALUE!</v>
      </c>
      <c r="AA196" t="e">
        <f>Nodes!Q1617+"'E4!)CO"</f>
        <v>#VALUE!</v>
      </c>
      <c r="AB196" t="e">
        <f>Nodes!R1617+"'E4!)CP"</f>
        <v>#VALUE!</v>
      </c>
      <c r="AC196" t="e">
        <f>Nodes!X1617+"'E4!)CQ"</f>
        <v>#VALUE!</v>
      </c>
      <c r="AD196" t="e">
        <f>Nodes!Y1617+"'E4!)CR"</f>
        <v>#VALUE!</v>
      </c>
      <c r="AE196" t="e">
        <f>Nodes!Z1617+"'E4!)CS"</f>
        <v>#VALUE!</v>
      </c>
      <c r="AF196" t="e">
        <f>Nodes!AA1617+"'E4!)CT"</f>
        <v>#VALUE!</v>
      </c>
      <c r="AG196" t="e">
        <f>Nodes!AB1617+"'E4!)CU"</f>
        <v>#VALUE!</v>
      </c>
      <c r="AH196" t="e">
        <f>Nodes!AC1617+"'E4!)CV"</f>
        <v>#VALUE!</v>
      </c>
      <c r="AI196" t="e">
        <f>Nodes!A1618+"'E4!)CW"</f>
        <v>#VALUE!</v>
      </c>
      <c r="AJ196" t="e">
        <f>Nodes!B1618+"'E4!)CX"</f>
        <v>#VALUE!</v>
      </c>
      <c r="AK196" t="e">
        <f>Nodes!C1618+"'E4!)CY"</f>
        <v>#VALUE!</v>
      </c>
      <c r="AL196" t="e">
        <f>Nodes!D1618+"'E4!)CZ"</f>
        <v>#VALUE!</v>
      </c>
      <c r="AM196" t="e">
        <f>Nodes!E1618+"'E4!)C["</f>
        <v>#VALUE!</v>
      </c>
      <c r="AN196" t="e">
        <f>Nodes!F1618+"'E4!)C\"</f>
        <v>#VALUE!</v>
      </c>
      <c r="AO196" t="e">
        <f>Nodes!G1618+"'E4!)C]"</f>
        <v>#VALUE!</v>
      </c>
      <c r="AP196" t="e">
        <f>Nodes!H1618+"'E4!)C^"</f>
        <v>#VALUE!</v>
      </c>
      <c r="AQ196" t="e">
        <f>Nodes!I1618+"'E4!)C_"</f>
        <v>#VALUE!</v>
      </c>
      <c r="AR196" t="e">
        <f>Nodes!J1618+"'E4!)C`"</f>
        <v>#VALUE!</v>
      </c>
      <c r="AS196" t="e">
        <f>Nodes!K1618+"'E4!)Ca"</f>
        <v>#VALUE!</v>
      </c>
      <c r="AT196" t="e">
        <f>Nodes!L1618+"'E4!)Cb"</f>
        <v>#VALUE!</v>
      </c>
      <c r="AU196" t="e">
        <f>Nodes!M1618+"'E4!)Cc"</f>
        <v>#VALUE!</v>
      </c>
      <c r="AV196" t="e">
        <f>Nodes!N1618+"'E4!)Cd"</f>
        <v>#VALUE!</v>
      </c>
      <c r="AW196" t="e">
        <f>Nodes!O1618+"'E4!)Ce"</f>
        <v>#VALUE!</v>
      </c>
      <c r="AX196" t="e">
        <f>Nodes!P1618+"'E4!)Cf"</f>
        <v>#VALUE!</v>
      </c>
      <c r="AY196" t="e">
        <f>Nodes!Q1618+"'E4!)Cg"</f>
        <v>#VALUE!</v>
      </c>
      <c r="AZ196" t="e">
        <f>Nodes!R1618+"'E4!)Ch"</f>
        <v>#VALUE!</v>
      </c>
      <c r="BA196" t="e">
        <f>Nodes!X1618+"'E4!)Ci"</f>
        <v>#VALUE!</v>
      </c>
      <c r="BB196" t="e">
        <f>Nodes!Y1618+"'E4!)Cj"</f>
        <v>#VALUE!</v>
      </c>
      <c r="BC196" t="e">
        <f>Nodes!Z1618+"'E4!)Ck"</f>
        <v>#VALUE!</v>
      </c>
      <c r="BD196" t="e">
        <f>Nodes!AA1618+"'E4!)Cl"</f>
        <v>#VALUE!</v>
      </c>
      <c r="BE196" t="e">
        <f>Nodes!AB1618+"'E4!)Cm"</f>
        <v>#VALUE!</v>
      </c>
      <c r="BF196" t="e">
        <f>Nodes!AC1618+"'E4!)Cn"</f>
        <v>#VALUE!</v>
      </c>
      <c r="BG196" t="e">
        <f>Nodes!A1619+"'E4!)Co"</f>
        <v>#VALUE!</v>
      </c>
      <c r="BH196" t="e">
        <f>Nodes!B1619+"'E4!)Cp"</f>
        <v>#VALUE!</v>
      </c>
      <c r="BI196" t="e">
        <f>Nodes!C1619+"'E4!)Cq"</f>
        <v>#VALUE!</v>
      </c>
      <c r="BJ196" t="e">
        <f>Nodes!D1619+"'E4!)Cr"</f>
        <v>#VALUE!</v>
      </c>
      <c r="BK196" t="e">
        <f>Nodes!E1619+"'E4!)Cs"</f>
        <v>#VALUE!</v>
      </c>
      <c r="BL196" t="e">
        <f>Nodes!F1619+"'E4!)Ct"</f>
        <v>#VALUE!</v>
      </c>
      <c r="BM196" t="e">
        <f>Nodes!G1619+"'E4!)Cu"</f>
        <v>#VALUE!</v>
      </c>
      <c r="BN196" t="e">
        <f>Nodes!H1619+"'E4!)Cv"</f>
        <v>#VALUE!</v>
      </c>
      <c r="BO196" t="e">
        <f>Nodes!I1619+"'E4!)Cw"</f>
        <v>#VALUE!</v>
      </c>
      <c r="BP196" t="e">
        <f>Nodes!J1619+"'E4!)Cx"</f>
        <v>#VALUE!</v>
      </c>
      <c r="BQ196" t="e">
        <f>Nodes!K1619+"'E4!)Cy"</f>
        <v>#VALUE!</v>
      </c>
      <c r="BR196" t="e">
        <f>Nodes!L1619+"'E4!)Cz"</f>
        <v>#VALUE!</v>
      </c>
      <c r="BS196" t="e">
        <f>Nodes!M1619+"'E4!)C{"</f>
        <v>#VALUE!</v>
      </c>
      <c r="BT196" t="e">
        <f>Nodes!N1619+"'E4!)C|"</f>
        <v>#VALUE!</v>
      </c>
      <c r="BU196" t="e">
        <f>Nodes!O1619+"'E4!)C}"</f>
        <v>#VALUE!</v>
      </c>
      <c r="BV196" t="e">
        <f>Nodes!P1619+"'E4!)C~"</f>
        <v>#VALUE!</v>
      </c>
      <c r="BW196" t="e">
        <f>Nodes!Q1619+"'E4!)D#"</f>
        <v>#VALUE!</v>
      </c>
      <c r="BX196" t="e">
        <f>Nodes!R1619+"'E4!)D$"</f>
        <v>#VALUE!</v>
      </c>
      <c r="BY196" t="e">
        <f>Nodes!X1619+"'E4!)D%"</f>
        <v>#VALUE!</v>
      </c>
      <c r="BZ196" t="e">
        <f>Nodes!Y1619+"'E4!)D&amp;"</f>
        <v>#VALUE!</v>
      </c>
      <c r="CA196" t="e">
        <f>Nodes!Z1619+"'E4!)D'"</f>
        <v>#VALUE!</v>
      </c>
      <c r="CB196" t="e">
        <f>Nodes!AA1619+"'E4!)D("</f>
        <v>#VALUE!</v>
      </c>
      <c r="CC196" t="e">
        <f>Nodes!AB1619+"'E4!)D)"</f>
        <v>#VALUE!</v>
      </c>
      <c r="CD196" t="e">
        <f>Nodes!AC1619+"'E4!)D."</f>
        <v>#VALUE!</v>
      </c>
      <c r="CE196" t="e">
        <f>Nodes!A1620+"'E4!)D/"</f>
        <v>#VALUE!</v>
      </c>
      <c r="CF196" t="e">
        <f>Nodes!B1620+"'E4!)D0"</f>
        <v>#VALUE!</v>
      </c>
      <c r="CG196" t="e">
        <f>Nodes!C1620+"'E4!)D1"</f>
        <v>#VALUE!</v>
      </c>
      <c r="CH196" t="e">
        <f>Nodes!D1620+"'E4!)D2"</f>
        <v>#VALUE!</v>
      </c>
      <c r="CI196" t="e">
        <f>Nodes!E1620+"'E4!)D3"</f>
        <v>#VALUE!</v>
      </c>
      <c r="CJ196" t="e">
        <f>Nodes!F1620+"'E4!)D4"</f>
        <v>#VALUE!</v>
      </c>
      <c r="CK196" t="e">
        <f>Nodes!G1620+"'E4!)D5"</f>
        <v>#VALUE!</v>
      </c>
      <c r="CL196" t="e">
        <f>Nodes!H1620+"'E4!)D6"</f>
        <v>#VALUE!</v>
      </c>
      <c r="CM196" t="e">
        <f>Nodes!I1620+"'E4!)D7"</f>
        <v>#VALUE!</v>
      </c>
      <c r="CN196" t="e">
        <f>Nodes!J1620+"'E4!)D8"</f>
        <v>#VALUE!</v>
      </c>
      <c r="CO196" t="e">
        <f>Nodes!K1620+"'E4!)D9"</f>
        <v>#VALUE!</v>
      </c>
      <c r="CP196" t="e">
        <f>Nodes!L1620+"'E4!)D:"</f>
        <v>#VALUE!</v>
      </c>
      <c r="CQ196" t="e">
        <f>Nodes!X1620+"'E4!)D;"</f>
        <v>#VALUE!</v>
      </c>
      <c r="CR196" t="e">
        <f>Nodes!Y1620+"'E4!)D&lt;"</f>
        <v>#VALUE!</v>
      </c>
      <c r="CS196" t="e">
        <f>Nodes!Z1620+"'E4!)D="</f>
        <v>#VALUE!</v>
      </c>
      <c r="CT196" t="e">
        <f>Nodes!AA1620+"'E4!)D&gt;"</f>
        <v>#VALUE!</v>
      </c>
      <c r="CU196" t="e">
        <f>Nodes!AB1620+"'E4!)D?"</f>
        <v>#VALUE!</v>
      </c>
      <c r="CV196" t="e">
        <f>Nodes!AC1620+"'E4!)D@"</f>
        <v>#VALUE!</v>
      </c>
      <c r="CW196" t="e">
        <f>Nodes!A1621+"'E4!)DA"</f>
        <v>#VALUE!</v>
      </c>
      <c r="CX196" t="e">
        <f>Nodes!B1621+"'E4!)DB"</f>
        <v>#VALUE!</v>
      </c>
      <c r="CY196" t="e">
        <f>Nodes!C1621+"'E4!)DC"</f>
        <v>#VALUE!</v>
      </c>
      <c r="CZ196" t="e">
        <f>Nodes!D1621+"'E4!)DD"</f>
        <v>#VALUE!</v>
      </c>
      <c r="DA196" t="e">
        <f>Nodes!E1621+"'E4!)DE"</f>
        <v>#VALUE!</v>
      </c>
      <c r="DB196" t="e">
        <f>Nodes!F1621+"'E4!)DF"</f>
        <v>#VALUE!</v>
      </c>
      <c r="DC196" t="e">
        <f>Nodes!G1621+"'E4!)DG"</f>
        <v>#VALUE!</v>
      </c>
      <c r="DD196" t="e">
        <f>Nodes!H1621+"'E4!)DH"</f>
        <v>#VALUE!</v>
      </c>
      <c r="DE196" t="e">
        <f>Nodes!I1621+"'E4!)DI"</f>
        <v>#VALUE!</v>
      </c>
      <c r="DF196" t="e">
        <f>Nodes!J1621+"'E4!)DJ"</f>
        <v>#VALUE!</v>
      </c>
      <c r="DG196" t="e">
        <f>Nodes!K1621+"'E4!)DK"</f>
        <v>#VALUE!</v>
      </c>
      <c r="DH196" t="e">
        <f>Nodes!L1621+"'E4!)DL"</f>
        <v>#VALUE!</v>
      </c>
      <c r="DI196" t="e">
        <f>Nodes!X1621+"'E4!)DM"</f>
        <v>#VALUE!</v>
      </c>
      <c r="DJ196" t="e">
        <f>Nodes!Y1621+"'E4!)DN"</f>
        <v>#VALUE!</v>
      </c>
      <c r="DK196" t="e">
        <f>Nodes!Z1621+"'E4!)DO"</f>
        <v>#VALUE!</v>
      </c>
      <c r="DL196" t="e">
        <f>Nodes!AA1621+"'E4!)DP"</f>
        <v>#VALUE!</v>
      </c>
      <c r="DM196" t="e">
        <f>Nodes!AB1621+"'E4!)DQ"</f>
        <v>#VALUE!</v>
      </c>
      <c r="DN196" t="e">
        <f>Nodes!AC1621+"'E4!)DR"</f>
        <v>#VALUE!</v>
      </c>
      <c r="DO196" t="e">
        <f>Nodes!A1622+"'E4!)DS"</f>
        <v>#VALUE!</v>
      </c>
      <c r="DP196" t="e">
        <f>Nodes!B1622+"'E4!)DT"</f>
        <v>#VALUE!</v>
      </c>
      <c r="DQ196" t="e">
        <f>Nodes!C1622+"'E4!)DU"</f>
        <v>#VALUE!</v>
      </c>
      <c r="DR196" t="e">
        <f>Nodes!D1622+"'E4!)DV"</f>
        <v>#VALUE!</v>
      </c>
      <c r="DS196" t="e">
        <f>Nodes!E1622+"'E4!)DW"</f>
        <v>#VALUE!</v>
      </c>
      <c r="DT196" t="e">
        <f>Nodes!F1622+"'E4!)DX"</f>
        <v>#VALUE!</v>
      </c>
      <c r="DU196" t="e">
        <f>Nodes!G1622+"'E4!)DY"</f>
        <v>#VALUE!</v>
      </c>
      <c r="DV196" t="e">
        <f>Nodes!H1622+"'E4!)DZ"</f>
        <v>#VALUE!</v>
      </c>
      <c r="DW196" t="e">
        <f>Nodes!I1622+"'E4!)D["</f>
        <v>#VALUE!</v>
      </c>
      <c r="DX196" t="e">
        <f>Nodes!J1622+"'E4!)D\"</f>
        <v>#VALUE!</v>
      </c>
      <c r="DY196" t="e">
        <f>Nodes!K1622+"'E4!)D]"</f>
        <v>#VALUE!</v>
      </c>
      <c r="DZ196" t="e">
        <f>Nodes!L1622+"'E4!)D^"</f>
        <v>#VALUE!</v>
      </c>
      <c r="EA196" t="e">
        <f>Nodes!X1622+"'E4!)D_"</f>
        <v>#VALUE!</v>
      </c>
      <c r="EB196" t="e">
        <f>Nodes!Y1622+"'E4!)D`"</f>
        <v>#VALUE!</v>
      </c>
      <c r="EC196" t="e">
        <f>Nodes!Z1622+"'E4!)Da"</f>
        <v>#VALUE!</v>
      </c>
      <c r="ED196" t="e">
        <f>Nodes!AA1622+"'E4!)Db"</f>
        <v>#VALUE!</v>
      </c>
      <c r="EE196" t="e">
        <f>Nodes!AB1622+"'E4!)Dc"</f>
        <v>#VALUE!</v>
      </c>
      <c r="EF196" t="e">
        <f>Nodes!AC1622+"'E4!)Dd"</f>
        <v>#VALUE!</v>
      </c>
      <c r="EG196" t="e">
        <f>Nodes!A1623+"'E4!)De"</f>
        <v>#VALUE!</v>
      </c>
      <c r="EH196" t="e">
        <f>Nodes!B1623+"'E4!)Df"</f>
        <v>#VALUE!</v>
      </c>
      <c r="EI196" t="e">
        <f>Nodes!C1623+"'E4!)Dg"</f>
        <v>#VALUE!</v>
      </c>
      <c r="EJ196" t="e">
        <f>Nodes!D1623+"'E4!)Dh"</f>
        <v>#VALUE!</v>
      </c>
      <c r="EK196" t="e">
        <f>Nodes!E1623+"'E4!)Di"</f>
        <v>#VALUE!</v>
      </c>
      <c r="EL196" t="e">
        <f>Nodes!F1623+"'E4!)Dj"</f>
        <v>#VALUE!</v>
      </c>
      <c r="EM196" t="e">
        <f>Nodes!G1623+"'E4!)Dk"</f>
        <v>#VALUE!</v>
      </c>
      <c r="EN196" t="e">
        <f>Nodes!H1623+"'E4!)Dl"</f>
        <v>#VALUE!</v>
      </c>
      <c r="EO196" t="e">
        <f>Nodes!I1623+"'E4!)Dm"</f>
        <v>#VALUE!</v>
      </c>
      <c r="EP196" t="e">
        <f>Nodes!J1623+"'E4!)Dn"</f>
        <v>#VALUE!</v>
      </c>
      <c r="EQ196" t="e">
        <f>Nodes!K1623+"'E4!)Do"</f>
        <v>#VALUE!</v>
      </c>
      <c r="ER196" t="e">
        <f>Nodes!L1623+"'E4!)Dp"</f>
        <v>#VALUE!</v>
      </c>
      <c r="ES196" t="e">
        <f>Nodes!X1623+"'E4!)Dq"</f>
        <v>#VALUE!</v>
      </c>
      <c r="ET196" t="e">
        <f>Nodes!Y1623+"'E4!)Dr"</f>
        <v>#VALUE!</v>
      </c>
      <c r="EU196" t="e">
        <f>Nodes!Z1623+"'E4!)Ds"</f>
        <v>#VALUE!</v>
      </c>
      <c r="EV196" t="e">
        <f>Nodes!AA1623+"'E4!)Dt"</f>
        <v>#VALUE!</v>
      </c>
      <c r="EW196" t="e">
        <f>Nodes!AB1623+"'E4!)Du"</f>
        <v>#VALUE!</v>
      </c>
      <c r="EX196" t="e">
        <f>Nodes!AC1623+"'E4!)Dv"</f>
        <v>#VALUE!</v>
      </c>
      <c r="EY196" t="e">
        <f>Nodes!A1624+"'E4!)Dw"</f>
        <v>#VALUE!</v>
      </c>
      <c r="EZ196" t="e">
        <f>Nodes!B1624+"'E4!)Dx"</f>
        <v>#VALUE!</v>
      </c>
      <c r="FA196" t="e">
        <f>Nodes!C1624+"'E4!)Dy"</f>
        <v>#VALUE!</v>
      </c>
      <c r="FB196" t="e">
        <f>Nodes!D1624+"'E4!)Dz"</f>
        <v>#VALUE!</v>
      </c>
      <c r="FC196" t="e">
        <f>Nodes!E1624+"'E4!)D{"</f>
        <v>#VALUE!</v>
      </c>
      <c r="FD196" t="e">
        <f>Nodes!F1624+"'E4!)D|"</f>
        <v>#VALUE!</v>
      </c>
      <c r="FE196" t="e">
        <f>Nodes!G1624+"'E4!)D}"</f>
        <v>#VALUE!</v>
      </c>
      <c r="FF196" t="e">
        <f>Nodes!H1624+"'E4!)D~"</f>
        <v>#VALUE!</v>
      </c>
      <c r="FG196" t="e">
        <f>Nodes!I1624+"'E4!)E#"</f>
        <v>#VALUE!</v>
      </c>
      <c r="FH196" t="e">
        <f>Nodes!J1624+"'E4!)E$"</f>
        <v>#VALUE!</v>
      </c>
      <c r="FI196" t="e">
        <f>Nodes!K1624+"'E4!)E%"</f>
        <v>#VALUE!</v>
      </c>
      <c r="FJ196" t="e">
        <f>Nodes!L1624+"'E4!)E&amp;"</f>
        <v>#VALUE!</v>
      </c>
      <c r="FK196" t="e">
        <f>Nodes!X1624+"'E4!)E'"</f>
        <v>#VALUE!</v>
      </c>
      <c r="FL196" t="e">
        <f>Nodes!Y1624+"'E4!)E("</f>
        <v>#VALUE!</v>
      </c>
      <c r="FM196" t="e">
        <f>Nodes!Z1624+"'E4!)E)"</f>
        <v>#VALUE!</v>
      </c>
      <c r="FN196" t="e">
        <f>Nodes!AA1624+"'E4!)E."</f>
        <v>#VALUE!</v>
      </c>
      <c r="FO196" t="e">
        <f>Nodes!AB1624+"'E4!)E/"</f>
        <v>#VALUE!</v>
      </c>
      <c r="FP196" t="e">
        <f>Nodes!AC1624+"'E4!)E0"</f>
        <v>#VALUE!</v>
      </c>
      <c r="FQ196" t="e">
        <f>Nodes!A1625+"'E4!)E1"</f>
        <v>#VALUE!</v>
      </c>
      <c r="FR196" t="e">
        <f>Nodes!B1625+"'E4!)E2"</f>
        <v>#VALUE!</v>
      </c>
      <c r="FS196" t="e">
        <f>Nodes!C1625+"'E4!)E3"</f>
        <v>#VALUE!</v>
      </c>
      <c r="FT196" t="e">
        <f>Nodes!D1625+"'E4!)E4"</f>
        <v>#VALUE!</v>
      </c>
      <c r="FU196" t="e">
        <f>Nodes!E1625+"'E4!)E5"</f>
        <v>#VALUE!</v>
      </c>
      <c r="FV196" t="e">
        <f>Nodes!F1625+"'E4!)E6"</f>
        <v>#VALUE!</v>
      </c>
      <c r="FW196" t="e">
        <f>Nodes!G1625+"'E4!)E7"</f>
        <v>#VALUE!</v>
      </c>
      <c r="FX196" t="e">
        <f>Nodes!H1625+"'E4!)E8"</f>
        <v>#VALUE!</v>
      </c>
      <c r="FY196" t="e">
        <f>Nodes!I1625+"'E4!)E9"</f>
        <v>#VALUE!</v>
      </c>
      <c r="FZ196" t="e">
        <f>Nodes!J1625+"'E4!)E:"</f>
        <v>#VALUE!</v>
      </c>
      <c r="GA196" t="e">
        <f>Nodes!K1625+"'E4!)E;"</f>
        <v>#VALUE!</v>
      </c>
      <c r="GB196" t="e">
        <f>Nodes!L1625+"'E4!)E&lt;"</f>
        <v>#VALUE!</v>
      </c>
      <c r="GC196" t="e">
        <f>Nodes!P1625+"'E4!)E="</f>
        <v>#VALUE!</v>
      </c>
      <c r="GD196" t="e">
        <f>Nodes!X1625+"'E4!)E&gt;"</f>
        <v>#VALUE!</v>
      </c>
      <c r="GE196" t="e">
        <f>Nodes!Y1625+"'E4!)E?"</f>
        <v>#VALUE!</v>
      </c>
      <c r="GF196" t="e">
        <f>Nodes!Z1625+"'E4!)E@"</f>
        <v>#VALUE!</v>
      </c>
      <c r="GG196" t="e">
        <f>Nodes!AA1625+"'E4!)EA"</f>
        <v>#VALUE!</v>
      </c>
      <c r="GH196" t="e">
        <f>Nodes!AB1625+"'E4!)EB"</f>
        <v>#VALUE!</v>
      </c>
      <c r="GI196" t="e">
        <f>Nodes!AC1625+"'E4!)EC"</f>
        <v>#VALUE!</v>
      </c>
      <c r="GJ196" t="e">
        <f>Nodes!A1626+"'E4!)ED"</f>
        <v>#VALUE!</v>
      </c>
      <c r="GK196" t="e">
        <f>Nodes!B1626+"'E4!)EE"</f>
        <v>#VALUE!</v>
      </c>
      <c r="GL196" t="e">
        <f>Nodes!C1626+"'E4!)EF"</f>
        <v>#VALUE!</v>
      </c>
      <c r="GM196" t="e">
        <f>Nodes!D1626+"'E4!)EG"</f>
        <v>#VALUE!</v>
      </c>
      <c r="GN196" t="e">
        <f>Nodes!E1626+"'E4!)EH"</f>
        <v>#VALUE!</v>
      </c>
      <c r="GO196" t="e">
        <f>Nodes!F1626+"'E4!)EI"</f>
        <v>#VALUE!</v>
      </c>
      <c r="GP196" t="e">
        <f>Nodes!G1626+"'E4!)EJ"</f>
        <v>#VALUE!</v>
      </c>
      <c r="GQ196" t="e">
        <f>Nodes!H1626+"'E4!)EK"</f>
        <v>#VALUE!</v>
      </c>
      <c r="GR196" t="e">
        <f>Nodes!I1626+"'E4!)EL"</f>
        <v>#VALUE!</v>
      </c>
      <c r="GS196" t="e">
        <f>Nodes!J1626+"'E4!)EM"</f>
        <v>#VALUE!</v>
      </c>
      <c r="GT196" t="e">
        <f>Nodes!K1626+"'E4!)EN"</f>
        <v>#VALUE!</v>
      </c>
      <c r="GU196" t="e">
        <f>Nodes!L1626+"'E4!)EO"</f>
        <v>#VALUE!</v>
      </c>
      <c r="GV196" t="e">
        <f>Nodes!X1626+"'E4!)EP"</f>
        <v>#VALUE!</v>
      </c>
      <c r="GW196" t="e">
        <f>Nodes!Y1626+"'E4!)EQ"</f>
        <v>#VALUE!</v>
      </c>
      <c r="GX196" t="e">
        <f>Nodes!Z1626+"'E4!)ER"</f>
        <v>#VALUE!</v>
      </c>
      <c r="GY196" t="e">
        <f>Nodes!AA1626+"'E4!)ES"</f>
        <v>#VALUE!</v>
      </c>
      <c r="GZ196" t="e">
        <f>Nodes!AB1626+"'E4!)ET"</f>
        <v>#VALUE!</v>
      </c>
      <c r="HA196" t="e">
        <f>Nodes!AC1626+"'E4!)EU"</f>
        <v>#VALUE!</v>
      </c>
      <c r="HB196" t="e">
        <f>Nodes!A1627+"'E4!)EV"</f>
        <v>#VALUE!</v>
      </c>
      <c r="HC196" t="e">
        <f>Nodes!B1627+"'E4!)EW"</f>
        <v>#VALUE!</v>
      </c>
      <c r="HD196" t="e">
        <f>Nodes!C1627+"'E4!)EX"</f>
        <v>#VALUE!</v>
      </c>
      <c r="HE196" t="e">
        <f>Nodes!D1627+"'E4!)EY"</f>
        <v>#VALUE!</v>
      </c>
      <c r="HF196" t="e">
        <f>Nodes!E1627+"'E4!)EZ"</f>
        <v>#VALUE!</v>
      </c>
      <c r="HG196" t="e">
        <f>Nodes!F1627+"'E4!)E["</f>
        <v>#VALUE!</v>
      </c>
      <c r="HH196" t="e">
        <f>Nodes!G1627+"'E4!)E\"</f>
        <v>#VALUE!</v>
      </c>
      <c r="HI196" t="e">
        <f>Nodes!H1627+"'E4!)E]"</f>
        <v>#VALUE!</v>
      </c>
      <c r="HJ196" t="e">
        <f>Nodes!I1627+"'E4!)E^"</f>
        <v>#VALUE!</v>
      </c>
      <c r="HK196" t="e">
        <f>Nodes!J1627+"'E4!)E_"</f>
        <v>#VALUE!</v>
      </c>
      <c r="HL196" t="e">
        <f>Nodes!K1627+"'E4!)E`"</f>
        <v>#VALUE!</v>
      </c>
      <c r="HM196" t="e">
        <f>Nodes!L1627+"'E4!)Ea"</f>
        <v>#VALUE!</v>
      </c>
      <c r="HN196" t="e">
        <f>Nodes!P1627+"'E4!)Eb"</f>
        <v>#VALUE!</v>
      </c>
      <c r="HO196" t="e">
        <f>Nodes!X1627+"'E4!)Ec"</f>
        <v>#VALUE!</v>
      </c>
      <c r="HP196" t="e">
        <f>Nodes!Y1627+"'E4!)Ed"</f>
        <v>#VALUE!</v>
      </c>
      <c r="HQ196" t="e">
        <f>Nodes!Z1627+"'E4!)Ee"</f>
        <v>#VALUE!</v>
      </c>
      <c r="HR196" t="e">
        <f>Nodes!AA1627+"'E4!)Ef"</f>
        <v>#VALUE!</v>
      </c>
      <c r="HS196" t="e">
        <f>Nodes!AB1627+"'E4!)Eg"</f>
        <v>#VALUE!</v>
      </c>
      <c r="HT196" t="e">
        <f>Nodes!AC1627+"'E4!)Eh"</f>
        <v>#VALUE!</v>
      </c>
      <c r="HU196" t="e">
        <f>Nodes!A1628+"'E4!)Ei"</f>
        <v>#VALUE!</v>
      </c>
      <c r="HV196" t="e">
        <f>Nodes!B1628+"'E4!)Ej"</f>
        <v>#VALUE!</v>
      </c>
      <c r="HW196" t="e">
        <f>Nodes!C1628+"'E4!)Ek"</f>
        <v>#VALUE!</v>
      </c>
      <c r="HX196" t="e">
        <f>Nodes!D1628+"'E4!)El"</f>
        <v>#VALUE!</v>
      </c>
      <c r="HY196" t="e">
        <f>Nodes!E1628+"'E4!)Em"</f>
        <v>#VALUE!</v>
      </c>
      <c r="HZ196" t="e">
        <f>Nodes!F1628+"'E4!)En"</f>
        <v>#VALUE!</v>
      </c>
      <c r="IA196" t="e">
        <f>Nodes!G1628+"'E4!)Eo"</f>
        <v>#VALUE!</v>
      </c>
      <c r="IB196" t="e">
        <f>Nodes!H1628+"'E4!)Ep"</f>
        <v>#VALUE!</v>
      </c>
      <c r="IC196" t="e">
        <f>Nodes!I1628+"'E4!)Eq"</f>
        <v>#VALUE!</v>
      </c>
      <c r="ID196" t="e">
        <f>Nodes!J1628+"'E4!)Er"</f>
        <v>#VALUE!</v>
      </c>
      <c r="IE196" t="e">
        <f>Nodes!K1628+"'E4!)Es"</f>
        <v>#VALUE!</v>
      </c>
      <c r="IF196" t="e">
        <f>Nodes!L1628+"'E4!)Et"</f>
        <v>#VALUE!</v>
      </c>
      <c r="IG196" t="e">
        <f>Nodes!X1628+"'E4!)Eu"</f>
        <v>#VALUE!</v>
      </c>
      <c r="IH196" t="e">
        <f>Nodes!Y1628+"'E4!)Ev"</f>
        <v>#VALUE!</v>
      </c>
      <c r="II196" t="e">
        <f>Nodes!Z1628+"'E4!)Ew"</f>
        <v>#VALUE!</v>
      </c>
      <c r="IJ196" t="e">
        <f>Nodes!AA1628+"'E4!)Ex"</f>
        <v>#VALUE!</v>
      </c>
      <c r="IK196" t="e">
        <f>Nodes!AB1628+"'E4!)Ey"</f>
        <v>#VALUE!</v>
      </c>
      <c r="IL196" t="e">
        <f>Nodes!AC1628+"'E4!)Ez"</f>
        <v>#VALUE!</v>
      </c>
      <c r="IM196" t="e">
        <f>Nodes!A1629+"'E4!)E{"</f>
        <v>#VALUE!</v>
      </c>
      <c r="IN196" t="e">
        <f>Nodes!B1629+"'E4!)E|"</f>
        <v>#VALUE!</v>
      </c>
      <c r="IO196" t="e">
        <f>Nodes!C1629+"'E4!)E}"</f>
        <v>#VALUE!</v>
      </c>
      <c r="IP196" t="e">
        <f>Nodes!D1629+"'E4!)E~"</f>
        <v>#VALUE!</v>
      </c>
      <c r="IQ196" t="e">
        <f>Nodes!E1629+"'E4!)F#"</f>
        <v>#VALUE!</v>
      </c>
      <c r="IR196" t="e">
        <f>Nodes!F1629+"'E4!)F$"</f>
        <v>#VALUE!</v>
      </c>
      <c r="IS196" t="e">
        <f>Nodes!G1629+"'E4!)F%"</f>
        <v>#VALUE!</v>
      </c>
      <c r="IT196" t="e">
        <f>Nodes!H1629+"'E4!)F&amp;"</f>
        <v>#VALUE!</v>
      </c>
      <c r="IU196" t="e">
        <f>Nodes!I1629+"'E4!)F'"</f>
        <v>#VALUE!</v>
      </c>
      <c r="IV196" t="e">
        <f>Nodes!J1629+"'E4!)F("</f>
        <v>#VALUE!</v>
      </c>
    </row>
    <row r="197" spans="6:256">
      <c r="F197" t="e">
        <f>Nodes!K1629+"'E4!)F)"</f>
        <v>#VALUE!</v>
      </c>
      <c r="G197" t="e">
        <f>Nodes!L1629+"'E4!)F."</f>
        <v>#VALUE!</v>
      </c>
      <c r="H197" t="e">
        <f>Nodes!P1629+"'E4!)F/"</f>
        <v>#VALUE!</v>
      </c>
      <c r="I197" t="e">
        <f>Nodes!X1629+"'E4!)F0"</f>
        <v>#VALUE!</v>
      </c>
      <c r="J197" t="e">
        <f>Nodes!Y1629+"'E4!)F1"</f>
        <v>#VALUE!</v>
      </c>
      <c r="K197" t="e">
        <f>Nodes!Z1629+"'E4!)F2"</f>
        <v>#VALUE!</v>
      </c>
      <c r="L197" t="e">
        <f>Nodes!AA1629+"'E4!)F3"</f>
        <v>#VALUE!</v>
      </c>
      <c r="M197" t="e">
        <f>Nodes!AB1629+"'E4!)F4"</f>
        <v>#VALUE!</v>
      </c>
      <c r="N197" t="e">
        <f>Nodes!AC1629+"'E4!)F5"</f>
        <v>#VALUE!</v>
      </c>
      <c r="O197" t="e">
        <f>Nodes!A1630+"'E4!)F6"</f>
        <v>#VALUE!</v>
      </c>
      <c r="P197" t="e">
        <f>Nodes!B1630+"'E4!)F7"</f>
        <v>#VALUE!</v>
      </c>
      <c r="Q197" t="e">
        <f>Nodes!C1630+"'E4!)F8"</f>
        <v>#VALUE!</v>
      </c>
      <c r="R197" t="e">
        <f>Nodes!D1630+"'E4!)F9"</f>
        <v>#VALUE!</v>
      </c>
      <c r="S197" t="e">
        <f>Nodes!E1630+"'E4!)F:"</f>
        <v>#VALUE!</v>
      </c>
      <c r="T197" t="e">
        <f>Nodes!F1630+"'E4!)F;"</f>
        <v>#VALUE!</v>
      </c>
      <c r="U197" t="e">
        <f>Nodes!G1630+"'E4!)F&lt;"</f>
        <v>#VALUE!</v>
      </c>
      <c r="V197" t="e">
        <f>Nodes!H1630+"'E4!)F="</f>
        <v>#VALUE!</v>
      </c>
      <c r="W197" t="e">
        <f>Nodes!I1630+"'E4!)F&gt;"</f>
        <v>#VALUE!</v>
      </c>
      <c r="X197" t="e">
        <f>Nodes!J1630+"'E4!)F?"</f>
        <v>#VALUE!</v>
      </c>
      <c r="Y197" t="e">
        <f>Nodes!K1630+"'E4!)F@"</f>
        <v>#VALUE!</v>
      </c>
      <c r="Z197" t="e">
        <f>Nodes!L1630+"'E4!)FA"</f>
        <v>#VALUE!</v>
      </c>
      <c r="AA197" t="e">
        <f>Nodes!X1630+"'E4!)FB"</f>
        <v>#VALUE!</v>
      </c>
      <c r="AB197" t="e">
        <f>Nodes!Y1630+"'E4!)FC"</f>
        <v>#VALUE!</v>
      </c>
      <c r="AC197" t="e">
        <f>Nodes!Z1630+"'E4!)FD"</f>
        <v>#VALUE!</v>
      </c>
      <c r="AD197" t="e">
        <f>Nodes!AA1630+"'E4!)FE"</f>
        <v>#VALUE!</v>
      </c>
      <c r="AE197" t="e">
        <f>Nodes!AB1630+"'E4!)FF"</f>
        <v>#VALUE!</v>
      </c>
      <c r="AF197" t="e">
        <f>Nodes!AC1630+"'E4!)FG"</f>
        <v>#VALUE!</v>
      </c>
      <c r="AG197" t="e">
        <f>Nodes!A1631+"'E4!)FH"</f>
        <v>#VALUE!</v>
      </c>
      <c r="AH197" t="e">
        <f>Nodes!B1631+"'E4!)FI"</f>
        <v>#VALUE!</v>
      </c>
      <c r="AI197" t="e">
        <f>Nodes!C1631+"'E4!)FJ"</f>
        <v>#VALUE!</v>
      </c>
      <c r="AJ197" t="e">
        <f>Nodes!D1631+"'E4!)FK"</f>
        <v>#VALUE!</v>
      </c>
      <c r="AK197" t="e">
        <f>Nodes!E1631+"'E4!)FL"</f>
        <v>#VALUE!</v>
      </c>
      <c r="AL197" t="e">
        <f>Nodes!F1631+"'E4!)FM"</f>
        <v>#VALUE!</v>
      </c>
      <c r="AM197" t="e">
        <f>Nodes!G1631+"'E4!)FN"</f>
        <v>#VALUE!</v>
      </c>
      <c r="AN197" t="e">
        <f>Nodes!H1631+"'E4!)FO"</f>
        <v>#VALUE!</v>
      </c>
      <c r="AO197" t="e">
        <f>Nodes!I1631+"'E4!)FP"</f>
        <v>#VALUE!</v>
      </c>
      <c r="AP197" t="e">
        <f>Nodes!J1631+"'E4!)FQ"</f>
        <v>#VALUE!</v>
      </c>
      <c r="AQ197" t="e">
        <f>Nodes!K1631+"'E4!)FR"</f>
        <v>#VALUE!</v>
      </c>
      <c r="AR197" t="e">
        <f>Nodes!L1631+"'E4!)FS"</f>
        <v>#VALUE!</v>
      </c>
      <c r="AS197" t="e">
        <f>Nodes!X1631+"'E4!)FT"</f>
        <v>#VALUE!</v>
      </c>
      <c r="AT197" t="e">
        <f>Nodes!Y1631+"'E4!)FU"</f>
        <v>#VALUE!</v>
      </c>
      <c r="AU197" t="e">
        <f>Nodes!Z1631+"'E4!)FV"</f>
        <v>#VALUE!</v>
      </c>
      <c r="AV197" t="e">
        <f>Nodes!AA1631+"'E4!)FW"</f>
        <v>#VALUE!</v>
      </c>
      <c r="AW197" t="e">
        <f>Nodes!AB1631+"'E4!)FX"</f>
        <v>#VALUE!</v>
      </c>
      <c r="AX197" t="e">
        <f>Nodes!AC1631+"'E4!)FY"</f>
        <v>#VALUE!</v>
      </c>
      <c r="AY197" t="e">
        <f>Nodes!A1632+"'E4!)FZ"</f>
        <v>#VALUE!</v>
      </c>
      <c r="AZ197" t="e">
        <f>Nodes!B1632+"'E4!)F["</f>
        <v>#VALUE!</v>
      </c>
      <c r="BA197" t="e">
        <f>Nodes!C1632+"'E4!)F\"</f>
        <v>#VALUE!</v>
      </c>
      <c r="BB197" t="e">
        <f>Nodes!D1632+"'E4!)F]"</f>
        <v>#VALUE!</v>
      </c>
      <c r="BC197" t="e">
        <f>Nodes!E1632+"'E4!)F^"</f>
        <v>#VALUE!</v>
      </c>
      <c r="BD197" t="e">
        <f>Nodes!F1632+"'E4!)F_"</f>
        <v>#VALUE!</v>
      </c>
      <c r="BE197" t="e">
        <f>Nodes!G1632+"'E4!)F`"</f>
        <v>#VALUE!</v>
      </c>
      <c r="BF197" t="e">
        <f>Nodes!H1632+"'E4!)Fa"</f>
        <v>#VALUE!</v>
      </c>
      <c r="BG197" t="e">
        <f>Nodes!I1632+"'E4!)Fb"</f>
        <v>#VALUE!</v>
      </c>
      <c r="BH197" t="e">
        <f>Nodes!J1632+"'E4!)Fc"</f>
        <v>#VALUE!</v>
      </c>
      <c r="BI197" t="e">
        <f>Nodes!K1632+"'E4!)Fd"</f>
        <v>#VALUE!</v>
      </c>
      <c r="BJ197" t="e">
        <f>Nodes!L1632+"'E4!)Fe"</f>
        <v>#VALUE!</v>
      </c>
      <c r="BK197" t="e">
        <f>Nodes!X1632+"'E4!)Ff"</f>
        <v>#VALUE!</v>
      </c>
      <c r="BL197" t="e">
        <f>Nodes!Y1632+"'E4!)Fg"</f>
        <v>#VALUE!</v>
      </c>
      <c r="BM197" t="e">
        <f>Nodes!Z1632+"'E4!)Fh"</f>
        <v>#VALUE!</v>
      </c>
      <c r="BN197" t="e">
        <f>Nodes!AA1632+"'E4!)Fi"</f>
        <v>#VALUE!</v>
      </c>
      <c r="BO197" t="e">
        <f>Nodes!AB1632+"'E4!)Fj"</f>
        <v>#VALUE!</v>
      </c>
      <c r="BP197" t="e">
        <f>Nodes!AC1632+"'E4!)Fk"</f>
        <v>#VALUE!</v>
      </c>
      <c r="BQ197" t="e">
        <f>Nodes!A1633+"'E4!)Fl"</f>
        <v>#VALUE!</v>
      </c>
      <c r="BR197" t="e">
        <f>Nodes!B1633+"'E4!)Fm"</f>
        <v>#VALUE!</v>
      </c>
      <c r="BS197" t="e">
        <f>Nodes!C1633+"'E4!)Fn"</f>
        <v>#VALUE!</v>
      </c>
      <c r="BT197" t="e">
        <f>Nodes!D1633+"'E4!)Fo"</f>
        <v>#VALUE!</v>
      </c>
      <c r="BU197" t="e">
        <f>Nodes!E1633+"'E4!)Fp"</f>
        <v>#VALUE!</v>
      </c>
      <c r="BV197" t="e">
        <f>Nodes!F1633+"'E4!)Fq"</f>
        <v>#VALUE!</v>
      </c>
      <c r="BW197" t="e">
        <f>Nodes!G1633+"'E4!)Fr"</f>
        <v>#VALUE!</v>
      </c>
      <c r="BX197" t="e">
        <f>Nodes!H1633+"'E4!)Fs"</f>
        <v>#VALUE!</v>
      </c>
      <c r="BY197" t="e">
        <f>Nodes!I1633+"'E4!)Ft"</f>
        <v>#VALUE!</v>
      </c>
      <c r="BZ197" t="e">
        <f>Nodes!J1633+"'E4!)Fu"</f>
        <v>#VALUE!</v>
      </c>
      <c r="CA197" t="e">
        <f>Nodes!K1633+"'E4!)Fv"</f>
        <v>#VALUE!</v>
      </c>
      <c r="CB197" t="e">
        <f>Nodes!L1633+"'E4!)Fw"</f>
        <v>#VALUE!</v>
      </c>
      <c r="CC197" t="e">
        <f>Nodes!X1633+"'E4!)Fx"</f>
        <v>#VALUE!</v>
      </c>
      <c r="CD197" t="e">
        <f>Nodes!Y1633+"'E4!)Fy"</f>
        <v>#VALUE!</v>
      </c>
      <c r="CE197" t="e">
        <f>Nodes!Z1633+"'E4!)Fz"</f>
        <v>#VALUE!</v>
      </c>
      <c r="CF197" t="e">
        <f>Nodes!AA1633+"'E4!)F{"</f>
        <v>#VALUE!</v>
      </c>
      <c r="CG197" t="e">
        <f>Nodes!AB1633+"'E4!)F|"</f>
        <v>#VALUE!</v>
      </c>
      <c r="CH197" t="e">
        <f>Nodes!AC1633+"'E4!)F}"</f>
        <v>#VALUE!</v>
      </c>
      <c r="CI197" t="e">
        <f>Nodes!A1634+"'E4!)F~"</f>
        <v>#VALUE!</v>
      </c>
      <c r="CJ197" t="e">
        <f>Nodes!B1634+"'E4!)G#"</f>
        <v>#VALUE!</v>
      </c>
      <c r="CK197" t="e">
        <f>Nodes!C1634+"'E4!)G$"</f>
        <v>#VALUE!</v>
      </c>
      <c r="CL197" t="e">
        <f>Nodes!D1634+"'E4!)G%"</f>
        <v>#VALUE!</v>
      </c>
      <c r="CM197" t="e">
        <f>Nodes!E1634+"'E4!)G&amp;"</f>
        <v>#VALUE!</v>
      </c>
      <c r="CN197" t="e">
        <f>Nodes!F1634+"'E4!)G'"</f>
        <v>#VALUE!</v>
      </c>
      <c r="CO197" t="e">
        <f>Nodes!G1634+"'E4!)G("</f>
        <v>#VALUE!</v>
      </c>
      <c r="CP197" t="e">
        <f>Nodes!H1634+"'E4!)G)"</f>
        <v>#VALUE!</v>
      </c>
      <c r="CQ197" t="e">
        <f>Nodes!I1634+"'E4!)G."</f>
        <v>#VALUE!</v>
      </c>
      <c r="CR197" t="e">
        <f>Nodes!J1634+"'E4!)G/"</f>
        <v>#VALUE!</v>
      </c>
      <c r="CS197" t="e">
        <f>Nodes!K1634+"'E4!)G0"</f>
        <v>#VALUE!</v>
      </c>
      <c r="CT197" t="e">
        <f>Nodes!L1634+"'E4!)G1"</f>
        <v>#VALUE!</v>
      </c>
      <c r="CU197" t="e">
        <f>Nodes!X1634+"'E4!)G2"</f>
        <v>#VALUE!</v>
      </c>
      <c r="CV197" t="e">
        <f>Nodes!Y1634+"'E4!)G3"</f>
        <v>#VALUE!</v>
      </c>
      <c r="CW197" t="e">
        <f>Nodes!Z1634+"'E4!)G4"</f>
        <v>#VALUE!</v>
      </c>
      <c r="CX197" t="e">
        <f>Nodes!AA1634+"'E4!)G5"</f>
        <v>#VALUE!</v>
      </c>
      <c r="CY197" t="e">
        <f>Nodes!AB1634+"'E4!)G6"</f>
        <v>#VALUE!</v>
      </c>
      <c r="CZ197" t="e">
        <f>Nodes!AC1634+"'E4!)G7"</f>
        <v>#VALUE!</v>
      </c>
      <c r="DA197" t="e">
        <f>Nodes!A1635+"'E4!)G8"</f>
        <v>#VALUE!</v>
      </c>
      <c r="DB197" t="e">
        <f>Nodes!B1635+"'E4!)G9"</f>
        <v>#VALUE!</v>
      </c>
      <c r="DC197" t="e">
        <f>Nodes!C1635+"'E4!)G:"</f>
        <v>#VALUE!</v>
      </c>
      <c r="DD197" t="e">
        <f>Nodes!D1635+"'E4!)G;"</f>
        <v>#VALUE!</v>
      </c>
      <c r="DE197" t="e">
        <f>Nodes!E1635+"'E4!)G&lt;"</f>
        <v>#VALUE!</v>
      </c>
      <c r="DF197" t="e">
        <f>Nodes!F1635+"'E4!)G="</f>
        <v>#VALUE!</v>
      </c>
      <c r="DG197" t="e">
        <f>Nodes!G1635+"'E4!)G&gt;"</f>
        <v>#VALUE!</v>
      </c>
      <c r="DH197" t="e">
        <f>Nodes!H1635+"'E4!)G?"</f>
        <v>#VALUE!</v>
      </c>
      <c r="DI197" t="e">
        <f>Nodes!I1635+"'E4!)G@"</f>
        <v>#VALUE!</v>
      </c>
      <c r="DJ197" t="e">
        <f>Nodes!J1635+"'E4!)GA"</f>
        <v>#VALUE!</v>
      </c>
      <c r="DK197" t="e">
        <f>Nodes!K1635+"'E4!)GB"</f>
        <v>#VALUE!</v>
      </c>
      <c r="DL197" t="e">
        <f>Nodes!L1635+"'E4!)GC"</f>
        <v>#VALUE!</v>
      </c>
      <c r="DM197" t="e">
        <f>Nodes!M1635+"'E4!)GD"</f>
        <v>#VALUE!</v>
      </c>
      <c r="DN197" t="e">
        <f>Nodes!N1635+"'E4!)GE"</f>
        <v>#VALUE!</v>
      </c>
      <c r="DO197" t="e">
        <f>Nodes!O1635+"'E4!)GF"</f>
        <v>#VALUE!</v>
      </c>
      <c r="DP197" t="e">
        <f>Nodes!P1635+"'E4!)GG"</f>
        <v>#VALUE!</v>
      </c>
      <c r="DQ197" t="e">
        <f>Nodes!Q1635+"'E4!)GH"</f>
        <v>#VALUE!</v>
      </c>
      <c r="DR197" t="e">
        <f>Nodes!R1635+"'E4!)GI"</f>
        <v>#VALUE!</v>
      </c>
      <c r="DS197" t="e">
        <f>Nodes!S1635+"'E4!)GJ"</f>
        <v>#VALUE!</v>
      </c>
      <c r="DT197" t="e">
        <f>Nodes!T1635+"'E4!)GK"</f>
        <v>#VALUE!</v>
      </c>
      <c r="DU197" t="e">
        <f>Nodes!U1635+"'E4!)GL"</f>
        <v>#VALUE!</v>
      </c>
      <c r="DV197" t="e">
        <f>Nodes!V1635+"'E4!)GM"</f>
        <v>#VALUE!</v>
      </c>
      <c r="DW197" t="e">
        <f>Nodes!W1635+"'E4!)GN"</f>
        <v>#VALUE!</v>
      </c>
      <c r="DX197" t="e">
        <f>Nodes!X1635+"'E4!)GO"</f>
        <v>#VALUE!</v>
      </c>
      <c r="DY197" t="e">
        <f>Nodes!Y1635+"'E4!)GP"</f>
        <v>#VALUE!</v>
      </c>
      <c r="DZ197" t="e">
        <f>Nodes!Z1635+"'E4!)GQ"</f>
        <v>#VALUE!</v>
      </c>
      <c r="EA197" t="e">
        <f>Nodes!AA1635+"'E4!)GR"</f>
        <v>#VALUE!</v>
      </c>
      <c r="EB197" t="e">
        <f>Nodes!AB1635+"'E4!)GS"</f>
        <v>#VALUE!</v>
      </c>
      <c r="EC197" t="e">
        <f>Nodes!AC1635+"'E4!)GT"</f>
        <v>#VALUE!</v>
      </c>
      <c r="ED197" t="e">
        <f>Nodes!A1636+"'E4!)GU"</f>
        <v>#VALUE!</v>
      </c>
      <c r="EE197" t="e">
        <f>Nodes!B1636+"'E4!)GV"</f>
        <v>#VALUE!</v>
      </c>
      <c r="EF197" t="e">
        <f>Nodes!C1636+"'E4!)GW"</f>
        <v>#VALUE!</v>
      </c>
      <c r="EG197" t="e">
        <f>Nodes!D1636+"'E4!)GX"</f>
        <v>#VALUE!</v>
      </c>
      <c r="EH197" t="e">
        <f>Nodes!E1636+"'E4!)GY"</f>
        <v>#VALUE!</v>
      </c>
      <c r="EI197" t="e">
        <f>Nodes!F1636+"'E4!)GZ"</f>
        <v>#VALUE!</v>
      </c>
      <c r="EJ197" t="e">
        <f>Nodes!G1636+"'E4!)G["</f>
        <v>#VALUE!</v>
      </c>
      <c r="EK197" t="e">
        <f>Nodes!H1636+"'E4!)G\"</f>
        <v>#VALUE!</v>
      </c>
      <c r="EL197" t="e">
        <f>Nodes!I1636+"'E4!)G]"</f>
        <v>#VALUE!</v>
      </c>
      <c r="EM197" t="e">
        <f>Nodes!J1636+"'E4!)G^"</f>
        <v>#VALUE!</v>
      </c>
      <c r="EN197" t="e">
        <f>Nodes!K1636+"'E4!)G_"</f>
        <v>#VALUE!</v>
      </c>
      <c r="EO197" t="e">
        <f>Nodes!L1636+"'E4!)G`"</f>
        <v>#VALUE!</v>
      </c>
      <c r="EP197" t="e">
        <f>Nodes!M1636+"'E4!)Ga"</f>
        <v>#VALUE!</v>
      </c>
      <c r="EQ197" t="e">
        <f>Nodes!N1636+"'E4!)Gb"</f>
        <v>#VALUE!</v>
      </c>
      <c r="ER197" t="e">
        <f>Nodes!O1636+"'E4!)Gc"</f>
        <v>#VALUE!</v>
      </c>
      <c r="ES197" t="e">
        <f>Nodes!P1636+"'E4!)Gd"</f>
        <v>#VALUE!</v>
      </c>
      <c r="ET197" t="e">
        <f>Nodes!Q1636+"'E4!)Ge"</f>
        <v>#VALUE!</v>
      </c>
      <c r="EU197" t="e">
        <f>Nodes!R1636+"'E4!)Gf"</f>
        <v>#VALUE!</v>
      </c>
      <c r="EV197" t="e">
        <f>Nodes!S1636+"'E4!)Gg"</f>
        <v>#VALUE!</v>
      </c>
      <c r="EW197" t="e">
        <f>Nodes!T1636+"'E4!)Gh"</f>
        <v>#VALUE!</v>
      </c>
      <c r="EX197" t="e">
        <f>Nodes!U1636+"'E4!)Gi"</f>
        <v>#VALUE!</v>
      </c>
      <c r="EY197" t="e">
        <f>Nodes!V1636+"'E4!)Gj"</f>
        <v>#VALUE!</v>
      </c>
      <c r="EZ197" t="e">
        <f>Nodes!W1636+"'E4!)Gk"</f>
        <v>#VALUE!</v>
      </c>
      <c r="FA197" t="e">
        <f>Nodes!X1636+"'E4!)Gl"</f>
        <v>#VALUE!</v>
      </c>
      <c r="FB197" t="e">
        <f>Nodes!Y1636+"'E4!)Gm"</f>
        <v>#VALUE!</v>
      </c>
      <c r="FC197" t="e">
        <f>Nodes!Z1636+"'E4!)Gn"</f>
        <v>#VALUE!</v>
      </c>
      <c r="FD197" t="e">
        <f>Nodes!AA1636+"'E4!)Go"</f>
        <v>#VALUE!</v>
      </c>
      <c r="FE197" t="e">
        <f>Nodes!AB1636+"'E4!)Gp"</f>
        <v>#VALUE!</v>
      </c>
      <c r="FF197" t="e">
        <f>Nodes!AC1636+"'E4!)Gq"</f>
        <v>#VALUE!</v>
      </c>
      <c r="FG197" t="e">
        <f>Nodes!A1637+"'E4!)Gr"</f>
        <v>#VALUE!</v>
      </c>
      <c r="FH197" t="e">
        <f>Nodes!B1637+"'E4!)Gs"</f>
        <v>#VALUE!</v>
      </c>
      <c r="FI197" t="e">
        <f>Nodes!C1637+"'E4!)Gt"</f>
        <v>#VALUE!</v>
      </c>
      <c r="FJ197" t="e">
        <f>Nodes!D1637+"'E4!)Gu"</f>
        <v>#VALUE!</v>
      </c>
      <c r="FK197" t="e">
        <f>Nodes!E1637+"'E4!)Gv"</f>
        <v>#VALUE!</v>
      </c>
      <c r="FL197" t="e">
        <f>Nodes!F1637+"'E4!)Gw"</f>
        <v>#VALUE!</v>
      </c>
      <c r="FM197" t="e">
        <f>Nodes!G1637+"'E4!)Gx"</f>
        <v>#VALUE!</v>
      </c>
      <c r="FN197" t="e">
        <f>Nodes!H1637+"'E4!)Gy"</f>
        <v>#VALUE!</v>
      </c>
      <c r="FO197" t="e">
        <f>Nodes!I1637+"'E4!)Gz"</f>
        <v>#VALUE!</v>
      </c>
      <c r="FP197" t="e">
        <f>Nodes!J1637+"'E4!)G{"</f>
        <v>#VALUE!</v>
      </c>
      <c r="FQ197" t="e">
        <f>Nodes!K1637+"'E4!)G|"</f>
        <v>#VALUE!</v>
      </c>
      <c r="FR197" t="e">
        <f>Nodes!L1637+"'E4!)G}"</f>
        <v>#VALUE!</v>
      </c>
      <c r="FS197" t="e">
        <f>Nodes!M1637+"'E4!)G~"</f>
        <v>#VALUE!</v>
      </c>
      <c r="FT197" t="e">
        <f>Nodes!N1637+"'E4!)H#"</f>
        <v>#VALUE!</v>
      </c>
      <c r="FU197" t="e">
        <f>Nodes!O1637+"'E4!)H$"</f>
        <v>#VALUE!</v>
      </c>
      <c r="FV197" t="e">
        <f>Nodes!P1637+"'E4!)H%"</f>
        <v>#VALUE!</v>
      </c>
      <c r="FW197" t="e">
        <f>Nodes!Q1637+"'E4!)H&amp;"</f>
        <v>#VALUE!</v>
      </c>
      <c r="FX197" t="e">
        <f>Nodes!R1637+"'E4!)H'"</f>
        <v>#VALUE!</v>
      </c>
      <c r="FY197" t="e">
        <f>Nodes!S1637+"'E4!)H("</f>
        <v>#VALUE!</v>
      </c>
      <c r="FZ197" t="e">
        <f>Nodes!T1637+"'E4!)H)"</f>
        <v>#VALUE!</v>
      </c>
      <c r="GA197" t="e">
        <f>Nodes!U1637+"'E4!)H."</f>
        <v>#VALUE!</v>
      </c>
      <c r="GB197" t="e">
        <f>Nodes!V1637+"'E4!)H/"</f>
        <v>#VALUE!</v>
      </c>
      <c r="GC197" t="e">
        <f>Nodes!W1637+"'E4!)H0"</f>
        <v>#VALUE!</v>
      </c>
      <c r="GD197" t="e">
        <f>Nodes!X1637+"'E4!)H1"</f>
        <v>#VALUE!</v>
      </c>
      <c r="GE197" t="e">
        <f>Nodes!Y1637+"'E4!)H2"</f>
        <v>#VALUE!</v>
      </c>
      <c r="GF197" t="e">
        <f>Nodes!Z1637+"'E4!)H3"</f>
        <v>#VALUE!</v>
      </c>
      <c r="GG197" t="e">
        <f>Nodes!AA1637+"'E4!)H4"</f>
        <v>#VALUE!</v>
      </c>
      <c r="GH197" t="e">
        <f>Nodes!AB1637+"'E4!)H5"</f>
        <v>#VALUE!</v>
      </c>
      <c r="GI197" t="e">
        <f>Nodes!AC1637+"'E4!)H6"</f>
        <v>#VALUE!</v>
      </c>
      <c r="GJ197" t="e">
        <f>Nodes!A1638+"'E4!)H7"</f>
        <v>#VALUE!</v>
      </c>
      <c r="GK197" t="e">
        <f>Nodes!B1638+"'E4!)H8"</f>
        <v>#VALUE!</v>
      </c>
      <c r="GL197" t="e">
        <f>Nodes!C1638+"'E4!)H9"</f>
        <v>#VALUE!</v>
      </c>
      <c r="GM197" t="e">
        <f>Nodes!D1638+"'E4!)H:"</f>
        <v>#VALUE!</v>
      </c>
      <c r="GN197" t="e">
        <f>Nodes!E1638+"'E4!)H;"</f>
        <v>#VALUE!</v>
      </c>
      <c r="GO197" t="e">
        <f>Nodes!F1638+"'E4!)H&lt;"</f>
        <v>#VALUE!</v>
      </c>
      <c r="GP197" t="e">
        <f>Nodes!G1638+"'E4!)H="</f>
        <v>#VALUE!</v>
      </c>
      <c r="GQ197" t="e">
        <f>Nodes!H1638+"'E4!)H&gt;"</f>
        <v>#VALUE!</v>
      </c>
      <c r="GR197" t="e">
        <f>Nodes!I1638+"'E4!)H?"</f>
        <v>#VALUE!</v>
      </c>
      <c r="GS197" t="e">
        <f>Nodes!J1638+"'E4!)H@"</f>
        <v>#VALUE!</v>
      </c>
      <c r="GT197" t="e">
        <f>Nodes!K1638+"'E4!)HA"</f>
        <v>#VALUE!</v>
      </c>
      <c r="GU197" t="e">
        <f>Nodes!L1638+"'E4!)HB"</f>
        <v>#VALUE!</v>
      </c>
      <c r="GV197" t="e">
        <f>Nodes!M1638+"'E4!)HC"</f>
        <v>#VALUE!</v>
      </c>
      <c r="GW197" t="e">
        <f>Nodes!N1638+"'E4!)HD"</f>
        <v>#VALUE!</v>
      </c>
      <c r="GX197" t="e">
        <f>Nodes!O1638+"'E4!)HE"</f>
        <v>#VALUE!</v>
      </c>
      <c r="GY197" t="e">
        <f>Nodes!P1638+"'E4!)HF"</f>
        <v>#VALUE!</v>
      </c>
      <c r="GZ197" t="e">
        <f>Nodes!Q1638+"'E4!)HG"</f>
        <v>#VALUE!</v>
      </c>
      <c r="HA197" t="e">
        <f>Nodes!R1638+"'E4!)HH"</f>
        <v>#VALUE!</v>
      </c>
      <c r="HB197" t="e">
        <f>Nodes!S1638+"'E4!)HI"</f>
        <v>#VALUE!</v>
      </c>
      <c r="HC197" t="e">
        <f>Nodes!T1638+"'E4!)HJ"</f>
        <v>#VALUE!</v>
      </c>
      <c r="HD197" t="e">
        <f>Nodes!U1638+"'E4!)HK"</f>
        <v>#VALUE!</v>
      </c>
      <c r="HE197" t="e">
        <f>Nodes!V1638+"'E4!)HL"</f>
        <v>#VALUE!</v>
      </c>
      <c r="HF197" t="e">
        <f>Nodes!W1638+"'E4!)HM"</f>
        <v>#VALUE!</v>
      </c>
      <c r="HG197" t="e">
        <f>Nodes!X1638+"'E4!)HN"</f>
        <v>#VALUE!</v>
      </c>
      <c r="HH197" t="e">
        <f>Nodes!Y1638+"'E4!)HO"</f>
        <v>#VALUE!</v>
      </c>
      <c r="HI197" t="e">
        <f>Nodes!Z1638+"'E4!)HP"</f>
        <v>#VALUE!</v>
      </c>
      <c r="HJ197" t="e">
        <f>Nodes!AA1638+"'E4!)HQ"</f>
        <v>#VALUE!</v>
      </c>
      <c r="HK197" t="e">
        <f>Nodes!AB1638+"'E4!)HR"</f>
        <v>#VALUE!</v>
      </c>
      <c r="HL197" t="e">
        <f>Nodes!AC1638+"'E4!)HS"</f>
        <v>#VALUE!</v>
      </c>
      <c r="HM197" t="e">
        <f>Nodes!A1639+"'E4!)HT"</f>
        <v>#VALUE!</v>
      </c>
      <c r="HN197" t="e">
        <f>Nodes!B1639+"'E4!)HU"</f>
        <v>#VALUE!</v>
      </c>
      <c r="HO197" t="e">
        <f>Nodes!C1639+"'E4!)HV"</f>
        <v>#VALUE!</v>
      </c>
      <c r="HP197" t="e">
        <f>Nodes!D1639+"'E4!)HW"</f>
        <v>#VALUE!</v>
      </c>
      <c r="HQ197" t="e">
        <f>Nodes!E1639+"'E4!)HX"</f>
        <v>#VALUE!</v>
      </c>
      <c r="HR197" t="e">
        <f>Nodes!F1639+"'E4!)HY"</f>
        <v>#VALUE!</v>
      </c>
      <c r="HS197" t="e">
        <f>Nodes!G1639+"'E4!)HZ"</f>
        <v>#VALUE!</v>
      </c>
      <c r="HT197" t="e">
        <f>Nodes!H1639+"'E4!)H["</f>
        <v>#VALUE!</v>
      </c>
      <c r="HU197" t="e">
        <f>Nodes!I1639+"'E4!)H\"</f>
        <v>#VALUE!</v>
      </c>
      <c r="HV197" t="e">
        <f>Nodes!J1639+"'E4!)H]"</f>
        <v>#VALUE!</v>
      </c>
      <c r="HW197" t="e">
        <f>Nodes!K1639+"'E4!)H^"</f>
        <v>#VALUE!</v>
      </c>
      <c r="HX197" t="e">
        <f>Nodes!L1639+"'E4!)H_"</f>
        <v>#VALUE!</v>
      </c>
      <c r="HY197" t="e">
        <f>Nodes!M1639+"'E4!)H`"</f>
        <v>#VALUE!</v>
      </c>
      <c r="HZ197" t="e">
        <f>Nodes!N1639+"'E4!)Ha"</f>
        <v>#VALUE!</v>
      </c>
      <c r="IA197" t="e">
        <f>Nodes!O1639+"'E4!)Hb"</f>
        <v>#VALUE!</v>
      </c>
      <c r="IB197" t="e">
        <f>Nodes!P1639+"'E4!)Hc"</f>
        <v>#VALUE!</v>
      </c>
      <c r="IC197" t="e">
        <f>Nodes!Q1639+"'E4!)Hd"</f>
        <v>#VALUE!</v>
      </c>
      <c r="ID197" t="e">
        <f>Nodes!R1639+"'E4!)He"</f>
        <v>#VALUE!</v>
      </c>
      <c r="IE197" t="e">
        <f>Nodes!S1639+"'E4!)Hf"</f>
        <v>#VALUE!</v>
      </c>
      <c r="IF197" t="e">
        <f>Nodes!T1639+"'E4!)Hg"</f>
        <v>#VALUE!</v>
      </c>
      <c r="IG197" t="e">
        <f>Nodes!U1639+"'E4!)Hh"</f>
        <v>#VALUE!</v>
      </c>
      <c r="IH197" t="e">
        <f>Nodes!V1639+"'E4!)Hi"</f>
        <v>#VALUE!</v>
      </c>
      <c r="II197" t="e">
        <f>Nodes!W1639+"'E4!)Hj"</f>
        <v>#VALUE!</v>
      </c>
      <c r="IJ197" t="e">
        <f>Nodes!X1639+"'E4!)Hk"</f>
        <v>#VALUE!</v>
      </c>
      <c r="IK197" t="e">
        <f>Nodes!Y1639+"'E4!)Hl"</f>
        <v>#VALUE!</v>
      </c>
      <c r="IL197" t="e">
        <f>Nodes!Z1639+"'E4!)Hm"</f>
        <v>#VALUE!</v>
      </c>
      <c r="IM197" t="e">
        <f>Nodes!AA1639+"'E4!)Hn"</f>
        <v>#VALUE!</v>
      </c>
      <c r="IN197" t="e">
        <f>Nodes!AB1639+"'E4!)Ho"</f>
        <v>#VALUE!</v>
      </c>
      <c r="IO197" t="e">
        <f>Nodes!AC1639+"'E4!)Hp"</f>
        <v>#VALUE!</v>
      </c>
      <c r="IP197" t="e">
        <f>Nodes!A1640+"'E4!)Hq"</f>
        <v>#VALUE!</v>
      </c>
      <c r="IQ197" t="e">
        <f>Nodes!B1640+"'E4!)Hr"</f>
        <v>#VALUE!</v>
      </c>
      <c r="IR197" t="e">
        <f>Nodes!C1640+"'E4!)Hs"</f>
        <v>#VALUE!</v>
      </c>
      <c r="IS197" t="e">
        <f>Nodes!D1640+"'E4!)Ht"</f>
        <v>#VALUE!</v>
      </c>
      <c r="IT197" t="e">
        <f>Nodes!E1640+"'E4!)Hu"</f>
        <v>#VALUE!</v>
      </c>
      <c r="IU197" t="e">
        <f>Nodes!F1640+"'E4!)Hv"</f>
        <v>#VALUE!</v>
      </c>
      <c r="IV197" t="e">
        <f>Nodes!G1640+"'E4!)Hw"</f>
        <v>#VALUE!</v>
      </c>
    </row>
    <row r="198" spans="6:256">
      <c r="F198" t="e">
        <f>Nodes!H1640+"'E4!)Hx"</f>
        <v>#VALUE!</v>
      </c>
      <c r="G198" t="e">
        <f>Nodes!I1640+"'E4!)Hy"</f>
        <v>#VALUE!</v>
      </c>
      <c r="H198" t="e">
        <f>Nodes!J1640+"'E4!)Hz"</f>
        <v>#VALUE!</v>
      </c>
      <c r="I198" t="e">
        <f>Nodes!K1640+"'E4!)H{"</f>
        <v>#VALUE!</v>
      </c>
      <c r="J198" t="e">
        <f>Nodes!L1640+"'E4!)H|"</f>
        <v>#VALUE!</v>
      </c>
      <c r="K198" t="e">
        <f>Nodes!M1640+"'E4!)H}"</f>
        <v>#VALUE!</v>
      </c>
      <c r="L198" t="e">
        <f>Nodes!N1640+"'E4!)H~"</f>
        <v>#VALUE!</v>
      </c>
      <c r="M198" t="e">
        <f>Nodes!O1640+"'E4!)I#"</f>
        <v>#VALUE!</v>
      </c>
      <c r="N198" t="e">
        <f>Nodes!P1640+"'E4!)I$"</f>
        <v>#VALUE!</v>
      </c>
      <c r="O198" t="e">
        <f>Nodes!Q1640+"'E4!)I%"</f>
        <v>#VALUE!</v>
      </c>
      <c r="P198" t="e">
        <f>Nodes!R1640+"'E4!)I&amp;"</f>
        <v>#VALUE!</v>
      </c>
      <c r="Q198" t="e">
        <f>Nodes!S1640+"'E4!)I'"</f>
        <v>#VALUE!</v>
      </c>
      <c r="R198" t="e">
        <f>Nodes!T1640+"'E4!)I("</f>
        <v>#VALUE!</v>
      </c>
      <c r="S198" t="e">
        <f>Nodes!U1640+"'E4!)I)"</f>
        <v>#VALUE!</v>
      </c>
      <c r="T198" t="e">
        <f>Nodes!V1640+"'E4!)I."</f>
        <v>#VALUE!</v>
      </c>
      <c r="U198" t="e">
        <f>Nodes!W1640+"'E4!)I/"</f>
        <v>#VALUE!</v>
      </c>
      <c r="V198" t="e">
        <f>Nodes!X1640+"'E4!)I0"</f>
        <v>#VALUE!</v>
      </c>
      <c r="W198" t="e">
        <f>Nodes!Y1640+"'E4!)I1"</f>
        <v>#VALUE!</v>
      </c>
      <c r="X198" t="e">
        <f>Nodes!Z1640+"'E4!)I2"</f>
        <v>#VALUE!</v>
      </c>
      <c r="Y198" t="e">
        <f>Nodes!AA1640+"'E4!)I3"</f>
        <v>#VALUE!</v>
      </c>
      <c r="Z198" t="e">
        <f>Nodes!AB1640+"'E4!)I4"</f>
        <v>#VALUE!</v>
      </c>
      <c r="AA198" t="e">
        <f>Nodes!AC1640+"'E4!)I5"</f>
        <v>#VALUE!</v>
      </c>
      <c r="AB198" t="e">
        <f>Nodes!A1641+"'E4!)I6"</f>
        <v>#VALUE!</v>
      </c>
      <c r="AC198" t="e">
        <f>Nodes!B1641+"'E4!)I7"</f>
        <v>#VALUE!</v>
      </c>
      <c r="AD198" t="e">
        <f>Nodes!C1641+"'E4!)I8"</f>
        <v>#VALUE!</v>
      </c>
      <c r="AE198" t="e">
        <f>Nodes!D1641+"'E4!)I9"</f>
        <v>#VALUE!</v>
      </c>
      <c r="AF198" t="e">
        <f>Nodes!E1641+"'E4!)I:"</f>
        <v>#VALUE!</v>
      </c>
      <c r="AG198" t="e">
        <f>Nodes!F1641+"'E4!)I;"</f>
        <v>#VALUE!</v>
      </c>
      <c r="AH198" t="e">
        <f>Nodes!G1641+"'E4!)I&lt;"</f>
        <v>#VALUE!</v>
      </c>
      <c r="AI198" t="e">
        <f>Nodes!H1641+"'E4!)I="</f>
        <v>#VALUE!</v>
      </c>
      <c r="AJ198" t="e">
        <f>Nodes!I1641+"'E4!)I&gt;"</f>
        <v>#VALUE!</v>
      </c>
      <c r="AK198" t="e">
        <f>Nodes!J1641+"'E4!)I?"</f>
        <v>#VALUE!</v>
      </c>
      <c r="AL198" t="e">
        <f>Nodes!K1641+"'E4!)I@"</f>
        <v>#VALUE!</v>
      </c>
      <c r="AM198" t="e">
        <f>Nodes!L1641+"'E4!)IA"</f>
        <v>#VALUE!</v>
      </c>
      <c r="AN198" t="e">
        <f>Nodes!M1641+"'E4!)IB"</f>
        <v>#VALUE!</v>
      </c>
      <c r="AO198" t="e">
        <f>Nodes!N1641+"'E4!)IC"</f>
        <v>#VALUE!</v>
      </c>
      <c r="AP198" t="e">
        <f>Nodes!O1641+"'E4!)ID"</f>
        <v>#VALUE!</v>
      </c>
      <c r="AQ198" t="e">
        <f>Nodes!P1641+"'E4!)IE"</f>
        <v>#VALUE!</v>
      </c>
      <c r="AR198" t="e">
        <f>Nodes!Q1641+"'E4!)IF"</f>
        <v>#VALUE!</v>
      </c>
      <c r="AS198" t="e">
        <f>Nodes!R1641+"'E4!)IG"</f>
        <v>#VALUE!</v>
      </c>
      <c r="AT198" t="e">
        <f>Nodes!S1641+"'E4!)IH"</f>
        <v>#VALUE!</v>
      </c>
      <c r="AU198" t="e">
        <f>Nodes!T1641+"'E4!)II"</f>
        <v>#VALUE!</v>
      </c>
      <c r="AV198" t="e">
        <f>Nodes!U1641+"'E4!)IJ"</f>
        <v>#VALUE!</v>
      </c>
      <c r="AW198" t="e">
        <f>Nodes!V1641+"'E4!)IK"</f>
        <v>#VALUE!</v>
      </c>
      <c r="AX198" t="e">
        <f>Nodes!W1641+"'E4!)IL"</f>
        <v>#VALUE!</v>
      </c>
      <c r="AY198" t="e">
        <f>Nodes!X1641+"'E4!)IM"</f>
        <v>#VALUE!</v>
      </c>
      <c r="AZ198" t="e">
        <f>Nodes!Y1641+"'E4!)IN"</f>
        <v>#VALUE!</v>
      </c>
      <c r="BA198" t="e">
        <f>Nodes!Z1641+"'E4!)IO"</f>
        <v>#VALUE!</v>
      </c>
      <c r="BB198" t="e">
        <f>Nodes!AA1641+"'E4!)IP"</f>
        <v>#VALUE!</v>
      </c>
      <c r="BC198" t="e">
        <f>Nodes!AB1641+"'E4!)IQ"</f>
        <v>#VALUE!</v>
      </c>
      <c r="BD198" t="e">
        <f>Nodes!AC1641+"'E4!)IR"</f>
        <v>#VALUE!</v>
      </c>
      <c r="BE198" t="e">
        <f>Nodes!A1642+"'E4!)IS"</f>
        <v>#VALUE!</v>
      </c>
      <c r="BF198" t="e">
        <f>Nodes!B1642+"'E4!)IT"</f>
        <v>#VALUE!</v>
      </c>
      <c r="BG198" t="e">
        <f>Nodes!C1642+"'E4!)IU"</f>
        <v>#VALUE!</v>
      </c>
      <c r="BH198" t="e">
        <f>Nodes!D1642+"'E4!)IV"</f>
        <v>#VALUE!</v>
      </c>
      <c r="BI198" t="e">
        <f>Nodes!E1642+"'E4!)IW"</f>
        <v>#VALUE!</v>
      </c>
      <c r="BJ198" t="e">
        <f>Nodes!F1642+"'E4!)IX"</f>
        <v>#VALUE!</v>
      </c>
      <c r="BK198" t="e">
        <f>Nodes!G1642+"'E4!)IY"</f>
        <v>#VALUE!</v>
      </c>
      <c r="BL198" t="e">
        <f>Nodes!H1642+"'E4!)IZ"</f>
        <v>#VALUE!</v>
      </c>
      <c r="BM198" t="e">
        <f>Nodes!I1642+"'E4!)I["</f>
        <v>#VALUE!</v>
      </c>
      <c r="BN198" t="e">
        <f>Nodes!J1642+"'E4!)I\"</f>
        <v>#VALUE!</v>
      </c>
      <c r="BO198" t="e">
        <f>Nodes!K1642+"'E4!)I]"</f>
        <v>#VALUE!</v>
      </c>
      <c r="BP198" t="e">
        <f>Nodes!L1642+"'E4!)I^"</f>
        <v>#VALUE!</v>
      </c>
      <c r="BQ198" t="e">
        <f>Nodes!M1642+"'E4!)I_"</f>
        <v>#VALUE!</v>
      </c>
      <c r="BR198" t="e">
        <f>Nodes!N1642+"'E4!)I`"</f>
        <v>#VALUE!</v>
      </c>
      <c r="BS198" t="e">
        <f>Nodes!O1642+"'E4!)Ia"</f>
        <v>#VALUE!</v>
      </c>
      <c r="BT198" t="e">
        <f>Nodes!P1642+"'E4!)Ib"</f>
        <v>#VALUE!</v>
      </c>
      <c r="BU198" t="e">
        <f>Nodes!Q1642+"'E4!)Ic"</f>
        <v>#VALUE!</v>
      </c>
      <c r="BV198" t="e">
        <f>Nodes!R1642+"'E4!)Id"</f>
        <v>#VALUE!</v>
      </c>
      <c r="BW198" t="e">
        <f>Nodes!S1642+"'E4!)Ie"</f>
        <v>#VALUE!</v>
      </c>
      <c r="BX198" t="e">
        <f>Nodes!T1642+"'E4!)If"</f>
        <v>#VALUE!</v>
      </c>
      <c r="BY198" t="e">
        <f>Nodes!U1642+"'E4!)Ig"</f>
        <v>#VALUE!</v>
      </c>
      <c r="BZ198" t="e">
        <f>Nodes!V1642+"'E4!)Ih"</f>
        <v>#VALUE!</v>
      </c>
      <c r="CA198" t="e">
        <f>Nodes!W1642+"'E4!)Ii"</f>
        <v>#VALUE!</v>
      </c>
      <c r="CB198" t="e">
        <f>Nodes!X1642+"'E4!)Ij"</f>
        <v>#VALUE!</v>
      </c>
      <c r="CC198" t="e">
        <f>Nodes!Y1642+"'E4!)Ik"</f>
        <v>#VALUE!</v>
      </c>
      <c r="CD198" t="e">
        <f>Nodes!Z1642+"'E4!)Il"</f>
        <v>#VALUE!</v>
      </c>
      <c r="CE198" t="e">
        <f>Nodes!AA1642+"'E4!)Im"</f>
        <v>#VALUE!</v>
      </c>
      <c r="CF198" t="e">
        <f>Nodes!AB1642+"'E4!)In"</f>
        <v>#VALUE!</v>
      </c>
      <c r="CG198" t="e">
        <f>Nodes!AC1642+"'E4!)Io"</f>
        <v>#VALUE!</v>
      </c>
      <c r="CH198" t="e">
        <f>Nodes!A1643+"'E4!)Ip"</f>
        <v>#VALUE!</v>
      </c>
      <c r="CI198" t="e">
        <f>Nodes!B1643+"'E4!)Iq"</f>
        <v>#VALUE!</v>
      </c>
      <c r="CJ198" t="e">
        <f>Nodes!C1643+"'E4!)Ir"</f>
        <v>#VALUE!</v>
      </c>
      <c r="CK198" t="e">
        <f>Nodes!D1643+"'E4!)Is"</f>
        <v>#VALUE!</v>
      </c>
      <c r="CL198" t="e">
        <f>Nodes!E1643+"'E4!)It"</f>
        <v>#VALUE!</v>
      </c>
      <c r="CM198" t="e">
        <f>Nodes!F1643+"'E4!)Iu"</f>
        <v>#VALUE!</v>
      </c>
      <c r="CN198" t="e">
        <f>Nodes!G1643+"'E4!)Iv"</f>
        <v>#VALUE!</v>
      </c>
      <c r="CO198" t="e">
        <f>Nodes!H1643+"'E4!)Iw"</f>
        <v>#VALUE!</v>
      </c>
      <c r="CP198" t="e">
        <f>Nodes!I1643+"'E4!)Ix"</f>
        <v>#VALUE!</v>
      </c>
      <c r="CQ198" t="e">
        <f>Nodes!J1643+"'E4!)Iy"</f>
        <v>#VALUE!</v>
      </c>
      <c r="CR198" t="e">
        <f>Nodes!K1643+"'E4!)Iz"</f>
        <v>#VALUE!</v>
      </c>
      <c r="CS198" t="e">
        <f>Nodes!L1643+"'E4!)I{"</f>
        <v>#VALUE!</v>
      </c>
      <c r="CT198" t="e">
        <f>Nodes!M1643+"'E4!)I|"</f>
        <v>#VALUE!</v>
      </c>
      <c r="CU198" t="e">
        <f>Nodes!N1643+"'E4!)I}"</f>
        <v>#VALUE!</v>
      </c>
      <c r="CV198" t="e">
        <f>Nodes!O1643+"'E4!)I~"</f>
        <v>#VALUE!</v>
      </c>
      <c r="CW198" t="e">
        <f>Nodes!P1643+"'E4!)J#"</f>
        <v>#VALUE!</v>
      </c>
      <c r="CX198" t="e">
        <f>Nodes!Q1643+"'E4!)J$"</f>
        <v>#VALUE!</v>
      </c>
      <c r="CY198" t="e">
        <f>Nodes!R1643+"'E4!)J%"</f>
        <v>#VALUE!</v>
      </c>
      <c r="CZ198" t="e">
        <f>Nodes!S1643+"'E4!)J&amp;"</f>
        <v>#VALUE!</v>
      </c>
      <c r="DA198" t="e">
        <f>Nodes!T1643+"'E4!)J'"</f>
        <v>#VALUE!</v>
      </c>
      <c r="DB198" t="e">
        <f>Nodes!U1643+"'E4!)J("</f>
        <v>#VALUE!</v>
      </c>
      <c r="DC198" t="e">
        <f>Nodes!V1643+"'E4!)J)"</f>
        <v>#VALUE!</v>
      </c>
      <c r="DD198" t="e">
        <f>Nodes!W1643+"'E4!)J."</f>
        <v>#VALUE!</v>
      </c>
      <c r="DE198" t="e">
        <f>Nodes!X1643+"'E4!)J/"</f>
        <v>#VALUE!</v>
      </c>
      <c r="DF198" t="e">
        <f>Nodes!Y1643+"'E4!)J0"</f>
        <v>#VALUE!</v>
      </c>
      <c r="DG198" t="e">
        <f>Nodes!Z1643+"'E4!)J1"</f>
        <v>#VALUE!</v>
      </c>
      <c r="DH198" t="e">
        <f>Nodes!AA1643+"'E4!)J2"</f>
        <v>#VALUE!</v>
      </c>
      <c r="DI198" t="e">
        <f>Nodes!AB1643+"'E4!)J3"</f>
        <v>#VALUE!</v>
      </c>
      <c r="DJ198" t="e">
        <f>Nodes!AC1643+"'E4!)J4"</f>
        <v>#VALUE!</v>
      </c>
      <c r="DK198" t="e">
        <f>Nodes!A1644+"'E4!)J5"</f>
        <v>#VALUE!</v>
      </c>
      <c r="DL198" t="e">
        <f>Nodes!B1644+"'E4!)J6"</f>
        <v>#VALUE!</v>
      </c>
      <c r="DM198" t="e">
        <f>Nodes!C1644+"'E4!)J7"</f>
        <v>#VALUE!</v>
      </c>
      <c r="DN198" t="e">
        <f>Nodes!D1644+"'E4!)J8"</f>
        <v>#VALUE!</v>
      </c>
      <c r="DO198" t="e">
        <f>Nodes!E1644+"'E4!)J9"</f>
        <v>#VALUE!</v>
      </c>
      <c r="DP198" t="e">
        <f>Nodes!F1644+"'E4!)J:"</f>
        <v>#VALUE!</v>
      </c>
      <c r="DQ198" t="e">
        <f>Nodes!G1644+"'E4!)J;"</f>
        <v>#VALUE!</v>
      </c>
      <c r="DR198" t="e">
        <f>Nodes!H1644+"'E4!)J&lt;"</f>
        <v>#VALUE!</v>
      </c>
      <c r="DS198" t="e">
        <f>Nodes!I1644+"'E4!)J="</f>
        <v>#VALUE!</v>
      </c>
      <c r="DT198" t="e">
        <f>Nodes!J1644+"'E4!)J&gt;"</f>
        <v>#VALUE!</v>
      </c>
      <c r="DU198" t="e">
        <f>Nodes!K1644+"'E4!)J?"</f>
        <v>#VALUE!</v>
      </c>
      <c r="DV198" t="e">
        <f>Nodes!L1644+"'E4!)J@"</f>
        <v>#VALUE!</v>
      </c>
      <c r="DW198" t="e">
        <f>Nodes!M1644+"'E4!)JA"</f>
        <v>#VALUE!</v>
      </c>
      <c r="DX198" t="e">
        <f>Nodes!N1644+"'E4!)JB"</f>
        <v>#VALUE!</v>
      </c>
      <c r="DY198" t="e">
        <f>Nodes!O1644+"'E4!)JC"</f>
        <v>#VALUE!</v>
      </c>
      <c r="DZ198" t="e">
        <f>Nodes!P1644+"'E4!)JD"</f>
        <v>#VALUE!</v>
      </c>
      <c r="EA198" t="e">
        <f>Nodes!Q1644+"'E4!)JE"</f>
        <v>#VALUE!</v>
      </c>
      <c r="EB198" t="e">
        <f>Nodes!R1644+"'E4!)JF"</f>
        <v>#VALUE!</v>
      </c>
      <c r="EC198" t="e">
        <f>Nodes!S1644+"'E4!)JG"</f>
        <v>#VALUE!</v>
      </c>
      <c r="ED198" t="e">
        <f>Nodes!T1644+"'E4!)JH"</f>
        <v>#VALUE!</v>
      </c>
      <c r="EE198" t="e">
        <f>Nodes!U1644+"'E4!)JI"</f>
        <v>#VALUE!</v>
      </c>
      <c r="EF198" t="e">
        <f>Nodes!V1644+"'E4!)JJ"</f>
        <v>#VALUE!</v>
      </c>
      <c r="EG198" t="e">
        <f>Nodes!W1644+"'E4!)JK"</f>
        <v>#VALUE!</v>
      </c>
      <c r="EH198" t="e">
        <f>Nodes!X1644+"'E4!)JL"</f>
        <v>#VALUE!</v>
      </c>
      <c r="EI198" t="e">
        <f>Nodes!Y1644+"'E4!)JM"</f>
        <v>#VALUE!</v>
      </c>
      <c r="EJ198" t="e">
        <f>Nodes!Z1644+"'E4!)JN"</f>
        <v>#VALUE!</v>
      </c>
      <c r="EK198" t="e">
        <f>Nodes!AA1644+"'E4!)JO"</f>
        <v>#VALUE!</v>
      </c>
      <c r="EL198" t="e">
        <f>Nodes!AB1644+"'E4!)JP"</f>
        <v>#VALUE!</v>
      </c>
      <c r="EM198" t="e">
        <f>Nodes!AC1644+"'E4!)JQ"</f>
        <v>#VALUE!</v>
      </c>
      <c r="EN198" t="e">
        <f>Nodes!A1645+"'E4!)JR"</f>
        <v>#VALUE!</v>
      </c>
      <c r="EO198" t="e">
        <f>Nodes!B1645+"'E4!)JS"</f>
        <v>#VALUE!</v>
      </c>
      <c r="EP198" t="e">
        <f>Nodes!C1645+"'E4!)JT"</f>
        <v>#VALUE!</v>
      </c>
      <c r="EQ198" t="e">
        <f>Nodes!D1645+"'E4!)JU"</f>
        <v>#VALUE!</v>
      </c>
      <c r="ER198" t="e">
        <f>Nodes!E1645+"'E4!)JV"</f>
        <v>#VALUE!</v>
      </c>
      <c r="ES198" t="e">
        <f>Nodes!F1645+"'E4!)JW"</f>
        <v>#VALUE!</v>
      </c>
      <c r="ET198" t="e">
        <f>Nodes!G1645+"'E4!)JX"</f>
        <v>#VALUE!</v>
      </c>
      <c r="EU198" t="e">
        <f>Nodes!H1645+"'E4!)JY"</f>
        <v>#VALUE!</v>
      </c>
      <c r="EV198" t="e">
        <f>Nodes!I1645+"'E4!)JZ"</f>
        <v>#VALUE!</v>
      </c>
      <c r="EW198" t="e">
        <f>Nodes!J1645+"'E4!)J["</f>
        <v>#VALUE!</v>
      </c>
      <c r="EX198" t="e">
        <f>Nodes!K1645+"'E4!)J\"</f>
        <v>#VALUE!</v>
      </c>
      <c r="EY198" t="e">
        <f>Nodes!L1645+"'E4!)J]"</f>
        <v>#VALUE!</v>
      </c>
      <c r="EZ198" t="e">
        <f>Nodes!M1645+"'E4!)J^"</f>
        <v>#VALUE!</v>
      </c>
      <c r="FA198" t="e">
        <f>Nodes!N1645+"'E4!)J_"</f>
        <v>#VALUE!</v>
      </c>
      <c r="FB198" t="e">
        <f>Nodes!O1645+"'E4!)J`"</f>
        <v>#VALUE!</v>
      </c>
      <c r="FC198" t="e">
        <f>Nodes!P1645+"'E4!)Ja"</f>
        <v>#VALUE!</v>
      </c>
      <c r="FD198" t="e">
        <f>Nodes!Q1645+"'E4!)Jb"</f>
        <v>#VALUE!</v>
      </c>
      <c r="FE198" t="e">
        <f>Nodes!R1645+"'E4!)Jc"</f>
        <v>#VALUE!</v>
      </c>
      <c r="FF198" t="e">
        <f>Nodes!S1645+"'E4!)Jd"</f>
        <v>#VALUE!</v>
      </c>
      <c r="FG198" t="e">
        <f>Nodes!T1645+"'E4!)Je"</f>
        <v>#VALUE!</v>
      </c>
      <c r="FH198" t="e">
        <f>Nodes!U1645+"'E4!)Jf"</f>
        <v>#VALUE!</v>
      </c>
      <c r="FI198" t="e">
        <f>Nodes!V1645+"'E4!)Jg"</f>
        <v>#VALUE!</v>
      </c>
      <c r="FJ198" t="e">
        <f>Nodes!W1645+"'E4!)Jh"</f>
        <v>#VALUE!</v>
      </c>
      <c r="FK198" t="e">
        <f>Nodes!X1645+"'E4!)Ji"</f>
        <v>#VALUE!</v>
      </c>
      <c r="FL198" t="e">
        <f>Nodes!Y1645+"'E4!)Jj"</f>
        <v>#VALUE!</v>
      </c>
      <c r="FM198" t="e">
        <f>Nodes!Z1645+"'E4!)Jk"</f>
        <v>#VALUE!</v>
      </c>
      <c r="FN198" t="e">
        <f>Nodes!AA1645+"'E4!)Jl"</f>
        <v>#VALUE!</v>
      </c>
      <c r="FO198" t="e">
        <f>Nodes!AB1645+"'E4!)Jm"</f>
        <v>#VALUE!</v>
      </c>
      <c r="FP198" t="e">
        <f>Nodes!AC1645+"'E4!)Jn"</f>
        <v>#VALUE!</v>
      </c>
      <c r="FQ198" t="e">
        <f>Nodes!A1646+"'E4!)Jo"</f>
        <v>#VALUE!</v>
      </c>
      <c r="FR198" t="e">
        <f>Nodes!B1646+"'E4!)Jp"</f>
        <v>#VALUE!</v>
      </c>
      <c r="FS198" t="e">
        <f>Nodes!C1646+"'E4!)Jq"</f>
        <v>#VALUE!</v>
      </c>
      <c r="FT198" t="e">
        <f>Nodes!D1646+"'E4!)Jr"</f>
        <v>#VALUE!</v>
      </c>
      <c r="FU198" t="e">
        <f>Nodes!E1646+"'E4!)Js"</f>
        <v>#VALUE!</v>
      </c>
      <c r="FV198" t="e">
        <f>Nodes!F1646+"'E4!)Jt"</f>
        <v>#VALUE!</v>
      </c>
      <c r="FW198" t="e">
        <f>Nodes!G1646+"'E4!)Ju"</f>
        <v>#VALUE!</v>
      </c>
      <c r="FX198" t="e">
        <f>Nodes!H1646+"'E4!)Jv"</f>
        <v>#VALUE!</v>
      </c>
      <c r="FY198" t="e">
        <f>Nodes!I1646+"'E4!)Jw"</f>
        <v>#VALUE!</v>
      </c>
      <c r="FZ198" t="e">
        <f>Nodes!J1646+"'E4!)Jx"</f>
        <v>#VALUE!</v>
      </c>
      <c r="GA198" t="e">
        <f>Nodes!K1646+"'E4!)Jy"</f>
        <v>#VALUE!</v>
      </c>
      <c r="GB198" t="e">
        <f>Nodes!L1646+"'E4!)Jz"</f>
        <v>#VALUE!</v>
      </c>
      <c r="GC198" t="e">
        <f>Nodes!M1646+"'E4!)J{"</f>
        <v>#VALUE!</v>
      </c>
      <c r="GD198" t="e">
        <f>Nodes!N1646+"'E4!)J|"</f>
        <v>#VALUE!</v>
      </c>
      <c r="GE198" t="e">
        <f>Nodes!O1646+"'E4!)J}"</f>
        <v>#VALUE!</v>
      </c>
      <c r="GF198" t="e">
        <f>Nodes!P1646+"'E4!)J~"</f>
        <v>#VALUE!</v>
      </c>
      <c r="GG198" t="e">
        <f>Nodes!Q1646+"'E4!)K#"</f>
        <v>#VALUE!</v>
      </c>
      <c r="GH198" t="e">
        <f>Nodes!R1646+"'E4!)K$"</f>
        <v>#VALUE!</v>
      </c>
      <c r="GI198" t="e">
        <f>Nodes!S1646+"'E4!)K%"</f>
        <v>#VALUE!</v>
      </c>
      <c r="GJ198" t="e">
        <f>Nodes!T1646+"'E4!)K&amp;"</f>
        <v>#VALUE!</v>
      </c>
      <c r="GK198" t="e">
        <f>Nodes!U1646+"'E4!)K'"</f>
        <v>#VALUE!</v>
      </c>
      <c r="GL198" t="e">
        <f>Nodes!V1646+"'E4!)K("</f>
        <v>#VALUE!</v>
      </c>
      <c r="GM198" t="e">
        <f>Nodes!W1646+"'E4!)K)"</f>
        <v>#VALUE!</v>
      </c>
      <c r="GN198" t="e">
        <f>Nodes!X1646+"'E4!)K."</f>
        <v>#VALUE!</v>
      </c>
      <c r="GO198" t="e">
        <f>Nodes!Y1646+"'E4!)K/"</f>
        <v>#VALUE!</v>
      </c>
      <c r="GP198" t="e">
        <f>Nodes!Z1646+"'E4!)K0"</f>
        <v>#VALUE!</v>
      </c>
      <c r="GQ198" t="e">
        <f>Nodes!AA1646+"'E4!)K1"</f>
        <v>#VALUE!</v>
      </c>
      <c r="GR198" t="e">
        <f>Nodes!AB1646+"'E4!)K2"</f>
        <v>#VALUE!</v>
      </c>
      <c r="GS198" t="e">
        <f>Nodes!AC1646+"'E4!)K3"</f>
        <v>#VALUE!</v>
      </c>
      <c r="GT198" t="e">
        <f>Nodes!A1647+"'E4!)K4"</f>
        <v>#VALUE!</v>
      </c>
      <c r="GU198" t="e">
        <f>Nodes!B1647+"'E4!)K5"</f>
        <v>#VALUE!</v>
      </c>
      <c r="GV198" t="e">
        <f>Nodes!C1647+"'E4!)K6"</f>
        <v>#VALUE!</v>
      </c>
      <c r="GW198" t="e">
        <f>Nodes!D1647+"'E4!)K7"</f>
        <v>#VALUE!</v>
      </c>
      <c r="GX198" t="e">
        <f>Nodes!E1647+"'E4!)K8"</f>
        <v>#VALUE!</v>
      </c>
      <c r="GY198" t="e">
        <f>Nodes!F1647+"'E4!)K9"</f>
        <v>#VALUE!</v>
      </c>
      <c r="GZ198" t="e">
        <f>Nodes!G1647+"'E4!)K:"</f>
        <v>#VALUE!</v>
      </c>
      <c r="HA198" t="e">
        <f>Nodes!H1647+"'E4!)K;"</f>
        <v>#VALUE!</v>
      </c>
      <c r="HB198" t="e">
        <f>Nodes!I1647+"'E4!)K&lt;"</f>
        <v>#VALUE!</v>
      </c>
      <c r="HC198" t="e">
        <f>Nodes!J1647+"'E4!)K="</f>
        <v>#VALUE!</v>
      </c>
      <c r="HD198" t="e">
        <f>Nodes!K1647+"'E4!)K&gt;"</f>
        <v>#VALUE!</v>
      </c>
      <c r="HE198" t="e">
        <f>Nodes!L1647+"'E4!)K?"</f>
        <v>#VALUE!</v>
      </c>
      <c r="HF198" t="e">
        <f>Nodes!M1647+"'E4!)K@"</f>
        <v>#VALUE!</v>
      </c>
      <c r="HG198" t="e">
        <f>Nodes!N1647+"'E4!)KA"</f>
        <v>#VALUE!</v>
      </c>
      <c r="HH198" t="e">
        <f>Nodes!O1647+"'E4!)KB"</f>
        <v>#VALUE!</v>
      </c>
      <c r="HI198" t="e">
        <f>Nodes!P1647+"'E4!)KC"</f>
        <v>#VALUE!</v>
      </c>
      <c r="HJ198" t="e">
        <f>Nodes!Q1647+"'E4!)KD"</f>
        <v>#VALUE!</v>
      </c>
      <c r="HK198" t="e">
        <f>Nodes!R1647+"'E4!)KE"</f>
        <v>#VALUE!</v>
      </c>
      <c r="HL198" t="e">
        <f>Nodes!S1647+"'E4!)KF"</f>
        <v>#VALUE!</v>
      </c>
      <c r="HM198" t="e">
        <f>Nodes!T1647+"'E4!)KG"</f>
        <v>#VALUE!</v>
      </c>
      <c r="HN198" t="e">
        <f>Nodes!U1647+"'E4!)KH"</f>
        <v>#VALUE!</v>
      </c>
      <c r="HO198" t="e">
        <f>Nodes!V1647+"'E4!)KI"</f>
        <v>#VALUE!</v>
      </c>
      <c r="HP198" t="e">
        <f>Nodes!W1647+"'E4!)KJ"</f>
        <v>#VALUE!</v>
      </c>
      <c r="HQ198" t="e">
        <f>Nodes!X1647+"'E4!)KK"</f>
        <v>#VALUE!</v>
      </c>
      <c r="HR198" t="e">
        <f>Nodes!Y1647+"'E4!)KL"</f>
        <v>#VALUE!</v>
      </c>
      <c r="HS198" t="e">
        <f>Nodes!Z1647+"'E4!)KM"</f>
        <v>#VALUE!</v>
      </c>
      <c r="HT198" t="e">
        <f>Nodes!AA1647+"'E4!)KN"</f>
        <v>#VALUE!</v>
      </c>
      <c r="HU198" t="e">
        <f>Nodes!AB1647+"'E4!)KO"</f>
        <v>#VALUE!</v>
      </c>
      <c r="HV198" t="e">
        <f>Nodes!AC1647+"'E4!)KP"</f>
        <v>#VALUE!</v>
      </c>
      <c r="HW198" t="e">
        <f>Nodes!A1648+"'E4!)KQ"</f>
        <v>#VALUE!</v>
      </c>
      <c r="HX198" t="e">
        <f>Nodes!B1648+"'E4!)KR"</f>
        <v>#VALUE!</v>
      </c>
      <c r="HY198" t="e">
        <f>Nodes!C1648+"'E4!)KS"</f>
        <v>#VALUE!</v>
      </c>
      <c r="HZ198" t="e">
        <f>Nodes!D1648+"'E4!)KT"</f>
        <v>#VALUE!</v>
      </c>
      <c r="IA198" t="e">
        <f>Nodes!E1648+"'E4!)KU"</f>
        <v>#VALUE!</v>
      </c>
      <c r="IB198" t="e">
        <f>Nodes!F1648+"'E4!)KV"</f>
        <v>#VALUE!</v>
      </c>
      <c r="IC198" t="e">
        <f>Nodes!G1648+"'E4!)KW"</f>
        <v>#VALUE!</v>
      </c>
      <c r="ID198" t="e">
        <f>Nodes!H1648+"'E4!)KX"</f>
        <v>#VALUE!</v>
      </c>
      <c r="IE198" t="e">
        <f>Nodes!I1648+"'E4!)KY"</f>
        <v>#VALUE!</v>
      </c>
      <c r="IF198" t="e">
        <f>Nodes!J1648+"'E4!)KZ"</f>
        <v>#VALUE!</v>
      </c>
      <c r="IG198" t="e">
        <f>Nodes!K1648+"'E4!)K["</f>
        <v>#VALUE!</v>
      </c>
      <c r="IH198" t="e">
        <f>Nodes!L1648+"'E4!)K\"</f>
        <v>#VALUE!</v>
      </c>
      <c r="II198" t="e">
        <f>Nodes!M1648+"'E4!)K]"</f>
        <v>#VALUE!</v>
      </c>
      <c r="IJ198" t="e">
        <f>Nodes!N1648+"'E4!)K^"</f>
        <v>#VALUE!</v>
      </c>
      <c r="IK198" t="e">
        <f>Nodes!O1648+"'E4!)K_"</f>
        <v>#VALUE!</v>
      </c>
      <c r="IL198" t="e">
        <f>Nodes!P1648+"'E4!)K`"</f>
        <v>#VALUE!</v>
      </c>
      <c r="IM198" t="e">
        <f>Nodes!Q1648+"'E4!)Ka"</f>
        <v>#VALUE!</v>
      </c>
      <c r="IN198" t="e">
        <f>Nodes!R1648+"'E4!)Kb"</f>
        <v>#VALUE!</v>
      </c>
      <c r="IO198" t="e">
        <f>Nodes!S1648+"'E4!)Kc"</f>
        <v>#VALUE!</v>
      </c>
      <c r="IP198" t="e">
        <f>Nodes!T1648+"'E4!)Kd"</f>
        <v>#VALUE!</v>
      </c>
      <c r="IQ198" t="e">
        <f>Nodes!U1648+"'E4!)Ke"</f>
        <v>#VALUE!</v>
      </c>
      <c r="IR198" t="e">
        <f>Nodes!V1648+"'E4!)Kf"</f>
        <v>#VALUE!</v>
      </c>
      <c r="IS198" t="e">
        <f>Nodes!W1648+"'E4!)Kg"</f>
        <v>#VALUE!</v>
      </c>
      <c r="IT198" t="e">
        <f>Nodes!X1648+"'E4!)Kh"</f>
        <v>#VALUE!</v>
      </c>
      <c r="IU198" t="e">
        <f>Nodes!Y1648+"'E4!)Ki"</f>
        <v>#VALUE!</v>
      </c>
      <c r="IV198" t="e">
        <f>Nodes!Z1648+"'E4!)Kj"</f>
        <v>#VALUE!</v>
      </c>
    </row>
    <row r="199" spans="6:256">
      <c r="F199" t="e">
        <f>Nodes!AA1648+"'E4!)Kk"</f>
        <v>#VALUE!</v>
      </c>
      <c r="G199" t="e">
        <f>Nodes!AB1648+"'E4!)Kl"</f>
        <v>#VALUE!</v>
      </c>
      <c r="H199" t="e">
        <f>Nodes!AC1648+"'E4!)Km"</f>
        <v>#VALUE!</v>
      </c>
      <c r="I199" t="e">
        <f>Nodes!A1649+"'E4!)Kn"</f>
        <v>#VALUE!</v>
      </c>
      <c r="J199" t="e">
        <f>Nodes!B1649+"'E4!)Ko"</f>
        <v>#VALUE!</v>
      </c>
      <c r="K199" t="e">
        <f>Nodes!C1649+"'E4!)Kp"</f>
        <v>#VALUE!</v>
      </c>
      <c r="L199" t="e">
        <f>Nodes!D1649+"'E4!)Kq"</f>
        <v>#VALUE!</v>
      </c>
      <c r="M199" t="e">
        <f>Nodes!E1649+"'E4!)Kr"</f>
        <v>#VALUE!</v>
      </c>
      <c r="N199" t="e">
        <f>Nodes!F1649+"'E4!)Ks"</f>
        <v>#VALUE!</v>
      </c>
      <c r="O199" t="e">
        <f>Nodes!G1649+"'E4!)Kt"</f>
        <v>#VALUE!</v>
      </c>
      <c r="P199" t="e">
        <f>Nodes!H1649+"'E4!)Ku"</f>
        <v>#VALUE!</v>
      </c>
      <c r="Q199" t="e">
        <f>Nodes!I1649+"'E4!)Kv"</f>
        <v>#VALUE!</v>
      </c>
      <c r="R199" t="e">
        <f>Nodes!J1649+"'E4!)Kw"</f>
        <v>#VALUE!</v>
      </c>
      <c r="S199" t="e">
        <f>Nodes!K1649+"'E4!)Kx"</f>
        <v>#VALUE!</v>
      </c>
      <c r="T199" t="e">
        <f>Nodes!L1649+"'E4!)Ky"</f>
        <v>#VALUE!</v>
      </c>
      <c r="U199" t="e">
        <f>Nodes!M1649+"'E4!)Kz"</f>
        <v>#VALUE!</v>
      </c>
      <c r="V199" t="e">
        <f>Nodes!N1649+"'E4!)K{"</f>
        <v>#VALUE!</v>
      </c>
      <c r="W199" t="e">
        <f>Nodes!O1649+"'E4!)K|"</f>
        <v>#VALUE!</v>
      </c>
      <c r="X199" t="e">
        <f>Nodes!P1649+"'E4!)K}"</f>
        <v>#VALUE!</v>
      </c>
      <c r="Y199" t="e">
        <f>Nodes!Q1649+"'E4!)K~"</f>
        <v>#VALUE!</v>
      </c>
      <c r="Z199" t="e">
        <f>Nodes!R1649+"'E4!)L#"</f>
        <v>#VALUE!</v>
      </c>
      <c r="AA199" t="e">
        <f>Nodes!S1649+"'E4!)L$"</f>
        <v>#VALUE!</v>
      </c>
      <c r="AB199" t="e">
        <f>Nodes!T1649+"'E4!)L%"</f>
        <v>#VALUE!</v>
      </c>
      <c r="AC199" t="e">
        <f>Nodes!U1649+"'E4!)L&amp;"</f>
        <v>#VALUE!</v>
      </c>
      <c r="AD199" t="e">
        <f>Nodes!V1649+"'E4!)L'"</f>
        <v>#VALUE!</v>
      </c>
      <c r="AE199" t="e">
        <f>Nodes!W1649+"'E4!)L("</f>
        <v>#VALUE!</v>
      </c>
      <c r="AF199" t="e">
        <f>Nodes!X1649+"'E4!)L)"</f>
        <v>#VALUE!</v>
      </c>
      <c r="AG199" t="e">
        <f>Nodes!Y1649+"'E4!)L."</f>
        <v>#VALUE!</v>
      </c>
      <c r="AH199" t="e">
        <f>Nodes!Z1649+"'E4!)L/"</f>
        <v>#VALUE!</v>
      </c>
      <c r="AI199" t="e">
        <f>Nodes!AA1649+"'E4!)L0"</f>
        <v>#VALUE!</v>
      </c>
      <c r="AJ199" t="e">
        <f>Nodes!AB1649+"'E4!)L1"</f>
        <v>#VALUE!</v>
      </c>
      <c r="AK199" t="e">
        <f>Nodes!AC1649+"'E4!)L2"</f>
        <v>#VALUE!</v>
      </c>
      <c r="AL199" t="e">
        <f>Nodes!A1650+"'E4!)L3"</f>
        <v>#VALUE!</v>
      </c>
      <c r="AM199" t="e">
        <f>Nodes!B1650+"'E4!)L4"</f>
        <v>#VALUE!</v>
      </c>
      <c r="AN199" t="e">
        <f>Nodes!C1650+"'E4!)L5"</f>
        <v>#VALUE!</v>
      </c>
      <c r="AO199" t="e">
        <f>Nodes!D1650+"'E4!)L6"</f>
        <v>#VALUE!</v>
      </c>
      <c r="AP199" t="e">
        <f>Nodes!E1650+"'E4!)L7"</f>
        <v>#VALUE!</v>
      </c>
      <c r="AQ199" t="e">
        <f>Nodes!F1650+"'E4!)L8"</f>
        <v>#VALUE!</v>
      </c>
      <c r="AR199" t="e">
        <f>Nodes!G1650+"'E4!)L9"</f>
        <v>#VALUE!</v>
      </c>
      <c r="AS199" t="e">
        <f>Nodes!H1650+"'E4!)L:"</f>
        <v>#VALUE!</v>
      </c>
      <c r="AT199" t="e">
        <f>Nodes!I1650+"'E4!)L;"</f>
        <v>#VALUE!</v>
      </c>
      <c r="AU199" t="e">
        <f>Nodes!J1650+"'E4!)L&lt;"</f>
        <v>#VALUE!</v>
      </c>
      <c r="AV199" t="e">
        <f>Nodes!K1650+"'E4!)L="</f>
        <v>#VALUE!</v>
      </c>
      <c r="AW199" t="e">
        <f>Nodes!L1650+"'E4!)L&gt;"</f>
        <v>#VALUE!</v>
      </c>
      <c r="AX199" t="e">
        <f>Nodes!M1650+"'E4!)L?"</f>
        <v>#VALUE!</v>
      </c>
      <c r="AY199" t="e">
        <f>Nodes!N1650+"'E4!)L@"</f>
        <v>#VALUE!</v>
      </c>
      <c r="AZ199" t="e">
        <f>Nodes!O1650+"'E4!)LA"</f>
        <v>#VALUE!</v>
      </c>
      <c r="BA199" t="e">
        <f>Nodes!P1650+"'E4!)LB"</f>
        <v>#VALUE!</v>
      </c>
      <c r="BB199" t="e">
        <f>Nodes!Q1650+"'E4!)LC"</f>
        <v>#VALUE!</v>
      </c>
      <c r="BC199" t="e">
        <f>Nodes!R1650+"'E4!)LD"</f>
        <v>#VALUE!</v>
      </c>
      <c r="BD199" t="e">
        <f>Nodes!S1650+"'E4!)LE"</f>
        <v>#VALUE!</v>
      </c>
      <c r="BE199" t="e">
        <f>Nodes!T1650+"'E4!)LF"</f>
        <v>#VALUE!</v>
      </c>
      <c r="BF199" t="e">
        <f>Nodes!U1650+"'E4!)LG"</f>
        <v>#VALUE!</v>
      </c>
      <c r="BG199" t="e">
        <f>Nodes!V1650+"'E4!)LH"</f>
        <v>#VALUE!</v>
      </c>
      <c r="BH199" t="e">
        <f>Nodes!W1650+"'E4!)LI"</f>
        <v>#VALUE!</v>
      </c>
      <c r="BI199" t="e">
        <f>Nodes!X1650+"'E4!)LJ"</f>
        <v>#VALUE!</v>
      </c>
      <c r="BJ199" t="e">
        <f>Nodes!Y1650+"'E4!)LK"</f>
        <v>#VALUE!</v>
      </c>
      <c r="BK199" t="e">
        <f>Nodes!Z1650+"'E4!)LL"</f>
        <v>#VALUE!</v>
      </c>
      <c r="BL199" t="e">
        <f>Nodes!AA1650+"'E4!)LM"</f>
        <v>#VALUE!</v>
      </c>
      <c r="BM199" t="e">
        <f>Nodes!AB1650+"'E4!)LN"</f>
        <v>#VALUE!</v>
      </c>
      <c r="BN199" t="e">
        <f>Nodes!AC1650+"'E4!)LO"</f>
        <v>#VALUE!</v>
      </c>
      <c r="BO199" t="e">
        <f>Nodes!A1651+"'E4!)LP"</f>
        <v>#VALUE!</v>
      </c>
      <c r="BP199" t="e">
        <f>Nodes!B1651+"'E4!)LQ"</f>
        <v>#VALUE!</v>
      </c>
      <c r="BQ199" t="e">
        <f>Nodes!C1651+"'E4!)LR"</f>
        <v>#VALUE!</v>
      </c>
      <c r="BR199" t="e">
        <f>Nodes!D1651+"'E4!)LS"</f>
        <v>#VALUE!</v>
      </c>
      <c r="BS199" t="e">
        <f>Nodes!E1651+"'E4!)LT"</f>
        <v>#VALUE!</v>
      </c>
      <c r="BT199" t="e">
        <f>Nodes!F1651+"'E4!)LU"</f>
        <v>#VALUE!</v>
      </c>
      <c r="BU199" t="e">
        <f>Nodes!G1651+"'E4!)LV"</f>
        <v>#VALUE!</v>
      </c>
      <c r="BV199" t="e">
        <f>Nodes!H1651+"'E4!)LW"</f>
        <v>#VALUE!</v>
      </c>
      <c r="BW199" t="e">
        <f>Nodes!I1651+"'E4!)LX"</f>
        <v>#VALUE!</v>
      </c>
      <c r="BX199" t="e">
        <f>Nodes!J1651+"'E4!)LY"</f>
        <v>#VALUE!</v>
      </c>
      <c r="BY199" t="e">
        <f>Nodes!K1651+"'E4!)LZ"</f>
        <v>#VALUE!</v>
      </c>
      <c r="BZ199" t="e">
        <f>Nodes!L1651+"'E4!)L["</f>
        <v>#VALUE!</v>
      </c>
      <c r="CA199" t="e">
        <f>Nodes!M1651+"'E4!)L\"</f>
        <v>#VALUE!</v>
      </c>
      <c r="CB199" t="e">
        <f>Nodes!N1651+"'E4!)L]"</f>
        <v>#VALUE!</v>
      </c>
      <c r="CC199" t="e">
        <f>Nodes!O1651+"'E4!)L^"</f>
        <v>#VALUE!</v>
      </c>
      <c r="CD199" t="e">
        <f>Nodes!P1651+"'E4!)L_"</f>
        <v>#VALUE!</v>
      </c>
      <c r="CE199" t="e">
        <f>Nodes!Q1651+"'E4!)L`"</f>
        <v>#VALUE!</v>
      </c>
      <c r="CF199" t="e">
        <f>Nodes!R1651+"'E4!)La"</f>
        <v>#VALUE!</v>
      </c>
      <c r="CG199" t="e">
        <f>Nodes!S1651+"'E4!)Lb"</f>
        <v>#VALUE!</v>
      </c>
      <c r="CH199" t="e">
        <f>Nodes!T1651+"'E4!)Lc"</f>
        <v>#VALUE!</v>
      </c>
      <c r="CI199" t="e">
        <f>Nodes!U1651+"'E4!)Ld"</f>
        <v>#VALUE!</v>
      </c>
      <c r="CJ199" t="e">
        <f>Nodes!V1651+"'E4!)Le"</f>
        <v>#VALUE!</v>
      </c>
      <c r="CK199" t="e">
        <f>Nodes!W1651+"'E4!)Lf"</f>
        <v>#VALUE!</v>
      </c>
      <c r="CL199" t="e">
        <f>Nodes!X1651+"'E4!)Lg"</f>
        <v>#VALUE!</v>
      </c>
      <c r="CM199" t="e">
        <f>Nodes!Y1651+"'E4!)Lh"</f>
        <v>#VALUE!</v>
      </c>
      <c r="CN199" t="e">
        <f>Nodes!Z1651+"'E4!)Li"</f>
        <v>#VALUE!</v>
      </c>
      <c r="CO199" t="e">
        <f>Nodes!AA1651+"'E4!)Lj"</f>
        <v>#VALUE!</v>
      </c>
      <c r="CP199" t="e">
        <f>Nodes!AB1651+"'E4!)Lk"</f>
        <v>#VALUE!</v>
      </c>
      <c r="CQ199" t="e">
        <f>Nodes!AC1651+"'E4!)Ll"</f>
        <v>#VALUE!</v>
      </c>
      <c r="CR199" t="e">
        <f>Nodes!A1652+"'E4!)Lm"</f>
        <v>#VALUE!</v>
      </c>
      <c r="CS199" t="e">
        <f>Nodes!B1652+"'E4!)Ln"</f>
        <v>#VALUE!</v>
      </c>
      <c r="CT199" t="e">
        <f>Nodes!C1652+"'E4!)Lo"</f>
        <v>#VALUE!</v>
      </c>
      <c r="CU199" t="e">
        <f>Nodes!D1652+"'E4!)Lp"</f>
        <v>#VALUE!</v>
      </c>
      <c r="CV199" t="e">
        <f>Nodes!E1652+"'E4!)Lq"</f>
        <v>#VALUE!</v>
      </c>
      <c r="CW199" t="e">
        <f>Nodes!F1652+"'E4!)Lr"</f>
        <v>#VALUE!</v>
      </c>
      <c r="CX199" t="e">
        <f>Nodes!G1652+"'E4!)Ls"</f>
        <v>#VALUE!</v>
      </c>
      <c r="CY199" t="e">
        <f>Nodes!H1652+"'E4!)Lt"</f>
        <v>#VALUE!</v>
      </c>
      <c r="CZ199" t="e">
        <f>Nodes!I1652+"'E4!)Lu"</f>
        <v>#VALUE!</v>
      </c>
      <c r="DA199" t="e">
        <f>Nodes!J1652+"'E4!)Lv"</f>
        <v>#VALUE!</v>
      </c>
      <c r="DB199" t="e">
        <f>Nodes!K1652+"'E4!)Lw"</f>
        <v>#VALUE!</v>
      </c>
      <c r="DC199" t="e">
        <f>Nodes!L1652+"'E4!)Lx"</f>
        <v>#VALUE!</v>
      </c>
      <c r="DD199" t="e">
        <f>Nodes!M1652+"'E4!)Ly"</f>
        <v>#VALUE!</v>
      </c>
      <c r="DE199" t="e">
        <f>Nodes!N1652+"'E4!)Lz"</f>
        <v>#VALUE!</v>
      </c>
      <c r="DF199" t="e">
        <f>Nodes!O1652+"'E4!)L{"</f>
        <v>#VALUE!</v>
      </c>
      <c r="DG199" t="e">
        <f>Nodes!P1652+"'E4!)L|"</f>
        <v>#VALUE!</v>
      </c>
      <c r="DH199" t="e">
        <f>Nodes!Q1652+"'E4!)L}"</f>
        <v>#VALUE!</v>
      </c>
      <c r="DI199" t="e">
        <f>Nodes!R1652+"'E4!)L~"</f>
        <v>#VALUE!</v>
      </c>
      <c r="DJ199" t="e">
        <f>Nodes!S1652+"'E4!)M#"</f>
        <v>#VALUE!</v>
      </c>
      <c r="DK199" t="e">
        <f>Nodes!T1652+"'E4!)M$"</f>
        <v>#VALUE!</v>
      </c>
      <c r="DL199" t="e">
        <f>Nodes!U1652+"'E4!)M%"</f>
        <v>#VALUE!</v>
      </c>
      <c r="DM199" t="e">
        <f>Nodes!V1652+"'E4!)M&amp;"</f>
        <v>#VALUE!</v>
      </c>
      <c r="DN199" t="e">
        <f>Nodes!W1652+"'E4!)M'"</f>
        <v>#VALUE!</v>
      </c>
      <c r="DO199" t="e">
        <f>Nodes!X1652+"'E4!)M("</f>
        <v>#VALUE!</v>
      </c>
      <c r="DP199" t="e">
        <f>Nodes!Y1652+"'E4!)M)"</f>
        <v>#VALUE!</v>
      </c>
      <c r="DQ199" t="e">
        <f>Nodes!Z1652+"'E4!)M."</f>
        <v>#VALUE!</v>
      </c>
      <c r="DR199" t="e">
        <f>Nodes!AA1652+"'E4!)M/"</f>
        <v>#VALUE!</v>
      </c>
      <c r="DS199" t="e">
        <f>Nodes!AB1652+"'E4!)M0"</f>
        <v>#VALUE!</v>
      </c>
      <c r="DT199" t="e">
        <f>Nodes!AC1652+"'E4!)M1"</f>
        <v>#VALUE!</v>
      </c>
      <c r="DU199" t="e">
        <f>Nodes!A1653+"'E4!)M2"</f>
        <v>#VALUE!</v>
      </c>
      <c r="DV199" t="e">
        <f>Nodes!B1653+"'E4!)M3"</f>
        <v>#VALUE!</v>
      </c>
      <c r="DW199" t="e">
        <f>Nodes!C1653+"'E4!)M4"</f>
        <v>#VALUE!</v>
      </c>
      <c r="DX199" t="e">
        <f>Nodes!D1653+"'E4!)M5"</f>
        <v>#VALUE!</v>
      </c>
      <c r="DY199" t="e">
        <f>Nodes!E1653+"'E4!)M6"</f>
        <v>#VALUE!</v>
      </c>
      <c r="DZ199" t="e">
        <f>Nodes!F1653+"'E4!)M7"</f>
        <v>#VALUE!</v>
      </c>
      <c r="EA199" t="e">
        <f>Nodes!G1653+"'E4!)M8"</f>
        <v>#VALUE!</v>
      </c>
      <c r="EB199" t="e">
        <f>Nodes!H1653+"'E4!)M9"</f>
        <v>#VALUE!</v>
      </c>
      <c r="EC199" t="e">
        <f>Nodes!I1653+"'E4!)M:"</f>
        <v>#VALUE!</v>
      </c>
      <c r="ED199" t="e">
        <f>Nodes!J1653+"'E4!)M;"</f>
        <v>#VALUE!</v>
      </c>
      <c r="EE199" t="e">
        <f>Nodes!K1653+"'E4!)M&lt;"</f>
        <v>#VALUE!</v>
      </c>
      <c r="EF199" t="e">
        <f>Nodes!L1653+"'E4!)M="</f>
        <v>#VALUE!</v>
      </c>
      <c r="EG199" t="e">
        <f>Nodes!M1653+"'E4!)M&gt;"</f>
        <v>#VALUE!</v>
      </c>
      <c r="EH199" t="e">
        <f>Nodes!N1653+"'E4!)M?"</f>
        <v>#VALUE!</v>
      </c>
      <c r="EI199" t="e">
        <f>Nodes!O1653+"'E4!)M@"</f>
        <v>#VALUE!</v>
      </c>
      <c r="EJ199" t="e">
        <f>Nodes!P1653+"'E4!)MA"</f>
        <v>#VALUE!</v>
      </c>
      <c r="EK199" t="e">
        <f>Nodes!Q1653+"'E4!)MB"</f>
        <v>#VALUE!</v>
      </c>
      <c r="EL199" t="e">
        <f>Nodes!R1653+"'E4!)MC"</f>
        <v>#VALUE!</v>
      </c>
      <c r="EM199" t="e">
        <f>Nodes!S1653+"'E4!)MD"</f>
        <v>#VALUE!</v>
      </c>
      <c r="EN199" t="e">
        <f>Nodes!T1653+"'E4!)ME"</f>
        <v>#VALUE!</v>
      </c>
      <c r="EO199" t="e">
        <f>Nodes!U1653+"'E4!)MF"</f>
        <v>#VALUE!</v>
      </c>
      <c r="EP199" t="e">
        <f>Nodes!V1653+"'E4!)MG"</f>
        <v>#VALUE!</v>
      </c>
      <c r="EQ199" t="e">
        <f>Nodes!W1653+"'E4!)MH"</f>
        <v>#VALUE!</v>
      </c>
      <c r="ER199" t="e">
        <f>Nodes!X1653+"'E4!)MI"</f>
        <v>#VALUE!</v>
      </c>
      <c r="ES199" t="e">
        <f>Nodes!Y1653+"'E4!)MJ"</f>
        <v>#VALUE!</v>
      </c>
      <c r="ET199" t="e">
        <f>Nodes!Z1653+"'E4!)MK"</f>
        <v>#VALUE!</v>
      </c>
      <c r="EU199" t="e">
        <f>Nodes!AA1653+"'E4!)ML"</f>
        <v>#VALUE!</v>
      </c>
      <c r="EV199" t="e">
        <f>Nodes!AB1653+"'E4!)MM"</f>
        <v>#VALUE!</v>
      </c>
      <c r="EW199" t="e">
        <f>Nodes!AC1653+"'E4!)MN"</f>
        <v>#VALUE!</v>
      </c>
      <c r="EX199" t="e">
        <f>Nodes!A1654+"'E4!)MO"</f>
        <v>#VALUE!</v>
      </c>
      <c r="EY199" t="e">
        <f>Nodes!B1654+"'E4!)MP"</f>
        <v>#VALUE!</v>
      </c>
      <c r="EZ199" t="e">
        <f>Nodes!C1654+"'E4!)MQ"</f>
        <v>#VALUE!</v>
      </c>
      <c r="FA199" t="e">
        <f>Nodes!D1654+"'E4!)MR"</f>
        <v>#VALUE!</v>
      </c>
      <c r="FB199" t="e">
        <f>Nodes!E1654+"'E4!)MS"</f>
        <v>#VALUE!</v>
      </c>
      <c r="FC199" t="e">
        <f>Nodes!F1654+"'E4!)MT"</f>
        <v>#VALUE!</v>
      </c>
      <c r="FD199" t="e">
        <f>Nodes!G1654+"'E4!)MU"</f>
        <v>#VALUE!</v>
      </c>
      <c r="FE199" t="e">
        <f>Nodes!H1654+"'E4!)MV"</f>
        <v>#VALUE!</v>
      </c>
      <c r="FF199" t="e">
        <f>Nodes!I1654+"'E4!)MW"</f>
        <v>#VALUE!</v>
      </c>
      <c r="FG199" t="e">
        <f>Nodes!J1654+"'E4!)MX"</f>
        <v>#VALUE!</v>
      </c>
      <c r="FH199" t="e">
        <f>Nodes!K1654+"'E4!)MY"</f>
        <v>#VALUE!</v>
      </c>
      <c r="FI199" t="e">
        <f>Nodes!L1654+"'E4!)MZ"</f>
        <v>#VALUE!</v>
      </c>
      <c r="FJ199" t="e">
        <f>Nodes!M1654+"'E4!)M["</f>
        <v>#VALUE!</v>
      </c>
      <c r="FK199" t="e">
        <f>Nodes!N1654+"'E4!)M\"</f>
        <v>#VALUE!</v>
      </c>
      <c r="FL199" t="e">
        <f>Nodes!O1654+"'E4!)M]"</f>
        <v>#VALUE!</v>
      </c>
      <c r="FM199" t="e">
        <f>Nodes!P1654+"'E4!)M^"</f>
        <v>#VALUE!</v>
      </c>
      <c r="FN199" t="e">
        <f>Nodes!Q1654+"'E4!)M_"</f>
        <v>#VALUE!</v>
      </c>
      <c r="FO199" t="e">
        <f>Nodes!R1654+"'E4!)M`"</f>
        <v>#VALUE!</v>
      </c>
      <c r="FP199" t="e">
        <f>Nodes!S1654+"'E4!)Ma"</f>
        <v>#VALUE!</v>
      </c>
      <c r="FQ199" t="e">
        <f>Nodes!T1654+"'E4!)Mb"</f>
        <v>#VALUE!</v>
      </c>
      <c r="FR199" t="e">
        <f>Nodes!U1654+"'E4!)Mc"</f>
        <v>#VALUE!</v>
      </c>
      <c r="FS199" t="e">
        <f>Nodes!V1654+"'E4!)Md"</f>
        <v>#VALUE!</v>
      </c>
      <c r="FT199" t="e">
        <f>Nodes!W1654+"'E4!)Me"</f>
        <v>#VALUE!</v>
      </c>
      <c r="FU199" t="e">
        <f>Nodes!X1654+"'E4!)Mf"</f>
        <v>#VALUE!</v>
      </c>
      <c r="FV199" t="e">
        <f>Nodes!Y1654+"'E4!)Mg"</f>
        <v>#VALUE!</v>
      </c>
      <c r="FW199" t="e">
        <f>Nodes!Z1654+"'E4!)Mh"</f>
        <v>#VALUE!</v>
      </c>
      <c r="FX199" t="e">
        <f>Nodes!AA1654+"'E4!)Mi"</f>
        <v>#VALUE!</v>
      </c>
      <c r="FY199" t="e">
        <f>Nodes!AB1654+"'E4!)Mj"</f>
        <v>#VALUE!</v>
      </c>
      <c r="FZ199" t="e">
        <f>Nodes!AC1654+"'E4!)Mk"</f>
        <v>#VALUE!</v>
      </c>
      <c r="GA199" t="e">
        <f>Nodes!A1655+"'E4!)Ml"</f>
        <v>#VALUE!</v>
      </c>
      <c r="GB199" t="e">
        <f>Nodes!B1655+"'E4!)Mm"</f>
        <v>#VALUE!</v>
      </c>
      <c r="GC199" t="e">
        <f>Nodes!C1655+"'E4!)Mn"</f>
        <v>#VALUE!</v>
      </c>
      <c r="GD199" t="e">
        <f>Nodes!D1655+"'E4!)Mo"</f>
        <v>#VALUE!</v>
      </c>
      <c r="GE199" t="e">
        <f>Nodes!E1655+"'E4!)Mp"</f>
        <v>#VALUE!</v>
      </c>
      <c r="GF199" t="e">
        <f>Nodes!F1655+"'E4!)Mq"</f>
        <v>#VALUE!</v>
      </c>
      <c r="GG199" t="e">
        <f>Nodes!G1655+"'E4!)Mr"</f>
        <v>#VALUE!</v>
      </c>
      <c r="GH199" t="e">
        <f>Nodes!H1655+"'E4!)Ms"</f>
        <v>#VALUE!</v>
      </c>
      <c r="GI199" t="e">
        <f>Nodes!I1655+"'E4!)Mt"</f>
        <v>#VALUE!</v>
      </c>
      <c r="GJ199" t="e">
        <f>Nodes!J1655+"'E4!)Mu"</f>
        <v>#VALUE!</v>
      </c>
      <c r="GK199" t="e">
        <f>Nodes!K1655+"'E4!)Mv"</f>
        <v>#VALUE!</v>
      </c>
      <c r="GL199" t="e">
        <f>Nodes!L1655+"'E4!)Mw"</f>
        <v>#VALUE!</v>
      </c>
      <c r="GM199" t="e">
        <f>Nodes!M1655+"'E4!)Mx"</f>
        <v>#VALUE!</v>
      </c>
      <c r="GN199" t="e">
        <f>Nodes!N1655+"'E4!)My"</f>
        <v>#VALUE!</v>
      </c>
      <c r="GO199" t="e">
        <f>Nodes!O1655+"'E4!)Mz"</f>
        <v>#VALUE!</v>
      </c>
      <c r="GP199" t="e">
        <f>Nodes!P1655+"'E4!)M{"</f>
        <v>#VALUE!</v>
      </c>
      <c r="GQ199" t="e">
        <f>Nodes!Q1655+"'E4!)M|"</f>
        <v>#VALUE!</v>
      </c>
      <c r="GR199" t="e">
        <f>Nodes!R1655+"'E4!)M}"</f>
        <v>#VALUE!</v>
      </c>
      <c r="GS199" t="e">
        <f>Nodes!S1655+"'E4!)M~"</f>
        <v>#VALUE!</v>
      </c>
      <c r="GT199" t="e">
        <f>Nodes!T1655+"'E4!)N#"</f>
        <v>#VALUE!</v>
      </c>
      <c r="GU199" t="e">
        <f>Nodes!U1655+"'E4!)N$"</f>
        <v>#VALUE!</v>
      </c>
      <c r="GV199" t="e">
        <f>Nodes!V1655+"'E4!)N%"</f>
        <v>#VALUE!</v>
      </c>
      <c r="GW199" t="e">
        <f>Nodes!W1655+"'E4!)N&amp;"</f>
        <v>#VALUE!</v>
      </c>
      <c r="GX199" t="e">
        <f>Nodes!X1655+"'E4!)N'"</f>
        <v>#VALUE!</v>
      </c>
      <c r="GY199" t="e">
        <f>Nodes!Y1655+"'E4!)N("</f>
        <v>#VALUE!</v>
      </c>
      <c r="GZ199" t="e">
        <f>Nodes!Z1655+"'E4!)N)"</f>
        <v>#VALUE!</v>
      </c>
      <c r="HA199" t="e">
        <f>Nodes!AA1655+"'E4!)N."</f>
        <v>#VALUE!</v>
      </c>
      <c r="HB199" t="e">
        <f>Nodes!AB1655+"'E4!)N/"</f>
        <v>#VALUE!</v>
      </c>
      <c r="HC199" t="e">
        <f>Nodes!AC1655+"'E4!)N0"</f>
        <v>#VALUE!</v>
      </c>
      <c r="HD199" t="e">
        <f>Nodes!A1656+"'E4!)N1"</f>
        <v>#VALUE!</v>
      </c>
      <c r="HE199" t="e">
        <f>Nodes!B1656+"'E4!)N2"</f>
        <v>#VALUE!</v>
      </c>
      <c r="HF199" t="e">
        <f>Nodes!C1656+"'E4!)N3"</f>
        <v>#VALUE!</v>
      </c>
      <c r="HG199" t="e">
        <f>Nodes!D1656+"'E4!)N4"</f>
        <v>#VALUE!</v>
      </c>
      <c r="HH199" t="e">
        <f>Nodes!E1656+"'E4!)N5"</f>
        <v>#VALUE!</v>
      </c>
      <c r="HI199" t="e">
        <f>Nodes!F1656+"'E4!)N6"</f>
        <v>#VALUE!</v>
      </c>
      <c r="HJ199" t="e">
        <f>Nodes!G1656+"'E4!)N7"</f>
        <v>#VALUE!</v>
      </c>
      <c r="HK199" t="e">
        <f>Nodes!H1656+"'E4!)N8"</f>
        <v>#VALUE!</v>
      </c>
      <c r="HL199" t="e">
        <f>Nodes!I1656+"'E4!)N9"</f>
        <v>#VALUE!</v>
      </c>
      <c r="HM199" t="e">
        <f>Nodes!J1656+"'E4!)N:"</f>
        <v>#VALUE!</v>
      </c>
      <c r="HN199" t="e">
        <f>Nodes!K1656+"'E4!)N;"</f>
        <v>#VALUE!</v>
      </c>
      <c r="HO199" t="e">
        <f>Nodes!L1656+"'E4!)N&lt;"</f>
        <v>#VALUE!</v>
      </c>
      <c r="HP199" t="e">
        <f>Nodes!M1656+"'E4!)N="</f>
        <v>#VALUE!</v>
      </c>
      <c r="HQ199" t="e">
        <f>Nodes!N1656+"'E4!)N&gt;"</f>
        <v>#VALUE!</v>
      </c>
      <c r="HR199" t="e">
        <f>Nodes!O1656+"'E4!)N?"</f>
        <v>#VALUE!</v>
      </c>
      <c r="HS199" t="e">
        <f>Nodes!P1656+"'E4!)N@"</f>
        <v>#VALUE!</v>
      </c>
      <c r="HT199" t="e">
        <f>Nodes!Q1656+"'E4!)NA"</f>
        <v>#VALUE!</v>
      </c>
      <c r="HU199" t="e">
        <f>Nodes!R1656+"'E4!)NB"</f>
        <v>#VALUE!</v>
      </c>
      <c r="HV199" t="e">
        <f>Nodes!S1656+"'E4!)NC"</f>
        <v>#VALUE!</v>
      </c>
      <c r="HW199" t="e">
        <f>Nodes!T1656+"'E4!)ND"</f>
        <v>#VALUE!</v>
      </c>
      <c r="HX199" t="e">
        <f>Nodes!U1656+"'E4!)NE"</f>
        <v>#VALUE!</v>
      </c>
      <c r="HY199" t="e">
        <f>Nodes!V1656+"'E4!)NF"</f>
        <v>#VALUE!</v>
      </c>
      <c r="HZ199" t="e">
        <f>Nodes!W1656+"'E4!)NG"</f>
        <v>#VALUE!</v>
      </c>
      <c r="IA199" t="e">
        <f>Nodes!X1656+"'E4!)NH"</f>
        <v>#VALUE!</v>
      </c>
      <c r="IB199" t="e">
        <f>Nodes!Y1656+"'E4!)NI"</f>
        <v>#VALUE!</v>
      </c>
      <c r="IC199" t="e">
        <f>Nodes!Z1656+"'E4!)NJ"</f>
        <v>#VALUE!</v>
      </c>
      <c r="ID199" t="e">
        <f>Nodes!AA1656+"'E4!)NK"</f>
        <v>#VALUE!</v>
      </c>
      <c r="IE199" t="e">
        <f>Nodes!AB1656+"'E4!)NL"</f>
        <v>#VALUE!</v>
      </c>
      <c r="IF199" t="e">
        <f>Nodes!AC1656+"'E4!)NM"</f>
        <v>#VALUE!</v>
      </c>
      <c r="IG199" t="e">
        <f>Nodes!A1657+"'E4!)NN"</f>
        <v>#VALUE!</v>
      </c>
      <c r="IH199" t="e">
        <f>Nodes!B1657+"'E4!)NO"</f>
        <v>#VALUE!</v>
      </c>
      <c r="II199" t="e">
        <f>Nodes!C1657+"'E4!)NP"</f>
        <v>#VALUE!</v>
      </c>
      <c r="IJ199" t="e">
        <f>Nodes!D1657+"'E4!)NQ"</f>
        <v>#VALUE!</v>
      </c>
      <c r="IK199" t="e">
        <f>Nodes!E1657+"'E4!)NR"</f>
        <v>#VALUE!</v>
      </c>
      <c r="IL199" t="e">
        <f>Nodes!F1657+"'E4!)NS"</f>
        <v>#VALUE!</v>
      </c>
      <c r="IM199" t="e">
        <f>Nodes!G1657+"'E4!)NT"</f>
        <v>#VALUE!</v>
      </c>
      <c r="IN199" t="e">
        <f>Nodes!H1657+"'E4!)NU"</f>
        <v>#VALUE!</v>
      </c>
      <c r="IO199" t="e">
        <f>Nodes!I1657+"'E4!)NV"</f>
        <v>#VALUE!</v>
      </c>
      <c r="IP199" t="e">
        <f>Nodes!J1657+"'E4!)NW"</f>
        <v>#VALUE!</v>
      </c>
      <c r="IQ199" t="e">
        <f>Nodes!K1657+"'E4!)NX"</f>
        <v>#VALUE!</v>
      </c>
      <c r="IR199" t="e">
        <f>Nodes!L1657+"'E4!)NY"</f>
        <v>#VALUE!</v>
      </c>
      <c r="IS199" t="e">
        <f>Nodes!M1657+"'E4!)NZ"</f>
        <v>#VALUE!</v>
      </c>
      <c r="IT199" t="e">
        <f>Nodes!N1657+"'E4!)N["</f>
        <v>#VALUE!</v>
      </c>
      <c r="IU199" t="e">
        <f>Nodes!O1657+"'E4!)N\"</f>
        <v>#VALUE!</v>
      </c>
      <c r="IV199" t="e">
        <f>Nodes!P1657+"'E4!)N]"</f>
        <v>#VALUE!</v>
      </c>
    </row>
    <row r="200" spans="6:256">
      <c r="F200" t="e">
        <f>Nodes!Q1657+"'E4!)N^"</f>
        <v>#VALUE!</v>
      </c>
      <c r="G200" t="e">
        <f>Nodes!R1657+"'E4!)N_"</f>
        <v>#VALUE!</v>
      </c>
      <c r="H200" t="e">
        <f>Nodes!S1657+"'E4!)N`"</f>
        <v>#VALUE!</v>
      </c>
      <c r="I200" t="e">
        <f>Nodes!T1657+"'E4!)Na"</f>
        <v>#VALUE!</v>
      </c>
      <c r="J200" t="e">
        <f>Nodes!U1657+"'E4!)Nb"</f>
        <v>#VALUE!</v>
      </c>
      <c r="K200" t="e">
        <f>Nodes!V1657+"'E4!)Nc"</f>
        <v>#VALUE!</v>
      </c>
      <c r="L200" t="e">
        <f>Nodes!W1657+"'E4!)Nd"</f>
        <v>#VALUE!</v>
      </c>
      <c r="M200" t="e">
        <f>Nodes!X1657+"'E4!)Ne"</f>
        <v>#VALUE!</v>
      </c>
      <c r="N200" t="e">
        <f>Nodes!Y1657+"'E4!)Nf"</f>
        <v>#VALUE!</v>
      </c>
      <c r="O200" t="e">
        <f>Nodes!Z1657+"'E4!)Ng"</f>
        <v>#VALUE!</v>
      </c>
      <c r="P200" t="e">
        <f>Nodes!AA1657+"'E4!)Nh"</f>
        <v>#VALUE!</v>
      </c>
      <c r="Q200" t="e">
        <f>Nodes!AB1657+"'E4!)Ni"</f>
        <v>#VALUE!</v>
      </c>
      <c r="R200" t="e">
        <f>Nodes!AC1657+"'E4!)Nj"</f>
        <v>#VALUE!</v>
      </c>
      <c r="S200" t="e">
        <f>Nodes!A1658+"'E4!)Nk"</f>
        <v>#VALUE!</v>
      </c>
      <c r="T200" t="e">
        <f>Nodes!B1658+"'E4!)Nl"</f>
        <v>#VALUE!</v>
      </c>
      <c r="U200" t="e">
        <f>Nodes!C1658+"'E4!)Nm"</f>
        <v>#VALUE!</v>
      </c>
      <c r="V200" t="e">
        <f>Nodes!D1658+"'E4!)Nn"</f>
        <v>#VALUE!</v>
      </c>
      <c r="W200" t="e">
        <f>Nodes!E1658+"'E4!)No"</f>
        <v>#VALUE!</v>
      </c>
      <c r="X200" t="e">
        <f>Nodes!F1658+"'E4!)Np"</f>
        <v>#VALUE!</v>
      </c>
      <c r="Y200" t="e">
        <f>Nodes!G1658+"'E4!)Nq"</f>
        <v>#VALUE!</v>
      </c>
      <c r="Z200" t="e">
        <f>Nodes!H1658+"'E4!)Nr"</f>
        <v>#VALUE!</v>
      </c>
      <c r="AA200" t="e">
        <f>Nodes!I1658+"'E4!)Ns"</f>
        <v>#VALUE!</v>
      </c>
      <c r="AB200" t="e">
        <f>Nodes!J1658+"'E4!)Nt"</f>
        <v>#VALUE!</v>
      </c>
      <c r="AC200" t="e">
        <f>Nodes!K1658+"'E4!)Nu"</f>
        <v>#VALUE!</v>
      </c>
      <c r="AD200" t="e">
        <f>Nodes!L1658+"'E4!)Nv"</f>
        <v>#VALUE!</v>
      </c>
      <c r="AE200" t="e">
        <f>Nodes!M1658+"'E4!)Nw"</f>
        <v>#VALUE!</v>
      </c>
      <c r="AF200" t="e">
        <f>Nodes!N1658+"'E4!)Nx"</f>
        <v>#VALUE!</v>
      </c>
      <c r="AG200" t="e">
        <f>Nodes!O1658+"'E4!)Ny"</f>
        <v>#VALUE!</v>
      </c>
      <c r="AH200" t="e">
        <f>Nodes!P1658+"'E4!)Nz"</f>
        <v>#VALUE!</v>
      </c>
      <c r="AI200" t="e">
        <f>Nodes!Q1658+"'E4!)N{"</f>
        <v>#VALUE!</v>
      </c>
      <c r="AJ200" t="e">
        <f>Nodes!R1658+"'E4!)N|"</f>
        <v>#VALUE!</v>
      </c>
      <c r="AK200" t="e">
        <f>Nodes!S1658+"'E4!)N}"</f>
        <v>#VALUE!</v>
      </c>
      <c r="AL200" t="e">
        <f>Nodes!T1658+"'E4!)N~"</f>
        <v>#VALUE!</v>
      </c>
      <c r="AM200" t="e">
        <f>Nodes!U1658+"'E4!)O#"</f>
        <v>#VALUE!</v>
      </c>
      <c r="AN200" t="e">
        <f>Nodes!V1658+"'E4!)O$"</f>
        <v>#VALUE!</v>
      </c>
      <c r="AO200" t="e">
        <f>Nodes!W1658+"'E4!)O%"</f>
        <v>#VALUE!</v>
      </c>
      <c r="AP200" t="e">
        <f>Nodes!X1658+"'E4!)O&amp;"</f>
        <v>#VALUE!</v>
      </c>
      <c r="AQ200" t="e">
        <f>Nodes!Y1658+"'E4!)O'"</f>
        <v>#VALUE!</v>
      </c>
      <c r="AR200" t="e">
        <f>Nodes!Z1658+"'E4!)O("</f>
        <v>#VALUE!</v>
      </c>
      <c r="AS200" t="e">
        <f>Nodes!AA1658+"'E4!)O)"</f>
        <v>#VALUE!</v>
      </c>
      <c r="AT200" t="e">
        <f>Nodes!AB1658+"'E4!)O."</f>
        <v>#VALUE!</v>
      </c>
      <c r="AU200" t="e">
        <f>Nodes!AC1658+"'E4!)O/"</f>
        <v>#VALUE!</v>
      </c>
      <c r="AV200" t="e">
        <f>Nodes!A1659+"'E4!)O0"</f>
        <v>#VALUE!</v>
      </c>
      <c r="AW200" t="e">
        <f>Nodes!B1659+"'E4!)O1"</f>
        <v>#VALUE!</v>
      </c>
      <c r="AX200" t="e">
        <f>Nodes!C1659+"'E4!)O2"</f>
        <v>#VALUE!</v>
      </c>
      <c r="AY200" t="e">
        <f>Nodes!D1659+"'E4!)O3"</f>
        <v>#VALUE!</v>
      </c>
      <c r="AZ200" t="e">
        <f>Nodes!E1659+"'E4!)O4"</f>
        <v>#VALUE!</v>
      </c>
      <c r="BA200" t="e">
        <f>Nodes!F1659+"'E4!)O5"</f>
        <v>#VALUE!</v>
      </c>
      <c r="BB200" t="e">
        <f>Nodes!G1659+"'E4!)O6"</f>
        <v>#VALUE!</v>
      </c>
      <c r="BC200" t="e">
        <f>Nodes!H1659+"'E4!)O7"</f>
        <v>#VALUE!</v>
      </c>
      <c r="BD200" t="e">
        <f>Nodes!I1659+"'E4!)O8"</f>
        <v>#VALUE!</v>
      </c>
      <c r="BE200" t="e">
        <f>Nodes!J1659+"'E4!)O9"</f>
        <v>#VALUE!</v>
      </c>
      <c r="BF200" t="e">
        <f>Nodes!K1659+"'E4!)O:"</f>
        <v>#VALUE!</v>
      </c>
      <c r="BG200" t="e">
        <f>Nodes!L1659+"'E4!)O;"</f>
        <v>#VALUE!</v>
      </c>
      <c r="BH200" t="e">
        <f>Nodes!M1659+"'E4!)O&lt;"</f>
        <v>#VALUE!</v>
      </c>
      <c r="BI200" t="e">
        <f>Nodes!N1659+"'E4!)O="</f>
        <v>#VALUE!</v>
      </c>
      <c r="BJ200" t="e">
        <f>Nodes!O1659+"'E4!)O&gt;"</f>
        <v>#VALUE!</v>
      </c>
      <c r="BK200" t="e">
        <f>Nodes!P1659+"'E4!)O?"</f>
        <v>#VALUE!</v>
      </c>
      <c r="BL200" t="e">
        <f>Nodes!Q1659+"'E4!)O@"</f>
        <v>#VALUE!</v>
      </c>
      <c r="BM200" t="e">
        <f>Nodes!R1659+"'E4!)OA"</f>
        <v>#VALUE!</v>
      </c>
      <c r="BN200" t="e">
        <f>Nodes!S1659+"'E4!)OB"</f>
        <v>#VALUE!</v>
      </c>
      <c r="BO200" t="e">
        <f>Nodes!T1659+"'E4!)OC"</f>
        <v>#VALUE!</v>
      </c>
      <c r="BP200" t="e">
        <f>Nodes!U1659+"'E4!)OD"</f>
        <v>#VALUE!</v>
      </c>
      <c r="BQ200" t="e">
        <f>Nodes!V1659+"'E4!)OE"</f>
        <v>#VALUE!</v>
      </c>
      <c r="BR200" t="e">
        <f>Nodes!W1659+"'E4!)OF"</f>
        <v>#VALUE!</v>
      </c>
      <c r="BS200" t="e">
        <f>Nodes!X1659+"'E4!)OG"</f>
        <v>#VALUE!</v>
      </c>
      <c r="BT200" t="e">
        <f>Nodes!Y1659+"'E4!)OH"</f>
        <v>#VALUE!</v>
      </c>
      <c r="BU200" t="e">
        <f>Nodes!Z1659+"'E4!)OI"</f>
        <v>#VALUE!</v>
      </c>
      <c r="BV200" t="e">
        <f>Nodes!AA1659+"'E4!)OJ"</f>
        <v>#VALUE!</v>
      </c>
      <c r="BW200" t="e">
        <f>Nodes!AB1659+"'E4!)OK"</f>
        <v>#VALUE!</v>
      </c>
      <c r="BX200" t="e">
        <f>Nodes!AC1659+"'E4!)OL"</f>
        <v>#VALUE!</v>
      </c>
      <c r="BY200" t="e">
        <f>Nodes!A1660+"'E4!)OM"</f>
        <v>#VALUE!</v>
      </c>
      <c r="BZ200" t="e">
        <f>Nodes!B1660+"'E4!)ON"</f>
        <v>#VALUE!</v>
      </c>
      <c r="CA200" t="e">
        <f>Nodes!C1660+"'E4!)OO"</f>
        <v>#VALUE!</v>
      </c>
      <c r="CB200" t="e">
        <f>Nodes!D1660+"'E4!)OP"</f>
        <v>#VALUE!</v>
      </c>
      <c r="CC200" t="e">
        <f>Nodes!E1660+"'E4!)OQ"</f>
        <v>#VALUE!</v>
      </c>
      <c r="CD200" t="e">
        <f>Nodes!F1660+"'E4!)OR"</f>
        <v>#VALUE!</v>
      </c>
      <c r="CE200" t="e">
        <f>Nodes!G1660+"'E4!)OS"</f>
        <v>#VALUE!</v>
      </c>
      <c r="CF200" t="e">
        <f>Nodes!H1660+"'E4!)OT"</f>
        <v>#VALUE!</v>
      </c>
      <c r="CG200" t="e">
        <f>Nodes!I1660+"'E4!)OU"</f>
        <v>#VALUE!</v>
      </c>
      <c r="CH200" t="e">
        <f>Nodes!J1660+"'E4!)OV"</f>
        <v>#VALUE!</v>
      </c>
      <c r="CI200" t="e">
        <f>Nodes!K1660+"'E4!)OW"</f>
        <v>#VALUE!</v>
      </c>
      <c r="CJ200" t="e">
        <f>Nodes!L1660+"'E4!)OX"</f>
        <v>#VALUE!</v>
      </c>
      <c r="CK200" t="e">
        <f>Nodes!M1660+"'E4!)OY"</f>
        <v>#VALUE!</v>
      </c>
      <c r="CL200" t="e">
        <f>Nodes!N1660+"'E4!)OZ"</f>
        <v>#VALUE!</v>
      </c>
      <c r="CM200" t="e">
        <f>Nodes!O1660+"'E4!)O["</f>
        <v>#VALUE!</v>
      </c>
      <c r="CN200" t="e">
        <f>Nodes!P1660+"'E4!)O\"</f>
        <v>#VALUE!</v>
      </c>
      <c r="CO200" t="e">
        <f>Nodes!Q1660+"'E4!)O]"</f>
        <v>#VALUE!</v>
      </c>
      <c r="CP200" t="e">
        <f>Nodes!R1660+"'E4!)O^"</f>
        <v>#VALUE!</v>
      </c>
      <c r="CQ200" t="e">
        <f>Nodes!S1660+"'E4!)O_"</f>
        <v>#VALUE!</v>
      </c>
      <c r="CR200" t="e">
        <f>Nodes!T1660+"'E4!)O`"</f>
        <v>#VALUE!</v>
      </c>
      <c r="CS200" t="e">
        <f>Nodes!U1660+"'E4!)Oa"</f>
        <v>#VALUE!</v>
      </c>
      <c r="CT200" t="e">
        <f>Nodes!V1660+"'E4!)Ob"</f>
        <v>#VALUE!</v>
      </c>
      <c r="CU200" t="e">
        <f>Nodes!W1660+"'E4!)Oc"</f>
        <v>#VALUE!</v>
      </c>
      <c r="CV200" t="e">
        <f>Nodes!X1660+"'E4!)Od"</f>
        <v>#VALUE!</v>
      </c>
      <c r="CW200" t="e">
        <f>Nodes!Y1660+"'E4!)Oe"</f>
        <v>#VALUE!</v>
      </c>
      <c r="CX200" t="e">
        <f>Nodes!Z1660+"'E4!)Of"</f>
        <v>#VALUE!</v>
      </c>
      <c r="CY200" t="e">
        <f>Nodes!AA1660+"'E4!)Og"</f>
        <v>#VALUE!</v>
      </c>
      <c r="CZ200" t="e">
        <f>Nodes!AB1660+"'E4!)Oh"</f>
        <v>#VALUE!</v>
      </c>
      <c r="DA200" t="e">
        <f>Nodes!AC1660+"'E4!)Oi"</f>
        <v>#VALUE!</v>
      </c>
      <c r="DB200" t="e">
        <f>Nodes!A1661+"'E4!)Oj"</f>
        <v>#VALUE!</v>
      </c>
      <c r="DC200" t="e">
        <f>Nodes!B1661+"'E4!)Ok"</f>
        <v>#VALUE!</v>
      </c>
      <c r="DD200" t="e">
        <f>Nodes!C1661+"'E4!)Ol"</f>
        <v>#VALUE!</v>
      </c>
      <c r="DE200" t="e">
        <f>Nodes!D1661+"'E4!)Om"</f>
        <v>#VALUE!</v>
      </c>
      <c r="DF200" t="e">
        <f>Nodes!E1661+"'E4!)On"</f>
        <v>#VALUE!</v>
      </c>
      <c r="DG200" t="e">
        <f>Nodes!F1661+"'E4!)Oo"</f>
        <v>#VALUE!</v>
      </c>
      <c r="DH200" t="e">
        <f>Nodes!G1661+"'E4!)Op"</f>
        <v>#VALUE!</v>
      </c>
      <c r="DI200" t="e">
        <f>Nodes!H1661+"'E4!)Oq"</f>
        <v>#VALUE!</v>
      </c>
      <c r="DJ200" t="e">
        <f>Nodes!I1661+"'E4!)Or"</f>
        <v>#VALUE!</v>
      </c>
      <c r="DK200" t="e">
        <f>Nodes!J1661+"'E4!)Os"</f>
        <v>#VALUE!</v>
      </c>
      <c r="DL200" t="e">
        <f>Nodes!K1661+"'E4!)Ot"</f>
        <v>#VALUE!</v>
      </c>
      <c r="DM200" t="e">
        <f>Nodes!L1661+"'E4!)Ou"</f>
        <v>#VALUE!</v>
      </c>
      <c r="DN200" t="e">
        <f>Nodes!M1661+"'E4!)Ov"</f>
        <v>#VALUE!</v>
      </c>
      <c r="DO200" t="e">
        <f>Nodes!N1661+"'E4!)Ow"</f>
        <v>#VALUE!</v>
      </c>
      <c r="DP200" t="e">
        <f>Nodes!O1661+"'E4!)Ox"</f>
        <v>#VALUE!</v>
      </c>
      <c r="DQ200" t="e">
        <f>Nodes!P1661+"'E4!)Oy"</f>
        <v>#VALUE!</v>
      </c>
      <c r="DR200" t="e">
        <f>Nodes!Q1661+"'E4!)Oz"</f>
        <v>#VALUE!</v>
      </c>
      <c r="DS200" t="e">
        <f>Nodes!R1661+"'E4!)O{"</f>
        <v>#VALUE!</v>
      </c>
      <c r="DT200" t="e">
        <f>Nodes!S1661+"'E4!)O|"</f>
        <v>#VALUE!</v>
      </c>
      <c r="DU200" t="e">
        <f>Nodes!T1661+"'E4!)O}"</f>
        <v>#VALUE!</v>
      </c>
      <c r="DV200" t="e">
        <f>Nodes!U1661+"'E4!)O~"</f>
        <v>#VALUE!</v>
      </c>
      <c r="DW200" t="e">
        <f>Nodes!V1661+"'E4!)P#"</f>
        <v>#VALUE!</v>
      </c>
      <c r="DX200" t="e">
        <f>Nodes!W1661+"'E4!)P$"</f>
        <v>#VALUE!</v>
      </c>
      <c r="DY200" t="e">
        <f>Nodes!X1661+"'E4!)P%"</f>
        <v>#VALUE!</v>
      </c>
      <c r="DZ200" t="e">
        <f>Nodes!Y1661+"'E4!)P&amp;"</f>
        <v>#VALUE!</v>
      </c>
      <c r="EA200" t="e">
        <f>Nodes!Z1661+"'E4!)P'"</f>
        <v>#VALUE!</v>
      </c>
      <c r="EB200" t="e">
        <f>Nodes!AA1661+"'E4!)P("</f>
        <v>#VALUE!</v>
      </c>
      <c r="EC200" t="e">
        <f>Nodes!AB1661+"'E4!)P)"</f>
        <v>#VALUE!</v>
      </c>
      <c r="ED200" t="e">
        <f>Nodes!AC1661+"'E4!)P."</f>
        <v>#VALUE!</v>
      </c>
      <c r="EE200" t="e">
        <f>Nodes!A1662+"'E4!)P/"</f>
        <v>#VALUE!</v>
      </c>
      <c r="EF200" t="e">
        <f>Nodes!B1662+"'E4!)P0"</f>
        <v>#VALUE!</v>
      </c>
      <c r="EG200" t="e">
        <f>Nodes!C1662+"'E4!)P1"</f>
        <v>#VALUE!</v>
      </c>
      <c r="EH200" t="e">
        <f>Nodes!D1662+"'E4!)P2"</f>
        <v>#VALUE!</v>
      </c>
      <c r="EI200" t="e">
        <f>Nodes!E1662+"'E4!)P3"</f>
        <v>#VALUE!</v>
      </c>
      <c r="EJ200" t="e">
        <f>Nodes!F1662+"'E4!)P4"</f>
        <v>#VALUE!</v>
      </c>
      <c r="EK200" t="e">
        <f>Nodes!G1662+"'E4!)P5"</f>
        <v>#VALUE!</v>
      </c>
      <c r="EL200" t="e">
        <f>Nodes!H1662+"'E4!)P6"</f>
        <v>#VALUE!</v>
      </c>
      <c r="EM200" t="e">
        <f>Nodes!I1662+"'E4!)P7"</f>
        <v>#VALUE!</v>
      </c>
      <c r="EN200" t="e">
        <f>Nodes!J1662+"'E4!)P8"</f>
        <v>#VALUE!</v>
      </c>
      <c r="EO200" t="e">
        <f>Nodes!K1662+"'E4!)P9"</f>
        <v>#VALUE!</v>
      </c>
      <c r="EP200" t="e">
        <f>Nodes!L1662+"'E4!)P:"</f>
        <v>#VALUE!</v>
      </c>
      <c r="EQ200" t="e">
        <f>Nodes!M1662+"'E4!)P;"</f>
        <v>#VALUE!</v>
      </c>
      <c r="ER200" t="e">
        <f>Nodes!N1662+"'E4!)P&lt;"</f>
        <v>#VALUE!</v>
      </c>
      <c r="ES200" t="e">
        <f>Nodes!O1662+"'E4!)P="</f>
        <v>#VALUE!</v>
      </c>
      <c r="ET200" t="e">
        <f>Nodes!P1662+"'E4!)P&gt;"</f>
        <v>#VALUE!</v>
      </c>
      <c r="EU200" t="e">
        <f>Nodes!Q1662+"'E4!)P?"</f>
        <v>#VALUE!</v>
      </c>
      <c r="EV200" t="e">
        <f>Nodes!R1662+"'E4!)P@"</f>
        <v>#VALUE!</v>
      </c>
      <c r="EW200" t="e">
        <f>Nodes!S1662+"'E4!)PA"</f>
        <v>#VALUE!</v>
      </c>
      <c r="EX200" t="e">
        <f>Nodes!T1662+"'E4!)PB"</f>
        <v>#VALUE!</v>
      </c>
      <c r="EY200" t="e">
        <f>Nodes!U1662+"'E4!)PC"</f>
        <v>#VALUE!</v>
      </c>
      <c r="EZ200" t="e">
        <f>Nodes!V1662+"'E4!)PD"</f>
        <v>#VALUE!</v>
      </c>
      <c r="FA200" t="e">
        <f>Nodes!W1662+"'E4!)PE"</f>
        <v>#VALUE!</v>
      </c>
      <c r="FB200" t="e">
        <f>Nodes!X1662+"'E4!)PF"</f>
        <v>#VALUE!</v>
      </c>
      <c r="FC200" t="e">
        <f>Nodes!Y1662+"'E4!)PG"</f>
        <v>#VALUE!</v>
      </c>
      <c r="FD200" t="e">
        <f>Nodes!Z1662+"'E4!)PH"</f>
        <v>#VALUE!</v>
      </c>
      <c r="FE200" t="e">
        <f>Nodes!AA1662+"'E4!)PI"</f>
        <v>#VALUE!</v>
      </c>
      <c r="FF200" t="e">
        <f>Nodes!AB1662+"'E4!)PJ"</f>
        <v>#VALUE!</v>
      </c>
      <c r="FG200" t="e">
        <f>Nodes!AC1662+"'E4!)PK"</f>
        <v>#VALUE!</v>
      </c>
      <c r="FH200" t="e">
        <f>Nodes!A1663+"'E4!)PL"</f>
        <v>#VALUE!</v>
      </c>
      <c r="FI200" t="e">
        <f>Nodes!B1663+"'E4!)PM"</f>
        <v>#VALUE!</v>
      </c>
      <c r="FJ200" t="e">
        <f>Nodes!C1663+"'E4!)PN"</f>
        <v>#VALUE!</v>
      </c>
      <c r="FK200" t="e">
        <f>Nodes!D1663+"'E4!)PO"</f>
        <v>#VALUE!</v>
      </c>
      <c r="FL200" t="e">
        <f>Nodes!E1663+"'E4!)PP"</f>
        <v>#VALUE!</v>
      </c>
      <c r="FM200" t="e">
        <f>Nodes!F1663+"'E4!)PQ"</f>
        <v>#VALUE!</v>
      </c>
      <c r="FN200" t="e">
        <f>Nodes!G1663+"'E4!)PR"</f>
        <v>#VALUE!</v>
      </c>
      <c r="FO200" t="e">
        <f>Nodes!H1663+"'E4!)PS"</f>
        <v>#VALUE!</v>
      </c>
      <c r="FP200" t="e">
        <f>Nodes!I1663+"'E4!)PT"</f>
        <v>#VALUE!</v>
      </c>
      <c r="FQ200" t="e">
        <f>Nodes!J1663+"'E4!)PU"</f>
        <v>#VALUE!</v>
      </c>
      <c r="FR200" t="e">
        <f>Nodes!K1663+"'E4!)PV"</f>
        <v>#VALUE!</v>
      </c>
      <c r="FS200" t="e">
        <f>Nodes!L1663+"'E4!)PW"</f>
        <v>#VALUE!</v>
      </c>
      <c r="FT200" t="e">
        <f>Nodes!M1663+"'E4!)PX"</f>
        <v>#VALUE!</v>
      </c>
      <c r="FU200" t="e">
        <f>Nodes!N1663+"'E4!)PY"</f>
        <v>#VALUE!</v>
      </c>
      <c r="FV200" t="e">
        <f>Nodes!O1663+"'E4!)PZ"</f>
        <v>#VALUE!</v>
      </c>
      <c r="FW200" t="e">
        <f>Nodes!P1663+"'E4!)P["</f>
        <v>#VALUE!</v>
      </c>
      <c r="FX200" t="e">
        <f>Nodes!Q1663+"'E4!)P\"</f>
        <v>#VALUE!</v>
      </c>
      <c r="FY200" t="e">
        <f>Nodes!R1663+"'E4!)P]"</f>
        <v>#VALUE!</v>
      </c>
      <c r="FZ200" t="e">
        <f>Nodes!S1663+"'E4!)P^"</f>
        <v>#VALUE!</v>
      </c>
      <c r="GA200" t="e">
        <f>Nodes!T1663+"'E4!)P_"</f>
        <v>#VALUE!</v>
      </c>
      <c r="GB200" t="e">
        <f>Nodes!U1663+"'E4!)P`"</f>
        <v>#VALUE!</v>
      </c>
      <c r="GC200" t="e">
        <f>Nodes!V1663+"'E4!)Pa"</f>
        <v>#VALUE!</v>
      </c>
      <c r="GD200" t="e">
        <f>Nodes!W1663+"'E4!)Pb"</f>
        <v>#VALUE!</v>
      </c>
      <c r="GE200" t="e">
        <f>Nodes!X1663+"'E4!)Pc"</f>
        <v>#VALUE!</v>
      </c>
      <c r="GF200" t="e">
        <f>Nodes!Y1663+"'E4!)Pd"</f>
        <v>#VALUE!</v>
      </c>
      <c r="GG200" t="e">
        <f>Nodes!Z1663+"'E4!)Pe"</f>
        <v>#VALUE!</v>
      </c>
      <c r="GH200" t="e">
        <f>Nodes!AA1663+"'E4!)Pf"</f>
        <v>#VALUE!</v>
      </c>
      <c r="GI200" t="e">
        <f>Nodes!AB1663+"'E4!)Pg"</f>
        <v>#VALUE!</v>
      </c>
      <c r="GJ200" t="e">
        <f>Nodes!AC1663+"'E4!)Ph"</f>
        <v>#VALUE!</v>
      </c>
      <c r="GK200" t="e">
        <f>Nodes!A1664+"'E4!)Pi"</f>
        <v>#VALUE!</v>
      </c>
      <c r="GL200" t="e">
        <f>Nodes!B1664+"'E4!)Pj"</f>
        <v>#VALUE!</v>
      </c>
      <c r="GM200" t="e">
        <f>Nodes!C1664+"'E4!)Pk"</f>
        <v>#VALUE!</v>
      </c>
      <c r="GN200" t="e">
        <f>Nodes!D1664+"'E4!)Pl"</f>
        <v>#VALUE!</v>
      </c>
      <c r="GO200" t="e">
        <f>Nodes!E1664+"'E4!)Pm"</f>
        <v>#VALUE!</v>
      </c>
      <c r="GP200" t="e">
        <f>Nodes!F1664+"'E4!)Pn"</f>
        <v>#VALUE!</v>
      </c>
      <c r="GQ200" t="e">
        <f>Nodes!G1664+"'E4!)Po"</f>
        <v>#VALUE!</v>
      </c>
      <c r="GR200" t="e">
        <f>Nodes!H1664+"'E4!)Pp"</f>
        <v>#VALUE!</v>
      </c>
      <c r="GS200" t="e">
        <f>Nodes!I1664+"'E4!)Pq"</f>
        <v>#VALUE!</v>
      </c>
      <c r="GT200" t="e">
        <f>Nodes!J1664+"'E4!)Pr"</f>
        <v>#VALUE!</v>
      </c>
      <c r="GU200" t="e">
        <f>Nodes!K1664+"'E4!)Ps"</f>
        <v>#VALUE!</v>
      </c>
      <c r="GV200" t="e">
        <f>Nodes!L1664+"'E4!)Pt"</f>
        <v>#VALUE!</v>
      </c>
      <c r="GW200" t="e">
        <f>Nodes!M1664+"'E4!)Pu"</f>
        <v>#VALUE!</v>
      </c>
      <c r="GX200" t="e">
        <f>Nodes!N1664+"'E4!)Pv"</f>
        <v>#VALUE!</v>
      </c>
      <c r="GY200" t="e">
        <f>Nodes!O1664+"'E4!)Pw"</f>
        <v>#VALUE!</v>
      </c>
      <c r="GZ200" t="e">
        <f>Nodes!P1664+"'E4!)Px"</f>
        <v>#VALUE!</v>
      </c>
      <c r="HA200" t="e">
        <f>Nodes!Q1664+"'E4!)Py"</f>
        <v>#VALUE!</v>
      </c>
      <c r="HB200" t="e">
        <f>Nodes!R1664+"'E4!)Pz"</f>
        <v>#VALUE!</v>
      </c>
      <c r="HC200" t="e">
        <f>Nodes!S1664+"'E4!)P{"</f>
        <v>#VALUE!</v>
      </c>
      <c r="HD200" t="e">
        <f>Nodes!T1664+"'E4!)P|"</f>
        <v>#VALUE!</v>
      </c>
      <c r="HE200" t="e">
        <f>Nodes!U1664+"'E4!)P}"</f>
        <v>#VALUE!</v>
      </c>
      <c r="HF200" t="e">
        <f>Nodes!V1664+"'E4!)P~"</f>
        <v>#VALUE!</v>
      </c>
      <c r="HG200" t="e">
        <f>Nodes!W1664+"'E4!)Q#"</f>
        <v>#VALUE!</v>
      </c>
      <c r="HH200" t="e">
        <f>Nodes!X1664+"'E4!)Q$"</f>
        <v>#VALUE!</v>
      </c>
      <c r="HI200" t="e">
        <f>Nodes!Y1664+"'E4!)Q%"</f>
        <v>#VALUE!</v>
      </c>
      <c r="HJ200" t="e">
        <f>Nodes!Z1664+"'E4!)Q&amp;"</f>
        <v>#VALUE!</v>
      </c>
      <c r="HK200" t="e">
        <f>Nodes!AA1664+"'E4!)Q'"</f>
        <v>#VALUE!</v>
      </c>
      <c r="HL200" t="e">
        <f>Nodes!AB1664+"'E4!)Q("</f>
        <v>#VALUE!</v>
      </c>
      <c r="HM200" t="e">
        <f>Nodes!AC1664+"'E4!)Q)"</f>
        <v>#VALUE!</v>
      </c>
      <c r="HN200" t="e">
        <f>Nodes!A1665+"'E4!)Q."</f>
        <v>#VALUE!</v>
      </c>
      <c r="HO200" t="e">
        <f>Nodes!B1665+"'E4!)Q/"</f>
        <v>#VALUE!</v>
      </c>
      <c r="HP200" t="e">
        <f>Nodes!C1665+"'E4!)Q0"</f>
        <v>#VALUE!</v>
      </c>
      <c r="HQ200" t="e">
        <f>Nodes!D1665+"'E4!)Q1"</f>
        <v>#VALUE!</v>
      </c>
      <c r="HR200" t="e">
        <f>Nodes!E1665+"'E4!)Q2"</f>
        <v>#VALUE!</v>
      </c>
      <c r="HS200" t="e">
        <f>Nodes!F1665+"'E4!)Q3"</f>
        <v>#VALUE!</v>
      </c>
      <c r="HT200" t="e">
        <f>Nodes!G1665+"'E4!)Q4"</f>
        <v>#VALUE!</v>
      </c>
      <c r="HU200" t="e">
        <f>Nodes!H1665+"'E4!)Q5"</f>
        <v>#VALUE!</v>
      </c>
      <c r="HV200" t="e">
        <f>Nodes!I1665+"'E4!)Q6"</f>
        <v>#VALUE!</v>
      </c>
      <c r="HW200" t="e">
        <f>Nodes!J1665+"'E4!)Q7"</f>
        <v>#VALUE!</v>
      </c>
      <c r="HX200" t="e">
        <f>Nodes!K1665+"'E4!)Q8"</f>
        <v>#VALUE!</v>
      </c>
      <c r="HY200" t="e">
        <f>Nodes!L1665+"'E4!)Q9"</f>
        <v>#VALUE!</v>
      </c>
      <c r="HZ200" t="e">
        <f>Nodes!M1665+"'E4!)Q:"</f>
        <v>#VALUE!</v>
      </c>
      <c r="IA200" t="e">
        <f>Nodes!N1665+"'E4!)Q;"</f>
        <v>#VALUE!</v>
      </c>
      <c r="IB200" t="e">
        <f>Nodes!O1665+"'E4!)Q&lt;"</f>
        <v>#VALUE!</v>
      </c>
      <c r="IC200" t="e">
        <f>Nodes!P1665+"'E4!)Q="</f>
        <v>#VALUE!</v>
      </c>
      <c r="ID200" t="e">
        <f>Nodes!Q1665+"'E4!)Q&gt;"</f>
        <v>#VALUE!</v>
      </c>
      <c r="IE200" t="e">
        <f>Nodes!R1665+"'E4!)Q?"</f>
        <v>#VALUE!</v>
      </c>
      <c r="IF200" t="e">
        <f>Nodes!S1665+"'E4!)Q@"</f>
        <v>#VALUE!</v>
      </c>
      <c r="IG200" t="e">
        <f>Nodes!T1665+"'E4!)QA"</f>
        <v>#VALUE!</v>
      </c>
      <c r="IH200" t="e">
        <f>Nodes!U1665+"'E4!)QB"</f>
        <v>#VALUE!</v>
      </c>
      <c r="II200" t="e">
        <f>Nodes!V1665+"'E4!)QC"</f>
        <v>#VALUE!</v>
      </c>
      <c r="IJ200" t="e">
        <f>Nodes!W1665+"'E4!)QD"</f>
        <v>#VALUE!</v>
      </c>
      <c r="IK200" t="e">
        <f>Nodes!X1665+"'E4!)QE"</f>
        <v>#VALUE!</v>
      </c>
      <c r="IL200" t="e">
        <f>Nodes!Y1665+"'E4!)QF"</f>
        <v>#VALUE!</v>
      </c>
      <c r="IM200" t="e">
        <f>Nodes!Z1665+"'E4!)QG"</f>
        <v>#VALUE!</v>
      </c>
      <c r="IN200" t="e">
        <f>Nodes!AA1665+"'E4!)QH"</f>
        <v>#VALUE!</v>
      </c>
      <c r="IO200" t="e">
        <f>Nodes!AB1665+"'E4!)QI"</f>
        <v>#VALUE!</v>
      </c>
      <c r="IP200" t="e">
        <f>Nodes!AC1665+"'E4!)QJ"</f>
        <v>#VALUE!</v>
      </c>
      <c r="IQ200" t="e">
        <f>Nodes!A1666+"'E4!)QK"</f>
        <v>#VALUE!</v>
      </c>
      <c r="IR200" t="e">
        <f>Nodes!B1666+"'E4!)QL"</f>
        <v>#VALUE!</v>
      </c>
      <c r="IS200" t="e">
        <f>Nodes!C1666+"'E4!)QM"</f>
        <v>#VALUE!</v>
      </c>
      <c r="IT200" t="e">
        <f>Nodes!D1666+"'E4!)QN"</f>
        <v>#VALUE!</v>
      </c>
      <c r="IU200" t="e">
        <f>Nodes!E1666+"'E4!)QO"</f>
        <v>#VALUE!</v>
      </c>
      <c r="IV200" t="e">
        <f>Nodes!F1666+"'E4!)QP"</f>
        <v>#VALUE!</v>
      </c>
    </row>
    <row r="201" spans="6:256">
      <c r="F201" t="e">
        <f>Nodes!G1666+"'E4!)QQ"</f>
        <v>#VALUE!</v>
      </c>
      <c r="G201" t="e">
        <f>Nodes!H1666+"'E4!)QR"</f>
        <v>#VALUE!</v>
      </c>
      <c r="H201" t="e">
        <f>Nodes!I1666+"'E4!)QS"</f>
        <v>#VALUE!</v>
      </c>
      <c r="I201" t="e">
        <f>Nodes!J1666+"'E4!)QT"</f>
        <v>#VALUE!</v>
      </c>
      <c r="J201" t="e">
        <f>Nodes!K1666+"'E4!)QU"</f>
        <v>#VALUE!</v>
      </c>
      <c r="K201" t="e">
        <f>Nodes!L1666+"'E4!)QV"</f>
        <v>#VALUE!</v>
      </c>
      <c r="L201" t="e">
        <f>Nodes!M1666+"'E4!)QW"</f>
        <v>#VALUE!</v>
      </c>
      <c r="M201" t="e">
        <f>Nodes!N1666+"'E4!)QX"</f>
        <v>#VALUE!</v>
      </c>
      <c r="N201" t="e">
        <f>Nodes!O1666+"'E4!)QY"</f>
        <v>#VALUE!</v>
      </c>
      <c r="O201" t="e">
        <f>Nodes!P1666+"'E4!)QZ"</f>
        <v>#VALUE!</v>
      </c>
      <c r="P201" t="e">
        <f>Nodes!Q1666+"'E4!)Q["</f>
        <v>#VALUE!</v>
      </c>
      <c r="Q201" t="e">
        <f>Nodes!R1666+"'E4!)Q\"</f>
        <v>#VALUE!</v>
      </c>
      <c r="R201" t="e">
        <f>Nodes!S1666+"'E4!)Q]"</f>
        <v>#VALUE!</v>
      </c>
      <c r="S201" t="e">
        <f>Nodes!T1666+"'E4!)Q^"</f>
        <v>#VALUE!</v>
      </c>
      <c r="T201" t="e">
        <f>Nodes!U1666+"'E4!)Q_"</f>
        <v>#VALUE!</v>
      </c>
      <c r="U201" t="e">
        <f>Nodes!V1666+"'E4!)Q`"</f>
        <v>#VALUE!</v>
      </c>
      <c r="V201" t="e">
        <f>Nodes!W1666+"'E4!)Qa"</f>
        <v>#VALUE!</v>
      </c>
      <c r="W201" t="e">
        <f>Nodes!X1666+"'E4!)Qb"</f>
        <v>#VALUE!</v>
      </c>
      <c r="X201" t="e">
        <f>Nodes!Y1666+"'E4!)Qc"</f>
        <v>#VALUE!</v>
      </c>
      <c r="Y201" t="e">
        <f>Nodes!Z1666+"'E4!)Qd"</f>
        <v>#VALUE!</v>
      </c>
      <c r="Z201" t="e">
        <f>Nodes!AA1666+"'E4!)Qe"</f>
        <v>#VALUE!</v>
      </c>
      <c r="AA201" t="e">
        <f>Nodes!AB1666+"'E4!)Qf"</f>
        <v>#VALUE!</v>
      </c>
      <c r="AB201" t="e">
        <f>Nodes!AC1666+"'E4!)Qg"</f>
        <v>#VALUE!</v>
      </c>
      <c r="AC201" t="e">
        <f>Nodes!A1667+"'E4!)Qh"</f>
        <v>#VALUE!</v>
      </c>
      <c r="AD201" t="e">
        <f>Nodes!B1667+"'E4!)Qi"</f>
        <v>#VALUE!</v>
      </c>
      <c r="AE201" t="e">
        <f>Nodes!C1667+"'E4!)Qj"</f>
        <v>#VALUE!</v>
      </c>
      <c r="AF201" t="e">
        <f>Nodes!D1667+"'E4!)Qk"</f>
        <v>#VALUE!</v>
      </c>
      <c r="AG201" t="e">
        <f>Nodes!E1667+"'E4!)Ql"</f>
        <v>#VALUE!</v>
      </c>
      <c r="AH201" t="e">
        <f>Nodes!F1667+"'E4!)Qm"</f>
        <v>#VALUE!</v>
      </c>
      <c r="AI201" t="e">
        <f>Nodes!G1667+"'E4!)Qn"</f>
        <v>#VALUE!</v>
      </c>
      <c r="AJ201" t="e">
        <f>Nodes!H1667+"'E4!)Qo"</f>
        <v>#VALUE!</v>
      </c>
      <c r="AK201" t="e">
        <f>Nodes!I1667+"'E4!)Qp"</f>
        <v>#VALUE!</v>
      </c>
      <c r="AL201" t="e">
        <f>Nodes!J1667+"'E4!)Qq"</f>
        <v>#VALUE!</v>
      </c>
      <c r="AM201" t="e">
        <f>Nodes!K1667+"'E4!)Qr"</f>
        <v>#VALUE!</v>
      </c>
      <c r="AN201" t="e">
        <f>Nodes!L1667+"'E4!)Qs"</f>
        <v>#VALUE!</v>
      </c>
      <c r="AO201" t="e">
        <f>Nodes!M1667+"'E4!)Qt"</f>
        <v>#VALUE!</v>
      </c>
      <c r="AP201" t="e">
        <f>Nodes!N1667+"'E4!)Qu"</f>
        <v>#VALUE!</v>
      </c>
      <c r="AQ201" t="e">
        <f>Nodes!O1667+"'E4!)Qv"</f>
        <v>#VALUE!</v>
      </c>
      <c r="AR201" t="e">
        <f>Nodes!P1667+"'E4!)Qw"</f>
        <v>#VALUE!</v>
      </c>
      <c r="AS201" t="e">
        <f>Nodes!Q1667+"'E4!)Qx"</f>
        <v>#VALUE!</v>
      </c>
      <c r="AT201" t="e">
        <f>Nodes!R1667+"'E4!)Qy"</f>
        <v>#VALUE!</v>
      </c>
      <c r="AU201" t="e">
        <f>Nodes!S1667+"'E4!)Qz"</f>
        <v>#VALUE!</v>
      </c>
      <c r="AV201" t="e">
        <f>Nodes!T1667+"'E4!)Q{"</f>
        <v>#VALUE!</v>
      </c>
      <c r="AW201" t="e">
        <f>Nodes!U1667+"'E4!)Q|"</f>
        <v>#VALUE!</v>
      </c>
      <c r="AX201" t="e">
        <f>Nodes!V1667+"'E4!)Q}"</f>
        <v>#VALUE!</v>
      </c>
      <c r="AY201" t="e">
        <f>Nodes!W1667+"'E4!)Q~"</f>
        <v>#VALUE!</v>
      </c>
      <c r="AZ201" t="e">
        <f>Nodes!X1667+"'E4!)R#"</f>
        <v>#VALUE!</v>
      </c>
      <c r="BA201" t="e">
        <f>Nodes!Y1667+"'E4!)R$"</f>
        <v>#VALUE!</v>
      </c>
      <c r="BB201" t="e">
        <f>Nodes!Z1667+"'E4!)R%"</f>
        <v>#VALUE!</v>
      </c>
      <c r="BC201" t="e">
        <f>Nodes!AA1667+"'E4!)R&amp;"</f>
        <v>#VALUE!</v>
      </c>
      <c r="BD201" t="e">
        <f>Nodes!AB1667+"'E4!)R'"</f>
        <v>#VALUE!</v>
      </c>
      <c r="BE201" t="e">
        <f>Nodes!AC1667+"'E4!)R("</f>
        <v>#VALUE!</v>
      </c>
      <c r="BF201" t="e">
        <f>Nodes!A1668+"'E4!)R)"</f>
        <v>#VALUE!</v>
      </c>
      <c r="BG201" t="e">
        <f>Nodes!B1668+"'E4!)R."</f>
        <v>#VALUE!</v>
      </c>
      <c r="BH201" t="e">
        <f>Nodes!C1668+"'E4!)R/"</f>
        <v>#VALUE!</v>
      </c>
      <c r="BI201" t="e">
        <f>Nodes!D1668+"'E4!)R0"</f>
        <v>#VALUE!</v>
      </c>
      <c r="BJ201" t="e">
        <f>Nodes!E1668+"'E4!)R1"</f>
        <v>#VALUE!</v>
      </c>
      <c r="BK201" t="e">
        <f>Nodes!F1668+"'E4!)R2"</f>
        <v>#VALUE!</v>
      </c>
      <c r="BL201" t="e">
        <f>Nodes!G1668+"'E4!)R3"</f>
        <v>#VALUE!</v>
      </c>
      <c r="BM201" t="e">
        <f>Nodes!H1668+"'E4!)R4"</f>
        <v>#VALUE!</v>
      </c>
      <c r="BN201" t="e">
        <f>Nodes!I1668+"'E4!)R5"</f>
        <v>#VALUE!</v>
      </c>
      <c r="BO201" t="e">
        <f>Nodes!J1668+"'E4!)R6"</f>
        <v>#VALUE!</v>
      </c>
      <c r="BP201" t="e">
        <f>Nodes!K1668+"'E4!)R7"</f>
        <v>#VALUE!</v>
      </c>
      <c r="BQ201" t="e">
        <f>Nodes!L1668+"'E4!)R8"</f>
        <v>#VALUE!</v>
      </c>
      <c r="BR201" t="e">
        <f>Nodes!M1668+"'E4!)R9"</f>
        <v>#VALUE!</v>
      </c>
      <c r="BS201" t="e">
        <f>Nodes!N1668+"'E4!)R:"</f>
        <v>#VALUE!</v>
      </c>
      <c r="BT201" t="e">
        <f>Nodes!O1668+"'E4!)R;"</f>
        <v>#VALUE!</v>
      </c>
      <c r="BU201" t="e">
        <f>Nodes!P1668+"'E4!)R&lt;"</f>
        <v>#VALUE!</v>
      </c>
      <c r="BV201" t="e">
        <f>Nodes!Q1668+"'E4!)R="</f>
        <v>#VALUE!</v>
      </c>
      <c r="BW201" t="e">
        <f>Nodes!R1668+"'E4!)R&gt;"</f>
        <v>#VALUE!</v>
      </c>
      <c r="BX201" t="e">
        <f>Nodes!S1668+"'E4!)R?"</f>
        <v>#VALUE!</v>
      </c>
      <c r="BY201" t="e">
        <f>Nodes!T1668+"'E4!)R@"</f>
        <v>#VALUE!</v>
      </c>
      <c r="BZ201" t="e">
        <f>Nodes!U1668+"'E4!)RA"</f>
        <v>#VALUE!</v>
      </c>
      <c r="CA201" t="e">
        <f>Nodes!V1668+"'E4!)RB"</f>
        <v>#VALUE!</v>
      </c>
      <c r="CB201" t="e">
        <f>Nodes!W1668+"'E4!)RC"</f>
        <v>#VALUE!</v>
      </c>
      <c r="CC201" t="e">
        <f>Nodes!X1668+"'E4!)RD"</f>
        <v>#VALUE!</v>
      </c>
      <c r="CD201" t="e">
        <f>Nodes!Y1668+"'E4!)RE"</f>
        <v>#VALUE!</v>
      </c>
      <c r="CE201" t="e">
        <f>Nodes!Z1668+"'E4!)RF"</f>
        <v>#VALUE!</v>
      </c>
      <c r="CF201" t="e">
        <f>Nodes!AA1668+"'E4!)RG"</f>
        <v>#VALUE!</v>
      </c>
      <c r="CG201" t="e">
        <f>Nodes!AB1668+"'E4!)RH"</f>
        <v>#VALUE!</v>
      </c>
      <c r="CH201" t="e">
        <f>Nodes!AC1668+"'E4!)RI"</f>
        <v>#VALUE!</v>
      </c>
      <c r="CI201" t="e">
        <f>Nodes!A1669+"'E4!)RJ"</f>
        <v>#VALUE!</v>
      </c>
      <c r="CJ201" t="e">
        <f>Nodes!B1669+"'E4!)RK"</f>
        <v>#VALUE!</v>
      </c>
      <c r="CK201" t="e">
        <f>Nodes!C1669+"'E4!)RL"</f>
        <v>#VALUE!</v>
      </c>
      <c r="CL201" t="e">
        <f>Nodes!D1669+"'E4!)RM"</f>
        <v>#VALUE!</v>
      </c>
      <c r="CM201" t="e">
        <f>Nodes!E1669+"'E4!)RN"</f>
        <v>#VALUE!</v>
      </c>
      <c r="CN201" t="e">
        <f>Nodes!F1669+"'E4!)RO"</f>
        <v>#VALUE!</v>
      </c>
      <c r="CO201" t="e">
        <f>Nodes!G1669+"'E4!)RP"</f>
        <v>#VALUE!</v>
      </c>
      <c r="CP201" t="e">
        <f>Nodes!H1669+"'E4!)RQ"</f>
        <v>#VALUE!</v>
      </c>
      <c r="CQ201" t="e">
        <f>Nodes!I1669+"'E4!)RR"</f>
        <v>#VALUE!</v>
      </c>
      <c r="CR201" t="e">
        <f>Nodes!J1669+"'E4!)RS"</f>
        <v>#VALUE!</v>
      </c>
      <c r="CS201" t="e">
        <f>Nodes!K1669+"'E4!)RT"</f>
        <v>#VALUE!</v>
      </c>
      <c r="CT201" t="e">
        <f>Nodes!L1669+"'E4!)RU"</f>
        <v>#VALUE!</v>
      </c>
      <c r="CU201" t="e">
        <f>Nodes!M1669+"'E4!)RV"</f>
        <v>#VALUE!</v>
      </c>
      <c r="CV201" t="e">
        <f>Nodes!N1669+"'E4!)RW"</f>
        <v>#VALUE!</v>
      </c>
      <c r="CW201" t="e">
        <f>Nodes!O1669+"'E4!)RX"</f>
        <v>#VALUE!</v>
      </c>
      <c r="CX201" t="e">
        <f>Nodes!P1669+"'E4!)RY"</f>
        <v>#VALUE!</v>
      </c>
      <c r="CY201" t="e">
        <f>Nodes!Q1669+"'E4!)RZ"</f>
        <v>#VALUE!</v>
      </c>
      <c r="CZ201" t="e">
        <f>Nodes!R1669+"'E4!)R["</f>
        <v>#VALUE!</v>
      </c>
      <c r="DA201" t="e">
        <f>Nodes!S1669+"'E4!)R\"</f>
        <v>#VALUE!</v>
      </c>
      <c r="DB201" t="e">
        <f>Nodes!T1669+"'E4!)R]"</f>
        <v>#VALUE!</v>
      </c>
      <c r="DC201" t="e">
        <f>Nodes!U1669+"'E4!)R^"</f>
        <v>#VALUE!</v>
      </c>
      <c r="DD201" t="e">
        <f>Nodes!V1669+"'E4!)R_"</f>
        <v>#VALUE!</v>
      </c>
      <c r="DE201" t="e">
        <f>Nodes!W1669+"'E4!)R`"</f>
        <v>#VALUE!</v>
      </c>
      <c r="DF201" t="e">
        <f>Nodes!X1669+"'E4!)Ra"</f>
        <v>#VALUE!</v>
      </c>
      <c r="DG201" t="e">
        <f>Nodes!Y1669+"'E4!)Rb"</f>
        <v>#VALUE!</v>
      </c>
      <c r="DH201" t="e">
        <f>Nodes!Z1669+"'E4!)Rc"</f>
        <v>#VALUE!</v>
      </c>
      <c r="DI201" t="e">
        <f>Nodes!AA1669+"'E4!)Rd"</f>
        <v>#VALUE!</v>
      </c>
      <c r="DJ201" t="e">
        <f>Nodes!AB1669+"'E4!)Re"</f>
        <v>#VALUE!</v>
      </c>
      <c r="DK201" t="e">
        <f>Nodes!AC1669+"'E4!)Rf"</f>
        <v>#VALUE!</v>
      </c>
      <c r="DL201" t="e">
        <f>Nodes!A1670+"'E4!)Rg"</f>
        <v>#VALUE!</v>
      </c>
      <c r="DM201" t="e">
        <f>Nodes!B1670+"'E4!)Rh"</f>
        <v>#VALUE!</v>
      </c>
      <c r="DN201" t="e">
        <f>Nodes!C1670+"'E4!)Ri"</f>
        <v>#VALUE!</v>
      </c>
      <c r="DO201" t="e">
        <f>Nodes!D1670+"'E4!)Rj"</f>
        <v>#VALUE!</v>
      </c>
      <c r="DP201" t="e">
        <f>Nodes!E1670+"'E4!)Rk"</f>
        <v>#VALUE!</v>
      </c>
      <c r="DQ201" t="e">
        <f>Nodes!F1670+"'E4!)Rl"</f>
        <v>#VALUE!</v>
      </c>
      <c r="DR201" t="e">
        <f>Nodes!G1670+"'E4!)Rm"</f>
        <v>#VALUE!</v>
      </c>
      <c r="DS201" t="e">
        <f>Nodes!H1670+"'E4!)Rn"</f>
        <v>#VALUE!</v>
      </c>
      <c r="DT201" t="e">
        <f>Nodes!I1670+"'E4!)Ro"</f>
        <v>#VALUE!</v>
      </c>
      <c r="DU201" t="e">
        <f>Nodes!J1670+"'E4!)Rp"</f>
        <v>#VALUE!</v>
      </c>
      <c r="DV201" t="e">
        <f>Nodes!K1670+"'E4!)Rq"</f>
        <v>#VALUE!</v>
      </c>
      <c r="DW201" t="e">
        <f>Nodes!L1670+"'E4!)Rr"</f>
        <v>#VALUE!</v>
      </c>
      <c r="DX201" t="e">
        <f>Nodes!M1670+"'E4!)Rs"</f>
        <v>#VALUE!</v>
      </c>
      <c r="DY201" t="e">
        <f>Nodes!N1670+"'E4!)Rt"</f>
        <v>#VALUE!</v>
      </c>
      <c r="DZ201" t="e">
        <f>Nodes!O1670+"'E4!)Ru"</f>
        <v>#VALUE!</v>
      </c>
      <c r="EA201" t="e">
        <f>Nodes!P1670+"'E4!)Rv"</f>
        <v>#VALUE!</v>
      </c>
      <c r="EB201" t="e">
        <f>Nodes!Q1670+"'E4!)Rw"</f>
        <v>#VALUE!</v>
      </c>
      <c r="EC201" t="e">
        <f>Nodes!R1670+"'E4!)Rx"</f>
        <v>#VALUE!</v>
      </c>
      <c r="ED201" t="e">
        <f>Nodes!S1670+"'E4!)Ry"</f>
        <v>#VALUE!</v>
      </c>
      <c r="EE201" t="e">
        <f>Nodes!T1670+"'E4!)Rz"</f>
        <v>#VALUE!</v>
      </c>
      <c r="EF201" t="e">
        <f>Nodes!U1670+"'E4!)R{"</f>
        <v>#VALUE!</v>
      </c>
      <c r="EG201" t="e">
        <f>Nodes!V1670+"'E4!)R|"</f>
        <v>#VALUE!</v>
      </c>
      <c r="EH201" t="e">
        <f>Nodes!W1670+"'E4!)R}"</f>
        <v>#VALUE!</v>
      </c>
      <c r="EI201" t="e">
        <f>Nodes!X1670+"'E4!)R~"</f>
        <v>#VALUE!</v>
      </c>
      <c r="EJ201" t="e">
        <f>Nodes!Y1670+"'E4!)S#"</f>
        <v>#VALUE!</v>
      </c>
      <c r="EK201" t="e">
        <f>Nodes!Z1670+"'E4!)S$"</f>
        <v>#VALUE!</v>
      </c>
      <c r="EL201" t="e">
        <f>Nodes!AA1670+"'E4!)S%"</f>
        <v>#VALUE!</v>
      </c>
      <c r="EM201" t="e">
        <f>Nodes!AB1670+"'E4!)S&amp;"</f>
        <v>#VALUE!</v>
      </c>
      <c r="EN201" t="e">
        <f>Nodes!AC1670+"'E4!)S'"</f>
        <v>#VALUE!</v>
      </c>
      <c r="EO201" t="e">
        <f>Nodes!A1671+"'E4!)S("</f>
        <v>#VALUE!</v>
      </c>
      <c r="EP201" t="e">
        <f>Nodes!B1671+"'E4!)S)"</f>
        <v>#VALUE!</v>
      </c>
      <c r="EQ201" t="e">
        <f>Nodes!C1671+"'E4!)S."</f>
        <v>#VALUE!</v>
      </c>
      <c r="ER201" t="e">
        <f>Nodes!D1671+"'E4!)S/"</f>
        <v>#VALUE!</v>
      </c>
      <c r="ES201" t="e">
        <f>Nodes!E1671+"'E4!)S0"</f>
        <v>#VALUE!</v>
      </c>
      <c r="ET201" t="e">
        <f>Nodes!F1671+"'E4!)S1"</f>
        <v>#VALUE!</v>
      </c>
      <c r="EU201" t="e">
        <f>Nodes!G1671+"'E4!)S2"</f>
        <v>#VALUE!</v>
      </c>
      <c r="EV201" t="e">
        <f>Nodes!H1671+"'E4!)S3"</f>
        <v>#VALUE!</v>
      </c>
      <c r="EW201" t="e">
        <f>Nodes!I1671+"'E4!)S4"</f>
        <v>#VALUE!</v>
      </c>
      <c r="EX201" t="e">
        <f>Nodes!J1671+"'E4!)S5"</f>
        <v>#VALUE!</v>
      </c>
      <c r="EY201" t="e">
        <f>Nodes!K1671+"'E4!)S6"</f>
        <v>#VALUE!</v>
      </c>
      <c r="EZ201" t="e">
        <f>Nodes!L1671+"'E4!)S7"</f>
        <v>#VALUE!</v>
      </c>
      <c r="FA201" t="e">
        <f>Nodes!M1671+"'E4!)S8"</f>
        <v>#VALUE!</v>
      </c>
      <c r="FB201" t="e">
        <f>Nodes!N1671+"'E4!)S9"</f>
        <v>#VALUE!</v>
      </c>
      <c r="FC201" t="e">
        <f>Nodes!O1671+"'E4!)S:"</f>
        <v>#VALUE!</v>
      </c>
      <c r="FD201" t="e">
        <f>Nodes!P1671+"'E4!)S;"</f>
        <v>#VALUE!</v>
      </c>
      <c r="FE201" t="e">
        <f>Nodes!Q1671+"'E4!)S&lt;"</f>
        <v>#VALUE!</v>
      </c>
      <c r="FF201" t="e">
        <f>Nodes!R1671+"'E4!)S="</f>
        <v>#VALUE!</v>
      </c>
      <c r="FG201" t="e">
        <f>Nodes!S1671+"'E4!)S&gt;"</f>
        <v>#VALUE!</v>
      </c>
      <c r="FH201" t="e">
        <f>Nodes!T1671+"'E4!)S?"</f>
        <v>#VALUE!</v>
      </c>
      <c r="FI201" t="e">
        <f>Nodes!U1671+"'E4!)S@"</f>
        <v>#VALUE!</v>
      </c>
      <c r="FJ201" t="e">
        <f>Nodes!V1671+"'E4!)SA"</f>
        <v>#VALUE!</v>
      </c>
      <c r="FK201" t="e">
        <f>Nodes!W1671+"'E4!)SB"</f>
        <v>#VALUE!</v>
      </c>
      <c r="FL201" t="e">
        <f>Nodes!X1671+"'E4!)SC"</f>
        <v>#VALUE!</v>
      </c>
      <c r="FM201" t="e">
        <f>Nodes!Y1671+"'E4!)SD"</f>
        <v>#VALUE!</v>
      </c>
      <c r="FN201" t="e">
        <f>Nodes!Z1671+"'E4!)SE"</f>
        <v>#VALUE!</v>
      </c>
      <c r="FO201" t="e">
        <f>Nodes!AA1671+"'E4!)SF"</f>
        <v>#VALUE!</v>
      </c>
      <c r="FP201" t="e">
        <f>Nodes!AB1671+"'E4!)SG"</f>
        <v>#VALUE!</v>
      </c>
      <c r="FQ201" t="e">
        <f>Nodes!AC1671+"'E4!)SH"</f>
        <v>#VALUE!</v>
      </c>
      <c r="FR201" t="e">
        <f>Nodes!A1672+"'E4!)SI"</f>
        <v>#VALUE!</v>
      </c>
      <c r="FS201" t="e">
        <f>Nodes!B1672+"'E4!)SJ"</f>
        <v>#VALUE!</v>
      </c>
      <c r="FT201" t="e">
        <f>Nodes!C1672+"'E4!)SK"</f>
        <v>#VALUE!</v>
      </c>
      <c r="FU201" t="e">
        <f>Nodes!D1672+"'E4!)SL"</f>
        <v>#VALUE!</v>
      </c>
      <c r="FV201" t="e">
        <f>Nodes!E1672+"'E4!)SM"</f>
        <v>#VALUE!</v>
      </c>
      <c r="FW201" t="e">
        <f>Nodes!F1672+"'E4!)SN"</f>
        <v>#VALUE!</v>
      </c>
      <c r="FX201" t="e">
        <f>Nodes!G1672+"'E4!)SO"</f>
        <v>#VALUE!</v>
      </c>
      <c r="FY201" t="e">
        <f>Nodes!H1672+"'E4!)SP"</f>
        <v>#VALUE!</v>
      </c>
      <c r="FZ201" t="e">
        <f>Nodes!I1672+"'E4!)SQ"</f>
        <v>#VALUE!</v>
      </c>
      <c r="GA201" t="e">
        <f>Nodes!J1672+"'E4!)SR"</f>
        <v>#VALUE!</v>
      </c>
      <c r="GB201" t="e">
        <f>Nodes!K1672+"'E4!)SS"</f>
        <v>#VALUE!</v>
      </c>
      <c r="GC201" t="e">
        <f>Nodes!L1672+"'E4!)ST"</f>
        <v>#VALUE!</v>
      </c>
      <c r="GD201" t="e">
        <f>Nodes!M1672+"'E4!)SU"</f>
        <v>#VALUE!</v>
      </c>
      <c r="GE201" t="e">
        <f>Nodes!N1672+"'E4!)SV"</f>
        <v>#VALUE!</v>
      </c>
      <c r="GF201" t="e">
        <f>Nodes!O1672+"'E4!)SW"</f>
        <v>#VALUE!</v>
      </c>
      <c r="GG201" t="e">
        <f>Nodes!P1672+"'E4!)SX"</f>
        <v>#VALUE!</v>
      </c>
      <c r="GH201" t="e">
        <f>Nodes!Q1672+"'E4!)SY"</f>
        <v>#VALUE!</v>
      </c>
      <c r="GI201" t="e">
        <f>Nodes!R1672+"'E4!)SZ"</f>
        <v>#VALUE!</v>
      </c>
      <c r="GJ201" t="e">
        <f>Nodes!S1672+"'E4!)S["</f>
        <v>#VALUE!</v>
      </c>
      <c r="GK201" t="e">
        <f>Nodes!T1672+"'E4!)S\"</f>
        <v>#VALUE!</v>
      </c>
      <c r="GL201" t="e">
        <f>Nodes!U1672+"'E4!)S]"</f>
        <v>#VALUE!</v>
      </c>
      <c r="GM201" t="e">
        <f>Nodes!V1672+"'E4!)S^"</f>
        <v>#VALUE!</v>
      </c>
      <c r="GN201" t="e">
        <f>Nodes!W1672+"'E4!)S_"</f>
        <v>#VALUE!</v>
      </c>
      <c r="GO201" t="e">
        <f>Nodes!X1672+"'E4!)S`"</f>
        <v>#VALUE!</v>
      </c>
      <c r="GP201" t="e">
        <f>Nodes!Y1672+"'E4!)Sa"</f>
        <v>#VALUE!</v>
      </c>
      <c r="GQ201" t="e">
        <f>Nodes!Z1672+"'E4!)Sb"</f>
        <v>#VALUE!</v>
      </c>
      <c r="GR201" t="e">
        <f>Nodes!AA1672+"'E4!)Sc"</f>
        <v>#VALUE!</v>
      </c>
      <c r="GS201" t="e">
        <f>Nodes!AB1672+"'E4!)Sd"</f>
        <v>#VALUE!</v>
      </c>
      <c r="GT201" t="e">
        <f>Nodes!AC1672+"'E4!)Se"</f>
        <v>#VALUE!</v>
      </c>
      <c r="GU201" t="e">
        <f>Nodes!A1673+"'E4!)Sf"</f>
        <v>#VALUE!</v>
      </c>
      <c r="GV201" t="e">
        <f>Nodes!B1673+"'E4!)Sg"</f>
        <v>#VALUE!</v>
      </c>
      <c r="GW201" t="e">
        <f>Nodes!C1673+"'E4!)Sh"</f>
        <v>#VALUE!</v>
      </c>
      <c r="GX201" t="e">
        <f>Nodes!D1673+"'E4!)Si"</f>
        <v>#VALUE!</v>
      </c>
      <c r="GY201" t="e">
        <f>Nodes!E1673+"'E4!)Sj"</f>
        <v>#VALUE!</v>
      </c>
      <c r="GZ201" t="e">
        <f>Nodes!F1673+"'E4!)Sk"</f>
        <v>#VALUE!</v>
      </c>
      <c r="HA201" t="e">
        <f>Nodes!G1673+"'E4!)Sl"</f>
        <v>#VALUE!</v>
      </c>
      <c r="HB201" t="e">
        <f>Nodes!H1673+"'E4!)Sm"</f>
        <v>#VALUE!</v>
      </c>
      <c r="HC201" t="e">
        <f>Nodes!I1673+"'E4!)Sn"</f>
        <v>#VALUE!</v>
      </c>
      <c r="HD201" t="e">
        <f>Nodes!J1673+"'E4!)So"</f>
        <v>#VALUE!</v>
      </c>
      <c r="HE201" t="e">
        <f>Nodes!K1673+"'E4!)Sp"</f>
        <v>#VALUE!</v>
      </c>
      <c r="HF201" t="e">
        <f>Nodes!L1673+"'E4!)Sq"</f>
        <v>#VALUE!</v>
      </c>
      <c r="HG201" t="e">
        <f>Nodes!M1673+"'E4!)Sr"</f>
        <v>#VALUE!</v>
      </c>
      <c r="HH201" t="e">
        <f>Nodes!N1673+"'E4!)Ss"</f>
        <v>#VALUE!</v>
      </c>
      <c r="HI201" t="e">
        <f>Nodes!O1673+"'E4!)St"</f>
        <v>#VALUE!</v>
      </c>
      <c r="HJ201" t="e">
        <f>Nodes!P1673+"'E4!)Su"</f>
        <v>#VALUE!</v>
      </c>
      <c r="HK201" t="e">
        <f>Nodes!Q1673+"'E4!)Sv"</f>
        <v>#VALUE!</v>
      </c>
      <c r="HL201" t="e">
        <f>Nodes!R1673+"'E4!)Sw"</f>
        <v>#VALUE!</v>
      </c>
      <c r="HM201" t="e">
        <f>Nodes!S1673+"'E4!)Sx"</f>
        <v>#VALUE!</v>
      </c>
      <c r="HN201" t="e">
        <f>Nodes!T1673+"'E4!)Sy"</f>
        <v>#VALUE!</v>
      </c>
      <c r="HO201" t="e">
        <f>Nodes!U1673+"'E4!)Sz"</f>
        <v>#VALUE!</v>
      </c>
      <c r="HP201" t="e">
        <f>Nodes!V1673+"'E4!)S{"</f>
        <v>#VALUE!</v>
      </c>
      <c r="HQ201" t="e">
        <f>Nodes!W1673+"'E4!)S|"</f>
        <v>#VALUE!</v>
      </c>
      <c r="HR201" t="e">
        <f>Nodes!X1673+"'E4!)S}"</f>
        <v>#VALUE!</v>
      </c>
      <c r="HS201" t="e">
        <f>Nodes!Y1673+"'E4!)S~"</f>
        <v>#VALUE!</v>
      </c>
      <c r="HT201" t="e">
        <f>Nodes!Z1673+"'E4!)T#"</f>
        <v>#VALUE!</v>
      </c>
      <c r="HU201" t="e">
        <f>Nodes!AA1673+"'E4!)T$"</f>
        <v>#VALUE!</v>
      </c>
      <c r="HV201" t="e">
        <f>Nodes!AB1673+"'E4!)T%"</f>
        <v>#VALUE!</v>
      </c>
      <c r="HW201" t="e">
        <f>Nodes!AC1673+"'E4!)T&amp;"</f>
        <v>#VALUE!</v>
      </c>
      <c r="HX201" t="e">
        <f>Nodes!A1674+"'E4!)T'"</f>
        <v>#VALUE!</v>
      </c>
      <c r="HY201" t="e">
        <f>Nodes!B1674+"'E4!)T("</f>
        <v>#VALUE!</v>
      </c>
      <c r="HZ201" t="e">
        <f>Nodes!C1674+"'E4!)T)"</f>
        <v>#VALUE!</v>
      </c>
      <c r="IA201" t="e">
        <f>Nodes!D1674+"'E4!)T."</f>
        <v>#VALUE!</v>
      </c>
      <c r="IB201" t="e">
        <f>Nodes!E1674+"'E4!)T/"</f>
        <v>#VALUE!</v>
      </c>
      <c r="IC201" t="e">
        <f>Nodes!F1674+"'E4!)T0"</f>
        <v>#VALUE!</v>
      </c>
      <c r="ID201" t="e">
        <f>Nodes!G1674+"'E4!)T1"</f>
        <v>#VALUE!</v>
      </c>
      <c r="IE201" t="e">
        <f>Nodes!H1674+"'E4!)T2"</f>
        <v>#VALUE!</v>
      </c>
      <c r="IF201" t="e">
        <f>Nodes!I1674+"'E4!)T3"</f>
        <v>#VALUE!</v>
      </c>
      <c r="IG201" t="e">
        <f>Nodes!J1674+"'E4!)T4"</f>
        <v>#VALUE!</v>
      </c>
      <c r="IH201" t="e">
        <f>Nodes!K1674+"'E4!)T5"</f>
        <v>#VALUE!</v>
      </c>
      <c r="II201" t="e">
        <f>Nodes!L1674+"'E4!)T6"</f>
        <v>#VALUE!</v>
      </c>
      <c r="IJ201" t="e">
        <f>Nodes!M1674+"'E4!)T7"</f>
        <v>#VALUE!</v>
      </c>
      <c r="IK201" t="e">
        <f>Nodes!N1674+"'E4!)T8"</f>
        <v>#VALUE!</v>
      </c>
      <c r="IL201" t="e">
        <f>Nodes!O1674+"'E4!)T9"</f>
        <v>#VALUE!</v>
      </c>
      <c r="IM201" t="e">
        <f>Nodes!P1674+"'E4!)T:"</f>
        <v>#VALUE!</v>
      </c>
      <c r="IN201" t="e">
        <f>Nodes!Q1674+"'E4!)T;"</f>
        <v>#VALUE!</v>
      </c>
      <c r="IO201" t="e">
        <f>Nodes!R1674+"'E4!)T&lt;"</f>
        <v>#VALUE!</v>
      </c>
      <c r="IP201" t="e">
        <f>Nodes!S1674+"'E4!)T="</f>
        <v>#VALUE!</v>
      </c>
      <c r="IQ201" t="e">
        <f>Nodes!T1674+"'E4!)T&gt;"</f>
        <v>#VALUE!</v>
      </c>
      <c r="IR201" t="e">
        <f>Nodes!U1674+"'E4!)T?"</f>
        <v>#VALUE!</v>
      </c>
      <c r="IS201" t="e">
        <f>Nodes!V1674+"'E4!)T@"</f>
        <v>#VALUE!</v>
      </c>
      <c r="IT201" t="e">
        <f>Nodes!W1674+"'E4!)TA"</f>
        <v>#VALUE!</v>
      </c>
      <c r="IU201" t="e">
        <f>Nodes!X1674+"'E4!)TB"</f>
        <v>#VALUE!</v>
      </c>
      <c r="IV201" t="e">
        <f>Nodes!Y1674+"'E4!)TC"</f>
        <v>#VALUE!</v>
      </c>
    </row>
    <row r="202" spans="6:256">
      <c r="F202" t="e">
        <f>Nodes!Z1674+"'E4!)TD"</f>
        <v>#VALUE!</v>
      </c>
      <c r="G202" t="e">
        <f>Nodes!AA1674+"'E4!)TE"</f>
        <v>#VALUE!</v>
      </c>
      <c r="H202" t="e">
        <f>Nodes!AB1674+"'E4!)TF"</f>
        <v>#VALUE!</v>
      </c>
      <c r="I202" t="e">
        <f>Nodes!AC1674+"'E4!)TG"</f>
        <v>#VALUE!</v>
      </c>
      <c r="J202" t="e">
        <f>Nodes!A1675+"'E4!)TH"</f>
        <v>#VALUE!</v>
      </c>
      <c r="K202" t="e">
        <f>Nodes!B1675+"'E4!)TI"</f>
        <v>#VALUE!</v>
      </c>
      <c r="L202" t="e">
        <f>Nodes!C1675+"'E4!)TJ"</f>
        <v>#VALUE!</v>
      </c>
      <c r="M202" t="e">
        <f>Nodes!D1675+"'E4!)TK"</f>
        <v>#VALUE!</v>
      </c>
      <c r="N202" t="e">
        <f>Nodes!E1675+"'E4!)TL"</f>
        <v>#VALUE!</v>
      </c>
      <c r="O202" t="e">
        <f>Nodes!F1675+"'E4!)TM"</f>
        <v>#VALUE!</v>
      </c>
      <c r="P202" t="e">
        <f>Nodes!G1675+"'E4!)TN"</f>
        <v>#VALUE!</v>
      </c>
      <c r="Q202" t="e">
        <f>Nodes!H1675+"'E4!)TO"</f>
        <v>#VALUE!</v>
      </c>
      <c r="R202" t="e">
        <f>Nodes!I1675+"'E4!)TP"</f>
        <v>#VALUE!</v>
      </c>
      <c r="S202" t="e">
        <f>Nodes!J1675+"'E4!)TQ"</f>
        <v>#VALUE!</v>
      </c>
      <c r="T202" t="e">
        <f>Nodes!K1675+"'E4!)TR"</f>
        <v>#VALUE!</v>
      </c>
      <c r="U202" t="e">
        <f>Nodes!L1675+"'E4!)TS"</f>
        <v>#VALUE!</v>
      </c>
      <c r="V202" t="e">
        <f>Nodes!M1675+"'E4!)TT"</f>
        <v>#VALUE!</v>
      </c>
      <c r="W202" t="e">
        <f>Nodes!N1675+"'E4!)TU"</f>
        <v>#VALUE!</v>
      </c>
      <c r="X202" t="e">
        <f>Nodes!O1675+"'E4!)TV"</f>
        <v>#VALUE!</v>
      </c>
      <c r="Y202" t="e">
        <f>Nodes!P1675+"'E4!)TW"</f>
        <v>#VALUE!</v>
      </c>
      <c r="Z202" t="e">
        <f>Nodes!Q1675+"'E4!)TX"</f>
        <v>#VALUE!</v>
      </c>
      <c r="AA202" t="e">
        <f>Nodes!R1675+"'E4!)TY"</f>
        <v>#VALUE!</v>
      </c>
      <c r="AB202" t="e">
        <f>Nodes!S1675+"'E4!)TZ"</f>
        <v>#VALUE!</v>
      </c>
      <c r="AC202" t="e">
        <f>Nodes!T1675+"'E4!)T["</f>
        <v>#VALUE!</v>
      </c>
      <c r="AD202" t="e">
        <f>Nodes!U1675+"'E4!)T\"</f>
        <v>#VALUE!</v>
      </c>
      <c r="AE202" t="e">
        <f>Nodes!V1675+"'E4!)T]"</f>
        <v>#VALUE!</v>
      </c>
      <c r="AF202" t="e">
        <f>Nodes!W1675+"'E4!)T^"</f>
        <v>#VALUE!</v>
      </c>
      <c r="AG202" t="e">
        <f>Nodes!X1675+"'E4!)T_"</f>
        <v>#VALUE!</v>
      </c>
      <c r="AH202" t="e">
        <f>Nodes!Y1675+"'E4!)T`"</f>
        <v>#VALUE!</v>
      </c>
      <c r="AI202" t="e">
        <f>Nodes!Z1675+"'E4!)Ta"</f>
        <v>#VALUE!</v>
      </c>
      <c r="AJ202" t="e">
        <f>Nodes!AA1675+"'E4!)Tb"</f>
        <v>#VALUE!</v>
      </c>
      <c r="AK202" t="e">
        <f>Nodes!AB1675+"'E4!)Tc"</f>
        <v>#VALUE!</v>
      </c>
      <c r="AL202" t="e">
        <f>Nodes!AC1675+"'E4!)Td"</f>
        <v>#VALUE!</v>
      </c>
      <c r="AM202" t="e">
        <f>Nodes!A1676+"'E4!)Te"</f>
        <v>#VALUE!</v>
      </c>
      <c r="AN202" t="e">
        <f>Nodes!B1676+"'E4!)Tf"</f>
        <v>#VALUE!</v>
      </c>
      <c r="AO202" t="e">
        <f>Nodes!C1676+"'E4!)Tg"</f>
        <v>#VALUE!</v>
      </c>
      <c r="AP202" t="e">
        <f>Nodes!D1676+"'E4!)Th"</f>
        <v>#VALUE!</v>
      </c>
      <c r="AQ202" t="e">
        <f>Nodes!E1676+"'E4!)Ti"</f>
        <v>#VALUE!</v>
      </c>
      <c r="AR202" t="e">
        <f>Nodes!F1676+"'E4!)Tj"</f>
        <v>#VALUE!</v>
      </c>
      <c r="AS202" t="e">
        <f>Nodes!G1676+"'E4!)Tk"</f>
        <v>#VALUE!</v>
      </c>
      <c r="AT202" t="e">
        <f>Nodes!H1676+"'E4!)Tl"</f>
        <v>#VALUE!</v>
      </c>
      <c r="AU202" t="e">
        <f>Nodes!I1676+"'E4!)Tm"</f>
        <v>#VALUE!</v>
      </c>
      <c r="AV202" t="e">
        <f>Nodes!J1676+"'E4!)Tn"</f>
        <v>#VALUE!</v>
      </c>
      <c r="AW202" t="e">
        <f>Nodes!K1676+"'E4!)To"</f>
        <v>#VALUE!</v>
      </c>
      <c r="AX202" t="e">
        <f>Nodes!L1676+"'E4!)Tp"</f>
        <v>#VALUE!</v>
      </c>
      <c r="AY202" t="e">
        <f>Nodes!M1676+"'E4!)Tq"</f>
        <v>#VALUE!</v>
      </c>
      <c r="AZ202" t="e">
        <f>Nodes!N1676+"'E4!)Tr"</f>
        <v>#VALUE!</v>
      </c>
      <c r="BA202" t="e">
        <f>Nodes!O1676+"'E4!)Ts"</f>
        <v>#VALUE!</v>
      </c>
      <c r="BB202" t="e">
        <f>Nodes!P1676+"'E4!)Tt"</f>
        <v>#VALUE!</v>
      </c>
      <c r="BC202" t="e">
        <f>Nodes!Q1676+"'E4!)Tu"</f>
        <v>#VALUE!</v>
      </c>
      <c r="BD202" t="e">
        <f>Nodes!R1676+"'E4!)Tv"</f>
        <v>#VALUE!</v>
      </c>
      <c r="BE202" t="e">
        <f>Nodes!S1676+"'E4!)Tw"</f>
        <v>#VALUE!</v>
      </c>
      <c r="BF202" t="e">
        <f>Nodes!T1676+"'E4!)Tx"</f>
        <v>#VALUE!</v>
      </c>
      <c r="BG202" t="e">
        <f>Nodes!U1676+"'E4!)Ty"</f>
        <v>#VALUE!</v>
      </c>
      <c r="BH202" t="e">
        <f>Nodes!V1676+"'E4!)Tz"</f>
        <v>#VALUE!</v>
      </c>
      <c r="BI202" t="e">
        <f>Nodes!W1676+"'E4!)T{"</f>
        <v>#VALUE!</v>
      </c>
      <c r="BJ202" t="e">
        <f>Nodes!X1676+"'E4!)T|"</f>
        <v>#VALUE!</v>
      </c>
      <c r="BK202" t="e">
        <f>Nodes!Y1676+"'E4!)T}"</f>
        <v>#VALUE!</v>
      </c>
      <c r="BL202" t="e">
        <f>Nodes!Z1676+"'E4!)T~"</f>
        <v>#VALUE!</v>
      </c>
      <c r="BM202" t="e">
        <f>Nodes!AA1676+"'E4!)U#"</f>
        <v>#VALUE!</v>
      </c>
      <c r="BN202" t="e">
        <f>Nodes!AB1676+"'E4!)U$"</f>
        <v>#VALUE!</v>
      </c>
      <c r="BO202" t="e">
        <f>Nodes!AC1676+"'E4!)U%"</f>
        <v>#VALUE!</v>
      </c>
      <c r="BP202" t="e">
        <f>Nodes!A1677+"'E4!)U&amp;"</f>
        <v>#VALUE!</v>
      </c>
      <c r="BQ202" t="e">
        <f>Nodes!B1677+"'E4!)U'"</f>
        <v>#VALUE!</v>
      </c>
      <c r="BR202" t="e">
        <f>Nodes!C1677+"'E4!)U("</f>
        <v>#VALUE!</v>
      </c>
      <c r="BS202" t="e">
        <f>Nodes!D1677+"'E4!)U)"</f>
        <v>#VALUE!</v>
      </c>
      <c r="BT202" t="e">
        <f>Nodes!E1677+"'E4!)U."</f>
        <v>#VALUE!</v>
      </c>
      <c r="BU202" t="e">
        <f>Nodes!F1677+"'E4!)U/"</f>
        <v>#VALUE!</v>
      </c>
      <c r="BV202" t="e">
        <f>Nodes!G1677+"'E4!)U0"</f>
        <v>#VALUE!</v>
      </c>
      <c r="BW202" t="e">
        <f>Nodes!H1677+"'E4!)U1"</f>
        <v>#VALUE!</v>
      </c>
      <c r="BX202" t="e">
        <f>Nodes!I1677+"'E4!)U2"</f>
        <v>#VALUE!</v>
      </c>
      <c r="BY202" t="e">
        <f>Nodes!J1677+"'E4!)U3"</f>
        <v>#VALUE!</v>
      </c>
      <c r="BZ202" t="e">
        <f>Nodes!K1677+"'E4!)U4"</f>
        <v>#VALUE!</v>
      </c>
      <c r="CA202" t="e">
        <f>Nodes!L1677+"'E4!)U5"</f>
        <v>#VALUE!</v>
      </c>
      <c r="CB202" t="e">
        <f>Nodes!M1677+"'E4!)U6"</f>
        <v>#VALUE!</v>
      </c>
      <c r="CC202" t="e">
        <f>Nodes!N1677+"'E4!)U7"</f>
        <v>#VALUE!</v>
      </c>
      <c r="CD202" t="e">
        <f>Nodes!O1677+"'E4!)U8"</f>
        <v>#VALUE!</v>
      </c>
      <c r="CE202" t="e">
        <f>Nodes!P1677+"'E4!)U9"</f>
        <v>#VALUE!</v>
      </c>
      <c r="CF202" t="e">
        <f>Nodes!Q1677+"'E4!)U:"</f>
        <v>#VALUE!</v>
      </c>
      <c r="CG202" t="e">
        <f>Nodes!R1677+"'E4!)U;"</f>
        <v>#VALUE!</v>
      </c>
      <c r="CH202" t="e">
        <f>Nodes!S1677+"'E4!)U&lt;"</f>
        <v>#VALUE!</v>
      </c>
      <c r="CI202" t="e">
        <f>Nodes!T1677+"'E4!)U="</f>
        <v>#VALUE!</v>
      </c>
      <c r="CJ202" t="e">
        <f>Nodes!U1677+"'E4!)U&gt;"</f>
        <v>#VALUE!</v>
      </c>
      <c r="CK202" t="e">
        <f>Nodes!V1677+"'E4!)U?"</f>
        <v>#VALUE!</v>
      </c>
      <c r="CL202" t="e">
        <f>Nodes!W1677+"'E4!)U@"</f>
        <v>#VALUE!</v>
      </c>
      <c r="CM202" t="e">
        <f>Nodes!X1677+"'E4!)UA"</f>
        <v>#VALUE!</v>
      </c>
      <c r="CN202" t="e">
        <f>Nodes!Y1677+"'E4!)UB"</f>
        <v>#VALUE!</v>
      </c>
      <c r="CO202" t="e">
        <f>Nodes!Z1677+"'E4!)UC"</f>
        <v>#VALUE!</v>
      </c>
      <c r="CP202" t="e">
        <f>Nodes!AA1677+"'E4!)UD"</f>
        <v>#VALUE!</v>
      </c>
      <c r="CQ202" t="e">
        <f>Nodes!AB1677+"'E4!)UE"</f>
        <v>#VALUE!</v>
      </c>
      <c r="CR202" t="e">
        <f>Nodes!AC1677+"'E4!)UF"</f>
        <v>#VALUE!</v>
      </c>
      <c r="CS202" t="e">
        <f>Nodes!A1678+"'E4!)UG"</f>
        <v>#VALUE!</v>
      </c>
      <c r="CT202" t="e">
        <f>Nodes!B1678+"'E4!)UH"</f>
        <v>#VALUE!</v>
      </c>
      <c r="CU202" t="e">
        <f>Nodes!C1678+"'E4!)UI"</f>
        <v>#VALUE!</v>
      </c>
      <c r="CV202" t="e">
        <f>Nodes!D1678+"'E4!)UJ"</f>
        <v>#VALUE!</v>
      </c>
      <c r="CW202" t="e">
        <f>Nodes!E1678+"'E4!)UK"</f>
        <v>#VALUE!</v>
      </c>
      <c r="CX202" t="e">
        <f>Nodes!F1678+"'E4!)UL"</f>
        <v>#VALUE!</v>
      </c>
      <c r="CY202" t="e">
        <f>Nodes!G1678+"'E4!)UM"</f>
        <v>#VALUE!</v>
      </c>
      <c r="CZ202" t="e">
        <f>Nodes!H1678+"'E4!)UN"</f>
        <v>#VALUE!</v>
      </c>
      <c r="DA202" t="e">
        <f>Nodes!I1678+"'E4!)UO"</f>
        <v>#VALUE!</v>
      </c>
      <c r="DB202" t="e">
        <f>Nodes!J1678+"'E4!)UP"</f>
        <v>#VALUE!</v>
      </c>
      <c r="DC202" t="e">
        <f>Nodes!K1678+"'E4!)UQ"</f>
        <v>#VALUE!</v>
      </c>
      <c r="DD202" t="e">
        <f>Nodes!L1678+"'E4!)UR"</f>
        <v>#VALUE!</v>
      </c>
      <c r="DE202" t="e">
        <f>Nodes!M1678+"'E4!)US"</f>
        <v>#VALUE!</v>
      </c>
      <c r="DF202" t="e">
        <f>Nodes!N1678+"'E4!)UT"</f>
        <v>#VALUE!</v>
      </c>
      <c r="DG202" t="e">
        <f>Nodes!O1678+"'E4!)UU"</f>
        <v>#VALUE!</v>
      </c>
      <c r="DH202" t="e">
        <f>Nodes!P1678+"'E4!)UV"</f>
        <v>#VALUE!</v>
      </c>
      <c r="DI202" t="e">
        <f>Nodes!Q1678+"'E4!)UW"</f>
        <v>#VALUE!</v>
      </c>
      <c r="DJ202" t="e">
        <f>Nodes!R1678+"'E4!)UX"</f>
        <v>#VALUE!</v>
      </c>
      <c r="DK202" t="e">
        <f>Nodes!S1678+"'E4!)UY"</f>
        <v>#VALUE!</v>
      </c>
      <c r="DL202" t="e">
        <f>Nodes!T1678+"'E4!)UZ"</f>
        <v>#VALUE!</v>
      </c>
      <c r="DM202" t="e">
        <f>Nodes!U1678+"'E4!)U["</f>
        <v>#VALUE!</v>
      </c>
      <c r="DN202" t="e">
        <f>Nodes!V1678+"'E4!)U\"</f>
        <v>#VALUE!</v>
      </c>
      <c r="DO202" t="e">
        <f>Nodes!W1678+"'E4!)U]"</f>
        <v>#VALUE!</v>
      </c>
      <c r="DP202" t="e">
        <f>Nodes!X1678+"'E4!)U^"</f>
        <v>#VALUE!</v>
      </c>
      <c r="DQ202" t="e">
        <f>Nodes!Y1678+"'E4!)U_"</f>
        <v>#VALUE!</v>
      </c>
      <c r="DR202" t="e">
        <f>Nodes!Z1678+"'E4!)U`"</f>
        <v>#VALUE!</v>
      </c>
      <c r="DS202" t="e">
        <f>Nodes!AA1678+"'E4!)Ua"</f>
        <v>#VALUE!</v>
      </c>
      <c r="DT202" t="e">
        <f>Nodes!AB1678+"'E4!)Ub"</f>
        <v>#VALUE!</v>
      </c>
      <c r="DU202" t="e">
        <f>Nodes!AC1678+"'E4!)Uc"</f>
        <v>#VALUE!</v>
      </c>
      <c r="DV202" t="e">
        <f>Nodes!A1679+"'E4!)Ud"</f>
        <v>#VALUE!</v>
      </c>
      <c r="DW202" t="e">
        <f>Nodes!B1679+"'E4!)Ue"</f>
        <v>#VALUE!</v>
      </c>
      <c r="DX202" t="e">
        <f>Nodes!C1679+"'E4!)Uf"</f>
        <v>#VALUE!</v>
      </c>
      <c r="DY202" t="e">
        <f>Nodes!D1679+"'E4!)Ug"</f>
        <v>#VALUE!</v>
      </c>
      <c r="DZ202" t="e">
        <f>Nodes!E1679+"'E4!)Uh"</f>
        <v>#VALUE!</v>
      </c>
      <c r="EA202" t="e">
        <f>Nodes!F1679+"'E4!)Ui"</f>
        <v>#VALUE!</v>
      </c>
      <c r="EB202" t="e">
        <f>Nodes!G1679+"'E4!)Uj"</f>
        <v>#VALUE!</v>
      </c>
      <c r="EC202" t="e">
        <f>Nodes!H1679+"'E4!)Uk"</f>
        <v>#VALUE!</v>
      </c>
      <c r="ED202" t="e">
        <f>Nodes!I1679+"'E4!)Ul"</f>
        <v>#VALUE!</v>
      </c>
      <c r="EE202" t="e">
        <f>Nodes!J1679+"'E4!)Um"</f>
        <v>#VALUE!</v>
      </c>
      <c r="EF202" t="e">
        <f>Nodes!K1679+"'E4!)Un"</f>
        <v>#VALUE!</v>
      </c>
      <c r="EG202" t="e">
        <f>Nodes!L1679+"'E4!)Uo"</f>
        <v>#VALUE!</v>
      </c>
      <c r="EH202" t="e">
        <f>Nodes!M1679+"'E4!)Up"</f>
        <v>#VALUE!</v>
      </c>
      <c r="EI202" t="e">
        <f>Nodes!N1679+"'E4!)Uq"</f>
        <v>#VALUE!</v>
      </c>
      <c r="EJ202" t="e">
        <f>Nodes!O1679+"'E4!)Ur"</f>
        <v>#VALUE!</v>
      </c>
      <c r="EK202" t="e">
        <f>Nodes!P1679+"'E4!)Us"</f>
        <v>#VALUE!</v>
      </c>
      <c r="EL202" t="e">
        <f>Nodes!Q1679+"'E4!)Ut"</f>
        <v>#VALUE!</v>
      </c>
      <c r="EM202" t="e">
        <f>Nodes!R1679+"'E4!)Uu"</f>
        <v>#VALUE!</v>
      </c>
      <c r="EN202" t="e">
        <f>Nodes!S1679+"'E4!)Uv"</f>
        <v>#VALUE!</v>
      </c>
      <c r="EO202" t="e">
        <f>Nodes!T1679+"'E4!)Uw"</f>
        <v>#VALUE!</v>
      </c>
      <c r="EP202" t="e">
        <f>Nodes!U1679+"'E4!)Ux"</f>
        <v>#VALUE!</v>
      </c>
      <c r="EQ202" t="e">
        <f>Nodes!V1679+"'E4!)Uy"</f>
        <v>#VALUE!</v>
      </c>
      <c r="ER202" t="e">
        <f>Nodes!W1679+"'E4!)Uz"</f>
        <v>#VALUE!</v>
      </c>
      <c r="ES202" t="e">
        <f>Nodes!X1679+"'E4!)U{"</f>
        <v>#VALUE!</v>
      </c>
      <c r="ET202" t="e">
        <f>Nodes!Y1679+"'E4!)U|"</f>
        <v>#VALUE!</v>
      </c>
      <c r="EU202" t="e">
        <f>Nodes!Z1679+"'E4!)U}"</f>
        <v>#VALUE!</v>
      </c>
      <c r="EV202" t="e">
        <f>Nodes!AA1679+"'E4!)U~"</f>
        <v>#VALUE!</v>
      </c>
      <c r="EW202" t="e">
        <f>Nodes!AB1679+"'E4!)V#"</f>
        <v>#VALUE!</v>
      </c>
      <c r="EX202" t="e">
        <f>Nodes!AC1679+"'E4!)V$"</f>
        <v>#VALUE!</v>
      </c>
      <c r="EY202" t="e">
        <f>Nodes!A1680+"'E4!)V%"</f>
        <v>#VALUE!</v>
      </c>
      <c r="EZ202" t="e">
        <f>Nodes!B1680+"'E4!)V&amp;"</f>
        <v>#VALUE!</v>
      </c>
      <c r="FA202" t="e">
        <f>Nodes!C1680+"'E4!)V'"</f>
        <v>#VALUE!</v>
      </c>
      <c r="FB202" t="e">
        <f>Nodes!D1680+"'E4!)V("</f>
        <v>#VALUE!</v>
      </c>
      <c r="FC202" t="e">
        <f>Nodes!E1680+"'E4!)V)"</f>
        <v>#VALUE!</v>
      </c>
      <c r="FD202" t="e">
        <f>Nodes!F1680+"'E4!)V."</f>
        <v>#VALUE!</v>
      </c>
      <c r="FE202" t="e">
        <f>Nodes!G1680+"'E4!)V/"</f>
        <v>#VALUE!</v>
      </c>
      <c r="FF202" t="e">
        <f>Nodes!H1680+"'E4!)V0"</f>
        <v>#VALUE!</v>
      </c>
      <c r="FG202" t="e">
        <f>Nodes!I1680+"'E4!)V1"</f>
        <v>#VALUE!</v>
      </c>
      <c r="FH202" t="e">
        <f>Nodes!J1680+"'E4!)V2"</f>
        <v>#VALUE!</v>
      </c>
      <c r="FI202" t="e">
        <f>Nodes!K1680+"'E4!)V3"</f>
        <v>#VALUE!</v>
      </c>
      <c r="FJ202" t="e">
        <f>Nodes!L1680+"'E4!)V4"</f>
        <v>#VALUE!</v>
      </c>
      <c r="FK202" t="e">
        <f>Nodes!M1680+"'E4!)V5"</f>
        <v>#VALUE!</v>
      </c>
      <c r="FL202" t="e">
        <f>Nodes!N1680+"'E4!)V6"</f>
        <v>#VALUE!</v>
      </c>
      <c r="FM202" t="e">
        <f>Nodes!O1680+"'E4!)V7"</f>
        <v>#VALUE!</v>
      </c>
      <c r="FN202" t="e">
        <f>Nodes!P1680+"'E4!)V8"</f>
        <v>#VALUE!</v>
      </c>
      <c r="FO202" t="e">
        <f>Nodes!Q1680+"'E4!)V9"</f>
        <v>#VALUE!</v>
      </c>
      <c r="FP202" t="e">
        <f>Nodes!R1680+"'E4!)V:"</f>
        <v>#VALUE!</v>
      </c>
      <c r="FQ202" t="e">
        <f>Nodes!S1680+"'E4!)V;"</f>
        <v>#VALUE!</v>
      </c>
      <c r="FR202" t="e">
        <f>Nodes!T1680+"'E4!)V&lt;"</f>
        <v>#VALUE!</v>
      </c>
      <c r="FS202" t="e">
        <f>Nodes!U1680+"'E4!)V="</f>
        <v>#VALUE!</v>
      </c>
      <c r="FT202" t="e">
        <f>Nodes!V1680+"'E4!)V&gt;"</f>
        <v>#VALUE!</v>
      </c>
      <c r="FU202" t="e">
        <f>Nodes!W1680+"'E4!)V?"</f>
        <v>#VALUE!</v>
      </c>
      <c r="FV202" t="e">
        <f>Nodes!X1680+"'E4!)V@"</f>
        <v>#VALUE!</v>
      </c>
      <c r="FW202" t="e">
        <f>Nodes!Y1680+"'E4!)VA"</f>
        <v>#VALUE!</v>
      </c>
      <c r="FX202" t="e">
        <f>Nodes!Z1680+"'E4!)VB"</f>
        <v>#VALUE!</v>
      </c>
      <c r="FY202" t="e">
        <f>Nodes!AA1680+"'E4!)VC"</f>
        <v>#VALUE!</v>
      </c>
      <c r="FZ202" t="e">
        <f>Nodes!AB1680+"'E4!)VD"</f>
        <v>#VALUE!</v>
      </c>
      <c r="GA202" t="e">
        <f>Nodes!AC1680+"'E4!)VE"</f>
        <v>#VALUE!</v>
      </c>
      <c r="GB202" t="e">
        <f>Nodes!A1681+"'E4!)VF"</f>
        <v>#VALUE!</v>
      </c>
      <c r="GC202" t="e">
        <f>Nodes!B1681+"'E4!)VG"</f>
        <v>#VALUE!</v>
      </c>
      <c r="GD202" t="e">
        <f>Nodes!C1681+"'E4!)VH"</f>
        <v>#VALUE!</v>
      </c>
      <c r="GE202" t="e">
        <f>Nodes!D1681+"'E4!)VI"</f>
        <v>#VALUE!</v>
      </c>
      <c r="GF202" t="e">
        <f>Nodes!E1681+"'E4!)VJ"</f>
        <v>#VALUE!</v>
      </c>
      <c r="GG202" t="e">
        <f>Nodes!F1681+"'E4!)VK"</f>
        <v>#VALUE!</v>
      </c>
      <c r="GH202" t="e">
        <f>Nodes!G1681+"'E4!)VL"</f>
        <v>#VALUE!</v>
      </c>
      <c r="GI202" t="e">
        <f>Nodes!H1681+"'E4!)VM"</f>
        <v>#VALUE!</v>
      </c>
      <c r="GJ202" t="e">
        <f>Nodes!I1681+"'E4!)VN"</f>
        <v>#VALUE!</v>
      </c>
      <c r="GK202" t="e">
        <f>Nodes!J1681+"'E4!)VO"</f>
        <v>#VALUE!</v>
      </c>
      <c r="GL202" t="e">
        <f>Nodes!K1681+"'E4!)VP"</f>
        <v>#VALUE!</v>
      </c>
      <c r="GM202" t="e">
        <f>Nodes!L1681+"'E4!)VQ"</f>
        <v>#VALUE!</v>
      </c>
      <c r="GN202" t="e">
        <f>Nodes!M1681+"'E4!)VR"</f>
        <v>#VALUE!</v>
      </c>
      <c r="GO202" t="e">
        <f>Nodes!N1681+"'E4!)VS"</f>
        <v>#VALUE!</v>
      </c>
      <c r="GP202" t="e">
        <f>Nodes!O1681+"'E4!)VT"</f>
        <v>#VALUE!</v>
      </c>
      <c r="GQ202" t="e">
        <f>Nodes!P1681+"'E4!)VU"</f>
        <v>#VALUE!</v>
      </c>
      <c r="GR202" t="e">
        <f>Nodes!Q1681+"'E4!)VV"</f>
        <v>#VALUE!</v>
      </c>
      <c r="GS202" t="e">
        <f>Nodes!R1681+"'E4!)VW"</f>
        <v>#VALUE!</v>
      </c>
      <c r="GT202" t="e">
        <f>Nodes!S1681+"'E4!)VX"</f>
        <v>#VALUE!</v>
      </c>
      <c r="GU202" t="e">
        <f>Nodes!T1681+"'E4!)VY"</f>
        <v>#VALUE!</v>
      </c>
      <c r="GV202" t="e">
        <f>Nodes!U1681+"'E4!)VZ"</f>
        <v>#VALUE!</v>
      </c>
      <c r="GW202" t="e">
        <f>Nodes!V1681+"'E4!)V["</f>
        <v>#VALUE!</v>
      </c>
      <c r="GX202" t="e">
        <f>Nodes!W1681+"'E4!)V\"</f>
        <v>#VALUE!</v>
      </c>
      <c r="GY202" t="e">
        <f>Nodes!X1681+"'E4!)V]"</f>
        <v>#VALUE!</v>
      </c>
      <c r="GZ202" t="e">
        <f>Nodes!Y1681+"'E4!)V^"</f>
        <v>#VALUE!</v>
      </c>
      <c r="HA202" t="e">
        <f>Nodes!Z1681+"'E4!)V_"</f>
        <v>#VALUE!</v>
      </c>
      <c r="HB202" t="e">
        <f>Nodes!AA1681+"'E4!)V`"</f>
        <v>#VALUE!</v>
      </c>
      <c r="HC202" t="e">
        <f>Nodes!AB1681+"'E4!)Va"</f>
        <v>#VALUE!</v>
      </c>
      <c r="HD202" t="e">
        <f>Nodes!AC1681+"'E4!)Vb"</f>
        <v>#VALUE!</v>
      </c>
      <c r="HE202" t="e">
        <f>Nodes!A1682+"'E4!)Vc"</f>
        <v>#VALUE!</v>
      </c>
      <c r="HF202" t="e">
        <f>Nodes!B1682+"'E4!)Vd"</f>
        <v>#VALUE!</v>
      </c>
      <c r="HG202" t="e">
        <f>Nodes!C1682+"'E4!)Ve"</f>
        <v>#VALUE!</v>
      </c>
      <c r="HH202" t="e">
        <f>Nodes!D1682+"'E4!)Vf"</f>
        <v>#VALUE!</v>
      </c>
      <c r="HI202" t="e">
        <f>Nodes!E1682+"'E4!)Vg"</f>
        <v>#VALUE!</v>
      </c>
      <c r="HJ202" t="e">
        <f>Nodes!F1682+"'E4!)Vh"</f>
        <v>#VALUE!</v>
      </c>
      <c r="HK202" t="e">
        <f>Nodes!G1682+"'E4!)Vi"</f>
        <v>#VALUE!</v>
      </c>
      <c r="HL202" t="e">
        <f>Nodes!H1682+"'E4!)Vj"</f>
        <v>#VALUE!</v>
      </c>
      <c r="HM202" t="e">
        <f>Nodes!I1682+"'E4!)Vk"</f>
        <v>#VALUE!</v>
      </c>
      <c r="HN202" t="e">
        <f>Nodes!J1682+"'E4!)Vl"</f>
        <v>#VALUE!</v>
      </c>
      <c r="HO202" t="e">
        <f>Nodes!K1682+"'E4!)Vm"</f>
        <v>#VALUE!</v>
      </c>
      <c r="HP202" t="e">
        <f>Nodes!L1682+"'E4!)Vn"</f>
        <v>#VALUE!</v>
      </c>
      <c r="HQ202" t="e">
        <f>Nodes!M1682+"'E4!)Vo"</f>
        <v>#VALUE!</v>
      </c>
      <c r="HR202" t="e">
        <f>Nodes!N1682+"'E4!)Vp"</f>
        <v>#VALUE!</v>
      </c>
      <c r="HS202" t="e">
        <f>Nodes!O1682+"'E4!)Vq"</f>
        <v>#VALUE!</v>
      </c>
      <c r="HT202" t="e">
        <f>Nodes!P1682+"'E4!)Vr"</f>
        <v>#VALUE!</v>
      </c>
      <c r="HU202" t="e">
        <f>Nodes!Q1682+"'E4!)Vs"</f>
        <v>#VALUE!</v>
      </c>
      <c r="HV202" t="e">
        <f>Nodes!R1682+"'E4!)Vt"</f>
        <v>#VALUE!</v>
      </c>
      <c r="HW202" t="e">
        <f>Nodes!S1682+"'E4!)Vu"</f>
        <v>#VALUE!</v>
      </c>
      <c r="HX202" t="e">
        <f>Nodes!T1682+"'E4!)Vv"</f>
        <v>#VALUE!</v>
      </c>
      <c r="HY202" t="e">
        <f>Nodes!U1682+"'E4!)Vw"</f>
        <v>#VALUE!</v>
      </c>
      <c r="HZ202" t="e">
        <f>Nodes!V1682+"'E4!)Vx"</f>
        <v>#VALUE!</v>
      </c>
      <c r="IA202" t="e">
        <f>Nodes!W1682+"'E4!)Vy"</f>
        <v>#VALUE!</v>
      </c>
      <c r="IB202" t="e">
        <f>Nodes!X1682+"'E4!)Vz"</f>
        <v>#VALUE!</v>
      </c>
      <c r="IC202" t="e">
        <f>Nodes!Y1682+"'E4!)V{"</f>
        <v>#VALUE!</v>
      </c>
      <c r="ID202" t="e">
        <f>Nodes!Z1682+"'E4!)V|"</f>
        <v>#VALUE!</v>
      </c>
      <c r="IE202" t="e">
        <f>Nodes!AA1682+"'E4!)V}"</f>
        <v>#VALUE!</v>
      </c>
      <c r="IF202" t="e">
        <f>Nodes!AB1682+"'E4!)V~"</f>
        <v>#VALUE!</v>
      </c>
      <c r="IG202" t="e">
        <f>Nodes!AC1682+"'E4!)W#"</f>
        <v>#VALUE!</v>
      </c>
      <c r="IH202" t="e">
        <f>Nodes!A1683+"'E4!)W$"</f>
        <v>#VALUE!</v>
      </c>
      <c r="II202" t="e">
        <f>Nodes!B1683+"'E4!)W%"</f>
        <v>#VALUE!</v>
      </c>
      <c r="IJ202" t="e">
        <f>Nodes!C1683+"'E4!)W&amp;"</f>
        <v>#VALUE!</v>
      </c>
      <c r="IK202" t="e">
        <f>Nodes!D1683+"'E4!)W'"</f>
        <v>#VALUE!</v>
      </c>
      <c r="IL202" t="e">
        <f>Nodes!E1683+"'E4!)W("</f>
        <v>#VALUE!</v>
      </c>
      <c r="IM202" t="e">
        <f>Nodes!F1683+"'E4!)W)"</f>
        <v>#VALUE!</v>
      </c>
      <c r="IN202" t="e">
        <f>Nodes!G1683+"'E4!)W."</f>
        <v>#VALUE!</v>
      </c>
      <c r="IO202" t="e">
        <f>Nodes!H1683+"'E4!)W/"</f>
        <v>#VALUE!</v>
      </c>
      <c r="IP202" t="e">
        <f>Nodes!I1683+"'E4!)W0"</f>
        <v>#VALUE!</v>
      </c>
      <c r="IQ202" t="e">
        <f>Nodes!J1683+"'E4!)W1"</f>
        <v>#VALUE!</v>
      </c>
      <c r="IR202" t="e">
        <f>Nodes!K1683+"'E4!)W2"</f>
        <v>#VALUE!</v>
      </c>
      <c r="IS202" t="e">
        <f>Nodes!L1683+"'E4!)W3"</f>
        <v>#VALUE!</v>
      </c>
      <c r="IT202" t="e">
        <f>Nodes!M1683+"'E4!)W4"</f>
        <v>#VALUE!</v>
      </c>
      <c r="IU202" t="e">
        <f>Nodes!N1683+"'E4!)W5"</f>
        <v>#VALUE!</v>
      </c>
      <c r="IV202" t="e">
        <f>Nodes!O1683+"'E4!)W6"</f>
        <v>#VALUE!</v>
      </c>
    </row>
    <row r="203" spans="6:256">
      <c r="F203" t="e">
        <f>Nodes!P1683+"'E4!)W7"</f>
        <v>#VALUE!</v>
      </c>
      <c r="G203" t="e">
        <f>Nodes!Q1683+"'E4!)W8"</f>
        <v>#VALUE!</v>
      </c>
      <c r="H203" t="e">
        <f>Nodes!R1683+"'E4!)W9"</f>
        <v>#VALUE!</v>
      </c>
      <c r="I203" t="e">
        <f>Nodes!S1683+"'E4!)W:"</f>
        <v>#VALUE!</v>
      </c>
      <c r="J203" t="e">
        <f>Nodes!T1683+"'E4!)W;"</f>
        <v>#VALUE!</v>
      </c>
      <c r="K203" t="e">
        <f>Nodes!U1683+"'E4!)W&lt;"</f>
        <v>#VALUE!</v>
      </c>
      <c r="L203" t="e">
        <f>Nodes!V1683+"'E4!)W="</f>
        <v>#VALUE!</v>
      </c>
      <c r="M203" t="e">
        <f>Nodes!W1683+"'E4!)W&gt;"</f>
        <v>#VALUE!</v>
      </c>
      <c r="N203" t="e">
        <f>Nodes!X1683+"'E4!)W?"</f>
        <v>#VALUE!</v>
      </c>
      <c r="O203" t="e">
        <f>Nodes!Y1683+"'E4!)W@"</f>
        <v>#VALUE!</v>
      </c>
      <c r="P203" t="e">
        <f>Nodes!Z1683+"'E4!)WA"</f>
        <v>#VALUE!</v>
      </c>
      <c r="Q203" t="e">
        <f>Nodes!AA1683+"'E4!)WB"</f>
        <v>#VALUE!</v>
      </c>
      <c r="R203" t="e">
        <f>Nodes!AB1683+"'E4!)WC"</f>
        <v>#VALUE!</v>
      </c>
      <c r="S203" t="e">
        <f>Nodes!AC1683+"'E4!)WD"</f>
        <v>#VALUE!</v>
      </c>
      <c r="T203" t="e">
        <f>Nodes!A1684+"'E4!)WE"</f>
        <v>#VALUE!</v>
      </c>
      <c r="U203" t="e">
        <f>Nodes!B1684+"'E4!)WF"</f>
        <v>#VALUE!</v>
      </c>
      <c r="V203" t="e">
        <f>Nodes!C1684+"'E4!)WG"</f>
        <v>#VALUE!</v>
      </c>
      <c r="W203" t="e">
        <f>Nodes!D1684+"'E4!)WH"</f>
        <v>#VALUE!</v>
      </c>
      <c r="X203" t="e">
        <f>Nodes!E1684+"'E4!)WI"</f>
        <v>#VALUE!</v>
      </c>
      <c r="Y203" t="e">
        <f>Nodes!F1684+"'E4!)WJ"</f>
        <v>#VALUE!</v>
      </c>
      <c r="Z203" t="e">
        <f>Nodes!G1684+"'E4!)WK"</f>
        <v>#VALUE!</v>
      </c>
      <c r="AA203" t="e">
        <f>Nodes!H1684+"'E4!)WL"</f>
        <v>#VALUE!</v>
      </c>
      <c r="AB203" t="e">
        <f>Nodes!I1684+"'E4!)WM"</f>
        <v>#VALUE!</v>
      </c>
      <c r="AC203" t="e">
        <f>Nodes!J1684+"'E4!)WN"</f>
        <v>#VALUE!</v>
      </c>
      <c r="AD203" t="e">
        <f>Nodes!K1684+"'E4!)WO"</f>
        <v>#VALUE!</v>
      </c>
      <c r="AE203" t="e">
        <f>Nodes!L1684+"'E4!)WP"</f>
        <v>#VALUE!</v>
      </c>
      <c r="AF203" t="e">
        <f>Nodes!M1684+"'E4!)WQ"</f>
        <v>#VALUE!</v>
      </c>
      <c r="AG203" t="e">
        <f>Nodes!N1684+"'E4!)WR"</f>
        <v>#VALUE!</v>
      </c>
      <c r="AH203" t="e">
        <f>Nodes!O1684+"'E4!)WS"</f>
        <v>#VALUE!</v>
      </c>
      <c r="AI203" t="e">
        <f>Nodes!P1684+"'E4!)WT"</f>
        <v>#VALUE!</v>
      </c>
      <c r="AJ203" t="e">
        <f>Nodes!Q1684+"'E4!)WU"</f>
        <v>#VALUE!</v>
      </c>
      <c r="AK203" t="e">
        <f>Nodes!R1684+"'E4!)WV"</f>
        <v>#VALUE!</v>
      </c>
      <c r="AL203" t="e">
        <f>Nodes!S1684+"'E4!)WW"</f>
        <v>#VALUE!</v>
      </c>
      <c r="AM203" t="e">
        <f>Nodes!T1684+"'E4!)WX"</f>
        <v>#VALUE!</v>
      </c>
      <c r="AN203" t="e">
        <f>Nodes!U1684+"'E4!)WY"</f>
        <v>#VALUE!</v>
      </c>
      <c r="AO203" t="e">
        <f>Nodes!V1684+"'E4!)WZ"</f>
        <v>#VALUE!</v>
      </c>
      <c r="AP203" t="e">
        <f>Nodes!W1684+"'E4!)W["</f>
        <v>#VALUE!</v>
      </c>
      <c r="AQ203" t="e">
        <f>Nodes!X1684+"'E4!)W\"</f>
        <v>#VALUE!</v>
      </c>
      <c r="AR203" t="e">
        <f>Nodes!Y1684+"'E4!)W]"</f>
        <v>#VALUE!</v>
      </c>
      <c r="AS203" t="e">
        <f>Nodes!Z1684+"'E4!)W^"</f>
        <v>#VALUE!</v>
      </c>
      <c r="AT203" t="e">
        <f>Nodes!AA1684+"'E4!)W_"</f>
        <v>#VALUE!</v>
      </c>
      <c r="AU203" t="e">
        <f>Nodes!AB1684+"'E4!)W`"</f>
        <v>#VALUE!</v>
      </c>
      <c r="AV203" t="e">
        <f>Nodes!AC1684+"'E4!)Wa"</f>
        <v>#VALUE!</v>
      </c>
      <c r="AW203" t="e">
        <f>Nodes!A1685+"'E4!)Wb"</f>
        <v>#VALUE!</v>
      </c>
      <c r="AX203" t="e">
        <f>Nodes!B1685+"'E4!)Wc"</f>
        <v>#VALUE!</v>
      </c>
      <c r="AY203" t="e">
        <f>Nodes!C1685+"'E4!)Wd"</f>
        <v>#VALUE!</v>
      </c>
      <c r="AZ203" t="e">
        <f>Nodes!D1685+"'E4!)We"</f>
        <v>#VALUE!</v>
      </c>
      <c r="BA203" t="e">
        <f>Nodes!E1685+"'E4!)Wf"</f>
        <v>#VALUE!</v>
      </c>
      <c r="BB203" t="e">
        <f>Nodes!F1685+"'E4!)Wg"</f>
        <v>#VALUE!</v>
      </c>
      <c r="BC203" t="e">
        <f>Nodes!G1685+"'E4!)Wh"</f>
        <v>#VALUE!</v>
      </c>
      <c r="BD203" t="e">
        <f>Nodes!H1685+"'E4!)Wi"</f>
        <v>#VALUE!</v>
      </c>
      <c r="BE203" t="e">
        <f>Nodes!I1685+"'E4!)Wj"</f>
        <v>#VALUE!</v>
      </c>
      <c r="BF203" t="e">
        <f>Nodes!J1685+"'E4!)Wk"</f>
        <v>#VALUE!</v>
      </c>
      <c r="BG203" t="e">
        <f>Nodes!K1685+"'E4!)Wl"</f>
        <v>#VALUE!</v>
      </c>
      <c r="BH203" t="e">
        <f>Nodes!L1685+"'E4!)Wm"</f>
        <v>#VALUE!</v>
      </c>
      <c r="BI203" t="e">
        <f>Nodes!M1685+"'E4!)Wn"</f>
        <v>#VALUE!</v>
      </c>
      <c r="BJ203" t="e">
        <f>Nodes!N1685+"'E4!)Wo"</f>
        <v>#VALUE!</v>
      </c>
      <c r="BK203" t="e">
        <f>Nodes!O1685+"'E4!)Wp"</f>
        <v>#VALUE!</v>
      </c>
      <c r="BL203" t="e">
        <f>Nodes!P1685+"'E4!)Wq"</f>
        <v>#VALUE!</v>
      </c>
      <c r="BM203" t="e">
        <f>Nodes!Q1685+"'E4!)Wr"</f>
        <v>#VALUE!</v>
      </c>
      <c r="BN203" t="e">
        <f>Nodes!R1685+"'E4!)Ws"</f>
        <v>#VALUE!</v>
      </c>
      <c r="BO203" t="e">
        <f>Nodes!S1685+"'E4!)Wt"</f>
        <v>#VALUE!</v>
      </c>
      <c r="BP203" t="e">
        <f>Nodes!T1685+"'E4!)Wu"</f>
        <v>#VALUE!</v>
      </c>
      <c r="BQ203" t="e">
        <f>Nodes!U1685+"'E4!)Wv"</f>
        <v>#VALUE!</v>
      </c>
      <c r="BR203" t="e">
        <f>Nodes!V1685+"'E4!)Ww"</f>
        <v>#VALUE!</v>
      </c>
      <c r="BS203" t="e">
        <f>Nodes!W1685+"'E4!)Wx"</f>
        <v>#VALUE!</v>
      </c>
      <c r="BT203" t="e">
        <f>Nodes!X1685+"'E4!)Wy"</f>
        <v>#VALUE!</v>
      </c>
      <c r="BU203" t="e">
        <f>Nodes!Y1685+"'E4!)Wz"</f>
        <v>#VALUE!</v>
      </c>
      <c r="BV203" t="e">
        <f>Nodes!Z1685+"'E4!)W{"</f>
        <v>#VALUE!</v>
      </c>
      <c r="BW203" t="e">
        <f>Nodes!AA1685+"'E4!)W|"</f>
        <v>#VALUE!</v>
      </c>
      <c r="BX203" t="e">
        <f>Nodes!AB1685+"'E4!)W}"</f>
        <v>#VALUE!</v>
      </c>
      <c r="BY203" t="e">
        <f>Nodes!AC1685+"'E4!)W~"</f>
        <v>#VALUE!</v>
      </c>
      <c r="BZ203" t="e">
        <f>Nodes!A1686+"'E4!)X#"</f>
        <v>#VALUE!</v>
      </c>
      <c r="CA203" t="e">
        <f>Nodes!B1686+"'E4!)X$"</f>
        <v>#VALUE!</v>
      </c>
      <c r="CB203" t="e">
        <f>Nodes!C1686+"'E4!)X%"</f>
        <v>#VALUE!</v>
      </c>
      <c r="CC203" t="e">
        <f>Nodes!D1686+"'E4!)X&amp;"</f>
        <v>#VALUE!</v>
      </c>
      <c r="CD203" t="e">
        <f>Nodes!E1686+"'E4!)X'"</f>
        <v>#VALUE!</v>
      </c>
      <c r="CE203" t="e">
        <f>Nodes!F1686+"'E4!)X("</f>
        <v>#VALUE!</v>
      </c>
      <c r="CF203" t="e">
        <f>Nodes!G1686+"'E4!)X)"</f>
        <v>#VALUE!</v>
      </c>
      <c r="CG203" t="e">
        <f>Nodes!H1686+"'E4!)X."</f>
        <v>#VALUE!</v>
      </c>
      <c r="CH203" t="e">
        <f>Nodes!I1686+"'E4!)X/"</f>
        <v>#VALUE!</v>
      </c>
      <c r="CI203" t="e">
        <f>Nodes!J1686+"'E4!)X0"</f>
        <v>#VALUE!</v>
      </c>
      <c r="CJ203" t="e">
        <f>Nodes!K1686+"'E4!)X1"</f>
        <v>#VALUE!</v>
      </c>
      <c r="CK203" t="e">
        <f>Nodes!L1686+"'E4!)X2"</f>
        <v>#VALUE!</v>
      </c>
      <c r="CL203" t="e">
        <f>Nodes!M1686+"'E4!)X3"</f>
        <v>#VALUE!</v>
      </c>
      <c r="CM203" t="e">
        <f>Nodes!N1686+"'E4!)X4"</f>
        <v>#VALUE!</v>
      </c>
      <c r="CN203" t="e">
        <f>Nodes!O1686+"'E4!)X5"</f>
        <v>#VALUE!</v>
      </c>
      <c r="CO203" t="e">
        <f>Nodes!P1686+"'E4!)X6"</f>
        <v>#VALUE!</v>
      </c>
      <c r="CP203" t="e">
        <f>Nodes!Q1686+"'E4!)X7"</f>
        <v>#VALUE!</v>
      </c>
      <c r="CQ203" t="e">
        <f>Nodes!R1686+"'E4!)X8"</f>
        <v>#VALUE!</v>
      </c>
      <c r="CR203" t="e">
        <f>Nodes!S1686+"'E4!)X9"</f>
        <v>#VALUE!</v>
      </c>
      <c r="CS203" t="e">
        <f>Nodes!T1686+"'E4!)X:"</f>
        <v>#VALUE!</v>
      </c>
      <c r="CT203" t="e">
        <f>Nodes!U1686+"'E4!)X;"</f>
        <v>#VALUE!</v>
      </c>
      <c r="CU203" t="e">
        <f>Nodes!V1686+"'E4!)X&lt;"</f>
        <v>#VALUE!</v>
      </c>
      <c r="CV203" t="e">
        <f>Nodes!W1686+"'E4!)X="</f>
        <v>#VALUE!</v>
      </c>
      <c r="CW203" t="e">
        <f>Nodes!X1686+"'E4!)X&gt;"</f>
        <v>#VALUE!</v>
      </c>
      <c r="CX203" t="e">
        <f>Nodes!Y1686+"'E4!)X?"</f>
        <v>#VALUE!</v>
      </c>
      <c r="CY203" t="e">
        <f>Nodes!Z1686+"'E4!)X@"</f>
        <v>#VALUE!</v>
      </c>
      <c r="CZ203" t="e">
        <f>Nodes!AA1686+"'E4!)XA"</f>
        <v>#VALUE!</v>
      </c>
      <c r="DA203" t="e">
        <f>Nodes!AB1686+"'E4!)XB"</f>
        <v>#VALUE!</v>
      </c>
      <c r="DB203" t="e">
        <f>Nodes!AC1686+"'E4!)XC"</f>
        <v>#VALUE!</v>
      </c>
      <c r="DC203" t="e">
        <f>Nodes!A1687+"'E4!)XD"</f>
        <v>#VALUE!</v>
      </c>
      <c r="DD203" t="e">
        <f>Nodes!B1687+"'E4!)XE"</f>
        <v>#VALUE!</v>
      </c>
      <c r="DE203" t="e">
        <f>Nodes!C1687+"'E4!)XF"</f>
        <v>#VALUE!</v>
      </c>
      <c r="DF203" t="e">
        <f>Nodes!D1687+"'E4!)XG"</f>
        <v>#VALUE!</v>
      </c>
      <c r="DG203" t="e">
        <f>Nodes!E1687+"'E4!)XH"</f>
        <v>#VALUE!</v>
      </c>
      <c r="DH203" t="e">
        <f>Nodes!F1687+"'E4!)XI"</f>
        <v>#VALUE!</v>
      </c>
      <c r="DI203" t="e">
        <f>Nodes!G1687+"'E4!)XJ"</f>
        <v>#VALUE!</v>
      </c>
      <c r="DJ203" t="e">
        <f>Nodes!H1687+"'E4!)XK"</f>
        <v>#VALUE!</v>
      </c>
      <c r="DK203" t="e">
        <f>Nodes!I1687+"'E4!)XL"</f>
        <v>#VALUE!</v>
      </c>
      <c r="DL203" t="e">
        <f>Nodes!J1687+"'E4!)XM"</f>
        <v>#VALUE!</v>
      </c>
      <c r="DM203" t="e">
        <f>Nodes!K1687+"'E4!)XN"</f>
        <v>#VALUE!</v>
      </c>
      <c r="DN203" t="e">
        <f>Nodes!L1687+"'E4!)XO"</f>
        <v>#VALUE!</v>
      </c>
      <c r="DO203" t="e">
        <f>Nodes!M1687+"'E4!)XP"</f>
        <v>#VALUE!</v>
      </c>
      <c r="DP203" t="e">
        <f>Nodes!N1687+"'E4!)XQ"</f>
        <v>#VALUE!</v>
      </c>
      <c r="DQ203" t="e">
        <f>Nodes!O1687+"'E4!)XR"</f>
        <v>#VALUE!</v>
      </c>
      <c r="DR203" t="e">
        <f>Nodes!P1687+"'E4!)XS"</f>
        <v>#VALUE!</v>
      </c>
      <c r="DS203" t="e">
        <f>Nodes!Q1687+"'E4!)XT"</f>
        <v>#VALUE!</v>
      </c>
      <c r="DT203" t="e">
        <f>Nodes!R1687+"'E4!)XU"</f>
        <v>#VALUE!</v>
      </c>
      <c r="DU203" t="e">
        <f>Nodes!S1687+"'E4!)XV"</f>
        <v>#VALUE!</v>
      </c>
      <c r="DV203" t="e">
        <f>Nodes!T1687+"'E4!)XW"</f>
        <v>#VALUE!</v>
      </c>
      <c r="DW203" t="e">
        <f>Nodes!U1687+"'E4!)XX"</f>
        <v>#VALUE!</v>
      </c>
      <c r="DX203" t="e">
        <f>Nodes!V1687+"'E4!)XY"</f>
        <v>#VALUE!</v>
      </c>
      <c r="DY203" t="e">
        <f>Nodes!W1687+"'E4!)XZ"</f>
        <v>#VALUE!</v>
      </c>
      <c r="DZ203" t="e">
        <f>Nodes!X1687+"'E4!)X["</f>
        <v>#VALUE!</v>
      </c>
      <c r="EA203" t="e">
        <f>Nodes!Y1687+"'E4!)X\"</f>
        <v>#VALUE!</v>
      </c>
      <c r="EB203" t="e">
        <f>Nodes!Z1687+"'E4!)X]"</f>
        <v>#VALUE!</v>
      </c>
      <c r="EC203" t="e">
        <f>Nodes!AA1687+"'E4!)X^"</f>
        <v>#VALUE!</v>
      </c>
      <c r="ED203" t="e">
        <f>Nodes!AB1687+"'E4!)X_"</f>
        <v>#VALUE!</v>
      </c>
      <c r="EE203" t="e">
        <f>Nodes!AC1687+"'E4!)X`"</f>
        <v>#VALUE!</v>
      </c>
      <c r="EF203" t="e">
        <f>Nodes!A1688+"'E4!)Xa"</f>
        <v>#VALUE!</v>
      </c>
      <c r="EG203" t="e">
        <f>Nodes!B1688+"'E4!)Xb"</f>
        <v>#VALUE!</v>
      </c>
      <c r="EH203" t="e">
        <f>Nodes!C1688+"'E4!)Xc"</f>
        <v>#VALUE!</v>
      </c>
      <c r="EI203" t="e">
        <f>Nodes!D1688+"'E4!)Xd"</f>
        <v>#VALUE!</v>
      </c>
      <c r="EJ203" t="e">
        <f>Nodes!E1688+"'E4!)Xe"</f>
        <v>#VALUE!</v>
      </c>
      <c r="EK203" t="e">
        <f>Nodes!F1688+"'E4!)Xf"</f>
        <v>#VALUE!</v>
      </c>
      <c r="EL203" t="e">
        <f>Nodes!G1688+"'E4!)Xg"</f>
        <v>#VALUE!</v>
      </c>
      <c r="EM203" t="e">
        <f>Nodes!H1688+"'E4!)Xh"</f>
        <v>#VALUE!</v>
      </c>
      <c r="EN203" t="e">
        <f>Nodes!I1688+"'E4!)Xi"</f>
        <v>#VALUE!</v>
      </c>
      <c r="EO203" t="e">
        <f>Nodes!J1688+"'E4!)Xj"</f>
        <v>#VALUE!</v>
      </c>
      <c r="EP203" t="e">
        <f>Nodes!K1688+"'E4!)Xk"</f>
        <v>#VALUE!</v>
      </c>
      <c r="EQ203" t="e">
        <f>Nodes!L1688+"'E4!)Xl"</f>
        <v>#VALUE!</v>
      </c>
      <c r="ER203" t="e">
        <f>Nodes!M1688+"'E4!)Xm"</f>
        <v>#VALUE!</v>
      </c>
      <c r="ES203" t="e">
        <f>Nodes!N1688+"'E4!)Xn"</f>
        <v>#VALUE!</v>
      </c>
      <c r="ET203" t="e">
        <f>Nodes!O1688+"'E4!)Xo"</f>
        <v>#VALUE!</v>
      </c>
      <c r="EU203" t="e">
        <f>Nodes!P1688+"'E4!)Xp"</f>
        <v>#VALUE!</v>
      </c>
      <c r="EV203" t="e">
        <f>Nodes!Q1688+"'E4!)Xq"</f>
        <v>#VALUE!</v>
      </c>
      <c r="EW203" t="e">
        <f>Nodes!R1688+"'E4!)Xr"</f>
        <v>#VALUE!</v>
      </c>
      <c r="EX203" t="e">
        <f>Nodes!S1688+"'E4!)Xs"</f>
        <v>#VALUE!</v>
      </c>
      <c r="EY203" t="e">
        <f>Nodes!T1688+"'E4!)Xt"</f>
        <v>#VALUE!</v>
      </c>
      <c r="EZ203" t="e">
        <f>Nodes!U1688+"'E4!)Xu"</f>
        <v>#VALUE!</v>
      </c>
      <c r="FA203" t="e">
        <f>Nodes!V1688+"'E4!)Xv"</f>
        <v>#VALUE!</v>
      </c>
      <c r="FB203" t="e">
        <f>Nodes!W1688+"'E4!)Xw"</f>
        <v>#VALUE!</v>
      </c>
      <c r="FC203" t="e">
        <f>Nodes!X1688+"'E4!)Xx"</f>
        <v>#VALUE!</v>
      </c>
      <c r="FD203" t="e">
        <f>Nodes!Y1688+"'E4!)Xy"</f>
        <v>#VALUE!</v>
      </c>
      <c r="FE203" t="e">
        <f>Nodes!Z1688+"'E4!)Xz"</f>
        <v>#VALUE!</v>
      </c>
      <c r="FF203" t="e">
        <f>Nodes!AA1688+"'E4!)X{"</f>
        <v>#VALUE!</v>
      </c>
      <c r="FG203" t="e">
        <f>Nodes!AB1688+"'E4!)X|"</f>
        <v>#VALUE!</v>
      </c>
      <c r="FH203" t="e">
        <f>Nodes!AC1688+"'E4!)X}"</f>
        <v>#VALUE!</v>
      </c>
      <c r="FI203" t="e">
        <f>Nodes!A1689+"'E4!)X~"</f>
        <v>#VALUE!</v>
      </c>
      <c r="FJ203" t="e">
        <f>Nodes!B1689+"'E4!)Y#"</f>
        <v>#VALUE!</v>
      </c>
      <c r="FK203" t="e">
        <f>Nodes!C1689+"'E4!)Y$"</f>
        <v>#VALUE!</v>
      </c>
      <c r="FL203" t="e">
        <f>Nodes!D1689+"'E4!)Y%"</f>
        <v>#VALUE!</v>
      </c>
      <c r="FM203" t="e">
        <f>Nodes!E1689+"'E4!)Y&amp;"</f>
        <v>#VALUE!</v>
      </c>
      <c r="FN203" t="e">
        <f>Nodes!F1689+"'E4!)Y'"</f>
        <v>#VALUE!</v>
      </c>
      <c r="FO203" t="e">
        <f>Nodes!G1689+"'E4!)Y("</f>
        <v>#VALUE!</v>
      </c>
      <c r="FP203" t="e">
        <f>Nodes!H1689+"'E4!)Y)"</f>
        <v>#VALUE!</v>
      </c>
      <c r="FQ203" t="e">
        <f>Nodes!I1689+"'E4!)Y."</f>
        <v>#VALUE!</v>
      </c>
      <c r="FR203" t="e">
        <f>Nodes!J1689+"'E4!)Y/"</f>
        <v>#VALUE!</v>
      </c>
      <c r="FS203" t="e">
        <f>Nodes!K1689+"'E4!)Y0"</f>
        <v>#VALUE!</v>
      </c>
      <c r="FT203" t="e">
        <f>Nodes!L1689+"'E4!)Y1"</f>
        <v>#VALUE!</v>
      </c>
      <c r="FU203" t="e">
        <f>Nodes!M1689+"'E4!)Y2"</f>
        <v>#VALUE!</v>
      </c>
      <c r="FV203" t="e">
        <f>Nodes!N1689+"'E4!)Y3"</f>
        <v>#VALUE!</v>
      </c>
      <c r="FW203" t="e">
        <f>Nodes!O1689+"'E4!)Y4"</f>
        <v>#VALUE!</v>
      </c>
      <c r="FX203" t="e">
        <f>Nodes!P1689+"'E4!)Y5"</f>
        <v>#VALUE!</v>
      </c>
      <c r="FY203" t="e">
        <f>Nodes!Q1689+"'E4!)Y6"</f>
        <v>#VALUE!</v>
      </c>
      <c r="FZ203" t="e">
        <f>Nodes!R1689+"'E4!)Y7"</f>
        <v>#VALUE!</v>
      </c>
      <c r="GA203" t="e">
        <f>Nodes!S1689+"'E4!)Y8"</f>
        <v>#VALUE!</v>
      </c>
      <c r="GB203" t="e">
        <f>Nodes!T1689+"'E4!)Y9"</f>
        <v>#VALUE!</v>
      </c>
      <c r="GC203" t="e">
        <f>Nodes!U1689+"'E4!)Y:"</f>
        <v>#VALUE!</v>
      </c>
      <c r="GD203" t="e">
        <f>Nodes!V1689+"'E4!)Y;"</f>
        <v>#VALUE!</v>
      </c>
      <c r="GE203" t="e">
        <f>Nodes!W1689+"'E4!)Y&lt;"</f>
        <v>#VALUE!</v>
      </c>
      <c r="GF203" t="e">
        <f>Nodes!X1689+"'E4!)Y="</f>
        <v>#VALUE!</v>
      </c>
      <c r="GG203" t="e">
        <f>Nodes!Y1689+"'E4!)Y&gt;"</f>
        <v>#VALUE!</v>
      </c>
      <c r="GH203" t="e">
        <f>Nodes!Z1689+"'E4!)Y?"</f>
        <v>#VALUE!</v>
      </c>
      <c r="GI203" t="e">
        <f>Nodes!AA1689+"'E4!)Y@"</f>
        <v>#VALUE!</v>
      </c>
      <c r="GJ203" t="e">
        <f>Nodes!AB1689+"'E4!)YA"</f>
        <v>#VALUE!</v>
      </c>
      <c r="GK203" t="e">
        <f>Nodes!AC1689+"'E4!)YB"</f>
        <v>#VALUE!</v>
      </c>
      <c r="GL203" t="e">
        <f>Nodes!A1690+"'E4!)YC"</f>
        <v>#VALUE!</v>
      </c>
      <c r="GM203" t="e">
        <f>Nodes!B1690+"'E4!)YD"</f>
        <v>#VALUE!</v>
      </c>
      <c r="GN203" t="e">
        <f>Nodes!C1690+"'E4!)YE"</f>
        <v>#VALUE!</v>
      </c>
      <c r="GO203" t="e">
        <f>Nodes!D1690+"'E4!)YF"</f>
        <v>#VALUE!</v>
      </c>
      <c r="GP203" t="e">
        <f>Nodes!E1690+"'E4!)YG"</f>
        <v>#VALUE!</v>
      </c>
      <c r="GQ203" t="e">
        <f>Nodes!F1690+"'E4!)YH"</f>
        <v>#VALUE!</v>
      </c>
      <c r="GR203" t="e">
        <f>Nodes!G1690+"'E4!)YI"</f>
        <v>#VALUE!</v>
      </c>
      <c r="GS203" t="e">
        <f>Nodes!H1690+"'E4!)YJ"</f>
        <v>#VALUE!</v>
      </c>
      <c r="GT203" t="e">
        <f>Nodes!I1690+"'E4!)YK"</f>
        <v>#VALUE!</v>
      </c>
      <c r="GU203" t="e">
        <f>Nodes!J1690+"'E4!)YL"</f>
        <v>#VALUE!</v>
      </c>
      <c r="GV203" t="e">
        <f>Nodes!K1690+"'E4!)YM"</f>
        <v>#VALUE!</v>
      </c>
      <c r="GW203" t="e">
        <f>Nodes!L1690+"'E4!)YN"</f>
        <v>#VALUE!</v>
      </c>
      <c r="GX203" t="e">
        <f>Nodes!M1690+"'E4!)YO"</f>
        <v>#VALUE!</v>
      </c>
      <c r="GY203" t="e">
        <f>Nodes!N1690+"'E4!)YP"</f>
        <v>#VALUE!</v>
      </c>
      <c r="GZ203" t="e">
        <f>Nodes!O1690+"'E4!)YQ"</f>
        <v>#VALUE!</v>
      </c>
      <c r="HA203" t="e">
        <f>Nodes!P1690+"'E4!)YR"</f>
        <v>#VALUE!</v>
      </c>
      <c r="HB203" t="e">
        <f>Nodes!Q1690+"'E4!)YS"</f>
        <v>#VALUE!</v>
      </c>
      <c r="HC203" t="e">
        <f>Nodes!R1690+"'E4!)YT"</f>
        <v>#VALUE!</v>
      </c>
      <c r="HD203" t="e">
        <f>Nodes!S1690+"'E4!)YU"</f>
        <v>#VALUE!</v>
      </c>
      <c r="HE203" t="e">
        <f>Nodes!T1690+"'E4!)YV"</f>
        <v>#VALUE!</v>
      </c>
      <c r="HF203" t="e">
        <f>Nodes!U1690+"'E4!)YW"</f>
        <v>#VALUE!</v>
      </c>
      <c r="HG203" t="e">
        <f>Nodes!V1690+"'E4!)YX"</f>
        <v>#VALUE!</v>
      </c>
      <c r="HH203" t="e">
        <f>Nodes!W1690+"'E4!)YY"</f>
        <v>#VALUE!</v>
      </c>
      <c r="HI203" t="e">
        <f>Nodes!X1690+"'E4!)YZ"</f>
        <v>#VALUE!</v>
      </c>
      <c r="HJ203" t="e">
        <f>Nodes!Y1690+"'E4!)Y["</f>
        <v>#VALUE!</v>
      </c>
      <c r="HK203" t="e">
        <f>Nodes!Z1690+"'E4!)Y\"</f>
        <v>#VALUE!</v>
      </c>
      <c r="HL203" t="e">
        <f>Nodes!AA1690+"'E4!)Y]"</f>
        <v>#VALUE!</v>
      </c>
      <c r="HM203" t="e">
        <f>Nodes!AB1690+"'E4!)Y^"</f>
        <v>#VALUE!</v>
      </c>
      <c r="HN203" t="e">
        <f>Nodes!AC1690+"'E4!)Y_"</f>
        <v>#VALUE!</v>
      </c>
      <c r="HO203" t="e">
        <f>Nodes!A1691+"'E4!)Y`"</f>
        <v>#VALUE!</v>
      </c>
      <c r="HP203" t="e">
        <f>Nodes!B1691+"'E4!)Ya"</f>
        <v>#VALUE!</v>
      </c>
      <c r="HQ203" t="e">
        <f>Nodes!C1691+"'E4!)Yb"</f>
        <v>#VALUE!</v>
      </c>
      <c r="HR203" t="e">
        <f>Nodes!D1691+"'E4!)Yc"</f>
        <v>#VALUE!</v>
      </c>
      <c r="HS203" t="e">
        <f>Nodes!E1691+"'E4!)Yd"</f>
        <v>#VALUE!</v>
      </c>
      <c r="HT203" t="e">
        <f>Nodes!F1691+"'E4!)Ye"</f>
        <v>#VALUE!</v>
      </c>
      <c r="HU203" t="e">
        <f>Nodes!G1691+"'E4!)Yf"</f>
        <v>#VALUE!</v>
      </c>
      <c r="HV203" t="e">
        <f>Nodes!H1691+"'E4!)Yg"</f>
        <v>#VALUE!</v>
      </c>
      <c r="HW203" t="e">
        <f>Nodes!I1691+"'E4!)Yh"</f>
        <v>#VALUE!</v>
      </c>
      <c r="HX203" t="e">
        <f>Nodes!J1691+"'E4!)Yi"</f>
        <v>#VALUE!</v>
      </c>
      <c r="HY203" t="e">
        <f>Nodes!K1691+"'E4!)Yj"</f>
        <v>#VALUE!</v>
      </c>
      <c r="HZ203" t="e">
        <f>Nodes!L1691+"'E4!)Yk"</f>
        <v>#VALUE!</v>
      </c>
      <c r="IA203" t="e">
        <f>Nodes!M1691+"'E4!)Yl"</f>
        <v>#VALUE!</v>
      </c>
      <c r="IB203" t="e">
        <f>Nodes!N1691+"'E4!)Ym"</f>
        <v>#VALUE!</v>
      </c>
      <c r="IC203" t="e">
        <f>Nodes!O1691+"'E4!)Yn"</f>
        <v>#VALUE!</v>
      </c>
      <c r="ID203" t="e">
        <f>Nodes!P1691+"'E4!)Yo"</f>
        <v>#VALUE!</v>
      </c>
      <c r="IE203" t="e">
        <f>Nodes!Q1691+"'E4!)Yp"</f>
        <v>#VALUE!</v>
      </c>
      <c r="IF203" t="e">
        <f>Nodes!R1691+"'E4!)Yq"</f>
        <v>#VALUE!</v>
      </c>
      <c r="IG203" t="e">
        <f>Nodes!S1691+"'E4!)Yr"</f>
        <v>#VALUE!</v>
      </c>
      <c r="IH203" t="e">
        <f>Nodes!T1691+"'E4!)Ys"</f>
        <v>#VALUE!</v>
      </c>
      <c r="II203" t="e">
        <f>Nodes!U1691+"'E4!)Yt"</f>
        <v>#VALUE!</v>
      </c>
      <c r="IJ203" t="e">
        <f>Nodes!V1691+"'E4!)Yu"</f>
        <v>#VALUE!</v>
      </c>
      <c r="IK203" t="e">
        <f>Nodes!W1691+"'E4!)Yv"</f>
        <v>#VALUE!</v>
      </c>
      <c r="IL203" t="e">
        <f>Nodes!X1691+"'E4!)Yw"</f>
        <v>#VALUE!</v>
      </c>
      <c r="IM203" t="e">
        <f>Nodes!Y1691+"'E4!)Yx"</f>
        <v>#VALUE!</v>
      </c>
      <c r="IN203" t="e">
        <f>Nodes!Z1691+"'E4!)Yy"</f>
        <v>#VALUE!</v>
      </c>
      <c r="IO203" t="e">
        <f>Nodes!AA1691+"'E4!)Yz"</f>
        <v>#VALUE!</v>
      </c>
      <c r="IP203" t="e">
        <f>Nodes!AB1691+"'E4!)Y{"</f>
        <v>#VALUE!</v>
      </c>
      <c r="IQ203" t="e">
        <f>Nodes!AC1691+"'E4!)Y|"</f>
        <v>#VALUE!</v>
      </c>
      <c r="IR203" t="e">
        <f>Nodes!A1692+"'E4!)Y}"</f>
        <v>#VALUE!</v>
      </c>
      <c r="IS203" t="e">
        <f>Nodes!B1692+"'E4!)Y~"</f>
        <v>#VALUE!</v>
      </c>
      <c r="IT203" t="e">
        <f>Nodes!C1692+"'E4!)Z#"</f>
        <v>#VALUE!</v>
      </c>
      <c r="IU203" t="e">
        <f>Nodes!D1692+"'E4!)Z$"</f>
        <v>#VALUE!</v>
      </c>
      <c r="IV203" t="e">
        <f>Nodes!E1692+"'E4!)Z%"</f>
        <v>#VALUE!</v>
      </c>
    </row>
    <row r="204" spans="6:256">
      <c r="F204" t="e">
        <f>Nodes!F1692+"'E4!)Z&amp;"</f>
        <v>#VALUE!</v>
      </c>
      <c r="G204" t="e">
        <f>Nodes!G1692+"'E4!)Z'"</f>
        <v>#VALUE!</v>
      </c>
      <c r="H204" t="e">
        <f>Nodes!H1692+"'E4!)Z("</f>
        <v>#VALUE!</v>
      </c>
      <c r="I204" t="e">
        <f>Nodes!I1692+"'E4!)Z)"</f>
        <v>#VALUE!</v>
      </c>
      <c r="J204" t="e">
        <f>Nodes!J1692+"'E4!)Z."</f>
        <v>#VALUE!</v>
      </c>
      <c r="K204" t="e">
        <f>Nodes!K1692+"'E4!)Z/"</f>
        <v>#VALUE!</v>
      </c>
      <c r="L204" t="e">
        <f>Nodes!L1692+"'E4!)Z0"</f>
        <v>#VALUE!</v>
      </c>
      <c r="M204" t="e">
        <f>Nodes!M1692+"'E4!)Z1"</f>
        <v>#VALUE!</v>
      </c>
      <c r="N204" t="e">
        <f>Nodes!N1692+"'E4!)Z2"</f>
        <v>#VALUE!</v>
      </c>
      <c r="O204" t="e">
        <f>Nodes!O1692+"'E4!)Z3"</f>
        <v>#VALUE!</v>
      </c>
      <c r="P204" t="e">
        <f>Nodes!P1692+"'E4!)Z4"</f>
        <v>#VALUE!</v>
      </c>
      <c r="Q204" t="e">
        <f>Nodes!Q1692+"'E4!)Z5"</f>
        <v>#VALUE!</v>
      </c>
      <c r="R204" t="e">
        <f>Nodes!R1692+"'E4!)Z6"</f>
        <v>#VALUE!</v>
      </c>
      <c r="S204" t="e">
        <f>Nodes!S1692+"'E4!)Z7"</f>
        <v>#VALUE!</v>
      </c>
      <c r="T204" t="e">
        <f>Nodes!T1692+"'E4!)Z8"</f>
        <v>#VALUE!</v>
      </c>
      <c r="U204" t="e">
        <f>Nodes!U1692+"'E4!)Z9"</f>
        <v>#VALUE!</v>
      </c>
      <c r="V204" t="e">
        <f>Nodes!V1692+"'E4!)Z:"</f>
        <v>#VALUE!</v>
      </c>
      <c r="W204" t="e">
        <f>Nodes!W1692+"'E4!)Z;"</f>
        <v>#VALUE!</v>
      </c>
      <c r="X204" t="e">
        <f>Nodes!X1692+"'E4!)Z&lt;"</f>
        <v>#VALUE!</v>
      </c>
      <c r="Y204" t="e">
        <f>Nodes!Y1692+"'E4!)Z="</f>
        <v>#VALUE!</v>
      </c>
      <c r="Z204" t="e">
        <f>Nodes!Z1692+"'E4!)Z&gt;"</f>
        <v>#VALUE!</v>
      </c>
      <c r="AA204" t="e">
        <f>Nodes!AA1692+"'E4!)Z?"</f>
        <v>#VALUE!</v>
      </c>
      <c r="AB204" t="e">
        <f>Nodes!AB1692+"'E4!)Z@"</f>
        <v>#VALUE!</v>
      </c>
      <c r="AC204" t="e">
        <f>Nodes!AC1692+"'E4!)ZA"</f>
        <v>#VALUE!</v>
      </c>
      <c r="AD204" t="e">
        <f>Nodes!A1693+"'E4!)ZB"</f>
        <v>#VALUE!</v>
      </c>
      <c r="AE204" t="e">
        <f>Nodes!B1693+"'E4!)ZC"</f>
        <v>#VALUE!</v>
      </c>
      <c r="AF204" t="e">
        <f>Nodes!C1693+"'E4!)ZD"</f>
        <v>#VALUE!</v>
      </c>
      <c r="AG204" t="e">
        <f>Nodes!D1693+"'E4!)ZE"</f>
        <v>#VALUE!</v>
      </c>
      <c r="AH204" t="e">
        <f>Nodes!E1693+"'E4!)ZF"</f>
        <v>#VALUE!</v>
      </c>
      <c r="AI204" t="e">
        <f>Nodes!F1693+"'E4!)ZG"</f>
        <v>#VALUE!</v>
      </c>
      <c r="AJ204" t="e">
        <f>Nodes!G1693+"'E4!)ZH"</f>
        <v>#VALUE!</v>
      </c>
      <c r="AK204" t="e">
        <f>Nodes!H1693+"'E4!)ZI"</f>
        <v>#VALUE!</v>
      </c>
      <c r="AL204" t="e">
        <f>Nodes!I1693+"'E4!)ZJ"</f>
        <v>#VALUE!</v>
      </c>
      <c r="AM204" t="e">
        <f>Nodes!J1693+"'E4!)ZK"</f>
        <v>#VALUE!</v>
      </c>
      <c r="AN204" t="e">
        <f>Nodes!K1693+"'E4!)ZL"</f>
        <v>#VALUE!</v>
      </c>
      <c r="AO204" t="e">
        <f>Nodes!L1693+"'E4!)ZM"</f>
        <v>#VALUE!</v>
      </c>
      <c r="AP204" t="e">
        <f>Nodes!M1693+"'E4!)ZN"</f>
        <v>#VALUE!</v>
      </c>
      <c r="AQ204" t="e">
        <f>Nodes!N1693+"'E4!)ZO"</f>
        <v>#VALUE!</v>
      </c>
      <c r="AR204" t="e">
        <f>Nodes!O1693+"'E4!)ZP"</f>
        <v>#VALUE!</v>
      </c>
      <c r="AS204" t="e">
        <f>Nodes!P1693+"'E4!)ZQ"</f>
        <v>#VALUE!</v>
      </c>
      <c r="AT204" t="e">
        <f>Nodes!Q1693+"'E4!)ZR"</f>
        <v>#VALUE!</v>
      </c>
      <c r="AU204" t="e">
        <f>Nodes!R1693+"'E4!)ZS"</f>
        <v>#VALUE!</v>
      </c>
      <c r="AV204" t="e">
        <f>Nodes!S1693+"'E4!)ZT"</f>
        <v>#VALUE!</v>
      </c>
      <c r="AW204" t="e">
        <f>Nodes!T1693+"'E4!)ZU"</f>
        <v>#VALUE!</v>
      </c>
      <c r="AX204" t="e">
        <f>Nodes!U1693+"'E4!)ZV"</f>
        <v>#VALUE!</v>
      </c>
      <c r="AY204" t="e">
        <f>Nodes!V1693+"'E4!)ZW"</f>
        <v>#VALUE!</v>
      </c>
      <c r="AZ204" t="e">
        <f>Nodes!W1693+"'E4!)ZX"</f>
        <v>#VALUE!</v>
      </c>
      <c r="BA204" t="e">
        <f>Nodes!X1693+"'E4!)ZY"</f>
        <v>#VALUE!</v>
      </c>
      <c r="BB204" t="e">
        <f>Nodes!Y1693+"'E4!)ZZ"</f>
        <v>#VALUE!</v>
      </c>
      <c r="BC204" t="e">
        <f>Nodes!Z1693+"'E4!)Z["</f>
        <v>#VALUE!</v>
      </c>
      <c r="BD204" t="e">
        <f>Nodes!AA1693+"'E4!)Z\"</f>
        <v>#VALUE!</v>
      </c>
      <c r="BE204" t="e">
        <f>Nodes!AB1693+"'E4!)Z]"</f>
        <v>#VALUE!</v>
      </c>
      <c r="BF204" t="e">
        <f>Nodes!AC1693+"'E4!)Z^"</f>
        <v>#VALUE!</v>
      </c>
      <c r="BG204" t="e">
        <f>Nodes!A1694+"'E4!)Z_"</f>
        <v>#VALUE!</v>
      </c>
      <c r="BH204" t="e">
        <f>Nodes!B1694+"'E4!)Z`"</f>
        <v>#VALUE!</v>
      </c>
      <c r="BI204" t="e">
        <f>Nodes!C1694+"'E4!)Za"</f>
        <v>#VALUE!</v>
      </c>
      <c r="BJ204" t="e">
        <f>Nodes!D1694+"'E4!)Zb"</f>
        <v>#VALUE!</v>
      </c>
      <c r="BK204" t="e">
        <f>Nodes!E1694+"'E4!)Zc"</f>
        <v>#VALUE!</v>
      </c>
      <c r="BL204" t="e">
        <f>Nodes!F1694+"'E4!)Zd"</f>
        <v>#VALUE!</v>
      </c>
      <c r="BM204" t="e">
        <f>Nodes!G1694+"'E4!)Ze"</f>
        <v>#VALUE!</v>
      </c>
      <c r="BN204" t="e">
        <f>Nodes!H1694+"'E4!)Zf"</f>
        <v>#VALUE!</v>
      </c>
      <c r="BO204" t="e">
        <f>Nodes!I1694+"'E4!)Zg"</f>
        <v>#VALUE!</v>
      </c>
      <c r="BP204" t="e">
        <f>Nodes!J1694+"'E4!)Zh"</f>
        <v>#VALUE!</v>
      </c>
      <c r="BQ204" t="e">
        <f>Nodes!K1694+"'E4!)Zi"</f>
        <v>#VALUE!</v>
      </c>
      <c r="BR204" t="e">
        <f>Nodes!L1694+"'E4!)Zj"</f>
        <v>#VALUE!</v>
      </c>
      <c r="BS204" t="e">
        <f>Nodes!M1694+"'E4!)Zk"</f>
        <v>#VALUE!</v>
      </c>
      <c r="BT204" t="e">
        <f>Nodes!N1694+"'E4!)Zl"</f>
        <v>#VALUE!</v>
      </c>
      <c r="BU204" t="e">
        <f>Nodes!O1694+"'E4!)Zm"</f>
        <v>#VALUE!</v>
      </c>
      <c r="BV204" t="e">
        <f>Nodes!P1694+"'E4!)Zn"</f>
        <v>#VALUE!</v>
      </c>
      <c r="BW204" t="e">
        <f>Nodes!Q1694+"'E4!)Zo"</f>
        <v>#VALUE!</v>
      </c>
      <c r="BX204" t="e">
        <f>Nodes!R1694+"'E4!)Zp"</f>
        <v>#VALUE!</v>
      </c>
      <c r="BY204" t="e">
        <f>Nodes!S1694+"'E4!)Zq"</f>
        <v>#VALUE!</v>
      </c>
      <c r="BZ204" t="e">
        <f>Nodes!T1694+"'E4!)Zr"</f>
        <v>#VALUE!</v>
      </c>
      <c r="CA204" t="e">
        <f>Nodes!U1694+"'E4!)Zs"</f>
        <v>#VALUE!</v>
      </c>
      <c r="CB204" t="e">
        <f>Nodes!V1694+"'E4!)Zt"</f>
        <v>#VALUE!</v>
      </c>
      <c r="CC204" t="e">
        <f>Nodes!W1694+"'E4!)Zu"</f>
        <v>#VALUE!</v>
      </c>
      <c r="CD204" t="e">
        <f>Nodes!X1694+"'E4!)Zv"</f>
        <v>#VALUE!</v>
      </c>
      <c r="CE204" t="e">
        <f>Nodes!Y1694+"'E4!)Zw"</f>
        <v>#VALUE!</v>
      </c>
      <c r="CF204" t="e">
        <f>Nodes!Z1694+"'E4!)Zx"</f>
        <v>#VALUE!</v>
      </c>
      <c r="CG204" t="e">
        <f>Nodes!AA1694+"'E4!)Zy"</f>
        <v>#VALUE!</v>
      </c>
      <c r="CH204" t="e">
        <f>Nodes!AB1694+"'E4!)Zz"</f>
        <v>#VALUE!</v>
      </c>
      <c r="CI204" t="e">
        <f>Nodes!AC1694+"'E4!)Z{"</f>
        <v>#VALUE!</v>
      </c>
      <c r="CJ204" t="e">
        <f>Nodes!A1695+"'E4!)Z|"</f>
        <v>#VALUE!</v>
      </c>
      <c r="CK204" t="e">
        <f>Nodes!B1695+"'E4!)Z}"</f>
        <v>#VALUE!</v>
      </c>
      <c r="CL204" t="e">
        <f>Nodes!C1695+"'E4!)Z~"</f>
        <v>#VALUE!</v>
      </c>
      <c r="CM204" t="e">
        <f>Nodes!D1695+"'E4!)[#"</f>
        <v>#VALUE!</v>
      </c>
      <c r="CN204" t="e">
        <f>Nodes!E1695+"'E4!)[$"</f>
        <v>#VALUE!</v>
      </c>
      <c r="CO204" t="e">
        <f>Nodes!F1695+"'E4!)[%"</f>
        <v>#VALUE!</v>
      </c>
      <c r="CP204" t="e">
        <f>Nodes!G1695+"'E4!)[&amp;"</f>
        <v>#VALUE!</v>
      </c>
      <c r="CQ204" t="e">
        <f>Nodes!H1695+"'E4!)['"</f>
        <v>#VALUE!</v>
      </c>
      <c r="CR204" t="e">
        <f>Nodes!I1695+"'E4!)[("</f>
        <v>#VALUE!</v>
      </c>
      <c r="CS204" t="e">
        <f>Nodes!J1695+"'E4!)[)"</f>
        <v>#VALUE!</v>
      </c>
      <c r="CT204" t="e">
        <f>Nodes!K1695+"'E4!)[."</f>
        <v>#VALUE!</v>
      </c>
      <c r="CU204" t="e">
        <f>Nodes!L1695+"'E4!)[/"</f>
        <v>#VALUE!</v>
      </c>
      <c r="CV204" t="e">
        <f>Nodes!M1695+"'E4!)[0"</f>
        <v>#VALUE!</v>
      </c>
      <c r="CW204" t="e">
        <f>Nodes!N1695+"'E4!)[1"</f>
        <v>#VALUE!</v>
      </c>
      <c r="CX204" t="e">
        <f>Nodes!O1695+"'E4!)[2"</f>
        <v>#VALUE!</v>
      </c>
      <c r="CY204" t="e">
        <f>Nodes!P1695+"'E4!)[3"</f>
        <v>#VALUE!</v>
      </c>
      <c r="CZ204" t="e">
        <f>Nodes!Q1695+"'E4!)[4"</f>
        <v>#VALUE!</v>
      </c>
      <c r="DA204" t="e">
        <f>Nodes!R1695+"'E4!)[5"</f>
        <v>#VALUE!</v>
      </c>
      <c r="DB204" t="e">
        <f>Nodes!S1695+"'E4!)[6"</f>
        <v>#VALUE!</v>
      </c>
      <c r="DC204" t="e">
        <f>Nodes!T1695+"'E4!)[7"</f>
        <v>#VALUE!</v>
      </c>
      <c r="DD204" t="e">
        <f>Nodes!U1695+"'E4!)[8"</f>
        <v>#VALUE!</v>
      </c>
      <c r="DE204" t="e">
        <f>Nodes!V1695+"'E4!)[9"</f>
        <v>#VALUE!</v>
      </c>
      <c r="DF204" t="e">
        <f>Nodes!W1695+"'E4!)[:"</f>
        <v>#VALUE!</v>
      </c>
      <c r="DG204" t="e">
        <f>Nodes!X1695+"'E4!)[;"</f>
        <v>#VALUE!</v>
      </c>
      <c r="DH204" t="e">
        <f>Nodes!Y1695+"'E4!)[&lt;"</f>
        <v>#VALUE!</v>
      </c>
      <c r="DI204" t="e">
        <f>Nodes!Z1695+"'E4!)[="</f>
        <v>#VALUE!</v>
      </c>
      <c r="DJ204" t="e">
        <f>Nodes!AA1695+"'E4!)[&gt;"</f>
        <v>#VALUE!</v>
      </c>
      <c r="DK204" t="e">
        <f>Nodes!AB1695+"'E4!)[?"</f>
        <v>#VALUE!</v>
      </c>
      <c r="DL204" t="e">
        <f>Nodes!AC1695+"'E4!)[@"</f>
        <v>#VALUE!</v>
      </c>
      <c r="DM204" t="e">
        <f>Nodes!A1696+"'E4!)[A"</f>
        <v>#VALUE!</v>
      </c>
      <c r="DN204" t="e">
        <f>Nodes!B1696+"'E4!)[B"</f>
        <v>#VALUE!</v>
      </c>
      <c r="DO204" t="e">
        <f>Nodes!C1696+"'E4!)[C"</f>
        <v>#VALUE!</v>
      </c>
      <c r="DP204" t="e">
        <f>Nodes!D1696+"'E4!)[D"</f>
        <v>#VALUE!</v>
      </c>
      <c r="DQ204" t="e">
        <f>Nodes!E1696+"'E4!)[E"</f>
        <v>#VALUE!</v>
      </c>
      <c r="DR204" t="e">
        <f>Nodes!F1696+"'E4!)[F"</f>
        <v>#VALUE!</v>
      </c>
      <c r="DS204" t="e">
        <f>Nodes!G1696+"'E4!)[G"</f>
        <v>#VALUE!</v>
      </c>
      <c r="DT204" t="e">
        <f>Nodes!H1696+"'E4!)[H"</f>
        <v>#VALUE!</v>
      </c>
      <c r="DU204" t="e">
        <f>Nodes!I1696+"'E4!)[I"</f>
        <v>#VALUE!</v>
      </c>
      <c r="DV204" t="e">
        <f>Nodes!J1696+"'E4!)[J"</f>
        <v>#VALUE!</v>
      </c>
      <c r="DW204" t="e">
        <f>Nodes!K1696+"'E4!)[K"</f>
        <v>#VALUE!</v>
      </c>
      <c r="DX204" t="e">
        <f>Nodes!L1696+"'E4!)[L"</f>
        <v>#VALUE!</v>
      </c>
      <c r="DY204" t="e">
        <f>Nodes!M1696+"'E4!)[M"</f>
        <v>#VALUE!</v>
      </c>
      <c r="DZ204" t="e">
        <f>Nodes!N1696+"'E4!)[N"</f>
        <v>#VALUE!</v>
      </c>
      <c r="EA204" t="e">
        <f>Nodes!O1696+"'E4!)[O"</f>
        <v>#VALUE!</v>
      </c>
      <c r="EB204" t="e">
        <f>Nodes!P1696+"'E4!)[P"</f>
        <v>#VALUE!</v>
      </c>
      <c r="EC204" t="e">
        <f>Nodes!Q1696+"'E4!)[Q"</f>
        <v>#VALUE!</v>
      </c>
      <c r="ED204" t="e">
        <f>Nodes!R1696+"'E4!)[R"</f>
        <v>#VALUE!</v>
      </c>
      <c r="EE204" t="e">
        <f>Nodes!S1696+"'E4!)[S"</f>
        <v>#VALUE!</v>
      </c>
      <c r="EF204" t="e">
        <f>Nodes!T1696+"'E4!)[T"</f>
        <v>#VALUE!</v>
      </c>
      <c r="EG204" t="e">
        <f>Nodes!U1696+"'E4!)[U"</f>
        <v>#VALUE!</v>
      </c>
      <c r="EH204" t="e">
        <f>Nodes!V1696+"'E4!)[V"</f>
        <v>#VALUE!</v>
      </c>
      <c r="EI204" t="e">
        <f>Nodes!W1696+"'E4!)[W"</f>
        <v>#VALUE!</v>
      </c>
      <c r="EJ204" t="e">
        <f>Nodes!X1696+"'E4!)[X"</f>
        <v>#VALUE!</v>
      </c>
      <c r="EK204" t="e">
        <f>Nodes!Y1696+"'E4!)[Y"</f>
        <v>#VALUE!</v>
      </c>
      <c r="EL204" t="e">
        <f>Nodes!Z1696+"'E4!)[Z"</f>
        <v>#VALUE!</v>
      </c>
      <c r="EM204" t="e">
        <f>Nodes!AA1696+"'E4!)[["</f>
        <v>#VALUE!</v>
      </c>
      <c r="EN204" t="e">
        <f>Nodes!AB1696+"'E4!)[\"</f>
        <v>#VALUE!</v>
      </c>
      <c r="EO204" t="e">
        <f>Nodes!AC1696+"'E4!)[]"</f>
        <v>#VALUE!</v>
      </c>
      <c r="EP204" t="e">
        <f>Nodes!A1697+"'E4!)[^"</f>
        <v>#VALUE!</v>
      </c>
      <c r="EQ204" t="e">
        <f>Nodes!B1697+"'E4!)[_"</f>
        <v>#VALUE!</v>
      </c>
      <c r="ER204" t="e">
        <f>Nodes!C1697+"'E4!)[`"</f>
        <v>#VALUE!</v>
      </c>
      <c r="ES204" t="e">
        <f>Nodes!D1697+"'E4!)[a"</f>
        <v>#VALUE!</v>
      </c>
      <c r="ET204" t="e">
        <f>Nodes!E1697+"'E4!)[b"</f>
        <v>#VALUE!</v>
      </c>
      <c r="EU204" t="e">
        <f>Nodes!F1697+"'E4!)[c"</f>
        <v>#VALUE!</v>
      </c>
      <c r="EV204" t="e">
        <f>Nodes!G1697+"'E4!)[d"</f>
        <v>#VALUE!</v>
      </c>
      <c r="EW204" t="e">
        <f>Nodes!H1697+"'E4!)[e"</f>
        <v>#VALUE!</v>
      </c>
      <c r="EX204" t="e">
        <f>Nodes!I1697+"'E4!)[f"</f>
        <v>#VALUE!</v>
      </c>
      <c r="EY204" t="e">
        <f>Nodes!J1697+"'E4!)[g"</f>
        <v>#VALUE!</v>
      </c>
      <c r="EZ204" t="e">
        <f>Nodes!K1697+"'E4!)[h"</f>
        <v>#VALUE!</v>
      </c>
      <c r="FA204" t="e">
        <f>Nodes!L1697+"'E4!)[i"</f>
        <v>#VALUE!</v>
      </c>
      <c r="FB204" t="e">
        <f>Nodes!M1697+"'E4!)[j"</f>
        <v>#VALUE!</v>
      </c>
      <c r="FC204" t="e">
        <f>Nodes!N1697+"'E4!)[k"</f>
        <v>#VALUE!</v>
      </c>
      <c r="FD204" t="e">
        <f>Nodes!O1697+"'E4!)[l"</f>
        <v>#VALUE!</v>
      </c>
      <c r="FE204" t="e">
        <f>Nodes!P1697+"'E4!)[m"</f>
        <v>#VALUE!</v>
      </c>
      <c r="FF204" t="e">
        <f>Nodes!Q1697+"'E4!)[n"</f>
        <v>#VALUE!</v>
      </c>
      <c r="FG204" t="e">
        <f>Nodes!R1697+"'E4!)[o"</f>
        <v>#VALUE!</v>
      </c>
      <c r="FH204" t="e">
        <f>Nodes!S1697+"'E4!)[p"</f>
        <v>#VALUE!</v>
      </c>
      <c r="FI204" t="e">
        <f>Nodes!T1697+"'E4!)[q"</f>
        <v>#VALUE!</v>
      </c>
      <c r="FJ204" t="e">
        <f>Nodes!U1697+"'E4!)[r"</f>
        <v>#VALUE!</v>
      </c>
      <c r="FK204" t="e">
        <f>Nodes!V1697+"'E4!)[s"</f>
        <v>#VALUE!</v>
      </c>
      <c r="FL204" t="e">
        <f>Nodes!W1697+"'E4!)[t"</f>
        <v>#VALUE!</v>
      </c>
      <c r="FM204" t="e">
        <f>Nodes!X1697+"'E4!)[u"</f>
        <v>#VALUE!</v>
      </c>
      <c r="FN204" t="e">
        <f>Nodes!Y1697+"'E4!)[v"</f>
        <v>#VALUE!</v>
      </c>
      <c r="FO204" t="e">
        <f>Nodes!Z1697+"'E4!)[w"</f>
        <v>#VALUE!</v>
      </c>
      <c r="FP204" t="e">
        <f>Nodes!AA1697+"'E4!)[x"</f>
        <v>#VALUE!</v>
      </c>
      <c r="FQ204" t="e">
        <f>Nodes!AB1697+"'E4!)[y"</f>
        <v>#VALUE!</v>
      </c>
      <c r="FR204" t="e">
        <f>Nodes!AC1697+"'E4!)[z"</f>
        <v>#VALUE!</v>
      </c>
      <c r="FS204" t="e">
        <f>Nodes!A1698+"'E4!)[{"</f>
        <v>#VALUE!</v>
      </c>
      <c r="FT204" t="e">
        <f>Nodes!B1698+"'E4!)[|"</f>
        <v>#VALUE!</v>
      </c>
      <c r="FU204" t="e">
        <f>Nodes!C1698+"'E4!)[}"</f>
        <v>#VALUE!</v>
      </c>
      <c r="FV204" t="e">
        <f>Nodes!D1698+"'E4!)[~"</f>
        <v>#VALUE!</v>
      </c>
      <c r="FW204" t="e">
        <f>Nodes!E1698+"'E4!)\#"</f>
        <v>#VALUE!</v>
      </c>
      <c r="FX204" t="e">
        <f>Nodes!F1698+"'E4!)\$"</f>
        <v>#VALUE!</v>
      </c>
      <c r="FY204" t="e">
        <f>Nodes!G1698+"'E4!)\%"</f>
        <v>#VALUE!</v>
      </c>
      <c r="FZ204" t="e">
        <f>Nodes!H1698+"'E4!)\&amp;"</f>
        <v>#VALUE!</v>
      </c>
      <c r="GA204" t="e">
        <f>Nodes!I1698+"'E4!)\'"</f>
        <v>#VALUE!</v>
      </c>
      <c r="GB204" t="e">
        <f>Nodes!J1698+"'E4!)\("</f>
        <v>#VALUE!</v>
      </c>
      <c r="GC204" t="e">
        <f>Nodes!K1698+"'E4!)\)"</f>
        <v>#VALUE!</v>
      </c>
      <c r="GD204" t="e">
        <f>Nodes!L1698+"'E4!)\."</f>
        <v>#VALUE!</v>
      </c>
      <c r="GE204" t="e">
        <f>Nodes!M1698+"'E4!)\/"</f>
        <v>#VALUE!</v>
      </c>
      <c r="GF204" t="e">
        <f>Nodes!N1698+"'E4!)\0"</f>
        <v>#VALUE!</v>
      </c>
      <c r="GG204" t="e">
        <f>Nodes!O1698+"'E4!)\1"</f>
        <v>#VALUE!</v>
      </c>
      <c r="GH204" t="e">
        <f>Nodes!P1698+"'E4!)\2"</f>
        <v>#VALUE!</v>
      </c>
      <c r="GI204" t="e">
        <f>Nodes!Q1698+"'E4!)\3"</f>
        <v>#VALUE!</v>
      </c>
      <c r="GJ204" t="e">
        <f>Nodes!R1698+"'E4!)\4"</f>
        <v>#VALUE!</v>
      </c>
      <c r="GK204" t="e">
        <f>Nodes!S1698+"'E4!)\5"</f>
        <v>#VALUE!</v>
      </c>
      <c r="GL204" t="e">
        <f>Nodes!T1698+"'E4!)\6"</f>
        <v>#VALUE!</v>
      </c>
      <c r="GM204" t="e">
        <f>Nodes!U1698+"'E4!)\7"</f>
        <v>#VALUE!</v>
      </c>
      <c r="GN204" t="e">
        <f>Nodes!V1698+"'E4!)\8"</f>
        <v>#VALUE!</v>
      </c>
      <c r="GO204" t="e">
        <f>Nodes!W1698+"'E4!)\9"</f>
        <v>#VALUE!</v>
      </c>
      <c r="GP204" t="e">
        <f>Nodes!X1698+"'E4!)\:"</f>
        <v>#VALUE!</v>
      </c>
      <c r="GQ204" t="e">
        <f>Nodes!Y1698+"'E4!)\;"</f>
        <v>#VALUE!</v>
      </c>
      <c r="GR204" t="e">
        <f>Nodes!Z1698+"'E4!)\&lt;"</f>
        <v>#VALUE!</v>
      </c>
      <c r="GS204" t="e">
        <f>Nodes!AA1698+"'E4!)\="</f>
        <v>#VALUE!</v>
      </c>
      <c r="GT204" t="e">
        <f>Nodes!AB1698+"'E4!)\&gt;"</f>
        <v>#VALUE!</v>
      </c>
      <c r="GU204" t="e">
        <f>Nodes!AC1698+"'E4!)\?"</f>
        <v>#VALUE!</v>
      </c>
      <c r="GV204" t="e">
        <f>Nodes!A1699+"'E4!)\@"</f>
        <v>#VALUE!</v>
      </c>
      <c r="GW204" t="e">
        <f>Nodes!B1699+"'E4!)\A"</f>
        <v>#VALUE!</v>
      </c>
      <c r="GX204" t="e">
        <f>Nodes!C1699+"'E4!)\B"</f>
        <v>#VALUE!</v>
      </c>
      <c r="GY204" t="e">
        <f>Nodes!D1699+"'E4!)\C"</f>
        <v>#VALUE!</v>
      </c>
      <c r="GZ204" t="e">
        <f>Nodes!E1699+"'E4!)\D"</f>
        <v>#VALUE!</v>
      </c>
      <c r="HA204" t="e">
        <f>Nodes!F1699+"'E4!)\E"</f>
        <v>#VALUE!</v>
      </c>
      <c r="HB204" t="e">
        <f>Nodes!G1699+"'E4!)\F"</f>
        <v>#VALUE!</v>
      </c>
      <c r="HC204" t="e">
        <f>Nodes!H1699+"'E4!)\G"</f>
        <v>#VALUE!</v>
      </c>
      <c r="HD204" t="e">
        <f>Nodes!I1699+"'E4!)\H"</f>
        <v>#VALUE!</v>
      </c>
      <c r="HE204" t="e">
        <f>Nodes!J1699+"'E4!)\I"</f>
        <v>#VALUE!</v>
      </c>
      <c r="HF204" t="e">
        <f>Nodes!K1699+"'E4!)\J"</f>
        <v>#VALUE!</v>
      </c>
      <c r="HG204" t="e">
        <f>Nodes!L1699+"'E4!)\K"</f>
        <v>#VALUE!</v>
      </c>
      <c r="HH204" t="e">
        <f>Nodes!M1699+"'E4!)\L"</f>
        <v>#VALUE!</v>
      </c>
      <c r="HI204" t="e">
        <f>Nodes!N1699+"'E4!)\M"</f>
        <v>#VALUE!</v>
      </c>
      <c r="HJ204" t="e">
        <f>Nodes!O1699+"'E4!)\N"</f>
        <v>#VALUE!</v>
      </c>
      <c r="HK204" t="e">
        <f>Nodes!P1699+"'E4!)\O"</f>
        <v>#VALUE!</v>
      </c>
      <c r="HL204" t="e">
        <f>Nodes!Q1699+"'E4!)\P"</f>
        <v>#VALUE!</v>
      </c>
      <c r="HM204" t="e">
        <f>Nodes!R1699+"'E4!)\Q"</f>
        <v>#VALUE!</v>
      </c>
      <c r="HN204" t="e">
        <f>Nodes!S1699+"'E4!)\R"</f>
        <v>#VALUE!</v>
      </c>
      <c r="HO204" t="e">
        <f>Nodes!T1699+"'E4!)\S"</f>
        <v>#VALUE!</v>
      </c>
      <c r="HP204" t="e">
        <f>Nodes!U1699+"'E4!)\T"</f>
        <v>#VALUE!</v>
      </c>
      <c r="HQ204" t="e">
        <f>Nodes!V1699+"'E4!)\U"</f>
        <v>#VALUE!</v>
      </c>
      <c r="HR204" t="e">
        <f>Nodes!W1699+"'E4!)\V"</f>
        <v>#VALUE!</v>
      </c>
      <c r="HS204" t="e">
        <f>Nodes!X1699+"'E4!)\W"</f>
        <v>#VALUE!</v>
      </c>
      <c r="HT204" t="e">
        <f>Nodes!Y1699+"'E4!)\X"</f>
        <v>#VALUE!</v>
      </c>
      <c r="HU204" t="e">
        <f>Nodes!Z1699+"'E4!)\Y"</f>
        <v>#VALUE!</v>
      </c>
      <c r="HV204" t="e">
        <f>Nodes!AA1699+"'E4!)\Z"</f>
        <v>#VALUE!</v>
      </c>
      <c r="HW204" t="e">
        <f>Nodes!AB1699+"'E4!)\["</f>
        <v>#VALUE!</v>
      </c>
      <c r="HX204" t="e">
        <f>Nodes!AC1699+"'E4!)\\"</f>
        <v>#VALUE!</v>
      </c>
      <c r="HY204" t="e">
        <f>Nodes!A1700+"'E4!)\]"</f>
        <v>#VALUE!</v>
      </c>
      <c r="HZ204" t="e">
        <f>Nodes!B1700+"'E4!)\^"</f>
        <v>#VALUE!</v>
      </c>
      <c r="IA204" t="e">
        <f>Nodes!C1700+"'E4!)\_"</f>
        <v>#VALUE!</v>
      </c>
      <c r="IB204" t="e">
        <f>Nodes!D1700+"'E4!)\`"</f>
        <v>#VALUE!</v>
      </c>
      <c r="IC204" t="e">
        <f>Nodes!E1700+"'E4!)\a"</f>
        <v>#VALUE!</v>
      </c>
      <c r="ID204" t="e">
        <f>Nodes!F1700+"'E4!)\b"</f>
        <v>#VALUE!</v>
      </c>
      <c r="IE204" t="e">
        <f>Nodes!G1700+"'E4!)\c"</f>
        <v>#VALUE!</v>
      </c>
      <c r="IF204" t="e">
        <f>Nodes!H1700+"'E4!)\d"</f>
        <v>#VALUE!</v>
      </c>
      <c r="IG204" t="e">
        <f>Nodes!I1700+"'E4!)\e"</f>
        <v>#VALUE!</v>
      </c>
      <c r="IH204" t="e">
        <f>Nodes!J1700+"'E4!)\f"</f>
        <v>#VALUE!</v>
      </c>
      <c r="II204" t="e">
        <f>Nodes!K1700+"'E4!)\g"</f>
        <v>#VALUE!</v>
      </c>
      <c r="IJ204" t="e">
        <f>Nodes!L1700+"'E4!)\h"</f>
        <v>#VALUE!</v>
      </c>
      <c r="IK204" t="e">
        <f>Nodes!M1700+"'E4!)\i"</f>
        <v>#VALUE!</v>
      </c>
      <c r="IL204" t="e">
        <f>Nodes!N1700+"'E4!)\j"</f>
        <v>#VALUE!</v>
      </c>
      <c r="IM204" t="e">
        <f>Nodes!O1700+"'E4!)\k"</f>
        <v>#VALUE!</v>
      </c>
      <c r="IN204" t="e">
        <f>Nodes!P1700+"'E4!)\l"</f>
        <v>#VALUE!</v>
      </c>
      <c r="IO204" t="e">
        <f>Nodes!Q1700+"'E4!)\m"</f>
        <v>#VALUE!</v>
      </c>
      <c r="IP204" t="e">
        <f>Nodes!R1700+"'E4!)\n"</f>
        <v>#VALUE!</v>
      </c>
      <c r="IQ204" t="e">
        <f>Nodes!S1700+"'E4!)\o"</f>
        <v>#VALUE!</v>
      </c>
      <c r="IR204" t="e">
        <f>Nodes!T1700+"'E4!)\p"</f>
        <v>#VALUE!</v>
      </c>
      <c r="IS204" t="e">
        <f>Nodes!U1700+"'E4!)\q"</f>
        <v>#VALUE!</v>
      </c>
      <c r="IT204" t="e">
        <f>Nodes!V1700+"'E4!)\r"</f>
        <v>#VALUE!</v>
      </c>
      <c r="IU204" t="e">
        <f>Nodes!W1700+"'E4!)\s"</f>
        <v>#VALUE!</v>
      </c>
      <c r="IV204" t="e">
        <f>Nodes!X1700+"'E4!)\t"</f>
        <v>#VALUE!</v>
      </c>
    </row>
    <row r="205" spans="6:256">
      <c r="F205" t="e">
        <f>Nodes!Y1700+"'E4!)\u"</f>
        <v>#VALUE!</v>
      </c>
      <c r="G205" t="e">
        <f>Nodes!Z1700+"'E4!)\v"</f>
        <v>#VALUE!</v>
      </c>
      <c r="H205" t="e">
        <f>Nodes!AA1700+"'E4!)\w"</f>
        <v>#VALUE!</v>
      </c>
      <c r="I205" t="e">
        <f>Nodes!AB1700+"'E4!)\x"</f>
        <v>#VALUE!</v>
      </c>
      <c r="J205" t="e">
        <f>Nodes!AC1700+"'E4!)\y"</f>
        <v>#VALUE!</v>
      </c>
      <c r="K205" t="e">
        <f>Nodes!A1701+"'E4!)\z"</f>
        <v>#VALUE!</v>
      </c>
      <c r="L205" t="e">
        <f>Nodes!B1701+"'E4!)\{"</f>
        <v>#VALUE!</v>
      </c>
      <c r="M205" t="e">
        <f>Nodes!C1701+"'E4!)\|"</f>
        <v>#VALUE!</v>
      </c>
      <c r="N205" t="e">
        <f>Nodes!D1701+"'E4!)\}"</f>
        <v>#VALUE!</v>
      </c>
      <c r="O205" t="e">
        <f>Nodes!E1701+"'E4!)\~"</f>
        <v>#VALUE!</v>
      </c>
      <c r="P205" t="e">
        <f>Nodes!F1701+"'E4!)]#"</f>
        <v>#VALUE!</v>
      </c>
      <c r="Q205" t="e">
        <f>Nodes!G1701+"'E4!)]$"</f>
        <v>#VALUE!</v>
      </c>
      <c r="R205" t="e">
        <f>Nodes!H1701+"'E4!)]%"</f>
        <v>#VALUE!</v>
      </c>
      <c r="S205" t="e">
        <f>Nodes!I1701+"'E4!)]&amp;"</f>
        <v>#VALUE!</v>
      </c>
      <c r="T205" t="e">
        <f>Nodes!J1701+"'E4!)]'"</f>
        <v>#VALUE!</v>
      </c>
      <c r="U205" t="e">
        <f>Nodes!K1701+"'E4!)]("</f>
        <v>#VALUE!</v>
      </c>
      <c r="V205" t="e">
        <f>Nodes!L1701+"'E4!)])"</f>
        <v>#VALUE!</v>
      </c>
      <c r="W205" t="e">
        <f>Nodes!M1701+"'E4!)]."</f>
        <v>#VALUE!</v>
      </c>
      <c r="X205" t="e">
        <f>Nodes!N1701+"'E4!)]/"</f>
        <v>#VALUE!</v>
      </c>
      <c r="Y205" t="e">
        <f>Nodes!O1701+"'E4!)]0"</f>
        <v>#VALUE!</v>
      </c>
      <c r="Z205" t="e">
        <f>Nodes!P1701+"'E4!)]1"</f>
        <v>#VALUE!</v>
      </c>
      <c r="AA205" t="e">
        <f>Nodes!Q1701+"'E4!)]2"</f>
        <v>#VALUE!</v>
      </c>
      <c r="AB205" t="e">
        <f>Nodes!R1701+"'E4!)]3"</f>
        <v>#VALUE!</v>
      </c>
      <c r="AC205" t="e">
        <f>Nodes!S1701+"'E4!)]4"</f>
        <v>#VALUE!</v>
      </c>
      <c r="AD205" t="e">
        <f>Nodes!T1701+"'E4!)]5"</f>
        <v>#VALUE!</v>
      </c>
      <c r="AE205" t="e">
        <f>Nodes!U1701+"'E4!)]6"</f>
        <v>#VALUE!</v>
      </c>
      <c r="AF205" t="e">
        <f>Nodes!V1701+"'E4!)]7"</f>
        <v>#VALUE!</v>
      </c>
      <c r="AG205" t="e">
        <f>Nodes!W1701+"'E4!)]8"</f>
        <v>#VALUE!</v>
      </c>
      <c r="AH205" t="e">
        <f>Nodes!X1701+"'E4!)]9"</f>
        <v>#VALUE!</v>
      </c>
      <c r="AI205" t="e">
        <f>Nodes!Y1701+"'E4!)]:"</f>
        <v>#VALUE!</v>
      </c>
      <c r="AJ205" t="e">
        <f>Nodes!Z1701+"'E4!)];"</f>
        <v>#VALUE!</v>
      </c>
      <c r="AK205" t="e">
        <f>Nodes!AA1701+"'E4!)]&lt;"</f>
        <v>#VALUE!</v>
      </c>
      <c r="AL205" t="e">
        <f>Nodes!AB1701+"'E4!)]="</f>
        <v>#VALUE!</v>
      </c>
      <c r="AM205" t="e">
        <f>Nodes!AC1701+"'E4!)]&gt;"</f>
        <v>#VALUE!</v>
      </c>
      <c r="AN205" t="e">
        <f>Nodes!A1702+"'E4!)]?"</f>
        <v>#VALUE!</v>
      </c>
      <c r="AO205" t="e">
        <f>Nodes!B1702+"'E4!)]@"</f>
        <v>#VALUE!</v>
      </c>
      <c r="AP205" t="e">
        <f>Nodes!C1702+"'E4!)]A"</f>
        <v>#VALUE!</v>
      </c>
      <c r="AQ205" t="e">
        <f>Nodes!D1702+"'E4!)]B"</f>
        <v>#VALUE!</v>
      </c>
      <c r="AR205" t="e">
        <f>Nodes!E1702+"'E4!)]C"</f>
        <v>#VALUE!</v>
      </c>
      <c r="AS205" t="e">
        <f>Nodes!F1702+"'E4!)]D"</f>
        <v>#VALUE!</v>
      </c>
      <c r="AT205" t="e">
        <f>Nodes!G1702+"'E4!)]E"</f>
        <v>#VALUE!</v>
      </c>
      <c r="AU205" t="e">
        <f>Nodes!H1702+"'E4!)]F"</f>
        <v>#VALUE!</v>
      </c>
      <c r="AV205" t="e">
        <f>Nodes!I1702+"'E4!)]G"</f>
        <v>#VALUE!</v>
      </c>
      <c r="AW205" t="e">
        <f>Nodes!J1702+"'E4!)]H"</f>
        <v>#VALUE!</v>
      </c>
      <c r="AX205" t="e">
        <f>Nodes!K1702+"'E4!)]I"</f>
        <v>#VALUE!</v>
      </c>
      <c r="AY205" t="e">
        <f>Nodes!L1702+"'E4!)]J"</f>
        <v>#VALUE!</v>
      </c>
      <c r="AZ205" t="e">
        <f>Nodes!M1702+"'E4!)]K"</f>
        <v>#VALUE!</v>
      </c>
      <c r="BA205" t="e">
        <f>Nodes!N1702+"'E4!)]L"</f>
        <v>#VALUE!</v>
      </c>
      <c r="BB205" t="e">
        <f>Nodes!O1702+"'E4!)]M"</f>
        <v>#VALUE!</v>
      </c>
      <c r="BC205" t="e">
        <f>Nodes!P1702+"'E4!)]N"</f>
        <v>#VALUE!</v>
      </c>
      <c r="BD205" t="e">
        <f>Nodes!Q1702+"'E4!)]O"</f>
        <v>#VALUE!</v>
      </c>
      <c r="BE205" t="e">
        <f>Nodes!R1702+"'E4!)]P"</f>
        <v>#VALUE!</v>
      </c>
      <c r="BF205" t="e">
        <f>Nodes!S1702+"'E4!)]Q"</f>
        <v>#VALUE!</v>
      </c>
      <c r="BG205" t="e">
        <f>Nodes!T1702+"'E4!)]R"</f>
        <v>#VALUE!</v>
      </c>
      <c r="BH205" t="e">
        <f>Nodes!U1702+"'E4!)]S"</f>
        <v>#VALUE!</v>
      </c>
      <c r="BI205" t="e">
        <f>Nodes!V1702+"'E4!)]T"</f>
        <v>#VALUE!</v>
      </c>
      <c r="BJ205" t="e">
        <f>Nodes!W1702+"'E4!)]U"</f>
        <v>#VALUE!</v>
      </c>
      <c r="BK205" t="e">
        <f>Nodes!X1702+"'E4!)]V"</f>
        <v>#VALUE!</v>
      </c>
      <c r="BL205" t="e">
        <f>Nodes!Y1702+"'E4!)]W"</f>
        <v>#VALUE!</v>
      </c>
      <c r="BM205" t="e">
        <f>Nodes!Z1702+"'E4!)]X"</f>
        <v>#VALUE!</v>
      </c>
      <c r="BN205" t="e">
        <f>Nodes!AA1702+"'E4!)]Y"</f>
        <v>#VALUE!</v>
      </c>
      <c r="BO205" t="e">
        <f>Nodes!AB1702+"'E4!)]Z"</f>
        <v>#VALUE!</v>
      </c>
      <c r="BP205" t="e">
        <f>Nodes!AC1702+"'E4!)]["</f>
        <v>#VALUE!</v>
      </c>
      <c r="BQ205" t="e">
        <f>Nodes!A1703+"'E4!)]\"</f>
        <v>#VALUE!</v>
      </c>
      <c r="BR205" t="e">
        <f>Nodes!B1703+"'E4!)]]"</f>
        <v>#VALUE!</v>
      </c>
      <c r="BS205" t="e">
        <f>Nodes!C1703+"'E4!)]^"</f>
        <v>#VALUE!</v>
      </c>
      <c r="BT205" t="e">
        <f>Nodes!D1703+"'E4!)]_"</f>
        <v>#VALUE!</v>
      </c>
      <c r="BU205" t="e">
        <f>Nodes!E1703+"'E4!)]`"</f>
        <v>#VALUE!</v>
      </c>
      <c r="BV205" t="e">
        <f>Nodes!F1703+"'E4!)]a"</f>
        <v>#VALUE!</v>
      </c>
      <c r="BW205" t="e">
        <f>Nodes!G1703+"'E4!)]b"</f>
        <v>#VALUE!</v>
      </c>
      <c r="BX205" t="e">
        <f>Nodes!H1703+"'E4!)]c"</f>
        <v>#VALUE!</v>
      </c>
      <c r="BY205" t="e">
        <f>Nodes!I1703+"'E4!)]d"</f>
        <v>#VALUE!</v>
      </c>
      <c r="BZ205" t="e">
        <f>Nodes!J1703+"'E4!)]e"</f>
        <v>#VALUE!</v>
      </c>
      <c r="CA205" t="e">
        <f>Nodes!K1703+"'E4!)]f"</f>
        <v>#VALUE!</v>
      </c>
      <c r="CB205" t="e">
        <f>Nodes!L1703+"'E4!)]g"</f>
        <v>#VALUE!</v>
      </c>
      <c r="CC205" t="e">
        <f>Nodes!M1703+"'E4!)]h"</f>
        <v>#VALUE!</v>
      </c>
      <c r="CD205" t="e">
        <f>Nodes!N1703+"'E4!)]i"</f>
        <v>#VALUE!</v>
      </c>
      <c r="CE205" t="e">
        <f>Nodes!O1703+"'E4!)]j"</f>
        <v>#VALUE!</v>
      </c>
      <c r="CF205" t="e">
        <f>Nodes!P1703+"'E4!)]k"</f>
        <v>#VALUE!</v>
      </c>
      <c r="CG205" t="e">
        <f>Nodes!Q1703+"'E4!)]l"</f>
        <v>#VALUE!</v>
      </c>
      <c r="CH205" t="e">
        <f>Nodes!R1703+"'E4!)]m"</f>
        <v>#VALUE!</v>
      </c>
      <c r="CI205" t="e">
        <f>Nodes!S1703+"'E4!)]n"</f>
        <v>#VALUE!</v>
      </c>
      <c r="CJ205" t="e">
        <f>Nodes!T1703+"'E4!)]o"</f>
        <v>#VALUE!</v>
      </c>
      <c r="CK205" t="e">
        <f>Nodes!U1703+"'E4!)]p"</f>
        <v>#VALUE!</v>
      </c>
      <c r="CL205" t="e">
        <f>Nodes!V1703+"'E4!)]q"</f>
        <v>#VALUE!</v>
      </c>
      <c r="CM205" t="e">
        <f>Nodes!W1703+"'E4!)]r"</f>
        <v>#VALUE!</v>
      </c>
      <c r="CN205" t="e">
        <f>Nodes!X1703+"'E4!)]s"</f>
        <v>#VALUE!</v>
      </c>
      <c r="CO205" t="e">
        <f>Nodes!Y1703+"'E4!)]t"</f>
        <v>#VALUE!</v>
      </c>
      <c r="CP205" t="e">
        <f>Nodes!Z1703+"'E4!)]u"</f>
        <v>#VALUE!</v>
      </c>
      <c r="CQ205" t="e">
        <f>Nodes!AA1703+"'E4!)]v"</f>
        <v>#VALUE!</v>
      </c>
      <c r="CR205" t="e">
        <f>Nodes!AB1703+"'E4!)]w"</f>
        <v>#VALUE!</v>
      </c>
      <c r="CS205" t="e">
        <f>Nodes!AC1703+"'E4!)]x"</f>
        <v>#VALUE!</v>
      </c>
      <c r="CT205" t="e">
        <f>Nodes!A1704+"'E4!)]y"</f>
        <v>#VALUE!</v>
      </c>
      <c r="CU205" t="e">
        <f>Nodes!B1704+"'E4!)]z"</f>
        <v>#VALUE!</v>
      </c>
      <c r="CV205" t="e">
        <f>Nodes!C1704+"'E4!)]{"</f>
        <v>#VALUE!</v>
      </c>
      <c r="CW205" t="e">
        <f>Nodes!D1704+"'E4!)]|"</f>
        <v>#VALUE!</v>
      </c>
      <c r="CX205" t="e">
        <f>Nodes!E1704+"'E4!)]}"</f>
        <v>#VALUE!</v>
      </c>
      <c r="CY205" t="e">
        <f>Nodes!F1704+"'E4!)]~"</f>
        <v>#VALUE!</v>
      </c>
      <c r="CZ205" t="e">
        <f>Nodes!G1704+"'E4!)^#"</f>
        <v>#VALUE!</v>
      </c>
      <c r="DA205" t="e">
        <f>Nodes!H1704+"'E4!)^$"</f>
        <v>#VALUE!</v>
      </c>
      <c r="DB205" t="e">
        <f>Nodes!I1704+"'E4!)^%"</f>
        <v>#VALUE!</v>
      </c>
      <c r="DC205" t="e">
        <f>Nodes!J1704+"'E4!)^&amp;"</f>
        <v>#VALUE!</v>
      </c>
      <c r="DD205" t="e">
        <f>Nodes!K1704+"'E4!)^'"</f>
        <v>#VALUE!</v>
      </c>
      <c r="DE205" t="e">
        <f>Nodes!L1704+"'E4!)^("</f>
        <v>#VALUE!</v>
      </c>
      <c r="DF205" t="e">
        <f>Nodes!M1704+"'E4!)^)"</f>
        <v>#VALUE!</v>
      </c>
      <c r="DG205" t="e">
        <f>Nodes!N1704+"'E4!)^."</f>
        <v>#VALUE!</v>
      </c>
      <c r="DH205" t="e">
        <f>Nodes!O1704+"'E4!)^/"</f>
        <v>#VALUE!</v>
      </c>
      <c r="DI205" t="e">
        <f>Nodes!P1704+"'E4!)^0"</f>
        <v>#VALUE!</v>
      </c>
      <c r="DJ205" t="e">
        <f>Nodes!Q1704+"'E4!)^1"</f>
        <v>#VALUE!</v>
      </c>
      <c r="DK205" t="e">
        <f>Nodes!R1704+"'E4!)^2"</f>
        <v>#VALUE!</v>
      </c>
      <c r="DL205" t="e">
        <f>Nodes!S1704+"'E4!)^3"</f>
        <v>#VALUE!</v>
      </c>
      <c r="DM205" t="e">
        <f>Nodes!T1704+"'E4!)^4"</f>
        <v>#VALUE!</v>
      </c>
      <c r="DN205" t="e">
        <f>Nodes!U1704+"'E4!)^5"</f>
        <v>#VALUE!</v>
      </c>
      <c r="DO205" t="e">
        <f>Nodes!V1704+"'E4!)^6"</f>
        <v>#VALUE!</v>
      </c>
      <c r="DP205" t="e">
        <f>Nodes!W1704+"'E4!)^7"</f>
        <v>#VALUE!</v>
      </c>
      <c r="DQ205" t="e">
        <f>Nodes!X1704+"'E4!)^8"</f>
        <v>#VALUE!</v>
      </c>
      <c r="DR205" t="e">
        <f>Nodes!Y1704+"'E4!)^9"</f>
        <v>#VALUE!</v>
      </c>
      <c r="DS205" t="e">
        <f>Nodes!Z1704+"'E4!)^:"</f>
        <v>#VALUE!</v>
      </c>
      <c r="DT205" t="e">
        <f>Nodes!AA1704+"'E4!)^;"</f>
        <v>#VALUE!</v>
      </c>
      <c r="DU205" t="e">
        <f>Nodes!AB1704+"'E4!)^&lt;"</f>
        <v>#VALUE!</v>
      </c>
      <c r="DV205" t="e">
        <f>Nodes!AC1704+"'E4!)^="</f>
        <v>#VALUE!</v>
      </c>
      <c r="DW205" t="e">
        <f>Nodes!A1705+"'E4!)^&gt;"</f>
        <v>#VALUE!</v>
      </c>
      <c r="DX205" t="e">
        <f>Nodes!B1705+"'E4!)^?"</f>
        <v>#VALUE!</v>
      </c>
      <c r="DY205" t="e">
        <f>Nodes!C1705+"'E4!)^@"</f>
        <v>#VALUE!</v>
      </c>
      <c r="DZ205" t="e">
        <f>Nodes!D1705+"'E4!)^A"</f>
        <v>#VALUE!</v>
      </c>
      <c r="EA205" t="e">
        <f>Nodes!E1705+"'E4!)^B"</f>
        <v>#VALUE!</v>
      </c>
      <c r="EB205" t="e">
        <f>Nodes!F1705+"'E4!)^C"</f>
        <v>#VALUE!</v>
      </c>
      <c r="EC205" t="e">
        <f>Nodes!G1705+"'E4!)^D"</f>
        <v>#VALUE!</v>
      </c>
      <c r="ED205" t="e">
        <f>Nodes!H1705+"'E4!)^E"</f>
        <v>#VALUE!</v>
      </c>
      <c r="EE205" t="e">
        <f>Nodes!I1705+"'E4!)^F"</f>
        <v>#VALUE!</v>
      </c>
      <c r="EF205" t="e">
        <f>Nodes!J1705+"'E4!)^G"</f>
        <v>#VALUE!</v>
      </c>
      <c r="EG205" t="e">
        <f>Nodes!K1705+"'E4!)^H"</f>
        <v>#VALUE!</v>
      </c>
      <c r="EH205" t="e">
        <f>Nodes!L1705+"'E4!)^I"</f>
        <v>#VALUE!</v>
      </c>
      <c r="EI205" t="e">
        <f>Nodes!M1705+"'E4!)^J"</f>
        <v>#VALUE!</v>
      </c>
      <c r="EJ205" t="e">
        <f>Nodes!N1705+"'E4!)^K"</f>
        <v>#VALUE!</v>
      </c>
      <c r="EK205" t="e">
        <f>Nodes!O1705+"'E4!)^L"</f>
        <v>#VALUE!</v>
      </c>
      <c r="EL205" t="e">
        <f>Nodes!P1705+"'E4!)^M"</f>
        <v>#VALUE!</v>
      </c>
      <c r="EM205" t="e">
        <f>Nodes!Q1705+"'E4!)^N"</f>
        <v>#VALUE!</v>
      </c>
      <c r="EN205" t="e">
        <f>Nodes!R1705+"'E4!)^O"</f>
        <v>#VALUE!</v>
      </c>
      <c r="EO205" t="e">
        <f>Nodes!S1705+"'E4!)^P"</f>
        <v>#VALUE!</v>
      </c>
      <c r="EP205" t="e">
        <f>Nodes!T1705+"'E4!)^Q"</f>
        <v>#VALUE!</v>
      </c>
      <c r="EQ205" t="e">
        <f>Nodes!U1705+"'E4!)^R"</f>
        <v>#VALUE!</v>
      </c>
      <c r="ER205" t="e">
        <f>Nodes!V1705+"'E4!)^S"</f>
        <v>#VALUE!</v>
      </c>
      <c r="ES205" t="e">
        <f>Nodes!W1705+"'E4!)^T"</f>
        <v>#VALUE!</v>
      </c>
      <c r="ET205" t="e">
        <f>Nodes!X1705+"'E4!)^U"</f>
        <v>#VALUE!</v>
      </c>
      <c r="EU205" t="e">
        <f>Nodes!Y1705+"'E4!)^V"</f>
        <v>#VALUE!</v>
      </c>
      <c r="EV205" t="e">
        <f>Nodes!Z1705+"'E4!)^W"</f>
        <v>#VALUE!</v>
      </c>
      <c r="EW205" t="e">
        <f>Nodes!AA1705+"'E4!)^X"</f>
        <v>#VALUE!</v>
      </c>
      <c r="EX205" t="e">
        <f>Nodes!AB1705+"'E4!)^Y"</f>
        <v>#VALUE!</v>
      </c>
      <c r="EY205" t="e">
        <f>Nodes!AC1705+"'E4!)^Z"</f>
        <v>#VALUE!</v>
      </c>
      <c r="EZ205" t="e">
        <f>Nodes!A1706+"'E4!)^["</f>
        <v>#VALUE!</v>
      </c>
      <c r="FA205" t="e">
        <f>Nodes!B1706+"'E4!)^\"</f>
        <v>#VALUE!</v>
      </c>
      <c r="FB205" t="e">
        <f>Nodes!C1706+"'E4!)^]"</f>
        <v>#VALUE!</v>
      </c>
      <c r="FC205" t="e">
        <f>Nodes!D1706+"'E4!)^^"</f>
        <v>#VALUE!</v>
      </c>
      <c r="FD205" t="e">
        <f>Nodes!E1706+"'E4!)^_"</f>
        <v>#VALUE!</v>
      </c>
      <c r="FE205" t="e">
        <f>Nodes!F1706+"'E4!)^`"</f>
        <v>#VALUE!</v>
      </c>
      <c r="FF205" t="e">
        <f>Nodes!G1706+"'E4!)^a"</f>
        <v>#VALUE!</v>
      </c>
      <c r="FG205" t="e">
        <f>Nodes!H1706+"'E4!)^b"</f>
        <v>#VALUE!</v>
      </c>
      <c r="FH205" t="e">
        <f>Nodes!I1706+"'E4!)^c"</f>
        <v>#VALUE!</v>
      </c>
      <c r="FI205" t="e">
        <f>Nodes!J1706+"'E4!)^d"</f>
        <v>#VALUE!</v>
      </c>
      <c r="FJ205" t="e">
        <f>Nodes!K1706+"'E4!)^e"</f>
        <v>#VALUE!</v>
      </c>
      <c r="FK205" t="e">
        <f>Nodes!L1706+"'E4!)^f"</f>
        <v>#VALUE!</v>
      </c>
      <c r="FL205" t="e">
        <f>Nodes!M1706+"'E4!)^g"</f>
        <v>#VALUE!</v>
      </c>
      <c r="FM205" t="e">
        <f>Nodes!N1706+"'E4!)^h"</f>
        <v>#VALUE!</v>
      </c>
      <c r="FN205" t="e">
        <f>Nodes!O1706+"'E4!)^i"</f>
        <v>#VALUE!</v>
      </c>
      <c r="FO205" t="e">
        <f>Nodes!P1706+"'E4!)^j"</f>
        <v>#VALUE!</v>
      </c>
      <c r="FP205" t="e">
        <f>Nodes!Q1706+"'E4!)^k"</f>
        <v>#VALUE!</v>
      </c>
      <c r="FQ205" t="e">
        <f>Nodes!R1706+"'E4!)^l"</f>
        <v>#VALUE!</v>
      </c>
      <c r="FR205" t="e">
        <f>Nodes!S1706+"'E4!)^m"</f>
        <v>#VALUE!</v>
      </c>
      <c r="FS205" t="e">
        <f>Nodes!T1706+"'E4!)^n"</f>
        <v>#VALUE!</v>
      </c>
      <c r="FT205" t="e">
        <f>Nodes!U1706+"'E4!)^o"</f>
        <v>#VALUE!</v>
      </c>
      <c r="FU205" t="e">
        <f>Nodes!V1706+"'E4!)^p"</f>
        <v>#VALUE!</v>
      </c>
      <c r="FV205" t="e">
        <f>Nodes!W1706+"'E4!)^q"</f>
        <v>#VALUE!</v>
      </c>
      <c r="FW205" t="e">
        <f>Nodes!X1706+"'E4!)^r"</f>
        <v>#VALUE!</v>
      </c>
      <c r="FX205" t="e">
        <f>Nodes!Y1706+"'E4!)^s"</f>
        <v>#VALUE!</v>
      </c>
      <c r="FY205" t="e">
        <f>Nodes!Z1706+"'E4!)^t"</f>
        <v>#VALUE!</v>
      </c>
      <c r="FZ205" t="e">
        <f>Nodes!AA1706+"'E4!)^u"</f>
        <v>#VALUE!</v>
      </c>
      <c r="GA205" t="e">
        <f>Nodes!AB1706+"'E4!)^v"</f>
        <v>#VALUE!</v>
      </c>
      <c r="GB205" t="e">
        <f>Nodes!AC1706+"'E4!)^w"</f>
        <v>#VALUE!</v>
      </c>
      <c r="GC205" t="e">
        <f>Nodes!A1707+"'E4!)^x"</f>
        <v>#VALUE!</v>
      </c>
      <c r="GD205" t="e">
        <f>Nodes!B1707+"'E4!)^y"</f>
        <v>#VALUE!</v>
      </c>
      <c r="GE205" t="e">
        <f>Nodes!C1707+"'E4!)^z"</f>
        <v>#VALUE!</v>
      </c>
      <c r="GF205" t="e">
        <f>Nodes!D1707+"'E4!)^{"</f>
        <v>#VALUE!</v>
      </c>
      <c r="GG205" t="e">
        <f>Nodes!E1707+"'E4!)^|"</f>
        <v>#VALUE!</v>
      </c>
      <c r="GH205" t="e">
        <f>Nodes!F1707+"'E4!)^}"</f>
        <v>#VALUE!</v>
      </c>
      <c r="GI205" t="e">
        <f>Nodes!G1707+"'E4!)^~"</f>
        <v>#VALUE!</v>
      </c>
      <c r="GJ205" t="e">
        <f>Nodes!H1707+"'E4!)_#"</f>
        <v>#VALUE!</v>
      </c>
      <c r="GK205" t="e">
        <f>Nodes!I1707+"'E4!)_$"</f>
        <v>#VALUE!</v>
      </c>
      <c r="GL205" t="e">
        <f>Nodes!J1707+"'E4!)_%"</f>
        <v>#VALUE!</v>
      </c>
      <c r="GM205" t="e">
        <f>Nodes!K1707+"'E4!)_&amp;"</f>
        <v>#VALUE!</v>
      </c>
      <c r="GN205" t="e">
        <f>Nodes!L1707+"'E4!)_'"</f>
        <v>#VALUE!</v>
      </c>
      <c r="GO205" t="e">
        <f>Nodes!M1707+"'E4!)_("</f>
        <v>#VALUE!</v>
      </c>
      <c r="GP205" t="e">
        <f>Nodes!N1707+"'E4!)_)"</f>
        <v>#VALUE!</v>
      </c>
      <c r="GQ205" t="e">
        <f>Nodes!O1707+"'E4!)_."</f>
        <v>#VALUE!</v>
      </c>
      <c r="GR205" t="e">
        <f>Nodes!P1707+"'E4!)_/"</f>
        <v>#VALUE!</v>
      </c>
      <c r="GS205" t="e">
        <f>Nodes!Q1707+"'E4!)_0"</f>
        <v>#VALUE!</v>
      </c>
      <c r="GT205" t="e">
        <f>Nodes!R1707+"'E4!)_1"</f>
        <v>#VALUE!</v>
      </c>
      <c r="GU205" t="e">
        <f>Nodes!S1707+"'E4!)_2"</f>
        <v>#VALUE!</v>
      </c>
      <c r="GV205" t="e">
        <f>Nodes!T1707+"'E4!)_3"</f>
        <v>#VALUE!</v>
      </c>
      <c r="GW205" t="e">
        <f>Nodes!U1707+"'E4!)_4"</f>
        <v>#VALUE!</v>
      </c>
      <c r="GX205" t="e">
        <f>Nodes!V1707+"'E4!)_5"</f>
        <v>#VALUE!</v>
      </c>
      <c r="GY205" t="e">
        <f>Nodes!W1707+"'E4!)_6"</f>
        <v>#VALUE!</v>
      </c>
      <c r="GZ205" t="e">
        <f>Nodes!X1707+"'E4!)_7"</f>
        <v>#VALUE!</v>
      </c>
      <c r="HA205" t="e">
        <f>Nodes!Y1707+"'E4!)_8"</f>
        <v>#VALUE!</v>
      </c>
      <c r="HB205" t="e">
        <f>Nodes!Z1707+"'E4!)_9"</f>
        <v>#VALUE!</v>
      </c>
      <c r="HC205" t="e">
        <f>Nodes!AA1707+"'E4!)_:"</f>
        <v>#VALUE!</v>
      </c>
      <c r="HD205" t="e">
        <f>Nodes!AB1707+"'E4!)_;"</f>
        <v>#VALUE!</v>
      </c>
      <c r="HE205" t="e">
        <f>Nodes!AC1707+"'E4!)_&lt;"</f>
        <v>#VALUE!</v>
      </c>
      <c r="HF205" t="e">
        <f>Nodes!A1708+"'E4!)_="</f>
        <v>#VALUE!</v>
      </c>
      <c r="HG205" t="e">
        <f>Nodes!B1708+"'E4!)_&gt;"</f>
        <v>#VALUE!</v>
      </c>
      <c r="HH205" t="e">
        <f>Nodes!C1708+"'E4!)_?"</f>
        <v>#VALUE!</v>
      </c>
      <c r="HI205" t="e">
        <f>Nodes!D1708+"'E4!)_@"</f>
        <v>#VALUE!</v>
      </c>
      <c r="HJ205" t="e">
        <f>Nodes!E1708+"'E4!)_A"</f>
        <v>#VALUE!</v>
      </c>
      <c r="HK205" t="e">
        <f>Nodes!F1708+"'E4!)_B"</f>
        <v>#VALUE!</v>
      </c>
      <c r="HL205" t="e">
        <f>Nodes!G1708+"'E4!)_C"</f>
        <v>#VALUE!</v>
      </c>
      <c r="HM205" t="e">
        <f>Nodes!H1708+"'E4!)_D"</f>
        <v>#VALUE!</v>
      </c>
      <c r="HN205" t="e">
        <f>Nodes!I1708+"'E4!)_E"</f>
        <v>#VALUE!</v>
      </c>
      <c r="HO205" t="e">
        <f>Nodes!J1708+"'E4!)_F"</f>
        <v>#VALUE!</v>
      </c>
      <c r="HP205" t="e">
        <f>Nodes!K1708+"'E4!)_G"</f>
        <v>#VALUE!</v>
      </c>
      <c r="HQ205" t="e">
        <f>Nodes!L1708+"'E4!)_H"</f>
        <v>#VALUE!</v>
      </c>
      <c r="HR205" t="e">
        <f>Nodes!M1708+"'E4!)_I"</f>
        <v>#VALUE!</v>
      </c>
      <c r="HS205" t="e">
        <f>Nodes!N1708+"'E4!)_J"</f>
        <v>#VALUE!</v>
      </c>
      <c r="HT205" t="e">
        <f>Nodes!O1708+"'E4!)_K"</f>
        <v>#VALUE!</v>
      </c>
      <c r="HU205" t="e">
        <f>Nodes!P1708+"'E4!)_L"</f>
        <v>#VALUE!</v>
      </c>
      <c r="HV205" t="e">
        <f>Nodes!Q1708+"'E4!)_M"</f>
        <v>#VALUE!</v>
      </c>
      <c r="HW205" t="e">
        <f>Nodes!R1708+"'E4!)_N"</f>
        <v>#VALUE!</v>
      </c>
      <c r="HX205" t="e">
        <f>Nodes!S1708+"'E4!)_O"</f>
        <v>#VALUE!</v>
      </c>
      <c r="HY205" t="e">
        <f>Nodes!T1708+"'E4!)_P"</f>
        <v>#VALUE!</v>
      </c>
      <c r="HZ205" t="e">
        <f>Nodes!U1708+"'E4!)_Q"</f>
        <v>#VALUE!</v>
      </c>
      <c r="IA205" t="e">
        <f>Nodes!V1708+"'E4!)_R"</f>
        <v>#VALUE!</v>
      </c>
      <c r="IB205" t="e">
        <f>Nodes!W1708+"'E4!)_S"</f>
        <v>#VALUE!</v>
      </c>
      <c r="IC205" t="e">
        <f>Nodes!X1708+"'E4!)_T"</f>
        <v>#VALUE!</v>
      </c>
      <c r="ID205" t="e">
        <f>Nodes!Y1708+"'E4!)_U"</f>
        <v>#VALUE!</v>
      </c>
      <c r="IE205" t="e">
        <f>Nodes!Z1708+"'E4!)_V"</f>
        <v>#VALUE!</v>
      </c>
      <c r="IF205" t="e">
        <f>Nodes!AA1708+"'E4!)_W"</f>
        <v>#VALUE!</v>
      </c>
      <c r="IG205" t="e">
        <f>Nodes!AB1708+"'E4!)_X"</f>
        <v>#VALUE!</v>
      </c>
      <c r="IH205" t="e">
        <f>Nodes!AC1708+"'E4!)_Y"</f>
        <v>#VALUE!</v>
      </c>
      <c r="II205" t="e">
        <f>Nodes!A1709+"'E4!)_Z"</f>
        <v>#VALUE!</v>
      </c>
      <c r="IJ205" t="e">
        <f>Nodes!B1709+"'E4!)_["</f>
        <v>#VALUE!</v>
      </c>
      <c r="IK205" t="e">
        <f>Nodes!C1709+"'E4!)_\"</f>
        <v>#VALUE!</v>
      </c>
      <c r="IL205" t="e">
        <f>Nodes!D1709+"'E4!)_]"</f>
        <v>#VALUE!</v>
      </c>
      <c r="IM205" t="e">
        <f>Nodes!E1709+"'E4!)_^"</f>
        <v>#VALUE!</v>
      </c>
      <c r="IN205" t="e">
        <f>Nodes!F1709+"'E4!)__"</f>
        <v>#VALUE!</v>
      </c>
      <c r="IO205" t="e">
        <f>Nodes!G1709+"'E4!)_`"</f>
        <v>#VALUE!</v>
      </c>
      <c r="IP205" t="e">
        <f>Nodes!H1709+"'E4!)_a"</f>
        <v>#VALUE!</v>
      </c>
      <c r="IQ205" t="e">
        <f>Nodes!I1709+"'E4!)_b"</f>
        <v>#VALUE!</v>
      </c>
      <c r="IR205" t="e">
        <f>Nodes!J1709+"'E4!)_c"</f>
        <v>#VALUE!</v>
      </c>
      <c r="IS205" t="e">
        <f>Nodes!K1709+"'E4!)_d"</f>
        <v>#VALUE!</v>
      </c>
      <c r="IT205" t="e">
        <f>Nodes!L1709+"'E4!)_e"</f>
        <v>#VALUE!</v>
      </c>
      <c r="IU205" t="e">
        <f>Nodes!M1709+"'E4!)_f"</f>
        <v>#VALUE!</v>
      </c>
      <c r="IV205" t="e">
        <f>Nodes!N1709+"'E4!)_g"</f>
        <v>#VALUE!</v>
      </c>
    </row>
    <row r="206" spans="6:256">
      <c r="F206" t="e">
        <f>Nodes!O1709+"'E4!)_h"</f>
        <v>#VALUE!</v>
      </c>
      <c r="G206" t="e">
        <f>Nodes!P1709+"'E4!)_i"</f>
        <v>#VALUE!</v>
      </c>
      <c r="H206" t="e">
        <f>Nodes!Q1709+"'E4!)_j"</f>
        <v>#VALUE!</v>
      </c>
      <c r="I206" t="e">
        <f>Nodes!R1709+"'E4!)_k"</f>
        <v>#VALUE!</v>
      </c>
      <c r="J206" t="e">
        <f>Nodes!S1709+"'E4!)_l"</f>
        <v>#VALUE!</v>
      </c>
      <c r="K206" t="e">
        <f>Nodes!T1709+"'E4!)_m"</f>
        <v>#VALUE!</v>
      </c>
      <c r="L206" t="e">
        <f>Nodes!U1709+"'E4!)_n"</f>
        <v>#VALUE!</v>
      </c>
      <c r="M206" t="e">
        <f>Nodes!V1709+"'E4!)_o"</f>
        <v>#VALUE!</v>
      </c>
      <c r="N206" t="e">
        <f>Nodes!W1709+"'E4!)_p"</f>
        <v>#VALUE!</v>
      </c>
      <c r="O206" t="e">
        <f>Nodes!X1709+"'E4!)_q"</f>
        <v>#VALUE!</v>
      </c>
      <c r="P206" t="e">
        <f>Nodes!Y1709+"'E4!)_r"</f>
        <v>#VALUE!</v>
      </c>
      <c r="Q206" t="e">
        <f>Nodes!Z1709+"'E4!)_s"</f>
        <v>#VALUE!</v>
      </c>
      <c r="R206" t="e">
        <f>Nodes!AA1709+"'E4!)_t"</f>
        <v>#VALUE!</v>
      </c>
      <c r="S206" t="e">
        <f>Nodes!AB1709+"'E4!)_u"</f>
        <v>#VALUE!</v>
      </c>
      <c r="T206" t="e">
        <f>Nodes!AC1709+"'E4!)_v"</f>
        <v>#VALUE!</v>
      </c>
      <c r="U206" t="e">
        <f>Nodes!A1710+"'E4!)_w"</f>
        <v>#VALUE!</v>
      </c>
      <c r="V206" t="e">
        <f>Nodes!B1710+"'E4!)_x"</f>
        <v>#VALUE!</v>
      </c>
      <c r="W206" t="e">
        <f>Nodes!C1710+"'E4!)_y"</f>
        <v>#VALUE!</v>
      </c>
      <c r="X206" t="e">
        <f>Nodes!D1710+"'E4!)_z"</f>
        <v>#VALUE!</v>
      </c>
      <c r="Y206" t="e">
        <f>Nodes!E1710+"'E4!)_{"</f>
        <v>#VALUE!</v>
      </c>
      <c r="Z206" t="e">
        <f>Nodes!F1710+"'E4!)_|"</f>
        <v>#VALUE!</v>
      </c>
      <c r="AA206" t="e">
        <f>Nodes!G1710+"'E4!)_}"</f>
        <v>#VALUE!</v>
      </c>
      <c r="AB206" t="e">
        <f>Nodes!H1710+"'E4!)_~"</f>
        <v>#VALUE!</v>
      </c>
      <c r="AC206" t="e">
        <f>Nodes!I1710+"'E4!)`#"</f>
        <v>#VALUE!</v>
      </c>
      <c r="AD206" t="e">
        <f>Nodes!J1710+"'E4!)`$"</f>
        <v>#VALUE!</v>
      </c>
      <c r="AE206" t="e">
        <f>Nodes!K1710+"'E4!)`%"</f>
        <v>#VALUE!</v>
      </c>
      <c r="AF206" t="e">
        <f>Nodes!L1710+"'E4!)`&amp;"</f>
        <v>#VALUE!</v>
      </c>
      <c r="AG206" t="e">
        <f>Nodes!M1710+"'E4!)`'"</f>
        <v>#VALUE!</v>
      </c>
      <c r="AH206" t="e">
        <f>Nodes!N1710+"'E4!)`("</f>
        <v>#VALUE!</v>
      </c>
      <c r="AI206" t="e">
        <f>Nodes!O1710+"'E4!)`)"</f>
        <v>#VALUE!</v>
      </c>
      <c r="AJ206" t="e">
        <f>Nodes!P1710+"'E4!)`."</f>
        <v>#VALUE!</v>
      </c>
      <c r="AK206" t="e">
        <f>Nodes!Q1710+"'E4!)`/"</f>
        <v>#VALUE!</v>
      </c>
      <c r="AL206" t="e">
        <f>Nodes!R1710+"'E4!)`0"</f>
        <v>#VALUE!</v>
      </c>
      <c r="AM206" t="e">
        <f>Nodes!S1710+"'E4!)`1"</f>
        <v>#VALUE!</v>
      </c>
      <c r="AN206" t="e">
        <f>Nodes!T1710+"'E4!)`2"</f>
        <v>#VALUE!</v>
      </c>
      <c r="AO206" t="e">
        <f>Nodes!U1710+"'E4!)`3"</f>
        <v>#VALUE!</v>
      </c>
      <c r="AP206" t="e">
        <f>Nodes!V1710+"'E4!)`4"</f>
        <v>#VALUE!</v>
      </c>
      <c r="AQ206" t="e">
        <f>Nodes!W1710+"'E4!)`5"</f>
        <v>#VALUE!</v>
      </c>
      <c r="AR206" t="e">
        <f>Nodes!X1710+"'E4!)`6"</f>
        <v>#VALUE!</v>
      </c>
      <c r="AS206" t="e">
        <f>Nodes!Y1710+"'E4!)`7"</f>
        <v>#VALUE!</v>
      </c>
      <c r="AT206" t="e">
        <f>Nodes!Z1710+"'E4!)`8"</f>
        <v>#VALUE!</v>
      </c>
      <c r="AU206" t="e">
        <f>Nodes!AA1710+"'E4!)`9"</f>
        <v>#VALUE!</v>
      </c>
      <c r="AV206" t="e">
        <f>Nodes!AB1710+"'E4!)`:"</f>
        <v>#VALUE!</v>
      </c>
      <c r="AW206" t="e">
        <f>Nodes!AC1710+"'E4!)`;"</f>
        <v>#VALUE!</v>
      </c>
      <c r="AX206" t="e">
        <f>Nodes!A1711+"'E4!)`&lt;"</f>
        <v>#VALUE!</v>
      </c>
      <c r="AY206" t="e">
        <f>Nodes!B1711+"'E4!)`="</f>
        <v>#VALUE!</v>
      </c>
      <c r="AZ206" t="e">
        <f>Nodes!C1711+"'E4!)`&gt;"</f>
        <v>#VALUE!</v>
      </c>
      <c r="BA206" t="e">
        <f>Nodes!D1711+"'E4!)`?"</f>
        <v>#VALUE!</v>
      </c>
      <c r="BB206" t="e">
        <f>Nodes!E1711+"'E4!)`@"</f>
        <v>#VALUE!</v>
      </c>
      <c r="BC206" t="e">
        <f>Nodes!F1711+"'E4!)`A"</f>
        <v>#VALUE!</v>
      </c>
      <c r="BD206" t="e">
        <f>Nodes!G1711+"'E4!)`B"</f>
        <v>#VALUE!</v>
      </c>
      <c r="BE206" t="e">
        <f>Nodes!H1711+"'E4!)`C"</f>
        <v>#VALUE!</v>
      </c>
      <c r="BF206" t="e">
        <f>Nodes!I1711+"'E4!)`D"</f>
        <v>#VALUE!</v>
      </c>
      <c r="BG206" t="e">
        <f>Nodes!J1711+"'E4!)`E"</f>
        <v>#VALUE!</v>
      </c>
      <c r="BH206" t="e">
        <f>Nodes!K1711+"'E4!)`F"</f>
        <v>#VALUE!</v>
      </c>
      <c r="BI206" t="e">
        <f>Nodes!L1711+"'E4!)`G"</f>
        <v>#VALUE!</v>
      </c>
      <c r="BJ206" t="e">
        <f>Nodes!M1711+"'E4!)`H"</f>
        <v>#VALUE!</v>
      </c>
      <c r="BK206" t="e">
        <f>Nodes!N1711+"'E4!)`I"</f>
        <v>#VALUE!</v>
      </c>
      <c r="BL206" t="e">
        <f>Nodes!O1711+"'E4!)`J"</f>
        <v>#VALUE!</v>
      </c>
      <c r="BM206" t="e">
        <f>Nodes!P1711+"'E4!)`K"</f>
        <v>#VALUE!</v>
      </c>
      <c r="BN206" t="e">
        <f>Nodes!Q1711+"'E4!)`L"</f>
        <v>#VALUE!</v>
      </c>
      <c r="BO206" t="e">
        <f>Nodes!R1711+"'E4!)`M"</f>
        <v>#VALUE!</v>
      </c>
      <c r="BP206" t="e">
        <f>Nodes!S1711+"'E4!)`N"</f>
        <v>#VALUE!</v>
      </c>
      <c r="BQ206" t="e">
        <f>Nodes!T1711+"'E4!)`O"</f>
        <v>#VALUE!</v>
      </c>
      <c r="BR206" t="e">
        <f>Nodes!U1711+"'E4!)`P"</f>
        <v>#VALUE!</v>
      </c>
      <c r="BS206" t="e">
        <f>Nodes!V1711+"'E4!)`Q"</f>
        <v>#VALUE!</v>
      </c>
      <c r="BT206" t="e">
        <f>Nodes!W1711+"'E4!)`R"</f>
        <v>#VALUE!</v>
      </c>
      <c r="BU206" t="e">
        <f>Nodes!X1711+"'E4!)`S"</f>
        <v>#VALUE!</v>
      </c>
      <c r="BV206" t="e">
        <f>Nodes!Y1711+"'E4!)`T"</f>
        <v>#VALUE!</v>
      </c>
      <c r="BW206" t="e">
        <f>Nodes!Z1711+"'E4!)`U"</f>
        <v>#VALUE!</v>
      </c>
      <c r="BX206" t="e">
        <f>Nodes!AA1711+"'E4!)`V"</f>
        <v>#VALUE!</v>
      </c>
      <c r="BY206" t="e">
        <f>Nodes!AB1711+"'E4!)`W"</f>
        <v>#VALUE!</v>
      </c>
      <c r="BZ206" t="e">
        <f>Nodes!AC1711+"'E4!)`X"</f>
        <v>#VALUE!</v>
      </c>
      <c r="CA206" t="e">
        <f>Nodes!A1712+"'E4!)`Y"</f>
        <v>#VALUE!</v>
      </c>
      <c r="CB206" t="e">
        <f>Nodes!B1712+"'E4!)`Z"</f>
        <v>#VALUE!</v>
      </c>
      <c r="CC206" t="e">
        <f>Nodes!C1712+"'E4!)`["</f>
        <v>#VALUE!</v>
      </c>
      <c r="CD206" t="e">
        <f>Nodes!D1712+"'E4!)`\"</f>
        <v>#VALUE!</v>
      </c>
      <c r="CE206" t="e">
        <f>Nodes!E1712+"'E4!)`]"</f>
        <v>#VALUE!</v>
      </c>
      <c r="CF206" t="e">
        <f>Nodes!F1712+"'E4!)`^"</f>
        <v>#VALUE!</v>
      </c>
      <c r="CG206" t="e">
        <f>Nodes!G1712+"'E4!)`_"</f>
        <v>#VALUE!</v>
      </c>
      <c r="CH206" t="e">
        <f>Nodes!H1712+"'E4!)``"</f>
        <v>#VALUE!</v>
      </c>
      <c r="CI206" t="e">
        <f>Nodes!I1712+"'E4!)`a"</f>
        <v>#VALUE!</v>
      </c>
      <c r="CJ206" t="e">
        <f>Nodes!J1712+"'E4!)`b"</f>
        <v>#VALUE!</v>
      </c>
      <c r="CK206" t="e">
        <f>Nodes!K1712+"'E4!)`c"</f>
        <v>#VALUE!</v>
      </c>
      <c r="CL206" t="e">
        <f>Nodes!L1712+"'E4!)`d"</f>
        <v>#VALUE!</v>
      </c>
      <c r="CM206" t="e">
        <f>Nodes!M1712+"'E4!)`e"</f>
        <v>#VALUE!</v>
      </c>
      <c r="CN206" t="e">
        <f>Nodes!N1712+"'E4!)`f"</f>
        <v>#VALUE!</v>
      </c>
      <c r="CO206" t="e">
        <f>Nodes!O1712+"'E4!)`g"</f>
        <v>#VALUE!</v>
      </c>
      <c r="CP206" t="e">
        <f>Nodes!P1712+"'E4!)`h"</f>
        <v>#VALUE!</v>
      </c>
      <c r="CQ206" t="e">
        <f>Nodes!Q1712+"'E4!)`i"</f>
        <v>#VALUE!</v>
      </c>
      <c r="CR206" t="e">
        <f>Nodes!R1712+"'E4!)`j"</f>
        <v>#VALUE!</v>
      </c>
      <c r="CS206" t="e">
        <f>Nodes!S1712+"'E4!)`k"</f>
        <v>#VALUE!</v>
      </c>
      <c r="CT206" t="e">
        <f>Nodes!T1712+"'E4!)`l"</f>
        <v>#VALUE!</v>
      </c>
      <c r="CU206" t="e">
        <f>Nodes!U1712+"'E4!)`m"</f>
        <v>#VALUE!</v>
      </c>
      <c r="CV206" t="e">
        <f>Nodes!V1712+"'E4!)`n"</f>
        <v>#VALUE!</v>
      </c>
      <c r="CW206" t="e">
        <f>Nodes!W1712+"'E4!)`o"</f>
        <v>#VALUE!</v>
      </c>
      <c r="CX206" t="e">
        <f>Nodes!X1712+"'E4!)`p"</f>
        <v>#VALUE!</v>
      </c>
      <c r="CY206" t="e">
        <f>Nodes!Y1712+"'E4!)`q"</f>
        <v>#VALUE!</v>
      </c>
      <c r="CZ206" t="e">
        <f>Nodes!Z1712+"'E4!)`r"</f>
        <v>#VALUE!</v>
      </c>
      <c r="DA206" t="e">
        <f>Nodes!AA1712+"'E4!)`s"</f>
        <v>#VALUE!</v>
      </c>
      <c r="DB206" t="e">
        <f>Nodes!AB1712+"'E4!)`t"</f>
        <v>#VALUE!</v>
      </c>
      <c r="DC206" t="e">
        <f>Nodes!AC1712+"'E4!)`u"</f>
        <v>#VALUE!</v>
      </c>
      <c r="DD206" t="e">
        <f>Nodes!A1713+"'E4!)`v"</f>
        <v>#VALUE!</v>
      </c>
      <c r="DE206" t="e">
        <f>Nodes!B1713+"'E4!)`w"</f>
        <v>#VALUE!</v>
      </c>
      <c r="DF206" t="e">
        <f>Nodes!C1713+"'E4!)`x"</f>
        <v>#VALUE!</v>
      </c>
      <c r="DG206" t="e">
        <f>Nodes!D1713+"'E4!)`y"</f>
        <v>#VALUE!</v>
      </c>
      <c r="DH206" t="e">
        <f>Nodes!E1713+"'E4!)`z"</f>
        <v>#VALUE!</v>
      </c>
      <c r="DI206" t="e">
        <f>Nodes!F1713+"'E4!)`{"</f>
        <v>#VALUE!</v>
      </c>
      <c r="DJ206" t="e">
        <f>Nodes!G1713+"'E4!)`|"</f>
        <v>#VALUE!</v>
      </c>
      <c r="DK206" t="e">
        <f>Nodes!H1713+"'E4!)`}"</f>
        <v>#VALUE!</v>
      </c>
      <c r="DL206" t="e">
        <f>Nodes!I1713+"'E4!)`~"</f>
        <v>#VALUE!</v>
      </c>
      <c r="DM206" t="e">
        <f>Nodes!J1713+"'E4!)a#"</f>
        <v>#VALUE!</v>
      </c>
      <c r="DN206" t="e">
        <f>Nodes!K1713+"'E4!)a$"</f>
        <v>#VALUE!</v>
      </c>
      <c r="DO206" t="e">
        <f>Nodes!L1713+"'E4!)a%"</f>
        <v>#VALUE!</v>
      </c>
      <c r="DP206" t="e">
        <f>Nodes!M1713+"'E4!)a&amp;"</f>
        <v>#VALUE!</v>
      </c>
      <c r="DQ206" t="e">
        <f>Nodes!N1713+"'E4!)a'"</f>
        <v>#VALUE!</v>
      </c>
      <c r="DR206" t="e">
        <f>Nodes!O1713+"'E4!)a("</f>
        <v>#VALUE!</v>
      </c>
      <c r="DS206" t="e">
        <f>Nodes!P1713+"'E4!)a)"</f>
        <v>#VALUE!</v>
      </c>
      <c r="DT206" t="e">
        <f>Nodes!Q1713+"'E4!)a."</f>
        <v>#VALUE!</v>
      </c>
      <c r="DU206" t="e">
        <f>Nodes!R1713+"'E4!)a/"</f>
        <v>#VALUE!</v>
      </c>
      <c r="DV206" t="e">
        <f>Nodes!S1713+"'E4!)a0"</f>
        <v>#VALUE!</v>
      </c>
      <c r="DW206" t="e">
        <f>Nodes!T1713+"'E4!)a1"</f>
        <v>#VALUE!</v>
      </c>
      <c r="DX206" t="e">
        <f>Nodes!U1713+"'E4!)a2"</f>
        <v>#VALUE!</v>
      </c>
      <c r="DY206" t="e">
        <f>Nodes!V1713+"'E4!)a3"</f>
        <v>#VALUE!</v>
      </c>
      <c r="DZ206" t="e">
        <f>Nodes!W1713+"'E4!)a4"</f>
        <v>#VALUE!</v>
      </c>
      <c r="EA206" t="e">
        <f>Nodes!X1713+"'E4!)a5"</f>
        <v>#VALUE!</v>
      </c>
      <c r="EB206" t="e">
        <f>Nodes!Y1713+"'E4!)a6"</f>
        <v>#VALUE!</v>
      </c>
      <c r="EC206" t="e">
        <f>Nodes!Z1713+"'E4!)a7"</f>
        <v>#VALUE!</v>
      </c>
      <c r="ED206" t="e">
        <f>Nodes!AA1713+"'E4!)a8"</f>
        <v>#VALUE!</v>
      </c>
      <c r="EE206" t="e">
        <f>Nodes!AB1713+"'E4!)a9"</f>
        <v>#VALUE!</v>
      </c>
      <c r="EF206" t="e">
        <f>Nodes!AC1713+"'E4!)a:"</f>
        <v>#VALUE!</v>
      </c>
      <c r="EG206" t="e">
        <f>Nodes!A1714+"'E4!)a;"</f>
        <v>#VALUE!</v>
      </c>
      <c r="EH206" t="e">
        <f>Nodes!B1714+"'E4!)a&lt;"</f>
        <v>#VALUE!</v>
      </c>
      <c r="EI206" t="e">
        <f>Nodes!C1714+"'E4!)a="</f>
        <v>#VALUE!</v>
      </c>
      <c r="EJ206" t="e">
        <f>Nodes!D1714+"'E4!)a&gt;"</f>
        <v>#VALUE!</v>
      </c>
      <c r="EK206" t="e">
        <f>Nodes!E1714+"'E4!)a?"</f>
        <v>#VALUE!</v>
      </c>
      <c r="EL206" t="e">
        <f>Nodes!F1714+"'E4!)a@"</f>
        <v>#VALUE!</v>
      </c>
      <c r="EM206" t="e">
        <f>Nodes!G1714+"'E4!)aA"</f>
        <v>#VALUE!</v>
      </c>
      <c r="EN206" t="e">
        <f>Nodes!H1714+"'E4!)aB"</f>
        <v>#VALUE!</v>
      </c>
      <c r="EO206" t="e">
        <f>Nodes!I1714+"'E4!)aC"</f>
        <v>#VALUE!</v>
      </c>
      <c r="EP206" t="e">
        <f>Nodes!J1714+"'E4!)aD"</f>
        <v>#VALUE!</v>
      </c>
      <c r="EQ206" t="e">
        <f>Nodes!K1714+"'E4!)aE"</f>
        <v>#VALUE!</v>
      </c>
      <c r="ER206" t="e">
        <f>Nodes!L1714+"'E4!)aF"</f>
        <v>#VALUE!</v>
      </c>
      <c r="ES206" t="e">
        <f>Nodes!M1714+"'E4!)aG"</f>
        <v>#VALUE!</v>
      </c>
      <c r="ET206" t="e">
        <f>Nodes!N1714+"'E4!)aH"</f>
        <v>#VALUE!</v>
      </c>
      <c r="EU206" t="e">
        <f>Nodes!O1714+"'E4!)aI"</f>
        <v>#VALUE!</v>
      </c>
      <c r="EV206" t="e">
        <f>Nodes!P1714+"'E4!)aJ"</f>
        <v>#VALUE!</v>
      </c>
      <c r="EW206" t="e">
        <f>Nodes!Q1714+"'E4!)aK"</f>
        <v>#VALUE!</v>
      </c>
      <c r="EX206" t="e">
        <f>Nodes!R1714+"'E4!)aL"</f>
        <v>#VALUE!</v>
      </c>
      <c r="EY206" t="e">
        <f>Nodes!S1714+"'E4!)aM"</f>
        <v>#VALUE!</v>
      </c>
      <c r="EZ206" t="e">
        <f>Nodes!T1714+"'E4!)aN"</f>
        <v>#VALUE!</v>
      </c>
      <c r="FA206" t="e">
        <f>Nodes!U1714+"'E4!)aO"</f>
        <v>#VALUE!</v>
      </c>
      <c r="FB206" t="e">
        <f>Nodes!V1714+"'E4!)aP"</f>
        <v>#VALUE!</v>
      </c>
      <c r="FC206" t="e">
        <f>Nodes!W1714+"'E4!)aQ"</f>
        <v>#VALUE!</v>
      </c>
      <c r="FD206" t="e">
        <f>Nodes!X1714+"'E4!)aR"</f>
        <v>#VALUE!</v>
      </c>
      <c r="FE206" t="e">
        <f>Nodes!Y1714+"'E4!)aS"</f>
        <v>#VALUE!</v>
      </c>
      <c r="FF206" t="e">
        <f>Nodes!Z1714+"'E4!)aT"</f>
        <v>#VALUE!</v>
      </c>
      <c r="FG206" t="e">
        <f>Nodes!AA1714+"'E4!)aU"</f>
        <v>#VALUE!</v>
      </c>
      <c r="FH206" t="e">
        <f>Nodes!AB1714+"'E4!)aV"</f>
        <v>#VALUE!</v>
      </c>
      <c r="FI206" t="e">
        <f>Nodes!AC1714+"'E4!)aW"</f>
        <v>#VALUE!</v>
      </c>
      <c r="FJ206" t="e">
        <f>Nodes!A1715+"'E4!)aX"</f>
        <v>#VALUE!</v>
      </c>
      <c r="FK206" t="e">
        <f>Nodes!B1715+"'E4!)aY"</f>
        <v>#VALUE!</v>
      </c>
      <c r="FL206" t="e">
        <f>Nodes!C1715+"'E4!)aZ"</f>
        <v>#VALUE!</v>
      </c>
      <c r="FM206" t="e">
        <f>Nodes!D1715+"'E4!)a["</f>
        <v>#VALUE!</v>
      </c>
      <c r="FN206" t="e">
        <f>Nodes!E1715+"'E4!)a\"</f>
        <v>#VALUE!</v>
      </c>
      <c r="FO206" t="e">
        <f>Nodes!F1715+"'E4!)a]"</f>
        <v>#VALUE!</v>
      </c>
      <c r="FP206" t="e">
        <f>Nodes!G1715+"'E4!)a^"</f>
        <v>#VALUE!</v>
      </c>
      <c r="FQ206" t="e">
        <f>Nodes!H1715+"'E4!)a_"</f>
        <v>#VALUE!</v>
      </c>
      <c r="FR206" t="e">
        <f>Nodes!I1715+"'E4!)a`"</f>
        <v>#VALUE!</v>
      </c>
      <c r="FS206" t="e">
        <f>Nodes!J1715+"'E4!)aa"</f>
        <v>#VALUE!</v>
      </c>
      <c r="FT206" t="e">
        <f>Nodes!K1715+"'E4!)ab"</f>
        <v>#VALUE!</v>
      </c>
      <c r="FU206" t="e">
        <f>Nodes!L1715+"'E4!)ac"</f>
        <v>#VALUE!</v>
      </c>
      <c r="FV206" t="e">
        <f>Nodes!M1715+"'E4!)ad"</f>
        <v>#VALUE!</v>
      </c>
      <c r="FW206" t="e">
        <f>Nodes!N1715+"'E4!)ae"</f>
        <v>#VALUE!</v>
      </c>
      <c r="FX206" t="e">
        <f>Nodes!O1715+"'E4!)af"</f>
        <v>#VALUE!</v>
      </c>
      <c r="FY206" t="e">
        <f>Nodes!P1715+"'E4!)ag"</f>
        <v>#VALUE!</v>
      </c>
      <c r="FZ206" t="e">
        <f>Nodes!Q1715+"'E4!)ah"</f>
        <v>#VALUE!</v>
      </c>
      <c r="GA206" t="e">
        <f>Nodes!R1715+"'E4!)ai"</f>
        <v>#VALUE!</v>
      </c>
      <c r="GB206" t="e">
        <f>Nodes!S1715+"'E4!)aj"</f>
        <v>#VALUE!</v>
      </c>
      <c r="GC206" t="e">
        <f>Nodes!T1715+"'E4!)ak"</f>
        <v>#VALUE!</v>
      </c>
      <c r="GD206" t="e">
        <f>Nodes!U1715+"'E4!)al"</f>
        <v>#VALUE!</v>
      </c>
      <c r="GE206" t="e">
        <f>Nodes!V1715+"'E4!)am"</f>
        <v>#VALUE!</v>
      </c>
      <c r="GF206" t="e">
        <f>Nodes!W1715+"'E4!)an"</f>
        <v>#VALUE!</v>
      </c>
      <c r="GG206" t="e">
        <f>Nodes!X1715+"'E4!)ao"</f>
        <v>#VALUE!</v>
      </c>
      <c r="GH206" t="e">
        <f>Nodes!Y1715+"'E4!)ap"</f>
        <v>#VALUE!</v>
      </c>
      <c r="GI206" t="e">
        <f>Nodes!Z1715+"'E4!)aq"</f>
        <v>#VALUE!</v>
      </c>
      <c r="GJ206" t="e">
        <f>Nodes!AA1715+"'E4!)ar"</f>
        <v>#VALUE!</v>
      </c>
      <c r="GK206" t="e">
        <f>Nodes!AB1715+"'E4!)as"</f>
        <v>#VALUE!</v>
      </c>
      <c r="GL206" t="e">
        <f>Nodes!AC1715+"'E4!)at"</f>
        <v>#VALUE!</v>
      </c>
      <c r="GM206" t="e">
        <f>Nodes!A1716+"'E4!)au"</f>
        <v>#VALUE!</v>
      </c>
      <c r="GN206" t="e">
        <f>Nodes!B1716+"'E4!)av"</f>
        <v>#VALUE!</v>
      </c>
      <c r="GO206" t="e">
        <f>Nodes!C1716+"'E4!)aw"</f>
        <v>#VALUE!</v>
      </c>
      <c r="GP206" t="e">
        <f>Nodes!D1716+"'E4!)ax"</f>
        <v>#VALUE!</v>
      </c>
      <c r="GQ206" t="e">
        <f>Nodes!E1716+"'E4!)ay"</f>
        <v>#VALUE!</v>
      </c>
      <c r="GR206" t="e">
        <f>Nodes!F1716+"'E4!)az"</f>
        <v>#VALUE!</v>
      </c>
      <c r="GS206" t="e">
        <f>Nodes!G1716+"'E4!)a{"</f>
        <v>#VALUE!</v>
      </c>
      <c r="GT206" t="e">
        <f>Nodes!H1716+"'E4!)a|"</f>
        <v>#VALUE!</v>
      </c>
      <c r="GU206" t="e">
        <f>Nodes!I1716+"'E4!)a}"</f>
        <v>#VALUE!</v>
      </c>
      <c r="GV206" t="e">
        <f>Nodes!J1716+"'E4!)a~"</f>
        <v>#VALUE!</v>
      </c>
      <c r="GW206" t="e">
        <f>Nodes!K1716+"'E4!)b#"</f>
        <v>#VALUE!</v>
      </c>
      <c r="GX206" t="e">
        <f>Nodes!L1716+"'E4!)b$"</f>
        <v>#VALUE!</v>
      </c>
      <c r="GY206" t="e">
        <f>Nodes!M1716+"'E4!)b%"</f>
        <v>#VALUE!</v>
      </c>
      <c r="GZ206" t="e">
        <f>Nodes!N1716+"'E4!)b&amp;"</f>
        <v>#VALUE!</v>
      </c>
      <c r="HA206" t="e">
        <f>Nodes!O1716+"'E4!)b'"</f>
        <v>#VALUE!</v>
      </c>
      <c r="HB206" t="e">
        <f>Nodes!P1716+"'E4!)b("</f>
        <v>#VALUE!</v>
      </c>
      <c r="HC206" t="e">
        <f>Nodes!Q1716+"'E4!)b)"</f>
        <v>#VALUE!</v>
      </c>
      <c r="HD206" t="e">
        <f>Nodes!R1716+"'E4!)b."</f>
        <v>#VALUE!</v>
      </c>
      <c r="HE206" t="e">
        <f>Nodes!S1716+"'E4!)b/"</f>
        <v>#VALUE!</v>
      </c>
      <c r="HF206" t="e">
        <f>Nodes!T1716+"'E4!)b0"</f>
        <v>#VALUE!</v>
      </c>
      <c r="HG206" t="e">
        <f>Nodes!U1716+"'E4!)b1"</f>
        <v>#VALUE!</v>
      </c>
      <c r="HH206" t="e">
        <f>Nodes!V1716+"'E4!)b2"</f>
        <v>#VALUE!</v>
      </c>
      <c r="HI206" t="e">
        <f>Nodes!W1716+"'E4!)b3"</f>
        <v>#VALUE!</v>
      </c>
      <c r="HJ206" t="e">
        <f>Nodes!X1716+"'E4!)b4"</f>
        <v>#VALUE!</v>
      </c>
      <c r="HK206" t="e">
        <f>Nodes!Y1716+"'E4!)b5"</f>
        <v>#VALUE!</v>
      </c>
      <c r="HL206" t="e">
        <f>Nodes!Z1716+"'E4!)b6"</f>
        <v>#VALUE!</v>
      </c>
      <c r="HM206" t="e">
        <f>Nodes!AA1716+"'E4!)b7"</f>
        <v>#VALUE!</v>
      </c>
      <c r="HN206" t="e">
        <f>Nodes!AB1716+"'E4!)b8"</f>
        <v>#VALUE!</v>
      </c>
      <c r="HO206" t="e">
        <f>Nodes!AC1716+"'E4!)b9"</f>
        <v>#VALUE!</v>
      </c>
      <c r="HP206" t="e">
        <f>Nodes!A1717+"'E4!)b:"</f>
        <v>#VALUE!</v>
      </c>
      <c r="HQ206" t="e">
        <f>Nodes!B1717+"'E4!)b;"</f>
        <v>#VALUE!</v>
      </c>
      <c r="HR206" t="e">
        <f>Nodes!C1717+"'E4!)b&lt;"</f>
        <v>#VALUE!</v>
      </c>
      <c r="HS206" t="e">
        <f>Nodes!D1717+"'E4!)b="</f>
        <v>#VALUE!</v>
      </c>
      <c r="HT206" t="e">
        <f>Nodes!E1717+"'E4!)b&gt;"</f>
        <v>#VALUE!</v>
      </c>
      <c r="HU206" t="e">
        <f>Nodes!F1717+"'E4!)b?"</f>
        <v>#VALUE!</v>
      </c>
      <c r="HV206" t="e">
        <f>Nodes!G1717+"'E4!)b@"</f>
        <v>#VALUE!</v>
      </c>
      <c r="HW206" t="e">
        <f>Nodes!H1717+"'E4!)bA"</f>
        <v>#VALUE!</v>
      </c>
      <c r="HX206" t="e">
        <f>Nodes!I1717+"'E4!)bB"</f>
        <v>#VALUE!</v>
      </c>
      <c r="HY206" t="e">
        <f>Nodes!J1717+"'E4!)bC"</f>
        <v>#VALUE!</v>
      </c>
      <c r="HZ206" t="e">
        <f>Nodes!K1717+"'E4!)bD"</f>
        <v>#VALUE!</v>
      </c>
      <c r="IA206" t="e">
        <f>Nodes!L1717+"'E4!)bE"</f>
        <v>#VALUE!</v>
      </c>
      <c r="IB206" t="e">
        <f>Nodes!M1717+"'E4!)bF"</f>
        <v>#VALUE!</v>
      </c>
      <c r="IC206" t="e">
        <f>Nodes!N1717+"'E4!)bG"</f>
        <v>#VALUE!</v>
      </c>
      <c r="ID206" t="e">
        <f>Nodes!O1717+"'E4!)bH"</f>
        <v>#VALUE!</v>
      </c>
      <c r="IE206" t="e">
        <f>Nodes!P1717+"'E4!)bI"</f>
        <v>#VALUE!</v>
      </c>
      <c r="IF206" t="e">
        <f>Nodes!Q1717+"'E4!)bJ"</f>
        <v>#VALUE!</v>
      </c>
      <c r="IG206" t="e">
        <f>Nodes!R1717+"'E4!)bK"</f>
        <v>#VALUE!</v>
      </c>
      <c r="IH206" t="e">
        <f>Nodes!S1717+"'E4!)bL"</f>
        <v>#VALUE!</v>
      </c>
      <c r="II206" t="e">
        <f>Nodes!T1717+"'E4!)bM"</f>
        <v>#VALUE!</v>
      </c>
      <c r="IJ206" t="e">
        <f>Nodes!U1717+"'E4!)bN"</f>
        <v>#VALUE!</v>
      </c>
      <c r="IK206" t="e">
        <f>Nodes!V1717+"'E4!)bO"</f>
        <v>#VALUE!</v>
      </c>
      <c r="IL206" t="e">
        <f>Nodes!W1717+"'E4!)bP"</f>
        <v>#VALUE!</v>
      </c>
      <c r="IM206" t="e">
        <f>Nodes!X1717+"'E4!)bQ"</f>
        <v>#VALUE!</v>
      </c>
      <c r="IN206" t="e">
        <f>Nodes!Y1717+"'E4!)bR"</f>
        <v>#VALUE!</v>
      </c>
      <c r="IO206" t="e">
        <f>Nodes!Z1717+"'E4!)bS"</f>
        <v>#VALUE!</v>
      </c>
      <c r="IP206" t="e">
        <f>Nodes!AA1717+"'E4!)bT"</f>
        <v>#VALUE!</v>
      </c>
      <c r="IQ206" t="e">
        <f>Nodes!AB1717+"'E4!)bU"</f>
        <v>#VALUE!</v>
      </c>
      <c r="IR206" t="e">
        <f>Nodes!AC1717+"'E4!)bV"</f>
        <v>#VALUE!</v>
      </c>
      <c r="IS206" t="e">
        <f>Nodes!A1718+"'E4!)bW"</f>
        <v>#VALUE!</v>
      </c>
      <c r="IT206" t="e">
        <f>Nodes!B1718+"'E4!)bX"</f>
        <v>#VALUE!</v>
      </c>
      <c r="IU206" t="e">
        <f>Nodes!C1718+"'E4!)bY"</f>
        <v>#VALUE!</v>
      </c>
      <c r="IV206" t="e">
        <f>Nodes!D1718+"'E4!)bZ"</f>
        <v>#VALUE!</v>
      </c>
    </row>
    <row r="207" spans="6:256">
      <c r="F207" t="e">
        <f>Nodes!E1718+"'E4!)b["</f>
        <v>#VALUE!</v>
      </c>
      <c r="G207" t="e">
        <f>Nodes!F1718+"'E4!)b\"</f>
        <v>#VALUE!</v>
      </c>
      <c r="H207" t="e">
        <f>Nodes!G1718+"'E4!)b]"</f>
        <v>#VALUE!</v>
      </c>
      <c r="I207" t="e">
        <f>Nodes!H1718+"'E4!)b^"</f>
        <v>#VALUE!</v>
      </c>
      <c r="J207" t="e">
        <f>Nodes!I1718+"'E4!)b_"</f>
        <v>#VALUE!</v>
      </c>
      <c r="K207" t="e">
        <f>Nodes!J1718+"'E4!)b`"</f>
        <v>#VALUE!</v>
      </c>
      <c r="L207" t="e">
        <f>Nodes!K1718+"'E4!)ba"</f>
        <v>#VALUE!</v>
      </c>
      <c r="M207" t="e">
        <f>Nodes!L1718+"'E4!)bb"</f>
        <v>#VALUE!</v>
      </c>
      <c r="N207" t="e">
        <f>Nodes!M1718+"'E4!)bc"</f>
        <v>#VALUE!</v>
      </c>
      <c r="O207" t="e">
        <f>Nodes!N1718+"'E4!)bd"</f>
        <v>#VALUE!</v>
      </c>
      <c r="P207" t="e">
        <f>Nodes!O1718+"'E4!)be"</f>
        <v>#VALUE!</v>
      </c>
      <c r="Q207" t="e">
        <f>Nodes!P1718+"'E4!)bf"</f>
        <v>#VALUE!</v>
      </c>
      <c r="R207" t="e">
        <f>Nodes!Q1718+"'E4!)bg"</f>
        <v>#VALUE!</v>
      </c>
      <c r="S207" t="e">
        <f>Nodes!R1718+"'E4!)bh"</f>
        <v>#VALUE!</v>
      </c>
      <c r="T207" t="e">
        <f>Nodes!S1718+"'E4!)bi"</f>
        <v>#VALUE!</v>
      </c>
      <c r="U207" t="e">
        <f>Nodes!T1718+"'E4!)bj"</f>
        <v>#VALUE!</v>
      </c>
      <c r="V207" t="e">
        <f>Nodes!U1718+"'E4!)bk"</f>
        <v>#VALUE!</v>
      </c>
      <c r="W207" t="e">
        <f>Nodes!V1718+"'E4!)bl"</f>
        <v>#VALUE!</v>
      </c>
      <c r="X207" t="e">
        <f>Nodes!W1718+"'E4!)bm"</f>
        <v>#VALUE!</v>
      </c>
      <c r="Y207" t="e">
        <f>Nodes!X1718+"'E4!)bn"</f>
        <v>#VALUE!</v>
      </c>
      <c r="Z207" t="e">
        <f>Nodes!Y1718+"'E4!)bo"</f>
        <v>#VALUE!</v>
      </c>
      <c r="AA207" t="e">
        <f>Nodes!Z1718+"'E4!)bp"</f>
        <v>#VALUE!</v>
      </c>
      <c r="AB207" t="e">
        <f>Nodes!AA1718+"'E4!)bq"</f>
        <v>#VALUE!</v>
      </c>
      <c r="AC207" t="e">
        <f>Nodes!AB1718+"'E4!)br"</f>
        <v>#VALUE!</v>
      </c>
      <c r="AD207" t="e">
        <f>Nodes!AC1718+"'E4!)bs"</f>
        <v>#VALUE!</v>
      </c>
      <c r="AE207" t="e">
        <f>Nodes!A1719+"'E4!)bt"</f>
        <v>#VALUE!</v>
      </c>
      <c r="AF207" t="e">
        <f>Nodes!B1719+"'E4!)bu"</f>
        <v>#VALUE!</v>
      </c>
      <c r="AG207" t="e">
        <f>Nodes!C1719+"'E4!)bv"</f>
        <v>#VALUE!</v>
      </c>
      <c r="AH207" t="e">
        <f>Nodes!D1719+"'E4!)bw"</f>
        <v>#VALUE!</v>
      </c>
      <c r="AI207" t="e">
        <f>Nodes!E1719+"'E4!)bx"</f>
        <v>#VALUE!</v>
      </c>
      <c r="AJ207" t="e">
        <f>Nodes!F1719+"'E4!)by"</f>
        <v>#VALUE!</v>
      </c>
      <c r="AK207" t="e">
        <f>Nodes!G1719+"'E4!)bz"</f>
        <v>#VALUE!</v>
      </c>
      <c r="AL207" t="e">
        <f>Nodes!H1719+"'E4!)b{"</f>
        <v>#VALUE!</v>
      </c>
      <c r="AM207" t="e">
        <f>Nodes!I1719+"'E4!)b|"</f>
        <v>#VALUE!</v>
      </c>
      <c r="AN207" t="e">
        <f>Nodes!J1719+"'E4!)b}"</f>
        <v>#VALUE!</v>
      </c>
      <c r="AO207" t="e">
        <f>Nodes!K1719+"'E4!)b~"</f>
        <v>#VALUE!</v>
      </c>
      <c r="AP207" t="e">
        <f>Nodes!L1719+"'E4!)c#"</f>
        <v>#VALUE!</v>
      </c>
      <c r="AQ207" t="e">
        <f>Nodes!M1719+"'E4!)c$"</f>
        <v>#VALUE!</v>
      </c>
      <c r="AR207" t="e">
        <f>Nodes!N1719+"'E4!)c%"</f>
        <v>#VALUE!</v>
      </c>
      <c r="AS207" t="e">
        <f>Nodes!O1719+"'E4!)c&amp;"</f>
        <v>#VALUE!</v>
      </c>
      <c r="AT207" t="e">
        <f>Nodes!P1719+"'E4!)c'"</f>
        <v>#VALUE!</v>
      </c>
      <c r="AU207" t="e">
        <f>Nodes!Q1719+"'E4!)c("</f>
        <v>#VALUE!</v>
      </c>
      <c r="AV207" t="e">
        <f>Nodes!R1719+"'E4!)c)"</f>
        <v>#VALUE!</v>
      </c>
      <c r="AW207" t="e">
        <f>Nodes!S1719+"'E4!)c."</f>
        <v>#VALUE!</v>
      </c>
      <c r="AX207" t="e">
        <f>Nodes!T1719+"'E4!)c/"</f>
        <v>#VALUE!</v>
      </c>
      <c r="AY207" t="e">
        <f>Nodes!U1719+"'E4!)c0"</f>
        <v>#VALUE!</v>
      </c>
      <c r="AZ207" t="e">
        <f>Nodes!V1719+"'E4!)c1"</f>
        <v>#VALUE!</v>
      </c>
      <c r="BA207" t="e">
        <f>Nodes!W1719+"'E4!)c2"</f>
        <v>#VALUE!</v>
      </c>
      <c r="BB207" t="e">
        <f>Nodes!X1719+"'E4!)c3"</f>
        <v>#VALUE!</v>
      </c>
      <c r="BC207" t="e">
        <f>Nodes!Y1719+"'E4!)c4"</f>
        <v>#VALUE!</v>
      </c>
      <c r="BD207" t="e">
        <f>Nodes!Z1719+"'E4!)c5"</f>
        <v>#VALUE!</v>
      </c>
      <c r="BE207" t="e">
        <f>Nodes!AA1719+"'E4!)c6"</f>
        <v>#VALUE!</v>
      </c>
      <c r="BF207" t="e">
        <f>Nodes!AB1719+"'E4!)c7"</f>
        <v>#VALUE!</v>
      </c>
      <c r="BG207" t="e">
        <f>Nodes!AC1719+"'E4!)c8"</f>
        <v>#VALUE!</v>
      </c>
      <c r="BH207" t="e">
        <f>Nodes!A1720+"'E4!)c9"</f>
        <v>#VALUE!</v>
      </c>
      <c r="BI207" t="e">
        <f>Nodes!B1720+"'E4!)c:"</f>
        <v>#VALUE!</v>
      </c>
      <c r="BJ207" t="e">
        <f>Nodes!C1720+"'E4!)c;"</f>
        <v>#VALUE!</v>
      </c>
      <c r="BK207" t="e">
        <f>Nodes!D1720+"'E4!)c&lt;"</f>
        <v>#VALUE!</v>
      </c>
      <c r="BL207" t="e">
        <f>Nodes!E1720+"'E4!)c="</f>
        <v>#VALUE!</v>
      </c>
      <c r="BM207" t="e">
        <f>Nodes!F1720+"'E4!)c&gt;"</f>
        <v>#VALUE!</v>
      </c>
      <c r="BN207" t="e">
        <f>Nodes!G1720+"'E4!)c?"</f>
        <v>#VALUE!</v>
      </c>
      <c r="BO207" t="e">
        <f>Nodes!H1720+"'E4!)c@"</f>
        <v>#VALUE!</v>
      </c>
      <c r="BP207" t="e">
        <f>Nodes!I1720+"'E4!)cA"</f>
        <v>#VALUE!</v>
      </c>
      <c r="BQ207" t="e">
        <f>Nodes!J1720+"'E4!)cB"</f>
        <v>#VALUE!</v>
      </c>
      <c r="BR207" t="e">
        <f>Nodes!K1720+"'E4!)cC"</f>
        <v>#VALUE!</v>
      </c>
      <c r="BS207" t="e">
        <f>Nodes!L1720+"'E4!)cD"</f>
        <v>#VALUE!</v>
      </c>
      <c r="BT207" t="e">
        <f>Nodes!M1720+"'E4!)cE"</f>
        <v>#VALUE!</v>
      </c>
      <c r="BU207" t="e">
        <f>Nodes!N1720+"'E4!)cF"</f>
        <v>#VALUE!</v>
      </c>
      <c r="BV207" t="e">
        <f>Nodes!O1720+"'E4!)cG"</f>
        <v>#VALUE!</v>
      </c>
      <c r="BW207" t="e">
        <f>Nodes!P1720+"'E4!)cH"</f>
        <v>#VALUE!</v>
      </c>
      <c r="BX207" t="e">
        <f>Nodes!Q1720+"'E4!)cI"</f>
        <v>#VALUE!</v>
      </c>
      <c r="BY207" t="e">
        <f>Nodes!R1720+"'E4!)cJ"</f>
        <v>#VALUE!</v>
      </c>
      <c r="BZ207" t="e">
        <f>Nodes!S1720+"'E4!)cK"</f>
        <v>#VALUE!</v>
      </c>
      <c r="CA207" t="e">
        <f>Nodes!T1720+"'E4!)cL"</f>
        <v>#VALUE!</v>
      </c>
      <c r="CB207" t="e">
        <f>Nodes!U1720+"'E4!)cM"</f>
        <v>#VALUE!</v>
      </c>
      <c r="CC207" t="e">
        <f>Nodes!V1720+"'E4!)cN"</f>
        <v>#VALUE!</v>
      </c>
      <c r="CD207" t="e">
        <f>Nodes!W1720+"'E4!)cO"</f>
        <v>#VALUE!</v>
      </c>
      <c r="CE207" t="e">
        <f>Nodes!X1720+"'E4!)cP"</f>
        <v>#VALUE!</v>
      </c>
      <c r="CF207" t="e">
        <f>Nodes!Y1720+"'E4!)cQ"</f>
        <v>#VALUE!</v>
      </c>
      <c r="CG207" t="e">
        <f>Nodes!Z1720+"'E4!)cR"</f>
        <v>#VALUE!</v>
      </c>
      <c r="CH207" t="e">
        <f>Nodes!AA1720+"'E4!)cS"</f>
        <v>#VALUE!</v>
      </c>
      <c r="CI207" t="e">
        <f>Nodes!AB1720+"'E4!)cT"</f>
        <v>#VALUE!</v>
      </c>
      <c r="CJ207" t="e">
        <f>Nodes!AC1720+"'E4!)cU"</f>
        <v>#VALUE!</v>
      </c>
      <c r="CK207" t="e">
        <f>Nodes!A1721+"'E4!)cV"</f>
        <v>#VALUE!</v>
      </c>
      <c r="CL207" t="e">
        <f>Nodes!B1721+"'E4!)cW"</f>
        <v>#VALUE!</v>
      </c>
      <c r="CM207" t="e">
        <f>Nodes!C1721+"'E4!)cX"</f>
        <v>#VALUE!</v>
      </c>
      <c r="CN207" t="e">
        <f>Nodes!D1721+"'E4!)cY"</f>
        <v>#VALUE!</v>
      </c>
      <c r="CO207" t="e">
        <f>Nodes!E1721+"'E4!)cZ"</f>
        <v>#VALUE!</v>
      </c>
      <c r="CP207" t="e">
        <f>Nodes!F1721+"'E4!)c["</f>
        <v>#VALUE!</v>
      </c>
      <c r="CQ207" t="e">
        <f>Nodes!G1721+"'E4!)c\"</f>
        <v>#VALUE!</v>
      </c>
      <c r="CR207" t="e">
        <f>Nodes!H1721+"'E4!)c]"</f>
        <v>#VALUE!</v>
      </c>
      <c r="CS207" t="e">
        <f>Nodes!I1721+"'E4!)c^"</f>
        <v>#VALUE!</v>
      </c>
      <c r="CT207" t="e">
        <f>Nodes!J1721+"'E4!)c_"</f>
        <v>#VALUE!</v>
      </c>
      <c r="CU207" t="e">
        <f>Nodes!K1721+"'E4!)c`"</f>
        <v>#VALUE!</v>
      </c>
      <c r="CV207" t="e">
        <f>Nodes!L1721+"'E4!)ca"</f>
        <v>#VALUE!</v>
      </c>
      <c r="CW207" t="e">
        <f>Nodes!M1721+"'E4!)cb"</f>
        <v>#VALUE!</v>
      </c>
      <c r="CX207" t="e">
        <f>Nodes!N1721+"'E4!)cc"</f>
        <v>#VALUE!</v>
      </c>
      <c r="CY207" t="e">
        <f>Nodes!O1721+"'E4!)cd"</f>
        <v>#VALUE!</v>
      </c>
      <c r="CZ207" t="e">
        <f>Nodes!P1721+"'E4!)ce"</f>
        <v>#VALUE!</v>
      </c>
      <c r="DA207" t="e">
        <f>Nodes!Q1721+"'E4!)cf"</f>
        <v>#VALUE!</v>
      </c>
      <c r="DB207" t="e">
        <f>Nodes!R1721+"'E4!)cg"</f>
        <v>#VALUE!</v>
      </c>
      <c r="DC207" t="e">
        <f>Nodes!S1721+"'E4!)ch"</f>
        <v>#VALUE!</v>
      </c>
      <c r="DD207" t="e">
        <f>Nodes!T1721+"'E4!)ci"</f>
        <v>#VALUE!</v>
      </c>
      <c r="DE207" t="e">
        <f>Nodes!U1721+"'E4!)cj"</f>
        <v>#VALUE!</v>
      </c>
      <c r="DF207" t="e">
        <f>Nodes!V1721+"'E4!)ck"</f>
        <v>#VALUE!</v>
      </c>
      <c r="DG207" t="e">
        <f>Nodes!W1721+"'E4!)cl"</f>
        <v>#VALUE!</v>
      </c>
      <c r="DH207" t="e">
        <f>Nodes!X1721+"'E4!)cm"</f>
        <v>#VALUE!</v>
      </c>
      <c r="DI207" t="e">
        <f>Nodes!Y1721+"'E4!)cn"</f>
        <v>#VALUE!</v>
      </c>
      <c r="DJ207" t="e">
        <f>Nodes!Z1721+"'E4!)co"</f>
        <v>#VALUE!</v>
      </c>
      <c r="DK207" t="e">
        <f>Nodes!AA1721+"'E4!)cp"</f>
        <v>#VALUE!</v>
      </c>
      <c r="DL207" t="e">
        <f>Nodes!AB1721+"'E4!)cq"</f>
        <v>#VALUE!</v>
      </c>
      <c r="DM207" t="e">
        <f>Nodes!AC1721+"'E4!)cr"</f>
        <v>#VALUE!</v>
      </c>
      <c r="DN207" t="e">
        <f>Nodes!A1722+"'E4!)cs"</f>
        <v>#VALUE!</v>
      </c>
      <c r="DO207" t="e">
        <f>Nodes!B1722+"'E4!)ct"</f>
        <v>#VALUE!</v>
      </c>
      <c r="DP207" t="e">
        <f>Nodes!C1722+"'E4!)cu"</f>
        <v>#VALUE!</v>
      </c>
      <c r="DQ207" t="e">
        <f>Nodes!D1722+"'E4!)cv"</f>
        <v>#VALUE!</v>
      </c>
      <c r="DR207" t="e">
        <f>Nodes!E1722+"'E4!)cw"</f>
        <v>#VALUE!</v>
      </c>
      <c r="DS207" t="e">
        <f>Nodes!F1722+"'E4!)cx"</f>
        <v>#VALUE!</v>
      </c>
      <c r="DT207" t="e">
        <f>Nodes!G1722+"'E4!)cy"</f>
        <v>#VALUE!</v>
      </c>
      <c r="DU207" t="e">
        <f>Nodes!H1722+"'E4!)cz"</f>
        <v>#VALUE!</v>
      </c>
      <c r="DV207" t="e">
        <f>Nodes!I1722+"'E4!)c{"</f>
        <v>#VALUE!</v>
      </c>
      <c r="DW207" t="e">
        <f>Nodes!J1722+"'E4!)c|"</f>
        <v>#VALUE!</v>
      </c>
      <c r="DX207" t="e">
        <f>Nodes!K1722+"'E4!)c}"</f>
        <v>#VALUE!</v>
      </c>
      <c r="DY207" t="e">
        <f>Nodes!L1722+"'E4!)c~"</f>
        <v>#VALUE!</v>
      </c>
      <c r="DZ207" t="e">
        <f>Nodes!M1722+"'E4!)d#"</f>
        <v>#VALUE!</v>
      </c>
      <c r="EA207" t="e">
        <f>Nodes!N1722+"'E4!)d$"</f>
        <v>#VALUE!</v>
      </c>
      <c r="EB207" t="e">
        <f>Nodes!O1722+"'E4!)d%"</f>
        <v>#VALUE!</v>
      </c>
      <c r="EC207" t="e">
        <f>Nodes!P1722+"'E4!)d&amp;"</f>
        <v>#VALUE!</v>
      </c>
      <c r="ED207" t="e">
        <f>Nodes!Q1722+"'E4!)d'"</f>
        <v>#VALUE!</v>
      </c>
      <c r="EE207" t="e">
        <f>Nodes!R1722+"'E4!)d("</f>
        <v>#VALUE!</v>
      </c>
      <c r="EF207" t="e">
        <f>Nodes!S1722+"'E4!)d)"</f>
        <v>#VALUE!</v>
      </c>
      <c r="EG207" t="e">
        <f>Nodes!T1722+"'E4!)d."</f>
        <v>#VALUE!</v>
      </c>
      <c r="EH207" t="e">
        <f>Nodes!U1722+"'E4!)d/"</f>
        <v>#VALUE!</v>
      </c>
      <c r="EI207" t="e">
        <f>Nodes!V1722+"'E4!)d0"</f>
        <v>#VALUE!</v>
      </c>
      <c r="EJ207" t="e">
        <f>Nodes!W1722+"'E4!)d1"</f>
        <v>#VALUE!</v>
      </c>
      <c r="EK207" t="e">
        <f>Nodes!X1722+"'E4!)d2"</f>
        <v>#VALUE!</v>
      </c>
      <c r="EL207" t="e">
        <f>Nodes!Y1722+"'E4!)d3"</f>
        <v>#VALUE!</v>
      </c>
      <c r="EM207" t="e">
        <f>Nodes!Z1722+"'E4!)d4"</f>
        <v>#VALUE!</v>
      </c>
      <c r="EN207" t="e">
        <f>Nodes!AA1722+"'E4!)d5"</f>
        <v>#VALUE!</v>
      </c>
      <c r="EO207" t="e">
        <f>Nodes!AB1722+"'E4!)d6"</f>
        <v>#VALUE!</v>
      </c>
      <c r="EP207" t="e">
        <f>Nodes!AC1722+"'E4!)d7"</f>
        <v>#VALUE!</v>
      </c>
      <c r="EQ207" t="e">
        <f>Nodes!A1723+"'E4!)d8"</f>
        <v>#VALUE!</v>
      </c>
      <c r="ER207" t="e">
        <f>Nodes!B1723+"'E4!)d9"</f>
        <v>#VALUE!</v>
      </c>
      <c r="ES207" t="e">
        <f>Nodes!C1723+"'E4!)d:"</f>
        <v>#VALUE!</v>
      </c>
      <c r="ET207" t="e">
        <f>Nodes!D1723+"'E4!)d;"</f>
        <v>#VALUE!</v>
      </c>
      <c r="EU207" t="e">
        <f>Nodes!E1723+"'E4!)d&lt;"</f>
        <v>#VALUE!</v>
      </c>
      <c r="EV207" t="e">
        <f>Nodes!F1723+"'E4!)d="</f>
        <v>#VALUE!</v>
      </c>
      <c r="EW207" t="e">
        <f>Nodes!G1723+"'E4!)d&gt;"</f>
        <v>#VALUE!</v>
      </c>
      <c r="EX207" t="e">
        <f>Nodes!H1723+"'E4!)d?"</f>
        <v>#VALUE!</v>
      </c>
      <c r="EY207" t="e">
        <f>Nodes!I1723+"'E4!)d@"</f>
        <v>#VALUE!</v>
      </c>
      <c r="EZ207" t="e">
        <f>Nodes!J1723+"'E4!)dA"</f>
        <v>#VALUE!</v>
      </c>
      <c r="FA207" t="e">
        <f>Nodes!K1723+"'E4!)dB"</f>
        <v>#VALUE!</v>
      </c>
      <c r="FB207" t="e">
        <f>Nodes!L1723+"'E4!)dC"</f>
        <v>#VALUE!</v>
      </c>
      <c r="FC207" t="e">
        <f>Nodes!M1723+"'E4!)dD"</f>
        <v>#VALUE!</v>
      </c>
      <c r="FD207" t="e">
        <f>Nodes!N1723+"'E4!)dE"</f>
        <v>#VALUE!</v>
      </c>
      <c r="FE207" t="e">
        <f>Nodes!O1723+"'E4!)dF"</f>
        <v>#VALUE!</v>
      </c>
      <c r="FF207" t="e">
        <f>Nodes!P1723+"'E4!)dG"</f>
        <v>#VALUE!</v>
      </c>
      <c r="FG207" t="e">
        <f>Nodes!Q1723+"'E4!)dH"</f>
        <v>#VALUE!</v>
      </c>
      <c r="FH207" t="e">
        <f>Nodes!R1723+"'E4!)dI"</f>
        <v>#VALUE!</v>
      </c>
      <c r="FI207" t="e">
        <f>Nodes!S1723+"'E4!)dJ"</f>
        <v>#VALUE!</v>
      </c>
      <c r="FJ207" t="e">
        <f>Nodes!T1723+"'E4!)dK"</f>
        <v>#VALUE!</v>
      </c>
      <c r="FK207" t="e">
        <f>Nodes!U1723+"'E4!)dL"</f>
        <v>#VALUE!</v>
      </c>
      <c r="FL207" t="e">
        <f>Nodes!V1723+"'E4!)dM"</f>
        <v>#VALUE!</v>
      </c>
      <c r="FM207" t="e">
        <f>Nodes!W1723+"'E4!)dN"</f>
        <v>#VALUE!</v>
      </c>
      <c r="FN207" t="e">
        <f>Nodes!X1723+"'E4!)dO"</f>
        <v>#VALUE!</v>
      </c>
      <c r="FO207" t="e">
        <f>Nodes!Y1723+"'E4!)dP"</f>
        <v>#VALUE!</v>
      </c>
      <c r="FP207" t="e">
        <f>Nodes!Z1723+"'E4!)dQ"</f>
        <v>#VALUE!</v>
      </c>
      <c r="FQ207" t="e">
        <f>Nodes!AA1723+"'E4!)dR"</f>
        <v>#VALUE!</v>
      </c>
      <c r="FR207" t="e">
        <f>Nodes!AB1723+"'E4!)dS"</f>
        <v>#VALUE!</v>
      </c>
      <c r="FS207" t="e">
        <f>Nodes!AC1723+"'E4!)dT"</f>
        <v>#VALUE!</v>
      </c>
      <c r="FT207" t="e">
        <f>Nodes!A1724+"'E4!)dU"</f>
        <v>#VALUE!</v>
      </c>
      <c r="FU207" t="e">
        <f>Nodes!B1724+"'E4!)dV"</f>
        <v>#VALUE!</v>
      </c>
      <c r="FV207" t="e">
        <f>Nodes!C1724+"'E4!)dW"</f>
        <v>#VALUE!</v>
      </c>
      <c r="FW207" t="e">
        <f>Nodes!D1724+"'E4!)dX"</f>
        <v>#VALUE!</v>
      </c>
      <c r="FX207" t="e">
        <f>Nodes!E1724+"'E4!)dY"</f>
        <v>#VALUE!</v>
      </c>
      <c r="FY207" t="e">
        <f>Nodes!F1724+"'E4!)dZ"</f>
        <v>#VALUE!</v>
      </c>
      <c r="FZ207" t="e">
        <f>Nodes!G1724+"'E4!)d["</f>
        <v>#VALUE!</v>
      </c>
      <c r="GA207" t="e">
        <f>Nodes!H1724+"'E4!)d\"</f>
        <v>#VALUE!</v>
      </c>
      <c r="GB207" t="e">
        <f>Nodes!I1724+"'E4!)d]"</f>
        <v>#VALUE!</v>
      </c>
      <c r="GC207" t="e">
        <f>Nodes!J1724+"'E4!)d^"</f>
        <v>#VALUE!</v>
      </c>
      <c r="GD207" t="e">
        <f>Nodes!K1724+"'E4!)d_"</f>
        <v>#VALUE!</v>
      </c>
      <c r="GE207" t="e">
        <f>Nodes!L1724+"'E4!)d`"</f>
        <v>#VALUE!</v>
      </c>
      <c r="GF207" t="e">
        <f>Nodes!M1724+"'E4!)da"</f>
        <v>#VALUE!</v>
      </c>
      <c r="GG207" t="e">
        <f>Nodes!N1724+"'E4!)db"</f>
        <v>#VALUE!</v>
      </c>
      <c r="GH207" t="e">
        <f>Nodes!O1724+"'E4!)dc"</f>
        <v>#VALUE!</v>
      </c>
      <c r="GI207" t="e">
        <f>Nodes!P1724+"'E4!)dd"</f>
        <v>#VALUE!</v>
      </c>
      <c r="GJ207" t="e">
        <f>Nodes!Q1724+"'E4!)de"</f>
        <v>#VALUE!</v>
      </c>
      <c r="GK207" t="e">
        <f>Nodes!R1724+"'E4!)df"</f>
        <v>#VALUE!</v>
      </c>
      <c r="GL207" t="e">
        <f>Nodes!S1724+"'E4!)dg"</f>
        <v>#VALUE!</v>
      </c>
      <c r="GM207" t="e">
        <f>Nodes!T1724+"'E4!)dh"</f>
        <v>#VALUE!</v>
      </c>
      <c r="GN207" t="e">
        <f>Nodes!U1724+"'E4!)di"</f>
        <v>#VALUE!</v>
      </c>
      <c r="GO207" t="e">
        <f>Nodes!V1724+"'E4!)dj"</f>
        <v>#VALUE!</v>
      </c>
      <c r="GP207" t="e">
        <f>Nodes!W1724+"'E4!)dk"</f>
        <v>#VALUE!</v>
      </c>
      <c r="GQ207" t="e">
        <f>Nodes!X1724+"'E4!)dl"</f>
        <v>#VALUE!</v>
      </c>
      <c r="GR207" t="e">
        <f>Nodes!Y1724+"'E4!)dm"</f>
        <v>#VALUE!</v>
      </c>
      <c r="GS207" t="e">
        <f>Nodes!Z1724+"'E4!)dn"</f>
        <v>#VALUE!</v>
      </c>
      <c r="GT207" t="e">
        <f>Nodes!AA1724+"'E4!)do"</f>
        <v>#VALUE!</v>
      </c>
      <c r="GU207" t="e">
        <f>Nodes!AB1724+"'E4!)dp"</f>
        <v>#VALUE!</v>
      </c>
      <c r="GV207" t="e">
        <f>Nodes!AC1724+"'E4!)dq"</f>
        <v>#VALUE!</v>
      </c>
      <c r="GW207" t="e">
        <f>Nodes!A1725+"'E4!)dr"</f>
        <v>#VALUE!</v>
      </c>
      <c r="GX207" t="e">
        <f>Nodes!B1725+"'E4!)ds"</f>
        <v>#VALUE!</v>
      </c>
      <c r="GY207" t="e">
        <f>Nodes!C1725+"'E4!)dt"</f>
        <v>#VALUE!</v>
      </c>
      <c r="GZ207" t="e">
        <f>Nodes!D1725+"'E4!)du"</f>
        <v>#VALUE!</v>
      </c>
      <c r="HA207" t="e">
        <f>Nodes!E1725+"'E4!)dv"</f>
        <v>#VALUE!</v>
      </c>
      <c r="HB207" t="e">
        <f>Nodes!F1725+"'E4!)dw"</f>
        <v>#VALUE!</v>
      </c>
      <c r="HC207" t="e">
        <f>Nodes!G1725+"'E4!)dx"</f>
        <v>#VALUE!</v>
      </c>
      <c r="HD207" t="e">
        <f>Nodes!H1725+"'E4!)dy"</f>
        <v>#VALUE!</v>
      </c>
      <c r="HE207" t="e">
        <f>Nodes!I1725+"'E4!)dz"</f>
        <v>#VALUE!</v>
      </c>
      <c r="HF207" t="e">
        <f>Nodes!J1725+"'E4!)d{"</f>
        <v>#VALUE!</v>
      </c>
      <c r="HG207" t="e">
        <f>Nodes!K1725+"'E4!)d|"</f>
        <v>#VALUE!</v>
      </c>
      <c r="HH207" t="e">
        <f>Nodes!L1725+"'E4!)d}"</f>
        <v>#VALUE!</v>
      </c>
      <c r="HI207" t="e">
        <f>Nodes!M1725+"'E4!)d~"</f>
        <v>#VALUE!</v>
      </c>
      <c r="HJ207" t="e">
        <f>Nodes!N1725+"'E4!)e#"</f>
        <v>#VALUE!</v>
      </c>
      <c r="HK207" t="e">
        <f>Nodes!O1725+"'E4!)e$"</f>
        <v>#VALUE!</v>
      </c>
      <c r="HL207" t="e">
        <f>Nodes!P1725+"'E4!)e%"</f>
        <v>#VALUE!</v>
      </c>
      <c r="HM207" t="e">
        <f>Nodes!Q1725+"'E4!)e&amp;"</f>
        <v>#VALUE!</v>
      </c>
      <c r="HN207" t="e">
        <f>Nodes!R1725+"'E4!)e'"</f>
        <v>#VALUE!</v>
      </c>
      <c r="HO207" t="e">
        <f>Nodes!S1725+"'E4!)e("</f>
        <v>#VALUE!</v>
      </c>
      <c r="HP207" t="e">
        <f>Nodes!T1725+"'E4!)e)"</f>
        <v>#VALUE!</v>
      </c>
      <c r="HQ207" t="e">
        <f>Nodes!U1725+"'E4!)e."</f>
        <v>#VALUE!</v>
      </c>
      <c r="HR207" t="e">
        <f>Nodes!V1725+"'E4!)e/"</f>
        <v>#VALUE!</v>
      </c>
      <c r="HS207" t="e">
        <f>Nodes!W1725+"'E4!)e0"</f>
        <v>#VALUE!</v>
      </c>
      <c r="HT207" t="e">
        <f>Nodes!X1725+"'E4!)e1"</f>
        <v>#VALUE!</v>
      </c>
      <c r="HU207" t="e">
        <f>Nodes!Y1725+"'E4!)e2"</f>
        <v>#VALUE!</v>
      </c>
      <c r="HV207" t="e">
        <f>Nodes!Z1725+"'E4!)e3"</f>
        <v>#VALUE!</v>
      </c>
      <c r="HW207" t="e">
        <f>Nodes!AA1725+"'E4!)e4"</f>
        <v>#VALUE!</v>
      </c>
      <c r="HX207" t="e">
        <f>Nodes!AB1725+"'E4!)e5"</f>
        <v>#VALUE!</v>
      </c>
      <c r="HY207" t="e">
        <f>Nodes!AC1725+"'E4!)e6"</f>
        <v>#VALUE!</v>
      </c>
      <c r="HZ207" t="e">
        <f>Nodes!A1726+"'E4!)e7"</f>
        <v>#VALUE!</v>
      </c>
      <c r="IA207" t="e">
        <f>Nodes!B1726+"'E4!)e8"</f>
        <v>#VALUE!</v>
      </c>
      <c r="IB207" t="e">
        <f>Nodes!C1726+"'E4!)e9"</f>
        <v>#VALUE!</v>
      </c>
      <c r="IC207" t="e">
        <f>Nodes!D1726+"'E4!)e:"</f>
        <v>#VALUE!</v>
      </c>
      <c r="ID207" t="e">
        <f>Nodes!E1726+"'E4!)e;"</f>
        <v>#VALUE!</v>
      </c>
      <c r="IE207" t="e">
        <f>Nodes!F1726+"'E4!)e&lt;"</f>
        <v>#VALUE!</v>
      </c>
      <c r="IF207" t="e">
        <f>Nodes!G1726+"'E4!)e="</f>
        <v>#VALUE!</v>
      </c>
      <c r="IG207" t="e">
        <f>Nodes!H1726+"'E4!)e&gt;"</f>
        <v>#VALUE!</v>
      </c>
      <c r="IH207" t="e">
        <f>Nodes!I1726+"'E4!)e?"</f>
        <v>#VALUE!</v>
      </c>
      <c r="II207" t="e">
        <f>Nodes!J1726+"'E4!)e@"</f>
        <v>#VALUE!</v>
      </c>
      <c r="IJ207" t="e">
        <f>Nodes!K1726+"'E4!)eA"</f>
        <v>#VALUE!</v>
      </c>
      <c r="IK207" t="e">
        <f>Nodes!L1726+"'E4!)eB"</f>
        <v>#VALUE!</v>
      </c>
      <c r="IL207" t="e">
        <f>Nodes!M1726+"'E4!)eC"</f>
        <v>#VALUE!</v>
      </c>
      <c r="IM207" t="e">
        <f>Nodes!N1726+"'E4!)eD"</f>
        <v>#VALUE!</v>
      </c>
      <c r="IN207" t="e">
        <f>Nodes!O1726+"'E4!)eE"</f>
        <v>#VALUE!</v>
      </c>
      <c r="IO207" t="e">
        <f>Nodes!P1726+"'E4!)eF"</f>
        <v>#VALUE!</v>
      </c>
      <c r="IP207" t="e">
        <f>Nodes!Q1726+"'E4!)eG"</f>
        <v>#VALUE!</v>
      </c>
      <c r="IQ207" t="e">
        <f>Nodes!R1726+"'E4!)eH"</f>
        <v>#VALUE!</v>
      </c>
      <c r="IR207" t="e">
        <f>Nodes!S1726+"'E4!)eI"</f>
        <v>#VALUE!</v>
      </c>
      <c r="IS207" t="e">
        <f>Nodes!T1726+"'E4!)eJ"</f>
        <v>#VALUE!</v>
      </c>
      <c r="IT207" t="e">
        <f>Nodes!U1726+"'E4!)eK"</f>
        <v>#VALUE!</v>
      </c>
      <c r="IU207" t="e">
        <f>Nodes!V1726+"'E4!)eL"</f>
        <v>#VALUE!</v>
      </c>
      <c r="IV207" t="e">
        <f>Nodes!W1726+"'E4!)eM"</f>
        <v>#VALUE!</v>
      </c>
    </row>
    <row r="208" spans="6:256">
      <c r="F208" t="e">
        <f>Nodes!X1726+"'E4!)eN"</f>
        <v>#VALUE!</v>
      </c>
      <c r="G208" t="e">
        <f>Nodes!Y1726+"'E4!)eO"</f>
        <v>#VALUE!</v>
      </c>
      <c r="H208" t="e">
        <f>Nodes!Z1726+"'E4!)eP"</f>
        <v>#VALUE!</v>
      </c>
      <c r="I208" t="e">
        <f>Nodes!AA1726+"'E4!)eQ"</f>
        <v>#VALUE!</v>
      </c>
      <c r="J208" t="e">
        <f>Nodes!AB1726+"'E4!)eR"</f>
        <v>#VALUE!</v>
      </c>
      <c r="K208" t="e">
        <f>Nodes!AC1726+"'E4!)eS"</f>
        <v>#VALUE!</v>
      </c>
      <c r="L208" t="e">
        <f>Nodes!A1727+"'E4!)eT"</f>
        <v>#VALUE!</v>
      </c>
      <c r="M208" t="e">
        <f>Nodes!B1727+"'E4!)eU"</f>
        <v>#VALUE!</v>
      </c>
      <c r="N208" t="e">
        <f>Nodes!C1727+"'E4!)eV"</f>
        <v>#VALUE!</v>
      </c>
      <c r="O208" t="e">
        <f>Nodes!D1727+"'E4!)eW"</f>
        <v>#VALUE!</v>
      </c>
      <c r="P208" t="e">
        <f>Nodes!E1727+"'E4!)eX"</f>
        <v>#VALUE!</v>
      </c>
      <c r="Q208" t="e">
        <f>Nodes!F1727+"'E4!)eY"</f>
        <v>#VALUE!</v>
      </c>
      <c r="R208" t="e">
        <f>Nodes!G1727+"'E4!)eZ"</f>
        <v>#VALUE!</v>
      </c>
      <c r="S208" t="e">
        <f>Nodes!H1727+"'E4!)e["</f>
        <v>#VALUE!</v>
      </c>
      <c r="T208" t="e">
        <f>Nodes!I1727+"'E4!)e\"</f>
        <v>#VALUE!</v>
      </c>
      <c r="U208" t="e">
        <f>Nodes!J1727+"'E4!)e]"</f>
        <v>#VALUE!</v>
      </c>
      <c r="V208" t="e">
        <f>Nodes!K1727+"'E4!)e^"</f>
        <v>#VALUE!</v>
      </c>
      <c r="W208" t="e">
        <f>Nodes!L1727+"'E4!)e_"</f>
        <v>#VALUE!</v>
      </c>
      <c r="X208" t="e">
        <f>Nodes!M1727+"'E4!)e`"</f>
        <v>#VALUE!</v>
      </c>
      <c r="Y208" t="e">
        <f>Nodes!N1727+"'E4!)ea"</f>
        <v>#VALUE!</v>
      </c>
      <c r="Z208" t="e">
        <f>Nodes!O1727+"'E4!)eb"</f>
        <v>#VALUE!</v>
      </c>
      <c r="AA208" t="e">
        <f>Nodes!P1727+"'E4!)ec"</f>
        <v>#VALUE!</v>
      </c>
      <c r="AB208" t="e">
        <f>Nodes!Q1727+"'E4!)ed"</f>
        <v>#VALUE!</v>
      </c>
      <c r="AC208" t="e">
        <f>Nodes!R1727+"'E4!)ee"</f>
        <v>#VALUE!</v>
      </c>
      <c r="AD208" t="e">
        <f>Nodes!S1727+"'E4!)ef"</f>
        <v>#VALUE!</v>
      </c>
      <c r="AE208" t="e">
        <f>Nodes!T1727+"'E4!)eg"</f>
        <v>#VALUE!</v>
      </c>
      <c r="AF208" t="e">
        <f>Nodes!U1727+"'E4!)eh"</f>
        <v>#VALUE!</v>
      </c>
      <c r="AG208" t="e">
        <f>Nodes!V1727+"'E4!)ei"</f>
        <v>#VALUE!</v>
      </c>
      <c r="AH208" t="e">
        <f>Nodes!W1727+"'E4!)ej"</f>
        <v>#VALUE!</v>
      </c>
      <c r="AI208" t="e">
        <f>Nodes!X1727+"'E4!)ek"</f>
        <v>#VALUE!</v>
      </c>
      <c r="AJ208" t="e">
        <f>Nodes!Y1727+"'E4!)el"</f>
        <v>#VALUE!</v>
      </c>
      <c r="AK208" t="e">
        <f>Nodes!Z1727+"'E4!)em"</f>
        <v>#VALUE!</v>
      </c>
      <c r="AL208" t="e">
        <f>Nodes!AA1727+"'E4!)en"</f>
        <v>#VALUE!</v>
      </c>
      <c r="AM208" t="e">
        <f>Nodes!AB1727+"'E4!)eo"</f>
        <v>#VALUE!</v>
      </c>
      <c r="AN208" t="e">
        <f>Nodes!AC1727+"'E4!)ep"</f>
        <v>#VALUE!</v>
      </c>
      <c r="AO208" t="e">
        <f>Nodes!A1728+"'E4!)eq"</f>
        <v>#VALUE!</v>
      </c>
      <c r="AP208" t="e">
        <f>Nodes!B1728+"'E4!)er"</f>
        <v>#VALUE!</v>
      </c>
      <c r="AQ208" t="e">
        <f>Nodes!C1728+"'E4!)es"</f>
        <v>#VALUE!</v>
      </c>
      <c r="AR208" t="e">
        <f>Nodes!D1728+"'E4!)et"</f>
        <v>#VALUE!</v>
      </c>
      <c r="AS208" t="e">
        <f>Nodes!E1728+"'E4!)eu"</f>
        <v>#VALUE!</v>
      </c>
      <c r="AT208" t="e">
        <f>Nodes!F1728+"'E4!)ev"</f>
        <v>#VALUE!</v>
      </c>
      <c r="AU208" t="e">
        <f>Nodes!G1728+"'E4!)ew"</f>
        <v>#VALUE!</v>
      </c>
      <c r="AV208" t="e">
        <f>Nodes!H1728+"'E4!)ex"</f>
        <v>#VALUE!</v>
      </c>
      <c r="AW208" t="e">
        <f>Nodes!I1728+"'E4!)ey"</f>
        <v>#VALUE!</v>
      </c>
      <c r="AX208" t="e">
        <f>Nodes!J1728+"'E4!)ez"</f>
        <v>#VALUE!</v>
      </c>
      <c r="AY208" t="e">
        <f>Nodes!K1728+"'E4!)e{"</f>
        <v>#VALUE!</v>
      </c>
      <c r="AZ208" t="e">
        <f>Nodes!L1728+"'E4!)e|"</f>
        <v>#VALUE!</v>
      </c>
      <c r="BA208" t="e">
        <f>Nodes!M1728+"'E4!)e}"</f>
        <v>#VALUE!</v>
      </c>
      <c r="BB208" t="e">
        <f>Nodes!N1728+"'E4!)e~"</f>
        <v>#VALUE!</v>
      </c>
      <c r="BC208" t="e">
        <f>Nodes!O1728+"'E4!)f#"</f>
        <v>#VALUE!</v>
      </c>
      <c r="BD208" t="e">
        <f>Nodes!P1728+"'E4!)f$"</f>
        <v>#VALUE!</v>
      </c>
      <c r="BE208" t="e">
        <f>Nodes!Q1728+"'E4!)f%"</f>
        <v>#VALUE!</v>
      </c>
      <c r="BF208" t="e">
        <f>Nodes!R1728+"'E4!)f&amp;"</f>
        <v>#VALUE!</v>
      </c>
      <c r="BG208" t="e">
        <f>Nodes!S1728+"'E4!)f'"</f>
        <v>#VALUE!</v>
      </c>
      <c r="BH208" t="e">
        <f>Nodes!T1728+"'E4!)f("</f>
        <v>#VALUE!</v>
      </c>
      <c r="BI208" t="e">
        <f>Nodes!U1728+"'E4!)f)"</f>
        <v>#VALUE!</v>
      </c>
      <c r="BJ208" t="e">
        <f>Nodes!V1728+"'E4!)f."</f>
        <v>#VALUE!</v>
      </c>
      <c r="BK208" t="e">
        <f>Nodes!W1728+"'E4!)f/"</f>
        <v>#VALUE!</v>
      </c>
      <c r="BL208" t="e">
        <f>Nodes!X1728+"'E4!)f0"</f>
        <v>#VALUE!</v>
      </c>
      <c r="BM208" t="e">
        <f>Nodes!Y1728+"'E4!)f1"</f>
        <v>#VALUE!</v>
      </c>
      <c r="BN208" t="e">
        <f>Nodes!Z1728+"'E4!)f2"</f>
        <v>#VALUE!</v>
      </c>
      <c r="BO208" t="e">
        <f>Nodes!AA1728+"'E4!)f3"</f>
        <v>#VALUE!</v>
      </c>
      <c r="BP208" t="e">
        <f>Nodes!AB1728+"'E4!)f4"</f>
        <v>#VALUE!</v>
      </c>
      <c r="BQ208" t="e">
        <f>Nodes!AC1728+"'E4!)f5"</f>
        <v>#VALUE!</v>
      </c>
      <c r="BR208" t="e">
        <f>Nodes!A1729+"'E4!)f6"</f>
        <v>#VALUE!</v>
      </c>
      <c r="BS208" t="e">
        <f>Nodes!B1729+"'E4!)f7"</f>
        <v>#VALUE!</v>
      </c>
      <c r="BT208" t="e">
        <f>Nodes!C1729+"'E4!)f8"</f>
        <v>#VALUE!</v>
      </c>
      <c r="BU208" t="e">
        <f>Nodes!D1729+"'E4!)f9"</f>
        <v>#VALUE!</v>
      </c>
      <c r="BV208" t="e">
        <f>Nodes!E1729+"'E4!)f:"</f>
        <v>#VALUE!</v>
      </c>
      <c r="BW208" t="e">
        <f>Nodes!F1729+"'E4!)f;"</f>
        <v>#VALUE!</v>
      </c>
      <c r="BX208" t="e">
        <f>Nodes!G1729+"'E4!)f&lt;"</f>
        <v>#VALUE!</v>
      </c>
      <c r="BY208" t="e">
        <f>Nodes!H1729+"'E4!)f="</f>
        <v>#VALUE!</v>
      </c>
      <c r="BZ208" t="e">
        <f>Nodes!I1729+"'E4!)f&gt;"</f>
        <v>#VALUE!</v>
      </c>
      <c r="CA208" t="e">
        <f>Nodes!J1729+"'E4!)f?"</f>
        <v>#VALUE!</v>
      </c>
      <c r="CB208" t="e">
        <f>Nodes!K1729+"'E4!)f@"</f>
        <v>#VALUE!</v>
      </c>
      <c r="CC208" t="e">
        <f>Nodes!L1729+"'E4!)fA"</f>
        <v>#VALUE!</v>
      </c>
      <c r="CD208" t="e">
        <f>Nodes!M1729+"'E4!)fB"</f>
        <v>#VALUE!</v>
      </c>
      <c r="CE208" t="e">
        <f>Nodes!N1729+"'E4!)fC"</f>
        <v>#VALUE!</v>
      </c>
      <c r="CF208" t="e">
        <f>Nodes!O1729+"'E4!)fD"</f>
        <v>#VALUE!</v>
      </c>
      <c r="CG208" t="e">
        <f>Nodes!P1729+"'E4!)fE"</f>
        <v>#VALUE!</v>
      </c>
      <c r="CH208" t="e">
        <f>Nodes!Q1729+"'E4!)fF"</f>
        <v>#VALUE!</v>
      </c>
      <c r="CI208" t="e">
        <f>Nodes!R1729+"'E4!)fG"</f>
        <v>#VALUE!</v>
      </c>
      <c r="CJ208" t="e">
        <f>Nodes!S1729+"'E4!)fH"</f>
        <v>#VALUE!</v>
      </c>
      <c r="CK208" t="e">
        <f>Nodes!T1729+"'E4!)fI"</f>
        <v>#VALUE!</v>
      </c>
      <c r="CL208" t="e">
        <f>Nodes!U1729+"'E4!)fJ"</f>
        <v>#VALUE!</v>
      </c>
      <c r="CM208" t="e">
        <f>Nodes!V1729+"'E4!)fK"</f>
        <v>#VALUE!</v>
      </c>
      <c r="CN208" t="e">
        <f>Nodes!W1729+"'E4!)fL"</f>
        <v>#VALUE!</v>
      </c>
      <c r="CO208" t="e">
        <f>Nodes!X1729+"'E4!)fM"</f>
        <v>#VALUE!</v>
      </c>
      <c r="CP208" t="e">
        <f>Nodes!Y1729+"'E4!)fN"</f>
        <v>#VALUE!</v>
      </c>
      <c r="CQ208" t="e">
        <f>Nodes!Z1729+"'E4!)fO"</f>
        <v>#VALUE!</v>
      </c>
      <c r="CR208" t="e">
        <f>Nodes!AA1729+"'E4!)fP"</f>
        <v>#VALUE!</v>
      </c>
      <c r="CS208" t="e">
        <f>Nodes!AB1729+"'E4!)fQ"</f>
        <v>#VALUE!</v>
      </c>
      <c r="CT208" t="e">
        <f>Nodes!AC1729+"'E4!)fR"</f>
        <v>#VALUE!</v>
      </c>
      <c r="CU208" t="e">
        <f>Nodes!A1730+"'E4!)fS"</f>
        <v>#VALUE!</v>
      </c>
      <c r="CV208" t="e">
        <f>Nodes!B1730+"'E4!)fT"</f>
        <v>#VALUE!</v>
      </c>
      <c r="CW208" t="e">
        <f>Nodes!C1730+"'E4!)fU"</f>
        <v>#VALUE!</v>
      </c>
      <c r="CX208" t="e">
        <f>Nodes!D1730+"'E4!)fV"</f>
        <v>#VALUE!</v>
      </c>
      <c r="CY208" t="e">
        <f>Nodes!E1730+"'E4!)fW"</f>
        <v>#VALUE!</v>
      </c>
      <c r="CZ208" t="e">
        <f>Nodes!F1730+"'E4!)fX"</f>
        <v>#VALUE!</v>
      </c>
      <c r="DA208" t="e">
        <f>Nodes!G1730+"'E4!)fY"</f>
        <v>#VALUE!</v>
      </c>
      <c r="DB208" t="e">
        <f>Nodes!H1730+"'E4!)fZ"</f>
        <v>#VALUE!</v>
      </c>
      <c r="DC208" t="e">
        <f>Nodes!I1730+"'E4!)f["</f>
        <v>#VALUE!</v>
      </c>
      <c r="DD208" t="e">
        <f>Nodes!J1730+"'E4!)f\"</f>
        <v>#VALUE!</v>
      </c>
      <c r="DE208" t="e">
        <f>Nodes!K1730+"'E4!)f]"</f>
        <v>#VALUE!</v>
      </c>
      <c r="DF208" t="e">
        <f>Nodes!L1730+"'E4!)f^"</f>
        <v>#VALUE!</v>
      </c>
      <c r="DG208" t="e">
        <f>Nodes!M1730+"'E4!)f_"</f>
        <v>#VALUE!</v>
      </c>
      <c r="DH208" t="e">
        <f>Nodes!N1730+"'E4!)f`"</f>
        <v>#VALUE!</v>
      </c>
      <c r="DI208" t="e">
        <f>Nodes!O1730+"'E4!)fa"</f>
        <v>#VALUE!</v>
      </c>
      <c r="DJ208" t="e">
        <f>Nodes!P1730+"'E4!)fb"</f>
        <v>#VALUE!</v>
      </c>
      <c r="DK208" t="e">
        <f>Nodes!Q1730+"'E4!)fc"</f>
        <v>#VALUE!</v>
      </c>
      <c r="DL208" t="e">
        <f>Nodes!R1730+"'E4!)fd"</f>
        <v>#VALUE!</v>
      </c>
      <c r="DM208" t="e">
        <f>Nodes!S1730+"'E4!)fe"</f>
        <v>#VALUE!</v>
      </c>
      <c r="DN208" t="e">
        <f>Nodes!T1730+"'E4!)ff"</f>
        <v>#VALUE!</v>
      </c>
      <c r="DO208" t="e">
        <f>Nodes!U1730+"'E4!)fg"</f>
        <v>#VALUE!</v>
      </c>
      <c r="DP208" t="e">
        <f>Nodes!V1730+"'E4!)fh"</f>
        <v>#VALUE!</v>
      </c>
      <c r="DQ208" t="e">
        <f>Nodes!W1730+"'E4!)fi"</f>
        <v>#VALUE!</v>
      </c>
      <c r="DR208" t="e">
        <f>Nodes!X1730+"'E4!)fj"</f>
        <v>#VALUE!</v>
      </c>
      <c r="DS208" t="e">
        <f>Nodes!Y1730+"'E4!)fk"</f>
        <v>#VALUE!</v>
      </c>
      <c r="DT208" t="e">
        <f>Nodes!Z1730+"'E4!)fl"</f>
        <v>#VALUE!</v>
      </c>
      <c r="DU208" t="e">
        <f>Nodes!AA1730+"'E4!)fm"</f>
        <v>#VALUE!</v>
      </c>
      <c r="DV208" t="e">
        <f>Nodes!AB1730+"'E4!)fn"</f>
        <v>#VALUE!</v>
      </c>
      <c r="DW208" t="e">
        <f>Nodes!AC1730+"'E4!)fo"</f>
        <v>#VALUE!</v>
      </c>
      <c r="DX208" t="e">
        <f>Nodes!A1731+"'E4!)fp"</f>
        <v>#VALUE!</v>
      </c>
      <c r="DY208" t="e">
        <f>Nodes!B1731+"'E4!)fq"</f>
        <v>#VALUE!</v>
      </c>
      <c r="DZ208" t="e">
        <f>Nodes!C1731+"'E4!)fr"</f>
        <v>#VALUE!</v>
      </c>
      <c r="EA208" t="e">
        <f>Nodes!D1731+"'E4!)fs"</f>
        <v>#VALUE!</v>
      </c>
      <c r="EB208" t="e">
        <f>Nodes!E1731+"'E4!)ft"</f>
        <v>#VALUE!</v>
      </c>
      <c r="EC208" t="e">
        <f>Nodes!F1731+"'E4!)fu"</f>
        <v>#VALUE!</v>
      </c>
      <c r="ED208" t="e">
        <f>Nodes!G1731+"'E4!)fv"</f>
        <v>#VALUE!</v>
      </c>
      <c r="EE208" t="e">
        <f>Nodes!H1731+"'E4!)fw"</f>
        <v>#VALUE!</v>
      </c>
      <c r="EF208" t="e">
        <f>Nodes!I1731+"'E4!)fx"</f>
        <v>#VALUE!</v>
      </c>
      <c r="EG208" t="e">
        <f>Nodes!J1731+"'E4!)fy"</f>
        <v>#VALUE!</v>
      </c>
      <c r="EH208" t="e">
        <f>Nodes!K1731+"'E4!)fz"</f>
        <v>#VALUE!</v>
      </c>
      <c r="EI208" t="e">
        <f>Nodes!L1731+"'E4!)f{"</f>
        <v>#VALUE!</v>
      </c>
      <c r="EJ208" t="e">
        <f>Nodes!M1731+"'E4!)f|"</f>
        <v>#VALUE!</v>
      </c>
      <c r="EK208" t="e">
        <f>Nodes!N1731+"'E4!)f}"</f>
        <v>#VALUE!</v>
      </c>
      <c r="EL208" t="e">
        <f>Nodes!O1731+"'E4!)f~"</f>
        <v>#VALUE!</v>
      </c>
      <c r="EM208" t="e">
        <f>Nodes!P1731+"'E4!)g#"</f>
        <v>#VALUE!</v>
      </c>
      <c r="EN208" t="e">
        <f>Nodes!Q1731+"'E4!)g$"</f>
        <v>#VALUE!</v>
      </c>
      <c r="EO208" t="e">
        <f>Nodes!R1731+"'E4!)g%"</f>
        <v>#VALUE!</v>
      </c>
      <c r="EP208" t="e">
        <f>Nodes!S1731+"'E4!)g&amp;"</f>
        <v>#VALUE!</v>
      </c>
      <c r="EQ208" t="e">
        <f>Nodes!T1731+"'E4!)g'"</f>
        <v>#VALUE!</v>
      </c>
      <c r="ER208" t="e">
        <f>Nodes!U1731+"'E4!)g("</f>
        <v>#VALUE!</v>
      </c>
      <c r="ES208" t="e">
        <f>Nodes!V1731+"'E4!)g)"</f>
        <v>#VALUE!</v>
      </c>
      <c r="ET208" t="e">
        <f>Nodes!W1731+"'E4!)g."</f>
        <v>#VALUE!</v>
      </c>
      <c r="EU208" t="e">
        <f>Nodes!X1731+"'E4!)g/"</f>
        <v>#VALUE!</v>
      </c>
      <c r="EV208" t="e">
        <f>Nodes!Y1731+"'E4!)g0"</f>
        <v>#VALUE!</v>
      </c>
      <c r="EW208" t="e">
        <f>Nodes!Z1731+"'E4!)g1"</f>
        <v>#VALUE!</v>
      </c>
      <c r="EX208" t="e">
        <f>Nodes!AA1731+"'E4!)g2"</f>
        <v>#VALUE!</v>
      </c>
      <c r="EY208" t="e">
        <f>Nodes!AB1731+"'E4!)g3"</f>
        <v>#VALUE!</v>
      </c>
      <c r="EZ208" t="e">
        <f>Nodes!AC1731+"'E4!)g4"</f>
        <v>#VALUE!</v>
      </c>
      <c r="FA208" t="e">
        <f>Nodes!A1732+"'E4!)g5"</f>
        <v>#VALUE!</v>
      </c>
      <c r="FB208" t="e">
        <f>Nodes!B1732+"'E4!)g6"</f>
        <v>#VALUE!</v>
      </c>
      <c r="FC208" t="e">
        <f>Nodes!C1732+"'E4!)g7"</f>
        <v>#VALUE!</v>
      </c>
      <c r="FD208" t="e">
        <f>Nodes!D1732+"'E4!)g8"</f>
        <v>#VALUE!</v>
      </c>
      <c r="FE208" t="e">
        <f>Nodes!E1732+"'E4!)g9"</f>
        <v>#VALUE!</v>
      </c>
      <c r="FF208" t="e">
        <f>Nodes!F1732+"'E4!)g:"</f>
        <v>#VALUE!</v>
      </c>
      <c r="FG208" t="e">
        <f>Nodes!G1732+"'E4!)g;"</f>
        <v>#VALUE!</v>
      </c>
      <c r="FH208" t="e">
        <f>Nodes!H1732+"'E4!)g&lt;"</f>
        <v>#VALUE!</v>
      </c>
      <c r="FI208" t="e">
        <f>Nodes!I1732+"'E4!)g="</f>
        <v>#VALUE!</v>
      </c>
      <c r="FJ208" t="e">
        <f>Nodes!J1732+"'E4!)g&gt;"</f>
        <v>#VALUE!</v>
      </c>
      <c r="FK208" t="e">
        <f>Nodes!K1732+"'E4!)g?"</f>
        <v>#VALUE!</v>
      </c>
      <c r="FL208" t="e">
        <f>Nodes!L1732+"'E4!)g@"</f>
        <v>#VALUE!</v>
      </c>
      <c r="FM208" t="e">
        <f>Nodes!M1732+"'E4!)gA"</f>
        <v>#VALUE!</v>
      </c>
      <c r="FN208" t="e">
        <f>Nodes!N1732+"'E4!)gB"</f>
        <v>#VALUE!</v>
      </c>
      <c r="FO208" t="e">
        <f>Nodes!O1732+"'E4!)gC"</f>
        <v>#VALUE!</v>
      </c>
      <c r="FP208" t="e">
        <f>Nodes!P1732+"'E4!)gD"</f>
        <v>#VALUE!</v>
      </c>
      <c r="FQ208" t="e">
        <f>Nodes!Q1732+"'E4!)gE"</f>
        <v>#VALUE!</v>
      </c>
      <c r="FR208" t="e">
        <f>Nodes!R1732+"'E4!)gF"</f>
        <v>#VALUE!</v>
      </c>
      <c r="FS208" t="e">
        <f>Nodes!S1732+"'E4!)gG"</f>
        <v>#VALUE!</v>
      </c>
      <c r="FT208" t="e">
        <f>Nodes!T1732+"'E4!)gH"</f>
        <v>#VALUE!</v>
      </c>
      <c r="FU208" t="e">
        <f>Nodes!U1732+"'E4!)gI"</f>
        <v>#VALUE!</v>
      </c>
      <c r="FV208" t="e">
        <f>Nodes!V1732+"'E4!)gJ"</f>
        <v>#VALUE!</v>
      </c>
      <c r="FW208" t="e">
        <f>Nodes!W1732+"'E4!)gK"</f>
        <v>#VALUE!</v>
      </c>
      <c r="FX208" t="e">
        <f>Nodes!X1732+"'E4!)gL"</f>
        <v>#VALUE!</v>
      </c>
      <c r="FY208" t="e">
        <f>Nodes!Y1732+"'E4!)gM"</f>
        <v>#VALUE!</v>
      </c>
      <c r="FZ208" t="e">
        <f>Nodes!Z1732+"'E4!)gN"</f>
        <v>#VALUE!</v>
      </c>
      <c r="GA208" t="e">
        <f>Nodes!AA1732+"'E4!)gO"</f>
        <v>#VALUE!</v>
      </c>
      <c r="GB208" t="e">
        <f>Nodes!AB1732+"'E4!)gP"</f>
        <v>#VALUE!</v>
      </c>
      <c r="GC208" t="e">
        <f>Nodes!AC1732+"'E4!)gQ"</f>
        <v>#VALUE!</v>
      </c>
      <c r="GD208" t="e">
        <f>Nodes!A1733+"'E4!)gR"</f>
        <v>#VALUE!</v>
      </c>
      <c r="GE208" t="e">
        <f>Nodes!B1733+"'E4!)gS"</f>
        <v>#VALUE!</v>
      </c>
      <c r="GF208" t="e">
        <f>Nodes!C1733+"'E4!)gT"</f>
        <v>#VALUE!</v>
      </c>
      <c r="GG208" t="e">
        <f>Nodes!D1733+"'E4!)gU"</f>
        <v>#VALUE!</v>
      </c>
      <c r="GH208" t="e">
        <f>Nodes!E1733+"'E4!)gV"</f>
        <v>#VALUE!</v>
      </c>
      <c r="GI208" t="e">
        <f>Nodes!F1733+"'E4!)gW"</f>
        <v>#VALUE!</v>
      </c>
      <c r="GJ208" t="e">
        <f>Nodes!G1733+"'E4!)gX"</f>
        <v>#VALUE!</v>
      </c>
      <c r="GK208" t="e">
        <f>Nodes!H1733+"'E4!)gY"</f>
        <v>#VALUE!</v>
      </c>
      <c r="GL208" t="e">
        <f>Nodes!I1733+"'E4!)gZ"</f>
        <v>#VALUE!</v>
      </c>
      <c r="GM208" t="e">
        <f>Nodes!J1733+"'E4!)g["</f>
        <v>#VALUE!</v>
      </c>
      <c r="GN208" t="e">
        <f>Nodes!K1733+"'E4!)g\"</f>
        <v>#VALUE!</v>
      </c>
      <c r="GO208" t="e">
        <f>Nodes!L1733+"'E4!)g]"</f>
        <v>#VALUE!</v>
      </c>
      <c r="GP208" t="e">
        <f>Nodes!M1733+"'E4!)g^"</f>
        <v>#VALUE!</v>
      </c>
      <c r="GQ208" t="e">
        <f>Nodes!N1733+"'E4!)g_"</f>
        <v>#VALUE!</v>
      </c>
      <c r="GR208" t="e">
        <f>Nodes!O1733+"'E4!)g`"</f>
        <v>#VALUE!</v>
      </c>
      <c r="GS208" t="e">
        <f>Nodes!P1733+"'E4!)ga"</f>
        <v>#VALUE!</v>
      </c>
      <c r="GT208" t="e">
        <f>Nodes!Q1733+"'E4!)gb"</f>
        <v>#VALUE!</v>
      </c>
      <c r="GU208" t="e">
        <f>Nodes!R1733+"'E4!)gc"</f>
        <v>#VALUE!</v>
      </c>
      <c r="GV208" t="e">
        <f>Nodes!S1733+"'E4!)gd"</f>
        <v>#VALUE!</v>
      </c>
      <c r="GW208" t="e">
        <f>Nodes!T1733+"'E4!)ge"</f>
        <v>#VALUE!</v>
      </c>
      <c r="GX208" t="e">
        <f>Nodes!U1733+"'E4!)gf"</f>
        <v>#VALUE!</v>
      </c>
      <c r="GY208" t="e">
        <f>Nodes!V1733+"'E4!)gg"</f>
        <v>#VALUE!</v>
      </c>
      <c r="GZ208" t="e">
        <f>Nodes!W1733+"'E4!)gh"</f>
        <v>#VALUE!</v>
      </c>
      <c r="HA208" t="e">
        <f>Nodes!X1733+"'E4!)gi"</f>
        <v>#VALUE!</v>
      </c>
      <c r="HB208" t="e">
        <f>Nodes!Y1733+"'E4!)gj"</f>
        <v>#VALUE!</v>
      </c>
      <c r="HC208" t="e">
        <f>Nodes!Z1733+"'E4!)gk"</f>
        <v>#VALUE!</v>
      </c>
      <c r="HD208" t="e">
        <f>Nodes!AA1733+"'E4!)gl"</f>
        <v>#VALUE!</v>
      </c>
      <c r="HE208" t="e">
        <f>Nodes!AB1733+"'E4!)gm"</f>
        <v>#VALUE!</v>
      </c>
      <c r="HF208" t="e">
        <f>Nodes!AC1733+"'E4!)gn"</f>
        <v>#VALUE!</v>
      </c>
      <c r="HG208" t="e">
        <f>Nodes!A1734+"'E4!)go"</f>
        <v>#VALUE!</v>
      </c>
      <c r="HH208" t="e">
        <f>Nodes!B1734+"'E4!)gp"</f>
        <v>#VALUE!</v>
      </c>
      <c r="HI208" t="e">
        <f>Nodes!C1734+"'E4!)gq"</f>
        <v>#VALUE!</v>
      </c>
      <c r="HJ208" t="e">
        <f>Nodes!D1734+"'E4!)gr"</f>
        <v>#VALUE!</v>
      </c>
      <c r="HK208" t="e">
        <f>Nodes!E1734+"'E4!)gs"</f>
        <v>#VALUE!</v>
      </c>
      <c r="HL208" t="e">
        <f>Nodes!F1734+"'E4!)gt"</f>
        <v>#VALUE!</v>
      </c>
      <c r="HM208" t="e">
        <f>Nodes!G1734+"'E4!)gu"</f>
        <v>#VALUE!</v>
      </c>
      <c r="HN208" t="e">
        <f>Nodes!H1734+"'E4!)gv"</f>
        <v>#VALUE!</v>
      </c>
      <c r="HO208" t="e">
        <f>Nodes!I1734+"'E4!)gw"</f>
        <v>#VALUE!</v>
      </c>
      <c r="HP208" t="e">
        <f>Nodes!J1734+"'E4!)gx"</f>
        <v>#VALUE!</v>
      </c>
      <c r="HQ208" t="e">
        <f>Nodes!K1734+"'E4!)gy"</f>
        <v>#VALUE!</v>
      </c>
      <c r="HR208" t="e">
        <f>Nodes!L1734+"'E4!)gz"</f>
        <v>#VALUE!</v>
      </c>
      <c r="HS208" t="e">
        <f>Nodes!M1734+"'E4!)g{"</f>
        <v>#VALUE!</v>
      </c>
      <c r="HT208" t="e">
        <f>Nodes!N1734+"'E4!)g|"</f>
        <v>#VALUE!</v>
      </c>
      <c r="HU208" t="e">
        <f>Nodes!O1734+"'E4!)g}"</f>
        <v>#VALUE!</v>
      </c>
      <c r="HV208" t="e">
        <f>Nodes!P1734+"'E4!)g~"</f>
        <v>#VALUE!</v>
      </c>
      <c r="HW208" t="e">
        <f>Nodes!Q1734+"'E4!)h#"</f>
        <v>#VALUE!</v>
      </c>
      <c r="HX208" t="e">
        <f>Nodes!R1734+"'E4!)h$"</f>
        <v>#VALUE!</v>
      </c>
      <c r="HY208" t="e">
        <f>Nodes!S1734+"'E4!)h%"</f>
        <v>#VALUE!</v>
      </c>
      <c r="HZ208" t="e">
        <f>Nodes!T1734+"'E4!)h&amp;"</f>
        <v>#VALUE!</v>
      </c>
      <c r="IA208" t="e">
        <f>Nodes!U1734+"'E4!)h'"</f>
        <v>#VALUE!</v>
      </c>
      <c r="IB208" t="e">
        <f>Nodes!V1734+"'E4!)h("</f>
        <v>#VALUE!</v>
      </c>
      <c r="IC208" t="e">
        <f>Nodes!W1734+"'E4!)h)"</f>
        <v>#VALUE!</v>
      </c>
      <c r="ID208" t="e">
        <f>Nodes!X1734+"'E4!)h."</f>
        <v>#VALUE!</v>
      </c>
      <c r="IE208" t="e">
        <f>Nodes!Y1734+"'E4!)h/"</f>
        <v>#VALUE!</v>
      </c>
      <c r="IF208" t="e">
        <f>Nodes!Z1734+"'E4!)h0"</f>
        <v>#VALUE!</v>
      </c>
      <c r="IG208" t="e">
        <f>Nodes!AA1734+"'E4!)h1"</f>
        <v>#VALUE!</v>
      </c>
      <c r="IH208" t="e">
        <f>Nodes!AB1734+"'E4!)h2"</f>
        <v>#VALUE!</v>
      </c>
      <c r="II208" t="e">
        <f>Nodes!AC1734+"'E4!)h3"</f>
        <v>#VALUE!</v>
      </c>
      <c r="IJ208" t="e">
        <f>Nodes!A1735+"'E4!)h4"</f>
        <v>#VALUE!</v>
      </c>
      <c r="IK208" t="e">
        <f>Nodes!B1735+"'E4!)h5"</f>
        <v>#VALUE!</v>
      </c>
      <c r="IL208" t="e">
        <f>Nodes!C1735+"'E4!)h6"</f>
        <v>#VALUE!</v>
      </c>
      <c r="IM208" t="e">
        <f>Nodes!D1735+"'E4!)h7"</f>
        <v>#VALUE!</v>
      </c>
      <c r="IN208" t="e">
        <f>Nodes!E1735+"'E4!)h8"</f>
        <v>#VALUE!</v>
      </c>
      <c r="IO208" t="e">
        <f>Nodes!F1735+"'E4!)h9"</f>
        <v>#VALUE!</v>
      </c>
      <c r="IP208" t="e">
        <f>Nodes!G1735+"'E4!)h:"</f>
        <v>#VALUE!</v>
      </c>
      <c r="IQ208" t="e">
        <f>Nodes!H1735+"'E4!)h;"</f>
        <v>#VALUE!</v>
      </c>
      <c r="IR208" t="e">
        <f>Nodes!I1735+"'E4!)h&lt;"</f>
        <v>#VALUE!</v>
      </c>
      <c r="IS208" t="e">
        <f>Nodes!J1735+"'E4!)h="</f>
        <v>#VALUE!</v>
      </c>
      <c r="IT208" t="e">
        <f>Nodes!K1735+"'E4!)h&gt;"</f>
        <v>#VALUE!</v>
      </c>
      <c r="IU208" t="e">
        <f>Nodes!L1735+"'E4!)h?"</f>
        <v>#VALUE!</v>
      </c>
      <c r="IV208" t="e">
        <f>Nodes!M1735+"'E4!)h@"</f>
        <v>#VALUE!</v>
      </c>
    </row>
    <row r="209" spans="6:256">
      <c r="F209" t="e">
        <f>Nodes!N1735+"'E4!)hA"</f>
        <v>#VALUE!</v>
      </c>
      <c r="G209" t="e">
        <f>Nodes!O1735+"'E4!)hB"</f>
        <v>#VALUE!</v>
      </c>
      <c r="H209" t="e">
        <f>Nodes!P1735+"'E4!)hC"</f>
        <v>#VALUE!</v>
      </c>
      <c r="I209" t="e">
        <f>Nodes!Q1735+"'E4!)hD"</f>
        <v>#VALUE!</v>
      </c>
      <c r="J209" t="e">
        <f>Nodes!R1735+"'E4!)hE"</f>
        <v>#VALUE!</v>
      </c>
      <c r="K209" t="e">
        <f>Nodes!S1735+"'E4!)hF"</f>
        <v>#VALUE!</v>
      </c>
      <c r="L209" t="e">
        <f>Nodes!T1735+"'E4!)hG"</f>
        <v>#VALUE!</v>
      </c>
      <c r="M209" t="e">
        <f>Nodes!U1735+"'E4!)hH"</f>
        <v>#VALUE!</v>
      </c>
      <c r="N209" t="e">
        <f>Nodes!V1735+"'E4!)hI"</f>
        <v>#VALUE!</v>
      </c>
      <c r="O209" t="e">
        <f>Nodes!W1735+"'E4!)hJ"</f>
        <v>#VALUE!</v>
      </c>
      <c r="P209" t="e">
        <f>Nodes!X1735+"'E4!)hK"</f>
        <v>#VALUE!</v>
      </c>
      <c r="Q209" t="e">
        <f>Nodes!Y1735+"'E4!)hL"</f>
        <v>#VALUE!</v>
      </c>
      <c r="R209" t="e">
        <f>Nodes!Z1735+"'E4!)hM"</f>
        <v>#VALUE!</v>
      </c>
      <c r="S209" t="e">
        <f>Nodes!AA1735+"'E4!)hN"</f>
        <v>#VALUE!</v>
      </c>
      <c r="T209" t="e">
        <f>Nodes!AB1735+"'E4!)hO"</f>
        <v>#VALUE!</v>
      </c>
      <c r="U209" t="e">
        <f>Nodes!AC1735+"'E4!)hP"</f>
        <v>#VALUE!</v>
      </c>
      <c r="V209" t="e">
        <f>Nodes!A1736+"'E4!)hQ"</f>
        <v>#VALUE!</v>
      </c>
      <c r="W209" t="e">
        <f>Nodes!B1736+"'E4!)hR"</f>
        <v>#VALUE!</v>
      </c>
      <c r="X209" t="e">
        <f>Nodes!C1736+"'E4!)hS"</f>
        <v>#VALUE!</v>
      </c>
      <c r="Y209" t="e">
        <f>Nodes!D1736+"'E4!)hT"</f>
        <v>#VALUE!</v>
      </c>
      <c r="Z209" t="e">
        <f>Nodes!E1736+"'E4!)hU"</f>
        <v>#VALUE!</v>
      </c>
      <c r="AA209" t="e">
        <f>Nodes!F1736+"'E4!)hV"</f>
        <v>#VALUE!</v>
      </c>
      <c r="AB209" t="e">
        <f>Nodes!G1736+"'E4!)hW"</f>
        <v>#VALUE!</v>
      </c>
      <c r="AC209" t="e">
        <f>Nodes!H1736+"'E4!)hX"</f>
        <v>#VALUE!</v>
      </c>
      <c r="AD209" t="e">
        <f>Nodes!I1736+"'E4!)hY"</f>
        <v>#VALUE!</v>
      </c>
      <c r="AE209" t="e">
        <f>Nodes!J1736+"'E4!)hZ"</f>
        <v>#VALUE!</v>
      </c>
      <c r="AF209" t="e">
        <f>Nodes!K1736+"'E4!)h["</f>
        <v>#VALUE!</v>
      </c>
      <c r="AG209" t="e">
        <f>Nodes!L1736+"'E4!)h\"</f>
        <v>#VALUE!</v>
      </c>
      <c r="AH209" t="e">
        <f>Nodes!M1736+"'E4!)h]"</f>
        <v>#VALUE!</v>
      </c>
      <c r="AI209" t="e">
        <f>Nodes!N1736+"'E4!)h^"</f>
        <v>#VALUE!</v>
      </c>
      <c r="AJ209" t="e">
        <f>Nodes!O1736+"'E4!)h_"</f>
        <v>#VALUE!</v>
      </c>
      <c r="AK209" t="e">
        <f>Nodes!P1736+"'E4!)h`"</f>
        <v>#VALUE!</v>
      </c>
      <c r="AL209" t="e">
        <f>Nodes!Q1736+"'E4!)ha"</f>
        <v>#VALUE!</v>
      </c>
      <c r="AM209" t="e">
        <f>Nodes!R1736+"'E4!)hb"</f>
        <v>#VALUE!</v>
      </c>
      <c r="AN209" t="e">
        <f>Nodes!S1736+"'E4!)hc"</f>
        <v>#VALUE!</v>
      </c>
      <c r="AO209" t="e">
        <f>Nodes!T1736+"'E4!)hd"</f>
        <v>#VALUE!</v>
      </c>
      <c r="AP209" t="e">
        <f>Nodes!U1736+"'E4!)he"</f>
        <v>#VALUE!</v>
      </c>
      <c r="AQ209" t="e">
        <f>Nodes!V1736+"'E4!)hf"</f>
        <v>#VALUE!</v>
      </c>
      <c r="AR209" t="e">
        <f>Nodes!W1736+"'E4!)hg"</f>
        <v>#VALUE!</v>
      </c>
      <c r="AS209" t="e">
        <f>Nodes!X1736+"'E4!)hh"</f>
        <v>#VALUE!</v>
      </c>
      <c r="AT209" t="e">
        <f>Nodes!Y1736+"'E4!)hi"</f>
        <v>#VALUE!</v>
      </c>
      <c r="AU209" t="e">
        <f>Nodes!Z1736+"'E4!)hj"</f>
        <v>#VALUE!</v>
      </c>
      <c r="AV209" t="e">
        <f>Nodes!AA1736+"'E4!)hk"</f>
        <v>#VALUE!</v>
      </c>
      <c r="AW209" t="e">
        <f>Nodes!AB1736+"'E4!)hl"</f>
        <v>#VALUE!</v>
      </c>
      <c r="AX209" t="e">
        <f>Nodes!AC1736+"'E4!)hm"</f>
        <v>#VALUE!</v>
      </c>
      <c r="AY209" t="e">
        <f>Nodes!A1737+"'E4!)hn"</f>
        <v>#VALUE!</v>
      </c>
      <c r="AZ209" t="e">
        <f>Nodes!B1737+"'E4!)ho"</f>
        <v>#VALUE!</v>
      </c>
      <c r="BA209" t="e">
        <f>Nodes!C1737+"'E4!)hp"</f>
        <v>#VALUE!</v>
      </c>
      <c r="BB209" t="e">
        <f>Nodes!D1737+"'E4!)hq"</f>
        <v>#VALUE!</v>
      </c>
      <c r="BC209" t="e">
        <f>Nodes!E1737+"'E4!)hr"</f>
        <v>#VALUE!</v>
      </c>
      <c r="BD209" t="e">
        <f>Nodes!F1737+"'E4!)hs"</f>
        <v>#VALUE!</v>
      </c>
      <c r="BE209" t="e">
        <f>Nodes!G1737+"'E4!)ht"</f>
        <v>#VALUE!</v>
      </c>
      <c r="BF209" t="e">
        <f>Nodes!H1737+"'E4!)hu"</f>
        <v>#VALUE!</v>
      </c>
      <c r="BG209" t="e">
        <f>Nodes!I1737+"'E4!)hv"</f>
        <v>#VALUE!</v>
      </c>
      <c r="BH209" t="e">
        <f>Nodes!J1737+"'E4!)hw"</f>
        <v>#VALUE!</v>
      </c>
      <c r="BI209" t="e">
        <f>Nodes!K1737+"'E4!)hx"</f>
        <v>#VALUE!</v>
      </c>
      <c r="BJ209" t="e">
        <f>Nodes!L1737+"'E4!)hy"</f>
        <v>#VALUE!</v>
      </c>
      <c r="BK209" t="e">
        <f>Nodes!M1737+"'E4!)hz"</f>
        <v>#VALUE!</v>
      </c>
      <c r="BL209" t="e">
        <f>Nodes!N1737+"'E4!)h{"</f>
        <v>#VALUE!</v>
      </c>
      <c r="BM209" t="e">
        <f>Nodes!O1737+"'E4!)h|"</f>
        <v>#VALUE!</v>
      </c>
      <c r="BN209" t="e">
        <f>Nodes!P1737+"'E4!)h}"</f>
        <v>#VALUE!</v>
      </c>
      <c r="BO209" t="e">
        <f>Nodes!Q1737+"'E4!)h~"</f>
        <v>#VALUE!</v>
      </c>
      <c r="BP209" t="e">
        <f>Nodes!R1737+"'E4!)i#"</f>
        <v>#VALUE!</v>
      </c>
      <c r="BQ209" t="e">
        <f>Nodes!S1737+"'E4!)i$"</f>
        <v>#VALUE!</v>
      </c>
      <c r="BR209" t="e">
        <f>Nodes!T1737+"'E4!)i%"</f>
        <v>#VALUE!</v>
      </c>
      <c r="BS209" t="e">
        <f>Nodes!U1737+"'E4!)i&amp;"</f>
        <v>#VALUE!</v>
      </c>
      <c r="BT209" t="e">
        <f>Nodes!V1737+"'E4!)i'"</f>
        <v>#VALUE!</v>
      </c>
      <c r="BU209" t="e">
        <f>Nodes!W1737+"'E4!)i("</f>
        <v>#VALUE!</v>
      </c>
      <c r="BV209" t="e">
        <f>Nodes!X1737+"'E4!)i)"</f>
        <v>#VALUE!</v>
      </c>
      <c r="BW209" t="e">
        <f>Nodes!Y1737+"'E4!)i."</f>
        <v>#VALUE!</v>
      </c>
      <c r="BX209" t="e">
        <f>Nodes!Z1737+"'E4!)i/"</f>
        <v>#VALUE!</v>
      </c>
      <c r="BY209" t="e">
        <f>Nodes!AA1737+"'E4!)i0"</f>
        <v>#VALUE!</v>
      </c>
      <c r="BZ209" t="e">
        <f>Nodes!AB1737+"'E4!)i1"</f>
        <v>#VALUE!</v>
      </c>
      <c r="CA209" t="e">
        <f>Nodes!AC1737+"'E4!)i2"</f>
        <v>#VALUE!</v>
      </c>
      <c r="CB209" t="e">
        <f>Nodes!A1738+"'E4!)i3"</f>
        <v>#VALUE!</v>
      </c>
      <c r="CC209" t="e">
        <f>Nodes!B1738+"'E4!)i4"</f>
        <v>#VALUE!</v>
      </c>
      <c r="CD209" t="e">
        <f>Nodes!C1738+"'E4!)i5"</f>
        <v>#VALUE!</v>
      </c>
      <c r="CE209" t="e">
        <f>Nodes!D1738+"'E4!)i6"</f>
        <v>#VALUE!</v>
      </c>
      <c r="CF209" t="e">
        <f>Nodes!E1738+"'E4!)i7"</f>
        <v>#VALUE!</v>
      </c>
      <c r="CG209" t="e">
        <f>Nodes!F1738+"'E4!)i8"</f>
        <v>#VALUE!</v>
      </c>
      <c r="CH209" t="e">
        <f>Nodes!G1738+"'E4!)i9"</f>
        <v>#VALUE!</v>
      </c>
      <c r="CI209" t="e">
        <f>Nodes!H1738+"'E4!)i:"</f>
        <v>#VALUE!</v>
      </c>
      <c r="CJ209" t="e">
        <f>Nodes!I1738+"'E4!)i;"</f>
        <v>#VALUE!</v>
      </c>
      <c r="CK209" t="e">
        <f>Nodes!J1738+"'E4!)i&lt;"</f>
        <v>#VALUE!</v>
      </c>
      <c r="CL209" t="e">
        <f>Nodes!K1738+"'E4!)i="</f>
        <v>#VALUE!</v>
      </c>
      <c r="CM209" t="e">
        <f>Nodes!L1738+"'E4!)i&gt;"</f>
        <v>#VALUE!</v>
      </c>
      <c r="CN209" t="e">
        <f>Nodes!M1738+"'E4!)i?"</f>
        <v>#VALUE!</v>
      </c>
      <c r="CO209" t="e">
        <f>Nodes!N1738+"'E4!)i@"</f>
        <v>#VALUE!</v>
      </c>
      <c r="CP209" t="e">
        <f>Nodes!O1738+"'E4!)iA"</f>
        <v>#VALUE!</v>
      </c>
      <c r="CQ209" t="e">
        <f>Nodes!P1738+"'E4!)iB"</f>
        <v>#VALUE!</v>
      </c>
      <c r="CR209" t="e">
        <f>Nodes!Q1738+"'E4!)iC"</f>
        <v>#VALUE!</v>
      </c>
      <c r="CS209" t="e">
        <f>Nodes!R1738+"'E4!)iD"</f>
        <v>#VALUE!</v>
      </c>
      <c r="CT209" t="e">
        <f>Nodes!S1738+"'E4!)iE"</f>
        <v>#VALUE!</v>
      </c>
      <c r="CU209" t="e">
        <f>Nodes!T1738+"'E4!)iF"</f>
        <v>#VALUE!</v>
      </c>
      <c r="CV209" t="e">
        <f>Nodes!U1738+"'E4!)iG"</f>
        <v>#VALUE!</v>
      </c>
      <c r="CW209" t="e">
        <f>Nodes!V1738+"'E4!)iH"</f>
        <v>#VALUE!</v>
      </c>
      <c r="CX209" t="e">
        <f>Nodes!W1738+"'E4!)iI"</f>
        <v>#VALUE!</v>
      </c>
      <c r="CY209" t="e">
        <f>Nodes!X1738+"'E4!)iJ"</f>
        <v>#VALUE!</v>
      </c>
      <c r="CZ209" t="e">
        <f>Nodes!Y1738+"'E4!)iK"</f>
        <v>#VALUE!</v>
      </c>
      <c r="DA209" t="e">
        <f>Nodes!Z1738+"'E4!)iL"</f>
        <v>#VALUE!</v>
      </c>
      <c r="DB209" t="e">
        <f>Nodes!AA1738+"'E4!)iM"</f>
        <v>#VALUE!</v>
      </c>
      <c r="DC209" t="e">
        <f>Nodes!AB1738+"'E4!)iN"</f>
        <v>#VALUE!</v>
      </c>
      <c r="DD209" t="e">
        <f>Nodes!AC1738+"'E4!)iO"</f>
        <v>#VALUE!</v>
      </c>
      <c r="DE209" t="e">
        <f>Nodes!A1739+"'E4!)iP"</f>
        <v>#VALUE!</v>
      </c>
      <c r="DF209" t="e">
        <f>Nodes!B1739+"'E4!)iQ"</f>
        <v>#VALUE!</v>
      </c>
      <c r="DG209" t="e">
        <f>Nodes!C1739+"'E4!)iR"</f>
        <v>#VALUE!</v>
      </c>
      <c r="DH209" t="e">
        <f>Nodes!D1739+"'E4!)iS"</f>
        <v>#VALUE!</v>
      </c>
      <c r="DI209" t="e">
        <f>Nodes!E1739+"'E4!)iT"</f>
        <v>#VALUE!</v>
      </c>
      <c r="DJ209" t="e">
        <f>Nodes!F1739+"'E4!)iU"</f>
        <v>#VALUE!</v>
      </c>
      <c r="DK209" t="e">
        <f>Nodes!G1739+"'E4!)iV"</f>
        <v>#VALUE!</v>
      </c>
      <c r="DL209" t="e">
        <f>Nodes!H1739+"'E4!)iW"</f>
        <v>#VALUE!</v>
      </c>
      <c r="DM209" t="e">
        <f>Nodes!I1739+"'E4!)iX"</f>
        <v>#VALUE!</v>
      </c>
      <c r="DN209" t="e">
        <f>Nodes!J1739+"'E4!)iY"</f>
        <v>#VALUE!</v>
      </c>
      <c r="DO209" t="e">
        <f>Nodes!K1739+"'E4!)iZ"</f>
        <v>#VALUE!</v>
      </c>
      <c r="DP209" t="e">
        <f>Nodes!L1739+"'E4!)i["</f>
        <v>#VALUE!</v>
      </c>
      <c r="DQ209" t="e">
        <f>Nodes!M1739+"'E4!)i\"</f>
        <v>#VALUE!</v>
      </c>
      <c r="DR209" t="e">
        <f>Nodes!N1739+"'E4!)i]"</f>
        <v>#VALUE!</v>
      </c>
      <c r="DS209" t="e">
        <f>Nodes!O1739+"'E4!)i^"</f>
        <v>#VALUE!</v>
      </c>
      <c r="DT209" t="e">
        <f>Nodes!P1739+"'E4!)i_"</f>
        <v>#VALUE!</v>
      </c>
      <c r="DU209" t="e">
        <f>Nodes!Q1739+"'E4!)i`"</f>
        <v>#VALUE!</v>
      </c>
      <c r="DV209" t="e">
        <f>Nodes!R1739+"'E4!)ia"</f>
        <v>#VALUE!</v>
      </c>
      <c r="DW209" t="e">
        <f>Nodes!S1739+"'E4!)ib"</f>
        <v>#VALUE!</v>
      </c>
      <c r="DX209" t="e">
        <f>Nodes!T1739+"'E4!)ic"</f>
        <v>#VALUE!</v>
      </c>
      <c r="DY209" t="e">
        <f>Nodes!U1739+"'E4!)id"</f>
        <v>#VALUE!</v>
      </c>
      <c r="DZ209" t="e">
        <f>Nodes!V1739+"'E4!)ie"</f>
        <v>#VALUE!</v>
      </c>
      <c r="EA209" t="e">
        <f>Nodes!W1739+"'E4!)if"</f>
        <v>#VALUE!</v>
      </c>
      <c r="EB209" t="e">
        <f>Nodes!X1739+"'E4!)ig"</f>
        <v>#VALUE!</v>
      </c>
      <c r="EC209" t="e">
        <f>Nodes!Y1739+"'E4!)ih"</f>
        <v>#VALUE!</v>
      </c>
      <c r="ED209" t="e">
        <f>Nodes!Z1739+"'E4!)ii"</f>
        <v>#VALUE!</v>
      </c>
      <c r="EE209" t="e">
        <f>Nodes!AA1739+"'E4!)ij"</f>
        <v>#VALUE!</v>
      </c>
      <c r="EF209" t="e">
        <f>Nodes!AB1739+"'E4!)ik"</f>
        <v>#VALUE!</v>
      </c>
      <c r="EG209" t="e">
        <f>Nodes!AC1739+"'E4!)il"</f>
        <v>#VALUE!</v>
      </c>
      <c r="EH209" t="e">
        <f>Nodes!A1740+"'E4!)im"</f>
        <v>#VALUE!</v>
      </c>
      <c r="EI209" t="e">
        <f>Nodes!B1740+"'E4!)in"</f>
        <v>#VALUE!</v>
      </c>
      <c r="EJ209" t="e">
        <f>Nodes!C1740+"'E4!)io"</f>
        <v>#VALUE!</v>
      </c>
      <c r="EK209" t="e">
        <f>Nodes!D1740+"'E4!)ip"</f>
        <v>#VALUE!</v>
      </c>
      <c r="EL209" t="e">
        <f>Nodes!E1740+"'E4!)iq"</f>
        <v>#VALUE!</v>
      </c>
      <c r="EM209" t="e">
        <f>Nodes!F1740+"'E4!)ir"</f>
        <v>#VALUE!</v>
      </c>
      <c r="EN209" t="e">
        <f>Nodes!G1740+"'E4!)is"</f>
        <v>#VALUE!</v>
      </c>
      <c r="EO209" t="e">
        <f>Nodes!H1740+"'E4!)it"</f>
        <v>#VALUE!</v>
      </c>
      <c r="EP209" t="e">
        <f>Nodes!I1740+"'E4!)iu"</f>
        <v>#VALUE!</v>
      </c>
      <c r="EQ209" t="e">
        <f>Nodes!J1740+"'E4!)iv"</f>
        <v>#VALUE!</v>
      </c>
      <c r="ER209" t="e">
        <f>Nodes!K1740+"'E4!)iw"</f>
        <v>#VALUE!</v>
      </c>
      <c r="ES209" t="e">
        <f>Nodes!L1740+"'E4!)ix"</f>
        <v>#VALUE!</v>
      </c>
      <c r="ET209" t="e">
        <f>Nodes!M1740+"'E4!)iy"</f>
        <v>#VALUE!</v>
      </c>
      <c r="EU209" t="e">
        <f>Nodes!N1740+"'E4!)iz"</f>
        <v>#VALUE!</v>
      </c>
      <c r="EV209" t="e">
        <f>Nodes!O1740+"'E4!)i{"</f>
        <v>#VALUE!</v>
      </c>
      <c r="EW209" t="e">
        <f>Nodes!P1740+"'E4!)i|"</f>
        <v>#VALUE!</v>
      </c>
      <c r="EX209" t="e">
        <f>Nodes!Q1740+"'E4!)i}"</f>
        <v>#VALUE!</v>
      </c>
      <c r="EY209" t="e">
        <f>Nodes!R1740+"'E4!)i~"</f>
        <v>#VALUE!</v>
      </c>
      <c r="EZ209" t="e">
        <f>Nodes!S1740+"'E4!)j#"</f>
        <v>#VALUE!</v>
      </c>
      <c r="FA209" t="e">
        <f>Nodes!T1740+"'E4!)j$"</f>
        <v>#VALUE!</v>
      </c>
      <c r="FB209" t="e">
        <f>Nodes!U1740+"'E4!)j%"</f>
        <v>#VALUE!</v>
      </c>
      <c r="FC209" t="e">
        <f>Nodes!V1740+"'E4!)j&amp;"</f>
        <v>#VALUE!</v>
      </c>
      <c r="FD209" t="e">
        <f>Nodes!W1740+"'E4!)j'"</f>
        <v>#VALUE!</v>
      </c>
      <c r="FE209" t="e">
        <f>Nodes!X1740+"'E4!)j("</f>
        <v>#VALUE!</v>
      </c>
      <c r="FF209" t="e">
        <f>Nodes!Y1740+"'E4!)j)"</f>
        <v>#VALUE!</v>
      </c>
      <c r="FG209" t="e">
        <f>Nodes!Z1740+"'E4!)j."</f>
        <v>#VALUE!</v>
      </c>
      <c r="FH209" t="e">
        <f>Nodes!AA1740+"'E4!)j/"</f>
        <v>#VALUE!</v>
      </c>
      <c r="FI209" t="e">
        <f>Nodes!AB1740+"'E4!)j0"</f>
        <v>#VALUE!</v>
      </c>
      <c r="FJ209" t="e">
        <f>Nodes!AC1740+"'E4!)j1"</f>
        <v>#VALUE!</v>
      </c>
      <c r="FK209" t="e">
        <f>Nodes!A1741+"'E4!)j2"</f>
        <v>#VALUE!</v>
      </c>
      <c r="FL209" t="e">
        <f>Nodes!B1741+"'E4!)j3"</f>
        <v>#VALUE!</v>
      </c>
      <c r="FM209" t="e">
        <f>Nodes!C1741+"'E4!)j4"</f>
        <v>#VALUE!</v>
      </c>
      <c r="FN209" t="e">
        <f>Nodes!D1741+"'E4!)j5"</f>
        <v>#VALUE!</v>
      </c>
      <c r="FO209" t="e">
        <f>Nodes!E1741+"'E4!)j6"</f>
        <v>#VALUE!</v>
      </c>
      <c r="FP209" t="e">
        <f>Nodes!F1741+"'E4!)j7"</f>
        <v>#VALUE!</v>
      </c>
      <c r="FQ209" t="e">
        <f>Nodes!G1741+"'E4!)j8"</f>
        <v>#VALUE!</v>
      </c>
      <c r="FR209" t="e">
        <f>Nodes!H1741+"'E4!)j9"</f>
        <v>#VALUE!</v>
      </c>
      <c r="FS209" t="e">
        <f>Nodes!I1741+"'E4!)j:"</f>
        <v>#VALUE!</v>
      </c>
      <c r="FT209" t="e">
        <f>Nodes!J1741+"'E4!)j;"</f>
        <v>#VALUE!</v>
      </c>
      <c r="FU209" t="e">
        <f>Nodes!K1741+"'E4!)j&lt;"</f>
        <v>#VALUE!</v>
      </c>
      <c r="FV209" t="e">
        <f>Nodes!L1741+"'E4!)j="</f>
        <v>#VALUE!</v>
      </c>
      <c r="FW209" t="e">
        <f>Nodes!M1741+"'E4!)j&gt;"</f>
        <v>#VALUE!</v>
      </c>
      <c r="FX209" t="e">
        <f>Nodes!N1741+"'E4!)j?"</f>
        <v>#VALUE!</v>
      </c>
      <c r="FY209" t="e">
        <f>Nodes!O1741+"'E4!)j@"</f>
        <v>#VALUE!</v>
      </c>
      <c r="FZ209" t="e">
        <f>Nodes!P1741+"'E4!)jA"</f>
        <v>#VALUE!</v>
      </c>
      <c r="GA209" t="e">
        <f>Nodes!Q1741+"'E4!)jB"</f>
        <v>#VALUE!</v>
      </c>
      <c r="GB209" t="e">
        <f>Nodes!R1741+"'E4!)jC"</f>
        <v>#VALUE!</v>
      </c>
      <c r="GC209" t="e">
        <f>Nodes!S1741+"'E4!)jD"</f>
        <v>#VALUE!</v>
      </c>
      <c r="GD209" t="e">
        <f>Nodes!T1741+"'E4!)jE"</f>
        <v>#VALUE!</v>
      </c>
      <c r="GE209" t="e">
        <f>Nodes!U1741+"'E4!)jF"</f>
        <v>#VALUE!</v>
      </c>
      <c r="GF209" t="e">
        <f>Nodes!V1741+"'E4!)jG"</f>
        <v>#VALUE!</v>
      </c>
      <c r="GG209" t="e">
        <f>Nodes!W1741+"'E4!)jH"</f>
        <v>#VALUE!</v>
      </c>
      <c r="GH209" t="e">
        <f>Nodes!X1741+"'E4!)jI"</f>
        <v>#VALUE!</v>
      </c>
      <c r="GI209" t="e">
        <f>Nodes!Y1741+"'E4!)jJ"</f>
        <v>#VALUE!</v>
      </c>
      <c r="GJ209" t="e">
        <f>Nodes!Z1741+"'E4!)jK"</f>
        <v>#VALUE!</v>
      </c>
      <c r="GK209" t="e">
        <f>Nodes!AA1741+"'E4!)jL"</f>
        <v>#VALUE!</v>
      </c>
      <c r="GL209" t="e">
        <f>Nodes!AB1741+"'E4!)jM"</f>
        <v>#VALUE!</v>
      </c>
      <c r="GM209" t="e">
        <f>Nodes!AC1741+"'E4!)jN"</f>
        <v>#VALUE!</v>
      </c>
      <c r="GN209" t="e">
        <f>Nodes!A1742+"'E4!)jO"</f>
        <v>#VALUE!</v>
      </c>
      <c r="GO209" t="e">
        <f>Nodes!B1742+"'E4!)jP"</f>
        <v>#VALUE!</v>
      </c>
      <c r="GP209" t="e">
        <f>Nodes!C1742+"'E4!)jQ"</f>
        <v>#VALUE!</v>
      </c>
      <c r="GQ209" t="e">
        <f>Nodes!D1742+"'E4!)jR"</f>
        <v>#VALUE!</v>
      </c>
      <c r="GR209" t="e">
        <f>Nodes!E1742+"'E4!)jS"</f>
        <v>#VALUE!</v>
      </c>
      <c r="GS209" t="e">
        <f>Nodes!F1742+"'E4!)jT"</f>
        <v>#VALUE!</v>
      </c>
      <c r="GT209" t="e">
        <f>Nodes!G1742+"'E4!)jU"</f>
        <v>#VALUE!</v>
      </c>
      <c r="GU209" t="e">
        <f>Nodes!H1742+"'E4!)jV"</f>
        <v>#VALUE!</v>
      </c>
      <c r="GV209" t="e">
        <f>Nodes!I1742+"'E4!)jW"</f>
        <v>#VALUE!</v>
      </c>
      <c r="GW209" t="e">
        <f>Nodes!J1742+"'E4!)jX"</f>
        <v>#VALUE!</v>
      </c>
      <c r="GX209" t="e">
        <f>Nodes!K1742+"'E4!)jY"</f>
        <v>#VALUE!</v>
      </c>
      <c r="GY209" t="e">
        <f>Nodes!L1742+"'E4!)jZ"</f>
        <v>#VALUE!</v>
      </c>
      <c r="GZ209" t="e">
        <f>Nodes!M1742+"'E4!)j["</f>
        <v>#VALUE!</v>
      </c>
      <c r="HA209" t="e">
        <f>Nodes!N1742+"'E4!)j\"</f>
        <v>#VALUE!</v>
      </c>
      <c r="HB209" t="e">
        <f>Nodes!O1742+"'E4!)j]"</f>
        <v>#VALUE!</v>
      </c>
      <c r="HC209" t="e">
        <f>Nodes!P1742+"'E4!)j^"</f>
        <v>#VALUE!</v>
      </c>
      <c r="HD209" t="e">
        <f>Nodes!Q1742+"'E4!)j_"</f>
        <v>#VALUE!</v>
      </c>
      <c r="HE209" t="e">
        <f>Nodes!R1742+"'E4!)j`"</f>
        <v>#VALUE!</v>
      </c>
      <c r="HF209" t="e">
        <f>Nodes!S1742+"'E4!)ja"</f>
        <v>#VALUE!</v>
      </c>
      <c r="HG209" t="e">
        <f>Nodes!T1742+"'E4!)jb"</f>
        <v>#VALUE!</v>
      </c>
      <c r="HH209" t="e">
        <f>Nodes!U1742+"'E4!)jc"</f>
        <v>#VALUE!</v>
      </c>
      <c r="HI209" t="e">
        <f>Nodes!V1742+"'E4!)jd"</f>
        <v>#VALUE!</v>
      </c>
      <c r="HJ209" t="e">
        <f>Nodes!W1742+"'E4!)je"</f>
        <v>#VALUE!</v>
      </c>
      <c r="HK209" t="e">
        <f>Nodes!X1742+"'E4!)jf"</f>
        <v>#VALUE!</v>
      </c>
      <c r="HL209" t="e">
        <f>Nodes!Y1742+"'E4!)jg"</f>
        <v>#VALUE!</v>
      </c>
      <c r="HM209" t="e">
        <f>Nodes!Z1742+"'E4!)jh"</f>
        <v>#VALUE!</v>
      </c>
      <c r="HN209" t="e">
        <f>Nodes!AA1742+"'E4!)ji"</f>
        <v>#VALUE!</v>
      </c>
      <c r="HO209" t="e">
        <f>Nodes!AB1742+"'E4!)jj"</f>
        <v>#VALUE!</v>
      </c>
      <c r="HP209" t="e">
        <f>Nodes!AC1742+"'E4!)jk"</f>
        <v>#VALUE!</v>
      </c>
      <c r="HQ209" t="e">
        <f>Nodes!A1743+"'E4!)jl"</f>
        <v>#VALUE!</v>
      </c>
      <c r="HR209" t="e">
        <f>Nodes!B1743+"'E4!)jm"</f>
        <v>#VALUE!</v>
      </c>
      <c r="HS209" t="e">
        <f>Nodes!C1743+"'E4!)jn"</f>
        <v>#VALUE!</v>
      </c>
      <c r="HT209" t="e">
        <f>Nodes!D1743+"'E4!)jo"</f>
        <v>#VALUE!</v>
      </c>
      <c r="HU209" t="e">
        <f>Nodes!E1743+"'E4!)jp"</f>
        <v>#VALUE!</v>
      </c>
      <c r="HV209" t="e">
        <f>Nodes!F1743+"'E4!)jq"</f>
        <v>#VALUE!</v>
      </c>
      <c r="HW209" t="e">
        <f>Nodes!G1743+"'E4!)jr"</f>
        <v>#VALUE!</v>
      </c>
      <c r="HX209" t="e">
        <f>Nodes!H1743+"'E4!)js"</f>
        <v>#VALUE!</v>
      </c>
      <c r="HY209" t="e">
        <f>Nodes!I1743+"'E4!)jt"</f>
        <v>#VALUE!</v>
      </c>
      <c r="HZ209" t="e">
        <f>Nodes!J1743+"'E4!)ju"</f>
        <v>#VALUE!</v>
      </c>
      <c r="IA209" t="e">
        <f>Nodes!K1743+"'E4!)jv"</f>
        <v>#VALUE!</v>
      </c>
      <c r="IB209" t="e">
        <f>Nodes!L1743+"'E4!)jw"</f>
        <v>#VALUE!</v>
      </c>
      <c r="IC209" t="e">
        <f>Nodes!M1743+"'E4!)jx"</f>
        <v>#VALUE!</v>
      </c>
      <c r="ID209" t="e">
        <f>Nodes!N1743+"'E4!)jy"</f>
        <v>#VALUE!</v>
      </c>
      <c r="IE209" t="e">
        <f>Nodes!O1743+"'E4!)jz"</f>
        <v>#VALUE!</v>
      </c>
      <c r="IF209" t="e">
        <f>Nodes!P1743+"'E4!)j{"</f>
        <v>#VALUE!</v>
      </c>
      <c r="IG209" t="e">
        <f>Nodes!Q1743+"'E4!)j|"</f>
        <v>#VALUE!</v>
      </c>
      <c r="IH209" t="e">
        <f>Nodes!R1743+"'E4!)j}"</f>
        <v>#VALUE!</v>
      </c>
      <c r="II209" t="e">
        <f>Nodes!S1743+"'E4!)j~"</f>
        <v>#VALUE!</v>
      </c>
      <c r="IJ209" t="e">
        <f>Nodes!T1743+"'E4!)k#"</f>
        <v>#VALUE!</v>
      </c>
      <c r="IK209" t="e">
        <f>Nodes!U1743+"'E4!)k$"</f>
        <v>#VALUE!</v>
      </c>
      <c r="IL209" t="e">
        <f>Nodes!V1743+"'E4!)k%"</f>
        <v>#VALUE!</v>
      </c>
      <c r="IM209" t="e">
        <f>Nodes!W1743+"'E4!)k&amp;"</f>
        <v>#VALUE!</v>
      </c>
      <c r="IN209" t="e">
        <f>Nodes!X1743+"'E4!)k'"</f>
        <v>#VALUE!</v>
      </c>
      <c r="IO209" t="e">
        <f>Nodes!Y1743+"'E4!)k("</f>
        <v>#VALUE!</v>
      </c>
      <c r="IP209" t="e">
        <f>Nodes!Z1743+"'E4!)k)"</f>
        <v>#VALUE!</v>
      </c>
      <c r="IQ209" t="e">
        <f>Nodes!AA1743+"'E4!)k."</f>
        <v>#VALUE!</v>
      </c>
      <c r="IR209" t="e">
        <f>Nodes!AB1743+"'E4!)k/"</f>
        <v>#VALUE!</v>
      </c>
      <c r="IS209" t="e">
        <f>Nodes!AC1743+"'E4!)k0"</f>
        <v>#VALUE!</v>
      </c>
      <c r="IT209" t="e">
        <f>Nodes!A1744+"'E4!)k1"</f>
        <v>#VALUE!</v>
      </c>
      <c r="IU209" t="e">
        <f>Nodes!B1744+"'E4!)k2"</f>
        <v>#VALUE!</v>
      </c>
      <c r="IV209" t="e">
        <f>Nodes!C1744+"'E4!)k3"</f>
        <v>#VALUE!</v>
      </c>
    </row>
    <row r="210" spans="6:256">
      <c r="F210" t="e">
        <f>Nodes!D1744+"'E4!)k4"</f>
        <v>#VALUE!</v>
      </c>
      <c r="G210" t="e">
        <f>Nodes!E1744+"'E4!)k5"</f>
        <v>#VALUE!</v>
      </c>
      <c r="H210" t="e">
        <f>Nodes!F1744+"'E4!)k6"</f>
        <v>#VALUE!</v>
      </c>
      <c r="I210" t="e">
        <f>Nodes!G1744+"'E4!)k7"</f>
        <v>#VALUE!</v>
      </c>
      <c r="J210" t="e">
        <f>Nodes!H1744+"'E4!)k8"</f>
        <v>#VALUE!</v>
      </c>
      <c r="K210" t="e">
        <f>Nodes!I1744+"'E4!)k9"</f>
        <v>#VALUE!</v>
      </c>
      <c r="L210" t="e">
        <f>Nodes!J1744+"'E4!)k:"</f>
        <v>#VALUE!</v>
      </c>
      <c r="M210" t="e">
        <f>Nodes!K1744+"'E4!)k;"</f>
        <v>#VALUE!</v>
      </c>
      <c r="N210" t="e">
        <f>Nodes!L1744+"'E4!)k&lt;"</f>
        <v>#VALUE!</v>
      </c>
      <c r="O210" t="e">
        <f>Nodes!M1744+"'E4!)k="</f>
        <v>#VALUE!</v>
      </c>
      <c r="P210" t="e">
        <f>Nodes!N1744+"'E4!)k&gt;"</f>
        <v>#VALUE!</v>
      </c>
      <c r="Q210" t="e">
        <f>Nodes!O1744+"'E4!)k?"</f>
        <v>#VALUE!</v>
      </c>
      <c r="R210" t="e">
        <f>Nodes!P1744+"'E4!)k@"</f>
        <v>#VALUE!</v>
      </c>
      <c r="S210" t="e">
        <f>Nodes!Q1744+"'E4!)kA"</f>
        <v>#VALUE!</v>
      </c>
      <c r="T210" t="e">
        <f>Nodes!R1744+"'E4!)kB"</f>
        <v>#VALUE!</v>
      </c>
      <c r="U210" t="e">
        <f>Nodes!S1744+"'E4!)kC"</f>
        <v>#VALUE!</v>
      </c>
      <c r="V210" t="e">
        <f>Nodes!T1744+"'E4!)kD"</f>
        <v>#VALUE!</v>
      </c>
      <c r="W210" t="e">
        <f>Nodes!U1744+"'E4!)kE"</f>
        <v>#VALUE!</v>
      </c>
      <c r="X210" t="e">
        <f>Nodes!V1744+"'E4!)kF"</f>
        <v>#VALUE!</v>
      </c>
      <c r="Y210" t="e">
        <f>Nodes!W1744+"'E4!)kG"</f>
        <v>#VALUE!</v>
      </c>
      <c r="Z210" t="e">
        <f>Nodes!X1744+"'E4!)kH"</f>
        <v>#VALUE!</v>
      </c>
      <c r="AA210" t="e">
        <f>Nodes!Y1744+"'E4!)kI"</f>
        <v>#VALUE!</v>
      </c>
      <c r="AB210" t="e">
        <f>Nodes!Z1744+"'E4!)kJ"</f>
        <v>#VALUE!</v>
      </c>
      <c r="AC210" t="e">
        <f>Nodes!AA1744+"'E4!)kK"</f>
        <v>#VALUE!</v>
      </c>
      <c r="AD210" t="e">
        <f>Nodes!AB1744+"'E4!)kL"</f>
        <v>#VALUE!</v>
      </c>
      <c r="AE210" t="e">
        <f>Nodes!AC1744+"'E4!)kM"</f>
        <v>#VALUE!</v>
      </c>
      <c r="AF210" t="e">
        <f>Nodes!A1745+"'E4!)kN"</f>
        <v>#VALUE!</v>
      </c>
      <c r="AG210" t="e">
        <f>Nodes!B1745+"'E4!)kO"</f>
        <v>#VALUE!</v>
      </c>
      <c r="AH210" t="e">
        <f>Nodes!C1745+"'E4!)kP"</f>
        <v>#VALUE!</v>
      </c>
      <c r="AI210" t="e">
        <f>Nodes!D1745+"'E4!)kQ"</f>
        <v>#VALUE!</v>
      </c>
      <c r="AJ210" t="e">
        <f>Nodes!E1745+"'E4!)kR"</f>
        <v>#VALUE!</v>
      </c>
      <c r="AK210" t="e">
        <f>Nodes!F1745+"'E4!)kS"</f>
        <v>#VALUE!</v>
      </c>
      <c r="AL210" t="e">
        <f>Nodes!G1745+"'E4!)kT"</f>
        <v>#VALUE!</v>
      </c>
      <c r="AM210" t="e">
        <f>Nodes!H1745+"'E4!)kU"</f>
        <v>#VALUE!</v>
      </c>
      <c r="AN210" t="e">
        <f>Nodes!I1745+"'E4!)kV"</f>
        <v>#VALUE!</v>
      </c>
      <c r="AO210" t="e">
        <f>Nodes!J1745+"'E4!)kW"</f>
        <v>#VALUE!</v>
      </c>
      <c r="AP210" t="e">
        <f>Nodes!K1745+"'E4!)kX"</f>
        <v>#VALUE!</v>
      </c>
      <c r="AQ210" t="e">
        <f>Nodes!L1745+"'E4!)kY"</f>
        <v>#VALUE!</v>
      </c>
      <c r="AR210" t="e">
        <f>Nodes!M1745+"'E4!)kZ"</f>
        <v>#VALUE!</v>
      </c>
      <c r="AS210" t="e">
        <f>Nodes!N1745+"'E4!)k["</f>
        <v>#VALUE!</v>
      </c>
      <c r="AT210" t="e">
        <f>Nodes!O1745+"'E4!)k\"</f>
        <v>#VALUE!</v>
      </c>
      <c r="AU210" t="e">
        <f>Nodes!P1745+"'E4!)k]"</f>
        <v>#VALUE!</v>
      </c>
      <c r="AV210" t="e">
        <f>Nodes!Q1745+"'E4!)k^"</f>
        <v>#VALUE!</v>
      </c>
      <c r="AW210" t="e">
        <f>Nodes!R1745+"'E4!)k_"</f>
        <v>#VALUE!</v>
      </c>
      <c r="AX210" t="e">
        <f>Nodes!S1745+"'E4!)k`"</f>
        <v>#VALUE!</v>
      </c>
      <c r="AY210" t="e">
        <f>Nodes!T1745+"'E4!)ka"</f>
        <v>#VALUE!</v>
      </c>
      <c r="AZ210" t="e">
        <f>Nodes!U1745+"'E4!)kb"</f>
        <v>#VALUE!</v>
      </c>
      <c r="BA210" t="e">
        <f>Nodes!V1745+"'E4!)kc"</f>
        <v>#VALUE!</v>
      </c>
      <c r="BB210" t="e">
        <f>Nodes!W1745+"'E4!)kd"</f>
        <v>#VALUE!</v>
      </c>
      <c r="BC210" t="e">
        <f>Nodes!X1745+"'E4!)ke"</f>
        <v>#VALUE!</v>
      </c>
      <c r="BD210" t="e">
        <f>Nodes!Y1745+"'E4!)kf"</f>
        <v>#VALUE!</v>
      </c>
      <c r="BE210" t="e">
        <f>Nodes!Z1745+"'E4!)kg"</f>
        <v>#VALUE!</v>
      </c>
      <c r="BF210" t="e">
        <f>Nodes!AA1745+"'E4!)kh"</f>
        <v>#VALUE!</v>
      </c>
      <c r="BG210" t="e">
        <f>Nodes!AB1745+"'E4!)ki"</f>
        <v>#VALUE!</v>
      </c>
      <c r="BH210" t="e">
        <f>Nodes!AC1745+"'E4!)kj"</f>
        <v>#VALUE!</v>
      </c>
      <c r="BI210" t="e">
        <f>Nodes!A1746+"'E4!)kk"</f>
        <v>#VALUE!</v>
      </c>
      <c r="BJ210" t="e">
        <f>Nodes!B1746+"'E4!)kl"</f>
        <v>#VALUE!</v>
      </c>
      <c r="BK210" t="e">
        <f>Nodes!C1746+"'E4!)km"</f>
        <v>#VALUE!</v>
      </c>
      <c r="BL210" t="e">
        <f>Nodes!D1746+"'E4!)kn"</f>
        <v>#VALUE!</v>
      </c>
      <c r="BM210" t="e">
        <f>Nodes!E1746+"'E4!)ko"</f>
        <v>#VALUE!</v>
      </c>
      <c r="BN210" t="e">
        <f>Nodes!F1746+"'E4!)kp"</f>
        <v>#VALUE!</v>
      </c>
      <c r="BO210" t="e">
        <f>Nodes!G1746+"'E4!)kq"</f>
        <v>#VALUE!</v>
      </c>
      <c r="BP210" t="e">
        <f>Nodes!H1746+"'E4!)kr"</f>
        <v>#VALUE!</v>
      </c>
      <c r="BQ210" t="e">
        <f>Nodes!I1746+"'E4!)ks"</f>
        <v>#VALUE!</v>
      </c>
      <c r="BR210" t="e">
        <f>Nodes!J1746+"'E4!)kt"</f>
        <v>#VALUE!</v>
      </c>
      <c r="BS210" t="e">
        <f>Nodes!K1746+"'E4!)ku"</f>
        <v>#VALUE!</v>
      </c>
      <c r="BT210" t="e">
        <f>Nodes!L1746+"'E4!)kv"</f>
        <v>#VALUE!</v>
      </c>
      <c r="BU210" t="e">
        <f>Nodes!M1746+"'E4!)kw"</f>
        <v>#VALUE!</v>
      </c>
      <c r="BV210" t="e">
        <f>Nodes!N1746+"'E4!)kx"</f>
        <v>#VALUE!</v>
      </c>
      <c r="BW210" t="e">
        <f>Nodes!O1746+"'E4!)ky"</f>
        <v>#VALUE!</v>
      </c>
      <c r="BX210" t="e">
        <f>Nodes!P1746+"'E4!)kz"</f>
        <v>#VALUE!</v>
      </c>
      <c r="BY210" t="e">
        <f>Nodes!Q1746+"'E4!)k{"</f>
        <v>#VALUE!</v>
      </c>
      <c r="BZ210" t="e">
        <f>Nodes!R1746+"'E4!)k|"</f>
        <v>#VALUE!</v>
      </c>
      <c r="CA210" t="e">
        <f>Nodes!S1746+"'E4!)k}"</f>
        <v>#VALUE!</v>
      </c>
      <c r="CB210" t="e">
        <f>Nodes!T1746+"'E4!)k~"</f>
        <v>#VALUE!</v>
      </c>
      <c r="CC210" t="e">
        <f>Nodes!U1746+"'E4!)l#"</f>
        <v>#VALUE!</v>
      </c>
      <c r="CD210" t="e">
        <f>Nodes!V1746+"'E4!)l$"</f>
        <v>#VALUE!</v>
      </c>
      <c r="CE210" t="e">
        <f>Nodes!W1746+"'E4!)l%"</f>
        <v>#VALUE!</v>
      </c>
      <c r="CF210" t="e">
        <f>Nodes!X1746+"'E4!)l&amp;"</f>
        <v>#VALUE!</v>
      </c>
      <c r="CG210" t="e">
        <f>Nodes!Y1746+"'E4!)l'"</f>
        <v>#VALUE!</v>
      </c>
      <c r="CH210" t="e">
        <f>Nodes!Z1746+"'E4!)l("</f>
        <v>#VALUE!</v>
      </c>
      <c r="CI210" t="e">
        <f>Nodes!AA1746+"'E4!)l)"</f>
        <v>#VALUE!</v>
      </c>
      <c r="CJ210" t="e">
        <f>Nodes!AB1746+"'E4!)l."</f>
        <v>#VALUE!</v>
      </c>
      <c r="CK210" t="e">
        <f>Nodes!AC1746+"'E4!)l/"</f>
        <v>#VALUE!</v>
      </c>
      <c r="CL210" t="e">
        <f>Nodes!A1747+"'E4!)l0"</f>
        <v>#VALUE!</v>
      </c>
      <c r="CM210" t="e">
        <f>Nodes!B1747+"'E4!)l1"</f>
        <v>#VALUE!</v>
      </c>
      <c r="CN210" t="e">
        <f>Nodes!C1747+"'E4!)l2"</f>
        <v>#VALUE!</v>
      </c>
      <c r="CO210" t="e">
        <f>Nodes!D1747+"'E4!)l3"</f>
        <v>#VALUE!</v>
      </c>
      <c r="CP210" t="e">
        <f>Nodes!E1747+"'E4!)l4"</f>
        <v>#VALUE!</v>
      </c>
      <c r="CQ210" t="e">
        <f>Nodes!F1747+"'E4!)l5"</f>
        <v>#VALUE!</v>
      </c>
      <c r="CR210" t="e">
        <f>Nodes!G1747+"'E4!)l6"</f>
        <v>#VALUE!</v>
      </c>
      <c r="CS210" t="e">
        <f>Nodes!H1747+"'E4!)l7"</f>
        <v>#VALUE!</v>
      </c>
      <c r="CT210" t="e">
        <f>Nodes!I1747+"'E4!)l8"</f>
        <v>#VALUE!</v>
      </c>
      <c r="CU210" t="e">
        <f>Nodes!J1747+"'E4!)l9"</f>
        <v>#VALUE!</v>
      </c>
      <c r="CV210" t="e">
        <f>Nodes!K1747+"'E4!)l:"</f>
        <v>#VALUE!</v>
      </c>
      <c r="CW210" t="e">
        <f>Nodes!L1747+"'E4!)l;"</f>
        <v>#VALUE!</v>
      </c>
      <c r="CX210" t="e">
        <f>Nodes!M1747+"'E4!)l&lt;"</f>
        <v>#VALUE!</v>
      </c>
      <c r="CY210" t="e">
        <f>Nodes!N1747+"'E4!)l="</f>
        <v>#VALUE!</v>
      </c>
      <c r="CZ210" t="e">
        <f>Nodes!O1747+"'E4!)l&gt;"</f>
        <v>#VALUE!</v>
      </c>
      <c r="DA210" t="e">
        <f>Nodes!P1747+"'E4!)l?"</f>
        <v>#VALUE!</v>
      </c>
      <c r="DB210" t="e">
        <f>Nodes!Q1747+"'E4!)l@"</f>
        <v>#VALUE!</v>
      </c>
      <c r="DC210" t="e">
        <f>Nodes!R1747+"'E4!)lA"</f>
        <v>#VALUE!</v>
      </c>
      <c r="DD210" t="e">
        <f>Nodes!S1747+"'E4!)lB"</f>
        <v>#VALUE!</v>
      </c>
      <c r="DE210" t="e">
        <f>Nodes!T1747+"'E4!)lC"</f>
        <v>#VALUE!</v>
      </c>
      <c r="DF210" t="e">
        <f>Nodes!U1747+"'E4!)lD"</f>
        <v>#VALUE!</v>
      </c>
      <c r="DG210" t="e">
        <f>Nodes!V1747+"'E4!)lE"</f>
        <v>#VALUE!</v>
      </c>
      <c r="DH210" t="e">
        <f>Nodes!W1747+"'E4!)lF"</f>
        <v>#VALUE!</v>
      </c>
      <c r="DI210" t="e">
        <f>Nodes!X1747+"'E4!)lG"</f>
        <v>#VALUE!</v>
      </c>
      <c r="DJ210" t="e">
        <f>Nodes!Y1747+"'E4!)lH"</f>
        <v>#VALUE!</v>
      </c>
      <c r="DK210" t="e">
        <f>Nodes!Z1747+"'E4!)lI"</f>
        <v>#VALUE!</v>
      </c>
      <c r="DL210" t="e">
        <f>Nodes!AA1747+"'E4!)lJ"</f>
        <v>#VALUE!</v>
      </c>
      <c r="DM210" t="e">
        <f>Nodes!AB1747+"'E4!)lK"</f>
        <v>#VALUE!</v>
      </c>
      <c r="DN210" t="e">
        <f>Nodes!AC1747+"'E4!)lL"</f>
        <v>#VALUE!</v>
      </c>
      <c r="DO210" t="e">
        <f>Nodes!A1748+"'E4!)lM"</f>
        <v>#VALUE!</v>
      </c>
      <c r="DP210" t="e">
        <f>Nodes!B1748+"'E4!)lN"</f>
        <v>#VALUE!</v>
      </c>
      <c r="DQ210" t="e">
        <f>Nodes!C1748+"'E4!)lO"</f>
        <v>#VALUE!</v>
      </c>
      <c r="DR210" t="e">
        <f>Nodes!D1748+"'E4!)lP"</f>
        <v>#VALUE!</v>
      </c>
      <c r="DS210" t="e">
        <f>Nodes!E1748+"'E4!)lQ"</f>
        <v>#VALUE!</v>
      </c>
      <c r="DT210" t="e">
        <f>Nodes!F1748+"'E4!)lR"</f>
        <v>#VALUE!</v>
      </c>
      <c r="DU210" t="e">
        <f>Nodes!G1748+"'E4!)lS"</f>
        <v>#VALUE!</v>
      </c>
      <c r="DV210" t="e">
        <f>Nodes!H1748+"'E4!)lT"</f>
        <v>#VALUE!</v>
      </c>
      <c r="DW210" t="e">
        <f>Nodes!I1748+"'E4!)lU"</f>
        <v>#VALUE!</v>
      </c>
      <c r="DX210" t="e">
        <f>Nodes!J1748+"'E4!)lV"</f>
        <v>#VALUE!</v>
      </c>
      <c r="DY210" t="e">
        <f>Nodes!K1748+"'E4!)lW"</f>
        <v>#VALUE!</v>
      </c>
      <c r="DZ210" t="e">
        <f>Nodes!L1748+"'E4!)lX"</f>
        <v>#VALUE!</v>
      </c>
      <c r="EA210" t="e">
        <f>Nodes!M1748+"'E4!)lY"</f>
        <v>#VALUE!</v>
      </c>
      <c r="EB210" t="e">
        <f>Nodes!N1748+"'E4!)lZ"</f>
        <v>#VALUE!</v>
      </c>
      <c r="EC210" t="e">
        <f>Nodes!O1748+"'E4!)l["</f>
        <v>#VALUE!</v>
      </c>
      <c r="ED210" t="e">
        <f>Nodes!P1748+"'E4!)l\"</f>
        <v>#VALUE!</v>
      </c>
      <c r="EE210" t="e">
        <f>Nodes!Q1748+"'E4!)l]"</f>
        <v>#VALUE!</v>
      </c>
      <c r="EF210" t="e">
        <f>Nodes!R1748+"'E4!)l^"</f>
        <v>#VALUE!</v>
      </c>
      <c r="EG210" t="e">
        <f>Nodes!S1748+"'E4!)l_"</f>
        <v>#VALUE!</v>
      </c>
      <c r="EH210" t="e">
        <f>Nodes!T1748+"'E4!)l`"</f>
        <v>#VALUE!</v>
      </c>
      <c r="EI210" t="e">
        <f>Nodes!U1748+"'E4!)la"</f>
        <v>#VALUE!</v>
      </c>
      <c r="EJ210" t="e">
        <f>Nodes!V1748+"'E4!)lb"</f>
        <v>#VALUE!</v>
      </c>
      <c r="EK210" t="e">
        <f>Nodes!W1748+"'E4!)lc"</f>
        <v>#VALUE!</v>
      </c>
      <c r="EL210" t="e">
        <f>Nodes!X1748+"'E4!)ld"</f>
        <v>#VALUE!</v>
      </c>
      <c r="EM210" t="e">
        <f>Nodes!Y1748+"'E4!)le"</f>
        <v>#VALUE!</v>
      </c>
      <c r="EN210" t="e">
        <f>Nodes!Z1748+"'E4!)lf"</f>
        <v>#VALUE!</v>
      </c>
      <c r="EO210" t="e">
        <f>Nodes!AA1748+"'E4!)lg"</f>
        <v>#VALUE!</v>
      </c>
      <c r="EP210" t="e">
        <f>Nodes!AB1748+"'E4!)lh"</f>
        <v>#VALUE!</v>
      </c>
      <c r="EQ210" t="e">
        <f>Nodes!AC1748+"'E4!)li"</f>
        <v>#VALUE!</v>
      </c>
      <c r="ER210" t="e">
        <f>Nodes!A1749+"'E4!)lj"</f>
        <v>#VALUE!</v>
      </c>
      <c r="ES210" t="e">
        <f>Nodes!B1749+"'E4!)lk"</f>
        <v>#VALUE!</v>
      </c>
      <c r="ET210" t="e">
        <f>Nodes!C1749+"'E4!)ll"</f>
        <v>#VALUE!</v>
      </c>
      <c r="EU210" t="e">
        <f>Nodes!D1749+"'E4!)lm"</f>
        <v>#VALUE!</v>
      </c>
      <c r="EV210" t="e">
        <f>Nodes!E1749+"'E4!)ln"</f>
        <v>#VALUE!</v>
      </c>
      <c r="EW210" t="e">
        <f>Nodes!F1749+"'E4!)lo"</f>
        <v>#VALUE!</v>
      </c>
      <c r="EX210" t="e">
        <f>Nodes!G1749+"'E4!)lp"</f>
        <v>#VALUE!</v>
      </c>
      <c r="EY210" t="e">
        <f>Nodes!H1749+"'E4!)lq"</f>
        <v>#VALUE!</v>
      </c>
      <c r="EZ210" t="e">
        <f>Nodes!I1749+"'E4!)lr"</f>
        <v>#VALUE!</v>
      </c>
      <c r="FA210" t="e">
        <f>Nodes!J1749+"'E4!)ls"</f>
        <v>#VALUE!</v>
      </c>
      <c r="FB210" t="e">
        <f>Nodes!K1749+"'E4!)lt"</f>
        <v>#VALUE!</v>
      </c>
      <c r="FC210" t="e">
        <f>Nodes!L1749+"'E4!)lu"</f>
        <v>#VALUE!</v>
      </c>
      <c r="FD210" t="e">
        <f>Nodes!M1749+"'E4!)lv"</f>
        <v>#VALUE!</v>
      </c>
      <c r="FE210" t="e">
        <f>Nodes!N1749+"'E4!)lw"</f>
        <v>#VALUE!</v>
      </c>
      <c r="FF210" t="e">
        <f>Nodes!O1749+"'E4!)lx"</f>
        <v>#VALUE!</v>
      </c>
      <c r="FG210" t="e">
        <f>Nodes!P1749+"'E4!)ly"</f>
        <v>#VALUE!</v>
      </c>
      <c r="FH210" t="e">
        <f>Nodes!Q1749+"'E4!)lz"</f>
        <v>#VALUE!</v>
      </c>
      <c r="FI210" t="e">
        <f>Nodes!R1749+"'E4!)l{"</f>
        <v>#VALUE!</v>
      </c>
      <c r="FJ210" t="e">
        <f>Nodes!S1749+"'E4!)l|"</f>
        <v>#VALUE!</v>
      </c>
      <c r="FK210" t="e">
        <f>Nodes!T1749+"'E4!)l}"</f>
        <v>#VALUE!</v>
      </c>
      <c r="FL210" t="e">
        <f>Nodes!U1749+"'E4!)l~"</f>
        <v>#VALUE!</v>
      </c>
      <c r="FM210" t="e">
        <f>Nodes!V1749+"'E4!)m#"</f>
        <v>#VALUE!</v>
      </c>
      <c r="FN210" t="e">
        <f>Nodes!W1749+"'E4!)m$"</f>
        <v>#VALUE!</v>
      </c>
      <c r="FO210" t="e">
        <f>Nodes!X1749+"'E4!)m%"</f>
        <v>#VALUE!</v>
      </c>
      <c r="FP210" t="e">
        <f>Nodes!Y1749+"'E4!)m&amp;"</f>
        <v>#VALUE!</v>
      </c>
      <c r="FQ210" t="e">
        <f>Nodes!Z1749+"'E4!)m'"</f>
        <v>#VALUE!</v>
      </c>
      <c r="FR210" t="e">
        <f>Nodes!AA1749+"'E4!)m("</f>
        <v>#VALUE!</v>
      </c>
      <c r="FS210" t="e">
        <f>Nodes!AB1749+"'E4!)m)"</f>
        <v>#VALUE!</v>
      </c>
      <c r="FT210" t="e">
        <f>Nodes!AC1749+"'E4!)m."</f>
        <v>#VALUE!</v>
      </c>
      <c r="FU210" t="e">
        <f>Nodes!A1750+"'E4!)m/"</f>
        <v>#VALUE!</v>
      </c>
      <c r="FV210" t="e">
        <f>Nodes!B1750+"'E4!)m0"</f>
        <v>#VALUE!</v>
      </c>
      <c r="FW210" t="e">
        <f>Nodes!C1750+"'E4!)m1"</f>
        <v>#VALUE!</v>
      </c>
      <c r="FX210" t="e">
        <f>Nodes!D1750+"'E4!)m2"</f>
        <v>#VALUE!</v>
      </c>
      <c r="FY210" t="e">
        <f>Nodes!E1750+"'E4!)m3"</f>
        <v>#VALUE!</v>
      </c>
      <c r="FZ210" t="e">
        <f>Nodes!F1750+"'E4!)m4"</f>
        <v>#VALUE!</v>
      </c>
      <c r="GA210" t="e">
        <f>Nodes!G1750+"'E4!)m5"</f>
        <v>#VALUE!</v>
      </c>
      <c r="GB210" t="e">
        <f>Nodes!H1750+"'E4!)m6"</f>
        <v>#VALUE!</v>
      </c>
      <c r="GC210" t="e">
        <f>Nodes!I1750+"'E4!)m7"</f>
        <v>#VALUE!</v>
      </c>
      <c r="GD210" t="e">
        <f>Nodes!J1750+"'E4!)m8"</f>
        <v>#VALUE!</v>
      </c>
      <c r="GE210" t="e">
        <f>Nodes!K1750+"'E4!)m9"</f>
        <v>#VALUE!</v>
      </c>
      <c r="GF210" t="e">
        <f>Nodes!L1750+"'E4!)m:"</f>
        <v>#VALUE!</v>
      </c>
      <c r="GG210" t="e">
        <f>Nodes!M1750+"'E4!)m;"</f>
        <v>#VALUE!</v>
      </c>
      <c r="GH210" t="e">
        <f>Nodes!N1750+"'E4!)m&lt;"</f>
        <v>#VALUE!</v>
      </c>
      <c r="GI210" t="e">
        <f>Nodes!O1750+"'E4!)m="</f>
        <v>#VALUE!</v>
      </c>
      <c r="GJ210" t="e">
        <f>Nodes!P1750+"'E4!)m&gt;"</f>
        <v>#VALUE!</v>
      </c>
      <c r="GK210" t="e">
        <f>Nodes!Q1750+"'E4!)m?"</f>
        <v>#VALUE!</v>
      </c>
      <c r="GL210" t="e">
        <f>Nodes!R1750+"'E4!)m@"</f>
        <v>#VALUE!</v>
      </c>
      <c r="GM210" t="e">
        <f>Nodes!S1750+"'E4!)mA"</f>
        <v>#VALUE!</v>
      </c>
      <c r="GN210" t="e">
        <f>Nodes!T1750+"'E4!)mB"</f>
        <v>#VALUE!</v>
      </c>
      <c r="GO210" t="e">
        <f>Nodes!U1750+"'E4!)mC"</f>
        <v>#VALUE!</v>
      </c>
      <c r="GP210" t="e">
        <f>Nodes!V1750+"'E4!)mD"</f>
        <v>#VALUE!</v>
      </c>
      <c r="GQ210" t="e">
        <f>Nodes!W1750+"'E4!)mE"</f>
        <v>#VALUE!</v>
      </c>
      <c r="GR210" t="e">
        <f>Nodes!X1750+"'E4!)mF"</f>
        <v>#VALUE!</v>
      </c>
      <c r="GS210" t="e">
        <f>Nodes!Y1750+"'E4!)mG"</f>
        <v>#VALUE!</v>
      </c>
      <c r="GT210" t="e">
        <f>Nodes!Z1750+"'E4!)mH"</f>
        <v>#VALUE!</v>
      </c>
      <c r="GU210" t="e">
        <f>Nodes!AA1750+"'E4!)mI"</f>
        <v>#VALUE!</v>
      </c>
      <c r="GV210" t="e">
        <f>Nodes!AB1750+"'E4!)mJ"</f>
        <v>#VALUE!</v>
      </c>
      <c r="GW210" t="e">
        <f>Nodes!AC1750+"'E4!)mK"</f>
        <v>#VALUE!</v>
      </c>
      <c r="GX210" t="e">
        <f>Nodes!A1751+"'E4!)mL"</f>
        <v>#VALUE!</v>
      </c>
      <c r="GY210" t="e">
        <f>Nodes!B1751+"'E4!)mM"</f>
        <v>#VALUE!</v>
      </c>
      <c r="GZ210" t="e">
        <f>Nodes!C1751+"'E4!)mN"</f>
        <v>#VALUE!</v>
      </c>
      <c r="HA210" t="e">
        <f>Nodes!D1751+"'E4!)mO"</f>
        <v>#VALUE!</v>
      </c>
      <c r="HB210" t="e">
        <f>Nodes!E1751+"'E4!)mP"</f>
        <v>#VALUE!</v>
      </c>
      <c r="HC210" t="e">
        <f>Nodes!F1751+"'E4!)mQ"</f>
        <v>#VALUE!</v>
      </c>
      <c r="HD210" t="e">
        <f>Nodes!G1751+"'E4!)mR"</f>
        <v>#VALUE!</v>
      </c>
      <c r="HE210" t="e">
        <f>Nodes!H1751+"'E4!)mS"</f>
        <v>#VALUE!</v>
      </c>
      <c r="HF210" t="e">
        <f>Nodes!I1751+"'E4!)mT"</f>
        <v>#VALUE!</v>
      </c>
      <c r="HG210" t="e">
        <f>Nodes!J1751+"'E4!)mU"</f>
        <v>#VALUE!</v>
      </c>
      <c r="HH210" t="e">
        <f>Nodes!K1751+"'E4!)mV"</f>
        <v>#VALUE!</v>
      </c>
      <c r="HI210" t="e">
        <f>Nodes!L1751+"'E4!)mW"</f>
        <v>#VALUE!</v>
      </c>
      <c r="HJ210" t="e">
        <f>Nodes!M1751+"'E4!)mX"</f>
        <v>#VALUE!</v>
      </c>
      <c r="HK210" t="e">
        <f>Nodes!N1751+"'E4!)mY"</f>
        <v>#VALUE!</v>
      </c>
      <c r="HL210" t="e">
        <f>Nodes!O1751+"'E4!)mZ"</f>
        <v>#VALUE!</v>
      </c>
      <c r="HM210" t="e">
        <f>Nodes!P1751+"'E4!)m["</f>
        <v>#VALUE!</v>
      </c>
      <c r="HN210" t="e">
        <f>Nodes!Q1751+"'E4!)m\"</f>
        <v>#VALUE!</v>
      </c>
      <c r="HO210" t="e">
        <f>Nodes!R1751+"'E4!)m]"</f>
        <v>#VALUE!</v>
      </c>
      <c r="HP210" t="e">
        <f>Nodes!S1751+"'E4!)m^"</f>
        <v>#VALUE!</v>
      </c>
      <c r="HQ210" t="e">
        <f>Nodes!T1751+"'E4!)m_"</f>
        <v>#VALUE!</v>
      </c>
      <c r="HR210" t="e">
        <f>Nodes!U1751+"'E4!)m`"</f>
        <v>#VALUE!</v>
      </c>
      <c r="HS210" t="e">
        <f>Nodes!V1751+"'E4!)ma"</f>
        <v>#VALUE!</v>
      </c>
      <c r="HT210" t="e">
        <f>Nodes!W1751+"'E4!)mb"</f>
        <v>#VALUE!</v>
      </c>
      <c r="HU210" t="e">
        <f>Nodes!X1751+"'E4!)mc"</f>
        <v>#VALUE!</v>
      </c>
      <c r="HV210" t="e">
        <f>Nodes!Y1751+"'E4!)md"</f>
        <v>#VALUE!</v>
      </c>
      <c r="HW210" t="e">
        <f>Nodes!Z1751+"'E4!)me"</f>
        <v>#VALUE!</v>
      </c>
      <c r="HX210" t="e">
        <f>Nodes!AA1751+"'E4!)mf"</f>
        <v>#VALUE!</v>
      </c>
      <c r="HY210" t="e">
        <f>Nodes!AB1751+"'E4!)mg"</f>
        <v>#VALUE!</v>
      </c>
      <c r="HZ210" t="e">
        <f>Nodes!AC1751+"'E4!)mh"</f>
        <v>#VALUE!</v>
      </c>
      <c r="IA210" t="e">
        <f>Nodes!A1752+"'E4!)mi"</f>
        <v>#VALUE!</v>
      </c>
      <c r="IB210" t="e">
        <f>Nodes!B1752+"'E4!)mj"</f>
        <v>#VALUE!</v>
      </c>
      <c r="IC210" t="e">
        <f>Nodes!C1752+"'E4!)mk"</f>
        <v>#VALUE!</v>
      </c>
      <c r="ID210" t="e">
        <f>Nodes!D1752+"'E4!)ml"</f>
        <v>#VALUE!</v>
      </c>
      <c r="IE210" t="e">
        <f>Nodes!E1752+"'E4!)mm"</f>
        <v>#VALUE!</v>
      </c>
      <c r="IF210" t="e">
        <f>Nodes!F1752+"'E4!)mn"</f>
        <v>#VALUE!</v>
      </c>
      <c r="IG210" t="e">
        <f>Nodes!G1752+"'E4!)mo"</f>
        <v>#VALUE!</v>
      </c>
      <c r="IH210" t="e">
        <f>Nodes!H1752+"'E4!)mp"</f>
        <v>#VALUE!</v>
      </c>
      <c r="II210" t="e">
        <f>Nodes!I1752+"'E4!)mq"</f>
        <v>#VALUE!</v>
      </c>
      <c r="IJ210" t="e">
        <f>Nodes!J1752+"'E4!)mr"</f>
        <v>#VALUE!</v>
      </c>
      <c r="IK210" t="e">
        <f>Nodes!K1752+"'E4!)ms"</f>
        <v>#VALUE!</v>
      </c>
      <c r="IL210" t="e">
        <f>Nodes!L1752+"'E4!)mt"</f>
        <v>#VALUE!</v>
      </c>
      <c r="IM210" t="e">
        <f>Nodes!M1752+"'E4!)mu"</f>
        <v>#VALUE!</v>
      </c>
      <c r="IN210" t="e">
        <f>Nodes!N1752+"'E4!)mv"</f>
        <v>#VALUE!</v>
      </c>
      <c r="IO210" t="e">
        <f>Nodes!O1752+"'E4!)mw"</f>
        <v>#VALUE!</v>
      </c>
      <c r="IP210" t="e">
        <f>Nodes!P1752+"'E4!)mx"</f>
        <v>#VALUE!</v>
      </c>
      <c r="IQ210" t="e">
        <f>Nodes!Q1752+"'E4!)my"</f>
        <v>#VALUE!</v>
      </c>
      <c r="IR210" t="e">
        <f>Nodes!R1752+"'E4!)mz"</f>
        <v>#VALUE!</v>
      </c>
      <c r="IS210" t="e">
        <f>Nodes!S1752+"'E4!)m{"</f>
        <v>#VALUE!</v>
      </c>
      <c r="IT210" t="e">
        <f>Nodes!T1752+"'E4!)m|"</f>
        <v>#VALUE!</v>
      </c>
      <c r="IU210" t="e">
        <f>Nodes!U1752+"'E4!)m}"</f>
        <v>#VALUE!</v>
      </c>
      <c r="IV210" t="e">
        <f>Nodes!V1752+"'E4!)m~"</f>
        <v>#VALUE!</v>
      </c>
    </row>
    <row r="211" spans="6:256">
      <c r="F211" t="e">
        <f>Nodes!W1752+"'E4!)n#"</f>
        <v>#VALUE!</v>
      </c>
      <c r="G211" t="e">
        <f>Nodes!X1752+"'E4!)n$"</f>
        <v>#VALUE!</v>
      </c>
      <c r="H211" t="e">
        <f>Nodes!Y1752+"'E4!)n%"</f>
        <v>#VALUE!</v>
      </c>
      <c r="I211" t="e">
        <f>Nodes!Z1752+"'E4!)n&amp;"</f>
        <v>#VALUE!</v>
      </c>
      <c r="J211" t="e">
        <f>Nodes!AA1752+"'E4!)n'"</f>
        <v>#VALUE!</v>
      </c>
      <c r="K211" t="e">
        <f>Nodes!AB1752+"'E4!)n("</f>
        <v>#VALUE!</v>
      </c>
      <c r="L211" t="e">
        <f>Nodes!AC1752+"'E4!)n)"</f>
        <v>#VALUE!</v>
      </c>
      <c r="M211" t="e">
        <f>Nodes!A1753+"'E4!)n."</f>
        <v>#VALUE!</v>
      </c>
      <c r="N211" t="e">
        <f>Nodes!B1753+"'E4!)n/"</f>
        <v>#VALUE!</v>
      </c>
      <c r="O211" t="e">
        <f>Nodes!C1753+"'E4!)n0"</f>
        <v>#VALUE!</v>
      </c>
      <c r="P211" t="e">
        <f>Nodes!D1753+"'E4!)n1"</f>
        <v>#VALUE!</v>
      </c>
      <c r="Q211" t="e">
        <f>Nodes!E1753+"'E4!)n2"</f>
        <v>#VALUE!</v>
      </c>
      <c r="R211" t="e">
        <f>Nodes!F1753+"'E4!)n3"</f>
        <v>#VALUE!</v>
      </c>
      <c r="S211" t="e">
        <f>Nodes!G1753+"'E4!)n4"</f>
        <v>#VALUE!</v>
      </c>
      <c r="T211" t="e">
        <f>Nodes!H1753+"'E4!)n5"</f>
        <v>#VALUE!</v>
      </c>
      <c r="U211" t="e">
        <f>Nodes!I1753+"'E4!)n6"</f>
        <v>#VALUE!</v>
      </c>
      <c r="V211" t="e">
        <f>Nodes!J1753+"'E4!)n7"</f>
        <v>#VALUE!</v>
      </c>
      <c r="W211" t="e">
        <f>Nodes!K1753+"'E4!)n8"</f>
        <v>#VALUE!</v>
      </c>
      <c r="X211" t="e">
        <f>Nodes!L1753+"'E4!)n9"</f>
        <v>#VALUE!</v>
      </c>
      <c r="Y211" t="e">
        <f>Nodes!M1753+"'E4!)n:"</f>
        <v>#VALUE!</v>
      </c>
      <c r="Z211" t="e">
        <f>Nodes!N1753+"'E4!)n;"</f>
        <v>#VALUE!</v>
      </c>
      <c r="AA211" t="e">
        <f>Nodes!O1753+"'E4!)n&lt;"</f>
        <v>#VALUE!</v>
      </c>
      <c r="AB211" t="e">
        <f>Nodes!P1753+"'E4!)n="</f>
        <v>#VALUE!</v>
      </c>
      <c r="AC211" t="e">
        <f>Nodes!Q1753+"'E4!)n&gt;"</f>
        <v>#VALUE!</v>
      </c>
      <c r="AD211" t="e">
        <f>Nodes!R1753+"'E4!)n?"</f>
        <v>#VALUE!</v>
      </c>
      <c r="AE211" t="e">
        <f>Nodes!S1753+"'E4!)n@"</f>
        <v>#VALUE!</v>
      </c>
      <c r="AF211" t="e">
        <f>Nodes!T1753+"'E4!)nA"</f>
        <v>#VALUE!</v>
      </c>
      <c r="AG211" t="e">
        <f>Nodes!U1753+"'E4!)nB"</f>
        <v>#VALUE!</v>
      </c>
      <c r="AH211" t="e">
        <f>Nodes!V1753+"'E4!)nC"</f>
        <v>#VALUE!</v>
      </c>
      <c r="AI211" t="e">
        <f>Nodes!W1753+"'E4!)nD"</f>
        <v>#VALUE!</v>
      </c>
      <c r="AJ211" t="e">
        <f>Nodes!X1753+"'E4!)nE"</f>
        <v>#VALUE!</v>
      </c>
      <c r="AK211" t="e">
        <f>Nodes!Y1753+"'E4!)nF"</f>
        <v>#VALUE!</v>
      </c>
      <c r="AL211" t="e">
        <f>Nodes!Z1753+"'E4!)nG"</f>
        <v>#VALUE!</v>
      </c>
      <c r="AM211" t="e">
        <f>Nodes!AA1753+"'E4!)nH"</f>
        <v>#VALUE!</v>
      </c>
      <c r="AN211" t="e">
        <f>Nodes!AB1753+"'E4!)nI"</f>
        <v>#VALUE!</v>
      </c>
      <c r="AO211" t="e">
        <f>Nodes!AC1753+"'E4!)nJ"</f>
        <v>#VALUE!</v>
      </c>
      <c r="AP211" t="e">
        <f>Nodes!A1754+"'E4!)nK"</f>
        <v>#VALUE!</v>
      </c>
      <c r="AQ211" t="e">
        <f>Nodes!B1754+"'E4!)nL"</f>
        <v>#VALUE!</v>
      </c>
      <c r="AR211" t="e">
        <f>Nodes!C1754+"'E4!)nM"</f>
        <v>#VALUE!</v>
      </c>
      <c r="AS211" t="e">
        <f>Nodes!D1754+"'E4!)nN"</f>
        <v>#VALUE!</v>
      </c>
      <c r="AT211" t="e">
        <f>Nodes!E1754+"'E4!)nO"</f>
        <v>#VALUE!</v>
      </c>
      <c r="AU211" t="e">
        <f>Nodes!F1754+"'E4!)nP"</f>
        <v>#VALUE!</v>
      </c>
      <c r="AV211" t="e">
        <f>Nodes!G1754+"'E4!)nQ"</f>
        <v>#VALUE!</v>
      </c>
      <c r="AW211" t="e">
        <f>Nodes!H1754+"'E4!)nR"</f>
        <v>#VALUE!</v>
      </c>
      <c r="AX211" t="e">
        <f>Nodes!I1754+"'E4!)nS"</f>
        <v>#VALUE!</v>
      </c>
      <c r="AY211" t="e">
        <f>Nodes!J1754+"'E4!)nT"</f>
        <v>#VALUE!</v>
      </c>
      <c r="AZ211" t="e">
        <f>Nodes!K1754+"'E4!)nU"</f>
        <v>#VALUE!</v>
      </c>
      <c r="BA211" t="e">
        <f>Nodes!L1754+"'E4!)nV"</f>
        <v>#VALUE!</v>
      </c>
      <c r="BB211" t="e">
        <f>Nodes!M1754+"'E4!)nW"</f>
        <v>#VALUE!</v>
      </c>
      <c r="BC211" t="e">
        <f>Nodes!N1754+"'E4!)nX"</f>
        <v>#VALUE!</v>
      </c>
      <c r="BD211" t="e">
        <f>Nodes!O1754+"'E4!)nY"</f>
        <v>#VALUE!</v>
      </c>
      <c r="BE211" t="e">
        <f>Nodes!P1754+"'E4!)nZ"</f>
        <v>#VALUE!</v>
      </c>
      <c r="BF211" t="e">
        <f>Nodes!Q1754+"'E4!)n["</f>
        <v>#VALUE!</v>
      </c>
      <c r="BG211" t="e">
        <f>Nodes!R1754+"'E4!)n\"</f>
        <v>#VALUE!</v>
      </c>
      <c r="BH211" t="e">
        <f>Nodes!S1754+"'E4!)n]"</f>
        <v>#VALUE!</v>
      </c>
      <c r="BI211" t="e">
        <f>Nodes!T1754+"'E4!)n^"</f>
        <v>#VALUE!</v>
      </c>
      <c r="BJ211" t="e">
        <f>Nodes!U1754+"'E4!)n_"</f>
        <v>#VALUE!</v>
      </c>
      <c r="BK211" t="e">
        <f>Nodes!V1754+"'E4!)n`"</f>
        <v>#VALUE!</v>
      </c>
      <c r="BL211" t="e">
        <f>Nodes!W1754+"'E4!)na"</f>
        <v>#VALUE!</v>
      </c>
      <c r="BM211" t="e">
        <f>Nodes!X1754+"'E4!)nb"</f>
        <v>#VALUE!</v>
      </c>
      <c r="BN211" t="e">
        <f>Nodes!Y1754+"'E4!)nc"</f>
        <v>#VALUE!</v>
      </c>
      <c r="BO211" t="e">
        <f>Nodes!Z1754+"'E4!)nd"</f>
        <v>#VALUE!</v>
      </c>
      <c r="BP211" t="e">
        <f>Nodes!AA1754+"'E4!)ne"</f>
        <v>#VALUE!</v>
      </c>
      <c r="BQ211" t="e">
        <f>Nodes!AB1754+"'E4!)nf"</f>
        <v>#VALUE!</v>
      </c>
      <c r="BR211" t="e">
        <f>Nodes!AC1754+"'E4!)ng"</f>
        <v>#VALUE!</v>
      </c>
      <c r="BS211" t="e">
        <f>Nodes!A1755+"'E4!)nh"</f>
        <v>#VALUE!</v>
      </c>
      <c r="BT211" t="e">
        <f>Nodes!B1755+"'E4!)ni"</f>
        <v>#VALUE!</v>
      </c>
      <c r="BU211" t="e">
        <f>Nodes!C1755+"'E4!)nj"</f>
        <v>#VALUE!</v>
      </c>
      <c r="BV211" t="e">
        <f>Nodes!D1755+"'E4!)nk"</f>
        <v>#VALUE!</v>
      </c>
      <c r="BW211" t="e">
        <f>Nodes!E1755+"'E4!)nl"</f>
        <v>#VALUE!</v>
      </c>
      <c r="BX211" t="e">
        <f>Nodes!F1755+"'E4!)nm"</f>
        <v>#VALUE!</v>
      </c>
      <c r="BY211" t="e">
        <f>Nodes!G1755+"'E4!)nn"</f>
        <v>#VALUE!</v>
      </c>
      <c r="BZ211" t="e">
        <f>Nodes!H1755+"'E4!)no"</f>
        <v>#VALUE!</v>
      </c>
      <c r="CA211" t="e">
        <f>Nodes!I1755+"'E4!)np"</f>
        <v>#VALUE!</v>
      </c>
      <c r="CB211" t="e">
        <f>Nodes!J1755+"'E4!)nq"</f>
        <v>#VALUE!</v>
      </c>
      <c r="CC211" t="e">
        <f>Nodes!K1755+"'E4!)nr"</f>
        <v>#VALUE!</v>
      </c>
      <c r="CD211" t="e">
        <f>Nodes!L1755+"'E4!)ns"</f>
        <v>#VALUE!</v>
      </c>
      <c r="CE211" t="e">
        <f>Nodes!M1755+"'E4!)nt"</f>
        <v>#VALUE!</v>
      </c>
      <c r="CF211" t="e">
        <f>Nodes!N1755+"'E4!)nu"</f>
        <v>#VALUE!</v>
      </c>
      <c r="CG211" t="e">
        <f>Nodes!O1755+"'E4!)nv"</f>
        <v>#VALUE!</v>
      </c>
      <c r="CH211" t="e">
        <f>Nodes!P1755+"'E4!)nw"</f>
        <v>#VALUE!</v>
      </c>
      <c r="CI211" t="e">
        <f>Nodes!Q1755+"'E4!)nx"</f>
        <v>#VALUE!</v>
      </c>
      <c r="CJ211" t="e">
        <f>Nodes!R1755+"'E4!)ny"</f>
        <v>#VALUE!</v>
      </c>
      <c r="CK211" t="e">
        <f>Nodes!S1755+"'E4!)nz"</f>
        <v>#VALUE!</v>
      </c>
      <c r="CL211" t="e">
        <f>Nodes!T1755+"'E4!)n{"</f>
        <v>#VALUE!</v>
      </c>
      <c r="CM211" t="e">
        <f>Nodes!U1755+"'E4!)n|"</f>
        <v>#VALUE!</v>
      </c>
      <c r="CN211" t="e">
        <f>Nodes!V1755+"'E4!)n}"</f>
        <v>#VALUE!</v>
      </c>
      <c r="CO211" t="e">
        <f>Nodes!W1755+"'E4!)n~"</f>
        <v>#VALUE!</v>
      </c>
      <c r="CP211" t="e">
        <f>Nodes!X1755+"'E4!)o#"</f>
        <v>#VALUE!</v>
      </c>
      <c r="CQ211" t="e">
        <f>Nodes!Y1755+"'E4!)o$"</f>
        <v>#VALUE!</v>
      </c>
      <c r="CR211" t="e">
        <f>Nodes!Z1755+"'E4!)o%"</f>
        <v>#VALUE!</v>
      </c>
      <c r="CS211" t="e">
        <f>Nodes!AA1755+"'E4!)o&amp;"</f>
        <v>#VALUE!</v>
      </c>
      <c r="CT211" t="e">
        <f>Nodes!AB1755+"'E4!)o'"</f>
        <v>#VALUE!</v>
      </c>
      <c r="CU211" t="e">
        <f>Nodes!AC1755+"'E4!)o("</f>
        <v>#VALUE!</v>
      </c>
      <c r="CV211" t="e">
        <f>Nodes!A1756+"'E4!)o)"</f>
        <v>#VALUE!</v>
      </c>
      <c r="CW211" t="e">
        <f>Nodes!B1756+"'E4!)o."</f>
        <v>#VALUE!</v>
      </c>
      <c r="CX211" t="e">
        <f>Nodes!C1756+"'E4!)o/"</f>
        <v>#VALUE!</v>
      </c>
      <c r="CY211" t="e">
        <f>Nodes!D1756+"'E4!)o0"</f>
        <v>#VALUE!</v>
      </c>
      <c r="CZ211" t="e">
        <f>Nodes!E1756+"'E4!)o1"</f>
        <v>#VALUE!</v>
      </c>
      <c r="DA211" t="e">
        <f>Nodes!F1756+"'E4!)o2"</f>
        <v>#VALUE!</v>
      </c>
      <c r="DB211" t="e">
        <f>Nodes!G1756+"'E4!)o3"</f>
        <v>#VALUE!</v>
      </c>
      <c r="DC211" t="e">
        <f>Nodes!H1756+"'E4!)o4"</f>
        <v>#VALUE!</v>
      </c>
      <c r="DD211" t="e">
        <f>Nodes!I1756+"'E4!)o5"</f>
        <v>#VALUE!</v>
      </c>
      <c r="DE211" t="e">
        <f>Nodes!J1756+"'E4!)o6"</f>
        <v>#VALUE!</v>
      </c>
      <c r="DF211" t="e">
        <f>Nodes!K1756+"'E4!)o7"</f>
        <v>#VALUE!</v>
      </c>
      <c r="DG211" t="e">
        <f>Nodes!L1756+"'E4!)o8"</f>
        <v>#VALUE!</v>
      </c>
      <c r="DH211" t="e">
        <f>Nodes!M1756+"'E4!)o9"</f>
        <v>#VALUE!</v>
      </c>
      <c r="DI211" t="e">
        <f>Nodes!N1756+"'E4!)o:"</f>
        <v>#VALUE!</v>
      </c>
      <c r="DJ211" t="e">
        <f>Nodes!O1756+"'E4!)o;"</f>
        <v>#VALUE!</v>
      </c>
      <c r="DK211" t="e">
        <f>Nodes!P1756+"'E4!)o&lt;"</f>
        <v>#VALUE!</v>
      </c>
      <c r="DL211" t="e">
        <f>Nodes!Q1756+"'E4!)o="</f>
        <v>#VALUE!</v>
      </c>
      <c r="DM211" t="e">
        <f>Nodes!R1756+"'E4!)o&gt;"</f>
        <v>#VALUE!</v>
      </c>
      <c r="DN211" t="e">
        <f>Nodes!S1756+"'E4!)o?"</f>
        <v>#VALUE!</v>
      </c>
      <c r="DO211" t="e">
        <f>Nodes!T1756+"'E4!)o@"</f>
        <v>#VALUE!</v>
      </c>
      <c r="DP211" t="e">
        <f>Nodes!U1756+"'E4!)oA"</f>
        <v>#VALUE!</v>
      </c>
      <c r="DQ211" t="e">
        <f>Nodes!V1756+"'E4!)oB"</f>
        <v>#VALUE!</v>
      </c>
      <c r="DR211" t="e">
        <f>Nodes!W1756+"'E4!)oC"</f>
        <v>#VALUE!</v>
      </c>
      <c r="DS211" t="e">
        <f>Nodes!X1756+"'E4!)oD"</f>
        <v>#VALUE!</v>
      </c>
      <c r="DT211" t="e">
        <f>Nodes!Y1756+"'E4!)oE"</f>
        <v>#VALUE!</v>
      </c>
      <c r="DU211" t="e">
        <f>Nodes!Z1756+"'E4!)oF"</f>
        <v>#VALUE!</v>
      </c>
      <c r="DV211" t="e">
        <f>Nodes!AA1756+"'E4!)oG"</f>
        <v>#VALUE!</v>
      </c>
      <c r="DW211" t="e">
        <f>Nodes!AB1756+"'E4!)oH"</f>
        <v>#VALUE!</v>
      </c>
      <c r="DX211" t="e">
        <f>Nodes!AC1756+"'E4!)oI"</f>
        <v>#VALUE!</v>
      </c>
      <c r="DY211" t="e">
        <f>Nodes!A1757+"'E4!)oJ"</f>
        <v>#VALUE!</v>
      </c>
      <c r="DZ211" t="e">
        <f>Nodes!B1757+"'E4!)oK"</f>
        <v>#VALUE!</v>
      </c>
      <c r="EA211" t="e">
        <f>Nodes!C1757+"'E4!)oL"</f>
        <v>#VALUE!</v>
      </c>
      <c r="EB211" t="e">
        <f>Nodes!D1757+"'E4!)oM"</f>
        <v>#VALUE!</v>
      </c>
      <c r="EC211" t="e">
        <f>Nodes!E1757+"'E4!)oN"</f>
        <v>#VALUE!</v>
      </c>
      <c r="ED211" t="e">
        <f>Nodes!F1757+"'E4!)oO"</f>
        <v>#VALUE!</v>
      </c>
      <c r="EE211" t="e">
        <f>Nodes!G1757+"'E4!)oP"</f>
        <v>#VALUE!</v>
      </c>
      <c r="EF211" t="e">
        <f>Nodes!H1757+"'E4!)oQ"</f>
        <v>#VALUE!</v>
      </c>
      <c r="EG211" t="e">
        <f>Nodes!I1757+"'E4!)oR"</f>
        <v>#VALUE!</v>
      </c>
      <c r="EH211" t="e">
        <f>Nodes!J1757+"'E4!)oS"</f>
        <v>#VALUE!</v>
      </c>
      <c r="EI211" t="e">
        <f>Nodes!K1757+"'E4!)oT"</f>
        <v>#VALUE!</v>
      </c>
      <c r="EJ211" t="e">
        <f>Nodes!L1757+"'E4!)oU"</f>
        <v>#VALUE!</v>
      </c>
      <c r="EK211" t="e">
        <f>Nodes!M1757+"'E4!)oV"</f>
        <v>#VALUE!</v>
      </c>
      <c r="EL211" t="e">
        <f>Nodes!N1757+"'E4!)oW"</f>
        <v>#VALUE!</v>
      </c>
      <c r="EM211" t="e">
        <f>Nodes!O1757+"'E4!)oX"</f>
        <v>#VALUE!</v>
      </c>
      <c r="EN211" t="e">
        <f>Nodes!P1757+"'E4!)oY"</f>
        <v>#VALUE!</v>
      </c>
      <c r="EO211" t="e">
        <f>Nodes!Q1757+"'E4!)oZ"</f>
        <v>#VALUE!</v>
      </c>
      <c r="EP211" t="e">
        <f>Nodes!R1757+"'E4!)o["</f>
        <v>#VALUE!</v>
      </c>
      <c r="EQ211" t="e">
        <f>Nodes!S1757+"'E4!)o\"</f>
        <v>#VALUE!</v>
      </c>
      <c r="ER211" t="e">
        <f>Nodes!T1757+"'E4!)o]"</f>
        <v>#VALUE!</v>
      </c>
      <c r="ES211" t="e">
        <f>Nodes!U1757+"'E4!)o^"</f>
        <v>#VALUE!</v>
      </c>
      <c r="ET211" t="e">
        <f>Nodes!V1757+"'E4!)o_"</f>
        <v>#VALUE!</v>
      </c>
      <c r="EU211" t="e">
        <f>Nodes!W1757+"'E4!)o`"</f>
        <v>#VALUE!</v>
      </c>
      <c r="EV211" t="e">
        <f>Nodes!X1757+"'E4!)oa"</f>
        <v>#VALUE!</v>
      </c>
      <c r="EW211" t="e">
        <f>Nodes!Y1757+"'E4!)ob"</f>
        <v>#VALUE!</v>
      </c>
      <c r="EX211" t="e">
        <f>Nodes!Z1757+"'E4!)oc"</f>
        <v>#VALUE!</v>
      </c>
      <c r="EY211" t="e">
        <f>Nodes!AA1757+"'E4!)od"</f>
        <v>#VALUE!</v>
      </c>
      <c r="EZ211" t="e">
        <f>Nodes!AB1757+"'E4!)oe"</f>
        <v>#VALUE!</v>
      </c>
      <c r="FA211" t="e">
        <f>Nodes!AC1757+"'E4!)of"</f>
        <v>#VALUE!</v>
      </c>
      <c r="FB211" t="e">
        <f>Nodes!A1758+"'E4!)og"</f>
        <v>#VALUE!</v>
      </c>
      <c r="FC211" t="e">
        <f>Nodes!B1758+"'E4!)oh"</f>
        <v>#VALUE!</v>
      </c>
      <c r="FD211" t="e">
        <f>Nodes!C1758+"'E4!)oi"</f>
        <v>#VALUE!</v>
      </c>
      <c r="FE211" t="e">
        <f>Nodes!D1758+"'E4!)oj"</f>
        <v>#VALUE!</v>
      </c>
      <c r="FF211" t="e">
        <f>Nodes!E1758+"'E4!)ok"</f>
        <v>#VALUE!</v>
      </c>
      <c r="FG211" t="e">
        <f>Nodes!F1758+"'E4!)ol"</f>
        <v>#VALUE!</v>
      </c>
      <c r="FH211" t="e">
        <f>Nodes!G1758+"'E4!)om"</f>
        <v>#VALUE!</v>
      </c>
      <c r="FI211" t="e">
        <f>Nodes!H1758+"'E4!)on"</f>
        <v>#VALUE!</v>
      </c>
      <c r="FJ211" t="e">
        <f>Nodes!I1758+"'E4!)oo"</f>
        <v>#VALUE!</v>
      </c>
      <c r="FK211" t="e">
        <f>Nodes!J1758+"'E4!)op"</f>
        <v>#VALUE!</v>
      </c>
      <c r="FL211" t="e">
        <f>Nodes!K1758+"'E4!)oq"</f>
        <v>#VALUE!</v>
      </c>
      <c r="FM211" t="e">
        <f>Nodes!L1758+"'E4!)or"</f>
        <v>#VALUE!</v>
      </c>
      <c r="FN211" t="e">
        <f>Nodes!M1758+"'E4!)os"</f>
        <v>#VALUE!</v>
      </c>
      <c r="FO211" t="e">
        <f>Nodes!N1758+"'E4!)ot"</f>
        <v>#VALUE!</v>
      </c>
      <c r="FP211" t="e">
        <f>Nodes!O1758+"'E4!)ou"</f>
        <v>#VALUE!</v>
      </c>
      <c r="FQ211" t="e">
        <f>Nodes!P1758+"'E4!)ov"</f>
        <v>#VALUE!</v>
      </c>
      <c r="FR211" t="e">
        <f>Nodes!Q1758+"'E4!)ow"</f>
        <v>#VALUE!</v>
      </c>
      <c r="FS211" t="e">
        <f>Nodes!R1758+"'E4!)ox"</f>
        <v>#VALUE!</v>
      </c>
      <c r="FT211" t="e">
        <f>Nodes!S1758+"'E4!)oy"</f>
        <v>#VALUE!</v>
      </c>
      <c r="FU211" t="e">
        <f>Nodes!T1758+"'E4!)oz"</f>
        <v>#VALUE!</v>
      </c>
      <c r="FV211" t="e">
        <f>Nodes!U1758+"'E4!)o{"</f>
        <v>#VALUE!</v>
      </c>
      <c r="FW211" t="e">
        <f>Nodes!V1758+"'E4!)o|"</f>
        <v>#VALUE!</v>
      </c>
      <c r="FX211" t="e">
        <f>Nodes!W1758+"'E4!)o}"</f>
        <v>#VALUE!</v>
      </c>
      <c r="FY211" t="e">
        <f>Nodes!X1758+"'E4!)o~"</f>
        <v>#VALUE!</v>
      </c>
      <c r="FZ211" t="e">
        <f>Nodes!Y1758+"'E4!)p#"</f>
        <v>#VALUE!</v>
      </c>
      <c r="GA211" t="e">
        <f>Nodes!Z1758+"'E4!)p$"</f>
        <v>#VALUE!</v>
      </c>
      <c r="GB211" t="e">
        <f>Nodes!AA1758+"'E4!)p%"</f>
        <v>#VALUE!</v>
      </c>
      <c r="GC211" t="e">
        <f>Nodes!AB1758+"'E4!)p&amp;"</f>
        <v>#VALUE!</v>
      </c>
      <c r="GD211" t="e">
        <f>Nodes!AC1758+"'E4!)p'"</f>
        <v>#VALUE!</v>
      </c>
      <c r="GE211" t="e">
        <f>Nodes!A1759+"'E4!)p("</f>
        <v>#VALUE!</v>
      </c>
      <c r="GF211" t="e">
        <f>Nodes!B1759+"'E4!)p)"</f>
        <v>#VALUE!</v>
      </c>
      <c r="GG211" t="e">
        <f>Nodes!C1759+"'E4!)p."</f>
        <v>#VALUE!</v>
      </c>
      <c r="GH211" t="e">
        <f>Nodes!D1759+"'E4!)p/"</f>
        <v>#VALUE!</v>
      </c>
      <c r="GI211" t="e">
        <f>Nodes!E1759+"'E4!)p0"</f>
        <v>#VALUE!</v>
      </c>
      <c r="GJ211" t="e">
        <f>Nodes!F1759+"'E4!)p1"</f>
        <v>#VALUE!</v>
      </c>
      <c r="GK211" t="e">
        <f>Nodes!G1759+"'E4!)p2"</f>
        <v>#VALUE!</v>
      </c>
      <c r="GL211" t="e">
        <f>Nodes!H1759+"'E4!)p3"</f>
        <v>#VALUE!</v>
      </c>
      <c r="GM211" t="e">
        <f>Nodes!I1759+"'E4!)p4"</f>
        <v>#VALUE!</v>
      </c>
      <c r="GN211" t="e">
        <f>Nodes!J1759+"'E4!)p5"</f>
        <v>#VALUE!</v>
      </c>
      <c r="GO211" t="e">
        <f>Nodes!K1759+"'E4!)p6"</f>
        <v>#VALUE!</v>
      </c>
      <c r="GP211" t="e">
        <f>Nodes!L1759+"'E4!)p7"</f>
        <v>#VALUE!</v>
      </c>
      <c r="GQ211" t="e">
        <f>Nodes!M1759+"'E4!)p8"</f>
        <v>#VALUE!</v>
      </c>
      <c r="GR211" t="e">
        <f>Nodes!N1759+"'E4!)p9"</f>
        <v>#VALUE!</v>
      </c>
      <c r="GS211" t="e">
        <f>Nodes!O1759+"'E4!)p:"</f>
        <v>#VALUE!</v>
      </c>
      <c r="GT211" t="e">
        <f>Nodes!P1759+"'E4!)p;"</f>
        <v>#VALUE!</v>
      </c>
      <c r="GU211" t="e">
        <f>Nodes!Q1759+"'E4!)p&lt;"</f>
        <v>#VALUE!</v>
      </c>
      <c r="GV211" t="e">
        <f>Nodes!R1759+"'E4!)p="</f>
        <v>#VALUE!</v>
      </c>
      <c r="GW211" t="e">
        <f>Nodes!S1759+"'E4!)p&gt;"</f>
        <v>#VALUE!</v>
      </c>
      <c r="GX211" t="e">
        <f>Nodes!T1759+"'E4!)p?"</f>
        <v>#VALUE!</v>
      </c>
      <c r="GY211" t="e">
        <f>Nodes!U1759+"'E4!)p@"</f>
        <v>#VALUE!</v>
      </c>
      <c r="GZ211" t="e">
        <f>Nodes!V1759+"'E4!)pA"</f>
        <v>#VALUE!</v>
      </c>
      <c r="HA211" t="e">
        <f>Nodes!W1759+"'E4!)pB"</f>
        <v>#VALUE!</v>
      </c>
      <c r="HB211" t="e">
        <f>Nodes!X1759+"'E4!)pC"</f>
        <v>#VALUE!</v>
      </c>
      <c r="HC211" t="e">
        <f>Nodes!Y1759+"'E4!)pD"</f>
        <v>#VALUE!</v>
      </c>
      <c r="HD211" t="e">
        <f>Nodes!Z1759+"'E4!)pE"</f>
        <v>#VALUE!</v>
      </c>
      <c r="HE211" t="e">
        <f>Nodes!AA1759+"'E4!)pF"</f>
        <v>#VALUE!</v>
      </c>
      <c r="HF211" t="e">
        <f>Nodes!AB1759+"'E4!)pG"</f>
        <v>#VALUE!</v>
      </c>
      <c r="HG211" t="e">
        <f>Nodes!AC1759+"'E4!)pH"</f>
        <v>#VALUE!</v>
      </c>
      <c r="HH211" t="e">
        <f>Nodes!A1760+"'E4!)pI"</f>
        <v>#VALUE!</v>
      </c>
      <c r="HI211" t="e">
        <f>Nodes!B1760+"'E4!)pJ"</f>
        <v>#VALUE!</v>
      </c>
      <c r="HJ211" t="e">
        <f>Nodes!C1760+"'E4!)pK"</f>
        <v>#VALUE!</v>
      </c>
      <c r="HK211" t="e">
        <f>Nodes!D1760+"'E4!)pL"</f>
        <v>#VALUE!</v>
      </c>
      <c r="HL211" t="e">
        <f>Nodes!E1760+"'E4!)pM"</f>
        <v>#VALUE!</v>
      </c>
      <c r="HM211" t="e">
        <f>Nodes!F1760+"'E4!)pN"</f>
        <v>#VALUE!</v>
      </c>
      <c r="HN211" t="e">
        <f>Nodes!G1760+"'E4!)pO"</f>
        <v>#VALUE!</v>
      </c>
      <c r="HO211" t="e">
        <f>Nodes!H1760+"'E4!)pP"</f>
        <v>#VALUE!</v>
      </c>
      <c r="HP211" t="e">
        <f>Nodes!I1760+"'E4!)pQ"</f>
        <v>#VALUE!</v>
      </c>
      <c r="HQ211" t="e">
        <f>Nodes!J1760+"'E4!)pR"</f>
        <v>#VALUE!</v>
      </c>
      <c r="HR211" t="e">
        <f>Nodes!K1760+"'E4!)pS"</f>
        <v>#VALUE!</v>
      </c>
      <c r="HS211" t="e">
        <f>Nodes!L1760+"'E4!)pT"</f>
        <v>#VALUE!</v>
      </c>
      <c r="HT211" t="e">
        <f>Nodes!M1760+"'E4!)pU"</f>
        <v>#VALUE!</v>
      </c>
      <c r="HU211" t="e">
        <f>Nodes!N1760+"'E4!)pV"</f>
        <v>#VALUE!</v>
      </c>
      <c r="HV211" t="e">
        <f>Nodes!O1760+"'E4!)pW"</f>
        <v>#VALUE!</v>
      </c>
      <c r="HW211" t="e">
        <f>Nodes!P1760+"'E4!)pX"</f>
        <v>#VALUE!</v>
      </c>
      <c r="HX211" t="e">
        <f>Nodes!Q1760+"'E4!)pY"</f>
        <v>#VALUE!</v>
      </c>
      <c r="HY211" t="e">
        <f>Nodes!R1760+"'E4!)pZ"</f>
        <v>#VALUE!</v>
      </c>
      <c r="HZ211" t="e">
        <f>Nodes!S1760+"'E4!)p["</f>
        <v>#VALUE!</v>
      </c>
      <c r="IA211" t="e">
        <f>Nodes!T1760+"'E4!)p\"</f>
        <v>#VALUE!</v>
      </c>
      <c r="IB211" t="e">
        <f>Nodes!U1760+"'E4!)p]"</f>
        <v>#VALUE!</v>
      </c>
      <c r="IC211" t="e">
        <f>Nodes!V1760+"'E4!)p^"</f>
        <v>#VALUE!</v>
      </c>
      <c r="ID211" t="e">
        <f>Nodes!W1760+"'E4!)p_"</f>
        <v>#VALUE!</v>
      </c>
      <c r="IE211" t="e">
        <f>Nodes!X1760+"'E4!)p`"</f>
        <v>#VALUE!</v>
      </c>
      <c r="IF211" t="e">
        <f>Nodes!Y1760+"'E4!)pa"</f>
        <v>#VALUE!</v>
      </c>
      <c r="IG211" t="e">
        <f>Nodes!Z1760+"'E4!)pb"</f>
        <v>#VALUE!</v>
      </c>
      <c r="IH211" t="e">
        <f>Nodes!AA1760+"'E4!)pc"</f>
        <v>#VALUE!</v>
      </c>
      <c r="II211" t="e">
        <f>Nodes!AB1760+"'E4!)pd"</f>
        <v>#VALUE!</v>
      </c>
      <c r="IJ211" t="e">
        <f>Nodes!AC1760+"'E4!)pe"</f>
        <v>#VALUE!</v>
      </c>
      <c r="IK211" t="e">
        <f>Nodes!A1761+"'E4!)pf"</f>
        <v>#VALUE!</v>
      </c>
      <c r="IL211" t="e">
        <f>Nodes!B1761+"'E4!)pg"</f>
        <v>#VALUE!</v>
      </c>
      <c r="IM211" t="e">
        <f>Nodes!C1761+"'E4!)ph"</f>
        <v>#VALUE!</v>
      </c>
      <c r="IN211" t="e">
        <f>Nodes!D1761+"'E4!)pi"</f>
        <v>#VALUE!</v>
      </c>
      <c r="IO211" t="e">
        <f>Nodes!E1761+"'E4!)pj"</f>
        <v>#VALUE!</v>
      </c>
      <c r="IP211" t="e">
        <f>Nodes!F1761+"'E4!)pk"</f>
        <v>#VALUE!</v>
      </c>
      <c r="IQ211" t="e">
        <f>Nodes!G1761+"'E4!)pl"</f>
        <v>#VALUE!</v>
      </c>
      <c r="IR211" t="e">
        <f>Nodes!H1761+"'E4!)pm"</f>
        <v>#VALUE!</v>
      </c>
      <c r="IS211" t="e">
        <f>Nodes!I1761+"'E4!)pn"</f>
        <v>#VALUE!</v>
      </c>
      <c r="IT211" t="e">
        <f>Nodes!J1761+"'E4!)po"</f>
        <v>#VALUE!</v>
      </c>
      <c r="IU211" t="e">
        <f>Nodes!K1761+"'E4!)pp"</f>
        <v>#VALUE!</v>
      </c>
      <c r="IV211" t="e">
        <f>Nodes!L1761+"'E4!)pq"</f>
        <v>#VALUE!</v>
      </c>
    </row>
    <row r="212" spans="6:256">
      <c r="F212" t="e">
        <f>Nodes!M1761+"'E4!)pr"</f>
        <v>#VALUE!</v>
      </c>
      <c r="G212" t="e">
        <f>Nodes!N1761+"'E4!)ps"</f>
        <v>#VALUE!</v>
      </c>
      <c r="H212" t="e">
        <f>Nodes!O1761+"'E4!)pt"</f>
        <v>#VALUE!</v>
      </c>
      <c r="I212" t="e">
        <f>Nodes!P1761+"'E4!)pu"</f>
        <v>#VALUE!</v>
      </c>
      <c r="J212" t="e">
        <f>Nodes!Q1761+"'E4!)pv"</f>
        <v>#VALUE!</v>
      </c>
      <c r="K212" t="e">
        <f>Nodes!R1761+"'E4!)pw"</f>
        <v>#VALUE!</v>
      </c>
      <c r="L212" t="e">
        <f>Nodes!S1761+"'E4!)px"</f>
        <v>#VALUE!</v>
      </c>
      <c r="M212" t="e">
        <f>Nodes!T1761+"'E4!)py"</f>
        <v>#VALUE!</v>
      </c>
      <c r="N212" t="e">
        <f>Nodes!U1761+"'E4!)pz"</f>
        <v>#VALUE!</v>
      </c>
      <c r="O212" t="e">
        <f>Nodes!V1761+"'E4!)p{"</f>
        <v>#VALUE!</v>
      </c>
      <c r="P212" t="e">
        <f>Nodes!W1761+"'E4!)p|"</f>
        <v>#VALUE!</v>
      </c>
      <c r="Q212" t="e">
        <f>Nodes!X1761+"'E4!)p}"</f>
        <v>#VALUE!</v>
      </c>
      <c r="R212" t="e">
        <f>Nodes!Y1761+"'E4!)p~"</f>
        <v>#VALUE!</v>
      </c>
      <c r="S212" t="e">
        <f>Nodes!Z1761+"'E4!)q#"</f>
        <v>#VALUE!</v>
      </c>
      <c r="T212" t="e">
        <f>Nodes!AA1761+"'E4!)q$"</f>
        <v>#VALUE!</v>
      </c>
      <c r="U212" t="e">
        <f>Nodes!AB1761+"'E4!)q%"</f>
        <v>#VALUE!</v>
      </c>
      <c r="V212" t="e">
        <f>Nodes!AC1761+"'E4!)q&amp;"</f>
        <v>#VALUE!</v>
      </c>
      <c r="W212" t="e">
        <f>Nodes!A1762+"'E4!)q'"</f>
        <v>#VALUE!</v>
      </c>
      <c r="X212" t="e">
        <f>Nodes!B1762+"'E4!)q("</f>
        <v>#VALUE!</v>
      </c>
      <c r="Y212" t="e">
        <f>Nodes!C1762+"'E4!)q)"</f>
        <v>#VALUE!</v>
      </c>
      <c r="Z212" t="e">
        <f>Nodes!D1762+"'E4!)q."</f>
        <v>#VALUE!</v>
      </c>
      <c r="AA212" t="e">
        <f>Nodes!E1762+"'E4!)q/"</f>
        <v>#VALUE!</v>
      </c>
      <c r="AB212" t="e">
        <f>Nodes!F1762+"'E4!)q0"</f>
        <v>#VALUE!</v>
      </c>
      <c r="AC212" t="e">
        <f>Nodes!G1762+"'E4!)q1"</f>
        <v>#VALUE!</v>
      </c>
      <c r="AD212" t="e">
        <f>Nodes!H1762+"'E4!)q2"</f>
        <v>#VALUE!</v>
      </c>
      <c r="AE212" t="e">
        <f>Nodes!I1762+"'E4!)q3"</f>
        <v>#VALUE!</v>
      </c>
      <c r="AF212" t="e">
        <f>Nodes!J1762+"'E4!)q4"</f>
        <v>#VALUE!</v>
      </c>
      <c r="AG212" t="e">
        <f>Nodes!K1762+"'E4!)q5"</f>
        <v>#VALUE!</v>
      </c>
      <c r="AH212" t="e">
        <f>Nodes!L1762+"'E4!)q6"</f>
        <v>#VALUE!</v>
      </c>
      <c r="AI212" t="e">
        <f>Nodes!M1762+"'E4!)q7"</f>
        <v>#VALUE!</v>
      </c>
      <c r="AJ212" t="e">
        <f>Nodes!N1762+"'E4!)q8"</f>
        <v>#VALUE!</v>
      </c>
      <c r="AK212" t="e">
        <f>Nodes!O1762+"'E4!)q9"</f>
        <v>#VALUE!</v>
      </c>
      <c r="AL212" t="e">
        <f>Nodes!P1762+"'E4!)q:"</f>
        <v>#VALUE!</v>
      </c>
      <c r="AM212" t="e">
        <f>Nodes!Q1762+"'E4!)q;"</f>
        <v>#VALUE!</v>
      </c>
      <c r="AN212" t="e">
        <f>Nodes!R1762+"'E4!)q&lt;"</f>
        <v>#VALUE!</v>
      </c>
      <c r="AO212" t="e">
        <f>Nodes!S1762+"'E4!)q="</f>
        <v>#VALUE!</v>
      </c>
      <c r="AP212" t="e">
        <f>Nodes!T1762+"'E4!)q&gt;"</f>
        <v>#VALUE!</v>
      </c>
      <c r="AQ212" t="e">
        <f>Nodes!U1762+"'E4!)q?"</f>
        <v>#VALUE!</v>
      </c>
      <c r="AR212" t="e">
        <f>Nodes!V1762+"'E4!)q@"</f>
        <v>#VALUE!</v>
      </c>
      <c r="AS212" t="e">
        <f>Nodes!W1762+"'E4!)qA"</f>
        <v>#VALUE!</v>
      </c>
      <c r="AT212" t="e">
        <f>Nodes!X1762+"'E4!)qB"</f>
        <v>#VALUE!</v>
      </c>
      <c r="AU212" t="e">
        <f>Nodes!Y1762+"'E4!)qC"</f>
        <v>#VALUE!</v>
      </c>
      <c r="AV212" t="e">
        <f>Nodes!Z1762+"'E4!)qD"</f>
        <v>#VALUE!</v>
      </c>
      <c r="AW212" t="e">
        <f>Nodes!AA1762+"'E4!)qE"</f>
        <v>#VALUE!</v>
      </c>
      <c r="AX212" t="e">
        <f>Nodes!AB1762+"'E4!)qF"</f>
        <v>#VALUE!</v>
      </c>
      <c r="AY212" t="e">
        <f>Nodes!AC1762+"'E4!)qG"</f>
        <v>#VALUE!</v>
      </c>
      <c r="AZ212" t="e">
        <f>Nodes!A1763+"'E4!)qH"</f>
        <v>#VALUE!</v>
      </c>
      <c r="BA212" t="e">
        <f>Nodes!B1763+"'E4!)qI"</f>
        <v>#VALUE!</v>
      </c>
      <c r="BB212" t="e">
        <f>Nodes!C1763+"'E4!)qJ"</f>
        <v>#VALUE!</v>
      </c>
      <c r="BC212" t="e">
        <f>Nodes!D1763+"'E4!)qK"</f>
        <v>#VALUE!</v>
      </c>
      <c r="BD212" t="e">
        <f>Nodes!E1763+"'E4!)qL"</f>
        <v>#VALUE!</v>
      </c>
      <c r="BE212" t="e">
        <f>Nodes!F1763+"'E4!)qM"</f>
        <v>#VALUE!</v>
      </c>
      <c r="BF212" t="e">
        <f>Nodes!G1763+"'E4!)qN"</f>
        <v>#VALUE!</v>
      </c>
      <c r="BG212" t="e">
        <f>Nodes!H1763+"'E4!)qO"</f>
        <v>#VALUE!</v>
      </c>
      <c r="BH212" t="e">
        <f>Nodes!I1763+"'E4!)qP"</f>
        <v>#VALUE!</v>
      </c>
      <c r="BI212" t="e">
        <f>Nodes!J1763+"'E4!)qQ"</f>
        <v>#VALUE!</v>
      </c>
      <c r="BJ212" t="e">
        <f>Nodes!K1763+"'E4!)qR"</f>
        <v>#VALUE!</v>
      </c>
      <c r="BK212" t="e">
        <f>Nodes!L1763+"'E4!)qS"</f>
        <v>#VALUE!</v>
      </c>
      <c r="BL212" t="e">
        <f>Nodes!M1763+"'E4!)qT"</f>
        <v>#VALUE!</v>
      </c>
      <c r="BM212" t="e">
        <f>Nodes!N1763+"'E4!)qU"</f>
        <v>#VALUE!</v>
      </c>
      <c r="BN212" t="e">
        <f>Nodes!O1763+"'E4!)qV"</f>
        <v>#VALUE!</v>
      </c>
      <c r="BO212" t="e">
        <f>Nodes!P1763+"'E4!)qW"</f>
        <v>#VALUE!</v>
      </c>
      <c r="BP212" t="e">
        <f>Nodes!Q1763+"'E4!)qX"</f>
        <v>#VALUE!</v>
      </c>
      <c r="BQ212" t="e">
        <f>Nodes!R1763+"'E4!)qY"</f>
        <v>#VALUE!</v>
      </c>
      <c r="BR212" t="e">
        <f>Nodes!S1763+"'E4!)qZ"</f>
        <v>#VALUE!</v>
      </c>
      <c r="BS212" t="e">
        <f>Nodes!T1763+"'E4!)q["</f>
        <v>#VALUE!</v>
      </c>
      <c r="BT212" t="e">
        <f>Nodes!U1763+"'E4!)q\"</f>
        <v>#VALUE!</v>
      </c>
      <c r="BU212" t="e">
        <f>Nodes!V1763+"'E4!)q]"</f>
        <v>#VALUE!</v>
      </c>
      <c r="BV212" t="e">
        <f>Nodes!W1763+"'E4!)q^"</f>
        <v>#VALUE!</v>
      </c>
      <c r="BW212" t="e">
        <f>Nodes!X1763+"'E4!)q_"</f>
        <v>#VALUE!</v>
      </c>
      <c r="BX212" t="e">
        <f>Nodes!Y1763+"'E4!)q`"</f>
        <v>#VALUE!</v>
      </c>
      <c r="BY212" t="e">
        <f>Nodes!Z1763+"'E4!)qa"</f>
        <v>#VALUE!</v>
      </c>
      <c r="BZ212" t="e">
        <f>Nodes!AA1763+"'E4!)qb"</f>
        <v>#VALUE!</v>
      </c>
      <c r="CA212" t="e">
        <f>Nodes!AB1763+"'E4!)qc"</f>
        <v>#VALUE!</v>
      </c>
      <c r="CB212" t="e">
        <f>Nodes!AC1763+"'E4!)qd"</f>
        <v>#VALUE!</v>
      </c>
      <c r="CC212" t="e">
        <f>Nodes!A1764+"'E4!)qe"</f>
        <v>#VALUE!</v>
      </c>
      <c r="CD212" t="e">
        <f>Nodes!B1764+"'E4!)qf"</f>
        <v>#VALUE!</v>
      </c>
      <c r="CE212" t="e">
        <f>Nodes!C1764+"'E4!)qg"</f>
        <v>#VALUE!</v>
      </c>
      <c r="CF212" t="e">
        <f>Nodes!D1764+"'E4!)qh"</f>
        <v>#VALUE!</v>
      </c>
      <c r="CG212" t="e">
        <f>Nodes!E1764+"'E4!)qi"</f>
        <v>#VALUE!</v>
      </c>
      <c r="CH212" t="e">
        <f>Nodes!F1764+"'E4!)qj"</f>
        <v>#VALUE!</v>
      </c>
      <c r="CI212" t="e">
        <f>Nodes!G1764+"'E4!)qk"</f>
        <v>#VALUE!</v>
      </c>
      <c r="CJ212" t="e">
        <f>Nodes!H1764+"'E4!)ql"</f>
        <v>#VALUE!</v>
      </c>
      <c r="CK212" t="e">
        <f>Nodes!I1764+"'E4!)qm"</f>
        <v>#VALUE!</v>
      </c>
      <c r="CL212" t="e">
        <f>Nodes!J1764+"'E4!)qn"</f>
        <v>#VALUE!</v>
      </c>
      <c r="CM212" t="e">
        <f>Nodes!K1764+"'E4!)qo"</f>
        <v>#VALUE!</v>
      </c>
      <c r="CN212" t="e">
        <f>Nodes!L1764+"'E4!)qp"</f>
        <v>#VALUE!</v>
      </c>
      <c r="CO212" t="e">
        <f>Nodes!M1764+"'E4!)qq"</f>
        <v>#VALUE!</v>
      </c>
      <c r="CP212" t="e">
        <f>Nodes!N1764+"'E4!)qr"</f>
        <v>#VALUE!</v>
      </c>
      <c r="CQ212" t="e">
        <f>Nodes!O1764+"'E4!)qs"</f>
        <v>#VALUE!</v>
      </c>
      <c r="CR212" t="e">
        <f>Nodes!P1764+"'E4!)qt"</f>
        <v>#VALUE!</v>
      </c>
      <c r="CS212" t="e">
        <f>Nodes!Q1764+"'E4!)qu"</f>
        <v>#VALUE!</v>
      </c>
      <c r="CT212" t="e">
        <f>Nodes!R1764+"'E4!)qv"</f>
        <v>#VALUE!</v>
      </c>
      <c r="CU212" t="e">
        <f>Nodes!S1764+"'E4!)qw"</f>
        <v>#VALUE!</v>
      </c>
      <c r="CV212" t="e">
        <f>Nodes!T1764+"'E4!)qx"</f>
        <v>#VALUE!</v>
      </c>
      <c r="CW212" t="e">
        <f>Nodes!U1764+"'E4!)qy"</f>
        <v>#VALUE!</v>
      </c>
      <c r="CX212" t="e">
        <f>Nodes!V1764+"'E4!)qz"</f>
        <v>#VALUE!</v>
      </c>
      <c r="CY212" t="e">
        <f>Nodes!W1764+"'E4!)q{"</f>
        <v>#VALUE!</v>
      </c>
      <c r="CZ212" t="e">
        <f>Nodes!X1764+"'E4!)q|"</f>
        <v>#VALUE!</v>
      </c>
      <c r="DA212" t="e">
        <f>Nodes!Y1764+"'E4!)q}"</f>
        <v>#VALUE!</v>
      </c>
      <c r="DB212" t="e">
        <f>Nodes!Z1764+"'E4!)q~"</f>
        <v>#VALUE!</v>
      </c>
      <c r="DC212" t="e">
        <f>Nodes!AA1764+"'E4!)r#"</f>
        <v>#VALUE!</v>
      </c>
      <c r="DD212" t="e">
        <f>Nodes!AB1764+"'E4!)r$"</f>
        <v>#VALUE!</v>
      </c>
      <c r="DE212" t="e">
        <f>Nodes!AC1764+"'E4!)r%"</f>
        <v>#VALUE!</v>
      </c>
      <c r="DF212" t="e">
        <f>Nodes!A1765+"'E4!)r&amp;"</f>
        <v>#VALUE!</v>
      </c>
      <c r="DG212" t="e">
        <f>Nodes!B1765+"'E4!)r'"</f>
        <v>#VALUE!</v>
      </c>
      <c r="DH212" t="e">
        <f>Nodes!C1765+"'E4!)r("</f>
        <v>#VALUE!</v>
      </c>
      <c r="DI212" t="e">
        <f>Nodes!D1765+"'E4!)r)"</f>
        <v>#VALUE!</v>
      </c>
      <c r="DJ212" t="e">
        <f>Nodes!E1765+"'E4!)r."</f>
        <v>#VALUE!</v>
      </c>
      <c r="DK212" t="e">
        <f>Nodes!F1765+"'E4!)r/"</f>
        <v>#VALUE!</v>
      </c>
      <c r="DL212" t="e">
        <f>Nodes!G1765+"'E4!)r0"</f>
        <v>#VALUE!</v>
      </c>
      <c r="DM212" t="e">
        <f>Nodes!H1765+"'E4!)r1"</f>
        <v>#VALUE!</v>
      </c>
      <c r="DN212" t="e">
        <f>Nodes!I1765+"'E4!)r2"</f>
        <v>#VALUE!</v>
      </c>
      <c r="DO212" t="e">
        <f>Nodes!J1765+"'E4!)r3"</f>
        <v>#VALUE!</v>
      </c>
      <c r="DP212" t="e">
        <f>Nodes!K1765+"'E4!)r4"</f>
        <v>#VALUE!</v>
      </c>
      <c r="DQ212" t="e">
        <f>Nodes!L1765+"'E4!)r5"</f>
        <v>#VALUE!</v>
      </c>
      <c r="DR212" t="e">
        <f>Nodes!M1765+"'E4!)r6"</f>
        <v>#VALUE!</v>
      </c>
      <c r="DS212" t="e">
        <f>Nodes!N1765+"'E4!)r7"</f>
        <v>#VALUE!</v>
      </c>
      <c r="DT212" t="e">
        <f>Nodes!O1765+"'E4!)r8"</f>
        <v>#VALUE!</v>
      </c>
      <c r="DU212" t="e">
        <f>Nodes!P1765+"'E4!)r9"</f>
        <v>#VALUE!</v>
      </c>
      <c r="DV212" t="e">
        <f>Nodes!Q1765+"'E4!)r:"</f>
        <v>#VALUE!</v>
      </c>
      <c r="DW212" t="e">
        <f>Nodes!R1765+"'E4!)r;"</f>
        <v>#VALUE!</v>
      </c>
      <c r="DX212" t="e">
        <f>Nodes!S1765+"'E4!)r&lt;"</f>
        <v>#VALUE!</v>
      </c>
      <c r="DY212" t="e">
        <f>Nodes!T1765+"'E4!)r="</f>
        <v>#VALUE!</v>
      </c>
      <c r="DZ212" t="e">
        <f>Nodes!U1765+"'E4!)r&gt;"</f>
        <v>#VALUE!</v>
      </c>
      <c r="EA212" t="e">
        <f>Nodes!V1765+"'E4!)r?"</f>
        <v>#VALUE!</v>
      </c>
      <c r="EB212" t="e">
        <f>Nodes!W1765+"'E4!)r@"</f>
        <v>#VALUE!</v>
      </c>
      <c r="EC212" t="e">
        <f>Nodes!X1765+"'E4!)rA"</f>
        <v>#VALUE!</v>
      </c>
      <c r="ED212" t="e">
        <f>Nodes!Y1765+"'E4!)rB"</f>
        <v>#VALUE!</v>
      </c>
      <c r="EE212" t="e">
        <f>Nodes!Z1765+"'E4!)rC"</f>
        <v>#VALUE!</v>
      </c>
      <c r="EF212" t="e">
        <f>Nodes!AA1765+"'E4!)rD"</f>
        <v>#VALUE!</v>
      </c>
      <c r="EG212" t="e">
        <f>Nodes!AB1765+"'E4!)rE"</f>
        <v>#VALUE!</v>
      </c>
      <c r="EH212" t="e">
        <f>Nodes!AC1765+"'E4!)rF"</f>
        <v>#VALUE!</v>
      </c>
      <c r="EI212" t="e">
        <f>Nodes!A1766+"'E4!)rG"</f>
        <v>#VALUE!</v>
      </c>
      <c r="EJ212" t="e">
        <f>Nodes!B1766+"'E4!)rH"</f>
        <v>#VALUE!</v>
      </c>
      <c r="EK212" t="e">
        <f>Nodes!C1766+"'E4!)rI"</f>
        <v>#VALUE!</v>
      </c>
      <c r="EL212" t="e">
        <f>Nodes!D1766+"'E4!)rJ"</f>
        <v>#VALUE!</v>
      </c>
      <c r="EM212" t="e">
        <f>Nodes!E1766+"'E4!)rK"</f>
        <v>#VALUE!</v>
      </c>
      <c r="EN212" t="e">
        <f>Nodes!F1766+"'E4!)rL"</f>
        <v>#VALUE!</v>
      </c>
      <c r="EO212" t="e">
        <f>Nodes!G1766+"'E4!)rM"</f>
        <v>#VALUE!</v>
      </c>
      <c r="EP212" t="e">
        <f>Nodes!H1766+"'E4!)rN"</f>
        <v>#VALUE!</v>
      </c>
      <c r="EQ212" t="e">
        <f>Nodes!I1766+"'E4!)rO"</f>
        <v>#VALUE!</v>
      </c>
      <c r="ER212" t="e">
        <f>Nodes!J1766+"'E4!)rP"</f>
        <v>#VALUE!</v>
      </c>
      <c r="ES212" t="e">
        <f>Nodes!K1766+"'E4!)rQ"</f>
        <v>#VALUE!</v>
      </c>
      <c r="ET212" t="e">
        <f>Nodes!L1766+"'E4!)rR"</f>
        <v>#VALUE!</v>
      </c>
      <c r="EU212" t="e">
        <f>Nodes!M1766+"'E4!)rS"</f>
        <v>#VALUE!</v>
      </c>
      <c r="EV212" t="e">
        <f>Nodes!N1766+"'E4!)rT"</f>
        <v>#VALUE!</v>
      </c>
      <c r="EW212" t="e">
        <f>Nodes!O1766+"'E4!)rU"</f>
        <v>#VALUE!</v>
      </c>
      <c r="EX212" t="e">
        <f>Nodes!P1766+"'E4!)rV"</f>
        <v>#VALUE!</v>
      </c>
      <c r="EY212" t="e">
        <f>Nodes!Q1766+"'E4!)rW"</f>
        <v>#VALUE!</v>
      </c>
      <c r="EZ212" t="e">
        <f>Nodes!R1766+"'E4!)rX"</f>
        <v>#VALUE!</v>
      </c>
      <c r="FA212" t="e">
        <f>Nodes!S1766+"'E4!)rY"</f>
        <v>#VALUE!</v>
      </c>
      <c r="FB212" t="e">
        <f>Nodes!T1766+"'E4!)rZ"</f>
        <v>#VALUE!</v>
      </c>
      <c r="FC212" t="e">
        <f>Nodes!U1766+"'E4!)r["</f>
        <v>#VALUE!</v>
      </c>
      <c r="FD212" t="e">
        <f>Nodes!V1766+"'E4!)r\"</f>
        <v>#VALUE!</v>
      </c>
      <c r="FE212" t="e">
        <f>Nodes!W1766+"'E4!)r]"</f>
        <v>#VALUE!</v>
      </c>
      <c r="FF212" t="e">
        <f>Nodes!X1766+"'E4!)r^"</f>
        <v>#VALUE!</v>
      </c>
      <c r="FG212" t="e">
        <f>Nodes!Y1766+"'E4!)r_"</f>
        <v>#VALUE!</v>
      </c>
      <c r="FH212" t="e">
        <f>Nodes!Z1766+"'E4!)r`"</f>
        <v>#VALUE!</v>
      </c>
      <c r="FI212" t="e">
        <f>Nodes!AA1766+"'E4!)ra"</f>
        <v>#VALUE!</v>
      </c>
      <c r="FJ212" t="e">
        <f>Nodes!AB1766+"'E4!)rb"</f>
        <v>#VALUE!</v>
      </c>
      <c r="FK212" t="e">
        <f>Nodes!AC1766+"'E4!)rc"</f>
        <v>#VALUE!</v>
      </c>
      <c r="FL212" t="e">
        <f>Nodes!A1767+"'E4!)rd"</f>
        <v>#VALUE!</v>
      </c>
      <c r="FM212" t="e">
        <f>Nodes!B1767+"'E4!)re"</f>
        <v>#VALUE!</v>
      </c>
      <c r="FN212" t="e">
        <f>Nodes!C1767+"'E4!)rf"</f>
        <v>#VALUE!</v>
      </c>
      <c r="FO212" t="e">
        <f>Nodes!D1767+"'E4!)rg"</f>
        <v>#VALUE!</v>
      </c>
      <c r="FP212" t="e">
        <f>Nodes!E1767+"'E4!)rh"</f>
        <v>#VALUE!</v>
      </c>
      <c r="FQ212" t="e">
        <f>Nodes!F1767+"'E4!)ri"</f>
        <v>#VALUE!</v>
      </c>
      <c r="FR212" t="e">
        <f>Nodes!G1767+"'E4!)rj"</f>
        <v>#VALUE!</v>
      </c>
      <c r="FS212" t="e">
        <f>Nodes!H1767+"'E4!)rk"</f>
        <v>#VALUE!</v>
      </c>
      <c r="FT212" t="e">
        <f>Nodes!I1767+"'E4!)rl"</f>
        <v>#VALUE!</v>
      </c>
      <c r="FU212" t="e">
        <f>Nodes!J1767+"'E4!)rm"</f>
        <v>#VALUE!</v>
      </c>
      <c r="FV212" t="e">
        <f>Nodes!K1767+"'E4!)rn"</f>
        <v>#VALUE!</v>
      </c>
      <c r="FW212" t="e">
        <f>Nodes!L1767+"'E4!)ro"</f>
        <v>#VALUE!</v>
      </c>
      <c r="FX212" t="e">
        <f>Nodes!M1767+"'E4!)rp"</f>
        <v>#VALUE!</v>
      </c>
      <c r="FY212" t="e">
        <f>Nodes!N1767+"'E4!)rq"</f>
        <v>#VALUE!</v>
      </c>
      <c r="FZ212" t="e">
        <f>Nodes!O1767+"'E4!)rr"</f>
        <v>#VALUE!</v>
      </c>
      <c r="GA212" t="e">
        <f>Nodes!P1767+"'E4!)rs"</f>
        <v>#VALUE!</v>
      </c>
      <c r="GB212" t="e">
        <f>Nodes!Q1767+"'E4!)rt"</f>
        <v>#VALUE!</v>
      </c>
      <c r="GC212" t="e">
        <f>Nodes!R1767+"'E4!)ru"</f>
        <v>#VALUE!</v>
      </c>
      <c r="GD212" t="e">
        <f>Nodes!S1767+"'E4!)rv"</f>
        <v>#VALUE!</v>
      </c>
      <c r="GE212" t="e">
        <f>Nodes!T1767+"'E4!)rw"</f>
        <v>#VALUE!</v>
      </c>
      <c r="GF212" t="e">
        <f>Nodes!U1767+"'E4!)rx"</f>
        <v>#VALUE!</v>
      </c>
      <c r="GG212" t="e">
        <f>Nodes!V1767+"'E4!)ry"</f>
        <v>#VALUE!</v>
      </c>
      <c r="GH212" t="e">
        <f>Nodes!W1767+"'E4!)rz"</f>
        <v>#VALUE!</v>
      </c>
      <c r="GI212" t="e">
        <f>Nodes!X1767+"'E4!)r{"</f>
        <v>#VALUE!</v>
      </c>
      <c r="GJ212" t="e">
        <f>Nodes!Y1767+"'E4!)r|"</f>
        <v>#VALUE!</v>
      </c>
      <c r="GK212" t="e">
        <f>Nodes!Z1767+"'E4!)r}"</f>
        <v>#VALUE!</v>
      </c>
      <c r="GL212" t="e">
        <f>Nodes!AA1767+"'E4!)r~"</f>
        <v>#VALUE!</v>
      </c>
      <c r="GM212" t="e">
        <f>Nodes!AB1767+"'E4!)s#"</f>
        <v>#VALUE!</v>
      </c>
      <c r="GN212" t="e">
        <f>Nodes!AC1767+"'E4!)s$"</f>
        <v>#VALUE!</v>
      </c>
      <c r="GO212" t="e">
        <f>Nodes!A1768+"'E4!)s%"</f>
        <v>#VALUE!</v>
      </c>
      <c r="GP212" t="e">
        <f>Nodes!B1768+"'E4!)s&amp;"</f>
        <v>#VALUE!</v>
      </c>
      <c r="GQ212" t="e">
        <f>Nodes!C1768+"'E4!)s'"</f>
        <v>#VALUE!</v>
      </c>
      <c r="GR212" t="e">
        <f>Nodes!D1768+"'E4!)s("</f>
        <v>#VALUE!</v>
      </c>
      <c r="GS212" t="e">
        <f>Nodes!E1768+"'E4!)s)"</f>
        <v>#VALUE!</v>
      </c>
      <c r="GT212" t="e">
        <f>Nodes!F1768+"'E4!)s."</f>
        <v>#VALUE!</v>
      </c>
      <c r="GU212" t="e">
        <f>Nodes!G1768+"'E4!)s/"</f>
        <v>#VALUE!</v>
      </c>
      <c r="GV212" t="e">
        <f>Nodes!H1768+"'E4!)s0"</f>
        <v>#VALUE!</v>
      </c>
      <c r="GW212" t="e">
        <f>Nodes!I1768+"'E4!)s1"</f>
        <v>#VALUE!</v>
      </c>
      <c r="GX212" t="e">
        <f>Nodes!J1768+"'E4!)s2"</f>
        <v>#VALUE!</v>
      </c>
      <c r="GY212" t="e">
        <f>Nodes!K1768+"'E4!)s3"</f>
        <v>#VALUE!</v>
      </c>
      <c r="GZ212" t="e">
        <f>Nodes!L1768+"'E4!)s4"</f>
        <v>#VALUE!</v>
      </c>
      <c r="HA212" t="e">
        <f>Nodes!M1768+"'E4!)s5"</f>
        <v>#VALUE!</v>
      </c>
      <c r="HB212" t="e">
        <f>Nodes!N1768+"'E4!)s6"</f>
        <v>#VALUE!</v>
      </c>
      <c r="HC212" t="e">
        <f>Nodes!O1768+"'E4!)s7"</f>
        <v>#VALUE!</v>
      </c>
      <c r="HD212" t="e">
        <f>Nodes!P1768+"'E4!)s8"</f>
        <v>#VALUE!</v>
      </c>
      <c r="HE212" t="e">
        <f>Nodes!Q1768+"'E4!)s9"</f>
        <v>#VALUE!</v>
      </c>
      <c r="HF212" t="e">
        <f>Nodes!R1768+"'E4!)s:"</f>
        <v>#VALUE!</v>
      </c>
      <c r="HG212" t="e">
        <f>Nodes!S1768+"'E4!)s;"</f>
        <v>#VALUE!</v>
      </c>
      <c r="HH212" t="e">
        <f>Nodes!T1768+"'E4!)s&lt;"</f>
        <v>#VALUE!</v>
      </c>
      <c r="HI212" t="e">
        <f>Nodes!U1768+"'E4!)s="</f>
        <v>#VALUE!</v>
      </c>
      <c r="HJ212" t="e">
        <f>Nodes!V1768+"'E4!)s&gt;"</f>
        <v>#VALUE!</v>
      </c>
      <c r="HK212" t="e">
        <f>Nodes!W1768+"'E4!)s?"</f>
        <v>#VALUE!</v>
      </c>
      <c r="HL212" t="e">
        <f>Nodes!X1768+"'E4!)s@"</f>
        <v>#VALUE!</v>
      </c>
      <c r="HM212" t="e">
        <f>Nodes!Y1768+"'E4!)sA"</f>
        <v>#VALUE!</v>
      </c>
      <c r="HN212" t="e">
        <f>Nodes!Z1768+"'E4!)sB"</f>
        <v>#VALUE!</v>
      </c>
      <c r="HO212" t="e">
        <f>Nodes!AA1768+"'E4!)sC"</f>
        <v>#VALUE!</v>
      </c>
      <c r="HP212" t="e">
        <f>Nodes!AB1768+"'E4!)sD"</f>
        <v>#VALUE!</v>
      </c>
      <c r="HQ212" t="e">
        <f>Nodes!AC1768+"'E4!)sE"</f>
        <v>#VALUE!</v>
      </c>
      <c r="HR212" t="e">
        <f>Nodes!A1769+"'E4!)sF"</f>
        <v>#VALUE!</v>
      </c>
      <c r="HS212" t="e">
        <f>Nodes!B1769+"'E4!)sG"</f>
        <v>#VALUE!</v>
      </c>
      <c r="HT212" t="e">
        <f>Nodes!C1769+"'E4!)sH"</f>
        <v>#VALUE!</v>
      </c>
      <c r="HU212" t="e">
        <f>Nodes!D1769+"'E4!)sI"</f>
        <v>#VALUE!</v>
      </c>
      <c r="HV212" t="e">
        <f>Nodes!E1769+"'E4!)sJ"</f>
        <v>#VALUE!</v>
      </c>
      <c r="HW212" t="e">
        <f>Nodes!F1769+"'E4!)sK"</f>
        <v>#VALUE!</v>
      </c>
      <c r="HX212" t="e">
        <f>Nodes!G1769+"'E4!)sL"</f>
        <v>#VALUE!</v>
      </c>
      <c r="HY212" t="e">
        <f>Nodes!H1769+"'E4!)sM"</f>
        <v>#VALUE!</v>
      </c>
      <c r="HZ212" t="e">
        <f>Nodes!I1769+"'E4!)sN"</f>
        <v>#VALUE!</v>
      </c>
      <c r="IA212" t="e">
        <f>Nodes!J1769+"'E4!)sO"</f>
        <v>#VALUE!</v>
      </c>
      <c r="IB212" t="e">
        <f>Nodes!K1769+"'E4!)sP"</f>
        <v>#VALUE!</v>
      </c>
      <c r="IC212" t="e">
        <f>Nodes!L1769+"'E4!)sQ"</f>
        <v>#VALUE!</v>
      </c>
      <c r="ID212" t="e">
        <f>Nodes!M1769+"'E4!)sR"</f>
        <v>#VALUE!</v>
      </c>
      <c r="IE212" t="e">
        <f>Nodes!N1769+"'E4!)sS"</f>
        <v>#VALUE!</v>
      </c>
      <c r="IF212" t="e">
        <f>Nodes!O1769+"'E4!)sT"</f>
        <v>#VALUE!</v>
      </c>
      <c r="IG212" t="e">
        <f>Nodes!P1769+"'E4!)sU"</f>
        <v>#VALUE!</v>
      </c>
      <c r="IH212" t="e">
        <f>Nodes!Q1769+"'E4!)sV"</f>
        <v>#VALUE!</v>
      </c>
      <c r="II212" t="e">
        <f>Nodes!R1769+"'E4!)sW"</f>
        <v>#VALUE!</v>
      </c>
      <c r="IJ212" t="e">
        <f>Nodes!S1769+"'E4!)sX"</f>
        <v>#VALUE!</v>
      </c>
      <c r="IK212" t="e">
        <f>Nodes!T1769+"'E4!)sY"</f>
        <v>#VALUE!</v>
      </c>
      <c r="IL212" t="e">
        <f>Nodes!U1769+"'E4!)sZ"</f>
        <v>#VALUE!</v>
      </c>
      <c r="IM212" t="e">
        <f>Nodes!V1769+"'E4!)s["</f>
        <v>#VALUE!</v>
      </c>
      <c r="IN212" t="e">
        <f>Nodes!W1769+"'E4!)s\"</f>
        <v>#VALUE!</v>
      </c>
      <c r="IO212" t="e">
        <f>Nodes!X1769+"'E4!)s]"</f>
        <v>#VALUE!</v>
      </c>
      <c r="IP212" t="e">
        <f>Nodes!Y1769+"'E4!)s^"</f>
        <v>#VALUE!</v>
      </c>
      <c r="IQ212" t="e">
        <f>Nodes!Z1769+"'E4!)s_"</f>
        <v>#VALUE!</v>
      </c>
      <c r="IR212" t="e">
        <f>Nodes!AA1769+"'E4!)s`"</f>
        <v>#VALUE!</v>
      </c>
      <c r="IS212" t="e">
        <f>Nodes!AB1769+"'E4!)sa"</f>
        <v>#VALUE!</v>
      </c>
      <c r="IT212" t="e">
        <f>Nodes!AC1769+"'E4!)sb"</f>
        <v>#VALUE!</v>
      </c>
      <c r="IU212" t="e">
        <f>Nodes!A1770+"'E4!)sc"</f>
        <v>#VALUE!</v>
      </c>
      <c r="IV212" t="e">
        <f>Nodes!B1770+"'E4!)sd"</f>
        <v>#VALUE!</v>
      </c>
    </row>
    <row r="213" spans="6:256">
      <c r="F213" t="e">
        <f>Nodes!C1770+"'E4!)se"</f>
        <v>#VALUE!</v>
      </c>
      <c r="G213" t="e">
        <f>Nodes!D1770+"'E4!)sf"</f>
        <v>#VALUE!</v>
      </c>
      <c r="H213" t="e">
        <f>Nodes!E1770+"'E4!)sg"</f>
        <v>#VALUE!</v>
      </c>
      <c r="I213" t="e">
        <f>Nodes!F1770+"'E4!)sh"</f>
        <v>#VALUE!</v>
      </c>
      <c r="J213" t="e">
        <f>Nodes!G1770+"'E4!)si"</f>
        <v>#VALUE!</v>
      </c>
      <c r="K213" t="e">
        <f>Nodes!H1770+"'E4!)sj"</f>
        <v>#VALUE!</v>
      </c>
      <c r="L213" t="e">
        <f>Nodes!I1770+"'E4!)sk"</f>
        <v>#VALUE!</v>
      </c>
      <c r="M213" t="e">
        <f>Nodes!J1770+"'E4!)sl"</f>
        <v>#VALUE!</v>
      </c>
      <c r="N213" t="e">
        <f>Nodes!K1770+"'E4!)sm"</f>
        <v>#VALUE!</v>
      </c>
      <c r="O213" t="e">
        <f>Nodes!L1770+"'E4!)sn"</f>
        <v>#VALUE!</v>
      </c>
      <c r="P213" t="e">
        <f>Nodes!M1770+"'E4!)so"</f>
        <v>#VALUE!</v>
      </c>
      <c r="Q213" t="e">
        <f>Nodes!N1770+"'E4!)sp"</f>
        <v>#VALUE!</v>
      </c>
      <c r="R213" t="e">
        <f>Nodes!O1770+"'E4!)sq"</f>
        <v>#VALUE!</v>
      </c>
      <c r="S213" t="e">
        <f>Nodes!P1770+"'E4!)sr"</f>
        <v>#VALUE!</v>
      </c>
      <c r="T213" t="e">
        <f>Nodes!Q1770+"'E4!)ss"</f>
        <v>#VALUE!</v>
      </c>
      <c r="U213" t="e">
        <f>Nodes!R1770+"'E4!)st"</f>
        <v>#VALUE!</v>
      </c>
      <c r="V213" t="e">
        <f>Nodes!S1770+"'E4!)su"</f>
        <v>#VALUE!</v>
      </c>
      <c r="W213" t="e">
        <f>Nodes!T1770+"'E4!)sv"</f>
        <v>#VALUE!</v>
      </c>
      <c r="X213" t="e">
        <f>Nodes!U1770+"'E4!)sw"</f>
        <v>#VALUE!</v>
      </c>
      <c r="Y213" t="e">
        <f>Nodes!V1770+"'E4!)sx"</f>
        <v>#VALUE!</v>
      </c>
      <c r="Z213" t="e">
        <f>Nodes!W1770+"'E4!)sy"</f>
        <v>#VALUE!</v>
      </c>
      <c r="AA213" t="e">
        <f>Nodes!X1770+"'E4!)sz"</f>
        <v>#VALUE!</v>
      </c>
      <c r="AB213" t="e">
        <f>Nodes!Y1770+"'E4!)s{"</f>
        <v>#VALUE!</v>
      </c>
      <c r="AC213" t="e">
        <f>Nodes!Z1770+"'E4!)s|"</f>
        <v>#VALUE!</v>
      </c>
      <c r="AD213" t="e">
        <f>Nodes!AA1770+"'E4!)s}"</f>
        <v>#VALUE!</v>
      </c>
      <c r="AE213" t="e">
        <f>Nodes!AB1770+"'E4!)s~"</f>
        <v>#VALUE!</v>
      </c>
      <c r="AF213" t="e">
        <f>Nodes!AC1770+"'E4!)t#"</f>
        <v>#VALUE!</v>
      </c>
      <c r="AG213" t="e">
        <f>Nodes!A1771+"'E4!)t$"</f>
        <v>#VALUE!</v>
      </c>
      <c r="AH213" t="e">
        <f>Nodes!B1771+"'E4!)t%"</f>
        <v>#VALUE!</v>
      </c>
      <c r="AI213" t="e">
        <f>Nodes!C1771+"'E4!)t&amp;"</f>
        <v>#VALUE!</v>
      </c>
      <c r="AJ213" t="e">
        <f>Nodes!D1771+"'E4!)t'"</f>
        <v>#VALUE!</v>
      </c>
      <c r="AK213" t="e">
        <f>Nodes!E1771+"'E4!)t("</f>
        <v>#VALUE!</v>
      </c>
      <c r="AL213" t="e">
        <f>Nodes!F1771+"'E4!)t)"</f>
        <v>#VALUE!</v>
      </c>
      <c r="AM213" t="e">
        <f>Nodes!G1771+"'E4!)t."</f>
        <v>#VALUE!</v>
      </c>
      <c r="AN213" t="e">
        <f>Nodes!H1771+"'E4!)t/"</f>
        <v>#VALUE!</v>
      </c>
      <c r="AO213" t="e">
        <f>Nodes!I1771+"'E4!)t0"</f>
        <v>#VALUE!</v>
      </c>
      <c r="AP213" t="e">
        <f>Nodes!J1771+"'E4!)t1"</f>
        <v>#VALUE!</v>
      </c>
      <c r="AQ213" t="e">
        <f>Nodes!K1771+"'E4!)t2"</f>
        <v>#VALUE!</v>
      </c>
      <c r="AR213" t="e">
        <f>Nodes!L1771+"'E4!)t3"</f>
        <v>#VALUE!</v>
      </c>
      <c r="AS213" t="e">
        <f>Nodes!M1771+"'E4!)t4"</f>
        <v>#VALUE!</v>
      </c>
      <c r="AT213" t="e">
        <f>Nodes!N1771+"'E4!)t5"</f>
        <v>#VALUE!</v>
      </c>
      <c r="AU213" t="e">
        <f>Nodes!O1771+"'E4!)t6"</f>
        <v>#VALUE!</v>
      </c>
      <c r="AV213" t="e">
        <f>Nodes!P1771+"'E4!)t7"</f>
        <v>#VALUE!</v>
      </c>
      <c r="AW213" t="e">
        <f>Nodes!Q1771+"'E4!)t8"</f>
        <v>#VALUE!</v>
      </c>
      <c r="AX213" t="e">
        <f>Nodes!R1771+"'E4!)t9"</f>
        <v>#VALUE!</v>
      </c>
      <c r="AY213" t="e">
        <f>Nodes!S1771+"'E4!)t:"</f>
        <v>#VALUE!</v>
      </c>
      <c r="AZ213" t="e">
        <f>Nodes!T1771+"'E4!)t;"</f>
        <v>#VALUE!</v>
      </c>
      <c r="BA213" t="e">
        <f>Nodes!U1771+"'E4!)t&lt;"</f>
        <v>#VALUE!</v>
      </c>
      <c r="BB213" t="e">
        <f>Nodes!V1771+"'E4!)t="</f>
        <v>#VALUE!</v>
      </c>
      <c r="BC213" t="e">
        <f>Nodes!W1771+"'E4!)t&gt;"</f>
        <v>#VALUE!</v>
      </c>
      <c r="BD213" t="e">
        <f>Nodes!X1771+"'E4!)t?"</f>
        <v>#VALUE!</v>
      </c>
      <c r="BE213" t="e">
        <f>Nodes!Y1771+"'E4!)t@"</f>
        <v>#VALUE!</v>
      </c>
      <c r="BF213" t="e">
        <f>Nodes!Z1771+"'E4!)tA"</f>
        <v>#VALUE!</v>
      </c>
      <c r="BG213" t="e">
        <f>Nodes!AA1771+"'E4!)tB"</f>
        <v>#VALUE!</v>
      </c>
      <c r="BH213" t="e">
        <f>Nodes!AB1771+"'E4!)tC"</f>
        <v>#VALUE!</v>
      </c>
      <c r="BI213" t="e">
        <f>Nodes!AC1771+"'E4!)tD"</f>
        <v>#VALUE!</v>
      </c>
      <c r="BJ213" t="e">
        <f>Nodes!A1772+"'E4!)tE"</f>
        <v>#VALUE!</v>
      </c>
      <c r="BK213" t="e">
        <f>Nodes!B1772+"'E4!)tF"</f>
        <v>#VALUE!</v>
      </c>
      <c r="BL213" t="e">
        <f>Nodes!C1772+"'E4!)tG"</f>
        <v>#VALUE!</v>
      </c>
      <c r="BM213" t="e">
        <f>Nodes!D1772+"'E4!)tH"</f>
        <v>#VALUE!</v>
      </c>
      <c r="BN213" t="e">
        <f>Nodes!E1772+"'E4!)tI"</f>
        <v>#VALUE!</v>
      </c>
      <c r="BO213" t="e">
        <f>Nodes!F1772+"'E4!)tJ"</f>
        <v>#VALUE!</v>
      </c>
      <c r="BP213" t="e">
        <f>Nodes!G1772+"'E4!)tK"</f>
        <v>#VALUE!</v>
      </c>
      <c r="BQ213" t="e">
        <f>Nodes!H1772+"'E4!)tL"</f>
        <v>#VALUE!</v>
      </c>
      <c r="BR213" t="e">
        <f>Nodes!I1772+"'E4!)tM"</f>
        <v>#VALUE!</v>
      </c>
      <c r="BS213" t="e">
        <f>Nodes!J1772+"'E4!)tN"</f>
        <v>#VALUE!</v>
      </c>
      <c r="BT213" t="e">
        <f>Nodes!K1772+"'E4!)tO"</f>
        <v>#VALUE!</v>
      </c>
      <c r="BU213" t="e">
        <f>Nodes!L1772+"'E4!)tP"</f>
        <v>#VALUE!</v>
      </c>
      <c r="BV213" t="e">
        <f>Nodes!M1772+"'E4!)tQ"</f>
        <v>#VALUE!</v>
      </c>
      <c r="BW213" t="e">
        <f>Nodes!N1772+"'E4!)tR"</f>
        <v>#VALUE!</v>
      </c>
      <c r="BX213" t="e">
        <f>Nodes!O1772+"'E4!)tS"</f>
        <v>#VALUE!</v>
      </c>
      <c r="BY213" t="e">
        <f>Nodes!P1772+"'E4!)tT"</f>
        <v>#VALUE!</v>
      </c>
      <c r="BZ213" t="e">
        <f>Nodes!Q1772+"'E4!)tU"</f>
        <v>#VALUE!</v>
      </c>
      <c r="CA213" t="e">
        <f>Nodes!R1772+"'E4!)tV"</f>
        <v>#VALUE!</v>
      </c>
      <c r="CB213" t="e">
        <f>Nodes!S1772+"'E4!)tW"</f>
        <v>#VALUE!</v>
      </c>
      <c r="CC213" t="e">
        <f>Nodes!T1772+"'E4!)tX"</f>
        <v>#VALUE!</v>
      </c>
      <c r="CD213" t="e">
        <f>Nodes!U1772+"'E4!)tY"</f>
        <v>#VALUE!</v>
      </c>
      <c r="CE213" t="e">
        <f>Nodes!V1772+"'E4!)tZ"</f>
        <v>#VALUE!</v>
      </c>
      <c r="CF213" t="e">
        <f>Nodes!W1772+"'E4!)t["</f>
        <v>#VALUE!</v>
      </c>
      <c r="CG213" t="e">
        <f>Nodes!X1772+"'E4!)t\"</f>
        <v>#VALUE!</v>
      </c>
      <c r="CH213" t="e">
        <f>Nodes!Y1772+"'E4!)t]"</f>
        <v>#VALUE!</v>
      </c>
      <c r="CI213" t="e">
        <f>Nodes!Z1772+"'E4!)t^"</f>
        <v>#VALUE!</v>
      </c>
      <c r="CJ213" t="e">
        <f>Nodes!AA1772+"'E4!)t_"</f>
        <v>#VALUE!</v>
      </c>
      <c r="CK213" t="e">
        <f>Nodes!AB1772+"'E4!)t`"</f>
        <v>#VALUE!</v>
      </c>
      <c r="CL213" t="e">
        <f>Nodes!AC1772+"'E4!)ta"</f>
        <v>#VALUE!</v>
      </c>
      <c r="CM213" t="e">
        <f>Nodes!A1773+"'E4!)tb"</f>
        <v>#VALUE!</v>
      </c>
      <c r="CN213" t="e">
        <f>Nodes!B1773+"'E4!)tc"</f>
        <v>#VALUE!</v>
      </c>
      <c r="CO213" t="e">
        <f>Nodes!C1773+"'E4!)td"</f>
        <v>#VALUE!</v>
      </c>
      <c r="CP213" t="e">
        <f>Nodes!D1773+"'E4!)te"</f>
        <v>#VALUE!</v>
      </c>
      <c r="CQ213" t="e">
        <f>Nodes!E1773+"'E4!)tf"</f>
        <v>#VALUE!</v>
      </c>
      <c r="CR213" t="e">
        <f>Nodes!F1773+"'E4!)tg"</f>
        <v>#VALUE!</v>
      </c>
      <c r="CS213" t="e">
        <f>Nodes!G1773+"'E4!)th"</f>
        <v>#VALUE!</v>
      </c>
      <c r="CT213" t="e">
        <f>Nodes!H1773+"'E4!)ti"</f>
        <v>#VALUE!</v>
      </c>
      <c r="CU213" t="e">
        <f>Nodes!I1773+"'E4!)tj"</f>
        <v>#VALUE!</v>
      </c>
      <c r="CV213" t="e">
        <f>Nodes!J1773+"'E4!)tk"</f>
        <v>#VALUE!</v>
      </c>
      <c r="CW213" t="e">
        <f>Nodes!K1773+"'E4!)tl"</f>
        <v>#VALUE!</v>
      </c>
      <c r="CX213" t="e">
        <f>Nodes!L1773+"'E4!)tm"</f>
        <v>#VALUE!</v>
      </c>
      <c r="CY213" t="e">
        <f>Nodes!M1773+"'E4!)tn"</f>
        <v>#VALUE!</v>
      </c>
      <c r="CZ213" t="e">
        <f>Nodes!N1773+"'E4!)to"</f>
        <v>#VALUE!</v>
      </c>
      <c r="DA213" t="e">
        <f>Nodes!O1773+"'E4!)tp"</f>
        <v>#VALUE!</v>
      </c>
      <c r="DB213" t="e">
        <f>Nodes!P1773+"'E4!)tq"</f>
        <v>#VALUE!</v>
      </c>
      <c r="DC213" t="e">
        <f>Nodes!Q1773+"'E4!)tr"</f>
        <v>#VALUE!</v>
      </c>
      <c r="DD213" t="e">
        <f>Nodes!R1773+"'E4!)ts"</f>
        <v>#VALUE!</v>
      </c>
      <c r="DE213" t="e">
        <f>Nodes!S1773+"'E4!)tt"</f>
        <v>#VALUE!</v>
      </c>
      <c r="DF213" t="e">
        <f>Nodes!T1773+"'E4!)tu"</f>
        <v>#VALUE!</v>
      </c>
      <c r="DG213" t="e">
        <f>Nodes!U1773+"'E4!)tv"</f>
        <v>#VALUE!</v>
      </c>
      <c r="DH213" t="e">
        <f>Nodes!V1773+"'E4!)tw"</f>
        <v>#VALUE!</v>
      </c>
      <c r="DI213" t="e">
        <f>Nodes!W1773+"'E4!)tx"</f>
        <v>#VALUE!</v>
      </c>
      <c r="DJ213" t="e">
        <f>Nodes!X1773+"'E4!)ty"</f>
        <v>#VALUE!</v>
      </c>
      <c r="DK213" t="e">
        <f>Nodes!Y1773+"'E4!)tz"</f>
        <v>#VALUE!</v>
      </c>
      <c r="DL213" t="e">
        <f>Nodes!Z1773+"'E4!)t{"</f>
        <v>#VALUE!</v>
      </c>
      <c r="DM213" t="e">
        <f>Nodes!AA1773+"'E4!)t|"</f>
        <v>#VALUE!</v>
      </c>
      <c r="DN213" t="e">
        <f>Nodes!AB1773+"'E4!)t}"</f>
        <v>#VALUE!</v>
      </c>
      <c r="DO213" t="e">
        <f>Nodes!AC1773+"'E4!)t~"</f>
        <v>#VALUE!</v>
      </c>
      <c r="DP213" t="e">
        <f>Nodes!A1774+"'E4!)u#"</f>
        <v>#VALUE!</v>
      </c>
      <c r="DQ213" t="e">
        <f>Nodes!B1774+"'E4!)u$"</f>
        <v>#VALUE!</v>
      </c>
      <c r="DR213" t="e">
        <f>Nodes!C1774+"'E4!)u%"</f>
        <v>#VALUE!</v>
      </c>
      <c r="DS213" t="e">
        <f>Nodes!D1774+"'E4!)u&amp;"</f>
        <v>#VALUE!</v>
      </c>
      <c r="DT213" t="e">
        <f>Nodes!E1774+"'E4!)u'"</f>
        <v>#VALUE!</v>
      </c>
      <c r="DU213" t="e">
        <f>Nodes!F1774+"'E4!)u("</f>
        <v>#VALUE!</v>
      </c>
      <c r="DV213" t="e">
        <f>Nodes!G1774+"'E4!)u)"</f>
        <v>#VALUE!</v>
      </c>
      <c r="DW213" t="e">
        <f>Nodes!H1774+"'E4!)u."</f>
        <v>#VALUE!</v>
      </c>
      <c r="DX213" t="e">
        <f>Nodes!I1774+"'E4!)u/"</f>
        <v>#VALUE!</v>
      </c>
      <c r="DY213" t="e">
        <f>Nodes!J1774+"'E4!)u0"</f>
        <v>#VALUE!</v>
      </c>
      <c r="DZ213" t="e">
        <f>Nodes!K1774+"'E4!)u1"</f>
        <v>#VALUE!</v>
      </c>
      <c r="EA213" t="e">
        <f>Nodes!L1774+"'E4!)u2"</f>
        <v>#VALUE!</v>
      </c>
      <c r="EB213" t="e">
        <f>Nodes!M1774+"'E4!)u3"</f>
        <v>#VALUE!</v>
      </c>
      <c r="EC213" t="e">
        <f>Nodes!N1774+"'E4!)u4"</f>
        <v>#VALUE!</v>
      </c>
      <c r="ED213" t="e">
        <f>Nodes!O1774+"'E4!)u5"</f>
        <v>#VALUE!</v>
      </c>
      <c r="EE213" t="e">
        <f>Nodes!P1774+"'E4!)u6"</f>
        <v>#VALUE!</v>
      </c>
      <c r="EF213" t="e">
        <f>Nodes!Q1774+"'E4!)u7"</f>
        <v>#VALUE!</v>
      </c>
      <c r="EG213" t="e">
        <f>Nodes!R1774+"'E4!)u8"</f>
        <v>#VALUE!</v>
      </c>
      <c r="EH213" t="e">
        <f>Nodes!S1774+"'E4!)u9"</f>
        <v>#VALUE!</v>
      </c>
      <c r="EI213" t="e">
        <f>Nodes!T1774+"'E4!)u:"</f>
        <v>#VALUE!</v>
      </c>
      <c r="EJ213" t="e">
        <f>Nodes!U1774+"'E4!)u;"</f>
        <v>#VALUE!</v>
      </c>
      <c r="EK213" t="e">
        <f>Nodes!V1774+"'E4!)u&lt;"</f>
        <v>#VALUE!</v>
      </c>
      <c r="EL213" t="e">
        <f>Nodes!W1774+"'E4!)u="</f>
        <v>#VALUE!</v>
      </c>
      <c r="EM213" t="e">
        <f>Nodes!X1774+"'E4!)u&gt;"</f>
        <v>#VALUE!</v>
      </c>
      <c r="EN213" t="e">
        <f>Nodes!Y1774+"'E4!)u?"</f>
        <v>#VALUE!</v>
      </c>
      <c r="EO213" t="e">
        <f>Nodes!Z1774+"'E4!)u@"</f>
        <v>#VALUE!</v>
      </c>
      <c r="EP213" t="e">
        <f>Nodes!AA1774+"'E4!)uA"</f>
        <v>#VALUE!</v>
      </c>
      <c r="EQ213" t="e">
        <f>Nodes!AB1774+"'E4!)uB"</f>
        <v>#VALUE!</v>
      </c>
      <c r="ER213" t="e">
        <f>Nodes!AC1774+"'E4!)uC"</f>
        <v>#VALUE!</v>
      </c>
      <c r="ES213" t="e">
        <f>Nodes!A1775+"'E4!)uD"</f>
        <v>#VALUE!</v>
      </c>
      <c r="ET213" t="e">
        <f>Nodes!B1775+"'E4!)uE"</f>
        <v>#VALUE!</v>
      </c>
      <c r="EU213" t="e">
        <f>Nodes!C1775+"'E4!)uF"</f>
        <v>#VALUE!</v>
      </c>
      <c r="EV213" t="e">
        <f>Nodes!D1775+"'E4!)uG"</f>
        <v>#VALUE!</v>
      </c>
      <c r="EW213" t="e">
        <f>Nodes!E1775+"'E4!)uH"</f>
        <v>#VALUE!</v>
      </c>
      <c r="EX213" t="e">
        <f>Nodes!F1775+"'E4!)uI"</f>
        <v>#VALUE!</v>
      </c>
      <c r="EY213" t="e">
        <f>Nodes!G1775+"'E4!)uJ"</f>
        <v>#VALUE!</v>
      </c>
      <c r="EZ213" t="e">
        <f>Nodes!H1775+"'E4!)uK"</f>
        <v>#VALUE!</v>
      </c>
      <c r="FA213" t="e">
        <f>Nodes!I1775+"'E4!)uL"</f>
        <v>#VALUE!</v>
      </c>
      <c r="FB213" t="e">
        <f>Nodes!J1775+"'E4!)uM"</f>
        <v>#VALUE!</v>
      </c>
      <c r="FC213" t="e">
        <f>Nodes!K1775+"'E4!)uN"</f>
        <v>#VALUE!</v>
      </c>
      <c r="FD213" t="e">
        <f>Nodes!L1775+"'E4!)uO"</f>
        <v>#VALUE!</v>
      </c>
      <c r="FE213" t="e">
        <f>Nodes!M1775+"'E4!)uP"</f>
        <v>#VALUE!</v>
      </c>
      <c r="FF213" t="e">
        <f>Nodes!N1775+"'E4!)uQ"</f>
        <v>#VALUE!</v>
      </c>
      <c r="FG213" t="e">
        <f>Nodes!O1775+"'E4!)uR"</f>
        <v>#VALUE!</v>
      </c>
      <c r="FH213" t="e">
        <f>Nodes!P1775+"'E4!)uS"</f>
        <v>#VALUE!</v>
      </c>
      <c r="FI213" t="e">
        <f>Nodes!Q1775+"'E4!)uT"</f>
        <v>#VALUE!</v>
      </c>
      <c r="FJ213" t="e">
        <f>Nodes!R1775+"'E4!)uU"</f>
        <v>#VALUE!</v>
      </c>
      <c r="FK213" t="e">
        <f>Nodes!S1775+"'E4!)uV"</f>
        <v>#VALUE!</v>
      </c>
      <c r="FL213" t="e">
        <f>Nodes!T1775+"'E4!)uW"</f>
        <v>#VALUE!</v>
      </c>
      <c r="FM213" t="e">
        <f>Nodes!U1775+"'E4!)uX"</f>
        <v>#VALUE!</v>
      </c>
      <c r="FN213" t="e">
        <f>Nodes!V1775+"'E4!)uY"</f>
        <v>#VALUE!</v>
      </c>
      <c r="FO213" t="e">
        <f>Nodes!W1775+"'E4!)uZ"</f>
        <v>#VALUE!</v>
      </c>
      <c r="FP213" t="e">
        <f>Nodes!X1775+"'E4!)u["</f>
        <v>#VALUE!</v>
      </c>
      <c r="FQ213" t="e">
        <f>Nodes!Y1775+"'E4!)u\"</f>
        <v>#VALUE!</v>
      </c>
      <c r="FR213" t="e">
        <f>Nodes!Z1775+"'E4!)u]"</f>
        <v>#VALUE!</v>
      </c>
      <c r="FS213" t="e">
        <f>Nodes!AA1775+"'E4!)u^"</f>
        <v>#VALUE!</v>
      </c>
      <c r="FT213" t="e">
        <f>Nodes!AB1775+"'E4!)u_"</f>
        <v>#VALUE!</v>
      </c>
      <c r="FU213" t="e">
        <f>Nodes!AC1775+"'E4!)u`"</f>
        <v>#VALUE!</v>
      </c>
      <c r="FV213" t="e">
        <f>Nodes!A1776+"'E4!)ua"</f>
        <v>#VALUE!</v>
      </c>
      <c r="FW213" t="e">
        <f>Nodes!B1776+"'E4!)ub"</f>
        <v>#VALUE!</v>
      </c>
      <c r="FX213" t="e">
        <f>Nodes!C1776+"'E4!)uc"</f>
        <v>#VALUE!</v>
      </c>
      <c r="FY213" t="e">
        <f>Nodes!D1776+"'E4!)ud"</f>
        <v>#VALUE!</v>
      </c>
      <c r="FZ213" t="e">
        <f>Nodes!E1776+"'E4!)ue"</f>
        <v>#VALUE!</v>
      </c>
      <c r="GA213" t="e">
        <f>Nodes!F1776+"'E4!)uf"</f>
        <v>#VALUE!</v>
      </c>
      <c r="GB213" t="e">
        <f>Nodes!G1776+"'E4!)ug"</f>
        <v>#VALUE!</v>
      </c>
      <c r="GC213" t="e">
        <f>Nodes!H1776+"'E4!)uh"</f>
        <v>#VALUE!</v>
      </c>
      <c r="GD213" t="e">
        <f>Nodes!I1776+"'E4!)ui"</f>
        <v>#VALUE!</v>
      </c>
      <c r="GE213" t="e">
        <f>Nodes!J1776+"'E4!)uj"</f>
        <v>#VALUE!</v>
      </c>
      <c r="GF213" t="e">
        <f>Nodes!K1776+"'E4!)uk"</f>
        <v>#VALUE!</v>
      </c>
      <c r="GG213" t="e">
        <f>Nodes!L1776+"'E4!)ul"</f>
        <v>#VALUE!</v>
      </c>
      <c r="GH213" t="e">
        <f>Nodes!M1776+"'E4!)um"</f>
        <v>#VALUE!</v>
      </c>
      <c r="GI213" t="e">
        <f>Nodes!N1776+"'E4!)un"</f>
        <v>#VALUE!</v>
      </c>
      <c r="GJ213" t="e">
        <f>Nodes!O1776+"'E4!)uo"</f>
        <v>#VALUE!</v>
      </c>
      <c r="GK213" t="e">
        <f>Nodes!P1776+"'E4!)up"</f>
        <v>#VALUE!</v>
      </c>
      <c r="GL213" t="e">
        <f>Nodes!Q1776+"'E4!)uq"</f>
        <v>#VALUE!</v>
      </c>
      <c r="GM213" t="e">
        <f>Nodes!R1776+"'E4!)ur"</f>
        <v>#VALUE!</v>
      </c>
      <c r="GN213" t="e">
        <f>Nodes!S1776+"'E4!)us"</f>
        <v>#VALUE!</v>
      </c>
      <c r="GO213" t="e">
        <f>Nodes!T1776+"'E4!)ut"</f>
        <v>#VALUE!</v>
      </c>
      <c r="GP213" t="e">
        <f>Nodes!U1776+"'E4!)uu"</f>
        <v>#VALUE!</v>
      </c>
      <c r="GQ213" t="e">
        <f>Nodes!V1776+"'E4!)uv"</f>
        <v>#VALUE!</v>
      </c>
      <c r="GR213" t="e">
        <f>Nodes!W1776+"'E4!)uw"</f>
        <v>#VALUE!</v>
      </c>
      <c r="GS213" t="e">
        <f>Nodes!X1776+"'E4!)ux"</f>
        <v>#VALUE!</v>
      </c>
      <c r="GT213" t="e">
        <f>Nodes!Y1776+"'E4!)uy"</f>
        <v>#VALUE!</v>
      </c>
      <c r="GU213" t="e">
        <f>Nodes!Z1776+"'E4!)uz"</f>
        <v>#VALUE!</v>
      </c>
      <c r="GV213" t="e">
        <f>Nodes!AA1776+"'E4!)u{"</f>
        <v>#VALUE!</v>
      </c>
      <c r="GW213" t="e">
        <f>Nodes!AB1776+"'E4!)u|"</f>
        <v>#VALUE!</v>
      </c>
      <c r="GX213" t="e">
        <f>Nodes!AC1776+"'E4!)u}"</f>
        <v>#VALUE!</v>
      </c>
      <c r="GY213" t="e">
        <f>Nodes!A1777+"'E4!)u~"</f>
        <v>#VALUE!</v>
      </c>
      <c r="GZ213" t="e">
        <f>Nodes!B1777+"'E4!)v#"</f>
        <v>#VALUE!</v>
      </c>
      <c r="HA213" t="e">
        <f>Nodes!C1777+"'E4!)v$"</f>
        <v>#VALUE!</v>
      </c>
      <c r="HB213" t="e">
        <f>Nodes!D1777+"'E4!)v%"</f>
        <v>#VALUE!</v>
      </c>
      <c r="HC213" t="e">
        <f>Nodes!E1777+"'E4!)v&amp;"</f>
        <v>#VALUE!</v>
      </c>
      <c r="HD213" t="e">
        <f>Nodes!F1777+"'E4!)v'"</f>
        <v>#VALUE!</v>
      </c>
      <c r="HE213" t="e">
        <f>Nodes!G1777+"'E4!)v("</f>
        <v>#VALUE!</v>
      </c>
      <c r="HF213" t="e">
        <f>Nodes!H1777+"'E4!)v)"</f>
        <v>#VALUE!</v>
      </c>
      <c r="HG213" t="e">
        <f>Nodes!I1777+"'E4!)v."</f>
        <v>#VALUE!</v>
      </c>
      <c r="HH213" t="e">
        <f>Nodes!J1777+"'E4!)v/"</f>
        <v>#VALUE!</v>
      </c>
      <c r="HI213" t="e">
        <f>Nodes!K1777+"'E4!)v0"</f>
        <v>#VALUE!</v>
      </c>
      <c r="HJ213" t="e">
        <f>Nodes!L1777+"'E4!)v1"</f>
        <v>#VALUE!</v>
      </c>
      <c r="HK213" t="e">
        <f>Nodes!M1777+"'E4!)v2"</f>
        <v>#VALUE!</v>
      </c>
      <c r="HL213" t="e">
        <f>Nodes!N1777+"'E4!)v3"</f>
        <v>#VALUE!</v>
      </c>
      <c r="HM213" t="e">
        <f>Nodes!O1777+"'E4!)v4"</f>
        <v>#VALUE!</v>
      </c>
      <c r="HN213" t="e">
        <f>Nodes!P1777+"'E4!)v5"</f>
        <v>#VALUE!</v>
      </c>
      <c r="HO213" t="e">
        <f>Nodes!Q1777+"'E4!)v6"</f>
        <v>#VALUE!</v>
      </c>
      <c r="HP213" t="e">
        <f>Nodes!R1777+"'E4!)v7"</f>
        <v>#VALUE!</v>
      </c>
      <c r="HQ213" t="e">
        <f>Nodes!S1777+"'E4!)v8"</f>
        <v>#VALUE!</v>
      </c>
      <c r="HR213" t="e">
        <f>Nodes!T1777+"'E4!)v9"</f>
        <v>#VALUE!</v>
      </c>
      <c r="HS213" t="e">
        <f>Nodes!U1777+"'E4!)v:"</f>
        <v>#VALUE!</v>
      </c>
      <c r="HT213" t="e">
        <f>Nodes!V1777+"'E4!)v;"</f>
        <v>#VALUE!</v>
      </c>
      <c r="HU213" t="e">
        <f>Nodes!W1777+"'E4!)v&lt;"</f>
        <v>#VALUE!</v>
      </c>
      <c r="HV213" t="e">
        <f>Nodes!X1777+"'E4!)v="</f>
        <v>#VALUE!</v>
      </c>
      <c r="HW213" t="e">
        <f>Nodes!Y1777+"'E4!)v&gt;"</f>
        <v>#VALUE!</v>
      </c>
      <c r="HX213" t="e">
        <f>Nodes!Z1777+"'E4!)v?"</f>
        <v>#VALUE!</v>
      </c>
      <c r="HY213" t="e">
        <f>Nodes!AA1777+"'E4!)v@"</f>
        <v>#VALUE!</v>
      </c>
      <c r="HZ213" t="e">
        <f>Nodes!AB1777+"'E4!)vA"</f>
        <v>#VALUE!</v>
      </c>
      <c r="IA213" t="e">
        <f>Nodes!AC1777+"'E4!)vB"</f>
        <v>#VALUE!</v>
      </c>
      <c r="IB213" t="e">
        <f>Nodes!A1778+"'E4!)vC"</f>
        <v>#VALUE!</v>
      </c>
      <c r="IC213" t="e">
        <f>Nodes!B1778+"'E4!)vD"</f>
        <v>#VALUE!</v>
      </c>
      <c r="ID213" t="e">
        <f>Nodes!C1778+"'E4!)vE"</f>
        <v>#VALUE!</v>
      </c>
      <c r="IE213" t="e">
        <f>Nodes!D1778+"'E4!)vF"</f>
        <v>#VALUE!</v>
      </c>
      <c r="IF213" t="e">
        <f>Nodes!E1778+"'E4!)vG"</f>
        <v>#VALUE!</v>
      </c>
      <c r="IG213" t="e">
        <f>Nodes!F1778+"'E4!)vH"</f>
        <v>#VALUE!</v>
      </c>
      <c r="IH213" t="e">
        <f>Nodes!G1778+"'E4!)vI"</f>
        <v>#VALUE!</v>
      </c>
      <c r="II213" t="e">
        <f>Nodes!H1778+"'E4!)vJ"</f>
        <v>#VALUE!</v>
      </c>
      <c r="IJ213" t="e">
        <f>Nodes!I1778+"'E4!)vK"</f>
        <v>#VALUE!</v>
      </c>
      <c r="IK213" t="e">
        <f>Nodes!J1778+"'E4!)vL"</f>
        <v>#VALUE!</v>
      </c>
      <c r="IL213" t="e">
        <f>Nodes!K1778+"'E4!)vM"</f>
        <v>#VALUE!</v>
      </c>
      <c r="IM213" t="e">
        <f>Nodes!L1778+"'E4!)vN"</f>
        <v>#VALUE!</v>
      </c>
      <c r="IN213" t="e">
        <f>Nodes!M1778+"'E4!)vO"</f>
        <v>#VALUE!</v>
      </c>
      <c r="IO213" t="e">
        <f>Nodes!N1778+"'E4!)vP"</f>
        <v>#VALUE!</v>
      </c>
      <c r="IP213" t="e">
        <f>Nodes!O1778+"'E4!)vQ"</f>
        <v>#VALUE!</v>
      </c>
      <c r="IQ213" t="e">
        <f>Nodes!P1778+"'E4!)vR"</f>
        <v>#VALUE!</v>
      </c>
      <c r="IR213" t="e">
        <f>Nodes!Q1778+"'E4!)vS"</f>
        <v>#VALUE!</v>
      </c>
      <c r="IS213" t="e">
        <f>Nodes!R1778+"'E4!)vT"</f>
        <v>#VALUE!</v>
      </c>
      <c r="IT213" t="e">
        <f>Nodes!S1778+"'E4!)vU"</f>
        <v>#VALUE!</v>
      </c>
      <c r="IU213" t="e">
        <f>Nodes!T1778+"'E4!)vV"</f>
        <v>#VALUE!</v>
      </c>
      <c r="IV213" t="e">
        <f>Nodes!U1778+"'E4!)vW"</f>
        <v>#VALUE!</v>
      </c>
    </row>
    <row r="214" spans="6:256">
      <c r="F214" t="e">
        <f>Nodes!V1778+"'E4!)vX"</f>
        <v>#VALUE!</v>
      </c>
      <c r="G214" t="e">
        <f>Nodes!W1778+"'E4!)vY"</f>
        <v>#VALUE!</v>
      </c>
      <c r="H214" t="e">
        <f>Nodes!X1778+"'E4!)vZ"</f>
        <v>#VALUE!</v>
      </c>
      <c r="I214" t="e">
        <f>Nodes!Y1778+"'E4!)v["</f>
        <v>#VALUE!</v>
      </c>
      <c r="J214" t="e">
        <f>Nodes!Z1778+"'E4!)v\"</f>
        <v>#VALUE!</v>
      </c>
      <c r="K214" t="e">
        <f>Nodes!AA1778+"'E4!)v]"</f>
        <v>#VALUE!</v>
      </c>
      <c r="L214" t="e">
        <f>Nodes!AB1778+"'E4!)v^"</f>
        <v>#VALUE!</v>
      </c>
      <c r="M214" t="e">
        <f>Nodes!AC1778+"'E4!)v_"</f>
        <v>#VALUE!</v>
      </c>
      <c r="N214" t="e">
        <f>Nodes!A1779+"'E4!)v`"</f>
        <v>#VALUE!</v>
      </c>
      <c r="O214" t="e">
        <f>Nodes!B1779+"'E4!)va"</f>
        <v>#VALUE!</v>
      </c>
      <c r="P214" t="e">
        <f>Nodes!C1779+"'E4!)vb"</f>
        <v>#VALUE!</v>
      </c>
      <c r="Q214" t="e">
        <f>Nodes!D1779+"'E4!)vc"</f>
        <v>#VALUE!</v>
      </c>
      <c r="R214" t="e">
        <f>Nodes!E1779+"'E4!)vd"</f>
        <v>#VALUE!</v>
      </c>
      <c r="S214" t="e">
        <f>Nodes!F1779+"'E4!)ve"</f>
        <v>#VALUE!</v>
      </c>
      <c r="T214" t="e">
        <f>Nodes!G1779+"'E4!)vf"</f>
        <v>#VALUE!</v>
      </c>
      <c r="U214" t="e">
        <f>Nodes!H1779+"'E4!)vg"</f>
        <v>#VALUE!</v>
      </c>
      <c r="V214" t="e">
        <f>Nodes!I1779+"'E4!)vh"</f>
        <v>#VALUE!</v>
      </c>
      <c r="W214" t="e">
        <f>Nodes!J1779+"'E4!)vi"</f>
        <v>#VALUE!</v>
      </c>
      <c r="X214" t="e">
        <f>Nodes!K1779+"'E4!)vj"</f>
        <v>#VALUE!</v>
      </c>
      <c r="Y214" t="e">
        <f>Nodes!L1779+"'E4!)vk"</f>
        <v>#VALUE!</v>
      </c>
      <c r="Z214" t="e">
        <f>Nodes!M1779+"'E4!)vl"</f>
        <v>#VALUE!</v>
      </c>
      <c r="AA214" t="e">
        <f>Nodes!N1779+"'E4!)vm"</f>
        <v>#VALUE!</v>
      </c>
      <c r="AB214" t="e">
        <f>Nodes!O1779+"'E4!)vn"</f>
        <v>#VALUE!</v>
      </c>
      <c r="AC214" t="e">
        <f>Nodes!P1779+"'E4!)vo"</f>
        <v>#VALUE!</v>
      </c>
      <c r="AD214" t="e">
        <f>Nodes!Q1779+"'E4!)vp"</f>
        <v>#VALUE!</v>
      </c>
      <c r="AE214" t="e">
        <f>Nodes!R1779+"'E4!)vq"</f>
        <v>#VALUE!</v>
      </c>
      <c r="AF214" t="e">
        <f>Nodes!S1779+"'E4!)vr"</f>
        <v>#VALUE!</v>
      </c>
      <c r="AG214" t="e">
        <f>Nodes!T1779+"'E4!)vs"</f>
        <v>#VALUE!</v>
      </c>
      <c r="AH214" t="e">
        <f>Nodes!U1779+"'E4!)vt"</f>
        <v>#VALUE!</v>
      </c>
      <c r="AI214" t="e">
        <f>Nodes!V1779+"'E4!)vu"</f>
        <v>#VALUE!</v>
      </c>
      <c r="AJ214" t="e">
        <f>Nodes!W1779+"'E4!)vv"</f>
        <v>#VALUE!</v>
      </c>
      <c r="AK214" t="e">
        <f>Nodes!X1779+"'E4!)vw"</f>
        <v>#VALUE!</v>
      </c>
      <c r="AL214" t="e">
        <f>Nodes!Y1779+"'E4!)vx"</f>
        <v>#VALUE!</v>
      </c>
      <c r="AM214" t="e">
        <f>Nodes!Z1779+"'E4!)vy"</f>
        <v>#VALUE!</v>
      </c>
      <c r="AN214" t="e">
        <f>Nodes!AA1779+"'E4!)vz"</f>
        <v>#VALUE!</v>
      </c>
      <c r="AO214" t="e">
        <f>Nodes!AB1779+"'E4!)v{"</f>
        <v>#VALUE!</v>
      </c>
      <c r="AP214" t="e">
        <f>Nodes!AC1779+"'E4!)v|"</f>
        <v>#VALUE!</v>
      </c>
      <c r="AQ214" t="e">
        <f>Nodes!A1780+"'E4!)v}"</f>
        <v>#VALUE!</v>
      </c>
      <c r="AR214" t="e">
        <f>Nodes!B1780+"'E4!)v~"</f>
        <v>#VALUE!</v>
      </c>
      <c r="AS214" t="e">
        <f>Nodes!C1780+"'E4!)w#"</f>
        <v>#VALUE!</v>
      </c>
      <c r="AT214" t="e">
        <f>Nodes!D1780+"'E4!)w$"</f>
        <v>#VALUE!</v>
      </c>
      <c r="AU214" t="e">
        <f>Nodes!E1780+"'E4!)w%"</f>
        <v>#VALUE!</v>
      </c>
      <c r="AV214" t="e">
        <f>Nodes!F1780+"'E4!)w&amp;"</f>
        <v>#VALUE!</v>
      </c>
      <c r="AW214" t="e">
        <f>Nodes!G1780+"'E4!)w'"</f>
        <v>#VALUE!</v>
      </c>
      <c r="AX214" t="e">
        <f>Nodes!H1780+"'E4!)w("</f>
        <v>#VALUE!</v>
      </c>
      <c r="AY214" t="e">
        <f>Nodes!I1780+"'E4!)w)"</f>
        <v>#VALUE!</v>
      </c>
      <c r="AZ214" t="e">
        <f>Nodes!J1780+"'E4!)w."</f>
        <v>#VALUE!</v>
      </c>
      <c r="BA214" t="e">
        <f>Nodes!K1780+"'E4!)w/"</f>
        <v>#VALUE!</v>
      </c>
      <c r="BB214" t="e">
        <f>Nodes!L1780+"'E4!)w0"</f>
        <v>#VALUE!</v>
      </c>
      <c r="BC214" t="e">
        <f>Nodes!M1780+"'E4!)w1"</f>
        <v>#VALUE!</v>
      </c>
      <c r="BD214" t="e">
        <f>Nodes!N1780+"'E4!)w2"</f>
        <v>#VALUE!</v>
      </c>
      <c r="BE214" t="e">
        <f>Nodes!O1780+"'E4!)w3"</f>
        <v>#VALUE!</v>
      </c>
      <c r="BF214" t="e">
        <f>Nodes!P1780+"'E4!)w4"</f>
        <v>#VALUE!</v>
      </c>
      <c r="BG214" t="e">
        <f>Nodes!Q1780+"'E4!)w5"</f>
        <v>#VALUE!</v>
      </c>
      <c r="BH214" t="e">
        <f>Nodes!R1780+"'E4!)w6"</f>
        <v>#VALUE!</v>
      </c>
      <c r="BI214" t="e">
        <f>Nodes!S1780+"'E4!)w7"</f>
        <v>#VALUE!</v>
      </c>
      <c r="BJ214" t="e">
        <f>Nodes!T1780+"'E4!)w8"</f>
        <v>#VALUE!</v>
      </c>
      <c r="BK214" t="e">
        <f>Nodes!U1780+"'E4!)w9"</f>
        <v>#VALUE!</v>
      </c>
      <c r="BL214" t="e">
        <f>Nodes!V1780+"'E4!)w:"</f>
        <v>#VALUE!</v>
      </c>
      <c r="BM214" t="e">
        <f>Nodes!W1780+"'E4!)w;"</f>
        <v>#VALUE!</v>
      </c>
      <c r="BN214" t="e">
        <f>Nodes!X1780+"'E4!)w&lt;"</f>
        <v>#VALUE!</v>
      </c>
      <c r="BO214" t="e">
        <f>Nodes!Y1780+"'E4!)w="</f>
        <v>#VALUE!</v>
      </c>
      <c r="BP214" t="e">
        <f>Nodes!Z1780+"'E4!)w&gt;"</f>
        <v>#VALUE!</v>
      </c>
      <c r="BQ214" t="e">
        <f>Nodes!AA1780+"'E4!)w?"</f>
        <v>#VALUE!</v>
      </c>
      <c r="BR214" t="e">
        <f>Nodes!AB1780+"'E4!)w@"</f>
        <v>#VALUE!</v>
      </c>
      <c r="BS214" t="e">
        <f>Nodes!AC1780+"'E4!)wA"</f>
        <v>#VALUE!</v>
      </c>
      <c r="BT214" t="e">
        <f>Nodes!A1781+"'E4!)wB"</f>
        <v>#VALUE!</v>
      </c>
      <c r="BU214" t="e">
        <f>Nodes!B1781+"'E4!)wC"</f>
        <v>#VALUE!</v>
      </c>
      <c r="BV214" t="e">
        <f>Nodes!C1781+"'E4!)wD"</f>
        <v>#VALUE!</v>
      </c>
      <c r="BW214" t="e">
        <f>Nodes!D1781+"'E4!)wE"</f>
        <v>#VALUE!</v>
      </c>
      <c r="BX214" t="e">
        <f>Nodes!E1781+"'E4!)wF"</f>
        <v>#VALUE!</v>
      </c>
      <c r="BY214" t="e">
        <f>Nodes!F1781+"'E4!)wG"</f>
        <v>#VALUE!</v>
      </c>
      <c r="BZ214" t="e">
        <f>Nodes!G1781+"'E4!)wH"</f>
        <v>#VALUE!</v>
      </c>
      <c r="CA214" t="e">
        <f>Nodes!H1781+"'E4!)wI"</f>
        <v>#VALUE!</v>
      </c>
      <c r="CB214" t="e">
        <f>Nodes!I1781+"'E4!)wJ"</f>
        <v>#VALUE!</v>
      </c>
      <c r="CC214" t="e">
        <f>Nodes!J1781+"'E4!)wK"</f>
        <v>#VALUE!</v>
      </c>
      <c r="CD214" t="e">
        <f>Nodes!K1781+"'E4!)wL"</f>
        <v>#VALUE!</v>
      </c>
      <c r="CE214" t="e">
        <f>Nodes!L1781+"'E4!)wM"</f>
        <v>#VALUE!</v>
      </c>
      <c r="CF214" t="e">
        <f>Nodes!M1781+"'E4!)wN"</f>
        <v>#VALUE!</v>
      </c>
      <c r="CG214" t="e">
        <f>Nodes!N1781+"'E4!)wO"</f>
        <v>#VALUE!</v>
      </c>
      <c r="CH214" t="e">
        <f>Nodes!O1781+"'E4!)wP"</f>
        <v>#VALUE!</v>
      </c>
      <c r="CI214" t="e">
        <f>Nodes!P1781+"'E4!)wQ"</f>
        <v>#VALUE!</v>
      </c>
      <c r="CJ214" t="e">
        <f>Nodes!Q1781+"'E4!)wR"</f>
        <v>#VALUE!</v>
      </c>
      <c r="CK214" t="e">
        <f>Nodes!R1781+"'E4!)wS"</f>
        <v>#VALUE!</v>
      </c>
      <c r="CL214" t="e">
        <f>Nodes!S1781+"'E4!)wT"</f>
        <v>#VALUE!</v>
      </c>
      <c r="CM214" t="e">
        <f>Nodes!T1781+"'E4!)wU"</f>
        <v>#VALUE!</v>
      </c>
      <c r="CN214" t="e">
        <f>Nodes!U1781+"'E4!)wV"</f>
        <v>#VALUE!</v>
      </c>
      <c r="CO214" t="e">
        <f>Nodes!V1781+"'E4!)wW"</f>
        <v>#VALUE!</v>
      </c>
      <c r="CP214" t="e">
        <f>Nodes!W1781+"'E4!)wX"</f>
        <v>#VALUE!</v>
      </c>
      <c r="CQ214" t="e">
        <f>Nodes!X1781+"'E4!)wY"</f>
        <v>#VALUE!</v>
      </c>
      <c r="CR214" t="e">
        <f>Nodes!Y1781+"'E4!)wZ"</f>
        <v>#VALUE!</v>
      </c>
      <c r="CS214" t="e">
        <f>Nodes!Z1781+"'E4!)w["</f>
        <v>#VALUE!</v>
      </c>
      <c r="CT214" t="e">
        <f>Nodes!AA1781+"'E4!)w\"</f>
        <v>#VALUE!</v>
      </c>
      <c r="CU214" t="e">
        <f>Nodes!AB1781+"'E4!)w]"</f>
        <v>#VALUE!</v>
      </c>
      <c r="CV214" t="e">
        <f>Nodes!AC1781+"'E4!)w^"</f>
        <v>#VALUE!</v>
      </c>
      <c r="CW214" t="e">
        <f>Nodes!A1782+"'E4!)w_"</f>
        <v>#VALUE!</v>
      </c>
      <c r="CX214" t="e">
        <f>Nodes!B1782+"'E4!)w`"</f>
        <v>#VALUE!</v>
      </c>
      <c r="CY214" t="e">
        <f>Nodes!C1782+"'E4!)wa"</f>
        <v>#VALUE!</v>
      </c>
      <c r="CZ214" t="e">
        <f>Nodes!D1782+"'E4!)wb"</f>
        <v>#VALUE!</v>
      </c>
      <c r="DA214" t="e">
        <f>Nodes!E1782+"'E4!)wc"</f>
        <v>#VALUE!</v>
      </c>
      <c r="DB214" t="e">
        <f>Nodes!F1782+"'E4!)wd"</f>
        <v>#VALUE!</v>
      </c>
      <c r="DC214" t="e">
        <f>Nodes!G1782+"'E4!)we"</f>
        <v>#VALUE!</v>
      </c>
      <c r="DD214" t="e">
        <f>Nodes!H1782+"'E4!)wf"</f>
        <v>#VALUE!</v>
      </c>
      <c r="DE214" t="e">
        <f>Nodes!I1782+"'E4!)wg"</f>
        <v>#VALUE!</v>
      </c>
      <c r="DF214" t="e">
        <f>Nodes!J1782+"'E4!)wh"</f>
        <v>#VALUE!</v>
      </c>
      <c r="DG214" t="e">
        <f>Nodes!K1782+"'E4!)wi"</f>
        <v>#VALUE!</v>
      </c>
      <c r="DH214" t="e">
        <f>Nodes!L1782+"'E4!)wj"</f>
        <v>#VALUE!</v>
      </c>
      <c r="DI214" t="e">
        <f>Nodes!M1782+"'E4!)wk"</f>
        <v>#VALUE!</v>
      </c>
      <c r="DJ214" t="e">
        <f>Nodes!N1782+"'E4!)wl"</f>
        <v>#VALUE!</v>
      </c>
      <c r="DK214" t="e">
        <f>Nodes!O1782+"'E4!)wm"</f>
        <v>#VALUE!</v>
      </c>
      <c r="DL214" t="e">
        <f>Nodes!P1782+"'E4!)wn"</f>
        <v>#VALUE!</v>
      </c>
      <c r="DM214" t="e">
        <f>Nodes!Q1782+"'E4!)wo"</f>
        <v>#VALUE!</v>
      </c>
      <c r="DN214" t="e">
        <f>Nodes!R1782+"'E4!)wp"</f>
        <v>#VALUE!</v>
      </c>
      <c r="DO214" t="e">
        <f>Nodes!S1782+"'E4!)wq"</f>
        <v>#VALUE!</v>
      </c>
      <c r="DP214" t="e">
        <f>Nodes!T1782+"'E4!)wr"</f>
        <v>#VALUE!</v>
      </c>
      <c r="DQ214" t="e">
        <f>Nodes!U1782+"'E4!)ws"</f>
        <v>#VALUE!</v>
      </c>
      <c r="DR214" t="e">
        <f>Nodes!V1782+"'E4!)wt"</f>
        <v>#VALUE!</v>
      </c>
      <c r="DS214" t="e">
        <f>Nodes!W1782+"'E4!)wu"</f>
        <v>#VALUE!</v>
      </c>
      <c r="DT214" t="e">
        <f>Nodes!X1782+"'E4!)wv"</f>
        <v>#VALUE!</v>
      </c>
      <c r="DU214" t="e">
        <f>Nodes!Y1782+"'E4!)ww"</f>
        <v>#VALUE!</v>
      </c>
      <c r="DV214" t="e">
        <f>Nodes!Z1782+"'E4!)wx"</f>
        <v>#VALUE!</v>
      </c>
      <c r="DW214" t="e">
        <f>Nodes!AA1782+"'E4!)wy"</f>
        <v>#VALUE!</v>
      </c>
      <c r="DX214" t="e">
        <f>Nodes!AB1782+"'E4!)wz"</f>
        <v>#VALUE!</v>
      </c>
      <c r="DY214" t="e">
        <f>Nodes!AC1782+"'E4!)w{"</f>
        <v>#VALUE!</v>
      </c>
      <c r="DZ214" t="e">
        <f>Nodes!A1783+"'E4!)w|"</f>
        <v>#VALUE!</v>
      </c>
      <c r="EA214" t="e">
        <f>Nodes!B1783+"'E4!)w}"</f>
        <v>#VALUE!</v>
      </c>
      <c r="EB214" t="e">
        <f>Nodes!C1783+"'E4!)w~"</f>
        <v>#VALUE!</v>
      </c>
      <c r="EC214" t="e">
        <f>Nodes!D1783+"'E4!)x#"</f>
        <v>#VALUE!</v>
      </c>
      <c r="ED214" t="e">
        <f>Nodes!E1783+"'E4!)x$"</f>
        <v>#VALUE!</v>
      </c>
      <c r="EE214" t="e">
        <f>Nodes!H1783+"'E4!)x%"</f>
        <v>#VALUE!</v>
      </c>
      <c r="EF214" t="e">
        <f>Nodes!I1783+"'E4!)x&amp;"</f>
        <v>#VALUE!</v>
      </c>
      <c r="EG214" t="e">
        <f>Nodes!J1783+"'E4!)x'"</f>
        <v>#VALUE!</v>
      </c>
      <c r="EH214" t="e">
        <f>Nodes!K1783+"'E4!)x("</f>
        <v>#VALUE!</v>
      </c>
      <c r="EI214" t="e">
        <f>Nodes!L1783+"'E4!)x)"</f>
        <v>#VALUE!</v>
      </c>
      <c r="EJ214" t="e">
        <f>Nodes!M1783+"'E4!)x."</f>
        <v>#VALUE!</v>
      </c>
      <c r="EK214" t="e">
        <f>Nodes!N1783+"'E4!)x/"</f>
        <v>#VALUE!</v>
      </c>
      <c r="EL214" t="e">
        <f>Nodes!O1783+"'E4!)x0"</f>
        <v>#VALUE!</v>
      </c>
      <c r="EM214" t="e">
        <f>Nodes!P1783+"'E4!)x1"</f>
        <v>#VALUE!</v>
      </c>
      <c r="EN214" t="e">
        <f>Nodes!Q1783+"'E4!)x2"</f>
        <v>#VALUE!</v>
      </c>
      <c r="EO214" t="e">
        <f>Nodes!R1783+"'E4!)x3"</f>
        <v>#VALUE!</v>
      </c>
      <c r="EP214" t="e">
        <f>Nodes!S1783+"'E4!)x4"</f>
        <v>#VALUE!</v>
      </c>
      <c r="EQ214" s="547" t="e">
        <f>Nodes!T1783+"'E4!)x5"</f>
        <v>#VALUE!</v>
      </c>
      <c r="ER214" s="548" t="e">
        <f>Nodes!U1783+"'E4!)x6"</f>
        <v>#VALUE!</v>
      </c>
      <c r="ES214" s="548" t="e">
        <f>Nodes!V1783+"'E4!)x7"</f>
        <v>#VALUE!</v>
      </c>
      <c r="ET214" s="547" t="e">
        <f>Nodes!W1783+"'E4!)x8"</f>
        <v>#VALUE!</v>
      </c>
      <c r="EU214" t="e">
        <f>Nodes!X1783+"'E4!)x9"</f>
        <v>#VALUE!</v>
      </c>
      <c r="EV214" t="e">
        <f>Nodes!Y1783+"'E4!)x:"</f>
        <v>#VALUE!</v>
      </c>
      <c r="EW214" t="e">
        <f>Nodes!Z1783+"'E4!)x;"</f>
        <v>#VALUE!</v>
      </c>
      <c r="EX214" t="e">
        <f>Nodes!AA1783+"'E4!)x&lt;"</f>
        <v>#VALUE!</v>
      </c>
      <c r="EY214" t="e">
        <f>Nodes!AB1783+"'E4!)x="</f>
        <v>#VALUE!</v>
      </c>
      <c r="EZ214" t="e">
        <f>Nodes!AC1783+"'E4!)x&gt;"</f>
        <v>#VALUE!</v>
      </c>
      <c r="FA214" t="e">
        <f>Nodes!A1784+"'E4!)x?"</f>
        <v>#VALUE!</v>
      </c>
      <c r="FB214" t="e">
        <f>Nodes!B1784+"'E4!)x@"</f>
        <v>#VALUE!</v>
      </c>
      <c r="FC214" t="e">
        <f>Nodes!C1784+"'E4!)xA"</f>
        <v>#VALUE!</v>
      </c>
      <c r="FD214" t="e">
        <f>Nodes!D1784+"'E4!)xB"</f>
        <v>#VALUE!</v>
      </c>
      <c r="FE214" t="e">
        <f>Nodes!E1784+"'E4!)xC"</f>
        <v>#VALUE!</v>
      </c>
      <c r="FF214" t="e">
        <f>Nodes!H1784+"'E4!)xD"</f>
        <v>#VALUE!</v>
      </c>
      <c r="FG214" t="e">
        <f>Nodes!I1784+"'E4!)xE"</f>
        <v>#VALUE!</v>
      </c>
      <c r="FH214" t="e">
        <f>Nodes!J1784+"'E4!)xF"</f>
        <v>#VALUE!</v>
      </c>
      <c r="FI214" t="e">
        <f>Nodes!K1784+"'E4!)xG"</f>
        <v>#VALUE!</v>
      </c>
      <c r="FJ214" t="e">
        <f>Nodes!L1784+"'E4!)xH"</f>
        <v>#VALUE!</v>
      </c>
      <c r="FK214" t="e">
        <f>Nodes!M1784+"'E4!)xI"</f>
        <v>#VALUE!</v>
      </c>
      <c r="FL214" t="e">
        <f>Nodes!N1784+"'E4!)xJ"</f>
        <v>#VALUE!</v>
      </c>
      <c r="FM214" t="e">
        <f>Nodes!O1784+"'E4!)xK"</f>
        <v>#VALUE!</v>
      </c>
      <c r="FN214" t="e">
        <f>Nodes!P1784+"'E4!)xL"</f>
        <v>#VALUE!</v>
      </c>
      <c r="FO214" t="e">
        <f>Nodes!Q1784+"'E4!)xM"</f>
        <v>#VALUE!</v>
      </c>
      <c r="FP214" t="e">
        <f>Nodes!R1784+"'E4!)xN"</f>
        <v>#VALUE!</v>
      </c>
      <c r="FQ214" t="e">
        <f>Nodes!S1784+"'E4!)xO"</f>
        <v>#VALUE!</v>
      </c>
      <c r="FR214" s="547" t="e">
        <f>Nodes!T1784+"'E4!)xP"</f>
        <v>#VALUE!</v>
      </c>
      <c r="FS214" s="548" t="e">
        <f>Nodes!U1784+"'E4!)xQ"</f>
        <v>#VALUE!</v>
      </c>
      <c r="FT214" s="548" t="e">
        <f>Nodes!V1784+"'E4!)xR"</f>
        <v>#VALUE!</v>
      </c>
      <c r="FU214" s="547" t="e">
        <f>Nodes!W1784+"'E4!)xS"</f>
        <v>#VALUE!</v>
      </c>
      <c r="FV214" t="e">
        <f>Nodes!X1784+"'E4!)xT"</f>
        <v>#VALUE!</v>
      </c>
      <c r="FW214" t="e">
        <f>Nodes!Y1784+"'E4!)xU"</f>
        <v>#VALUE!</v>
      </c>
      <c r="FX214" t="e">
        <f>Nodes!Z1784+"'E4!)xV"</f>
        <v>#VALUE!</v>
      </c>
      <c r="FY214" t="e">
        <f>Nodes!AA1784+"'E4!)xW"</f>
        <v>#VALUE!</v>
      </c>
      <c r="FZ214" t="e">
        <f>Nodes!AB1784+"'E4!)xX"</f>
        <v>#VALUE!</v>
      </c>
      <c r="GA214" t="e">
        <f>Nodes!AC1784+"'E4!)xY"</f>
        <v>#VALUE!</v>
      </c>
      <c r="GB214" t="e">
        <f>Nodes!A1785+"'E4!)xZ"</f>
        <v>#VALUE!</v>
      </c>
      <c r="GC214" t="e">
        <f>Nodes!B1785+"'E4!)x["</f>
        <v>#VALUE!</v>
      </c>
      <c r="GD214" t="e">
        <f>Nodes!C1785+"'E4!)x\"</f>
        <v>#VALUE!</v>
      </c>
      <c r="GE214" t="e">
        <f>Nodes!D1785+"'E4!)x]"</f>
        <v>#VALUE!</v>
      </c>
      <c r="GF214" t="e">
        <f>Nodes!E1785+"'E4!)x^"</f>
        <v>#VALUE!</v>
      </c>
      <c r="GG214" t="e">
        <f>Nodes!H1785+"'E4!)x_"</f>
        <v>#VALUE!</v>
      </c>
      <c r="GH214" t="e">
        <f>Nodes!I1785+"'E4!)x`"</f>
        <v>#VALUE!</v>
      </c>
      <c r="GI214" t="e">
        <f>Nodes!J1785+"'E4!)xa"</f>
        <v>#VALUE!</v>
      </c>
      <c r="GJ214" t="e">
        <f>Nodes!K1785+"'E4!)xb"</f>
        <v>#VALUE!</v>
      </c>
      <c r="GK214" t="e">
        <f>Nodes!L1785+"'E4!)xc"</f>
        <v>#VALUE!</v>
      </c>
      <c r="GL214" t="e">
        <f>Nodes!M1785+"'E4!)xd"</f>
        <v>#VALUE!</v>
      </c>
      <c r="GM214" t="e">
        <f>Nodes!N1785+"'E4!)xe"</f>
        <v>#VALUE!</v>
      </c>
      <c r="GN214" t="e">
        <f>Nodes!O1785+"'E4!)xf"</f>
        <v>#VALUE!</v>
      </c>
      <c r="GO214" t="e">
        <f>Nodes!P1785+"'E4!)xg"</f>
        <v>#VALUE!</v>
      </c>
      <c r="GP214" t="e">
        <f>Nodes!Q1785+"'E4!)xh"</f>
        <v>#VALUE!</v>
      </c>
      <c r="GQ214" t="e">
        <f>Nodes!R1785+"'E4!)xi"</f>
        <v>#VALUE!</v>
      </c>
      <c r="GR214" t="e">
        <f>Nodes!S1785+"'E4!)xj"</f>
        <v>#VALUE!</v>
      </c>
      <c r="GS214" s="547" t="e">
        <f>Nodes!T1785+"'E4!)xk"</f>
        <v>#VALUE!</v>
      </c>
      <c r="GT214" s="548" t="e">
        <f>Nodes!U1785+"'E4!)xl"</f>
        <v>#VALUE!</v>
      </c>
      <c r="GU214" s="548" t="e">
        <f>Nodes!V1785+"'E4!)xm"</f>
        <v>#VALUE!</v>
      </c>
      <c r="GV214" s="547" t="e">
        <f>Nodes!W1785+"'E4!)xn"</f>
        <v>#VALUE!</v>
      </c>
      <c r="GW214" t="e">
        <f>Nodes!X1785+"'E4!)xo"</f>
        <v>#VALUE!</v>
      </c>
      <c r="GX214" t="e">
        <f>Nodes!Y1785+"'E4!)xp"</f>
        <v>#VALUE!</v>
      </c>
      <c r="GY214" t="e">
        <f>Nodes!Z1785+"'E4!)xq"</f>
        <v>#VALUE!</v>
      </c>
      <c r="GZ214" t="e">
        <f>Nodes!AA1785+"'E4!)xr"</f>
        <v>#VALUE!</v>
      </c>
      <c r="HA214" t="e">
        <f>Nodes!AB1785+"'E4!)xs"</f>
        <v>#VALUE!</v>
      </c>
      <c r="HB214" t="e">
        <f>Nodes!AC1785+"'E4!)xt"</f>
        <v>#VALUE!</v>
      </c>
      <c r="HC214" t="e">
        <f>Values!A:A*"'E4!)xu"</f>
        <v>#VALUE!</v>
      </c>
      <c r="HD214" t="e">
        <f>Values!B:B*"'E4!)xv"</f>
        <v>#VALUE!</v>
      </c>
      <c r="HE214" t="e">
        <f>Values!C:C*"'E4!)xw"</f>
        <v>#VALUE!</v>
      </c>
      <c r="HF214" t="e">
        <f>Values!D:D*"'E4!)xx"</f>
        <v>#VALUE!</v>
      </c>
      <c r="HG214" t="e">
        <f>Values!E:E*"'E4!)xy"</f>
        <v>#VALUE!</v>
      </c>
      <c r="HH214" t="e">
        <f>Values!F:F*"'E4!)xz"</f>
        <v>#VALUE!</v>
      </c>
      <c r="HI214" t="e">
        <f>Values!G:G*"'E4!)x{"</f>
        <v>#VALUE!</v>
      </c>
      <c r="HJ214" t="e">
        <f>Values!H:H*"'E4!)x|"</f>
        <v>#VALUE!</v>
      </c>
      <c r="HK214" t="e">
        <f>Values!I:I*"'E4!)x}"</f>
        <v>#VALUE!</v>
      </c>
      <c r="HL214" t="e">
        <f>Values!J:J*"'E4!)x~"</f>
        <v>#VALUE!</v>
      </c>
      <c r="HM214" t="e">
        <f>Values!K:K*"'E4!)y#"</f>
        <v>#VALUE!</v>
      </c>
      <c r="HN214" t="e">
        <f>Values!L:L*"'E4!)y$"</f>
        <v>#VALUE!</v>
      </c>
      <c r="HO214" t="e">
        <f>Values!M:M*"'E4!)y%"</f>
        <v>#VALUE!</v>
      </c>
      <c r="HP214" t="e">
        <f>Values!N:N*"'E4!)y&amp;"</f>
        <v>#VALUE!</v>
      </c>
      <c r="HQ214" t="e">
        <f>Values!O:O*"'E4!)y'"</f>
        <v>#VALUE!</v>
      </c>
      <c r="HR214" t="e">
        <f>Values!P:P*"'E4!)y("</f>
        <v>#VALUE!</v>
      </c>
      <c r="HS214" t="e">
        <f>Values!Q:Q*"'E4!)y)"</f>
        <v>#VALUE!</v>
      </c>
      <c r="HT214" t="e">
        <f>Values!R:R*"'E4!)y."</f>
        <v>#VALUE!</v>
      </c>
      <c r="HU214" t="e">
        <f>Values!S:S*"'E4!)y/"</f>
        <v>#VALUE!</v>
      </c>
      <c r="HV214" t="e">
        <f>Values!T:T*"'E4!)y0"</f>
        <v>#VALUE!</v>
      </c>
      <c r="HW214" t="e">
        <f>Values!U:U*"'E4!)y1"</f>
        <v>#VALUE!</v>
      </c>
      <c r="HX214" t="e">
        <f>Values!V:V*"'E4!)y2"</f>
        <v>#VALUE!</v>
      </c>
      <c r="HY214" t="e">
        <f>Values!W:W*"'E4!)y3"</f>
        <v>#VALUE!</v>
      </c>
      <c r="HZ214" t="e">
        <f>Values!X:X*"'E4!)y4"</f>
        <v>#VALUE!</v>
      </c>
      <c r="IA214" t="e">
        <f>Values!Y:Y*"'E4!)y5"</f>
        <v>#VALUE!</v>
      </c>
      <c r="IB214" t="e">
        <f>Values!Z:Z*"'E4!)y6"</f>
        <v>#VALUE!</v>
      </c>
      <c r="IC214" t="e">
        <f>Values!AA:AA*"'E4!)y7"</f>
        <v>#VALUE!</v>
      </c>
      <c r="ID214" t="e">
        <f>Values!AB:AB*"'E4!)y8"</f>
        <v>#VALUE!</v>
      </c>
      <c r="IE214" t="e">
        <f>Values!AC:AC*"'E4!)y9"</f>
        <v>#VALUE!</v>
      </c>
      <c r="IF214" t="e">
        <f>Values!AD:AD*"'E4!)y:"</f>
        <v>#VALUE!</v>
      </c>
      <c r="IG214" t="e">
        <f>Values!AE:AE*"'E4!)y;"</f>
        <v>#VALUE!</v>
      </c>
      <c r="IH214" t="e">
        <f>Values!AF:AF*"'E4!)y&lt;"</f>
        <v>#VALUE!</v>
      </c>
      <c r="II214" t="e">
        <f>Values!AG:AG*"'E4!)y="</f>
        <v>#VALUE!</v>
      </c>
      <c r="IJ214" t="e">
        <f>Values!AH:AH*"'E4!)y&gt;"</f>
        <v>#VALUE!</v>
      </c>
      <c r="IK214" t="e">
        <f>Values!AI:AI*"'E4!)y?"</f>
        <v>#VALUE!</v>
      </c>
      <c r="IL214" t="e">
        <f>Values!AJ:AJ*"'E4!)y@"</f>
        <v>#VALUE!</v>
      </c>
      <c r="IM214" t="e">
        <f>Values!AK:AK*"'E4!)yA"</f>
        <v>#VALUE!</v>
      </c>
      <c r="IN214" t="e">
        <f>Values!AL:AL*"'E4!)yB"</f>
        <v>#VALUE!</v>
      </c>
      <c r="IO214" t="e">
        <f>Values!AM:AM*"'E4!)yC"</f>
        <v>#VALUE!</v>
      </c>
      <c r="IP214" t="e">
        <f>Values!AN:AN*"'E4!)yD"</f>
        <v>#VALUE!</v>
      </c>
      <c r="IQ214" t="e">
        <f>Values!AO:AO*"'E4!)yE"</f>
        <v>#VALUE!</v>
      </c>
      <c r="IR214" t="e">
        <f>Values!AP:AP*"'E4!)yF"</f>
        <v>#VALUE!</v>
      </c>
      <c r="IS214" t="e">
        <f>Values!AQ:AQ*"'E4!)yG"</f>
        <v>#VALUE!</v>
      </c>
      <c r="IT214" t="e">
        <f>Values!AR:AR*"'E4!)yH"</f>
        <v>#VALUE!</v>
      </c>
      <c r="IU214" t="e">
        <f>Values!AS:AS*"'E4!)yI"</f>
        <v>#VALUE!</v>
      </c>
      <c r="IV214" t="e">
        <f>Values!AT:AT*"'E4!)yJ"</f>
        <v>#VALUE!</v>
      </c>
    </row>
    <row r="215" spans="6:256">
      <c r="F215" t="e">
        <f>Values!AU:AU*"'E4!)yK"</f>
        <v>#VALUE!</v>
      </c>
      <c r="G215" t="e">
        <f>Values!AV:AV*"'E4!)yL"</f>
        <v>#VALUE!</v>
      </c>
      <c r="H215" t="e">
        <f>Values!AW:AW*"'E4!)yM"</f>
        <v>#VALUE!</v>
      </c>
      <c r="I215" t="e">
        <f>Values!AX:AX*"'E4!)yN"</f>
        <v>#VALUE!</v>
      </c>
      <c r="J215" t="e">
        <f>Values!AY:AY*"'E4!)yO"</f>
        <v>#VALUE!</v>
      </c>
      <c r="K215" t="e">
        <f>Values!AZ:AZ*"'E4!)yP"</f>
        <v>#VALUE!</v>
      </c>
      <c r="L215" t="e">
        <f>Values!BA:BA*"'E4!)yQ"</f>
        <v>#VALUE!</v>
      </c>
      <c r="M215" t="e">
        <f>Values!BB:BB*"'E4!)yR"</f>
        <v>#VALUE!</v>
      </c>
      <c r="N215" t="e">
        <f>Values!BC:BC*"'E4!)yS"</f>
        <v>#VALUE!</v>
      </c>
      <c r="O215" t="e">
        <f>Values!BD:BD*"'E4!)yT"</f>
        <v>#VALUE!</v>
      </c>
      <c r="P215" t="e">
        <f>Values!BE:BE*"'E4!)yU"</f>
        <v>#VALUE!</v>
      </c>
      <c r="Q215" t="e">
        <f>Values!BF:BF*"'E4!)yV"</f>
        <v>#VALUE!</v>
      </c>
      <c r="R215" t="e">
        <f>Values!BG:BG*"'E4!)yW"</f>
        <v>#VALUE!</v>
      </c>
      <c r="S215" t="e">
        <f>Values!BH:BH*"'E4!)yX"</f>
        <v>#VALUE!</v>
      </c>
      <c r="T215" t="e">
        <f>Values!BI:BI*"'E4!)yY"</f>
        <v>#VALUE!</v>
      </c>
      <c r="U215" t="e">
        <f>Values!BJ:BJ*"'E4!)yZ"</f>
        <v>#VALUE!</v>
      </c>
      <c r="V215" t="e">
        <f>Values!BK:BK*"'E4!)y["</f>
        <v>#VALUE!</v>
      </c>
      <c r="W215" t="e">
        <f>Values!BL:BL*"'E4!)y\"</f>
        <v>#VALUE!</v>
      </c>
      <c r="X215" t="e">
        <f>Values!BM:BM*"'E4!)y]"</f>
        <v>#VALUE!</v>
      </c>
      <c r="Y215" t="e">
        <f>Values!BN:BN*"'E4!)y^"</f>
        <v>#VALUE!</v>
      </c>
      <c r="Z215" t="e">
        <f>Values!BO:BO*"'E4!)y_"</f>
        <v>#VALUE!</v>
      </c>
      <c r="AA215" t="e">
        <f>Values!BP:BP*"'E4!)y`"</f>
        <v>#VALUE!</v>
      </c>
      <c r="AB215" t="e">
        <f>Values!BQ:BQ*"'E4!)ya"</f>
        <v>#VALUE!</v>
      </c>
      <c r="AC215" t="e">
        <f>Values!BR:BR*"'E4!)yb"</f>
        <v>#VALUE!</v>
      </c>
      <c r="AD215" t="e">
        <f>Values!BS:BS*"'E4!)yc"</f>
        <v>#VALUE!</v>
      </c>
      <c r="AE215" t="e">
        <f>Values!BT:BT*"'E4!)yd"</f>
        <v>#VALUE!</v>
      </c>
      <c r="AF215" t="e">
        <f>Values!BU:BU*"'E4!)ye"</f>
        <v>#VALUE!</v>
      </c>
      <c r="AG215" t="e">
        <f>Values!1:1-"'E4!)yf"</f>
        <v>#VALUE!</v>
      </c>
      <c r="AH215" t="e">
        <f>Values!2:2-"'E4!)yg"</f>
        <v>#VALUE!</v>
      </c>
      <c r="AI215" t="e">
        <f>Values!3:3-"'E4!)yh"</f>
        <v>#VALUE!</v>
      </c>
      <c r="AJ215" t="e">
        <f>Values!4:4-"'E4!)yi"</f>
        <v>#VALUE!</v>
      </c>
      <c r="AK215" t="e">
        <f>Values!5:5-"'E4!)yj"</f>
        <v>#VALUE!</v>
      </c>
      <c r="AL215" t="e">
        <f>Values!6:6-"'E4!)yk"</f>
        <v>#VALUE!</v>
      </c>
      <c r="AM215" t="e">
        <f>Values!7:7-"'E4!)yl"</f>
        <v>#VALUE!</v>
      </c>
      <c r="AN215" t="e">
        <f>Values!8:8-"'E4!)ym"</f>
        <v>#VALUE!</v>
      </c>
      <c r="AO215" t="e">
        <f>Values!9:9-"'E4!)yn"</f>
        <v>#VALUE!</v>
      </c>
      <c r="AP215" t="e">
        <f>Values!10:10-"'E4!)yo"</f>
        <v>#VALUE!</v>
      </c>
      <c r="AQ215" t="e">
        <f>Values!11:11-"'E4!)yp"</f>
        <v>#VALUE!</v>
      </c>
      <c r="AR215" t="e">
        <f>Values!12:12-"'E4!)yq"</f>
        <v>#VALUE!</v>
      </c>
      <c r="AS215" t="e">
        <f>Values!13:13-"'E4!)yr"</f>
        <v>#VALUE!</v>
      </c>
      <c r="AT215" t="e">
        <f>Values!14:14-"'E4!)ys"</f>
        <v>#VALUE!</v>
      </c>
      <c r="AU215" t="e">
        <f>Values!15:15-"'E4!)yt"</f>
        <v>#VALUE!</v>
      </c>
      <c r="AV215" t="e">
        <f>Values!16:16-"'E4!)yu"</f>
        <v>#VALUE!</v>
      </c>
      <c r="AW215" t="e">
        <f>Values!17:17-"'E4!)yv"</f>
        <v>#VALUE!</v>
      </c>
      <c r="AX215" t="e">
        <f>Values!18:18-"'E4!)yw"</f>
        <v>#VALUE!</v>
      </c>
      <c r="AY215" t="e">
        <f>Values!19:19-"'E4!)yx"</f>
        <v>#VALUE!</v>
      </c>
      <c r="AZ215" t="e">
        <f>Values!20:20-"'E4!)yy"</f>
        <v>#VALUE!</v>
      </c>
      <c r="BA215" t="e">
        <f>Values!21:21-"'E4!)yz"</f>
        <v>#VALUE!</v>
      </c>
      <c r="BB215" t="e">
        <f>Values!22:22-"'E4!)y{"</f>
        <v>#VALUE!</v>
      </c>
      <c r="BC215" t="e">
        <f>Values!23:23-"'E4!)y|"</f>
        <v>#VALUE!</v>
      </c>
      <c r="BD215" t="e">
        <f>Values!24:24-"'E4!)y}"</f>
        <v>#VALUE!</v>
      </c>
      <c r="BE215" t="e">
        <f>Values!25:25-"'E4!)y~"</f>
        <v>#VALUE!</v>
      </c>
      <c r="BF215" t="e">
        <f>Values!26:26-"'E4!)z#"</f>
        <v>#VALUE!</v>
      </c>
      <c r="BG215" t="e">
        <f>Values!27:27-"'E4!)z$"</f>
        <v>#VALUE!</v>
      </c>
      <c r="BH215" t="e">
        <f>Values!28:28-"'E4!)z%"</f>
        <v>#VALUE!</v>
      </c>
      <c r="BI215" t="e">
        <f>Values!29:29-"'E4!)z&amp;"</f>
        <v>#VALUE!</v>
      </c>
      <c r="BJ215" t="e">
        <f>Values!30:30-"'E4!)z'"</f>
        <v>#VALUE!</v>
      </c>
      <c r="BK215" t="e">
        <f>Values!31:31-"'E4!)z("</f>
        <v>#VALUE!</v>
      </c>
      <c r="BL215" t="e">
        <f>Values!32:32-"'E4!)z)"</f>
        <v>#VALUE!</v>
      </c>
      <c r="BM215" t="e">
        <f>Values!33:33-"'E4!)z."</f>
        <v>#VALUE!</v>
      </c>
      <c r="BN215" t="e">
        <f>Values!34:34-"'E4!)z/"</f>
        <v>#VALUE!</v>
      </c>
      <c r="BO215" t="e">
        <f>Values!35:35-"'E4!)z0"</f>
        <v>#VALUE!</v>
      </c>
      <c r="BP215" t="e">
        <f>Values!36:36-"'E4!)z1"</f>
        <v>#VALUE!</v>
      </c>
      <c r="BQ215" t="e">
        <f>Values!37:37-"'E4!)z2"</f>
        <v>#VALUE!</v>
      </c>
      <c r="BR215" t="e">
        <f>Values!38:38-"'E4!)z3"</f>
        <v>#VALUE!</v>
      </c>
      <c r="BS215" t="e">
        <f>Values!39:39-"'E4!)z4"</f>
        <v>#VALUE!</v>
      </c>
      <c r="BT215" t="e">
        <f>Values!40:40-"'E4!)z5"</f>
        <v>#VALUE!</v>
      </c>
      <c r="BU215" t="e">
        <f>Values!41:41-"'E4!)z6"</f>
        <v>#VALUE!</v>
      </c>
      <c r="BV215" t="e">
        <f>Values!42:42-"'E4!)z7"</f>
        <v>#VALUE!</v>
      </c>
      <c r="BW215" t="e">
        <f>Values!43:43-"'E4!)z8"</f>
        <v>#VALUE!</v>
      </c>
      <c r="BX215" t="e">
        <f>Values!44:44-"'E4!)z9"</f>
        <v>#VALUE!</v>
      </c>
      <c r="BY215" t="e">
        <f>Values!45:45-"'E4!)z:"</f>
        <v>#VALUE!</v>
      </c>
      <c r="BZ215" t="e">
        <f>Values!46:46-"'E4!)z;"</f>
        <v>#VALUE!</v>
      </c>
      <c r="CA215" t="e">
        <f>Values!47:47-"'E4!)z&lt;"</f>
        <v>#VALUE!</v>
      </c>
      <c r="CB215" t="e">
        <f>Values!48:48-"'E4!)z="</f>
        <v>#VALUE!</v>
      </c>
      <c r="CC215" t="e">
        <f>Values!49:49-"'E4!)z&gt;"</f>
        <v>#VALUE!</v>
      </c>
      <c r="CD215" t="e">
        <f>Values!50:50-"'E4!)z?"</f>
        <v>#VALUE!</v>
      </c>
      <c r="CE215" t="e">
        <f>Values!51:51-"'E4!)z@"</f>
        <v>#VALUE!</v>
      </c>
      <c r="CF215" t="e">
        <f>Values!52:52-"'E4!)zA"</f>
        <v>#VALUE!</v>
      </c>
      <c r="CG215" t="e">
        <f>Values!53:53-"'E4!)zB"</f>
        <v>#VALUE!</v>
      </c>
      <c r="CH215" t="e">
        <f>Values!54:54-"'E4!)zC"</f>
        <v>#VALUE!</v>
      </c>
      <c r="CI215" t="e">
        <f>Values!55:55-"'E4!)zD"</f>
        <v>#VALUE!</v>
      </c>
      <c r="CJ215" t="e">
        <f>Values!56:56-"'E4!)zE"</f>
        <v>#VALUE!</v>
      </c>
      <c r="CK215" t="e">
        <f>Values!57:57-"'E4!)zF"</f>
        <v>#VALUE!</v>
      </c>
      <c r="CL215" t="e">
        <f>Values!58:58-"'E4!)zG"</f>
        <v>#VALUE!</v>
      </c>
      <c r="CM215" t="e">
        <f>Values!59:59-"'E4!)zH"</f>
        <v>#VALUE!</v>
      </c>
      <c r="CN215" t="e">
        <f>Values!60:60-"'E4!)zI"</f>
        <v>#VALUE!</v>
      </c>
      <c r="CO215" t="e">
        <f>Values!61:61-"'E4!)zJ"</f>
        <v>#VALUE!</v>
      </c>
      <c r="CP215" t="e">
        <f>Values!62:62-"'E4!)zK"</f>
        <v>#VALUE!</v>
      </c>
      <c r="CQ215" t="e">
        <f>Values!63:63-"'E4!)zL"</f>
        <v>#VALUE!</v>
      </c>
      <c r="CR215" t="e">
        <f>Values!64:64-"'E4!)zM"</f>
        <v>#VALUE!</v>
      </c>
      <c r="CS215" t="e">
        <f>Values!65:65-"'E4!)zN"</f>
        <v>#VALUE!</v>
      </c>
      <c r="CT215" t="e">
        <f>Values!66:66-"'E4!)zO"</f>
        <v>#VALUE!</v>
      </c>
      <c r="CU215" t="e">
        <f>Values!67:67-"'E4!)zP"</f>
        <v>#VALUE!</v>
      </c>
      <c r="CV215" t="e">
        <f>Values!68:68-"'E4!)zQ"</f>
        <v>#VALUE!</v>
      </c>
      <c r="CW215" t="e">
        <f>Values!69:69-"'E4!)zR"</f>
        <v>#VALUE!</v>
      </c>
      <c r="CX215" t="e">
        <f>Values!70:70-"'E4!)zS"</f>
        <v>#VALUE!</v>
      </c>
      <c r="CY215" t="e">
        <f>Values!71:71-"'E4!)zT"</f>
        <v>#VALUE!</v>
      </c>
      <c r="CZ215" t="e">
        <f>Values!72:72-"'E4!)zU"</f>
        <v>#VALUE!</v>
      </c>
      <c r="DA215" t="e">
        <f>Values!73:73-"'E4!)zV"</f>
        <v>#VALUE!</v>
      </c>
      <c r="DB215" t="e">
        <f>Values!74:74-"'E4!)zW"</f>
        <v>#VALUE!</v>
      </c>
      <c r="DC215" t="e">
        <f>Values!75:75-"'E4!)zX"</f>
        <v>#VALUE!</v>
      </c>
      <c r="DD215" t="e">
        <f>Values!76:76-"'E4!)zY"</f>
        <v>#VALUE!</v>
      </c>
      <c r="DE215" t="e">
        <f>Values!77:77-"'E4!)zZ"</f>
        <v>#VALUE!</v>
      </c>
      <c r="DF215" t="e">
        <f>Values!78:78-"'E4!)z["</f>
        <v>#VALUE!</v>
      </c>
      <c r="DG215" t="e">
        <f>Values!79:79-"'E4!)z\"</f>
        <v>#VALUE!</v>
      </c>
      <c r="DH215" t="e">
        <f>Values!80:80-"'E4!)z]"</f>
        <v>#VALUE!</v>
      </c>
      <c r="DI215" t="e">
        <f>Values!81:81-"'E4!)z^"</f>
        <v>#VALUE!</v>
      </c>
      <c r="DJ215" t="e">
        <f>Values!82:82-"'E4!)z_"</f>
        <v>#VALUE!</v>
      </c>
      <c r="DK215" t="e">
        <f>Values!83:83-"'E4!)z`"</f>
        <v>#VALUE!</v>
      </c>
      <c r="DL215" t="e">
        <f>Values!84:84-"'E4!)za"</f>
        <v>#VALUE!</v>
      </c>
      <c r="DM215" t="e">
        <f>Values!85:85-"'E4!)zb"</f>
        <v>#VALUE!</v>
      </c>
      <c r="DN215" t="e">
        <f>Values!86:86-"'E4!)zc"</f>
        <v>#VALUE!</v>
      </c>
      <c r="DO215" t="e">
        <f>Values!87:87-"'E4!)zd"</f>
        <v>#VALUE!</v>
      </c>
      <c r="DP215" t="e">
        <f>Values!88:88-"'E4!)ze"</f>
        <v>#VALUE!</v>
      </c>
      <c r="DQ215" t="e">
        <f>Values!89:89-"'E4!)zf"</f>
        <v>#VALUE!</v>
      </c>
      <c r="DR215" t="e">
        <f>Values!90:90-"'E4!)zg"</f>
        <v>#VALUE!</v>
      </c>
      <c r="DS215" t="e">
        <f>Values!91:91-"'E4!)zh"</f>
        <v>#VALUE!</v>
      </c>
      <c r="DT215" t="e">
        <f>Values!92:92-"'E4!)zi"</f>
        <v>#VALUE!</v>
      </c>
      <c r="DU215" t="e">
        <f>Values!93:93-"'E4!)zj"</f>
        <v>#VALUE!</v>
      </c>
      <c r="DV215" t="e">
        <f>Values!94:94-"'E4!)zk"</f>
        <v>#VALUE!</v>
      </c>
      <c r="DW215" t="e">
        <f>Values!95:95-"'E4!)zl"</f>
        <v>#VALUE!</v>
      </c>
      <c r="DX215" t="e">
        <f>Values!96:96-"'E4!)zm"</f>
        <v>#VALUE!</v>
      </c>
      <c r="DY215" t="e">
        <f>Values!97:97-"'E4!)zn"</f>
        <v>#VALUE!</v>
      </c>
      <c r="DZ215" t="e">
        <f>Values!98:98-"'E4!)zo"</f>
        <v>#VALUE!</v>
      </c>
      <c r="EA215" t="e">
        <f>Values!99:99-"'E4!)zp"</f>
        <v>#VALUE!</v>
      </c>
      <c r="EB215" t="e">
        <f>Values!100:100-"'E4!)zq"</f>
        <v>#VALUE!</v>
      </c>
      <c r="EC215" t="e">
        <f>Values!101:101-"'E4!)zr"</f>
        <v>#VALUE!</v>
      </c>
      <c r="ED215" t="e">
        <f>Values!102:102-"'E4!)zs"</f>
        <v>#VALUE!</v>
      </c>
      <c r="EE215" t="e">
        <f>Values!103:103-"'E4!)zt"</f>
        <v>#VALUE!</v>
      </c>
      <c r="EF215" t="e">
        <f>Values!104:104-"'E4!)zu"</f>
        <v>#VALUE!</v>
      </c>
      <c r="EG215" t="e">
        <f>Values!105:105-"'E4!)zv"</f>
        <v>#VALUE!</v>
      </c>
      <c r="EH215" t="e">
        <f>Values!106:106-"'E4!)zw"</f>
        <v>#VALUE!</v>
      </c>
      <c r="EI215" t="e">
        <f>Values!107:107-"'E4!)zx"</f>
        <v>#VALUE!</v>
      </c>
      <c r="EJ215" t="e">
        <f>Values!108:108-"'E4!)zy"</f>
        <v>#VALUE!</v>
      </c>
      <c r="EK215" t="e">
        <f>Values!109:109-"'E4!)zz"</f>
        <v>#VALUE!</v>
      </c>
      <c r="EL215" t="e">
        <f>Values!110:110-"'E4!)z{"</f>
        <v>#VALUE!</v>
      </c>
      <c r="EM215" t="e">
        <f>Values!111:111-"'E4!)z|"</f>
        <v>#VALUE!</v>
      </c>
      <c r="EN215" t="e">
        <f>Values!112:112-"'E4!)z}"</f>
        <v>#VALUE!</v>
      </c>
      <c r="EO215" t="e">
        <f>Values!113:113-"'E4!)z~"</f>
        <v>#VALUE!</v>
      </c>
      <c r="EP215" t="e">
        <f>Values!114:114-"'E4!){#"</f>
        <v>#VALUE!</v>
      </c>
      <c r="EQ215" t="e">
        <f>Values!115:115-"'E4!){$"</f>
        <v>#VALUE!</v>
      </c>
      <c r="ER215" t="e">
        <f>Values!116:116-"'E4!){%"</f>
        <v>#VALUE!</v>
      </c>
      <c r="ES215" t="e">
        <f>Values!117:117-"'E4!){&amp;"</f>
        <v>#VALUE!</v>
      </c>
      <c r="ET215" t="e">
        <f>Values!118:118-"'E4!){'"</f>
        <v>#VALUE!</v>
      </c>
      <c r="EU215" t="e">
        <f>Values!119:119-"'E4!){("</f>
        <v>#VALUE!</v>
      </c>
      <c r="EV215" t="e">
        <f>Values!120:120-"'E4!){)"</f>
        <v>#VALUE!</v>
      </c>
      <c r="EW215" t="e">
        <f>Values!121:121-"'E4!){."</f>
        <v>#VALUE!</v>
      </c>
      <c r="EX215" t="e">
        <f>Values!122:122-"'E4!){/"</f>
        <v>#VALUE!</v>
      </c>
      <c r="EY215" t="e">
        <f>Values!123:123-"'E4!){0"</f>
        <v>#VALUE!</v>
      </c>
      <c r="EZ215" t="e">
        <f>Values!124:124-"'E4!){1"</f>
        <v>#VALUE!</v>
      </c>
      <c r="FA215" t="e">
        <f>Values!125:125-"'E4!){2"</f>
        <v>#VALUE!</v>
      </c>
      <c r="FB215" t="e">
        <f>Values!126:126-"'E4!){3"</f>
        <v>#VALUE!</v>
      </c>
      <c r="FC215" t="e">
        <f>Values!127:127-"'E4!){4"</f>
        <v>#VALUE!</v>
      </c>
      <c r="FD215" t="e">
        <f>Values!128:128-"'E4!){5"</f>
        <v>#VALUE!</v>
      </c>
      <c r="FE215" t="e">
        <f>Values!129:129-"'E4!){6"</f>
        <v>#VALUE!</v>
      </c>
      <c r="FF215" t="e">
        <f>Values!130:130-"'E4!){7"</f>
        <v>#VALUE!</v>
      </c>
      <c r="FG215" t="e">
        <f>Values!131:131-"'E4!){8"</f>
        <v>#VALUE!</v>
      </c>
      <c r="FH215" t="e">
        <f>Values!132:132-"'E4!){9"</f>
        <v>#VALUE!</v>
      </c>
      <c r="FI215" t="e">
        <f>Values!133:133-"'E4!){:"</f>
        <v>#VALUE!</v>
      </c>
      <c r="FJ215" t="e">
        <f>Values!134:134-"'E4!){;"</f>
        <v>#VALUE!</v>
      </c>
      <c r="FK215" t="e">
        <f>Values!135:135-"'E4!){&lt;"</f>
        <v>#VALUE!</v>
      </c>
      <c r="FL215" t="e">
        <f>Values!136:136-"'E4!){="</f>
        <v>#VALUE!</v>
      </c>
      <c r="FM215" t="e">
        <f>Values!137:137-"'E4!){&gt;"</f>
        <v>#VALUE!</v>
      </c>
      <c r="FN215" t="e">
        <f>Values!138:138-"'E4!){?"</f>
        <v>#VALUE!</v>
      </c>
      <c r="FO215" t="e">
        <f>Values!139:139-"'E4!){@"</f>
        <v>#VALUE!</v>
      </c>
      <c r="FP215" t="e">
        <f>Values!140:140-"'E4!){A"</f>
        <v>#VALUE!</v>
      </c>
      <c r="FQ215" t="e">
        <f>Values!141:141-"'E4!){B"</f>
        <v>#VALUE!</v>
      </c>
      <c r="FR215" t="e">
        <f>Values!142:142-"'E4!){C"</f>
        <v>#VALUE!</v>
      </c>
      <c r="FS215" t="e">
        <f>Values!143:143-"'E4!){D"</f>
        <v>#VALUE!</v>
      </c>
      <c r="FT215" t="e">
        <f>Values!144:144-"'E4!){E"</f>
        <v>#VALUE!</v>
      </c>
      <c r="FU215" t="e">
        <f>Values!145:145-"'E4!){F"</f>
        <v>#VALUE!</v>
      </c>
      <c r="FV215" t="e">
        <f>Values!146:146-"'E4!){G"</f>
        <v>#VALUE!</v>
      </c>
      <c r="FW215" t="e">
        <f>Values!147:147-"'E4!){H"</f>
        <v>#VALUE!</v>
      </c>
      <c r="FX215" t="e">
        <f>Values!148:148-"'E4!){I"</f>
        <v>#VALUE!</v>
      </c>
      <c r="FY215" t="e">
        <f>Values!149:149-"'E4!){J"</f>
        <v>#VALUE!</v>
      </c>
      <c r="FZ215" t="e">
        <f>Values!150:150-"'E4!){K"</f>
        <v>#VALUE!</v>
      </c>
      <c r="GA215" t="e">
        <f>Values!151:151-"'E4!){L"</f>
        <v>#VALUE!</v>
      </c>
      <c r="GB215" t="e">
        <f>Values!152:152-"'E4!){M"</f>
        <v>#VALUE!</v>
      </c>
      <c r="GC215" t="e">
        <f>Values!153:153-"'E4!){N"</f>
        <v>#VALUE!</v>
      </c>
      <c r="GD215" t="e">
        <f>Values!154:154-"'E4!){O"</f>
        <v>#VALUE!</v>
      </c>
      <c r="GE215" t="e">
        <f>Values!155:155-"'E4!){P"</f>
        <v>#VALUE!</v>
      </c>
      <c r="GF215" t="e">
        <f>Values!156:156-"'E4!){Q"</f>
        <v>#VALUE!</v>
      </c>
      <c r="GG215" t="e">
        <f>Values!157:157-"'E4!){R"</f>
        <v>#VALUE!</v>
      </c>
      <c r="GH215" t="e">
        <f>Values!158:158-"'E4!){S"</f>
        <v>#VALUE!</v>
      </c>
      <c r="GI215" t="e">
        <f>Values!159:159-"'E4!){T"</f>
        <v>#VALUE!</v>
      </c>
      <c r="GJ215" t="e">
        <f>Values!160:160-"'E4!){U"</f>
        <v>#VALUE!</v>
      </c>
      <c r="GK215" t="e">
        <f>Values!161:161-"'E4!){V"</f>
        <v>#VALUE!</v>
      </c>
      <c r="GL215" t="e">
        <f>Values!162:162-"'E4!){W"</f>
        <v>#VALUE!</v>
      </c>
      <c r="GM215" t="e">
        <f>Values!163:163-"'E4!){X"</f>
        <v>#VALUE!</v>
      </c>
      <c r="GN215" t="e">
        <f>Values!164:164-"'E4!){Y"</f>
        <v>#VALUE!</v>
      </c>
      <c r="GO215" t="e">
        <f>Values!165:165-"'E4!){Z"</f>
        <v>#VALUE!</v>
      </c>
      <c r="GP215" t="e">
        <f>Values!166:166-"'E4!){["</f>
        <v>#VALUE!</v>
      </c>
      <c r="GQ215" t="e">
        <f>Values!167:167-"'E4!){\"</f>
        <v>#VALUE!</v>
      </c>
      <c r="GR215" t="e">
        <f>Values!168:168-"'E4!){]"</f>
        <v>#VALUE!</v>
      </c>
      <c r="GS215" t="e">
        <f>Values!169:169-"'E4!){^"</f>
        <v>#VALUE!</v>
      </c>
      <c r="GT215" t="e">
        <f>Values!170:170-"'E4!){_"</f>
        <v>#VALUE!</v>
      </c>
      <c r="GU215" t="e">
        <f>Values!171:171-"'E4!){`"</f>
        <v>#VALUE!</v>
      </c>
      <c r="GV215" t="e">
        <f>Values!172:172-"'E4!){a"</f>
        <v>#VALUE!</v>
      </c>
      <c r="GW215" t="e">
        <f>Values!173:173-"'E4!){b"</f>
        <v>#VALUE!</v>
      </c>
      <c r="GX215" t="e">
        <f>Values!174:174-"'E4!){c"</f>
        <v>#VALUE!</v>
      </c>
      <c r="GY215" t="e">
        <f>Values!175:175-"'E4!){d"</f>
        <v>#VALUE!</v>
      </c>
      <c r="GZ215" t="e">
        <f>Values!176:176-"'E4!){e"</f>
        <v>#VALUE!</v>
      </c>
      <c r="HA215" t="e">
        <f>Values!177:177-"'E4!){f"</f>
        <v>#VALUE!</v>
      </c>
      <c r="HB215" t="e">
        <f>Values!178:178-"'E4!){g"</f>
        <v>#VALUE!</v>
      </c>
      <c r="HC215" t="e">
        <f>Values!179:179-"'E4!){h"</f>
        <v>#VALUE!</v>
      </c>
      <c r="HD215" t="e">
        <f>Values!180:180-"'E4!){i"</f>
        <v>#VALUE!</v>
      </c>
      <c r="HE215" t="e">
        <f>Values!181:181-"'E4!){j"</f>
        <v>#VALUE!</v>
      </c>
      <c r="HF215" t="e">
        <f>Values!182:182-"'E4!){k"</f>
        <v>#VALUE!</v>
      </c>
      <c r="HG215" t="e">
        <f>Values!183:183-"'E4!){l"</f>
        <v>#VALUE!</v>
      </c>
      <c r="HH215" t="e">
        <f>Values!184:184-"'E4!){m"</f>
        <v>#VALUE!</v>
      </c>
      <c r="HI215" t="e">
        <f>Values!185:185-"'E4!){n"</f>
        <v>#VALUE!</v>
      </c>
      <c r="HJ215" t="e">
        <f>Values!186:186-"'E4!){o"</f>
        <v>#VALUE!</v>
      </c>
      <c r="HK215" t="e">
        <f>Values!187:187-"'E4!){p"</f>
        <v>#VALUE!</v>
      </c>
      <c r="HL215" t="e">
        <f>Values!188:188-"'E4!){q"</f>
        <v>#VALUE!</v>
      </c>
      <c r="HM215" t="e">
        <f>Values!189:189-"'E4!){r"</f>
        <v>#VALUE!</v>
      </c>
      <c r="HN215" t="e">
        <f>Values!190:190-"'E4!){s"</f>
        <v>#VALUE!</v>
      </c>
      <c r="HO215" t="e">
        <f>Values!191:191-"'E4!){t"</f>
        <v>#VALUE!</v>
      </c>
      <c r="HP215" t="e">
        <f>Values!192:192-"'E4!){u"</f>
        <v>#VALUE!</v>
      </c>
      <c r="HQ215" t="e">
        <f>Values!193:193-"'E4!){v"</f>
        <v>#VALUE!</v>
      </c>
      <c r="HR215" t="e">
        <f>Values!194:194-"'E4!){w"</f>
        <v>#VALUE!</v>
      </c>
      <c r="HS215" t="e">
        <f>Values!195:195-"'E4!){x"</f>
        <v>#VALUE!</v>
      </c>
      <c r="HT215" t="e">
        <f>Values!196:196-"'E4!){y"</f>
        <v>#VALUE!</v>
      </c>
      <c r="HU215" t="e">
        <f>Values!197:197-"'E4!){z"</f>
        <v>#VALUE!</v>
      </c>
      <c r="HV215" t="e">
        <f>Values!198:198-"'E4!){{"</f>
        <v>#VALUE!</v>
      </c>
      <c r="HW215" t="e">
        <f>Values!199:199-"'E4!){|"</f>
        <v>#VALUE!</v>
      </c>
      <c r="HX215" t="e">
        <f>Values!200:200-"'E4!){}"</f>
        <v>#VALUE!</v>
      </c>
      <c r="HY215" t="e">
        <f>Values!201:201-"'E4!){~"</f>
        <v>#VALUE!</v>
      </c>
      <c r="HZ215" t="e">
        <f>Values!202:202-"'E4!)|#"</f>
        <v>#VALUE!</v>
      </c>
      <c r="IA215" t="e">
        <f>Values!203:203-"'E4!)|$"</f>
        <v>#VALUE!</v>
      </c>
      <c r="IB215" t="e">
        <f>Values!204:204-"'E4!)|%"</f>
        <v>#VALUE!</v>
      </c>
      <c r="IC215" t="e">
        <f>Values!205:205-"'E4!)|&amp;"</f>
        <v>#VALUE!</v>
      </c>
      <c r="ID215" t="e">
        <f>Values!206:206-"'E4!)|'"</f>
        <v>#VALUE!</v>
      </c>
      <c r="IE215" t="e">
        <f>Values!207:207-"'E4!)|("</f>
        <v>#VALUE!</v>
      </c>
      <c r="IF215" t="e">
        <f>Values!208:208-"'E4!)|)"</f>
        <v>#VALUE!</v>
      </c>
      <c r="IG215" t="e">
        <f>Values!209:209-"'E4!)|."</f>
        <v>#VALUE!</v>
      </c>
      <c r="IH215" t="e">
        <f>Values!210:210-"'E4!)|/"</f>
        <v>#VALUE!</v>
      </c>
      <c r="II215" t="e">
        <f>Values!211:211-"'E4!)|0"</f>
        <v>#VALUE!</v>
      </c>
      <c r="IJ215" t="e">
        <f>Values!212:212-"'E4!)|1"</f>
        <v>#VALUE!</v>
      </c>
      <c r="IK215" t="e">
        <f>Values!213:213-"'E4!)|2"</f>
        <v>#VALUE!</v>
      </c>
      <c r="IL215" t="e">
        <f>Values!214:214-"'E4!)|3"</f>
        <v>#VALUE!</v>
      </c>
      <c r="IM215" t="e">
        <f>Values!215:215-"'E4!)|4"</f>
        <v>#VALUE!</v>
      </c>
      <c r="IN215" t="e">
        <f>Values!216:216-"'E4!)|5"</f>
        <v>#VALUE!</v>
      </c>
      <c r="IO215" t="e">
        <f>Values!217:217-"'E4!)|6"</f>
        <v>#VALUE!</v>
      </c>
      <c r="IP215" t="e">
        <f>Values!A4+"'E4!)|7"</f>
        <v>#VALUE!</v>
      </c>
      <c r="IQ215" t="e">
        <f>Values!C4+"'E4!)|8"</f>
        <v>#VALUE!</v>
      </c>
      <c r="IR215" t="e">
        <f>Values!E4+"'E4!)|9"</f>
        <v>#VALUE!</v>
      </c>
      <c r="IS215" t="e">
        <f>Values!G4+"'E4!)|:"</f>
        <v>#VALUE!</v>
      </c>
      <c r="IT215" t="e">
        <f>Values!I4+"'E4!)|;"</f>
        <v>#VALUE!</v>
      </c>
      <c r="IU215" t="e">
        <f>Values!K4+"'E4!)|&lt;"</f>
        <v>#VALUE!</v>
      </c>
      <c r="IV215" t="e">
        <f>Values!M4+"'E4!)|="</f>
        <v>#VALUE!</v>
      </c>
    </row>
    <row r="216" spans="6:256">
      <c r="F216" t="e">
        <f>Values!O4+"'E4!)|&gt;"</f>
        <v>#VALUE!</v>
      </c>
      <c r="G216" t="e">
        <f>Values!Q4+"'E4!)|?"</f>
        <v>#VALUE!</v>
      </c>
      <c r="H216" t="e">
        <f>Values!S4+"'E4!)|@"</f>
        <v>#VALUE!</v>
      </c>
      <c r="I216" t="e">
        <f>Values!U4+"'E4!)|A"</f>
        <v>#VALUE!</v>
      </c>
      <c r="J216" t="e">
        <f>Values!W4+"'E4!)|B"</f>
        <v>#VALUE!</v>
      </c>
      <c r="K216" t="e">
        <f>Values!A5+"'E4!)|C"</f>
        <v>#VALUE!</v>
      </c>
      <c r="L216" t="e">
        <f>Values!C5+"'E4!)|D"</f>
        <v>#VALUE!</v>
      </c>
      <c r="M216" t="e">
        <f>Values!E5+"'E4!)|E"</f>
        <v>#VALUE!</v>
      </c>
      <c r="N216" t="e">
        <f>Values!G5+"'E4!)|F"</f>
        <v>#VALUE!</v>
      </c>
      <c r="O216" t="e">
        <f>Values!I5+"'E4!)|G"</f>
        <v>#VALUE!</v>
      </c>
      <c r="P216" t="e">
        <f>Values!K5+"'E4!)|H"</f>
        <v>#VALUE!</v>
      </c>
      <c r="Q216" t="e">
        <f>Values!M5+"'E4!)|I"</f>
        <v>#VALUE!</v>
      </c>
      <c r="R216" t="e">
        <f>Values!O5+"'E4!)|J"</f>
        <v>#VALUE!</v>
      </c>
      <c r="S216" t="e">
        <f>Values!Q5+"'E4!)|K"</f>
        <v>#VALUE!</v>
      </c>
      <c r="T216" t="e">
        <f>Values!S5+"'E4!)|L"</f>
        <v>#VALUE!</v>
      </c>
      <c r="U216" t="e">
        <f>Values!U5+"'E4!)|M"</f>
        <v>#VALUE!</v>
      </c>
      <c r="V216" t="e">
        <f>Values!W5+"'E4!)|N"</f>
        <v>#VALUE!</v>
      </c>
      <c r="W216" t="e">
        <f>Values!A6+"'E4!)|O"</f>
        <v>#VALUE!</v>
      </c>
      <c r="X216" t="e">
        <f>Values!C6+"'E4!)|P"</f>
        <v>#VALUE!</v>
      </c>
      <c r="Y216" t="e">
        <f>Values!E6+"'E4!)|Q"</f>
        <v>#VALUE!</v>
      </c>
      <c r="Z216" t="e">
        <f>Values!G6+"'E4!)|R"</f>
        <v>#VALUE!</v>
      </c>
      <c r="AA216" t="e">
        <f>Values!I6+"'E4!)|S"</f>
        <v>#VALUE!</v>
      </c>
      <c r="AB216" t="e">
        <f>Values!K6+"'E4!)|T"</f>
        <v>#VALUE!</v>
      </c>
      <c r="AC216" t="e">
        <f>Values!M6+"'E4!)|U"</f>
        <v>#VALUE!</v>
      </c>
      <c r="AD216" t="e">
        <f>Values!O6+"'E4!)|V"</f>
        <v>#VALUE!</v>
      </c>
      <c r="AE216" t="e">
        <f>Values!Q6+"'E4!)|W"</f>
        <v>#VALUE!</v>
      </c>
      <c r="AF216" t="e">
        <f>Values!S6+"'E4!)|X"</f>
        <v>#VALUE!</v>
      </c>
      <c r="AG216" t="e">
        <f>Values!U6+"'E4!)|Y"</f>
        <v>#VALUE!</v>
      </c>
      <c r="AH216" t="e">
        <f>Values!W6+"'E4!)|Z"</f>
        <v>#VALUE!</v>
      </c>
      <c r="AI216" t="e">
        <f>Values!A7+"'E4!)|["</f>
        <v>#VALUE!</v>
      </c>
      <c r="AJ216" t="e">
        <f>Values!C7+"'E4!)|\"</f>
        <v>#VALUE!</v>
      </c>
      <c r="AK216" t="e">
        <f>Values!E7+"'E4!)|]"</f>
        <v>#VALUE!</v>
      </c>
      <c r="AL216" t="e">
        <f>Values!G7+"'E4!)|^"</f>
        <v>#VALUE!</v>
      </c>
      <c r="AM216" t="e">
        <f>Values!I7+"'E4!)|_"</f>
        <v>#VALUE!</v>
      </c>
      <c r="AN216" t="e">
        <f>Values!K7+"'E4!)|`"</f>
        <v>#VALUE!</v>
      </c>
      <c r="AO216" t="e">
        <f>Values!M7+"'E4!)|a"</f>
        <v>#VALUE!</v>
      </c>
      <c r="AP216" t="e">
        <f>Values!O7+"'E4!)|b"</f>
        <v>#VALUE!</v>
      </c>
      <c r="AQ216" t="e">
        <f>Values!Q7+"'E4!)|c"</f>
        <v>#VALUE!</v>
      </c>
      <c r="AR216" t="e">
        <f>Values!S7+"'E4!)|d"</f>
        <v>#VALUE!</v>
      </c>
      <c r="AS216" t="e">
        <f>Values!U7+"'E4!)|e"</f>
        <v>#VALUE!</v>
      </c>
      <c r="AT216" t="e">
        <f>Values!W7+"'E4!)|f"</f>
        <v>#VALUE!</v>
      </c>
      <c r="AU216" t="e">
        <f>Values!A8+"'E4!)|g"</f>
        <v>#VALUE!</v>
      </c>
      <c r="AV216" t="e">
        <f>Values!C8+"'E4!)|h"</f>
        <v>#VALUE!</v>
      </c>
      <c r="AW216" t="e">
        <f>Values!E8+"'E4!)|i"</f>
        <v>#VALUE!</v>
      </c>
      <c r="AX216" t="e">
        <f>Values!G8+"'E4!)|j"</f>
        <v>#VALUE!</v>
      </c>
      <c r="AY216" t="e">
        <f>Values!I8+"'E4!)|k"</f>
        <v>#VALUE!</v>
      </c>
      <c r="AZ216" t="e">
        <f>Values!K8+"'E4!)|l"</f>
        <v>#VALUE!</v>
      </c>
      <c r="BA216" t="e">
        <f>Values!M8+"'E4!)|m"</f>
        <v>#VALUE!</v>
      </c>
      <c r="BB216" t="e">
        <f>Values!O8+"'E4!)|n"</f>
        <v>#VALUE!</v>
      </c>
      <c r="BC216" t="e">
        <f>Values!Q8+"'E4!)|o"</f>
        <v>#VALUE!</v>
      </c>
      <c r="BD216" t="e">
        <f>Values!S8+"'E4!)|p"</f>
        <v>#VALUE!</v>
      </c>
      <c r="BE216" t="e">
        <f>Values!C9+"'E4!)|q"</f>
        <v>#VALUE!</v>
      </c>
      <c r="BF216" t="e">
        <f>Values!E9+"'E4!)|r"</f>
        <v>#VALUE!</v>
      </c>
      <c r="BG216" t="e">
        <f>Values!G9+"'E4!)|s"</f>
        <v>#VALUE!</v>
      </c>
      <c r="BH216" t="e">
        <f>Values!I9+"'E4!)|t"</f>
        <v>#VALUE!</v>
      </c>
      <c r="BI216" t="e">
        <f>Values!M9+"'E4!)|u"</f>
        <v>#VALUE!</v>
      </c>
      <c r="BJ216" t="e">
        <f>Values!O9+"'E4!)|v"</f>
        <v>#VALUE!</v>
      </c>
      <c r="BK216" t="e">
        <f>Values!Q9+"'E4!)|w"</f>
        <v>#VALUE!</v>
      </c>
      <c r="BL216" t="e">
        <f>Values!S9+"'E4!)|x"</f>
        <v>#VALUE!</v>
      </c>
      <c r="BM216" t="e">
        <f>Values!C10+"'E4!)|y"</f>
        <v>#VALUE!</v>
      </c>
      <c r="BN216" t="e">
        <f>Values!E10+"'E4!)|z"</f>
        <v>#VALUE!</v>
      </c>
      <c r="BO216" t="e">
        <f>Values!G10+"'E4!)|{"</f>
        <v>#VALUE!</v>
      </c>
      <c r="BP216" t="e">
        <f>Values!M10+"'E4!)||"</f>
        <v>#VALUE!</v>
      </c>
      <c r="BQ216" t="e">
        <f>Values!O10+"'E4!)|}"</f>
        <v>#VALUE!</v>
      </c>
      <c r="BR216" t="e">
        <f>Values!Q10+"'E4!)|~"</f>
        <v>#VALUE!</v>
      </c>
      <c r="BS216" t="e">
        <f>Values!S10+"'E4!)}#"</f>
        <v>#VALUE!</v>
      </c>
      <c r="BT216" t="e">
        <f>Values!C11+"'E4!)}$"</f>
        <v>#VALUE!</v>
      </c>
      <c r="BU216" t="e">
        <f>Values!E11+"'E4!)}%"</f>
        <v>#VALUE!</v>
      </c>
      <c r="BV216" t="e">
        <f>Values!M11+"'E4!)}&amp;"</f>
        <v>#VALUE!</v>
      </c>
      <c r="BW216" t="e">
        <f>Values!O11+"'E4!)}'"</f>
        <v>#VALUE!</v>
      </c>
      <c r="BX216" t="e">
        <f>Values!Q11+"'E4!)}("</f>
        <v>#VALUE!</v>
      </c>
      <c r="BY216" t="e">
        <f>Values!S11+"'E4!)})"</f>
        <v>#VALUE!</v>
      </c>
      <c r="BZ216" t="e">
        <f>Values!C12+"'E4!)}."</f>
        <v>#VALUE!</v>
      </c>
      <c r="CA216" t="e">
        <f>Values!E12+"'E4!)}/"</f>
        <v>#VALUE!</v>
      </c>
      <c r="CB216" t="e">
        <f>Values!M12+"'E4!)}0"</f>
        <v>#VALUE!</v>
      </c>
      <c r="CC216" t="e">
        <f>Values!O12+"'E4!)}1"</f>
        <v>#VALUE!</v>
      </c>
      <c r="CD216" t="e">
        <f>Values!Q12+"'E4!)}2"</f>
        <v>#VALUE!</v>
      </c>
      <c r="CE216" t="e">
        <f>Values!S12+"'E4!)}3"</f>
        <v>#VALUE!</v>
      </c>
      <c r="CF216" t="e">
        <f>Values!E13+"'E4!)}4"</f>
        <v>#VALUE!</v>
      </c>
      <c r="CG216" t="e">
        <f>Values!M13+"'E4!)}5"</f>
        <v>#VALUE!</v>
      </c>
      <c r="CH216" t="e">
        <f>Values!O13+"'E4!)}6"</f>
        <v>#VALUE!</v>
      </c>
      <c r="CI216" t="e">
        <f>Values!E14+"'E4!)}7"</f>
        <v>#VALUE!</v>
      </c>
      <c r="CJ216" t="e">
        <f>Values!M14+"'E4!)}8"</f>
        <v>#VALUE!</v>
      </c>
      <c r="CK216" t="e">
        <f>Values!O14+"'E4!)}9"</f>
        <v>#VALUE!</v>
      </c>
      <c r="CL216" t="e">
        <f>Values!E15+"'E4!)}:"</f>
        <v>#VALUE!</v>
      </c>
      <c r="CM216" t="e">
        <f>Values!M15+"'E4!)};"</f>
        <v>#VALUE!</v>
      </c>
      <c r="CN216" t="e">
        <f>Values!O15+"'E4!)}&lt;"</f>
        <v>#VALUE!</v>
      </c>
      <c r="CO216" t="e">
        <f>Values!E16+"'E4!)}="</f>
        <v>#VALUE!</v>
      </c>
      <c r="CP216" t="e">
        <f>Values!M16+"'E4!)}&gt;"</f>
        <v>#VALUE!</v>
      </c>
      <c r="CQ216" t="e">
        <f>Values!O16+"'E4!)}?"</f>
        <v>#VALUE!</v>
      </c>
      <c r="CR216" t="e">
        <f>Values!E17+"'E4!)}@"</f>
        <v>#VALUE!</v>
      </c>
      <c r="CS216" t="e">
        <f>Values!O17+"'E4!)}A"</f>
        <v>#VALUE!</v>
      </c>
      <c r="CT216" t="e">
        <f>Sheet1!A:A*"'E4!)}C"</f>
        <v>#VALUE!</v>
      </c>
      <c r="CU216" t="e">
        <f>Sheet1!B:B*"'E4!)}D"</f>
        <v>#VALUE!</v>
      </c>
      <c r="CV216" t="e">
        <f>Sheet1!C:C*"'E4!)}E"</f>
        <v>#VALUE!</v>
      </c>
      <c r="CW216" t="e">
        <f>Sheet1!D:D*"'E4!)}F"</f>
        <v>#VALUE!</v>
      </c>
      <c r="CX216" t="e">
        <f>Sheet1!E:E*"'E4!)}G"</f>
        <v>#VALUE!</v>
      </c>
      <c r="CY216" t="e">
        <f>Sheet1!F:F*"'E4!)}H"</f>
        <v>#VALUE!</v>
      </c>
      <c r="CZ216" t="e">
        <f>Sheet1!G:G*"'E4!)}I"</f>
        <v>#VALUE!</v>
      </c>
      <c r="DA216" t="e">
        <f>Sheet1!H:H*"'E4!)}J"</f>
        <v>#VALUE!</v>
      </c>
      <c r="DB216" t="e">
        <f>Sheet1!I:I*"'E4!)}K"</f>
        <v>#VALUE!</v>
      </c>
      <c r="DC216" t="e">
        <f>Sheet1!J:J*"'E4!)}L"</f>
        <v>#VALUE!</v>
      </c>
      <c r="DD216" t="e">
        <f>Sheet1!K:K*"'E4!)}M"</f>
        <v>#VALUE!</v>
      </c>
      <c r="DE216" t="e">
        <f>Sheet1!L:L*"'E4!)}N"</f>
        <v>#VALUE!</v>
      </c>
      <c r="DF216" t="e">
        <f>Sheet1!M:M*"'E4!)}O"</f>
        <v>#VALUE!</v>
      </c>
      <c r="DG216" t="e">
        <f>Sheet1!N:N*"'E4!)}P"</f>
        <v>#VALUE!</v>
      </c>
      <c r="DH216" t="e">
        <f>Sheet1!O:O*"'E4!)}Q"</f>
        <v>#VALUE!</v>
      </c>
      <c r="DI216" t="e">
        <f>Sheet1!P:P*"'E4!)}R"</f>
        <v>#VALUE!</v>
      </c>
      <c r="DJ216" t="e">
        <f>Sheet1!Q:Q*"'E4!)}S"</f>
        <v>#VALUE!</v>
      </c>
      <c r="DK216" t="e">
        <f>Sheet1!R:R*"'E4!)}T"</f>
        <v>#VALUE!</v>
      </c>
      <c r="DL216" t="e">
        <f>Sheet1!S:S*"'E4!)}U"</f>
        <v>#VALUE!</v>
      </c>
      <c r="DM216" t="e">
        <f>Sheet1!T:T*"'E4!)}V"</f>
        <v>#VALUE!</v>
      </c>
      <c r="DN216" t="e">
        <f>Sheet1!U:U*"'E4!)}W"</f>
        <v>#VALUE!</v>
      </c>
      <c r="DO216" t="e">
        <f>Sheet1!V:V*"'E4!)}X"</f>
        <v>#VALUE!</v>
      </c>
      <c r="DP216" t="e">
        <f>Sheet1!W:W*"'E4!)}Y"</f>
        <v>#VALUE!</v>
      </c>
      <c r="DQ216" t="e">
        <f>Sheet1!X:X*"'E4!)}Z"</f>
        <v>#VALUE!</v>
      </c>
      <c r="DR216" t="e">
        <f>Sheet1!Y:Y*"'E4!)}["</f>
        <v>#VALUE!</v>
      </c>
      <c r="DS216" t="e">
        <f>Sheet1!Z:Z*"'E4!)}\"</f>
        <v>#VALUE!</v>
      </c>
      <c r="DT216" t="e">
        <f>Sheet1!AA:AA*"'E4!)}]"</f>
        <v>#VALUE!</v>
      </c>
      <c r="DU216" t="e">
        <f>Sheet1!AB:AB*"'E4!)}^"</f>
        <v>#VALUE!</v>
      </c>
      <c r="DV216" t="e">
        <f>Sheet1!AC:AC*"'E4!)}_"</f>
        <v>#VALUE!</v>
      </c>
      <c r="DW216" t="e">
        <f>Sheet1!AD:AD*"'E4!)}`"</f>
        <v>#VALUE!</v>
      </c>
      <c r="DX216" t="e">
        <f>Sheet1!AE:AE*"'E4!)}a"</f>
        <v>#VALUE!</v>
      </c>
      <c r="DY216" t="e">
        <f>Sheet1!AF:AF*"'E4!)}b"</f>
        <v>#VALUE!</v>
      </c>
      <c r="DZ216" t="e">
        <f>Sheet1!AG:AG*"'E4!)}c"</f>
        <v>#VALUE!</v>
      </c>
      <c r="EA216" t="e">
        <f>Sheet1!AH:AH*"'E4!)}d"</f>
        <v>#VALUE!</v>
      </c>
      <c r="EB216" t="e">
        <f>Sheet1!AI:AI*"'E4!)}e"</f>
        <v>#VALUE!</v>
      </c>
      <c r="EC216" t="e">
        <f>Sheet1!AJ:AJ*"'E4!)}f"</f>
        <v>#VALUE!</v>
      </c>
      <c r="ED216" t="e">
        <f>Sheet1!AK:AK*"'E4!)}g"</f>
        <v>#VALUE!</v>
      </c>
      <c r="EE216" t="e">
        <f>Sheet1!AL:AL*"'E4!)}h"</f>
        <v>#VALUE!</v>
      </c>
      <c r="EF216" t="e">
        <f>Sheet1!AM:AM*"'E4!)}i"</f>
        <v>#VALUE!</v>
      </c>
      <c r="EG216" t="e">
        <f>Sheet1!AN:AN*"'E4!)}j"</f>
        <v>#VALUE!</v>
      </c>
      <c r="EH216" t="e">
        <f>Sheet1!AO:AO*"'E4!)}k"</f>
        <v>#VALUE!</v>
      </c>
      <c r="EI216" t="e">
        <f>Sheet1!AP:AP*"'E4!)}l"</f>
        <v>#VALUE!</v>
      </c>
      <c r="EJ216" t="e">
        <f>Sheet1!AQ:AQ*"'E4!)}m"</f>
        <v>#VALUE!</v>
      </c>
      <c r="EK216" t="e">
        <f>Sheet1!AR:AR*"'E4!)}n"</f>
        <v>#VALUE!</v>
      </c>
      <c r="EL216" t="e">
        <f>Sheet1!AS:AS*"'E4!)}o"</f>
        <v>#VALUE!</v>
      </c>
      <c r="EM216" t="e">
        <f>Sheet1!AT:AT*"'E4!)}p"</f>
        <v>#VALUE!</v>
      </c>
      <c r="EN216" t="e">
        <f>Sheet1!AU:AU*"'E4!)}q"</f>
        <v>#VALUE!</v>
      </c>
      <c r="EO216" t="e">
        <f>Sheet1!AV:AV*"'E4!)}r"</f>
        <v>#VALUE!</v>
      </c>
      <c r="EP216" t="e">
        <f>Sheet1!AW:AW*"'E4!)}s"</f>
        <v>#VALUE!</v>
      </c>
      <c r="EQ216" t="e">
        <f>Sheet1!AX:AX*"'E4!)}t"</f>
        <v>#VALUE!</v>
      </c>
      <c r="ER216" t="e">
        <f>Sheet1!AY:AY*"'E4!)}u"</f>
        <v>#VALUE!</v>
      </c>
      <c r="ES216" t="e">
        <f>Sheet1!AZ:AZ*"'E4!)}v"</f>
        <v>#VALUE!</v>
      </c>
      <c r="ET216" t="e">
        <f>Sheet1!BA:BA*"'E4!)}w"</f>
        <v>#VALUE!</v>
      </c>
      <c r="EU216" t="e">
        <f>Sheet1!BB:BB*"'E4!)}x"</f>
        <v>#VALUE!</v>
      </c>
      <c r="EV216" t="e">
        <f>Sheet1!BC:BC*"'E4!)}y"</f>
        <v>#VALUE!</v>
      </c>
      <c r="EW216" t="e">
        <f>Sheet1!BD:BD*"'E4!)}z"</f>
        <v>#VALUE!</v>
      </c>
      <c r="EX216" t="e">
        <f>Sheet1!BE:BE*"'E4!)}{"</f>
        <v>#VALUE!</v>
      </c>
      <c r="EY216" t="e">
        <f>Sheet1!BF:BF*"'E4!)}|"</f>
        <v>#VALUE!</v>
      </c>
      <c r="EZ216" t="e">
        <f>Sheet1!BG:BG*"'E4!)}}"</f>
        <v>#VALUE!</v>
      </c>
      <c r="FA216" t="e">
        <f>Sheet1!BH:BH*"'E4!)}~"</f>
        <v>#VALUE!</v>
      </c>
      <c r="FB216" t="e">
        <f>Sheet1!BI:BI*"'E4!)~#"</f>
        <v>#VALUE!</v>
      </c>
      <c r="FC216" t="e">
        <f>Sheet1!BJ:BJ*"'E4!)~$"</f>
        <v>#VALUE!</v>
      </c>
      <c r="FD216" t="e">
        <f>Sheet1!BK:BK*"'E4!)~%"</f>
        <v>#VALUE!</v>
      </c>
      <c r="FE216" t="e">
        <f>Sheet1!BL:BL*"'E4!)~&amp;"</f>
        <v>#VALUE!</v>
      </c>
      <c r="FF216" t="e">
        <f>Sheet1!BM:BM*"'E4!)~'"</f>
        <v>#VALUE!</v>
      </c>
      <c r="FG216" t="e">
        <f>Sheet1!BN:BN*"'E4!)~("</f>
        <v>#VALUE!</v>
      </c>
      <c r="FH216" t="e">
        <f>Sheet1!BO:BO*"'E4!)~)"</f>
        <v>#VALUE!</v>
      </c>
      <c r="FI216" t="e">
        <f>Sheet1!BP:BP*"'E4!)~."</f>
        <v>#VALUE!</v>
      </c>
      <c r="FJ216" t="e">
        <f>Sheet1!BQ:BQ*"'E4!)~/"</f>
        <v>#VALUE!</v>
      </c>
      <c r="FK216" t="e">
        <f>Sheet1!BR:BR*"'E4!)~0"</f>
        <v>#VALUE!</v>
      </c>
      <c r="FL216" t="e">
        <f>Sheet1!BS:BS*"'E4!)~1"</f>
        <v>#VALUE!</v>
      </c>
      <c r="FM216" t="e">
        <f>Sheet1!BT:BT*"'E4!)~2"</f>
        <v>#VALUE!</v>
      </c>
      <c r="FN216" t="e">
        <f>Sheet1!BU:BU*"'E4!)~3"</f>
        <v>#VALUE!</v>
      </c>
      <c r="FO216" t="e">
        <f>Sheet1!BV:BV*"'E4!)~4"</f>
        <v>#VALUE!</v>
      </c>
      <c r="FP216" t="e">
        <f>Sheet1!BW:BW*"'E4!)~5"</f>
        <v>#VALUE!</v>
      </c>
      <c r="FQ216" t="e">
        <f>Sheet1!BX:BX*"'E4!)~6"</f>
        <v>#VALUE!</v>
      </c>
      <c r="FR216" t="e">
        <f>Sheet1!BY:BY*"'E4!)~7"</f>
        <v>#VALUE!</v>
      </c>
      <c r="FS216" t="e">
        <f>Sheet1!BZ:BZ*"'E4!)~8"</f>
        <v>#VALUE!</v>
      </c>
      <c r="FT216" t="e">
        <f>Sheet1!CA:CA*"'E4!)~9"</f>
        <v>#VALUE!</v>
      </c>
      <c r="FU216" t="e">
        <f>Sheet1!1:1-"'E4!)~:"</f>
        <v>#VALUE!</v>
      </c>
      <c r="FV216" t="e">
        <f>Sheet1!2:2-"'E4!)~;"</f>
        <v>#VALUE!</v>
      </c>
      <c r="FW216" t="e">
        <f>Sheet1!3:3-"'E4!)~&lt;"</f>
        <v>#VALUE!</v>
      </c>
      <c r="FX216" t="e">
        <f>Sheet1!4:4-"'E4!)~="</f>
        <v>#VALUE!</v>
      </c>
      <c r="FY216" t="e">
        <f>Sheet1!5:5-"'E4!)~&gt;"</f>
        <v>#VALUE!</v>
      </c>
      <c r="FZ216" t="e">
        <f>Sheet1!6:6-"'E4!)~?"</f>
        <v>#VALUE!</v>
      </c>
      <c r="GA216" t="e">
        <f>Sheet1!7:7-"'E4!)~@"</f>
        <v>#VALUE!</v>
      </c>
      <c r="GB216" t="e">
        <f>Sheet1!8:8-"'E4!)~A"</f>
        <v>#VALUE!</v>
      </c>
      <c r="GC216" t="e">
        <f>Sheet1!9:9-"'E4!)~B"</f>
        <v>#VALUE!</v>
      </c>
      <c r="GD216" t="e">
        <f>Sheet1!10:10-"'E4!)~C"</f>
        <v>#VALUE!</v>
      </c>
      <c r="GE216" t="e">
        <f>Sheet1!11:11-"'E4!)~D"</f>
        <v>#VALUE!</v>
      </c>
      <c r="GF216" t="e">
        <f>Sheet1!12:12-"'E4!)~E"</f>
        <v>#VALUE!</v>
      </c>
      <c r="GG216" t="e">
        <f>Sheet1!13:13-"'E4!)~F"</f>
        <v>#VALUE!</v>
      </c>
      <c r="GH216" t="e">
        <f>Sheet1!14:14-"'E4!)~G"</f>
        <v>#VALUE!</v>
      </c>
      <c r="GI216" t="e">
        <f>Sheet1!15:15-"'E4!)~H"</f>
        <v>#VALUE!</v>
      </c>
      <c r="GJ216" t="e">
        <f>Sheet1!16:16-"'E4!)~I"</f>
        <v>#VALUE!</v>
      </c>
      <c r="GK216" t="e">
        <f>Sheet1!17:17-"'E4!)~J"</f>
        <v>#VALUE!</v>
      </c>
      <c r="GL216" t="e">
        <f>Sheet1!18:18-"'E4!)~K"</f>
        <v>#VALUE!</v>
      </c>
      <c r="GM216" t="e">
        <f>Sheet1!19:19-"'E4!)~L"</f>
        <v>#VALUE!</v>
      </c>
      <c r="GN216" t="e">
        <f>Sheet1!20:20-"'E4!)~M"</f>
        <v>#VALUE!</v>
      </c>
      <c r="GO216" t="e">
        <f>Sheet1!21:21-"'E4!)~N"</f>
        <v>#VALUE!</v>
      </c>
      <c r="GP216" t="e">
        <f>Sheet1!22:22-"'E4!)~O"</f>
        <v>#VALUE!</v>
      </c>
      <c r="GQ216" t="e">
        <f>Sheet1!23:23-"'E4!)~P"</f>
        <v>#VALUE!</v>
      </c>
      <c r="GR216" t="e">
        <f>Sheet1!24:24-"'E4!)~Q"</f>
        <v>#VALUE!</v>
      </c>
      <c r="GS216" t="e">
        <f>Sheet1!25:25-"'E4!)~R"</f>
        <v>#VALUE!</v>
      </c>
      <c r="GT216" t="e">
        <f>Sheet1!26:26-"'E4!)~S"</f>
        <v>#VALUE!</v>
      </c>
      <c r="GU216" t="e">
        <f>Sheet1!27:27-"'E4!)~T"</f>
        <v>#VALUE!</v>
      </c>
      <c r="GV216" t="e">
        <f>Sheet1!28:28-"'E4!)~U"</f>
        <v>#VALUE!</v>
      </c>
      <c r="GW216" t="e">
        <f>Sheet1!29:29-"'E4!)~V"</f>
        <v>#VALUE!</v>
      </c>
      <c r="GX216" t="e">
        <f>Sheet1!30:30-"'E4!)~W"</f>
        <v>#VALUE!</v>
      </c>
      <c r="GY216" t="e">
        <f>Sheet1!31:31-"'E4!)~X"</f>
        <v>#VALUE!</v>
      </c>
      <c r="GZ216" t="e">
        <f>Sheet1!32:32-"'E4!)~Y"</f>
        <v>#VALUE!</v>
      </c>
      <c r="HA216" t="e">
        <f>Sheet1!33:33-"'E4!)~Z"</f>
        <v>#VALUE!</v>
      </c>
      <c r="HB216" t="e">
        <f>Sheet1!34:34-"'E4!)~["</f>
        <v>#VALUE!</v>
      </c>
      <c r="HC216" t="e">
        <f>Sheet1!35:35-"'E4!)~\"</f>
        <v>#VALUE!</v>
      </c>
      <c r="HD216" t="e">
        <f>Sheet1!36:36-"'E4!)~]"</f>
        <v>#VALUE!</v>
      </c>
      <c r="HE216" t="e">
        <f>Sheet1!37:37-"'E4!)~^"</f>
        <v>#VALUE!</v>
      </c>
      <c r="HF216" t="e">
        <f>Sheet1!38:38-"'E4!)~_"</f>
        <v>#VALUE!</v>
      </c>
      <c r="HG216" t="e">
        <f>Sheet1!39:39-"'E4!)~`"</f>
        <v>#VALUE!</v>
      </c>
      <c r="HH216" t="e">
        <f>Sheet1!40:40-"'E4!)~a"</f>
        <v>#VALUE!</v>
      </c>
      <c r="HI216" t="e">
        <f>Sheet1!41:41-"'E4!)~b"</f>
        <v>#VALUE!</v>
      </c>
      <c r="HJ216" t="e">
        <f>Sheet1!42:42-"'E4!)~c"</f>
        <v>#VALUE!</v>
      </c>
      <c r="HK216" t="e">
        <f>Sheet1!43:43-"'E4!)~d"</f>
        <v>#VALUE!</v>
      </c>
      <c r="HL216" t="e">
        <f>Sheet1!44:44-"'E4!)~e"</f>
        <v>#VALUE!</v>
      </c>
      <c r="HM216" t="e">
        <f>Sheet1!45:45-"'E4!)~f"</f>
        <v>#VALUE!</v>
      </c>
      <c r="HN216" t="e">
        <f>Sheet1!46:46-"'E4!)~g"</f>
        <v>#VALUE!</v>
      </c>
      <c r="HO216" t="e">
        <f>Sheet1!47:47-"'E4!)~h"</f>
        <v>#VALUE!</v>
      </c>
      <c r="HP216" t="e">
        <f>Sheet1!48:48-"'E4!)~i"</f>
        <v>#VALUE!</v>
      </c>
      <c r="HQ216" t="e">
        <f>Sheet1!49:49-"'E4!)~j"</f>
        <v>#VALUE!</v>
      </c>
      <c r="HR216" t="e">
        <f>Sheet1!50:50-"'E4!)~k"</f>
        <v>#VALUE!</v>
      </c>
      <c r="HS216" t="e">
        <f>Sheet1!51:51-"'E4!)~l"</f>
        <v>#VALUE!</v>
      </c>
      <c r="HT216" t="e">
        <f>Sheet1!52:52-"'E4!)~m"</f>
        <v>#VALUE!</v>
      </c>
      <c r="HU216" t="e">
        <f>Sheet1!53:53-"'E4!)~n"</f>
        <v>#VALUE!</v>
      </c>
      <c r="HV216" t="e">
        <f>Sheet1!54:54-"'E4!)~o"</f>
        <v>#VALUE!</v>
      </c>
      <c r="HW216" t="e">
        <f>Sheet1!55:55-"'E4!)~p"</f>
        <v>#VALUE!</v>
      </c>
      <c r="HX216" t="e">
        <f>Sheet1!56:56-"'E4!)~q"</f>
        <v>#VALUE!</v>
      </c>
      <c r="HY216" t="e">
        <f>Sheet1!57:57-"'E4!)~r"</f>
        <v>#VALUE!</v>
      </c>
      <c r="HZ216" t="e">
        <f>Sheet1!58:58-"'E4!)~s"</f>
        <v>#VALUE!</v>
      </c>
      <c r="IA216" t="e">
        <f>Sheet1!59:59-"'E4!)~t"</f>
        <v>#VALUE!</v>
      </c>
      <c r="IB216" t="e">
        <f>Sheet1!60:60-"'E4!)~u"</f>
        <v>#VALUE!</v>
      </c>
      <c r="IC216" t="e">
        <f>Sheet1!61:61-"'E4!)~v"</f>
        <v>#VALUE!</v>
      </c>
      <c r="ID216" t="e">
        <f>Sheet1!62:62-"'E4!)~w"</f>
        <v>#VALUE!</v>
      </c>
      <c r="IE216" t="e">
        <f>Sheet1!63:63-"'E4!)~x"</f>
        <v>#VALUE!</v>
      </c>
      <c r="IF216" t="e">
        <f>Sheet1!64:64-"'E4!)~y"</f>
        <v>#VALUE!</v>
      </c>
      <c r="IG216" t="e">
        <f>Sheet1!65:65-"'E4!)~z"</f>
        <v>#VALUE!</v>
      </c>
      <c r="IH216" t="e">
        <f>Sheet1!66:66-"'E4!)~{"</f>
        <v>#VALUE!</v>
      </c>
      <c r="II216" t="e">
        <f>Sheet1!67:67-"'E4!)~|"</f>
        <v>#VALUE!</v>
      </c>
      <c r="IJ216" t="e">
        <f>Sheet1!68:68-"'E4!)~}"</f>
        <v>#VALUE!</v>
      </c>
      <c r="IK216" t="e">
        <f>Sheet1!69:69-"'E4!)~~"</f>
        <v>#VALUE!</v>
      </c>
      <c r="IL216" t="e">
        <f>Sheet1!70:70-"'E4!.##"</f>
        <v>#VALUE!</v>
      </c>
      <c r="IM216" t="e">
        <f>Sheet1!71:71-"'E4!.#$"</f>
        <v>#VALUE!</v>
      </c>
      <c r="IN216" t="e">
        <f>Sheet1!72:72-"'E4!.#%"</f>
        <v>#VALUE!</v>
      </c>
      <c r="IO216" t="e">
        <f>Sheet1!73:73-"'E4!.#&amp;"</f>
        <v>#VALUE!</v>
      </c>
      <c r="IP216" t="e">
        <f>Sheet1!74:74-"'E4!.#'"</f>
        <v>#VALUE!</v>
      </c>
      <c r="IQ216" t="e">
        <f>Sheet1!75:75-"'E4!.#("</f>
        <v>#VALUE!</v>
      </c>
      <c r="IR216" t="e">
        <f>Sheet1!76:76-"'E4!.#)"</f>
        <v>#VALUE!</v>
      </c>
      <c r="IS216" t="e">
        <f>Sheet1!77:77-"'E4!.#."</f>
        <v>#VALUE!</v>
      </c>
      <c r="IT216" t="e">
        <f>Sheet1!78:78-"'E4!.#/"</f>
        <v>#VALUE!</v>
      </c>
      <c r="IU216" t="e">
        <f>Sheet1!79:79-"'E4!.#0"</f>
        <v>#VALUE!</v>
      </c>
      <c r="IV216" t="e">
        <f>Sheet1!80:80-"'E4!.#1"</f>
        <v>#VALUE!</v>
      </c>
    </row>
    <row r="217" spans="6:256">
      <c r="F217" t="e">
        <f>Sheet1!81:81-"'E4!.#2"</f>
        <v>#VALUE!</v>
      </c>
      <c r="G217" t="e">
        <f>Sheet1!82:82-"'E4!.#3"</f>
        <v>#VALUE!</v>
      </c>
      <c r="H217" t="e">
        <f>Sheet1!83:83-"'E4!.#4"</f>
        <v>#VALUE!</v>
      </c>
      <c r="I217" t="e">
        <f>Sheet1!84:84-"'E4!.#5"</f>
        <v>#VALUE!</v>
      </c>
      <c r="J217" t="e">
        <f>Sheet1!85:85-"'E4!.#6"</f>
        <v>#VALUE!</v>
      </c>
      <c r="K217" t="e">
        <f>Sheet1!86:86-"'E4!.#7"</f>
        <v>#VALUE!</v>
      </c>
      <c r="L217" t="e">
        <f>Sheet1!87:87-"'E4!.#8"</f>
        <v>#VALUE!</v>
      </c>
      <c r="M217" t="e">
        <f>Sheet1!88:88-"'E4!.#9"</f>
        <v>#VALUE!</v>
      </c>
      <c r="N217" t="e">
        <f>Sheet1!89:89-"'E4!.#:"</f>
        <v>#VALUE!</v>
      </c>
      <c r="O217" t="e">
        <f>Sheet1!90:90-"'E4!.#;"</f>
        <v>#VALUE!</v>
      </c>
      <c r="P217" t="e">
        <f>Sheet1!91:91-"'E4!.#&lt;"</f>
        <v>#VALUE!</v>
      </c>
      <c r="Q217" t="e">
        <f>Sheet1!92:92-"'E4!.#="</f>
        <v>#VALUE!</v>
      </c>
      <c r="R217" t="e">
        <f>Sheet1!93:93-"'E4!.#&gt;"</f>
        <v>#VALUE!</v>
      </c>
      <c r="S217" t="e">
        <f>Sheet1!94:94-"'E4!.#?"</f>
        <v>#VALUE!</v>
      </c>
      <c r="T217" t="e">
        <f>Sheet1!95:95-"'E4!.#@"</f>
        <v>#VALUE!</v>
      </c>
      <c r="U217" t="e">
        <f>Sheet1!96:96-"'E4!.#A"</f>
        <v>#VALUE!</v>
      </c>
      <c r="V217" t="e">
        <f>Sheet1!97:97-"'E4!.#B"</f>
        <v>#VALUE!</v>
      </c>
      <c r="W217" t="e">
        <f>Sheet1!98:98-"'E4!.#C"</f>
        <v>#VALUE!</v>
      </c>
      <c r="X217" t="e">
        <f>Sheet1!99:99-"'E4!.#D"</f>
        <v>#VALUE!</v>
      </c>
      <c r="Y217" t="e">
        <f>Sheet1!100:100-"'E4!.#E"</f>
        <v>#VALUE!</v>
      </c>
      <c r="Z217" t="e">
        <f>Sheet1!101:101-"'E4!.#F"</f>
        <v>#VALUE!</v>
      </c>
      <c r="AA217" t="e">
        <f>Sheet1!102:102-"'E4!.#G"</f>
        <v>#VALUE!</v>
      </c>
      <c r="AB217" t="e">
        <f>Sheet1!103:103-"'E4!.#H"</f>
        <v>#VALUE!</v>
      </c>
      <c r="AC217" t="e">
        <f>Sheet1!104:104-"'E4!.#I"</f>
        <v>#VALUE!</v>
      </c>
      <c r="AD217" t="e">
        <f>Sheet1!105:105-"'E4!.#J"</f>
        <v>#VALUE!</v>
      </c>
      <c r="AE217" t="e">
        <f>Sheet1!106:106-"'E4!.#K"</f>
        <v>#VALUE!</v>
      </c>
      <c r="AF217" t="e">
        <f>Sheet1!107:107-"'E4!.#L"</f>
        <v>#VALUE!</v>
      </c>
      <c r="AG217" t="e">
        <f>Sheet1!108:108-"'E4!.#M"</f>
        <v>#VALUE!</v>
      </c>
      <c r="AH217" t="e">
        <f>Sheet1!109:109-"'E4!.#N"</f>
        <v>#VALUE!</v>
      </c>
      <c r="AI217" t="e">
        <f>Sheet1!110:110-"'E4!.#O"</f>
        <v>#VALUE!</v>
      </c>
      <c r="AJ217" t="e">
        <f>Sheet1!111:111-"'E4!.#P"</f>
        <v>#VALUE!</v>
      </c>
      <c r="AK217" t="e">
        <f>Sheet1!112:112-"'E4!.#Q"</f>
        <v>#VALUE!</v>
      </c>
      <c r="AL217" t="e">
        <f>Sheet1!113:113-"'E4!.#R"</f>
        <v>#VALUE!</v>
      </c>
      <c r="AM217" t="e">
        <f>Sheet1!114:114-"'E4!.#S"</f>
        <v>#VALUE!</v>
      </c>
      <c r="AN217" t="e">
        <f>Sheet1!115:115-"'E4!.#T"</f>
        <v>#VALUE!</v>
      </c>
      <c r="AO217" t="e">
        <f>Sheet1!116:116-"'E4!.#U"</f>
        <v>#VALUE!</v>
      </c>
      <c r="AP217" t="e">
        <f>Sheet1!117:117-"'E4!.#V"</f>
        <v>#VALUE!</v>
      </c>
      <c r="AQ217" t="e">
        <f>Sheet1!118:118-"'E4!.#W"</f>
        <v>#VALUE!</v>
      </c>
      <c r="AR217" t="e">
        <f>Sheet1!119:119-"'E4!.#X"</f>
        <v>#VALUE!</v>
      </c>
      <c r="AS217" t="e">
        <f>Sheet1!120:120-"'E4!.#Y"</f>
        <v>#VALUE!</v>
      </c>
      <c r="AT217" t="e">
        <f>Sheet1!121:121-"'E4!.#Z"</f>
        <v>#VALUE!</v>
      </c>
      <c r="AU217" t="e">
        <f>Sheet1!122:122-"'E4!.#["</f>
        <v>#VALUE!</v>
      </c>
      <c r="AV217" t="e">
        <f>Sheet1!123:123-"'E4!.#\"</f>
        <v>#VALUE!</v>
      </c>
      <c r="AW217" t="e">
        <f>Sheet1!124:124-"'E4!.#]"</f>
        <v>#VALUE!</v>
      </c>
      <c r="AX217" t="e">
        <f>Sheet1!125:125-"'E4!.#^"</f>
        <v>#VALUE!</v>
      </c>
      <c r="AY217" t="e">
        <f>Sheet1!126:126-"'E4!.#_"</f>
        <v>#VALUE!</v>
      </c>
      <c r="AZ217" t="e">
        <f>Sheet1!127:127-"'E4!.#`"</f>
        <v>#VALUE!</v>
      </c>
      <c r="BA217" t="e">
        <f>Sheet1!128:128-"'E4!.#a"</f>
        <v>#VALUE!</v>
      </c>
      <c r="BB217" t="e">
        <f>Sheet1!129:129-"'E4!.#b"</f>
        <v>#VALUE!</v>
      </c>
      <c r="BC217" t="e">
        <f>Sheet1!130:130-"'E4!.#c"</f>
        <v>#VALUE!</v>
      </c>
      <c r="BD217" t="e">
        <f>Sheet1!131:131-"'E4!.#d"</f>
        <v>#VALUE!</v>
      </c>
      <c r="BE217" t="e">
        <f>Sheet1!132:132-"'E4!.#e"</f>
        <v>#VALUE!</v>
      </c>
      <c r="BF217" t="e">
        <f>Sheet1!133:133-"'E4!.#f"</f>
        <v>#VALUE!</v>
      </c>
      <c r="BG217" t="e">
        <f>Sheet1!134:134-"'E4!.#g"</f>
        <v>#VALUE!</v>
      </c>
      <c r="BH217" t="e">
        <f>Sheet1!135:135-"'E4!.#h"</f>
        <v>#VALUE!</v>
      </c>
      <c r="BI217" t="e">
        <f>Sheet1!136:136-"'E4!.#i"</f>
        <v>#VALUE!</v>
      </c>
      <c r="BJ217" t="e">
        <f>Sheet1!137:137-"'E4!.#j"</f>
        <v>#VALUE!</v>
      </c>
      <c r="BK217" t="e">
        <f>Sheet1!138:138-"'E4!.#k"</f>
        <v>#VALUE!</v>
      </c>
      <c r="BL217" t="e">
        <f>Sheet1!139:139-"'E4!.#l"</f>
        <v>#VALUE!</v>
      </c>
      <c r="BM217" t="e">
        <f>Sheet1!140:140-"'E4!.#m"</f>
        <v>#VALUE!</v>
      </c>
      <c r="BN217" t="e">
        <f>Sheet1!141:141-"'E4!.#n"</f>
        <v>#VALUE!</v>
      </c>
      <c r="BO217" t="e">
        <f>Sheet1!142:142-"'E4!.#o"</f>
        <v>#VALUE!</v>
      </c>
      <c r="BP217" t="e">
        <f>Sheet1!143:143-"'E4!.#p"</f>
        <v>#VALUE!</v>
      </c>
      <c r="BQ217" t="e">
        <f>Sheet1!144:144-"'E4!.#q"</f>
        <v>#VALUE!</v>
      </c>
      <c r="BR217" t="e">
        <f>Sheet1!145:145-"'E4!.#r"</f>
        <v>#VALUE!</v>
      </c>
      <c r="BS217" t="e">
        <f>Sheet1!146:146-"'E4!.#s"</f>
        <v>#VALUE!</v>
      </c>
      <c r="BT217" t="e">
        <f>Sheet1!147:147-"'E4!.#t"</f>
        <v>#VALUE!</v>
      </c>
      <c r="BU217" t="e">
        <f>Sheet1!148:148-"'E4!.#u"</f>
        <v>#VALUE!</v>
      </c>
      <c r="BV217" t="e">
        <f>Sheet1!149:149-"'E4!.#v"</f>
        <v>#VALUE!</v>
      </c>
      <c r="BW217" t="e">
        <f>Sheet1!150:150-"'E4!.#w"</f>
        <v>#VALUE!</v>
      </c>
      <c r="BX217" t="e">
        <f>Sheet1!151:151-"'E4!.#x"</f>
        <v>#VALUE!</v>
      </c>
      <c r="BY217" t="e">
        <f>Sheet1!152:152-"'E4!.#y"</f>
        <v>#VALUE!</v>
      </c>
      <c r="BZ217" t="e">
        <f>Sheet1!153:153-"'E4!.#z"</f>
        <v>#VALUE!</v>
      </c>
      <c r="CA217" t="e">
        <f>Sheet1!154:154-"'E4!.#{"</f>
        <v>#VALUE!</v>
      </c>
      <c r="CB217" t="e">
        <f>Sheet1!155:155-"'E4!.#|"</f>
        <v>#VALUE!</v>
      </c>
      <c r="CC217" t="e">
        <f>Sheet1!156:156-"'E4!.#}"</f>
        <v>#VALUE!</v>
      </c>
      <c r="CD217" t="e">
        <f>Sheet1!157:157-"'E4!.#~"</f>
        <v>#VALUE!</v>
      </c>
      <c r="CE217" t="e">
        <f>Sheet1!158:158-"'E4!.$#"</f>
        <v>#VALUE!</v>
      </c>
      <c r="CF217" t="e">
        <f>Sheet1!159:159-"'E4!.$$"</f>
        <v>#VALUE!</v>
      </c>
      <c r="CG217" t="e">
        <f>Sheet1!160:160-"'E4!.$%"</f>
        <v>#VALUE!</v>
      </c>
      <c r="CH217" t="e">
        <f>Sheet1!161:161-"'E4!.$&amp;"</f>
        <v>#VALUE!</v>
      </c>
      <c r="CI217" t="e">
        <f>Sheet1!162:162-"'E4!.$'"</f>
        <v>#VALUE!</v>
      </c>
      <c r="CJ217" t="e">
        <f>Sheet1!163:163-"'E4!.$("</f>
        <v>#VALUE!</v>
      </c>
      <c r="CK217" t="e">
        <f>Sheet1!164:164-"'E4!.$)"</f>
        <v>#VALUE!</v>
      </c>
      <c r="CL217" t="e">
        <f>Sheet1!165:165-"'E4!.$."</f>
        <v>#VALUE!</v>
      </c>
      <c r="CM217" t="e">
        <f>Sheet1!166:166-"'E4!.$/"</f>
        <v>#VALUE!</v>
      </c>
      <c r="CN217" t="e">
        <f>Sheet1!167:167-"'E4!.$0"</f>
        <v>#VALUE!</v>
      </c>
      <c r="CO217" t="e">
        <f>Sheet1!168:168-"'E4!.$1"</f>
        <v>#VALUE!</v>
      </c>
      <c r="CP217" t="e">
        <f>Sheet1!169:169-"'E4!.$2"</f>
        <v>#VALUE!</v>
      </c>
      <c r="CQ217" t="e">
        <f>Sheet1!170:170-"'E4!.$3"</f>
        <v>#VALUE!</v>
      </c>
      <c r="CR217" t="e">
        <f>Sheet1!171:171-"'E4!.$4"</f>
        <v>#VALUE!</v>
      </c>
      <c r="CS217" t="e">
        <f>Sheet1!172:172-"'E4!.$5"</f>
        <v>#VALUE!</v>
      </c>
      <c r="CT217" t="e">
        <f>Sheet1!173:173-"'E4!.$6"</f>
        <v>#VALUE!</v>
      </c>
      <c r="CU217" t="e">
        <f>Sheet1!174:174-"'E4!.$7"</f>
        <v>#VALUE!</v>
      </c>
      <c r="CV217" t="e">
        <f>Sheet1!175:175-"'E4!.$8"</f>
        <v>#VALUE!</v>
      </c>
      <c r="CW217" t="e">
        <f>Sheet1!176:176-"'E4!.$9"</f>
        <v>#VALUE!</v>
      </c>
      <c r="CX217" t="e">
        <f>Sheet1!177:177-"'E4!.$:"</f>
        <v>#VALUE!</v>
      </c>
      <c r="CY217" t="e">
        <f>Sheet1!178:178-"'E4!.$;"</f>
        <v>#VALUE!</v>
      </c>
      <c r="CZ217" t="e">
        <f>Sheet1!179:179-"'E4!.$&lt;"</f>
        <v>#VALUE!</v>
      </c>
      <c r="DA217" t="e">
        <f>Sheet1!180:180-"'E4!.$="</f>
        <v>#VALUE!</v>
      </c>
      <c r="DB217" t="e">
        <f>Sheet1!181:181-"'E4!.$&gt;"</f>
        <v>#VALUE!</v>
      </c>
      <c r="DC217" t="e">
        <f>Sheet1!182:182-"'E4!.$?"</f>
        <v>#VALUE!</v>
      </c>
      <c r="DD217" t="e">
        <f>Sheet1!183:183-"'E4!.$@"</f>
        <v>#VALUE!</v>
      </c>
      <c r="DE217" t="e">
        <f>Sheet1!184:184-"'E4!.$A"</f>
        <v>#VALUE!</v>
      </c>
      <c r="DF217" t="e">
        <f>Sheet1!185:185-"'E4!.$B"</f>
        <v>#VALUE!</v>
      </c>
      <c r="DG217" t="e">
        <f>Sheet1!186:186-"'E4!.$C"</f>
        <v>#VALUE!</v>
      </c>
      <c r="DH217" t="e">
        <f>Sheet1!187:187-"'E4!.$D"</f>
        <v>#VALUE!</v>
      </c>
      <c r="DI217" t="e">
        <f>Sheet1!188:188-"'E4!.$E"</f>
        <v>#VALUE!</v>
      </c>
      <c r="DJ217" t="e">
        <f>Sheet1!189:189-"'E4!.$F"</f>
        <v>#VALUE!</v>
      </c>
      <c r="DK217" t="e">
        <f>Sheet1!190:190-"'E4!.$G"</f>
        <v>#VALUE!</v>
      </c>
      <c r="DL217" t="e">
        <f>Sheet1!191:191-"'E4!.$H"</f>
        <v>#VALUE!</v>
      </c>
      <c r="DM217" t="e">
        <f>Sheet1!192:192-"'E4!.$I"</f>
        <v>#VALUE!</v>
      </c>
      <c r="DN217" t="e">
        <f>Sheet1!193:193-"'E4!.$J"</f>
        <v>#VALUE!</v>
      </c>
      <c r="DO217" t="e">
        <f>Sheet1!194:194-"'E4!.$K"</f>
        <v>#VALUE!</v>
      </c>
      <c r="DP217" t="e">
        <f>Sheet1!195:195-"'E4!.$L"</f>
        <v>#VALUE!</v>
      </c>
      <c r="DQ217" t="e">
        <f>Sheet1!196:196-"'E4!.$M"</f>
        <v>#VALUE!</v>
      </c>
      <c r="DR217" t="e">
        <f>Sheet1!197:197-"'E4!.$N"</f>
        <v>#VALUE!</v>
      </c>
      <c r="DS217" t="e">
        <f>Sheet1!198:198-"'E4!.$O"</f>
        <v>#VALUE!</v>
      </c>
      <c r="DT217" t="e">
        <f>Sheet1!199:199-"'E4!.$P"</f>
        <v>#VALUE!</v>
      </c>
      <c r="DU217" t="e">
        <f>Sheet1!200:200-"'E4!.$Q"</f>
        <v>#VALUE!</v>
      </c>
      <c r="DV217" t="e">
        <f>Sheet1!201:201-"'E4!.$R"</f>
        <v>#VALUE!</v>
      </c>
      <c r="DW217" t="e">
        <f>Sheet1!202:202-"'E4!.$S"</f>
        <v>#VALUE!</v>
      </c>
      <c r="DX217" t="e">
        <f>Sheet1!203:203-"'E4!.$T"</f>
        <v>#VALUE!</v>
      </c>
      <c r="DY217" t="e">
        <f>Sheet1!204:204-"'E4!.$U"</f>
        <v>#VALUE!</v>
      </c>
      <c r="DZ217" t="e">
        <f>Sheet1!205:205-"'E4!.$V"</f>
        <v>#VALUE!</v>
      </c>
      <c r="EA217" t="e">
        <f>Sheet1!206:206-"'E4!.$W"</f>
        <v>#VALUE!</v>
      </c>
      <c r="EB217" t="e">
        <f>Sheet1!207:207-"'E4!.$X"</f>
        <v>#VALUE!</v>
      </c>
      <c r="EC217" t="e">
        <f>Sheet1!208:208-"'E4!.$Y"</f>
        <v>#VALUE!</v>
      </c>
      <c r="ED217" t="e">
        <f>Sheet1!209:209-"'E4!.$Z"</f>
        <v>#VALUE!</v>
      </c>
      <c r="EE217" t="e">
        <f>Sheet1!210:210-"'E4!.$["</f>
        <v>#VALUE!</v>
      </c>
      <c r="EF217" t="e">
        <f>Sheet1!211:211-"'E4!.$\"</f>
        <v>#VALUE!</v>
      </c>
      <c r="EG217" t="e">
        <f>Sheet1!212:212-"'E4!.$]"</f>
        <v>#VALUE!</v>
      </c>
      <c r="EH217" t="e">
        <f>Sheet1!213:213-"'E4!.$^"</f>
        <v>#VALUE!</v>
      </c>
      <c r="EI217" t="e">
        <f>Sheet1!214:214-"'E4!.$_"</f>
        <v>#VALUE!</v>
      </c>
      <c r="EJ217" t="e">
        <f>Sheet1!215:215-"'E4!.$`"</f>
        <v>#VALUE!</v>
      </c>
      <c r="EK217" t="e">
        <f>Sheet1!216:216-"'E4!.$a"</f>
        <v>#VALUE!</v>
      </c>
      <c r="EL217" t="e">
        <f>Sheet1!A1+"'E4!.$b"</f>
        <v>#VALUE!</v>
      </c>
      <c r="EM217" t="e">
        <f>Sheet1!B1+"'E4!.$c"</f>
        <v>#VALUE!</v>
      </c>
      <c r="EN217" t="e">
        <f>Sheet1!C1+"'E4!.$d"</f>
        <v>#VALUE!</v>
      </c>
      <c r="EO217" t="e">
        <f>Sheet1!D1+"'E4!.$e"</f>
        <v>#VALUE!</v>
      </c>
      <c r="EP217" t="e">
        <f>Sheet1!E1+"'E4!.$f"</f>
        <v>#VALUE!</v>
      </c>
      <c r="EQ217" t="e">
        <f>Sheet1!F1+"'E4!.$g"</f>
        <v>#VALUE!</v>
      </c>
      <c r="ER217" t="e">
        <f>Sheet1!G1+"'E4!.$h"</f>
        <v>#VALUE!</v>
      </c>
      <c r="ES217" t="e">
        <f>Sheet1!H1+"'E4!.$i"</f>
        <v>#VALUE!</v>
      </c>
      <c r="ET217" t="e">
        <f>Sheet1!I1+"'E4!.$j"</f>
        <v>#VALUE!</v>
      </c>
      <c r="EU217" t="e">
        <f>Sheet1!J1+"'E4!.$k"</f>
        <v>#VALUE!</v>
      </c>
      <c r="EV217" t="e">
        <f>Sheet1!K1+"'E4!.$l"</f>
        <v>#VALUE!</v>
      </c>
      <c r="EW217" t="e">
        <f>Sheet1!L1+"'E4!.$m"</f>
        <v>#VALUE!</v>
      </c>
      <c r="EX217" t="e">
        <f>Sheet1!M1+"'E4!.$n"</f>
        <v>#VALUE!</v>
      </c>
      <c r="EY217" t="e">
        <f>Sheet1!N1+"'E4!.$o"</f>
        <v>#VALUE!</v>
      </c>
      <c r="EZ217" t="e">
        <f>Sheet1!O1+"'E4!.$p"</f>
        <v>#VALUE!</v>
      </c>
      <c r="FA217" t="e">
        <f>Sheet1!P1+"'E4!.$q"</f>
        <v>#VALUE!</v>
      </c>
      <c r="FB217" t="e">
        <f>Sheet1!Q1+"'E4!.$r"</f>
        <v>#VALUE!</v>
      </c>
      <c r="FC217" t="e">
        <f>Sheet1!R1+"'E4!.$s"</f>
        <v>#VALUE!</v>
      </c>
      <c r="FD217" t="e">
        <f>Sheet1!S1+"'E4!.$t"</f>
        <v>#VALUE!</v>
      </c>
      <c r="FE217" t="e">
        <f>Sheet1!T1+"'E4!.$u"</f>
        <v>#VALUE!</v>
      </c>
      <c r="FF217" t="e">
        <f>Sheet1!U1+"'E4!.$v"</f>
        <v>#VALUE!</v>
      </c>
      <c r="FG217" t="e">
        <f>Sheet1!V1+"'E4!.$w"</f>
        <v>#VALUE!</v>
      </c>
      <c r="FH217" t="e">
        <f>Sheet1!W1+"'E4!.$x"</f>
        <v>#VALUE!</v>
      </c>
      <c r="FI217" t="e">
        <f>Sheet1!X1+"'E4!.$y"</f>
        <v>#VALUE!</v>
      </c>
      <c r="FJ217" t="e">
        <f>Sheet1!Y1+"'E4!.$z"</f>
        <v>#VALUE!</v>
      </c>
      <c r="FK217" t="e">
        <f>Sheet1!Z1+"'E4!.${"</f>
        <v>#VALUE!</v>
      </c>
      <c r="FL217" t="e">
        <f>Sheet1!AA1+"'E4!.$|"</f>
        <v>#VALUE!</v>
      </c>
      <c r="FM217" t="e">
        <f>Sheet1!AB1+"'E4!.$}"</f>
        <v>#VALUE!</v>
      </c>
      <c r="FN217" t="e">
        <f>Sheet1!AC1+"'E4!.$~"</f>
        <v>#VALUE!</v>
      </c>
      <c r="FO217" t="e">
        <f>Sheet1!A2+"'E4!.%#"</f>
        <v>#VALUE!</v>
      </c>
      <c r="FP217" t="e">
        <f>Sheet1!B2+"'E4!.%$"</f>
        <v>#VALUE!</v>
      </c>
      <c r="FQ217" t="e">
        <f>Sheet1!C2+"'E4!.%%"</f>
        <v>#VALUE!</v>
      </c>
      <c r="FR217" t="e">
        <f>Sheet1!D2+"'E4!.%&amp;"</f>
        <v>#VALUE!</v>
      </c>
      <c r="FS217" t="e">
        <f>Sheet1!E2+"'E4!.%'"</f>
        <v>#VALUE!</v>
      </c>
      <c r="FT217" t="e">
        <f>Sheet1!F2+"'E4!.%("</f>
        <v>#VALUE!</v>
      </c>
      <c r="FU217" t="e">
        <f>Sheet1!G2+"'E4!.%)"</f>
        <v>#VALUE!</v>
      </c>
      <c r="FV217" t="e">
        <f>Sheet1!H2+"'E4!.%."</f>
        <v>#VALUE!</v>
      </c>
      <c r="FW217" t="e">
        <f>Sheet1!I2+"'E4!.%/"</f>
        <v>#VALUE!</v>
      </c>
      <c r="FX217" t="e">
        <f>Sheet1!J2+"'E4!.%0"</f>
        <v>#VALUE!</v>
      </c>
      <c r="FY217" t="e">
        <f>Sheet1!K2+"'E4!.%1"</f>
        <v>#VALUE!</v>
      </c>
      <c r="FZ217" t="e">
        <f>Sheet1!L2+"'E4!.%2"</f>
        <v>#VALUE!</v>
      </c>
      <c r="GA217" t="e">
        <f>Sheet1!M2+"'E4!.%3"</f>
        <v>#VALUE!</v>
      </c>
      <c r="GB217" t="e">
        <f>Sheet1!N2+"'E4!.%4"</f>
        <v>#VALUE!</v>
      </c>
      <c r="GC217" t="e">
        <f>Sheet1!O2+"'E4!.%5"</f>
        <v>#VALUE!</v>
      </c>
      <c r="GD217" t="e">
        <f>Sheet1!P2+"'E4!.%6"</f>
        <v>#VALUE!</v>
      </c>
      <c r="GE217" t="e">
        <f>Sheet1!Q2+"'E4!.%7"</f>
        <v>#VALUE!</v>
      </c>
      <c r="GF217" t="e">
        <f>Sheet1!R2+"'E4!.%8"</f>
        <v>#VALUE!</v>
      </c>
      <c r="GG217" t="e">
        <f>Sheet1!S2+"'E4!.%9"</f>
        <v>#VALUE!</v>
      </c>
      <c r="GH217" t="e">
        <f>Sheet1!T2+"'E4!.%:"</f>
        <v>#VALUE!</v>
      </c>
      <c r="GI217" t="e">
        <f>Sheet1!U2+"'E4!.%;"</f>
        <v>#VALUE!</v>
      </c>
      <c r="GJ217" s="333" t="e">
        <f>Sheet1!X2+"'E4!.%&lt;"</f>
        <v>#VALUE!</v>
      </c>
      <c r="GK217" t="e">
        <f>Sheet1!Y2+"'E4!.%="</f>
        <v>#VALUE!</v>
      </c>
      <c r="GL217" t="e">
        <f>Sheet1!Z2+"'E4!.%&gt;"</f>
        <v>#VALUE!</v>
      </c>
      <c r="GM217" t="e">
        <f>Sheet1!AA2+"'E4!.%?"</f>
        <v>#VALUE!</v>
      </c>
      <c r="GN217" t="e">
        <f>Sheet1!AB2+"'E4!.%@"</f>
        <v>#VALUE!</v>
      </c>
      <c r="GO217" t="e">
        <f>Sheet1!A3+"'E4!.%A"</f>
        <v>#VALUE!</v>
      </c>
      <c r="GP217" t="e">
        <f>Sheet1!B3+"'E4!.%B"</f>
        <v>#VALUE!</v>
      </c>
      <c r="GQ217" t="e">
        <f>Sheet1!C3+"'E4!.%C"</f>
        <v>#VALUE!</v>
      </c>
      <c r="GR217" t="e">
        <f>Sheet1!D3+"'E4!.%D"</f>
        <v>#VALUE!</v>
      </c>
      <c r="GS217" t="e">
        <f>Sheet1!E3+"'E4!.%E"</f>
        <v>#VALUE!</v>
      </c>
      <c r="GT217" t="e">
        <f>Sheet1!F3+"'E4!.%F"</f>
        <v>#VALUE!</v>
      </c>
      <c r="GU217" t="e">
        <f>Sheet1!G3+"'E4!.%G"</f>
        <v>#VALUE!</v>
      </c>
      <c r="GV217" t="e">
        <f>Sheet1!H3+"'E4!.%H"</f>
        <v>#VALUE!</v>
      </c>
      <c r="GW217" t="e">
        <f>Sheet1!I3+"'E4!.%I"</f>
        <v>#VALUE!</v>
      </c>
      <c r="GX217" t="e">
        <f>Sheet1!J3+"'E4!.%J"</f>
        <v>#VALUE!</v>
      </c>
      <c r="GY217" t="e">
        <f>Sheet1!K3+"'E4!.%K"</f>
        <v>#VALUE!</v>
      </c>
      <c r="GZ217" t="e">
        <f>Sheet1!L3+"'E4!.%L"</f>
        <v>#VALUE!</v>
      </c>
      <c r="HA217" t="e">
        <f>Sheet1!M3+"'E4!.%M"</f>
        <v>#VALUE!</v>
      </c>
      <c r="HB217" t="e">
        <f>Sheet1!N3+"'E4!.%N"</f>
        <v>#VALUE!</v>
      </c>
      <c r="HC217" t="e">
        <f>Sheet1!O3+"'E4!.%O"</f>
        <v>#VALUE!</v>
      </c>
      <c r="HD217" t="e">
        <f>Sheet1!P3+"'E4!.%P"</f>
        <v>#VALUE!</v>
      </c>
      <c r="HE217" t="e">
        <f>Sheet1!Q3+"'E4!.%Q"</f>
        <v>#VALUE!</v>
      </c>
      <c r="HF217" t="e">
        <f>Sheet1!R3+"'E4!.%R"</f>
        <v>#VALUE!</v>
      </c>
      <c r="HG217" t="e">
        <f>Sheet1!S3+"'E4!.%S"</f>
        <v>#VALUE!</v>
      </c>
      <c r="HH217" t="e">
        <f>Sheet1!T3+"'E4!.%T"</f>
        <v>#VALUE!</v>
      </c>
      <c r="HI217" t="e">
        <f>Sheet1!U3+"'E4!.%U"</f>
        <v>#VALUE!</v>
      </c>
      <c r="HJ217" t="e">
        <f>Sheet1!Y3+"'E4!.%V"</f>
        <v>#VALUE!</v>
      </c>
      <c r="HK217" t="e">
        <f>Sheet1!Z3+"'E4!.%W"</f>
        <v>#VALUE!</v>
      </c>
      <c r="HL217" t="e">
        <f>Sheet1!AA3+"'E4!.%X"</f>
        <v>#VALUE!</v>
      </c>
      <c r="HM217" t="e">
        <f>Sheet1!AB3+"'E4!.%Y"</f>
        <v>#VALUE!</v>
      </c>
      <c r="HN217" t="e">
        <f>Sheet1!A4+"'E4!.%Z"</f>
        <v>#VALUE!</v>
      </c>
      <c r="HO217" t="e">
        <f>Sheet1!B4+"'E4!.%["</f>
        <v>#VALUE!</v>
      </c>
      <c r="HP217" t="e">
        <f>Sheet1!C4+"'E4!.%\"</f>
        <v>#VALUE!</v>
      </c>
      <c r="HQ217" t="e">
        <f>Sheet1!D4+"'E4!.%]"</f>
        <v>#VALUE!</v>
      </c>
      <c r="HR217" t="e">
        <f>Sheet1!E4+"'E4!.%^"</f>
        <v>#VALUE!</v>
      </c>
      <c r="HS217" t="e">
        <f>Sheet1!F4+"'E4!.%_"</f>
        <v>#VALUE!</v>
      </c>
      <c r="HT217" t="e">
        <f>Sheet1!G4+"'E4!.%`"</f>
        <v>#VALUE!</v>
      </c>
      <c r="HU217" t="e">
        <f>Sheet1!H4+"'E4!.%a"</f>
        <v>#VALUE!</v>
      </c>
      <c r="HV217" t="e">
        <f>Sheet1!I4+"'E4!.%b"</f>
        <v>#VALUE!</v>
      </c>
      <c r="HW217" t="e">
        <f>Sheet1!J4+"'E4!.%c"</f>
        <v>#VALUE!</v>
      </c>
      <c r="HX217" t="e">
        <f>Sheet1!K4+"'E4!.%d"</f>
        <v>#VALUE!</v>
      </c>
      <c r="HY217" t="e">
        <f>Sheet1!L4+"'E4!.%e"</f>
        <v>#VALUE!</v>
      </c>
      <c r="HZ217" t="e">
        <f>Sheet1!M4+"'E4!.%f"</f>
        <v>#VALUE!</v>
      </c>
      <c r="IA217" t="e">
        <f>Sheet1!N4+"'E4!.%g"</f>
        <v>#VALUE!</v>
      </c>
      <c r="IB217" t="e">
        <f>Sheet1!O4+"'E4!.%h"</f>
        <v>#VALUE!</v>
      </c>
      <c r="IC217" t="e">
        <f>Sheet1!P4+"'E4!.%i"</f>
        <v>#VALUE!</v>
      </c>
      <c r="ID217" t="e">
        <f>Sheet1!Q4+"'E4!.%j"</f>
        <v>#VALUE!</v>
      </c>
      <c r="IE217" t="e">
        <f>Sheet1!R4+"'E4!.%k"</f>
        <v>#VALUE!</v>
      </c>
      <c r="IF217" t="e">
        <f>Sheet1!S4+"'E4!.%l"</f>
        <v>#VALUE!</v>
      </c>
      <c r="IG217" t="e">
        <f>Sheet1!T4+"'E4!.%m"</f>
        <v>#VALUE!</v>
      </c>
      <c r="IH217" t="e">
        <f>Sheet1!U4+"'E4!.%n"</f>
        <v>#VALUE!</v>
      </c>
      <c r="II217" t="e">
        <f>Sheet1!Y4+"'E4!.%o"</f>
        <v>#VALUE!</v>
      </c>
      <c r="IJ217" t="e">
        <f>Sheet1!Z4+"'E4!.%p"</f>
        <v>#VALUE!</v>
      </c>
      <c r="IK217" t="e">
        <f>Sheet1!AA4+"'E4!.%q"</f>
        <v>#VALUE!</v>
      </c>
      <c r="IL217" t="e">
        <f>Sheet1!AB4+"'E4!.%r"</f>
        <v>#VALUE!</v>
      </c>
      <c r="IM217" t="e">
        <f>Sheet1!A5+"'E4!.%s"</f>
        <v>#VALUE!</v>
      </c>
      <c r="IN217" t="e">
        <f>Sheet1!B5+"'E4!.%t"</f>
        <v>#VALUE!</v>
      </c>
      <c r="IO217" t="e">
        <f>Sheet1!C5+"'E4!.%u"</f>
        <v>#VALUE!</v>
      </c>
      <c r="IP217" t="e">
        <f>Sheet1!D5+"'E4!.%v"</f>
        <v>#VALUE!</v>
      </c>
      <c r="IQ217" t="e">
        <f>Sheet1!E5+"'E4!.%w"</f>
        <v>#VALUE!</v>
      </c>
      <c r="IR217" t="e">
        <f>Sheet1!F5+"'E4!.%x"</f>
        <v>#VALUE!</v>
      </c>
      <c r="IS217" t="e">
        <f>Sheet1!G5+"'E4!.%y"</f>
        <v>#VALUE!</v>
      </c>
      <c r="IT217" t="e">
        <f>Sheet1!H5+"'E4!.%z"</f>
        <v>#VALUE!</v>
      </c>
      <c r="IU217" t="e">
        <f>Sheet1!I5+"'E4!.%{"</f>
        <v>#VALUE!</v>
      </c>
      <c r="IV217" t="e">
        <f>Sheet1!J5+"'E4!.%|"</f>
        <v>#VALUE!</v>
      </c>
    </row>
    <row r="218" spans="6:256">
      <c r="F218" t="e">
        <f>Sheet1!K5+"'E4!.%}"</f>
        <v>#VALUE!</v>
      </c>
      <c r="G218" t="e">
        <f>Sheet1!L5+"'E4!.%~"</f>
        <v>#VALUE!</v>
      </c>
      <c r="H218" t="e">
        <f>Sheet1!M5+"'E4!.&amp;#"</f>
        <v>#VALUE!</v>
      </c>
      <c r="I218" t="e">
        <f>Sheet1!N5+"'E4!.&amp;$"</f>
        <v>#VALUE!</v>
      </c>
      <c r="J218" t="e">
        <f>Sheet1!O5+"'E4!.&amp;%"</f>
        <v>#VALUE!</v>
      </c>
      <c r="K218" t="e">
        <f>Sheet1!P5+"'E4!.&amp;&amp;"</f>
        <v>#VALUE!</v>
      </c>
      <c r="L218" t="e">
        <f>Sheet1!Q5+"'E4!.&amp;'"</f>
        <v>#VALUE!</v>
      </c>
      <c r="M218" t="e">
        <f>Sheet1!R5+"'E4!.&amp;("</f>
        <v>#VALUE!</v>
      </c>
      <c r="N218" t="e">
        <f>Sheet1!S5+"'E4!.&amp;)"</f>
        <v>#VALUE!</v>
      </c>
      <c r="O218" t="e">
        <f>Sheet1!T5+"'E4!.&amp;."</f>
        <v>#VALUE!</v>
      </c>
      <c r="P218" t="e">
        <f>Sheet1!U5+"'E4!.&amp;/"</f>
        <v>#VALUE!</v>
      </c>
      <c r="Q218" s="333" t="e">
        <f>Sheet1!X5+"'E4!.&amp;0"</f>
        <v>#VALUE!</v>
      </c>
      <c r="R218" t="e">
        <f>Sheet1!Y5+"'E4!.&amp;1"</f>
        <v>#VALUE!</v>
      </c>
      <c r="S218" t="e">
        <f>Sheet1!Z5+"'E4!.&amp;2"</f>
        <v>#VALUE!</v>
      </c>
      <c r="T218" t="e">
        <f>Sheet1!AA5+"'E4!.&amp;3"</f>
        <v>#VALUE!</v>
      </c>
      <c r="U218" t="e">
        <f>Sheet1!AB5+"'E4!.&amp;4"</f>
        <v>#VALUE!</v>
      </c>
      <c r="V218" t="e">
        <f>Sheet1!A6+"'E4!.&amp;5"</f>
        <v>#VALUE!</v>
      </c>
      <c r="W218" t="e">
        <f>Sheet1!B6+"'E4!.&amp;6"</f>
        <v>#VALUE!</v>
      </c>
      <c r="X218" t="e">
        <f>Sheet1!C6+"'E4!.&amp;7"</f>
        <v>#VALUE!</v>
      </c>
      <c r="Y218" t="e">
        <f>Sheet1!D6+"'E4!.&amp;8"</f>
        <v>#VALUE!</v>
      </c>
      <c r="Z218" t="e">
        <f>Sheet1!E6+"'E4!.&amp;9"</f>
        <v>#VALUE!</v>
      </c>
      <c r="AA218" t="e">
        <f>Sheet1!F6+"'E4!.&amp;:"</f>
        <v>#VALUE!</v>
      </c>
      <c r="AB218" t="e">
        <f>Sheet1!G6+"'E4!.&amp;;"</f>
        <v>#VALUE!</v>
      </c>
      <c r="AC218" t="e">
        <f>Sheet1!H6+"'E4!.&amp;&lt;"</f>
        <v>#VALUE!</v>
      </c>
      <c r="AD218" t="e">
        <f>Sheet1!I6+"'E4!.&amp;="</f>
        <v>#VALUE!</v>
      </c>
      <c r="AE218" t="e">
        <f>Sheet1!J6+"'E4!.&amp;&gt;"</f>
        <v>#VALUE!</v>
      </c>
      <c r="AF218" t="e">
        <f>Sheet1!K6+"'E4!.&amp;?"</f>
        <v>#VALUE!</v>
      </c>
      <c r="AG218" t="e">
        <f>Sheet1!L6+"'E4!.&amp;@"</f>
        <v>#VALUE!</v>
      </c>
      <c r="AH218" t="e">
        <f>Sheet1!M6+"'E4!.&amp;A"</f>
        <v>#VALUE!</v>
      </c>
      <c r="AI218" t="e">
        <f>Sheet1!N6+"'E4!.&amp;B"</f>
        <v>#VALUE!</v>
      </c>
      <c r="AJ218" t="e">
        <f>Sheet1!O6+"'E4!.&amp;C"</f>
        <v>#VALUE!</v>
      </c>
      <c r="AK218" t="e">
        <f>Sheet1!P6+"'E4!.&amp;D"</f>
        <v>#VALUE!</v>
      </c>
      <c r="AL218" t="e">
        <f>Sheet1!Q6+"'E4!.&amp;E"</f>
        <v>#VALUE!</v>
      </c>
      <c r="AM218" t="e">
        <f>Sheet1!R6+"'E4!.&amp;F"</f>
        <v>#VALUE!</v>
      </c>
      <c r="AN218" t="e">
        <f>Sheet1!S6+"'E4!.&amp;G"</f>
        <v>#VALUE!</v>
      </c>
      <c r="AO218" t="e">
        <f>Sheet1!T6+"'E4!.&amp;H"</f>
        <v>#VALUE!</v>
      </c>
      <c r="AP218" t="e">
        <f>Sheet1!U6+"'E4!.&amp;I"</f>
        <v>#VALUE!</v>
      </c>
      <c r="AQ218" t="e">
        <f>Sheet1!Y6+"'E4!.&amp;J"</f>
        <v>#VALUE!</v>
      </c>
      <c r="AR218" t="e">
        <f>Sheet1!Z6+"'E4!.&amp;K"</f>
        <v>#VALUE!</v>
      </c>
      <c r="AS218" t="e">
        <f>Sheet1!AA6+"'E4!.&amp;L"</f>
        <v>#VALUE!</v>
      </c>
      <c r="AT218" t="e">
        <f>Sheet1!AB6+"'E4!.&amp;M"</f>
        <v>#VALUE!</v>
      </c>
      <c r="AU218" t="e">
        <f>Sheet1!A7+"'E4!.&amp;N"</f>
        <v>#VALUE!</v>
      </c>
      <c r="AV218" t="e">
        <f>Sheet1!B7+"'E4!.&amp;O"</f>
        <v>#VALUE!</v>
      </c>
      <c r="AW218" t="e">
        <f>Sheet1!C7+"'E4!.&amp;P"</f>
        <v>#VALUE!</v>
      </c>
      <c r="AX218" t="e">
        <f>Sheet1!D7+"'E4!.&amp;Q"</f>
        <v>#VALUE!</v>
      </c>
      <c r="AY218" t="e">
        <f>Sheet1!E7+"'E4!.&amp;R"</f>
        <v>#VALUE!</v>
      </c>
      <c r="AZ218" t="e">
        <f>Sheet1!F7+"'E4!.&amp;S"</f>
        <v>#VALUE!</v>
      </c>
      <c r="BA218" t="e">
        <f>Sheet1!G7+"'E4!.&amp;T"</f>
        <v>#VALUE!</v>
      </c>
      <c r="BB218" t="e">
        <f>Sheet1!H7+"'E4!.&amp;U"</f>
        <v>#VALUE!</v>
      </c>
      <c r="BC218" t="e">
        <f>Sheet1!I7+"'E4!.&amp;V"</f>
        <v>#VALUE!</v>
      </c>
      <c r="BD218" t="e">
        <f>Sheet1!J7+"'E4!.&amp;W"</f>
        <v>#VALUE!</v>
      </c>
      <c r="BE218" t="e">
        <f>Sheet1!K7+"'E4!.&amp;X"</f>
        <v>#VALUE!</v>
      </c>
      <c r="BF218" t="e">
        <f>Sheet1!L7+"'E4!.&amp;Y"</f>
        <v>#VALUE!</v>
      </c>
      <c r="BG218" t="e">
        <f>Sheet1!M7+"'E4!.&amp;Z"</f>
        <v>#VALUE!</v>
      </c>
      <c r="BH218" t="e">
        <f>Sheet1!N7+"'E4!.&amp;["</f>
        <v>#VALUE!</v>
      </c>
      <c r="BI218" t="e">
        <f>Sheet1!O7+"'E4!.&amp;\"</f>
        <v>#VALUE!</v>
      </c>
      <c r="BJ218" t="e">
        <f>Sheet1!P7+"'E4!.&amp;]"</f>
        <v>#VALUE!</v>
      </c>
      <c r="BK218" t="e">
        <f>Sheet1!Q7+"'E4!.&amp;^"</f>
        <v>#VALUE!</v>
      </c>
      <c r="BL218" t="e">
        <f>Sheet1!R7+"'E4!.&amp;_"</f>
        <v>#VALUE!</v>
      </c>
      <c r="BM218" t="e">
        <f>Sheet1!S7+"'E4!.&amp;`"</f>
        <v>#VALUE!</v>
      </c>
      <c r="BN218" t="e">
        <f>Sheet1!T7+"'E4!.&amp;a"</f>
        <v>#VALUE!</v>
      </c>
      <c r="BO218" t="e">
        <f>Sheet1!U7+"'E4!.&amp;b"</f>
        <v>#VALUE!</v>
      </c>
      <c r="BP218" t="e">
        <f>Sheet1!Y7+"'E4!.&amp;c"</f>
        <v>#VALUE!</v>
      </c>
      <c r="BQ218" t="e">
        <f>Sheet1!Z7+"'E4!.&amp;d"</f>
        <v>#VALUE!</v>
      </c>
      <c r="BR218" t="e">
        <f>Sheet1!AA7+"'E4!.&amp;e"</f>
        <v>#VALUE!</v>
      </c>
      <c r="BS218" t="e">
        <f>Sheet1!AB7+"'E4!.&amp;f"</f>
        <v>#VALUE!</v>
      </c>
      <c r="BT218" t="e">
        <f>Sheet1!A8+"'E4!.&amp;g"</f>
        <v>#VALUE!</v>
      </c>
      <c r="BU218" t="e">
        <f>Sheet1!B8+"'E4!.&amp;h"</f>
        <v>#VALUE!</v>
      </c>
      <c r="BV218" t="e">
        <f>Sheet1!C8+"'E4!.&amp;i"</f>
        <v>#VALUE!</v>
      </c>
      <c r="BW218" t="e">
        <f>Sheet1!D8+"'E4!.&amp;j"</f>
        <v>#VALUE!</v>
      </c>
      <c r="BX218" t="e">
        <f>Sheet1!E8+"'E4!.&amp;k"</f>
        <v>#VALUE!</v>
      </c>
      <c r="BY218" t="e">
        <f>Sheet1!F8+"'E4!.&amp;l"</f>
        <v>#VALUE!</v>
      </c>
      <c r="BZ218" t="e">
        <f>Sheet1!G8+"'E4!.&amp;m"</f>
        <v>#VALUE!</v>
      </c>
      <c r="CA218" t="e">
        <f>Sheet1!H8+"'E4!.&amp;n"</f>
        <v>#VALUE!</v>
      </c>
      <c r="CB218" t="e">
        <f>Sheet1!I8+"'E4!.&amp;o"</f>
        <v>#VALUE!</v>
      </c>
      <c r="CC218" t="e">
        <f>Sheet1!J8+"'E4!.&amp;p"</f>
        <v>#VALUE!</v>
      </c>
      <c r="CD218" t="e">
        <f>Sheet1!K8+"'E4!.&amp;q"</f>
        <v>#VALUE!</v>
      </c>
      <c r="CE218" t="e">
        <f>Sheet1!L8+"'E4!.&amp;r"</f>
        <v>#VALUE!</v>
      </c>
      <c r="CF218" t="e">
        <f>Sheet1!M8+"'E4!.&amp;s"</f>
        <v>#VALUE!</v>
      </c>
      <c r="CG218" t="e">
        <f>Sheet1!N8+"'E4!.&amp;t"</f>
        <v>#VALUE!</v>
      </c>
      <c r="CH218" t="e">
        <f>Sheet1!O8+"'E4!.&amp;u"</f>
        <v>#VALUE!</v>
      </c>
      <c r="CI218" t="e">
        <f>Sheet1!P8+"'E4!.&amp;v"</f>
        <v>#VALUE!</v>
      </c>
      <c r="CJ218" t="e">
        <f>Sheet1!Q8+"'E4!.&amp;w"</f>
        <v>#VALUE!</v>
      </c>
      <c r="CK218" t="e">
        <f>Sheet1!R8+"'E4!.&amp;x"</f>
        <v>#VALUE!</v>
      </c>
      <c r="CL218" t="e">
        <f>Sheet1!S8+"'E4!.&amp;y"</f>
        <v>#VALUE!</v>
      </c>
      <c r="CM218" t="e">
        <f>Sheet1!T8+"'E4!.&amp;z"</f>
        <v>#VALUE!</v>
      </c>
      <c r="CN218" t="e">
        <f>Sheet1!U8+"'E4!.&amp;{"</f>
        <v>#VALUE!</v>
      </c>
      <c r="CO218" t="e">
        <f>Sheet1!Y8+"'E4!.&amp;|"</f>
        <v>#VALUE!</v>
      </c>
      <c r="CP218" t="e">
        <f>Sheet1!Z8+"'E4!.&amp;}"</f>
        <v>#VALUE!</v>
      </c>
      <c r="CQ218" t="e">
        <f>Sheet1!AA8+"'E4!.&amp;~"</f>
        <v>#VALUE!</v>
      </c>
      <c r="CR218" t="e">
        <f>Sheet1!A9+"'E4!.'#"</f>
        <v>#VALUE!</v>
      </c>
      <c r="CS218" t="e">
        <f>Sheet1!B9+"'E4!.'$"</f>
        <v>#VALUE!</v>
      </c>
      <c r="CT218" t="e">
        <f>Sheet1!C9+"'E4!.'%"</f>
        <v>#VALUE!</v>
      </c>
      <c r="CU218" t="e">
        <f>Sheet1!D9+"'E4!.'&amp;"</f>
        <v>#VALUE!</v>
      </c>
      <c r="CV218" t="e">
        <f>Sheet1!E9+"'E4!.''"</f>
        <v>#VALUE!</v>
      </c>
      <c r="CW218" t="e">
        <f>Sheet1!F9+"'E4!.'("</f>
        <v>#VALUE!</v>
      </c>
      <c r="CX218" t="e">
        <f>Sheet1!G9+"'E4!.')"</f>
        <v>#VALUE!</v>
      </c>
      <c r="CY218" t="e">
        <f>Sheet1!H9+"'E4!.'."</f>
        <v>#VALUE!</v>
      </c>
      <c r="CZ218" t="e">
        <f>Sheet1!I9+"'E4!.'/"</f>
        <v>#VALUE!</v>
      </c>
      <c r="DA218" t="e">
        <f>Sheet1!J9+"'E4!.'0"</f>
        <v>#VALUE!</v>
      </c>
      <c r="DB218" t="e">
        <f>Sheet1!K9+"'E4!.'1"</f>
        <v>#VALUE!</v>
      </c>
      <c r="DC218" t="e">
        <f>Sheet1!L9+"'E4!.'2"</f>
        <v>#VALUE!</v>
      </c>
      <c r="DD218" t="e">
        <f>Sheet1!M9+"'E4!.'3"</f>
        <v>#VALUE!</v>
      </c>
      <c r="DE218" t="e">
        <f>Sheet1!N9+"'E4!.'4"</f>
        <v>#VALUE!</v>
      </c>
      <c r="DF218" t="e">
        <f>Sheet1!O9+"'E4!.'5"</f>
        <v>#VALUE!</v>
      </c>
      <c r="DG218" t="e">
        <f>Sheet1!P9+"'E4!.'6"</f>
        <v>#VALUE!</v>
      </c>
      <c r="DH218" t="e">
        <f>Sheet1!Q9+"'E4!.'7"</f>
        <v>#VALUE!</v>
      </c>
      <c r="DI218" t="e">
        <f>Sheet1!R9+"'E4!.'8"</f>
        <v>#VALUE!</v>
      </c>
      <c r="DJ218" t="e">
        <f>Sheet1!S9+"'E4!.'9"</f>
        <v>#VALUE!</v>
      </c>
      <c r="DK218" t="e">
        <f>Sheet1!T9+"'E4!.':"</f>
        <v>#VALUE!</v>
      </c>
      <c r="DL218" t="e">
        <f>Sheet1!U9+"'E4!.';"</f>
        <v>#VALUE!</v>
      </c>
      <c r="DM218" t="e">
        <f>Sheet1!Y9+"'E4!.'&lt;"</f>
        <v>#VALUE!</v>
      </c>
      <c r="DN218" t="e">
        <f>Sheet1!Z9+"'E4!.'="</f>
        <v>#VALUE!</v>
      </c>
      <c r="DO218" t="e">
        <f>Sheet1!AA9+"'E4!.'&gt;"</f>
        <v>#VALUE!</v>
      </c>
      <c r="DP218" t="e">
        <f>Sheet1!A10+"'E4!.'?"</f>
        <v>#VALUE!</v>
      </c>
      <c r="DQ218" t="e">
        <f>Sheet1!B10+"'E4!.'@"</f>
        <v>#VALUE!</v>
      </c>
      <c r="DR218" t="e">
        <f>Sheet1!C10+"'E4!.'A"</f>
        <v>#VALUE!</v>
      </c>
      <c r="DS218" t="e">
        <f>Sheet1!D10+"'E4!.'B"</f>
        <v>#VALUE!</v>
      </c>
      <c r="DT218" t="e">
        <f>Sheet1!E10+"'E4!.'C"</f>
        <v>#VALUE!</v>
      </c>
      <c r="DU218" t="e">
        <f>Sheet1!F10+"'E4!.'D"</f>
        <v>#VALUE!</v>
      </c>
      <c r="DV218" t="e">
        <f>Sheet1!G10+"'E4!.'E"</f>
        <v>#VALUE!</v>
      </c>
      <c r="DW218" t="e">
        <f>Sheet1!H10+"'E4!.'F"</f>
        <v>#VALUE!</v>
      </c>
      <c r="DX218" t="e">
        <f>Sheet1!I10+"'E4!.'G"</f>
        <v>#VALUE!</v>
      </c>
      <c r="DY218" t="e">
        <f>Sheet1!J10+"'E4!.'H"</f>
        <v>#VALUE!</v>
      </c>
      <c r="DZ218" t="e">
        <f>Sheet1!K10+"'E4!.'I"</f>
        <v>#VALUE!</v>
      </c>
      <c r="EA218" t="e">
        <f>Sheet1!L10+"'E4!.'J"</f>
        <v>#VALUE!</v>
      </c>
      <c r="EB218" t="e">
        <f>Sheet1!M10+"'E4!.'K"</f>
        <v>#VALUE!</v>
      </c>
      <c r="EC218" t="e">
        <f>Sheet1!N10+"'E4!.'L"</f>
        <v>#VALUE!</v>
      </c>
      <c r="ED218" t="e">
        <f>Sheet1!O10+"'E4!.'M"</f>
        <v>#VALUE!</v>
      </c>
      <c r="EE218" t="e">
        <f>Sheet1!P10+"'E4!.'N"</f>
        <v>#VALUE!</v>
      </c>
      <c r="EF218" t="e">
        <f>Sheet1!Q10+"'E4!.'O"</f>
        <v>#VALUE!</v>
      </c>
      <c r="EG218" t="e">
        <f>Sheet1!R10+"'E4!.'P"</f>
        <v>#VALUE!</v>
      </c>
      <c r="EH218" t="e">
        <f>Sheet1!S10+"'E4!.'Q"</f>
        <v>#VALUE!</v>
      </c>
      <c r="EI218" t="e">
        <f>Sheet1!T10+"'E4!.'R"</f>
        <v>#VALUE!</v>
      </c>
      <c r="EJ218" t="e">
        <f>Sheet1!U10+"'E4!.'S"</f>
        <v>#VALUE!</v>
      </c>
      <c r="EK218" s="333" t="e">
        <f>Sheet1!X10+"'E4!.'T"</f>
        <v>#VALUE!</v>
      </c>
      <c r="EL218" t="e">
        <f>Sheet1!Y10+"'E4!.'U"</f>
        <v>#VALUE!</v>
      </c>
      <c r="EM218" t="e">
        <f>Sheet1!Z10+"'E4!.'V"</f>
        <v>#VALUE!</v>
      </c>
      <c r="EN218" t="e">
        <f>Sheet1!AA10+"'E4!.'W"</f>
        <v>#VALUE!</v>
      </c>
      <c r="EO218" t="e">
        <f>Sheet1!AC10+"'E4!.'X"</f>
        <v>#VALUE!</v>
      </c>
      <c r="EP218" t="e">
        <f>Sheet1!A11+"'E4!.'Y"</f>
        <v>#VALUE!</v>
      </c>
      <c r="EQ218" t="e">
        <f>Sheet1!B11+"'E4!.'Z"</f>
        <v>#VALUE!</v>
      </c>
      <c r="ER218" t="e">
        <f>Sheet1!C11+"'E4!.'["</f>
        <v>#VALUE!</v>
      </c>
      <c r="ES218" t="e">
        <f>Sheet1!D11+"'E4!.'\"</f>
        <v>#VALUE!</v>
      </c>
      <c r="ET218" t="e">
        <f>Sheet1!E11+"'E4!.']"</f>
        <v>#VALUE!</v>
      </c>
      <c r="EU218" t="e">
        <f>Sheet1!F11+"'E4!.'^"</f>
        <v>#VALUE!</v>
      </c>
      <c r="EV218" t="e">
        <f>Sheet1!G11+"'E4!.'_"</f>
        <v>#VALUE!</v>
      </c>
      <c r="EW218" t="e">
        <f>Sheet1!H11+"'E4!.'`"</f>
        <v>#VALUE!</v>
      </c>
      <c r="EX218" t="e">
        <f>Sheet1!I11+"'E4!.'a"</f>
        <v>#VALUE!</v>
      </c>
      <c r="EY218" t="e">
        <f>Sheet1!J11+"'E4!.'b"</f>
        <v>#VALUE!</v>
      </c>
      <c r="EZ218" t="e">
        <f>Sheet1!K11+"'E4!.'c"</f>
        <v>#VALUE!</v>
      </c>
      <c r="FA218" t="e">
        <f>Sheet1!L11+"'E4!.'d"</f>
        <v>#VALUE!</v>
      </c>
      <c r="FB218" t="e">
        <f>Sheet1!M11+"'E4!.'e"</f>
        <v>#VALUE!</v>
      </c>
      <c r="FC218" t="e">
        <f>Sheet1!N11+"'E4!.'f"</f>
        <v>#VALUE!</v>
      </c>
      <c r="FD218" t="e">
        <f>Sheet1!O11+"'E4!.'g"</f>
        <v>#VALUE!</v>
      </c>
      <c r="FE218" t="e">
        <f>Sheet1!P11+"'E4!.'h"</f>
        <v>#VALUE!</v>
      </c>
      <c r="FF218" t="e">
        <f>Sheet1!Q11+"'E4!.'i"</f>
        <v>#VALUE!</v>
      </c>
      <c r="FG218" t="e">
        <f>Sheet1!R11+"'E4!.'j"</f>
        <v>#VALUE!</v>
      </c>
      <c r="FH218" t="e">
        <f>Sheet1!S11+"'E4!.'k"</f>
        <v>#VALUE!</v>
      </c>
      <c r="FI218" t="e">
        <f>Sheet1!T11+"'E4!.'l"</f>
        <v>#VALUE!</v>
      </c>
      <c r="FJ218" t="e">
        <f>Sheet1!U11+"'E4!.'m"</f>
        <v>#VALUE!</v>
      </c>
      <c r="FK218" s="333" t="e">
        <f>Sheet1!X11+"'E4!.'n"</f>
        <v>#VALUE!</v>
      </c>
      <c r="FL218" t="e">
        <f>Sheet1!Y11+"'E4!.'o"</f>
        <v>#VALUE!</v>
      </c>
      <c r="FM218" t="e">
        <f>Sheet1!Z11+"'E4!.'p"</f>
        <v>#VALUE!</v>
      </c>
      <c r="FN218" t="e">
        <f>Sheet1!AA11+"'E4!.'q"</f>
        <v>#VALUE!</v>
      </c>
      <c r="FO218" t="e">
        <f>Sheet1!AC11+"'E4!.'r"</f>
        <v>#VALUE!</v>
      </c>
      <c r="FP218" t="e">
        <f>Sheet1!A12+"'E4!.'s"</f>
        <v>#VALUE!</v>
      </c>
      <c r="FQ218" t="e">
        <f>Sheet1!B12+"'E4!.'t"</f>
        <v>#VALUE!</v>
      </c>
      <c r="FR218" t="e">
        <f>Sheet1!C12+"'E4!.'u"</f>
        <v>#VALUE!</v>
      </c>
      <c r="FS218" t="e">
        <f>Sheet1!D12+"'E4!.'v"</f>
        <v>#VALUE!</v>
      </c>
      <c r="FT218" t="e">
        <f>Sheet1!E12+"'E4!.'w"</f>
        <v>#VALUE!</v>
      </c>
      <c r="FU218" t="e">
        <f>Sheet1!F12+"'E4!.'x"</f>
        <v>#VALUE!</v>
      </c>
      <c r="FV218" t="e">
        <f>Sheet1!G12+"'E4!.'y"</f>
        <v>#VALUE!</v>
      </c>
      <c r="FW218" t="e">
        <f>Sheet1!H12+"'E4!.'z"</f>
        <v>#VALUE!</v>
      </c>
      <c r="FX218" t="e">
        <f>Sheet1!I12+"'E4!.'{"</f>
        <v>#VALUE!</v>
      </c>
      <c r="FY218" t="e">
        <f>Sheet1!J12+"'E4!.'|"</f>
        <v>#VALUE!</v>
      </c>
      <c r="FZ218" t="e">
        <f>Sheet1!K12+"'E4!.'}"</f>
        <v>#VALUE!</v>
      </c>
      <c r="GA218" t="e">
        <f>Sheet1!L12+"'E4!.'~"</f>
        <v>#VALUE!</v>
      </c>
      <c r="GB218" t="e">
        <f>Sheet1!M12+"'E4!.(#"</f>
        <v>#VALUE!</v>
      </c>
      <c r="GC218" t="e">
        <f>Sheet1!N12+"'E4!.($"</f>
        <v>#VALUE!</v>
      </c>
      <c r="GD218" t="e">
        <f>Sheet1!O12+"'E4!.(%"</f>
        <v>#VALUE!</v>
      </c>
      <c r="GE218" t="e">
        <f>Sheet1!P12+"'E4!.(&amp;"</f>
        <v>#VALUE!</v>
      </c>
      <c r="GF218" t="e">
        <f>Sheet1!Q12+"'E4!.('"</f>
        <v>#VALUE!</v>
      </c>
      <c r="GG218" t="e">
        <f>Sheet1!R12+"'E4!.(("</f>
        <v>#VALUE!</v>
      </c>
      <c r="GH218" t="e">
        <f>Sheet1!S12+"'E4!.()"</f>
        <v>#VALUE!</v>
      </c>
      <c r="GI218" t="e">
        <f>Sheet1!T12+"'E4!.(."</f>
        <v>#VALUE!</v>
      </c>
      <c r="GJ218" t="e">
        <f>Sheet1!U12+"'E4!.(/"</f>
        <v>#VALUE!</v>
      </c>
      <c r="GK218" s="333" t="e">
        <f>Sheet1!X12+"'E4!.(0"</f>
        <v>#VALUE!</v>
      </c>
      <c r="GL218" t="e">
        <f>Sheet1!Y12+"'E4!.(1"</f>
        <v>#VALUE!</v>
      </c>
      <c r="GM218" t="e">
        <f>Sheet1!Z12+"'E4!.(2"</f>
        <v>#VALUE!</v>
      </c>
      <c r="GN218" t="e">
        <f>Sheet1!AA12+"'E4!.(3"</f>
        <v>#VALUE!</v>
      </c>
      <c r="GO218" t="e">
        <f>Sheet1!AC12+"'E4!.(4"</f>
        <v>#VALUE!</v>
      </c>
      <c r="GP218" t="e">
        <f>Sheet1!A13+"'E4!.(5"</f>
        <v>#VALUE!</v>
      </c>
      <c r="GQ218" t="e">
        <f>Sheet1!B13+"'E4!.(6"</f>
        <v>#VALUE!</v>
      </c>
      <c r="GR218" t="e">
        <f>Sheet1!C13+"'E4!.(7"</f>
        <v>#VALUE!</v>
      </c>
      <c r="GS218" t="e">
        <f>Sheet1!D13+"'E4!.(8"</f>
        <v>#VALUE!</v>
      </c>
      <c r="GT218" t="e">
        <f>Sheet1!E13+"'E4!.(9"</f>
        <v>#VALUE!</v>
      </c>
      <c r="GU218" t="e">
        <f>Sheet1!F13+"'E4!.(:"</f>
        <v>#VALUE!</v>
      </c>
      <c r="GV218" t="e">
        <f>Sheet1!H13+"'E4!.(;"</f>
        <v>#VALUE!</v>
      </c>
      <c r="GW218" t="e">
        <f>Sheet1!I13+"'E4!.(&lt;"</f>
        <v>#VALUE!</v>
      </c>
      <c r="GX218" t="e">
        <f>Sheet1!J13+"'E4!.(="</f>
        <v>#VALUE!</v>
      </c>
      <c r="GY218" t="e">
        <f>Sheet1!L13+"'E4!.(&gt;"</f>
        <v>#VALUE!</v>
      </c>
      <c r="GZ218" t="e">
        <f>Sheet1!M13+"'E4!.(?"</f>
        <v>#VALUE!</v>
      </c>
      <c r="HA218" t="e">
        <f>Sheet1!N13+"'E4!.(@"</f>
        <v>#VALUE!</v>
      </c>
      <c r="HB218" t="e">
        <f>Sheet1!O13+"'E4!.(A"</f>
        <v>#VALUE!</v>
      </c>
      <c r="HC218" t="e">
        <f>Sheet1!A14+"'E4!.(B"</f>
        <v>#VALUE!</v>
      </c>
      <c r="HD218" t="e">
        <f>Sheet1!B14+"'E4!.(C"</f>
        <v>#VALUE!</v>
      </c>
      <c r="HE218" t="e">
        <f>Sheet1!C14+"'E4!.(D"</f>
        <v>#VALUE!</v>
      </c>
      <c r="HF218" t="e">
        <f>Sheet1!D14+"'E4!.(E"</f>
        <v>#VALUE!</v>
      </c>
      <c r="HG218" t="e">
        <f>Sheet1!E14+"'E4!.(F"</f>
        <v>#VALUE!</v>
      </c>
      <c r="HH218" t="e">
        <f>Sheet1!F14+"'E4!.(G"</f>
        <v>#VALUE!</v>
      </c>
      <c r="HI218" t="e">
        <f>Sheet1!H14+"'E4!.(H"</f>
        <v>#VALUE!</v>
      </c>
      <c r="HJ218" t="e">
        <f>Sheet1!I14+"'E4!.(I"</f>
        <v>#VALUE!</v>
      </c>
      <c r="HK218" t="e">
        <f>Sheet1!J14+"'E4!.(J"</f>
        <v>#VALUE!</v>
      </c>
      <c r="HL218" t="e">
        <f>Sheet1!L14+"'E4!.(K"</f>
        <v>#VALUE!</v>
      </c>
      <c r="HM218" t="e">
        <f>Sheet1!M14+"'E4!.(L"</f>
        <v>#VALUE!</v>
      </c>
      <c r="HN218" t="e">
        <f>Sheet1!N14+"'E4!.(M"</f>
        <v>#VALUE!</v>
      </c>
      <c r="HO218" t="e">
        <f>Sheet1!O14+"'E4!.(N"</f>
        <v>#VALUE!</v>
      </c>
      <c r="HP218" t="e">
        <f>Sheet1!A15+"'E4!.(O"</f>
        <v>#VALUE!</v>
      </c>
      <c r="HQ218" t="e">
        <f>Sheet1!B15+"'E4!.(P"</f>
        <v>#VALUE!</v>
      </c>
      <c r="HR218" t="e">
        <f>Sheet1!C15+"'E4!.(Q"</f>
        <v>#VALUE!</v>
      </c>
      <c r="HS218" t="e">
        <f>Sheet1!D15+"'E4!.(R"</f>
        <v>#VALUE!</v>
      </c>
      <c r="HT218" t="e">
        <f>Sheet1!E15+"'E4!.(S"</f>
        <v>#VALUE!</v>
      </c>
      <c r="HU218" t="e">
        <f>Sheet1!F15+"'E4!.(T"</f>
        <v>#VALUE!</v>
      </c>
      <c r="HV218" t="e">
        <f>Sheet1!H15+"'E4!.(U"</f>
        <v>#VALUE!</v>
      </c>
      <c r="HW218" t="e">
        <f>Sheet1!I15+"'E4!.(V"</f>
        <v>#VALUE!</v>
      </c>
      <c r="HX218" t="e">
        <f>Sheet1!J15+"'E4!.(W"</f>
        <v>#VALUE!</v>
      </c>
      <c r="HY218" t="e">
        <f>Sheet1!L15+"'E4!.(X"</f>
        <v>#VALUE!</v>
      </c>
      <c r="HZ218" t="e">
        <f>Sheet1!M15+"'E4!.(Y"</f>
        <v>#VALUE!</v>
      </c>
      <c r="IA218" t="e">
        <f>Sheet1!N15+"'E4!.(Z"</f>
        <v>#VALUE!</v>
      </c>
      <c r="IB218" t="e">
        <f>Sheet1!O15+"'E4!.(["</f>
        <v>#VALUE!</v>
      </c>
      <c r="IC218" t="e">
        <f>Sheet1!A16+"'E4!.(\"</f>
        <v>#VALUE!</v>
      </c>
      <c r="ID218" t="e">
        <f>Sheet1!B16+"'E4!.(]"</f>
        <v>#VALUE!</v>
      </c>
      <c r="IE218" t="e">
        <f>Sheet1!C16+"'E4!.(^"</f>
        <v>#VALUE!</v>
      </c>
      <c r="IF218" t="e">
        <f>Sheet1!D16+"'E4!.(_"</f>
        <v>#VALUE!</v>
      </c>
      <c r="IG218" t="e">
        <f>Sheet1!E16+"'E4!.(`"</f>
        <v>#VALUE!</v>
      </c>
      <c r="IH218" t="e">
        <f>Sheet1!F16+"'E4!.(a"</f>
        <v>#VALUE!</v>
      </c>
      <c r="II218" t="e">
        <f>Sheet1!H16+"'E4!.(b"</f>
        <v>#VALUE!</v>
      </c>
      <c r="IJ218" t="e">
        <f>Sheet1!I16+"'E4!.(c"</f>
        <v>#VALUE!</v>
      </c>
      <c r="IK218" t="e">
        <f>Sheet1!J16+"'E4!.(d"</f>
        <v>#VALUE!</v>
      </c>
      <c r="IL218" t="e">
        <f>Sheet1!L16+"'E4!.(e"</f>
        <v>#VALUE!</v>
      </c>
      <c r="IM218" t="e">
        <f>Sheet1!M16+"'E4!.(f"</f>
        <v>#VALUE!</v>
      </c>
      <c r="IN218" t="e">
        <f>Sheet1!N16+"'E4!.(g"</f>
        <v>#VALUE!</v>
      </c>
      <c r="IO218" t="e">
        <f>Sheet1!O16+"'E4!.(h"</f>
        <v>#VALUE!</v>
      </c>
      <c r="IP218" t="e">
        <f>Pivot!A:A*"'E4!.(m"</f>
        <v>#VALUE!</v>
      </c>
      <c r="IQ218" t="e">
        <f>Pivot!B:B*"'E4!.(n"</f>
        <v>#VALUE!</v>
      </c>
      <c r="IR218" t="e">
        <f>Pivot!C:C*"'E4!.(o"</f>
        <v>#VALUE!</v>
      </c>
      <c r="IS218" t="e">
        <f>Pivot!D:D*"'E4!.(p"</f>
        <v>#VALUE!</v>
      </c>
      <c r="IT218" t="e">
        <f>Pivot!E:E*"'E4!.(q"</f>
        <v>#VALUE!</v>
      </c>
      <c r="IU218" t="e">
        <f>Pivot!F:F*"'E4!.(r"</f>
        <v>#VALUE!</v>
      </c>
      <c r="IV218" t="e">
        <f>Pivot!G:G*"'E4!.(s"</f>
        <v>#VALUE!</v>
      </c>
    </row>
    <row r="219" spans="6:256">
      <c r="F219" t="e">
        <f>Pivot!H:H*"'E4!.(t"</f>
        <v>#VALUE!</v>
      </c>
      <c r="G219" t="e">
        <f>Pivot!I:I*"'E4!.(u"</f>
        <v>#VALUE!</v>
      </c>
      <c r="H219" t="e">
        <f>Pivot!J:J*"'E4!.(v"</f>
        <v>#VALUE!</v>
      </c>
      <c r="I219" t="e">
        <f>Pivot!K:K*"'E4!.(w"</f>
        <v>#VALUE!</v>
      </c>
      <c r="J219" t="e">
        <f>Pivot!L:L*"'E4!.(x"</f>
        <v>#VALUE!</v>
      </c>
      <c r="K219" t="e">
        <f>Pivot!M:M*"'E4!.(y"</f>
        <v>#VALUE!</v>
      </c>
      <c r="L219" t="e">
        <f>Pivot!N:N*"'E4!.(z"</f>
        <v>#VALUE!</v>
      </c>
      <c r="M219" t="e">
        <f>Pivot!O:O*"'E4!.({"</f>
        <v>#VALUE!</v>
      </c>
      <c r="N219" t="e">
        <f>Pivot!P:P*"'E4!.(|"</f>
        <v>#VALUE!</v>
      </c>
      <c r="O219" t="e">
        <f>Pivot!Q:Q*"'E4!.(}"</f>
        <v>#VALUE!</v>
      </c>
      <c r="P219" t="e">
        <f>Pivot!R:R*"'E4!.(~"</f>
        <v>#VALUE!</v>
      </c>
      <c r="Q219" t="e">
        <f>Pivot!S:S*"'E4!.)#"</f>
        <v>#VALUE!</v>
      </c>
      <c r="R219" t="e">
        <f>Pivot!T:T*"'E4!.)$"</f>
        <v>#VALUE!</v>
      </c>
      <c r="S219" t="e">
        <f>Pivot!U:U*"'E4!.)%"</f>
        <v>#VALUE!</v>
      </c>
      <c r="T219" t="e">
        <f>Pivot!V:V*"'E4!.)&amp;"</f>
        <v>#VALUE!</v>
      </c>
      <c r="U219" t="e">
        <f>Pivot!W:W*"'E4!.)'"</f>
        <v>#VALUE!</v>
      </c>
      <c r="V219" t="e">
        <f>Pivot!X:X*"'E4!.)("</f>
        <v>#VALUE!</v>
      </c>
      <c r="W219" t="e">
        <f>Pivot!Y:Y*"'E4!.))"</f>
        <v>#VALUE!</v>
      </c>
      <c r="X219" t="e">
        <f>Pivot!Z:Z*"'E4!.)."</f>
        <v>#VALUE!</v>
      </c>
      <c r="Y219" t="e">
        <f>Pivot!AA:AA*"'E4!.)/"</f>
        <v>#VALUE!</v>
      </c>
      <c r="Z219" t="e">
        <f>Pivot!AB:AB*"'E4!.)0"</f>
        <v>#VALUE!</v>
      </c>
      <c r="AA219" t="e">
        <f>Pivot!AC:AC*"'E4!.)1"</f>
        <v>#VALUE!</v>
      </c>
      <c r="AB219" t="e">
        <f>Pivot!AD:AD*"'E4!.)2"</f>
        <v>#VALUE!</v>
      </c>
      <c r="AC219" t="e">
        <f>Pivot!AE:AE*"'E4!.)3"</f>
        <v>#VALUE!</v>
      </c>
      <c r="AD219" t="e">
        <f>Pivot!AF:AF*"'E4!.)4"</f>
        <v>#VALUE!</v>
      </c>
      <c r="AE219" t="e">
        <f>Pivot!AG:AG*"'E4!.)5"</f>
        <v>#VALUE!</v>
      </c>
      <c r="AF219" t="e">
        <f>Pivot!AH:AH*"'E4!.)6"</f>
        <v>#VALUE!</v>
      </c>
      <c r="AG219" t="e">
        <f>Pivot!AI:AI*"'E4!.)7"</f>
        <v>#VALUE!</v>
      </c>
      <c r="AH219" t="e">
        <f>Pivot!AJ:AJ*"'E4!.)8"</f>
        <v>#VALUE!</v>
      </c>
      <c r="AI219" t="e">
        <f>Pivot!AK:AK*"'E4!.)9"</f>
        <v>#VALUE!</v>
      </c>
      <c r="AJ219" t="e">
        <f>Pivot!AL:AL*"'E4!.):"</f>
        <v>#VALUE!</v>
      </c>
      <c r="AK219" t="e">
        <f>Pivot!AM:AM*"'E4!.);"</f>
        <v>#VALUE!</v>
      </c>
      <c r="AL219" t="e">
        <f>Pivot!AN:AN*"'E4!.)&lt;"</f>
        <v>#VALUE!</v>
      </c>
      <c r="AM219" t="e">
        <f>Pivot!AO:AO*"'E4!.)="</f>
        <v>#VALUE!</v>
      </c>
      <c r="AN219" t="e">
        <f>Pivot!AP:AP*"'E4!.)&gt;"</f>
        <v>#VALUE!</v>
      </c>
      <c r="AO219" t="e">
        <f>Pivot!AQ:AQ*"'E4!.)?"</f>
        <v>#VALUE!</v>
      </c>
      <c r="AP219" t="e">
        <f>Pivot!AR:AR*"'E4!.)@"</f>
        <v>#VALUE!</v>
      </c>
      <c r="AQ219" t="e">
        <f>Pivot!AS:AS*"'E4!.)A"</f>
        <v>#VALUE!</v>
      </c>
      <c r="AR219" t="e">
        <f>Pivot!AT:AT*"'E4!.)B"</f>
        <v>#VALUE!</v>
      </c>
      <c r="AS219" t="e">
        <f>Pivot!AU:AU*"'E4!.)C"</f>
        <v>#VALUE!</v>
      </c>
      <c r="AT219" t="e">
        <f>Pivot!AV:AV*"'E4!.)D"</f>
        <v>#VALUE!</v>
      </c>
      <c r="AU219" t="e">
        <f>Pivot!AW:AW*"'E4!.)E"</f>
        <v>#VALUE!</v>
      </c>
      <c r="AV219" t="e">
        <f>Pivot!AX:AX*"'E4!.)F"</f>
        <v>#VALUE!</v>
      </c>
      <c r="AW219" t="e">
        <f>Pivot!AY:AY*"'E4!.)G"</f>
        <v>#VALUE!</v>
      </c>
      <c r="AX219" t="e">
        <f>Pivot!AZ:AZ*"'E4!.)H"</f>
        <v>#VALUE!</v>
      </c>
      <c r="AY219" t="e">
        <f>Pivot!BA:BA*"'E4!.)I"</f>
        <v>#VALUE!</v>
      </c>
      <c r="AZ219" t="e">
        <f>Pivot!BB:BB*"'E4!.)J"</f>
        <v>#VALUE!</v>
      </c>
      <c r="BA219" t="e">
        <f>Pivot!BC:BC*"'E4!.)K"</f>
        <v>#VALUE!</v>
      </c>
      <c r="BB219" t="e">
        <f>Pivot!BD:BD*"'E4!.)L"</f>
        <v>#VALUE!</v>
      </c>
      <c r="BC219" t="e">
        <f>Pivot!BE:BE*"'E4!.)M"</f>
        <v>#VALUE!</v>
      </c>
      <c r="BD219" t="e">
        <f>Pivot!BF:BF*"'E4!.)N"</f>
        <v>#VALUE!</v>
      </c>
      <c r="BE219" t="e">
        <f>Pivot!BG:BG*"'E4!.)O"</f>
        <v>#VALUE!</v>
      </c>
      <c r="BF219" t="e">
        <f>Pivot!BH:BH*"'E4!.)P"</f>
        <v>#VALUE!</v>
      </c>
      <c r="BG219" t="e">
        <f>Pivot!BI:BI*"'E4!.)Q"</f>
        <v>#VALUE!</v>
      </c>
      <c r="BH219" t="e">
        <f>Pivot!BJ:BJ*"'E4!.)R"</f>
        <v>#VALUE!</v>
      </c>
      <c r="BI219" t="e">
        <f>Pivot!BK:BK*"'E4!.)S"</f>
        <v>#VALUE!</v>
      </c>
      <c r="BJ219" t="e">
        <f>Pivot!BL:BL*"'E4!.)T"</f>
        <v>#VALUE!</v>
      </c>
      <c r="BK219" t="e">
        <f>Pivot!BM:BM*"'E4!.)U"</f>
        <v>#VALUE!</v>
      </c>
      <c r="BL219" t="e">
        <f>Pivot!BN:BN*"'E4!.)V"</f>
        <v>#VALUE!</v>
      </c>
      <c r="BM219" t="e">
        <f>Pivot!BO:BO*"'E4!.)W"</f>
        <v>#VALUE!</v>
      </c>
      <c r="BN219" t="e">
        <f>Pivot!BP:BP*"'E4!.)X"</f>
        <v>#VALUE!</v>
      </c>
      <c r="BO219" t="e">
        <f>Pivot!BQ:BQ*"'E4!.)Y"</f>
        <v>#VALUE!</v>
      </c>
      <c r="BP219" t="e">
        <f>Pivot!BR:BR*"'E4!.)Z"</f>
        <v>#VALUE!</v>
      </c>
      <c r="BQ219" t="e">
        <f>Pivot!BS:BS*"'E4!.)["</f>
        <v>#VALUE!</v>
      </c>
      <c r="BR219" t="e">
        <f>Pivot!BT:BT*"'E4!.)\"</f>
        <v>#VALUE!</v>
      </c>
      <c r="BS219" t="e">
        <f>Pivot!BU:BU*"'E4!.)]"</f>
        <v>#VALUE!</v>
      </c>
      <c r="BT219" t="e">
        <f>Pivot!BV:BV*"'E4!.)^"</f>
        <v>#VALUE!</v>
      </c>
      <c r="BU219" t="e">
        <f>Pivot!BW:BW*"'E4!.)_"</f>
        <v>#VALUE!</v>
      </c>
      <c r="BV219" t="e">
        <f>Pivot!BX:BX*"'E4!.)`"</f>
        <v>#VALUE!</v>
      </c>
      <c r="BW219" t="e">
        <f>Pivot!BY:BY*"'E4!.)a"</f>
        <v>#VALUE!</v>
      </c>
      <c r="BX219" t="e">
        <f>Pivot!BZ:BZ*"'E4!.)b"</f>
        <v>#VALUE!</v>
      </c>
      <c r="BY219" t="e">
        <f>Pivot!CA:CA*"'E4!.)c"</f>
        <v>#VALUE!</v>
      </c>
      <c r="BZ219" t="e">
        <f>Pivot!CB:CB*"'E4!.)d"</f>
        <v>#VALUE!</v>
      </c>
      <c r="CA219" t="e">
        <f>Pivot!1:1-"'E4!.)e"</f>
        <v>#VALUE!</v>
      </c>
      <c r="CB219" t="e">
        <f>Pivot!2:2-"'E4!.)f"</f>
        <v>#VALUE!</v>
      </c>
      <c r="CC219" t="e">
        <f>Pivot!3:3-"'E4!.)g"</f>
        <v>#VALUE!</v>
      </c>
      <c r="CD219" t="e">
        <f>Pivot!4:4-"'E4!.)h"</f>
        <v>#VALUE!</v>
      </c>
      <c r="CE219" t="e">
        <f>Pivot!5:5-"'E4!.)i"</f>
        <v>#VALUE!</v>
      </c>
      <c r="CF219" t="e">
        <f>Pivot!6:6-"'E4!.)j"</f>
        <v>#VALUE!</v>
      </c>
      <c r="CG219" t="e">
        <f>Pivot!7:7-"'E4!.)k"</f>
        <v>#VALUE!</v>
      </c>
      <c r="CH219" t="e">
        <f>Pivot!8:8-"'E4!.)l"</f>
        <v>#VALUE!</v>
      </c>
      <c r="CI219" t="e">
        <f>Pivot!9:9-"'E4!.)m"</f>
        <v>#VALUE!</v>
      </c>
      <c r="CJ219" t="e">
        <f>Pivot!10:10-"'E4!.)n"</f>
        <v>#VALUE!</v>
      </c>
      <c r="CK219" t="e">
        <f>Pivot!11:11-"'E4!.)o"</f>
        <v>#VALUE!</v>
      </c>
      <c r="CL219" t="e">
        <f>Pivot!12:12-"'E4!.)p"</f>
        <v>#VALUE!</v>
      </c>
      <c r="CM219" t="e">
        <f>Pivot!13:13-"'E4!.)q"</f>
        <v>#VALUE!</v>
      </c>
      <c r="CN219" t="e">
        <f>Pivot!14:14-"'E4!.)r"</f>
        <v>#VALUE!</v>
      </c>
      <c r="CO219" t="e">
        <f>Pivot!15:15-"'E4!.)s"</f>
        <v>#VALUE!</v>
      </c>
      <c r="CP219" t="e">
        <f>Pivot!16:16-"'E4!.)t"</f>
        <v>#VALUE!</v>
      </c>
      <c r="CQ219" t="e">
        <f>Pivot!17:17-"'E4!.)u"</f>
        <v>#VALUE!</v>
      </c>
      <c r="CR219" t="e">
        <f>Pivot!18:18-"'E4!.)v"</f>
        <v>#VALUE!</v>
      </c>
      <c r="CS219" t="e">
        <f>Pivot!19:19-"'E4!.)w"</f>
        <v>#VALUE!</v>
      </c>
      <c r="CT219" t="e">
        <f>Pivot!20:20-"'E4!.)x"</f>
        <v>#VALUE!</v>
      </c>
      <c r="CU219" t="e">
        <f>Pivot!21:21-"'E4!.)y"</f>
        <v>#VALUE!</v>
      </c>
      <c r="CV219" t="e">
        <f>Pivot!22:22-"'E4!.)z"</f>
        <v>#VALUE!</v>
      </c>
      <c r="CW219" t="e">
        <f>Pivot!23:23-"'E4!.){"</f>
        <v>#VALUE!</v>
      </c>
      <c r="CX219" t="e">
        <f>Pivot!24:24-"'E4!.)|"</f>
        <v>#VALUE!</v>
      </c>
      <c r="CY219" t="e">
        <f>Pivot!25:25-"'E4!.)}"</f>
        <v>#VALUE!</v>
      </c>
      <c r="CZ219" t="e">
        <f>Pivot!26:26-"'E4!.)~"</f>
        <v>#VALUE!</v>
      </c>
      <c r="DA219" t="e">
        <f>Pivot!27:27-"'E4!..#"</f>
        <v>#VALUE!</v>
      </c>
      <c r="DB219" t="e">
        <f>Pivot!28:28-"'E4!..$"</f>
        <v>#VALUE!</v>
      </c>
      <c r="DC219" t="e">
        <f>Pivot!29:29-"'E4!..%"</f>
        <v>#VALUE!</v>
      </c>
      <c r="DD219" t="e">
        <f>Pivot!30:30-"'E4!..&amp;"</f>
        <v>#VALUE!</v>
      </c>
      <c r="DE219" t="e">
        <f>Pivot!31:31-"'E4!..'"</f>
        <v>#VALUE!</v>
      </c>
      <c r="DF219" t="e">
        <f>Pivot!32:32-"'E4!..("</f>
        <v>#VALUE!</v>
      </c>
      <c r="DG219" t="e">
        <f>Pivot!33:33-"'E4!..)"</f>
        <v>#VALUE!</v>
      </c>
      <c r="DH219" t="e">
        <f>Pivot!34:34-"'E4!..."</f>
        <v>#VALUE!</v>
      </c>
      <c r="DI219" t="e">
        <f>Pivot!35:35-"'E4!../"</f>
        <v>#VALUE!</v>
      </c>
      <c r="DJ219" t="e">
        <f>Pivot!36:36-"'E4!..0"</f>
        <v>#VALUE!</v>
      </c>
      <c r="DK219" t="e">
        <f>Pivot!37:37-"'E4!..1"</f>
        <v>#VALUE!</v>
      </c>
      <c r="DL219" t="e">
        <f>Pivot!38:38-"'E4!..2"</f>
        <v>#VALUE!</v>
      </c>
      <c r="DM219" t="e">
        <f>Pivot!39:39-"'E4!..3"</f>
        <v>#VALUE!</v>
      </c>
      <c r="DN219" t="e">
        <f>Pivot!40:40-"'E4!..4"</f>
        <v>#VALUE!</v>
      </c>
      <c r="DO219" t="e">
        <f>Pivot!41:41-"'E4!..5"</f>
        <v>#VALUE!</v>
      </c>
      <c r="DP219" t="e">
        <f>Pivot!42:42-"'E4!..6"</f>
        <v>#VALUE!</v>
      </c>
      <c r="DQ219" t="e">
        <f>Pivot!43:43-"'E4!..7"</f>
        <v>#VALUE!</v>
      </c>
      <c r="DR219" t="e">
        <f>Pivot!44:44-"'E4!..8"</f>
        <v>#VALUE!</v>
      </c>
      <c r="DS219" t="e">
        <f>Pivot!45:45-"'E4!..9"</f>
        <v>#VALUE!</v>
      </c>
      <c r="DT219" t="e">
        <f>Pivot!46:46-"'E4!..:"</f>
        <v>#VALUE!</v>
      </c>
      <c r="DU219" t="e">
        <f>Pivot!47:47-"'E4!..;"</f>
        <v>#VALUE!</v>
      </c>
      <c r="DV219" t="e">
        <f>Pivot!48:48-"'E4!..&lt;"</f>
        <v>#VALUE!</v>
      </c>
      <c r="DW219" t="e">
        <f>Pivot!49:49-"'E4!..="</f>
        <v>#VALUE!</v>
      </c>
      <c r="DX219" t="e">
        <f>Pivot!50:50-"'E4!..&gt;"</f>
        <v>#VALUE!</v>
      </c>
      <c r="DY219" t="e">
        <f>Pivot!51:51-"'E4!..?"</f>
        <v>#VALUE!</v>
      </c>
      <c r="DZ219" t="e">
        <f>Pivot!52:52-"'E4!..@"</f>
        <v>#VALUE!</v>
      </c>
      <c r="EA219" t="e">
        <f>Pivot!53:53-"'E4!..A"</f>
        <v>#VALUE!</v>
      </c>
      <c r="EB219" t="e">
        <f>Pivot!54:54-"'E4!..B"</f>
        <v>#VALUE!</v>
      </c>
      <c r="EC219" t="e">
        <f>Pivot!55:55-"'E4!..C"</f>
        <v>#VALUE!</v>
      </c>
      <c r="ED219" t="e">
        <f>Pivot!56:56-"'E4!..D"</f>
        <v>#VALUE!</v>
      </c>
      <c r="EE219" t="e">
        <f>Pivot!57:57-"'E4!..E"</f>
        <v>#VALUE!</v>
      </c>
      <c r="EF219" t="e">
        <f>Pivot!58:58-"'E4!..F"</f>
        <v>#VALUE!</v>
      </c>
      <c r="EG219" t="e">
        <f>Pivot!59:59-"'E4!..G"</f>
        <v>#VALUE!</v>
      </c>
      <c r="EH219" t="e">
        <f>Pivot!60:60-"'E4!..H"</f>
        <v>#VALUE!</v>
      </c>
      <c r="EI219" t="e">
        <f>Pivot!61:61-"'E4!..I"</f>
        <v>#VALUE!</v>
      </c>
      <c r="EJ219" t="e">
        <f>Pivot!62:62-"'E4!..J"</f>
        <v>#VALUE!</v>
      </c>
      <c r="EK219" t="e">
        <f>Pivot!63:63-"'E4!..K"</f>
        <v>#VALUE!</v>
      </c>
      <c r="EL219" t="e">
        <f>Pivot!64:64-"'E4!..L"</f>
        <v>#VALUE!</v>
      </c>
      <c r="EM219" t="e">
        <f>Pivot!65:65-"'E4!..M"</f>
        <v>#VALUE!</v>
      </c>
      <c r="EN219" t="e">
        <f>Pivot!66:66-"'E4!..N"</f>
        <v>#VALUE!</v>
      </c>
      <c r="EO219" t="e">
        <f>Pivot!67:67-"'E4!..O"</f>
        <v>#VALUE!</v>
      </c>
      <c r="EP219" t="e">
        <f>Pivot!68:68-"'E4!..P"</f>
        <v>#VALUE!</v>
      </c>
      <c r="EQ219" t="e">
        <f>Pivot!69:69-"'E4!..Q"</f>
        <v>#VALUE!</v>
      </c>
      <c r="ER219" t="e">
        <f>Pivot!70:70-"'E4!..R"</f>
        <v>#VALUE!</v>
      </c>
      <c r="ES219" t="e">
        <f>Pivot!71:71-"'E4!..S"</f>
        <v>#VALUE!</v>
      </c>
      <c r="ET219" t="e">
        <f>Pivot!72:72-"'E4!..T"</f>
        <v>#VALUE!</v>
      </c>
      <c r="EU219" t="e">
        <f>Pivot!73:73-"'E4!..U"</f>
        <v>#VALUE!</v>
      </c>
      <c r="EV219" t="e">
        <f>Pivot!74:74-"'E4!..V"</f>
        <v>#VALUE!</v>
      </c>
      <c r="EW219" t="e">
        <f>Pivot!75:75-"'E4!..W"</f>
        <v>#VALUE!</v>
      </c>
      <c r="EX219" t="e">
        <f>Pivot!76:76-"'E4!..X"</f>
        <v>#VALUE!</v>
      </c>
      <c r="EY219" t="e">
        <f>Pivot!77:77-"'E4!..Y"</f>
        <v>#VALUE!</v>
      </c>
      <c r="EZ219" t="e">
        <f>Pivot!78:78-"'E4!..Z"</f>
        <v>#VALUE!</v>
      </c>
      <c r="FA219" t="e">
        <f>Pivot!79:79-"'E4!..["</f>
        <v>#VALUE!</v>
      </c>
      <c r="FB219" t="e">
        <f>Pivot!80:80-"'E4!..\"</f>
        <v>#VALUE!</v>
      </c>
      <c r="FC219" t="e">
        <f>Pivot!81:81-"'E4!..]"</f>
        <v>#VALUE!</v>
      </c>
      <c r="FD219" t="e">
        <f>Pivot!82:82-"'E4!..^"</f>
        <v>#VALUE!</v>
      </c>
      <c r="FE219" t="e">
        <f>Pivot!83:83-"'E4!.._"</f>
        <v>#VALUE!</v>
      </c>
      <c r="FF219" t="e">
        <f>Pivot!84:84-"'E4!..`"</f>
        <v>#VALUE!</v>
      </c>
      <c r="FG219" t="e">
        <f>Pivot!85:85-"'E4!..a"</f>
        <v>#VALUE!</v>
      </c>
      <c r="FH219" t="e">
        <f>Pivot!86:86-"'E4!..b"</f>
        <v>#VALUE!</v>
      </c>
      <c r="FI219" t="e">
        <f>Pivot!87:87-"'E4!..c"</f>
        <v>#VALUE!</v>
      </c>
      <c r="FJ219" t="e">
        <f>Pivot!88:88-"'E4!..d"</f>
        <v>#VALUE!</v>
      </c>
      <c r="FK219" t="e">
        <f>Pivot!89:89-"'E4!..e"</f>
        <v>#VALUE!</v>
      </c>
      <c r="FL219" t="e">
        <f>Pivot!90:90-"'E4!..f"</f>
        <v>#VALUE!</v>
      </c>
      <c r="FM219" t="e">
        <f>Pivot!91:91-"'E4!..g"</f>
        <v>#VALUE!</v>
      </c>
      <c r="FN219" t="e">
        <f>Pivot!92:92-"'E4!..h"</f>
        <v>#VALUE!</v>
      </c>
      <c r="FO219" t="e">
        <f>Pivot!93:93-"'E4!..i"</f>
        <v>#VALUE!</v>
      </c>
      <c r="FP219" t="e">
        <f>Pivot!94:94-"'E4!..j"</f>
        <v>#VALUE!</v>
      </c>
      <c r="FQ219" t="e">
        <f>Pivot!95:95-"'E4!..k"</f>
        <v>#VALUE!</v>
      </c>
      <c r="FR219" t="e">
        <f>Pivot!96:96-"'E4!..l"</f>
        <v>#VALUE!</v>
      </c>
      <c r="FS219" t="e">
        <f>Pivot!97:97-"'E4!..m"</f>
        <v>#VALUE!</v>
      </c>
      <c r="FT219" t="e">
        <f>Pivot!98:98-"'E4!..n"</f>
        <v>#VALUE!</v>
      </c>
      <c r="FU219" t="e">
        <f>Pivot!99:99-"'E4!..o"</f>
        <v>#VALUE!</v>
      </c>
      <c r="FV219" t="e">
        <f>Pivot!100:100-"'E4!..p"</f>
        <v>#VALUE!</v>
      </c>
      <c r="FW219" t="e">
        <f>Pivot!101:101-"'E4!..q"</f>
        <v>#VALUE!</v>
      </c>
      <c r="FX219" t="e">
        <f>Pivot!102:102-"'E4!..r"</f>
        <v>#VALUE!</v>
      </c>
      <c r="FY219" t="e">
        <f>Pivot!103:103-"'E4!..s"</f>
        <v>#VALUE!</v>
      </c>
      <c r="FZ219" t="e">
        <f>Pivot!104:104-"'E4!..t"</f>
        <v>#VALUE!</v>
      </c>
      <c r="GA219" t="e">
        <f>Pivot!105:105-"'E4!..u"</f>
        <v>#VALUE!</v>
      </c>
      <c r="GB219" t="e">
        <f>Pivot!106:106-"'E4!..v"</f>
        <v>#VALUE!</v>
      </c>
      <c r="GC219" t="e">
        <f>Pivot!107:107-"'E4!..w"</f>
        <v>#VALUE!</v>
      </c>
      <c r="GD219" t="e">
        <f>Pivot!108:108-"'E4!..x"</f>
        <v>#VALUE!</v>
      </c>
      <c r="GE219" t="e">
        <f>Pivot!109:109-"'E4!..y"</f>
        <v>#VALUE!</v>
      </c>
      <c r="GF219" t="e">
        <f>Pivot!110:110-"'E4!..z"</f>
        <v>#VALUE!</v>
      </c>
      <c r="GG219" t="e">
        <f>Pivot!111:111-"'E4!..{"</f>
        <v>#VALUE!</v>
      </c>
      <c r="GH219" t="e">
        <f>Pivot!112:112-"'E4!..|"</f>
        <v>#VALUE!</v>
      </c>
      <c r="GI219" t="e">
        <f>Pivot!113:113-"'E4!..}"</f>
        <v>#VALUE!</v>
      </c>
      <c r="GJ219" t="e">
        <f>Pivot!114:114-"'E4!..~"</f>
        <v>#VALUE!</v>
      </c>
      <c r="GK219" t="e">
        <f>Pivot!115:115-"'E4!./#"</f>
        <v>#VALUE!</v>
      </c>
      <c r="GL219" t="e">
        <f>Pivot!116:116-"'E4!./$"</f>
        <v>#VALUE!</v>
      </c>
      <c r="GM219" t="e">
        <f>Pivot!117:117-"'E4!./%"</f>
        <v>#VALUE!</v>
      </c>
      <c r="GN219" t="e">
        <f>Pivot!118:118-"'E4!./&amp;"</f>
        <v>#VALUE!</v>
      </c>
      <c r="GO219" t="e">
        <f>Pivot!119:119-"'E4!./'"</f>
        <v>#VALUE!</v>
      </c>
      <c r="GP219" t="e">
        <f>Pivot!120:120-"'E4!./("</f>
        <v>#VALUE!</v>
      </c>
      <c r="GQ219" t="e">
        <f>Pivot!121:121-"'E4!./)"</f>
        <v>#VALUE!</v>
      </c>
      <c r="GR219" t="e">
        <f>Pivot!122:122-"'E4!./."</f>
        <v>#VALUE!</v>
      </c>
      <c r="GS219" t="e">
        <f>Pivot!123:123-"'E4!.//"</f>
        <v>#VALUE!</v>
      </c>
      <c r="GT219" t="e">
        <f>Pivot!124:124-"'E4!./0"</f>
        <v>#VALUE!</v>
      </c>
      <c r="GU219" t="e">
        <f>Pivot!125:125-"'E4!./1"</f>
        <v>#VALUE!</v>
      </c>
      <c r="GV219" t="e">
        <f>Pivot!126:126-"'E4!./2"</f>
        <v>#VALUE!</v>
      </c>
      <c r="GW219" t="e">
        <f>Pivot!127:127-"'E4!./3"</f>
        <v>#VALUE!</v>
      </c>
      <c r="GX219" t="e">
        <f>Pivot!128:128-"'E4!./4"</f>
        <v>#VALUE!</v>
      </c>
      <c r="GY219" t="e">
        <f>Pivot!129:129-"'E4!./5"</f>
        <v>#VALUE!</v>
      </c>
      <c r="GZ219" t="e">
        <f>Pivot!130:130-"'E4!./6"</f>
        <v>#VALUE!</v>
      </c>
      <c r="HA219" t="e">
        <f>Pivot!131:131-"'E4!./7"</f>
        <v>#VALUE!</v>
      </c>
      <c r="HB219" t="e">
        <f>Pivot!132:132-"'E4!./8"</f>
        <v>#VALUE!</v>
      </c>
      <c r="HC219" t="e">
        <f>Pivot!133:133-"'E4!./9"</f>
        <v>#VALUE!</v>
      </c>
      <c r="HD219" t="e">
        <f>Pivot!134:134-"'E4!./:"</f>
        <v>#VALUE!</v>
      </c>
      <c r="HE219" t="e">
        <f>Pivot!135:135-"'E4!./;"</f>
        <v>#VALUE!</v>
      </c>
      <c r="HF219" t="e">
        <f>Pivot!136:136-"'E4!./&lt;"</f>
        <v>#VALUE!</v>
      </c>
      <c r="HG219" t="e">
        <f>Pivot!137:137-"'E4!./="</f>
        <v>#VALUE!</v>
      </c>
      <c r="HH219" t="e">
        <f>Pivot!138:138-"'E4!./&gt;"</f>
        <v>#VALUE!</v>
      </c>
      <c r="HI219" t="e">
        <f>Pivot!139:139-"'E4!./?"</f>
        <v>#VALUE!</v>
      </c>
      <c r="HJ219" t="e">
        <f>Pivot!140:140-"'E4!./@"</f>
        <v>#VALUE!</v>
      </c>
      <c r="HK219" t="e">
        <f>Pivot!141:141-"'E4!./A"</f>
        <v>#VALUE!</v>
      </c>
      <c r="HL219" t="e">
        <f>Pivot!142:142-"'E4!./B"</f>
        <v>#VALUE!</v>
      </c>
      <c r="HM219" t="e">
        <f>Pivot!143:143-"'E4!./C"</f>
        <v>#VALUE!</v>
      </c>
      <c r="HN219" t="e">
        <f>Pivot!144:144-"'E4!./D"</f>
        <v>#VALUE!</v>
      </c>
      <c r="HO219" t="e">
        <f>Pivot!145:145-"'E4!./E"</f>
        <v>#VALUE!</v>
      </c>
      <c r="HP219" t="e">
        <f>Pivot!146:146-"'E4!./F"</f>
        <v>#VALUE!</v>
      </c>
      <c r="HQ219" t="e">
        <f>Pivot!147:147-"'E4!./G"</f>
        <v>#VALUE!</v>
      </c>
      <c r="HR219" t="e">
        <f>Pivot!148:148-"'E4!./H"</f>
        <v>#VALUE!</v>
      </c>
      <c r="HS219" t="e">
        <f>Pivot!149:149-"'E4!./I"</f>
        <v>#VALUE!</v>
      </c>
      <c r="HT219" t="e">
        <f>Pivot!150:150-"'E4!./J"</f>
        <v>#VALUE!</v>
      </c>
      <c r="HU219" t="e">
        <f>Pivot!151:151-"'E4!./K"</f>
        <v>#VALUE!</v>
      </c>
      <c r="HV219" t="e">
        <f>Pivot!152:152-"'E4!./L"</f>
        <v>#VALUE!</v>
      </c>
      <c r="HW219" t="e">
        <f>Pivot!153:153-"'E4!./M"</f>
        <v>#VALUE!</v>
      </c>
      <c r="HX219" t="e">
        <f>Pivot!154:154-"'E4!./N"</f>
        <v>#VALUE!</v>
      </c>
      <c r="HY219" t="e">
        <f>Pivot!155:155-"'E4!./O"</f>
        <v>#VALUE!</v>
      </c>
      <c r="HZ219" t="e">
        <f>Pivot!156:156-"'E4!./P"</f>
        <v>#VALUE!</v>
      </c>
      <c r="IA219" t="e">
        <f>Pivot!157:157-"'E4!./Q"</f>
        <v>#VALUE!</v>
      </c>
      <c r="IB219" t="e">
        <f>Pivot!158:158-"'E4!./R"</f>
        <v>#VALUE!</v>
      </c>
      <c r="IC219" t="e">
        <f>Pivot!159:159-"'E4!./S"</f>
        <v>#VALUE!</v>
      </c>
      <c r="ID219" t="e">
        <f>Pivot!160:160-"'E4!./T"</f>
        <v>#VALUE!</v>
      </c>
      <c r="IE219" t="e">
        <f>Pivot!161:161-"'E4!./U"</f>
        <v>#VALUE!</v>
      </c>
      <c r="IF219" t="e">
        <f>Pivot!162:162-"'E4!./V"</f>
        <v>#VALUE!</v>
      </c>
      <c r="IG219" t="e">
        <f>Pivot!163:163-"'E4!./W"</f>
        <v>#VALUE!</v>
      </c>
      <c r="IH219" t="e">
        <f>Pivot!164:164-"'E4!./X"</f>
        <v>#VALUE!</v>
      </c>
      <c r="II219" t="e">
        <f>Pivot!165:165-"'E4!./Y"</f>
        <v>#VALUE!</v>
      </c>
      <c r="IJ219" t="e">
        <f>Pivot!166:166-"'E4!./Z"</f>
        <v>#VALUE!</v>
      </c>
      <c r="IK219" t="e">
        <f>Pivot!167:167-"'E4!./["</f>
        <v>#VALUE!</v>
      </c>
      <c r="IL219" t="e">
        <f>Pivot!168:168-"'E4!./\"</f>
        <v>#VALUE!</v>
      </c>
      <c r="IM219" t="e">
        <f>Pivot!169:169-"'E4!./]"</f>
        <v>#VALUE!</v>
      </c>
      <c r="IN219" t="e">
        <f>Pivot!170:170-"'E4!./^"</f>
        <v>#VALUE!</v>
      </c>
      <c r="IO219" t="e">
        <f>Pivot!171:171-"'E4!./_"</f>
        <v>#VALUE!</v>
      </c>
      <c r="IP219" t="e">
        <f>Pivot!172:172-"'E4!./`"</f>
        <v>#VALUE!</v>
      </c>
      <c r="IQ219" t="e">
        <f>Pivot!173:173-"'E4!./a"</f>
        <v>#VALUE!</v>
      </c>
      <c r="IR219" t="e">
        <f>Pivot!174:174-"'E4!./b"</f>
        <v>#VALUE!</v>
      </c>
      <c r="IS219" t="e">
        <f>Pivot!175:175-"'E4!./c"</f>
        <v>#VALUE!</v>
      </c>
      <c r="IT219" t="e">
        <f>Pivot!176:176-"'E4!./d"</f>
        <v>#VALUE!</v>
      </c>
      <c r="IU219" t="e">
        <f>Pivot!177:177-"'E4!./e"</f>
        <v>#VALUE!</v>
      </c>
      <c r="IV219" t="e">
        <f>Pivot!178:178-"'E4!./f"</f>
        <v>#VALUE!</v>
      </c>
    </row>
    <row r="220" spans="6:256">
      <c r="F220" t="e">
        <f>Pivot!179:179-"'E4!./g"</f>
        <v>#VALUE!</v>
      </c>
      <c r="G220" t="e">
        <f>Pivot!180:180-"'E4!./h"</f>
        <v>#VALUE!</v>
      </c>
      <c r="H220" t="e">
        <f>Pivot!181:181-"'E4!./i"</f>
        <v>#VALUE!</v>
      </c>
      <c r="I220" t="e">
        <f>Pivot!182:182-"'E4!./j"</f>
        <v>#VALUE!</v>
      </c>
      <c r="J220" t="e">
        <f>Pivot!183:183-"'E4!./k"</f>
        <v>#VALUE!</v>
      </c>
      <c r="K220" t="e">
        <f>Pivot!184:184-"'E4!./l"</f>
        <v>#VALUE!</v>
      </c>
      <c r="L220" t="e">
        <f>Pivot!185:185-"'E4!./m"</f>
        <v>#VALUE!</v>
      </c>
      <c r="M220" t="e">
        <f>Pivot!186:186-"'E4!./n"</f>
        <v>#VALUE!</v>
      </c>
      <c r="N220" t="e">
        <f>Pivot!187:187-"'E4!./o"</f>
        <v>#VALUE!</v>
      </c>
      <c r="O220" t="e">
        <f>Pivot!188:188-"'E4!./p"</f>
        <v>#VALUE!</v>
      </c>
      <c r="P220" t="e">
        <f>Pivot!189:189-"'E4!./q"</f>
        <v>#VALUE!</v>
      </c>
      <c r="Q220" t="e">
        <f>Pivot!190:190-"'E4!./r"</f>
        <v>#VALUE!</v>
      </c>
      <c r="R220" t="e">
        <f>Pivot!191:191-"'E4!./s"</f>
        <v>#VALUE!</v>
      </c>
      <c r="S220" t="e">
        <f>Pivot!192:192-"'E4!./t"</f>
        <v>#VALUE!</v>
      </c>
      <c r="T220" t="e">
        <f>Pivot!193:193-"'E4!./u"</f>
        <v>#VALUE!</v>
      </c>
      <c r="U220" t="e">
        <f>Pivot!194:194-"'E4!./v"</f>
        <v>#VALUE!</v>
      </c>
      <c r="V220" t="e">
        <f>Pivot!195:195-"'E4!./w"</f>
        <v>#VALUE!</v>
      </c>
      <c r="W220" t="e">
        <f>Pivot!196:196-"'E4!./x"</f>
        <v>#VALUE!</v>
      </c>
      <c r="X220" t="e">
        <f>Pivot!197:197-"'E4!./y"</f>
        <v>#VALUE!</v>
      </c>
      <c r="Y220" t="e">
        <f>Pivot!198:198-"'E4!./z"</f>
        <v>#VALUE!</v>
      </c>
      <c r="Z220" t="e">
        <f>Pivot!199:199-"'E4!./{"</f>
        <v>#VALUE!</v>
      </c>
      <c r="AA220" t="e">
        <f>Pivot!200:200-"'E4!./|"</f>
        <v>#VALUE!</v>
      </c>
      <c r="AB220" t="e">
        <f>Pivot!201:201-"'E4!./}"</f>
        <v>#VALUE!</v>
      </c>
      <c r="AC220" t="e">
        <f>Pivot!202:202-"'E4!./~"</f>
        <v>#VALUE!</v>
      </c>
      <c r="AD220" t="e">
        <f>Pivot!203:203-"'E4!.0#"</f>
        <v>#VALUE!</v>
      </c>
      <c r="AE220" t="e">
        <f>Pivot!204:204-"'E4!.0$"</f>
        <v>#VALUE!</v>
      </c>
      <c r="AF220" t="e">
        <f>Pivot!205:205-"'E4!.0%"</f>
        <v>#VALUE!</v>
      </c>
      <c r="AG220" t="e">
        <f>Pivot!206:206-"'E4!.0&amp;"</f>
        <v>#VALUE!</v>
      </c>
      <c r="AH220" t="e">
        <f>Pivot!207:207-"'E4!.0'"</f>
        <v>#VALUE!</v>
      </c>
      <c r="AI220" t="e">
        <f>Pivot!208:208-"'E4!.0("</f>
        <v>#VALUE!</v>
      </c>
      <c r="AJ220" t="e">
        <f>Pivot!209:209-"'E4!.0)"</f>
        <v>#VALUE!</v>
      </c>
      <c r="AK220" t="e">
        <f>Pivot!210:210-"'E4!.0."</f>
        <v>#VALUE!</v>
      </c>
      <c r="AL220" t="e">
        <f>Pivot!211:211-"'E4!.0/"</f>
        <v>#VALUE!</v>
      </c>
      <c r="AM220" t="e">
        <f>Pivot!212:212-"'E4!.00"</f>
        <v>#VALUE!</v>
      </c>
      <c r="AN220" t="e">
        <f>Pivot!213:213-"'E4!.01"</f>
        <v>#VALUE!</v>
      </c>
      <c r="AO220" t="e">
        <f>Pivot!214:214-"'E4!.02"</f>
        <v>#VALUE!</v>
      </c>
      <c r="AP220" t="e">
        <f>Pivot!215:215-"'E4!.03"</f>
        <v>#VALUE!</v>
      </c>
      <c r="AQ220" t="e">
        <f>Pivot!216:216-"'E4!.04"</f>
        <v>#VALUE!</v>
      </c>
      <c r="AR220" t="e">
        <f>Pivot!217:217-"'E4!.05"</f>
        <v>#VALUE!</v>
      </c>
      <c r="AS220" t="e">
        <f>Pivot!218:218-"'E4!.06"</f>
        <v>#VALUE!</v>
      </c>
      <c r="AT220" t="e">
        <f>Pivot!219:219-"'E4!.07"</f>
        <v>#VALUE!</v>
      </c>
      <c r="AU220" t="e">
        <f>Pivot!220:220-"'E4!.08"</f>
        <v>#VALUE!</v>
      </c>
      <c r="AV220" t="e">
        <f>Pivot!221:221-"'E4!.09"</f>
        <v>#VALUE!</v>
      </c>
      <c r="AW220" t="e">
        <f>Pivot!222:222-"'E4!.0:"</f>
        <v>#VALUE!</v>
      </c>
      <c r="AX220" t="e">
        <f>Pivot!223:223-"'E4!.0;"</f>
        <v>#VALUE!</v>
      </c>
      <c r="AY220" t="e">
        <f>Pivot!224:224-"'E4!.0&lt;"</f>
        <v>#VALUE!</v>
      </c>
      <c r="AZ220" t="e">
        <f>Pivot!225:225-"'E4!.0="</f>
        <v>#VALUE!</v>
      </c>
      <c r="BA220" t="e">
        <f>Pivot!226:226-"'E4!.0&gt;"</f>
        <v>#VALUE!</v>
      </c>
      <c r="BB220" t="e">
        <f>Pivot!227:227-"'E4!.0?"</f>
        <v>#VALUE!</v>
      </c>
      <c r="BC220" t="e">
        <f>Pivot!228:228-"'E4!.0@"</f>
        <v>#VALUE!</v>
      </c>
      <c r="BD220" t="e">
        <f>Pivot!229:229-"'E4!.0A"</f>
        <v>#VALUE!</v>
      </c>
      <c r="BE220" t="e">
        <f>Pivot!230:230-"'E4!.0B"</f>
        <v>#VALUE!</v>
      </c>
      <c r="BF220" t="e">
        <f>Pivot!231:231-"'E4!.0C"</f>
        <v>#VALUE!</v>
      </c>
      <c r="BG220" t="e">
        <f>Pivot!232:232-"'E4!.0D"</f>
        <v>#VALUE!</v>
      </c>
      <c r="BH220" t="e">
        <f>Pivot!233:233-"'E4!.0E"</f>
        <v>#VALUE!</v>
      </c>
      <c r="BI220" t="e">
        <f>Pivot!234:234-"'E4!.0F"</f>
        <v>#VALUE!</v>
      </c>
      <c r="BJ220" t="e">
        <f>Pivot!235:235-"'E4!.0G"</f>
        <v>#VALUE!</v>
      </c>
      <c r="BK220" t="e">
        <f>Pivot!236:236-"'E4!.0H"</f>
        <v>#VALUE!</v>
      </c>
      <c r="BL220" t="e">
        <f>Pivot!237:237-"'E4!.0I"</f>
        <v>#VALUE!</v>
      </c>
      <c r="BM220" t="e">
        <f>Pivot!238:238-"'E4!.0J"</f>
        <v>#VALUE!</v>
      </c>
      <c r="BN220" t="e">
        <f>Pivot!239:239-"'E4!.0K"</f>
        <v>#VALUE!</v>
      </c>
      <c r="BO220" t="e">
        <f>Pivot!240:240-"'E4!.0L"</f>
        <v>#VALUE!</v>
      </c>
      <c r="BP220" t="e">
        <f>Pivot!241:241-"'E4!.0M"</f>
        <v>#VALUE!</v>
      </c>
      <c r="BQ220" t="e">
        <f>Pivot!242:242-"'E4!.0N"</f>
        <v>#VALUE!</v>
      </c>
      <c r="BR220" t="e">
        <f>Pivot!243:243-"'E4!.0O"</f>
        <v>#VALUE!</v>
      </c>
      <c r="BS220" t="e">
        <f>Pivot!244:244-"'E4!.0P"</f>
        <v>#VALUE!</v>
      </c>
      <c r="BT220" t="e">
        <f>Pivot!245:245-"'E4!.0Q"</f>
        <v>#VALUE!</v>
      </c>
      <c r="BU220" t="e">
        <f>Pivot!246:246-"'E4!.0R"</f>
        <v>#VALUE!</v>
      </c>
      <c r="BV220" t="e">
        <f>Pivot!247:247-"'E4!.0S"</f>
        <v>#VALUE!</v>
      </c>
      <c r="BW220" t="e">
        <f>Pivot!248:248-"'E4!.0T"</f>
        <v>#VALUE!</v>
      </c>
      <c r="BX220" t="e">
        <f>Pivot!249:249-"'E4!.0U"</f>
        <v>#VALUE!</v>
      </c>
      <c r="BY220" t="e">
        <f>Pivot!250:250-"'E4!.0V"</f>
        <v>#VALUE!</v>
      </c>
      <c r="BZ220" t="e">
        <f>Pivot!251:251-"'E4!.0W"</f>
        <v>#VALUE!</v>
      </c>
      <c r="CA220" t="e">
        <f>Pivot!252:252-"'E4!.0X"</f>
        <v>#VALUE!</v>
      </c>
      <c r="CB220" t="e">
        <f>Pivot!253:253-"'E4!.0Y"</f>
        <v>#VALUE!</v>
      </c>
      <c r="CC220" t="e">
        <f>Pivot!254:254-"'E4!.0Z"</f>
        <v>#VALUE!</v>
      </c>
      <c r="CD220" t="e">
        <f>Pivot!255:255-"'E4!.0["</f>
        <v>#VALUE!</v>
      </c>
      <c r="CE220" t="e">
        <f>Pivot!256:256-"'E4!.0\"</f>
        <v>#VALUE!</v>
      </c>
      <c r="CF220" t="e">
        <f>Pivot!257:257-"'E4!.0]"</f>
        <v>#VALUE!</v>
      </c>
      <c r="CG220" t="e">
        <f>Pivot!258:258-"'E4!.0^"</f>
        <v>#VALUE!</v>
      </c>
      <c r="CH220" t="e">
        <f>Pivot!259:259-"'E4!.0_"</f>
        <v>#VALUE!</v>
      </c>
      <c r="CI220" t="e">
        <f>Pivot!260:260-"'E4!.0`"</f>
        <v>#VALUE!</v>
      </c>
      <c r="CJ220" t="e">
        <f>Pivot!261:261-"'E4!.0a"</f>
        <v>#VALUE!</v>
      </c>
      <c r="CK220" t="e">
        <f>Pivot!262:262-"'E4!.0b"</f>
        <v>#VALUE!</v>
      </c>
      <c r="CL220" t="e">
        <f>Pivot!263:263-"'E4!.0c"</f>
        <v>#VALUE!</v>
      </c>
      <c r="CM220" t="e">
        <f>Pivot!264:264-"'E4!.0d"</f>
        <v>#VALUE!</v>
      </c>
      <c r="CN220" t="e">
        <f>Pivot!265:265-"'E4!.0e"</f>
        <v>#VALUE!</v>
      </c>
      <c r="CO220" t="e">
        <f>Pivot!266:266-"'E4!.0f"</f>
        <v>#VALUE!</v>
      </c>
      <c r="CP220" t="e">
        <f>Pivot!267:267-"'E4!.0g"</f>
        <v>#VALUE!</v>
      </c>
      <c r="CQ220" t="e">
        <f>Pivot!268:268-"'E4!.0h"</f>
        <v>#VALUE!</v>
      </c>
      <c r="CR220" t="e">
        <f>Pivot!269:269-"'E4!.0i"</f>
        <v>#VALUE!</v>
      </c>
      <c r="CS220" t="e">
        <f>Pivot!270:270-"'E4!.0j"</f>
        <v>#VALUE!</v>
      </c>
      <c r="CT220" t="e">
        <f>Pivot!271:271-"'E4!.0k"</f>
        <v>#VALUE!</v>
      </c>
      <c r="CU220" t="e">
        <f>Pivot!272:272-"'E4!.0l"</f>
        <v>#VALUE!</v>
      </c>
      <c r="CV220" t="e">
        <f>Pivot!273:273-"'E4!.0m"</f>
        <v>#VALUE!</v>
      </c>
      <c r="CW220" t="e">
        <f>Pivot!274:274-"'E4!.0n"</f>
        <v>#VALUE!</v>
      </c>
      <c r="CX220" t="e">
        <f>Pivot!275:275-"'E4!.0o"</f>
        <v>#VALUE!</v>
      </c>
      <c r="CY220" t="e">
        <f>Pivot!276:276-"'E4!.0p"</f>
        <v>#VALUE!</v>
      </c>
      <c r="CZ220" t="e">
        <f>Pivot!277:277-"'E4!.0q"</f>
        <v>#VALUE!</v>
      </c>
      <c r="DA220" t="e">
        <f>Pivot!278:278-"'E4!.0r"</f>
        <v>#VALUE!</v>
      </c>
      <c r="DB220" t="e">
        <f>Pivot!279:279-"'E4!.0s"</f>
        <v>#VALUE!</v>
      </c>
      <c r="DC220" t="e">
        <f>Pivot!280:280-"'E4!.0t"</f>
        <v>#VALUE!</v>
      </c>
      <c r="DD220" t="e">
        <f>Pivot!281:281-"'E4!.0u"</f>
        <v>#VALUE!</v>
      </c>
      <c r="DE220" t="e">
        <f>Pivot!282:282-"'E4!.0v"</f>
        <v>#VALUE!</v>
      </c>
      <c r="DF220" t="e">
        <f>Pivot!283:283-"'E4!.0w"</f>
        <v>#VALUE!</v>
      </c>
      <c r="DG220" t="e">
        <f>Pivot!284:284-"'E4!.0x"</f>
        <v>#VALUE!</v>
      </c>
      <c r="DH220" t="e">
        <f>Pivot!285:285-"'E4!.0y"</f>
        <v>#VALUE!</v>
      </c>
      <c r="DI220" t="e">
        <f>Pivot!286:286-"'E4!.0z"</f>
        <v>#VALUE!</v>
      </c>
      <c r="DJ220" t="e">
        <f>Pivot!287:287-"'E4!.0{"</f>
        <v>#VALUE!</v>
      </c>
      <c r="DK220" t="e">
        <f>Pivot!288:288-"'E4!.0|"</f>
        <v>#VALUE!</v>
      </c>
      <c r="DL220" t="e">
        <f>Pivot!289:289-"'E4!.0}"</f>
        <v>#VALUE!</v>
      </c>
      <c r="DM220" t="e">
        <f>Pivot!290:290-"'E4!.0~"</f>
        <v>#VALUE!</v>
      </c>
      <c r="DN220" t="e">
        <f>Pivot!291:291-"'E4!.1#"</f>
        <v>#VALUE!</v>
      </c>
      <c r="DO220" t="e">
        <f>Pivot!292:292-"'E4!.1$"</f>
        <v>#VALUE!</v>
      </c>
      <c r="DP220" t="e">
        <f>Pivot!293:293-"'E4!.1%"</f>
        <v>#VALUE!</v>
      </c>
      <c r="DQ220" t="e">
        <f>Pivot!294:294-"'E4!.1&amp;"</f>
        <v>#VALUE!</v>
      </c>
      <c r="DR220" t="e">
        <f>Pivot!295:295-"'E4!.1'"</f>
        <v>#VALUE!</v>
      </c>
      <c r="DS220" t="e">
        <f>Pivot!296:296-"'E4!.1("</f>
        <v>#VALUE!</v>
      </c>
      <c r="DT220" t="e">
        <f>Pivot!297:297-"'E4!.1)"</f>
        <v>#VALUE!</v>
      </c>
      <c r="DU220" t="e">
        <f>Pivot!298:298-"'E4!.1."</f>
        <v>#VALUE!</v>
      </c>
      <c r="DV220" t="e">
        <f>Pivot!299:299-"'E4!.1/"</f>
        <v>#VALUE!</v>
      </c>
      <c r="DW220" t="e">
        <f>Pivot!300:300-"'E4!.10"</f>
        <v>#VALUE!</v>
      </c>
      <c r="DX220" t="e">
        <f>Pivot!301:301-"'E4!.11"</f>
        <v>#VALUE!</v>
      </c>
      <c r="DY220" t="e">
        <f>Pivot!302:302-"'E4!.12"</f>
        <v>#VALUE!</v>
      </c>
      <c r="DZ220" t="e">
        <f>Pivot!303:303-"'E4!.13"</f>
        <v>#VALUE!</v>
      </c>
      <c r="EA220" t="e">
        <f>Pivot!304:304-"'E4!.14"</f>
        <v>#VALUE!</v>
      </c>
      <c r="EB220" t="e">
        <f>Pivot!305:305-"'E4!.15"</f>
        <v>#VALUE!</v>
      </c>
      <c r="EC220" t="e">
        <f>Pivot!306:306-"'E4!.16"</f>
        <v>#VALUE!</v>
      </c>
      <c r="ED220" t="e">
        <f>Pivot!307:307-"'E4!.17"</f>
        <v>#VALUE!</v>
      </c>
      <c r="EE220" t="e">
        <f>Pivot!308:308-"'E4!.18"</f>
        <v>#VALUE!</v>
      </c>
      <c r="EF220" t="e">
        <f>Pivot!309:309-"'E4!.19"</f>
        <v>#VALUE!</v>
      </c>
      <c r="EG220" t="e">
        <f>Pivot!310:310-"'E4!.1:"</f>
        <v>#VALUE!</v>
      </c>
      <c r="EH220" t="e">
        <f>Pivot!311:311-"'E4!.1;"</f>
        <v>#VALUE!</v>
      </c>
      <c r="EI220" t="e">
        <f>Pivot!312:312-"'E4!.1&lt;"</f>
        <v>#VALUE!</v>
      </c>
      <c r="EJ220" t="e">
        <f>Pivot!313:313-"'E4!.1="</f>
        <v>#VALUE!</v>
      </c>
      <c r="EK220" t="e">
        <f>Pivot!314:314-"'E4!.1&gt;"</f>
        <v>#VALUE!</v>
      </c>
      <c r="EL220" t="e">
        <f>Pivot!315:315-"'E4!.1?"</f>
        <v>#VALUE!</v>
      </c>
      <c r="EM220" t="e">
        <f>Pivot!316:316-"'E4!.1@"</f>
        <v>#VALUE!</v>
      </c>
      <c r="EN220" t="e">
        <f>Pivot!317:317-"'E4!.1A"</f>
        <v>#VALUE!</v>
      </c>
      <c r="EO220" t="e">
        <f>Pivot!318:318-"'E4!.1B"</f>
        <v>#VALUE!</v>
      </c>
      <c r="EP220" t="e">
        <f>Pivot!319:319-"'E4!.1C"</f>
        <v>#VALUE!</v>
      </c>
      <c r="EQ220" t="e">
        <f>Pivot!320:320-"'E4!.1D"</f>
        <v>#VALUE!</v>
      </c>
      <c r="ER220" t="e">
        <f>Pivot!321:321-"'E4!.1E"</f>
        <v>#VALUE!</v>
      </c>
      <c r="ES220" t="e">
        <f>Pivot!322:322-"'E4!.1F"</f>
        <v>#VALUE!</v>
      </c>
      <c r="ET220" t="e">
        <f>Pivot!323:323-"'E4!.1G"</f>
        <v>#VALUE!</v>
      </c>
      <c r="EU220" t="e">
        <f>Pivot!324:324-"'E4!.1H"</f>
        <v>#VALUE!</v>
      </c>
      <c r="EV220" t="e">
        <f>Pivot!325:325-"'E4!.1I"</f>
        <v>#VALUE!</v>
      </c>
      <c r="EW220" t="e">
        <f>Pivot!326:326-"'E4!.1J"</f>
        <v>#VALUE!</v>
      </c>
      <c r="EX220" t="e">
        <f>Pivot!A1+"'E4!.1K"</f>
        <v>#VALUE!</v>
      </c>
      <c r="EY220" t="e">
        <f>Pivot!B1+"'E4!.1L"</f>
        <v>#VALUE!</v>
      </c>
      <c r="EZ220" t="e">
        <f>Pivot!A2+"'E4!.1M"</f>
        <v>#VALUE!</v>
      </c>
      <c r="FA220" t="e">
        <f>Pivot!B2+"'E4!.1N"</f>
        <v>#VALUE!</v>
      </c>
      <c r="FB220" t="e">
        <f>Pivot!A15+"'E4!.1O"</f>
        <v>#VALUE!</v>
      </c>
      <c r="FC220" t="e">
        <f>Pivot!B15+"'E4!.1P"</f>
        <v>#VALUE!</v>
      </c>
      <c r="FD220" t="e">
        <f>Pivot!C15+"'E4!.1Q"</f>
        <v>#VALUE!</v>
      </c>
      <c r="FE220" t="e">
        <f>Pivot!D15+"'E4!.1R"</f>
        <v>#VALUE!</v>
      </c>
      <c r="FF220" t="e">
        <f>Pivot!E15+"'E4!.1S"</f>
        <v>#VALUE!</v>
      </c>
      <c r="FG220" t="e">
        <f>Pivot!F15+"'E4!.1T"</f>
        <v>#VALUE!</v>
      </c>
      <c r="FH220" t="e">
        <f>Pivot!J15+"'E4!.1U"</f>
        <v>#VALUE!</v>
      </c>
      <c r="FI220" t="e">
        <f>Pivot!K15+"'E4!.1V"</f>
        <v>#VALUE!</v>
      </c>
      <c r="FJ220" t="e">
        <f>Pivot!A16+"'E4!.1W"</f>
        <v>#VALUE!</v>
      </c>
      <c r="FK220" t="e">
        <f>Pivot!A17+"'E4!.1X"</f>
        <v>#VALUE!</v>
      </c>
      <c r="FL220" t="e">
        <f>Pivot!B17+"'E4!.1Y"</f>
        <v>#VALUE!</v>
      </c>
      <c r="FM220" t="e">
        <f>Pivot!A18+"'E4!.1Z"</f>
        <v>#VALUE!</v>
      </c>
      <c r="FN220" t="e">
        <f>Pivot!B18+"'E4!.1["</f>
        <v>#VALUE!</v>
      </c>
      <c r="FO220" t="e">
        <f>Pivot!A19+"'E4!.1\"</f>
        <v>#VALUE!</v>
      </c>
      <c r="FP220" t="e">
        <f>Pivot!B19+"'E4!.1]"</f>
        <v>#VALUE!</v>
      </c>
      <c r="FQ220" t="e">
        <f>Pivot!A28+"'E4!.1^"</f>
        <v>#VALUE!</v>
      </c>
      <c r="FR220" t="e">
        <f>Pivot!B28+"'E4!.1_"</f>
        <v>#VALUE!</v>
      </c>
      <c r="FS220" t="e">
        <f>Pivot!C28+"'E4!.1`"</f>
        <v>#VALUE!</v>
      </c>
      <c r="FT220" t="e">
        <f>Pivot!D28+"'E4!.1a"</f>
        <v>#VALUE!</v>
      </c>
      <c r="FU220" t="e">
        <f>Pivot!A29+"'E4!.1b"</f>
        <v>#VALUE!</v>
      </c>
      <c r="FV220" t="e">
        <f>Pivot!B29+"'E4!.1c"</f>
        <v>#VALUE!</v>
      </c>
      <c r="FW220" t="e">
        <f>Pivot!C29+"'E4!.1d"</f>
        <v>#VALUE!</v>
      </c>
      <c r="FX220" t="e">
        <f>Pivot!D29+"'E4!.1e"</f>
        <v>#VALUE!</v>
      </c>
      <c r="FY220" t="e">
        <f>Pivot!A30+"'E4!.1f"</f>
        <v>#VALUE!</v>
      </c>
      <c r="FZ220" t="e">
        <f>Pivot!B30+"'E4!.1g"</f>
        <v>#VALUE!</v>
      </c>
      <c r="GA220" t="e">
        <f>Pivot!C30+"'E4!.1h"</f>
        <v>#VALUE!</v>
      </c>
      <c r="GB220" t="e">
        <f>Pivot!D30+"'E4!.1i"</f>
        <v>#VALUE!</v>
      </c>
      <c r="GC220" t="e">
        <f>Pivot!A31+"'E4!.1j"</f>
        <v>#VALUE!</v>
      </c>
      <c r="GD220" t="e">
        <f>Pivot!A33+"'E4!.1k"</f>
        <v>#VALUE!</v>
      </c>
      <c r="GE220" t="e">
        <f>Pivot!B33+"'E4!.1l"</f>
        <v>#VALUE!</v>
      </c>
      <c r="GF220" t="e">
        <f>Pivot!A34+"'E4!.1m"</f>
        <v>#VALUE!</v>
      </c>
      <c r="GG220" t="e">
        <f>Pivot!B34+"'E4!.1n"</f>
        <v>#VALUE!</v>
      </c>
      <c r="GH220" t="e">
        <f>Pivot!A35+"'E4!.1o"</f>
        <v>#VALUE!</v>
      </c>
      <c r="GI220" t="e">
        <f>Pivot!B35+"'E4!.1p"</f>
        <v>#VALUE!</v>
      </c>
      <c r="GJ220" t="e">
        <f>Pivot!N50+"'E4!.1q"</f>
        <v>#VALUE!</v>
      </c>
      <c r="GK220" t="e">
        <f>Pivot!N51+"'E4!.1r"</f>
        <v>#VALUE!</v>
      </c>
      <c r="GL220" t="e">
        <f>Pivot!N52+"'E4!.1s"</f>
        <v>#VALUE!</v>
      </c>
      <c r="GM220" t="e">
        <f>Pivot!N53+"'E4!.1t"</f>
        <v>#VALUE!</v>
      </c>
      <c r="GN220" t="e">
        <f>Pivot!N54+"'E4!.1u"</f>
        <v>#VALUE!</v>
      </c>
      <c r="GO220" t="e">
        <f>Pivot!N55+"'E4!.1v"</f>
        <v>#VALUE!</v>
      </c>
      <c r="GP220" t="e">
        <f>Pivot!M56+"'E4!.1w"</f>
        <v>#VALUE!</v>
      </c>
      <c r="GQ220" t="e">
        <f>Pivot!N56+"'E4!.1x"</f>
        <v>#VALUE!</v>
      </c>
      <c r="GR220" t="e">
        <f>Pivot!M57+"'E4!.1y"</f>
        <v>#VALUE!</v>
      </c>
      <c r="GS220" t="e">
        <f>Pivot!N57+"'E4!.1z"</f>
        <v>#VALUE!</v>
      </c>
      <c r="GT220" t="e">
        <f>Pivot!M58+"'E4!.1{"</f>
        <v>#VALUE!</v>
      </c>
      <c r="GU220" t="e">
        <f>Pivot!N58+"'E4!.1|"</f>
        <v>#VALUE!</v>
      </c>
      <c r="GV220" t="e">
        <f>Pivot!M59+"'E4!.1}"</f>
        <v>#VALUE!</v>
      </c>
      <c r="GW220" t="e">
        <f>Pivot!N59+"'E4!.1~"</f>
        <v>#VALUE!</v>
      </c>
      <c r="GX220" t="e">
        <f>Pivot!M60+"'E4!.2#"</f>
        <v>#VALUE!</v>
      </c>
      <c r="GY220" t="e">
        <f>Pivot!N60+"'E4!.2$"</f>
        <v>#VALUE!</v>
      </c>
      <c r="GZ220" t="e">
        <f>Pivot!M61+"'E4!.2%"</f>
        <v>#VALUE!</v>
      </c>
      <c r="HA220" t="e">
        <f>Pivot!N61+"'E4!.2&amp;"</f>
        <v>#VALUE!</v>
      </c>
      <c r="HB220" t="e">
        <f>Pivot!M62+"'E4!.2'"</f>
        <v>#VALUE!</v>
      </c>
      <c r="HC220" t="e">
        <f>Pivot!N62+"'E4!.2("</f>
        <v>#VALUE!</v>
      </c>
      <c r="HD220" t="e">
        <f>Pivot!M63+"'E4!.2)"</f>
        <v>#VALUE!</v>
      </c>
      <c r="HE220" t="e">
        <f>Pivot!N63+"'E4!.2."</f>
        <v>#VALUE!</v>
      </c>
      <c r="HF220" t="e">
        <f>Pivot!M64+"'E4!.2/"</f>
        <v>#VALUE!</v>
      </c>
      <c r="HG220" t="e">
        <f>Pivot!N64+"'E4!.20"</f>
        <v>#VALUE!</v>
      </c>
      <c r="HH220" t="e">
        <f>Pivot!M65+"'E4!.21"</f>
        <v>#VALUE!</v>
      </c>
      <c r="HI220" t="e">
        <f>Pivot!N65+"'E4!.22"</f>
        <v>#VALUE!</v>
      </c>
      <c r="HJ220" t="e">
        <f>Pivot!M66+"'E4!.23"</f>
        <v>#VALUE!</v>
      </c>
      <c r="HK220" t="e">
        <f>Pivot!N66+"'E4!.24"</f>
        <v>#VALUE!</v>
      </c>
      <c r="HL220" t="e">
        <f>Pivot!M67+"'E4!.25"</f>
        <v>#VALUE!</v>
      </c>
      <c r="HM220" t="e">
        <f>Pivot!N67+"'E4!.26"</f>
        <v>#VALUE!</v>
      </c>
      <c r="HN220" t="e">
        <f>Pivot!M68+"'E4!.27"</f>
        <v>#VALUE!</v>
      </c>
      <c r="HO220" t="e">
        <f>Pivot!N68+"'E4!.28"</f>
        <v>#VALUE!</v>
      </c>
      <c r="HP220" t="e">
        <f>Pivot!M69+"'E4!.29"</f>
        <v>#VALUE!</v>
      </c>
      <c r="HQ220" t="e">
        <f>Pivot!N69+"'E4!.2:"</f>
        <v>#VALUE!</v>
      </c>
      <c r="HR220" t="e">
        <f>Pivot!M70+"'E4!.2;"</f>
        <v>#VALUE!</v>
      </c>
      <c r="HS220" t="e">
        <f>Pivot!N70+"'E4!.2&lt;"</f>
        <v>#VALUE!</v>
      </c>
      <c r="HT220" t="e">
        <f>Pivot!M71+"'E4!.2="</f>
        <v>#VALUE!</v>
      </c>
      <c r="HU220" t="e">
        <f>Pivot!N71+"'E4!.2&gt;"</f>
        <v>#VALUE!</v>
      </c>
      <c r="HV220" t="e">
        <f>Pivot!M72+"'E4!.2?"</f>
        <v>#VALUE!</v>
      </c>
      <c r="HW220" t="e">
        <f>Pivot!N72+"'E4!.2@"</f>
        <v>#VALUE!</v>
      </c>
      <c r="HX220" t="e">
        <f>Pivot!M73+"'E4!.2A"</f>
        <v>#VALUE!</v>
      </c>
      <c r="HY220" t="e">
        <f>Pivot!N73+"'E4!.2B"</f>
        <v>#VALUE!</v>
      </c>
      <c r="HZ220" t="e">
        <f>Pivot!M74+"'E4!.2C"</f>
        <v>#VALUE!</v>
      </c>
      <c r="IA220" t="e">
        <f>Pivot!N74+"'E4!.2D"</f>
        <v>#VALUE!</v>
      </c>
      <c r="IB220" t="e">
        <f>Pivot!M75+"'E4!.2E"</f>
        <v>#VALUE!</v>
      </c>
      <c r="IC220" t="e">
        <f>Pivot!N75+"'E4!.2F"</f>
        <v>#VALUE!</v>
      </c>
      <c r="ID220" t="e">
        <f>Pivot!M76+"'E4!.2G"</f>
        <v>#VALUE!</v>
      </c>
      <c r="IE220" t="e">
        <f>Pivot!N76+"'E4!.2H"</f>
        <v>#VALUE!</v>
      </c>
      <c r="IF220" t="e">
        <f>Pivot!M77+"'E4!.2I"</f>
        <v>#VALUE!</v>
      </c>
      <c r="IG220" t="e">
        <f>Pivot!N77+"'E4!.2J"</f>
        <v>#VALUE!</v>
      </c>
      <c r="IH220" t="e">
        <f>Pivot!M78+"'E4!.2K"</f>
        <v>#VALUE!</v>
      </c>
      <c r="II220" t="e">
        <f>Pivot!N78+"'E4!.2L"</f>
        <v>#VALUE!</v>
      </c>
      <c r="IJ220" t="e">
        <f>Pivot!M79+"'E4!.2M"</f>
        <v>#VALUE!</v>
      </c>
      <c r="IK220" t="e">
        <f>Pivot!N79+"'E4!.2N"</f>
        <v>#VALUE!</v>
      </c>
      <c r="IL220" t="e">
        <f>Pivot!A80+"'E4!.2O"</f>
        <v>#VALUE!</v>
      </c>
      <c r="IM220" t="e">
        <f>Pivot!B80+"'E4!.2P"</f>
        <v>#VALUE!</v>
      </c>
      <c r="IN220" t="e">
        <f>Pivot!C80+"'E4!.2Q"</f>
        <v>#VALUE!</v>
      </c>
      <c r="IO220" t="e">
        <f>Pivot!D80+"'E4!.2R"</f>
        <v>#VALUE!</v>
      </c>
      <c r="IP220" t="e">
        <f>Pivot!E80+"'E4!.2S"</f>
        <v>#VALUE!</v>
      </c>
      <c r="IQ220" t="e">
        <f>Pivot!F80+"'E4!.2T"</f>
        <v>#VALUE!</v>
      </c>
      <c r="IR220" t="e">
        <f>Pivot!G80+"'E4!.2U"</f>
        <v>#VALUE!</v>
      </c>
      <c r="IS220" t="e">
        <f>Pivot!H80+"'E4!.2V"</f>
        <v>#VALUE!</v>
      </c>
      <c r="IT220" t="e">
        <f>Pivot!I80+"'E4!.2W"</f>
        <v>#VALUE!</v>
      </c>
      <c r="IU220" t="e">
        <f>Pivot!J80+"'E4!.2X"</f>
        <v>#VALUE!</v>
      </c>
      <c r="IV220" t="e">
        <f>Pivot!K80+"'E4!.2Y"</f>
        <v>#VALUE!</v>
      </c>
    </row>
    <row r="221" spans="6:256">
      <c r="F221" t="e">
        <f>Pivot!L80+"'E4!.2Z"</f>
        <v>#VALUE!</v>
      </c>
      <c r="G221" t="e">
        <f>Pivot!M80+"'E4!.2["</f>
        <v>#VALUE!</v>
      </c>
      <c r="H221" t="e">
        <f>Pivot!N80+"'E4!.2\"</f>
        <v>#VALUE!</v>
      </c>
      <c r="I221" t="e">
        <f>Pivot!C81+"'E4!.2]"</f>
        <v>#VALUE!</v>
      </c>
      <c r="J221" t="e">
        <f>Pivot!D81+"'E4!.2^"</f>
        <v>#VALUE!</v>
      </c>
      <c r="K221" t="e">
        <f>Pivot!E81+"'E4!.2_"</f>
        <v>#VALUE!</v>
      </c>
      <c r="L221" t="e">
        <f>Pivot!F81+"'E4!.2`"</f>
        <v>#VALUE!</v>
      </c>
      <c r="M221" t="e">
        <f>Pivot!G81+"'E4!.2a"</f>
        <v>#VALUE!</v>
      </c>
      <c r="N221" t="e">
        <f>Pivot!H81+"'E4!.2b"</f>
        <v>#VALUE!</v>
      </c>
      <c r="O221" t="e">
        <f>Pivot!I81+"'E4!.2c"</f>
        <v>#VALUE!</v>
      </c>
      <c r="P221" t="e">
        <f>Pivot!J81+"'E4!.2d"</f>
        <v>#VALUE!</v>
      </c>
      <c r="Q221" t="e">
        <f>Pivot!K81+"'E4!.2e"</f>
        <v>#VALUE!</v>
      </c>
      <c r="R221" t="e">
        <f>Pivot!L81+"'E4!.2f"</f>
        <v>#VALUE!</v>
      </c>
      <c r="S221" t="e">
        <f>Pivot!M81+"'E4!.2g"</f>
        <v>#VALUE!</v>
      </c>
      <c r="T221" t="e">
        <f>Pivot!N81+"'E4!.2h"</f>
        <v>#VALUE!</v>
      </c>
      <c r="U221" t="e">
        <f>Pivot!A82+"'E4!.2i"</f>
        <v>#VALUE!</v>
      </c>
      <c r="V221" t="e">
        <f>Pivot!B82+"'E4!.2j"</f>
        <v>#VALUE!</v>
      </c>
      <c r="W221" t="e">
        <f>Pivot!A83+"'E4!.2k"</f>
        <v>#VALUE!</v>
      </c>
      <c r="X221" t="e">
        <f>Pivot!B83+"'E4!.2l"</f>
        <v>#VALUE!</v>
      </c>
      <c r="Y221" t="e">
        <f>Pivot!A84+"'E4!.2m"</f>
        <v>#VALUE!</v>
      </c>
      <c r="Z221" t="e">
        <f>Pivot!B84+"'E4!.2n"</f>
        <v>#VALUE!</v>
      </c>
      <c r="AA221" t="e">
        <f>Pivot2!A:A*"'E4!.2p"</f>
        <v>#VALUE!</v>
      </c>
      <c r="AB221" t="e">
        <f>Pivot2!B:B*"'E4!.2q"</f>
        <v>#VALUE!</v>
      </c>
      <c r="AC221" t="e">
        <f>Pivot2!C:C*"'E4!.2r"</f>
        <v>#VALUE!</v>
      </c>
      <c r="AD221" t="e">
        <f>Pivot2!D:D*"'E4!.2s"</f>
        <v>#VALUE!</v>
      </c>
      <c r="AE221" t="e">
        <f>Pivot2!E:E*"'E4!.2t"</f>
        <v>#VALUE!</v>
      </c>
      <c r="AF221" t="e">
        <f>Pivot2!F:F*"'E4!.2u"</f>
        <v>#VALUE!</v>
      </c>
      <c r="AG221" t="e">
        <f>Pivot2!G:G*"'E4!.2v"</f>
        <v>#VALUE!</v>
      </c>
      <c r="AH221" t="e">
        <f>Pivot2!H:H*"'E4!.2w"</f>
        <v>#VALUE!</v>
      </c>
      <c r="AI221" t="e">
        <f>Pivot2!I:I*"'E4!.2x"</f>
        <v>#VALUE!</v>
      </c>
      <c r="AJ221" t="e">
        <f>Pivot2!J:J*"'E4!.2y"</f>
        <v>#VALUE!</v>
      </c>
      <c r="AK221" t="e">
        <f>Pivot2!K:K*"'E4!.2z"</f>
        <v>#VALUE!</v>
      </c>
      <c r="AL221" t="e">
        <f>Pivot2!L:L*"'E4!.2{"</f>
        <v>#VALUE!</v>
      </c>
      <c r="AM221" t="e">
        <f>Pivot2!M:M*"'E4!.2|"</f>
        <v>#VALUE!</v>
      </c>
      <c r="AN221" t="e">
        <f>Pivot2!N:N*"'E4!.2}"</f>
        <v>#VALUE!</v>
      </c>
      <c r="AO221" t="e">
        <f>Pivot2!O:O*"'E4!.2~"</f>
        <v>#VALUE!</v>
      </c>
      <c r="AP221" t="e">
        <f>Pivot2!P:P*"'E4!.3#"</f>
        <v>#VALUE!</v>
      </c>
      <c r="AQ221" t="e">
        <f>Pivot2!Q:Q*"'E4!.3$"</f>
        <v>#VALUE!</v>
      </c>
      <c r="AR221" t="e">
        <f>Pivot2!R:R*"'E4!.3%"</f>
        <v>#VALUE!</v>
      </c>
      <c r="AS221" t="e">
        <f>Pivot2!S:S*"'E4!.3&amp;"</f>
        <v>#VALUE!</v>
      </c>
      <c r="AT221" t="e">
        <f>Pivot2!T:T*"'E4!.3'"</f>
        <v>#VALUE!</v>
      </c>
      <c r="AU221" t="e">
        <f>Pivot2!U:U*"'E4!.3("</f>
        <v>#VALUE!</v>
      </c>
      <c r="AV221" t="e">
        <f>Pivot2!V:V*"'E4!.3)"</f>
        <v>#VALUE!</v>
      </c>
      <c r="AW221" t="e">
        <f>Pivot2!W:W*"'E4!.3."</f>
        <v>#VALUE!</v>
      </c>
      <c r="AX221" t="e">
        <f>Pivot2!X:X*"'E4!.3/"</f>
        <v>#VALUE!</v>
      </c>
      <c r="AY221" t="e">
        <f>Pivot2!Y:Y*"'E4!.30"</f>
        <v>#VALUE!</v>
      </c>
      <c r="AZ221" t="e">
        <f>Pivot2!Z:Z*"'E4!.31"</f>
        <v>#VALUE!</v>
      </c>
      <c r="BA221" t="e">
        <f>Pivot2!AA:AA*"'E4!.32"</f>
        <v>#VALUE!</v>
      </c>
      <c r="BB221" t="e">
        <f>Pivot2!AB:AB*"'E4!.33"</f>
        <v>#VALUE!</v>
      </c>
      <c r="BC221" t="e">
        <f>Pivot2!AC:AC*"'E4!.34"</f>
        <v>#VALUE!</v>
      </c>
      <c r="BD221" t="e">
        <f>Pivot2!AD:AD*"'E4!.35"</f>
        <v>#VALUE!</v>
      </c>
      <c r="BE221" t="e">
        <f>Pivot2!AE:AE*"'E4!.36"</f>
        <v>#VALUE!</v>
      </c>
      <c r="BF221" t="e">
        <f>Pivot2!AF:AF*"'E4!.37"</f>
        <v>#VALUE!</v>
      </c>
      <c r="BG221" t="e">
        <f>Pivot2!AG:AG*"'E4!.38"</f>
        <v>#VALUE!</v>
      </c>
      <c r="BH221" t="e">
        <f>Pivot2!AH:AH*"'E4!.39"</f>
        <v>#VALUE!</v>
      </c>
      <c r="BI221" t="e">
        <f>Pivot2!AI:AI*"'E4!.3:"</f>
        <v>#VALUE!</v>
      </c>
      <c r="BJ221" t="e">
        <f>Pivot2!AJ:AJ*"'E4!.3;"</f>
        <v>#VALUE!</v>
      </c>
      <c r="BK221" t="e">
        <f>Pivot2!AK:AK*"'E4!.3&lt;"</f>
        <v>#VALUE!</v>
      </c>
      <c r="BL221" t="e">
        <f>Pivot2!AL:AL*"'E4!.3="</f>
        <v>#VALUE!</v>
      </c>
      <c r="BM221" t="e">
        <f>Pivot2!AM:AM*"'E4!.3&gt;"</f>
        <v>#VALUE!</v>
      </c>
      <c r="BN221" t="e">
        <f>Pivot2!AN:AN*"'E4!.3?"</f>
        <v>#VALUE!</v>
      </c>
      <c r="BO221" t="e">
        <f>Pivot2!AO:AO*"'E4!.3@"</f>
        <v>#VALUE!</v>
      </c>
      <c r="BP221" t="e">
        <f>Pivot2!AP:AP*"'E4!.3A"</f>
        <v>#VALUE!</v>
      </c>
      <c r="BQ221" t="e">
        <f>Pivot2!AQ:AQ*"'E4!.3B"</f>
        <v>#VALUE!</v>
      </c>
      <c r="BR221" t="e">
        <f>Pivot2!AR:AR*"'E4!.3C"</f>
        <v>#VALUE!</v>
      </c>
      <c r="BS221" t="e">
        <f>Pivot2!AS:AS*"'E4!.3D"</f>
        <v>#VALUE!</v>
      </c>
      <c r="BT221" t="e">
        <f>Pivot2!AT:AT*"'E4!.3E"</f>
        <v>#VALUE!</v>
      </c>
      <c r="BU221" t="e">
        <f>Pivot2!AU:AU*"'E4!.3F"</f>
        <v>#VALUE!</v>
      </c>
      <c r="BV221" t="e">
        <f>Pivot2!AV:AV*"'E4!.3G"</f>
        <v>#VALUE!</v>
      </c>
      <c r="BW221" t="e">
        <f>Pivot2!AW:AW*"'E4!.3H"</f>
        <v>#VALUE!</v>
      </c>
      <c r="BX221" t="e">
        <f>Pivot2!AX:AX*"'E4!.3I"</f>
        <v>#VALUE!</v>
      </c>
      <c r="BY221" t="e">
        <f>Pivot2!AY:AY*"'E4!.3J"</f>
        <v>#VALUE!</v>
      </c>
      <c r="BZ221" t="e">
        <f>Pivot2!AZ:AZ*"'E4!.3K"</f>
        <v>#VALUE!</v>
      </c>
      <c r="CA221" t="e">
        <f>Pivot2!BA:BA*"'E4!.3L"</f>
        <v>#VALUE!</v>
      </c>
      <c r="CB221" t="e">
        <f>Pivot2!BB:BB*"'E4!.3M"</f>
        <v>#VALUE!</v>
      </c>
      <c r="CC221" t="e">
        <f>Pivot2!BC:BC*"'E4!.3N"</f>
        <v>#VALUE!</v>
      </c>
      <c r="CD221" t="e">
        <f>Pivot2!BD:BD*"'E4!.3O"</f>
        <v>#VALUE!</v>
      </c>
      <c r="CE221" t="e">
        <f>Pivot2!BE:BE*"'E4!.3P"</f>
        <v>#VALUE!</v>
      </c>
      <c r="CF221" t="e">
        <f>Pivot2!1:1-"'E4!.3Q"</f>
        <v>#VALUE!</v>
      </c>
      <c r="CG221" t="e">
        <f>Pivot2!2:2-"'E4!.3R"</f>
        <v>#VALUE!</v>
      </c>
      <c r="CH221" t="e">
        <f>Pivot2!3:3-"'E4!.3S"</f>
        <v>#VALUE!</v>
      </c>
      <c r="CI221" t="e">
        <f>Pivot2!4:4-"'E4!.3T"</f>
        <v>#VALUE!</v>
      </c>
      <c r="CJ221" t="e">
        <f>Pivot2!5:5-"'E4!.3U"</f>
        <v>#VALUE!</v>
      </c>
      <c r="CK221" t="e">
        <f>Pivot2!6:6-"'E4!.3V"</f>
        <v>#VALUE!</v>
      </c>
      <c r="CL221" t="e">
        <f>Pivot2!7:7-"'E4!.3W"</f>
        <v>#VALUE!</v>
      </c>
      <c r="CM221" t="e">
        <f>Pivot2!8:8-"'E4!.3X"</f>
        <v>#VALUE!</v>
      </c>
      <c r="CN221" t="e">
        <f>Pivot2!9:9-"'E4!.3Y"</f>
        <v>#VALUE!</v>
      </c>
      <c r="CO221" t="e">
        <f>Pivot2!10:10-"'E4!.3Z"</f>
        <v>#VALUE!</v>
      </c>
      <c r="CP221" t="e">
        <f>Pivot2!11:11-"'E4!.3["</f>
        <v>#VALUE!</v>
      </c>
      <c r="CQ221" t="e">
        <f>Pivot2!12:12-"'E4!.3\"</f>
        <v>#VALUE!</v>
      </c>
      <c r="CR221" t="e">
        <f>Pivot2!13:13-"'E4!.3]"</f>
        <v>#VALUE!</v>
      </c>
      <c r="CS221" t="e">
        <f>Pivot2!14:14-"'E4!.3^"</f>
        <v>#VALUE!</v>
      </c>
      <c r="CT221" t="e">
        <f>Pivot2!15:15-"'E4!.3_"</f>
        <v>#VALUE!</v>
      </c>
      <c r="CU221" t="e">
        <f>Pivot2!16:16-"'E4!.3`"</f>
        <v>#VALUE!</v>
      </c>
      <c r="CV221" t="e">
        <f>Pivot2!17:17-"'E4!.3a"</f>
        <v>#VALUE!</v>
      </c>
      <c r="CW221" t="e">
        <f>Pivot2!18:18-"'E4!.3b"</f>
        <v>#VALUE!</v>
      </c>
      <c r="CX221" t="e">
        <f>Pivot2!19:19-"'E4!.3c"</f>
        <v>#VALUE!</v>
      </c>
      <c r="CY221" t="e">
        <f>Pivot2!20:20-"'E4!.3d"</f>
        <v>#VALUE!</v>
      </c>
      <c r="CZ221" t="e">
        <f>Pivot2!21:21-"'E4!.3e"</f>
        <v>#VALUE!</v>
      </c>
      <c r="DA221" t="e">
        <f>Pivot2!22:22-"'E4!.3f"</f>
        <v>#VALUE!</v>
      </c>
      <c r="DB221" t="e">
        <f>Pivot2!23:23-"'E4!.3g"</f>
        <v>#VALUE!</v>
      </c>
      <c r="DC221" t="e">
        <f>Pivot2!24:24-"'E4!.3h"</f>
        <v>#VALUE!</v>
      </c>
      <c r="DD221" t="e">
        <f>Pivot2!25:25-"'E4!.3i"</f>
        <v>#VALUE!</v>
      </c>
      <c r="DE221" t="e">
        <f>Pivot2!26:26-"'E4!.3j"</f>
        <v>#VALUE!</v>
      </c>
      <c r="DF221" t="e">
        <f>Pivot2!27:27-"'E4!.3k"</f>
        <v>#VALUE!</v>
      </c>
      <c r="DG221" t="e">
        <f>Pivot2!28:28-"'E4!.3l"</f>
        <v>#VALUE!</v>
      </c>
      <c r="DH221" t="e">
        <f>Pivot2!29:29-"'E4!.3m"</f>
        <v>#VALUE!</v>
      </c>
      <c r="DI221" t="e">
        <f>Pivot2!30:30-"'E4!.3n"</f>
        <v>#VALUE!</v>
      </c>
      <c r="DJ221" t="e">
        <f>Pivot2!31:31-"'E4!.3o"</f>
        <v>#VALUE!</v>
      </c>
      <c r="DK221" t="e">
        <f>Pivot2!32:32-"'E4!.3p"</f>
        <v>#VALUE!</v>
      </c>
      <c r="DL221" t="e">
        <f>Pivot2!33:33-"'E4!.3q"</f>
        <v>#VALUE!</v>
      </c>
      <c r="DM221" t="e">
        <f>Pivot2!34:34-"'E4!.3r"</f>
        <v>#VALUE!</v>
      </c>
      <c r="DN221" t="e">
        <f>Pivot2!35:35-"'E4!.3s"</f>
        <v>#VALUE!</v>
      </c>
      <c r="DO221" t="e">
        <f>Pivot2!36:36-"'E4!.3t"</f>
        <v>#VALUE!</v>
      </c>
      <c r="DP221" t="e">
        <f>Pivot2!37:37-"'E4!.3u"</f>
        <v>#VALUE!</v>
      </c>
      <c r="DQ221" t="e">
        <f>Pivot2!38:38-"'E4!.3v"</f>
        <v>#VALUE!</v>
      </c>
      <c r="DR221" t="e">
        <f>Pivot2!39:39-"'E4!.3w"</f>
        <v>#VALUE!</v>
      </c>
      <c r="DS221" t="e">
        <f>Pivot2!40:40-"'E4!.3x"</f>
        <v>#VALUE!</v>
      </c>
      <c r="DT221" t="e">
        <f>Pivot2!41:41-"'E4!.3y"</f>
        <v>#VALUE!</v>
      </c>
      <c r="DU221" t="e">
        <f>Pivot2!42:42-"'E4!.3z"</f>
        <v>#VALUE!</v>
      </c>
      <c r="DV221" t="e">
        <f>Pivot2!43:43-"'E4!.3{"</f>
        <v>#VALUE!</v>
      </c>
      <c r="DW221" t="e">
        <f>Pivot2!44:44-"'E4!.3|"</f>
        <v>#VALUE!</v>
      </c>
      <c r="DX221" t="e">
        <f>Pivot2!45:45-"'E4!.3}"</f>
        <v>#VALUE!</v>
      </c>
      <c r="DY221" t="e">
        <f>Pivot2!46:46-"'E4!.3~"</f>
        <v>#VALUE!</v>
      </c>
      <c r="DZ221" t="e">
        <f>Pivot2!47:47-"'E4!.4#"</f>
        <v>#VALUE!</v>
      </c>
      <c r="EA221" t="e">
        <f>Pivot2!48:48-"'E4!.4$"</f>
        <v>#VALUE!</v>
      </c>
      <c r="EB221" t="e">
        <f>Pivot2!49:49-"'E4!.4%"</f>
        <v>#VALUE!</v>
      </c>
      <c r="EC221" t="e">
        <f>Pivot2!50:50-"'E4!.4&amp;"</f>
        <v>#VALUE!</v>
      </c>
      <c r="ED221" t="e">
        <f>Pivot2!51:51-"'E4!.4'"</f>
        <v>#VALUE!</v>
      </c>
      <c r="EE221" t="e">
        <f>Pivot2!52:52-"'E4!.4("</f>
        <v>#VALUE!</v>
      </c>
      <c r="EF221" t="e">
        <f>Pivot2!53:53-"'E4!.4)"</f>
        <v>#VALUE!</v>
      </c>
      <c r="EG221" t="e">
        <f>Pivot2!54:54-"'E4!.4."</f>
        <v>#VALUE!</v>
      </c>
      <c r="EH221" t="e">
        <f>Pivot2!55:55-"'E4!.4/"</f>
        <v>#VALUE!</v>
      </c>
      <c r="EI221" t="e">
        <f>Pivot2!56:56-"'E4!.40"</f>
        <v>#VALUE!</v>
      </c>
      <c r="EJ221" t="e">
        <f>Pivot2!57:57-"'E4!.41"</f>
        <v>#VALUE!</v>
      </c>
      <c r="EK221" t="e">
        <f>Pivot2!58:58-"'E4!.42"</f>
        <v>#VALUE!</v>
      </c>
      <c r="EL221" t="e">
        <f>Pivot2!59:59-"'E4!.43"</f>
        <v>#VALUE!</v>
      </c>
      <c r="EM221" t="e">
        <f>Pivot2!60:60-"'E4!.44"</f>
        <v>#VALUE!</v>
      </c>
      <c r="EN221" t="e">
        <f>Pivot2!61:61-"'E4!.45"</f>
        <v>#VALUE!</v>
      </c>
      <c r="EO221" t="e">
        <f>Pivot2!62:62-"'E4!.46"</f>
        <v>#VALUE!</v>
      </c>
      <c r="EP221" t="e">
        <f>Pivot2!63:63-"'E4!.47"</f>
        <v>#VALUE!</v>
      </c>
      <c r="EQ221" t="e">
        <f>Pivot2!64:64-"'E4!.48"</f>
        <v>#VALUE!</v>
      </c>
      <c r="ER221" t="e">
        <f>Pivot2!65:65-"'E4!.49"</f>
        <v>#VALUE!</v>
      </c>
      <c r="ES221" t="e">
        <f>Pivot2!66:66-"'E4!.4:"</f>
        <v>#VALUE!</v>
      </c>
      <c r="ET221" t="e">
        <f>Pivot2!67:67-"'E4!.4;"</f>
        <v>#VALUE!</v>
      </c>
      <c r="EU221" t="e">
        <f>Pivot2!68:68-"'E4!.4&lt;"</f>
        <v>#VALUE!</v>
      </c>
      <c r="EV221" t="e">
        <f>Pivot2!69:69-"'E4!.4="</f>
        <v>#VALUE!</v>
      </c>
      <c r="EW221" t="e">
        <f>Pivot2!70:70-"'E4!.4&gt;"</f>
        <v>#VALUE!</v>
      </c>
      <c r="EX221" t="e">
        <f>Pivot2!71:71-"'E4!.4?"</f>
        <v>#VALUE!</v>
      </c>
      <c r="EY221" t="e">
        <f>Pivot2!72:72-"'E4!.4@"</f>
        <v>#VALUE!</v>
      </c>
      <c r="EZ221" t="e">
        <f>Pivot2!73:73-"'E4!.4A"</f>
        <v>#VALUE!</v>
      </c>
      <c r="FA221" t="e">
        <f>Pivot2!74:74-"'E4!.4B"</f>
        <v>#VALUE!</v>
      </c>
      <c r="FB221" t="e">
        <f>Pivot2!75:75-"'E4!.4C"</f>
        <v>#VALUE!</v>
      </c>
      <c r="FC221" t="e">
        <f>Pivot2!76:76-"'E4!.4D"</f>
        <v>#VALUE!</v>
      </c>
      <c r="FD221" t="e">
        <f>Pivot2!77:77-"'E4!.4E"</f>
        <v>#VALUE!</v>
      </c>
      <c r="FE221" t="e">
        <f>Pivot2!78:78-"'E4!.4F"</f>
        <v>#VALUE!</v>
      </c>
      <c r="FF221" t="e">
        <f>Pivot2!79:79-"'E4!.4G"</f>
        <v>#VALUE!</v>
      </c>
      <c r="FG221" t="e">
        <f>Pivot2!80:80-"'E4!.4H"</f>
        <v>#VALUE!</v>
      </c>
      <c r="FH221" t="e">
        <f>Pivot2!81:81-"'E4!.4I"</f>
        <v>#VALUE!</v>
      </c>
      <c r="FI221" t="e">
        <f>Pivot2!82:82-"'E4!.4J"</f>
        <v>#VALUE!</v>
      </c>
      <c r="FJ221" t="e">
        <f>Pivot2!83:83-"'E4!.4K"</f>
        <v>#VALUE!</v>
      </c>
      <c r="FK221" t="e">
        <f>Pivot2!84:84-"'E4!.4L"</f>
        <v>#VALUE!</v>
      </c>
      <c r="FL221" t="e">
        <f>Pivot2!85:85-"'E4!.4M"</f>
        <v>#VALUE!</v>
      </c>
      <c r="FM221" t="e">
        <f>Pivot2!86:86-"'E4!.4N"</f>
        <v>#VALUE!</v>
      </c>
      <c r="FN221" t="e">
        <f>Pivot2!87:87-"'E4!.4O"</f>
        <v>#VALUE!</v>
      </c>
      <c r="FO221" t="e">
        <f>Pivot2!88:88-"'E4!.4P"</f>
        <v>#VALUE!</v>
      </c>
      <c r="FP221" t="e">
        <f>Pivot2!89:89-"'E4!.4Q"</f>
        <v>#VALUE!</v>
      </c>
      <c r="FQ221" t="e">
        <f>Pivot2!90:90-"'E4!.4R"</f>
        <v>#VALUE!</v>
      </c>
      <c r="FR221" t="e">
        <f>Pivot2!91:91-"'E4!.4S"</f>
        <v>#VALUE!</v>
      </c>
      <c r="FS221" t="e">
        <f>Pivot2!92:92-"'E4!.4T"</f>
        <v>#VALUE!</v>
      </c>
      <c r="FT221" t="e">
        <f>Pivot2!93:93-"'E4!.4U"</f>
        <v>#VALUE!</v>
      </c>
      <c r="FU221" t="e">
        <f>Pivot2!94:94-"'E4!.4V"</f>
        <v>#VALUE!</v>
      </c>
      <c r="FV221" t="e">
        <f>Pivot2!95:95-"'E4!.4W"</f>
        <v>#VALUE!</v>
      </c>
      <c r="FW221" t="e">
        <f>Pivot2!96:96-"'E4!.4X"</f>
        <v>#VALUE!</v>
      </c>
      <c r="FX221" t="e">
        <f>Pivot2!97:97-"'E4!.4Y"</f>
        <v>#VALUE!</v>
      </c>
      <c r="FY221" t="e">
        <f>Pivot2!98:98-"'E4!.4Z"</f>
        <v>#VALUE!</v>
      </c>
      <c r="FZ221" t="e">
        <f>Pivot2!99:99-"'E4!.4["</f>
        <v>#VALUE!</v>
      </c>
      <c r="GA221" t="e">
        <f>Pivot2!100:100-"'E4!.4\"</f>
        <v>#VALUE!</v>
      </c>
      <c r="GB221" t="e">
        <f>Pivot2!101:101-"'E4!.4]"</f>
        <v>#VALUE!</v>
      </c>
      <c r="GC221" t="e">
        <f>Pivot2!102:102-"'E4!.4^"</f>
        <v>#VALUE!</v>
      </c>
      <c r="GD221" t="e">
        <f>Pivot2!103:103-"'E4!.4_"</f>
        <v>#VALUE!</v>
      </c>
      <c r="GE221" t="e">
        <f>Pivot2!104:104-"'E4!.4`"</f>
        <v>#VALUE!</v>
      </c>
      <c r="GF221" t="e">
        <f>Pivot2!105:105-"'E4!.4a"</f>
        <v>#VALUE!</v>
      </c>
      <c r="GG221" t="e">
        <f>Pivot2!106:106-"'E4!.4b"</f>
        <v>#VALUE!</v>
      </c>
      <c r="GH221" t="e">
        <f>Pivot2!107:107-"'E4!.4c"</f>
        <v>#VALUE!</v>
      </c>
      <c r="GI221" t="e">
        <f>Pivot2!108:108-"'E4!.4d"</f>
        <v>#VALUE!</v>
      </c>
      <c r="GJ221" t="e">
        <f>Pivot2!109:109-"'E4!.4e"</f>
        <v>#VALUE!</v>
      </c>
      <c r="GK221" t="e">
        <f>Pivot2!110:110-"'E4!.4f"</f>
        <v>#VALUE!</v>
      </c>
      <c r="GL221" t="e">
        <f>Pivot2!111:111-"'E4!.4g"</f>
        <v>#VALUE!</v>
      </c>
      <c r="GM221" t="e">
        <f>Pivot2!112:112-"'E4!.4h"</f>
        <v>#VALUE!</v>
      </c>
      <c r="GN221" t="e">
        <f>Pivot2!113:113-"'E4!.4i"</f>
        <v>#VALUE!</v>
      </c>
      <c r="GO221" t="e">
        <f>Pivot2!114:114-"'E4!.4j"</f>
        <v>#VALUE!</v>
      </c>
      <c r="GP221" t="e">
        <f>Pivot2!115:115-"'E4!.4k"</f>
        <v>#VALUE!</v>
      </c>
      <c r="GQ221" t="e">
        <f>Pivot2!116:116-"'E4!.4l"</f>
        <v>#VALUE!</v>
      </c>
      <c r="GR221" t="e">
        <f>Pivot2!117:117-"'E4!.4m"</f>
        <v>#VALUE!</v>
      </c>
      <c r="GS221" t="e">
        <f>Pivot2!118:118-"'E4!.4n"</f>
        <v>#VALUE!</v>
      </c>
      <c r="GT221" t="e">
        <f>Pivot2!119:119-"'E4!.4o"</f>
        <v>#VALUE!</v>
      </c>
      <c r="GU221" t="e">
        <f>Pivot2!120:120-"'E4!.4p"</f>
        <v>#VALUE!</v>
      </c>
      <c r="GV221" t="e">
        <f>Pivot2!121:121-"'E4!.4q"</f>
        <v>#VALUE!</v>
      </c>
      <c r="GW221" t="e">
        <f>Pivot2!122:122-"'E4!.4r"</f>
        <v>#VALUE!</v>
      </c>
      <c r="GX221" t="e">
        <f>Pivot2!123:123-"'E4!.4s"</f>
        <v>#VALUE!</v>
      </c>
      <c r="GY221" t="e">
        <f>Pivot2!124:124-"'E4!.4t"</f>
        <v>#VALUE!</v>
      </c>
      <c r="GZ221" t="e">
        <f>Pivot2!125:125-"'E4!.4u"</f>
        <v>#VALUE!</v>
      </c>
      <c r="HA221" t="e">
        <f>Pivot2!126:126-"'E4!.4v"</f>
        <v>#VALUE!</v>
      </c>
      <c r="HB221" t="e">
        <f>Pivot2!127:127-"'E4!.4w"</f>
        <v>#VALUE!</v>
      </c>
      <c r="HC221" t="e">
        <f>Pivot2!128:128-"'E4!.4x"</f>
        <v>#VALUE!</v>
      </c>
      <c r="HD221" t="e">
        <f>Pivot2!129:129-"'E4!.4y"</f>
        <v>#VALUE!</v>
      </c>
      <c r="HE221" t="e">
        <f>Pivot2!130:130-"'E4!.4z"</f>
        <v>#VALUE!</v>
      </c>
      <c r="HF221" t="e">
        <f>Pivot2!131:131-"'E4!.4{"</f>
        <v>#VALUE!</v>
      </c>
      <c r="HG221" t="e">
        <f>Pivot2!132:132-"'E4!.4|"</f>
        <v>#VALUE!</v>
      </c>
      <c r="HH221" t="e">
        <f>Pivot2!133:133-"'E4!.4}"</f>
        <v>#VALUE!</v>
      </c>
      <c r="HI221" t="e">
        <f>Pivot2!134:134-"'E4!.4~"</f>
        <v>#VALUE!</v>
      </c>
      <c r="HJ221" t="e">
        <f>Pivot2!135:135-"'E4!.5#"</f>
        <v>#VALUE!</v>
      </c>
      <c r="HK221" t="e">
        <f>Pivot2!136:136-"'E4!.5$"</f>
        <v>#VALUE!</v>
      </c>
      <c r="HL221" t="e">
        <f>Pivot2!137:137-"'E4!.5%"</f>
        <v>#VALUE!</v>
      </c>
      <c r="HM221" t="e">
        <f>Pivot2!138:138-"'E4!.5&amp;"</f>
        <v>#VALUE!</v>
      </c>
      <c r="HN221" t="e">
        <f>Pivot2!139:139-"'E4!.5'"</f>
        <v>#VALUE!</v>
      </c>
      <c r="HO221" t="e">
        <f>Pivot2!140:140-"'E4!.5("</f>
        <v>#VALUE!</v>
      </c>
      <c r="HP221" t="e">
        <f>Pivot2!141:141-"'E4!.5)"</f>
        <v>#VALUE!</v>
      </c>
      <c r="HQ221" t="e">
        <f>Pivot2!142:142-"'E4!.5."</f>
        <v>#VALUE!</v>
      </c>
      <c r="HR221" t="e">
        <f>Pivot2!143:143-"'E4!.5/"</f>
        <v>#VALUE!</v>
      </c>
      <c r="HS221" t="e">
        <f>Pivot2!144:144-"'E4!.50"</f>
        <v>#VALUE!</v>
      </c>
      <c r="HT221" t="e">
        <f>Pivot2!145:145-"'E4!.51"</f>
        <v>#VALUE!</v>
      </c>
      <c r="HU221" t="e">
        <f>Pivot2!146:146-"'E4!.52"</f>
        <v>#VALUE!</v>
      </c>
      <c r="HV221" t="e">
        <f>Pivot2!147:147-"'E4!.53"</f>
        <v>#VALUE!</v>
      </c>
      <c r="HW221" t="e">
        <f>Pivot2!148:148-"'E4!.54"</f>
        <v>#VALUE!</v>
      </c>
      <c r="HX221" t="e">
        <f>Pivot2!149:149-"'E4!.55"</f>
        <v>#VALUE!</v>
      </c>
      <c r="HY221" t="e">
        <f>Pivot2!150:150-"'E4!.56"</f>
        <v>#VALUE!</v>
      </c>
      <c r="HZ221" t="e">
        <f>Pivot2!151:151-"'E4!.57"</f>
        <v>#VALUE!</v>
      </c>
      <c r="IA221" t="e">
        <f>Pivot2!152:152-"'E4!.58"</f>
        <v>#VALUE!</v>
      </c>
      <c r="IB221" t="e">
        <f>Pivot2!153:153-"'E4!.59"</f>
        <v>#VALUE!</v>
      </c>
      <c r="IC221" t="e">
        <f>Pivot2!154:154-"'E4!.5:"</f>
        <v>#VALUE!</v>
      </c>
      <c r="ID221" t="e">
        <f>Pivot2!155:155-"'E4!.5;"</f>
        <v>#VALUE!</v>
      </c>
      <c r="IE221" t="e">
        <f>Pivot2!156:156-"'E4!.5&lt;"</f>
        <v>#VALUE!</v>
      </c>
      <c r="IF221" t="e">
        <f>Pivot2!157:157-"'E4!.5="</f>
        <v>#VALUE!</v>
      </c>
      <c r="IG221" t="e">
        <f>Pivot2!158:158-"'E4!.5&gt;"</f>
        <v>#VALUE!</v>
      </c>
      <c r="IH221" t="e">
        <f>Pivot2!159:159-"'E4!.5?"</f>
        <v>#VALUE!</v>
      </c>
      <c r="II221" t="e">
        <f>Pivot2!160:160-"'E4!.5@"</f>
        <v>#VALUE!</v>
      </c>
      <c r="IJ221" t="e">
        <f>Pivot2!161:161-"'E4!.5A"</f>
        <v>#VALUE!</v>
      </c>
      <c r="IK221" t="e">
        <f>Pivot2!162:162-"'E4!.5B"</f>
        <v>#VALUE!</v>
      </c>
      <c r="IL221" t="e">
        <f>Pivot2!163:163-"'E4!.5C"</f>
        <v>#VALUE!</v>
      </c>
      <c r="IM221" t="e">
        <f>Pivot2!164:164-"'E4!.5D"</f>
        <v>#VALUE!</v>
      </c>
      <c r="IN221" t="e">
        <f>Pivot2!165:165-"'E4!.5E"</f>
        <v>#VALUE!</v>
      </c>
      <c r="IO221" t="e">
        <f>Pivot2!166:166-"'E4!.5F"</f>
        <v>#VALUE!</v>
      </c>
      <c r="IP221" t="e">
        <f>Pivot2!167:167-"'E4!.5G"</f>
        <v>#VALUE!</v>
      </c>
      <c r="IQ221" t="e">
        <f>Pivot2!168:168-"'E4!.5H"</f>
        <v>#VALUE!</v>
      </c>
      <c r="IR221" t="e">
        <f>Pivot2!169:169-"'E4!.5I"</f>
        <v>#VALUE!</v>
      </c>
      <c r="IS221" t="e">
        <f>Pivot2!170:170-"'E4!.5J"</f>
        <v>#VALUE!</v>
      </c>
      <c r="IT221" t="e">
        <f>Pivot2!171:171-"'E4!.5K"</f>
        <v>#VALUE!</v>
      </c>
      <c r="IU221" t="e">
        <f>Pivot2!172:172-"'E4!.5L"</f>
        <v>#VALUE!</v>
      </c>
      <c r="IV221" t="e">
        <f>Pivot2!173:173-"'E4!.5M"</f>
        <v>#VALUE!</v>
      </c>
    </row>
    <row r="222" spans="6:256">
      <c r="F222" t="e">
        <f>Pivot2!174:174-"'E4!.5N"</f>
        <v>#VALUE!</v>
      </c>
      <c r="G222" t="e">
        <f>Pivot2!175:175-"'E4!.5O"</f>
        <v>#VALUE!</v>
      </c>
      <c r="H222" t="e">
        <f>Pivot2!176:176-"'E4!.5P"</f>
        <v>#VALUE!</v>
      </c>
      <c r="I222" t="e">
        <f>Pivot2!177:177-"'E4!.5Q"</f>
        <v>#VALUE!</v>
      </c>
      <c r="J222" t="e">
        <f>Pivot2!178:178-"'E4!.5R"</f>
        <v>#VALUE!</v>
      </c>
      <c r="K222" t="e">
        <f>Pivot2!179:179-"'E4!.5S"</f>
        <v>#VALUE!</v>
      </c>
      <c r="L222" t="e">
        <f>Pivot2!180:180-"'E4!.5T"</f>
        <v>#VALUE!</v>
      </c>
      <c r="M222" t="e">
        <f>Pivot2!181:181-"'E4!.5U"</f>
        <v>#VALUE!</v>
      </c>
      <c r="N222" t="e">
        <f>Pivot2!182:182-"'E4!.5V"</f>
        <v>#VALUE!</v>
      </c>
      <c r="O222" t="e">
        <f>Pivot2!183:183-"'E4!.5W"</f>
        <v>#VALUE!</v>
      </c>
      <c r="P222" t="e">
        <f>Pivot2!184:184-"'E4!.5X"</f>
        <v>#VALUE!</v>
      </c>
      <c r="Q222" t="e">
        <f>Pivot2!185:185-"'E4!.5Y"</f>
        <v>#VALUE!</v>
      </c>
      <c r="R222" t="e">
        <f>Pivot2!186:186-"'E4!.5Z"</f>
        <v>#VALUE!</v>
      </c>
      <c r="S222" t="e">
        <f>Pivot2!187:187-"'E4!.5["</f>
        <v>#VALUE!</v>
      </c>
      <c r="T222" t="e">
        <f>Pivot2!188:188-"'E4!.5\"</f>
        <v>#VALUE!</v>
      </c>
      <c r="U222" t="e">
        <f>Pivot2!189:189-"'E4!.5]"</f>
        <v>#VALUE!</v>
      </c>
      <c r="V222" t="e">
        <f>Pivot2!190:190-"'E4!.5^"</f>
        <v>#VALUE!</v>
      </c>
      <c r="W222" t="e">
        <f>Pivot2!191:191-"'E4!.5_"</f>
        <v>#VALUE!</v>
      </c>
      <c r="X222" t="e">
        <f>Pivot2!192:192-"'E4!.5`"</f>
        <v>#VALUE!</v>
      </c>
      <c r="Y222" t="e">
        <f>Pivot2!193:193-"'E4!.5a"</f>
        <v>#VALUE!</v>
      </c>
      <c r="Z222" t="e">
        <f>Pivot2!194:194-"'E4!.5b"</f>
        <v>#VALUE!</v>
      </c>
      <c r="AA222" t="e">
        <f>Pivot2!195:195-"'E4!.5c"</f>
        <v>#VALUE!</v>
      </c>
      <c r="AB222" t="e">
        <f>Pivot2!196:196-"'E4!.5d"</f>
        <v>#VALUE!</v>
      </c>
      <c r="AC222" t="e">
        <f>Pivot2!197:197-"'E4!.5e"</f>
        <v>#VALUE!</v>
      </c>
      <c r="AD222" t="e">
        <f>Pivot2!198:198-"'E4!.5f"</f>
        <v>#VALUE!</v>
      </c>
      <c r="AE222" t="e">
        <f>Pivot2!199:199-"'E4!.5g"</f>
        <v>#VALUE!</v>
      </c>
      <c r="AF222" t="e">
        <f>Pivot2!200:200-"'E4!.5h"</f>
        <v>#VALUE!</v>
      </c>
      <c r="AG222" t="e">
        <f>Pivot2!201:201-"'E4!.5i"</f>
        <v>#VALUE!</v>
      </c>
      <c r="AH222" t="e">
        <f>Pivot2!202:202-"'E4!.5j"</f>
        <v>#VALUE!</v>
      </c>
      <c r="AI222" t="e">
        <f>Pivot2!203:203-"'E4!.5k"</f>
        <v>#VALUE!</v>
      </c>
      <c r="AJ222" t="e">
        <f>Pivot2!204:204-"'E4!.5l"</f>
        <v>#VALUE!</v>
      </c>
      <c r="AK222" t="e">
        <f>Pivot2!205:205-"'E4!.5m"</f>
        <v>#VALUE!</v>
      </c>
      <c r="AL222" t="e">
        <f>Pivot2!206:206-"'E4!.5n"</f>
        <v>#VALUE!</v>
      </c>
      <c r="AM222" t="e">
        <f>Pivot2!207:207-"'E4!.5o"</f>
        <v>#VALUE!</v>
      </c>
      <c r="AN222" t="e">
        <f>Pivot2!208:208-"'E4!.5p"</f>
        <v>#VALUE!</v>
      </c>
      <c r="AO222" t="e">
        <f>Pivot2!209:209-"'E4!.5q"</f>
        <v>#VALUE!</v>
      </c>
      <c r="AP222" t="e">
        <f>Pivot2!210:210-"'E4!.5r"</f>
        <v>#VALUE!</v>
      </c>
      <c r="AQ222" t="e">
        <f>Pivot2!211:211-"'E4!.5s"</f>
        <v>#VALUE!</v>
      </c>
      <c r="AR222" t="e">
        <f>Pivot2!212:212-"'E4!.5t"</f>
        <v>#VALUE!</v>
      </c>
      <c r="AS222" t="e">
        <f>Pivot2!213:213-"'E4!.5u"</f>
        <v>#VALUE!</v>
      </c>
      <c r="AT222" t="e">
        <f>Pivot2!A1+"'E4!.5v"</f>
        <v>#VALUE!</v>
      </c>
      <c r="AU222" t="e">
        <f>Pivot2!B1+"'E4!.5w"</f>
        <v>#VALUE!</v>
      </c>
      <c r="AV222" t="e">
        <f>'Drop 2'!A:A*"'E4!.5x"</f>
        <v>#VALUE!</v>
      </c>
      <c r="AW222" t="e">
        <f>'Drop 2'!B:B*"'E4!.5y"</f>
        <v>#VALUE!</v>
      </c>
      <c r="AX222" t="e">
        <f>'Drop 2'!C:C*"'E4!.5z"</f>
        <v>#VALUE!</v>
      </c>
      <c r="AY222" t="e">
        <f>'Drop 2'!D:D*"'E4!.5{"</f>
        <v>#VALUE!</v>
      </c>
      <c r="AZ222" t="e">
        <f>'Drop 2'!E:E*"'E4!.5|"</f>
        <v>#VALUE!</v>
      </c>
      <c r="BA222" t="e">
        <f>'Drop 2'!F:F*"'E4!.5}"</f>
        <v>#VALUE!</v>
      </c>
      <c r="BB222" t="e">
        <f>'Drop 2'!G:G*"'E4!.5~"</f>
        <v>#VALUE!</v>
      </c>
      <c r="BC222" t="e">
        <f>'Drop 2'!H:H*"'E4!.6#"</f>
        <v>#VALUE!</v>
      </c>
      <c r="BD222" t="e">
        <f>'Drop 2'!I:I*"'E4!.6$"</f>
        <v>#VALUE!</v>
      </c>
      <c r="BE222" t="e">
        <f>'Drop 2'!J:J*"'E4!.6%"</f>
        <v>#VALUE!</v>
      </c>
      <c r="BF222" t="e">
        <f>'Drop 2'!K:K*"'E4!.6&amp;"</f>
        <v>#VALUE!</v>
      </c>
      <c r="BG222" t="e">
        <f>'Drop 2'!L:L*"'E4!.6'"</f>
        <v>#VALUE!</v>
      </c>
      <c r="BH222" t="e">
        <f>'Drop 2'!M:M*"'E4!.6("</f>
        <v>#VALUE!</v>
      </c>
      <c r="BI222" t="e">
        <f>'Drop 2'!N:N*"'E4!.6)"</f>
        <v>#VALUE!</v>
      </c>
      <c r="BJ222" t="e">
        <f>'Drop 2'!O:O*"'E4!.6."</f>
        <v>#VALUE!</v>
      </c>
      <c r="BK222" t="e">
        <f>'Drop 2'!P:P*"'E4!.6/"</f>
        <v>#VALUE!</v>
      </c>
      <c r="BL222" t="e">
        <f>'Drop 2'!Q:Q*"'E4!.60"</f>
        <v>#VALUE!</v>
      </c>
      <c r="BM222" t="e">
        <f>'Drop 2'!R:R*"'E4!.61"</f>
        <v>#VALUE!</v>
      </c>
      <c r="BN222" t="e">
        <f>'Drop 2'!S:S*"'E4!.62"</f>
        <v>#VALUE!</v>
      </c>
      <c r="BO222" t="e">
        <f>'Drop 2'!T:T*"'E4!.63"</f>
        <v>#VALUE!</v>
      </c>
      <c r="BP222" t="e">
        <f>'Drop 2'!U:U*"'E4!.64"</f>
        <v>#VALUE!</v>
      </c>
      <c r="BQ222" t="e">
        <f>'Drop 2'!V:V*"'E4!.65"</f>
        <v>#VALUE!</v>
      </c>
      <c r="BR222" t="e">
        <f>'Drop 2'!W:W*"'E4!.66"</f>
        <v>#VALUE!</v>
      </c>
      <c r="BS222" t="e">
        <f>'Drop 2'!X:X*"'E4!.67"</f>
        <v>#VALUE!</v>
      </c>
      <c r="BT222" t="e">
        <f>'Drop 2'!Y:Y*"'E4!.68"</f>
        <v>#VALUE!</v>
      </c>
      <c r="BU222" t="e">
        <f>'Drop 2'!Z:Z*"'E4!.69"</f>
        <v>#VALUE!</v>
      </c>
      <c r="BV222" t="e">
        <f>'Drop 2'!AA:AA*"'E4!.6:"</f>
        <v>#VALUE!</v>
      </c>
      <c r="BW222" t="e">
        <f>'Drop 2'!AB:AB*"'E4!.6;"</f>
        <v>#VALUE!</v>
      </c>
      <c r="BX222" t="e">
        <f>'Drop 2'!AC:AC*"'E4!.6&lt;"</f>
        <v>#VALUE!</v>
      </c>
      <c r="BY222" t="e">
        <f>'Drop 2'!AD:AD*"'E4!.6="</f>
        <v>#VALUE!</v>
      </c>
      <c r="BZ222" t="e">
        <f>'Drop 2'!AE:AE*"'E4!.6&gt;"</f>
        <v>#VALUE!</v>
      </c>
      <c r="CA222" t="e">
        <f>'Drop 2'!AF:AF*"'E4!.6?"</f>
        <v>#VALUE!</v>
      </c>
      <c r="CB222" t="e">
        <f>'Drop 2'!AG:AG*"'E4!.6@"</f>
        <v>#VALUE!</v>
      </c>
      <c r="CC222" t="e">
        <f>'Drop 2'!AH:AH*"'E4!.6A"</f>
        <v>#VALUE!</v>
      </c>
      <c r="CD222" t="e">
        <f>'Drop 2'!AI:AI*"'E4!.6B"</f>
        <v>#VALUE!</v>
      </c>
      <c r="CE222" t="e">
        <f>'Drop 2'!AJ:AJ*"'E4!.6C"</f>
        <v>#VALUE!</v>
      </c>
      <c r="CF222" t="e">
        <f>'Drop 2'!AK:AK*"'E4!.6D"</f>
        <v>#VALUE!</v>
      </c>
      <c r="CG222" t="e">
        <f>'Drop 2'!AL:AL*"'E4!.6E"</f>
        <v>#VALUE!</v>
      </c>
      <c r="CH222" t="e">
        <f>'Drop 2'!AM:AM*"'E4!.6F"</f>
        <v>#VALUE!</v>
      </c>
      <c r="CI222" t="e">
        <f>'Drop 2'!AN:AN*"'E4!.6G"</f>
        <v>#VALUE!</v>
      </c>
      <c r="CJ222" t="e">
        <f>'Drop 2'!AO:AO*"'E4!.6H"</f>
        <v>#VALUE!</v>
      </c>
      <c r="CK222" t="e">
        <f>'Drop 2'!AP:AP*"'E4!.6I"</f>
        <v>#VALUE!</v>
      </c>
      <c r="CL222" t="e">
        <f>'Drop 2'!AQ:AQ*"'E4!.6J"</f>
        <v>#VALUE!</v>
      </c>
      <c r="CM222" t="e">
        <f>'Drop 2'!AR:AR*"'E4!.6K"</f>
        <v>#VALUE!</v>
      </c>
      <c r="CN222" t="e">
        <f>'Drop 2'!AS:AS*"'E4!.6L"</f>
        <v>#VALUE!</v>
      </c>
      <c r="CO222" t="e">
        <f>'Drop 2'!AT:AT*"'E4!.6M"</f>
        <v>#VALUE!</v>
      </c>
      <c r="CP222" t="e">
        <f>'Drop 2'!AU:AU*"'E4!.6N"</f>
        <v>#VALUE!</v>
      </c>
      <c r="CQ222" t="e">
        <f>'Drop 2'!AV:AV*"'E4!.6O"</f>
        <v>#VALUE!</v>
      </c>
      <c r="CR222" t="e">
        <f>'Drop 2'!AW:AW*"'E4!.6P"</f>
        <v>#VALUE!</v>
      </c>
      <c r="CS222" t="e">
        <f>'Drop 2'!AX:AX*"'E4!.6Q"</f>
        <v>#VALUE!</v>
      </c>
      <c r="CT222" t="e">
        <f>'Drop 2'!AY:AY*"'E4!.6R"</f>
        <v>#VALUE!</v>
      </c>
      <c r="CU222" t="e">
        <f>'Drop 2'!AZ:AZ*"'E4!.6S"</f>
        <v>#VALUE!</v>
      </c>
      <c r="CV222" t="e">
        <f>'Drop 2'!BA:BA*"'E4!.6T"</f>
        <v>#VALUE!</v>
      </c>
      <c r="CW222" t="e">
        <f>'Drop 2'!BB:BB*"'E4!.6U"</f>
        <v>#VALUE!</v>
      </c>
      <c r="CX222" t="e">
        <f>'Drop 2'!BC:BC*"'E4!.6V"</f>
        <v>#VALUE!</v>
      </c>
      <c r="CY222" t="e">
        <f>'Drop 2'!BD:BD*"'E4!.6W"</f>
        <v>#VALUE!</v>
      </c>
      <c r="CZ222" t="e">
        <f>'Drop 2'!BE:BE*"'E4!.6X"</f>
        <v>#VALUE!</v>
      </c>
      <c r="DA222" t="e">
        <f>'Drop 2'!BF:BF*"'E4!.6Y"</f>
        <v>#VALUE!</v>
      </c>
      <c r="DB222" t="e">
        <f>'Drop 2'!BG:BG*"'E4!.6Z"</f>
        <v>#VALUE!</v>
      </c>
      <c r="DC222" t="e">
        <f>'Drop 2'!BH:BH*"'E4!.6["</f>
        <v>#VALUE!</v>
      </c>
      <c r="DD222" t="e">
        <f>'Drop 2'!BI:BI*"'E4!.6\"</f>
        <v>#VALUE!</v>
      </c>
      <c r="DE222" t="e">
        <f>'Drop 2'!BJ:BJ*"'E4!.6]"</f>
        <v>#VALUE!</v>
      </c>
      <c r="DF222" t="e">
        <f>'Drop 2'!BK:BK*"'E4!.6^"</f>
        <v>#VALUE!</v>
      </c>
      <c r="DG222" t="e">
        <f>'Drop 2'!1:1-"'E4!.6_"</f>
        <v>#VALUE!</v>
      </c>
      <c r="DH222" t="e">
        <f>'Drop 2'!2:2-"'E4!.6`"</f>
        <v>#VALUE!</v>
      </c>
      <c r="DI222" t="e">
        <f>'Drop 2'!3:3-"'E4!.6a"</f>
        <v>#VALUE!</v>
      </c>
      <c r="DJ222" t="e">
        <f>'Drop 2'!4:4-"'E4!.6b"</f>
        <v>#VALUE!</v>
      </c>
      <c r="DK222" t="e">
        <f>'Drop 2'!5:5-"'E4!.6c"</f>
        <v>#VALUE!</v>
      </c>
      <c r="DL222" t="e">
        <f>'Drop 2'!6:6-"'E4!.6d"</f>
        <v>#VALUE!</v>
      </c>
      <c r="DM222" t="e">
        <f>'Drop 2'!7:7-"'E4!.6e"</f>
        <v>#VALUE!</v>
      </c>
      <c r="DN222" t="e">
        <f>'Drop 2'!8:8-"'E4!.6f"</f>
        <v>#VALUE!</v>
      </c>
      <c r="DO222" t="e">
        <f>'Drop 2'!9:9-"'E4!.6g"</f>
        <v>#VALUE!</v>
      </c>
      <c r="DP222" t="e">
        <f>'Drop 2'!10:10-"'E4!.6h"</f>
        <v>#VALUE!</v>
      </c>
      <c r="DQ222" t="e">
        <f>'Drop 2'!11:11-"'E4!.6i"</f>
        <v>#VALUE!</v>
      </c>
      <c r="DR222" t="e">
        <f>'Drop 2'!12:12-"'E4!.6j"</f>
        <v>#VALUE!</v>
      </c>
      <c r="DS222" t="e">
        <f>'Drop 2'!13:13-"'E4!.6k"</f>
        <v>#VALUE!</v>
      </c>
      <c r="DT222" t="e">
        <f>'Drop 2'!14:14-"'E4!.6l"</f>
        <v>#VALUE!</v>
      </c>
      <c r="DU222" t="e">
        <f>'Drop 2'!15:15-"'E4!.6m"</f>
        <v>#VALUE!</v>
      </c>
      <c r="DV222" t="e">
        <f>'Drop 2'!16:16-"'E4!.6n"</f>
        <v>#VALUE!</v>
      </c>
      <c r="DW222" t="e">
        <f>'Drop 2'!17:17-"'E4!.6o"</f>
        <v>#VALUE!</v>
      </c>
      <c r="DX222" t="e">
        <f>'Drop 2'!18:18-"'E4!.6p"</f>
        <v>#VALUE!</v>
      </c>
      <c r="DY222" t="e">
        <f>'Drop 2'!19:19-"'E4!.6q"</f>
        <v>#VALUE!</v>
      </c>
      <c r="DZ222" t="e">
        <f>'Drop 2'!20:20-"'E4!.6r"</f>
        <v>#VALUE!</v>
      </c>
      <c r="EA222" t="e">
        <f>'Drop 2'!21:21-"'E4!.6s"</f>
        <v>#VALUE!</v>
      </c>
      <c r="EB222" t="e">
        <f>'Drop 2'!22:22-"'E4!.6t"</f>
        <v>#VALUE!</v>
      </c>
      <c r="EC222" t="e">
        <f>'Drop 2'!23:23-"'E4!.6u"</f>
        <v>#VALUE!</v>
      </c>
      <c r="ED222" t="e">
        <f>'Drop 2'!24:24-"'E4!.6v"</f>
        <v>#VALUE!</v>
      </c>
      <c r="EE222" t="e">
        <f>'Drop 2'!25:25-"'E4!.6w"</f>
        <v>#VALUE!</v>
      </c>
      <c r="EF222" t="e">
        <f>'Drop 2'!26:26-"'E4!.6x"</f>
        <v>#VALUE!</v>
      </c>
      <c r="EG222" t="e">
        <f>'Drop 2'!27:27-"'E4!.6y"</f>
        <v>#VALUE!</v>
      </c>
      <c r="EH222" t="e">
        <f>'Drop 2'!28:28-"'E4!.6z"</f>
        <v>#VALUE!</v>
      </c>
      <c r="EI222" t="e">
        <f>'Drop 2'!29:29-"'E4!.6{"</f>
        <v>#VALUE!</v>
      </c>
      <c r="EJ222" t="e">
        <f>'Drop 2'!30:30-"'E4!.6|"</f>
        <v>#VALUE!</v>
      </c>
      <c r="EK222" t="e">
        <f>'Drop 2'!31:31-"'E4!.6}"</f>
        <v>#VALUE!</v>
      </c>
      <c r="EL222" t="e">
        <f>'Drop 2'!32:32-"'E4!.6~"</f>
        <v>#VALUE!</v>
      </c>
      <c r="EM222" t="e">
        <f>'Drop 2'!33:33-"'E4!.7#"</f>
        <v>#VALUE!</v>
      </c>
      <c r="EN222" t="e">
        <f>'Drop 2'!34:34-"'E4!.7$"</f>
        <v>#VALUE!</v>
      </c>
      <c r="EO222" t="e">
        <f>'Drop 2'!35:35-"'E4!.7%"</f>
        <v>#VALUE!</v>
      </c>
      <c r="EP222" t="e">
        <f>'Drop 2'!36:36-"'E4!.7&amp;"</f>
        <v>#VALUE!</v>
      </c>
      <c r="EQ222" t="e">
        <f>'Drop 2'!37:37-"'E4!.7'"</f>
        <v>#VALUE!</v>
      </c>
      <c r="ER222" t="e">
        <f>'Drop 2'!38:38-"'E4!.7("</f>
        <v>#VALUE!</v>
      </c>
      <c r="ES222" t="e">
        <f>'Drop 2'!39:39-"'E4!.7)"</f>
        <v>#VALUE!</v>
      </c>
      <c r="ET222" t="e">
        <f>'Drop 2'!40:40-"'E4!.7."</f>
        <v>#VALUE!</v>
      </c>
      <c r="EU222" t="e">
        <f>'Drop 2'!41:41-"'E4!.7/"</f>
        <v>#VALUE!</v>
      </c>
      <c r="EV222" t="e">
        <f>'Drop 2'!42:42-"'E4!.70"</f>
        <v>#VALUE!</v>
      </c>
      <c r="EW222" t="e">
        <f>'Drop 2'!43:43-"'E4!.71"</f>
        <v>#VALUE!</v>
      </c>
      <c r="EX222" t="e">
        <f>'Drop 2'!44:44-"'E4!.72"</f>
        <v>#VALUE!</v>
      </c>
      <c r="EY222" t="e">
        <f>'Drop 2'!45:45-"'E4!.73"</f>
        <v>#VALUE!</v>
      </c>
      <c r="EZ222" t="e">
        <f>'Drop 2'!46:46-"'E4!.74"</f>
        <v>#VALUE!</v>
      </c>
      <c r="FA222" t="e">
        <f>'Drop 2'!47:47-"'E4!.75"</f>
        <v>#VALUE!</v>
      </c>
      <c r="FB222" t="e">
        <f>'Drop 2'!48:48-"'E4!.76"</f>
        <v>#VALUE!</v>
      </c>
      <c r="FC222" t="e">
        <f>'Drop 2'!49:49-"'E4!.77"</f>
        <v>#VALUE!</v>
      </c>
      <c r="FD222" t="e">
        <f>'Drop 2'!50:50-"'E4!.78"</f>
        <v>#VALUE!</v>
      </c>
      <c r="FE222" t="e">
        <f>'Drop 2'!51:51-"'E4!.79"</f>
        <v>#VALUE!</v>
      </c>
      <c r="FF222" t="e">
        <f>'Drop 2'!52:52-"'E4!.7:"</f>
        <v>#VALUE!</v>
      </c>
      <c r="FG222" t="e">
        <f>'Drop 2'!53:53-"'E4!.7;"</f>
        <v>#VALUE!</v>
      </c>
      <c r="FH222" t="e">
        <f>'Drop 2'!54:54-"'E4!.7&lt;"</f>
        <v>#VALUE!</v>
      </c>
      <c r="FI222" t="e">
        <f>'Drop 2'!55:55-"'E4!.7="</f>
        <v>#VALUE!</v>
      </c>
      <c r="FJ222" t="e">
        <f>'Drop 2'!56:56-"'E4!.7&gt;"</f>
        <v>#VALUE!</v>
      </c>
      <c r="FK222" t="e">
        <f>'Drop 2'!57:57-"'E4!.7?"</f>
        <v>#VALUE!</v>
      </c>
      <c r="FL222" t="e">
        <f>'Drop 2'!58:58-"'E4!.7@"</f>
        <v>#VALUE!</v>
      </c>
      <c r="FM222" t="e">
        <f>'Drop 2'!59:59-"'E4!.7A"</f>
        <v>#VALUE!</v>
      </c>
      <c r="FN222" t="e">
        <f>'Drop 2'!60:60-"'E4!.7B"</f>
        <v>#VALUE!</v>
      </c>
      <c r="FO222" t="e">
        <f>'Drop 2'!61:61-"'E4!.7C"</f>
        <v>#VALUE!</v>
      </c>
      <c r="FP222" t="e">
        <f>'Drop 2'!62:62-"'E4!.7D"</f>
        <v>#VALUE!</v>
      </c>
      <c r="FQ222" t="e">
        <f>'Drop 2'!63:63-"'E4!.7E"</f>
        <v>#VALUE!</v>
      </c>
      <c r="FR222" t="e">
        <f>'Drop 2'!64:64-"'E4!.7F"</f>
        <v>#VALUE!</v>
      </c>
      <c r="FS222" t="e">
        <f>'Drop 2'!65:65-"'E4!.7G"</f>
        <v>#VALUE!</v>
      </c>
      <c r="FT222" t="e">
        <f>'Drop 2'!66:66-"'E4!.7H"</f>
        <v>#VALUE!</v>
      </c>
      <c r="FU222" t="e">
        <f>'Drop 2'!67:67-"'E4!.7I"</f>
        <v>#VALUE!</v>
      </c>
      <c r="FV222" t="e">
        <f>'Drop 2'!68:68-"'E4!.7J"</f>
        <v>#VALUE!</v>
      </c>
      <c r="FW222" t="e">
        <f>'Drop 2'!69:69-"'E4!.7K"</f>
        <v>#VALUE!</v>
      </c>
      <c r="FX222" t="e">
        <f>'Drop 2'!70:70-"'E4!.7L"</f>
        <v>#VALUE!</v>
      </c>
      <c r="FY222" t="e">
        <f>'Drop 2'!71:71-"'E4!.7M"</f>
        <v>#VALUE!</v>
      </c>
      <c r="FZ222" t="e">
        <f>'Drop 2'!72:72-"'E4!.7N"</f>
        <v>#VALUE!</v>
      </c>
      <c r="GA222" t="e">
        <f>'Drop 2'!73:73-"'E4!.7O"</f>
        <v>#VALUE!</v>
      </c>
      <c r="GB222" t="e">
        <f>'Drop 2'!74:74-"'E4!.7P"</f>
        <v>#VALUE!</v>
      </c>
      <c r="GC222" t="e">
        <f>'Drop 2'!75:75-"'E4!.7Q"</f>
        <v>#VALUE!</v>
      </c>
      <c r="GD222" t="e">
        <f>'Drop 2'!76:76-"'E4!.7R"</f>
        <v>#VALUE!</v>
      </c>
      <c r="GE222" t="e">
        <f>'Drop 2'!77:77-"'E4!.7S"</f>
        <v>#VALUE!</v>
      </c>
      <c r="GF222" t="e">
        <f>'Drop 2'!78:78-"'E4!.7T"</f>
        <v>#VALUE!</v>
      </c>
      <c r="GG222" t="e">
        <f>'Drop 2'!79:79-"'E4!.7U"</f>
        <v>#VALUE!</v>
      </c>
      <c r="GH222" t="e">
        <f>'Drop 2'!80:80-"'E4!.7V"</f>
        <v>#VALUE!</v>
      </c>
      <c r="GI222" t="e">
        <f>'Drop 2'!81:81-"'E4!.7W"</f>
        <v>#VALUE!</v>
      </c>
      <c r="GJ222" t="e">
        <f>'Drop 2'!82:82-"'E4!.7X"</f>
        <v>#VALUE!</v>
      </c>
      <c r="GK222" t="e">
        <f>'Drop 2'!83:83-"'E4!.7Y"</f>
        <v>#VALUE!</v>
      </c>
      <c r="GL222" t="e">
        <f>'Drop 2'!84:84-"'E4!.7Z"</f>
        <v>#VALUE!</v>
      </c>
      <c r="GM222" t="e">
        <f>'Drop 2'!85:85-"'E4!.7["</f>
        <v>#VALUE!</v>
      </c>
      <c r="GN222" t="e">
        <f>'Drop 2'!86:86-"'E4!.7\"</f>
        <v>#VALUE!</v>
      </c>
      <c r="GO222" t="e">
        <f>'Drop 2'!87:87-"'E4!.7]"</f>
        <v>#VALUE!</v>
      </c>
      <c r="GP222" t="e">
        <f>'Drop 2'!88:88-"'E4!.7^"</f>
        <v>#VALUE!</v>
      </c>
      <c r="GQ222" t="e">
        <f>'Drop 2'!89:89-"'E4!.7_"</f>
        <v>#VALUE!</v>
      </c>
      <c r="GR222" t="e">
        <f>'Drop 2'!90:90-"'E4!.7`"</f>
        <v>#VALUE!</v>
      </c>
      <c r="GS222" t="e">
        <f>'Drop 2'!91:91-"'E4!.7a"</f>
        <v>#VALUE!</v>
      </c>
      <c r="GT222" t="e">
        <f>'Drop 2'!92:92-"'E4!.7b"</f>
        <v>#VALUE!</v>
      </c>
      <c r="GU222" t="e">
        <f>'Drop 2'!93:93-"'E4!.7c"</f>
        <v>#VALUE!</v>
      </c>
      <c r="GV222" t="e">
        <f>'Drop 2'!94:94-"'E4!.7d"</f>
        <v>#VALUE!</v>
      </c>
      <c r="GW222" t="e">
        <f>'Drop 2'!95:95-"'E4!.7e"</f>
        <v>#VALUE!</v>
      </c>
      <c r="GX222" t="e">
        <f>'Drop 2'!96:96-"'E4!.7f"</f>
        <v>#VALUE!</v>
      </c>
      <c r="GY222" t="e">
        <f>'Drop 2'!97:97-"'E4!.7g"</f>
        <v>#VALUE!</v>
      </c>
      <c r="GZ222" t="e">
        <f>'Drop 2'!98:98-"'E4!.7h"</f>
        <v>#VALUE!</v>
      </c>
      <c r="HA222" t="e">
        <f>'Drop 2'!99:99-"'E4!.7i"</f>
        <v>#VALUE!</v>
      </c>
      <c r="HB222" t="e">
        <f>'Drop 2'!100:100-"'E4!.7j"</f>
        <v>#VALUE!</v>
      </c>
      <c r="HC222" t="e">
        <f>'Drop 2'!101:101-"'E4!.7k"</f>
        <v>#VALUE!</v>
      </c>
      <c r="HD222" t="e">
        <f>'Drop 2'!102:102-"'E4!.7l"</f>
        <v>#VALUE!</v>
      </c>
      <c r="HE222" t="e">
        <f>'Drop 2'!103:103-"'E4!.7m"</f>
        <v>#VALUE!</v>
      </c>
      <c r="HF222" t="e">
        <f>'Drop 2'!104:104-"'E4!.7n"</f>
        <v>#VALUE!</v>
      </c>
      <c r="HG222" t="e">
        <f>'Drop 2'!105:105-"'E4!.7o"</f>
        <v>#VALUE!</v>
      </c>
      <c r="HH222" t="e">
        <f>'Drop 2'!106:106-"'E4!.7p"</f>
        <v>#VALUE!</v>
      </c>
      <c r="HI222" t="e">
        <f>'Drop 2'!107:107-"'E4!.7q"</f>
        <v>#VALUE!</v>
      </c>
      <c r="HJ222" t="e">
        <f>'Drop 2'!108:108-"'E4!.7r"</f>
        <v>#VALUE!</v>
      </c>
      <c r="HK222" t="e">
        <f>'Drop 2'!109:109-"'E4!.7s"</f>
        <v>#VALUE!</v>
      </c>
      <c r="HL222" t="e">
        <f>'Drop 2'!110:110-"'E4!.7t"</f>
        <v>#VALUE!</v>
      </c>
      <c r="HM222" t="e">
        <f>'Drop 2'!111:111-"'E4!.7u"</f>
        <v>#VALUE!</v>
      </c>
      <c r="HN222" t="e">
        <f>'Drop 2'!112:112-"'E4!.7v"</f>
        <v>#VALUE!</v>
      </c>
      <c r="HO222" t="e">
        <f>'Drop 2'!113:113-"'E4!.7w"</f>
        <v>#VALUE!</v>
      </c>
      <c r="HP222" t="e">
        <f>'Drop 2'!114:114-"'E4!.7x"</f>
        <v>#VALUE!</v>
      </c>
      <c r="HQ222" t="e">
        <f>'Drop 2'!115:115-"'E4!.7y"</f>
        <v>#VALUE!</v>
      </c>
      <c r="HR222" t="e">
        <f>'Drop 2'!116:116-"'E4!.7z"</f>
        <v>#VALUE!</v>
      </c>
      <c r="HS222" t="e">
        <f>'Drop 2'!117:117-"'E4!.7{"</f>
        <v>#VALUE!</v>
      </c>
      <c r="HT222" t="e">
        <f>'Drop 2'!118:118-"'E4!.7|"</f>
        <v>#VALUE!</v>
      </c>
      <c r="HU222" t="e">
        <f>'Drop 2'!119:119-"'E4!.7}"</f>
        <v>#VALUE!</v>
      </c>
      <c r="HV222" t="e">
        <f>'Drop 2'!120:120-"'E4!.7~"</f>
        <v>#VALUE!</v>
      </c>
      <c r="HW222" t="e">
        <f>'Drop 2'!121:121-"'E4!.8#"</f>
        <v>#VALUE!</v>
      </c>
      <c r="HX222" t="e">
        <f>'Drop 2'!122:122-"'E4!.8$"</f>
        <v>#VALUE!</v>
      </c>
      <c r="HY222" t="e">
        <f>'Drop 2'!123:123-"'E4!.8%"</f>
        <v>#VALUE!</v>
      </c>
      <c r="HZ222" t="e">
        <f>'Drop 2'!124:124-"'E4!.8&amp;"</f>
        <v>#VALUE!</v>
      </c>
      <c r="IA222" t="e">
        <f>'Drop 2'!125:125-"'E4!.8'"</f>
        <v>#VALUE!</v>
      </c>
      <c r="IB222" t="e">
        <f>'Drop 2'!126:126-"'E4!.8("</f>
        <v>#VALUE!</v>
      </c>
      <c r="IC222" t="e">
        <f>'Drop 2'!127:127-"'E4!.8)"</f>
        <v>#VALUE!</v>
      </c>
      <c r="ID222" t="e">
        <f>'Drop 2'!128:128-"'E4!.8."</f>
        <v>#VALUE!</v>
      </c>
      <c r="IE222" t="e">
        <f>'Drop 2'!129:129-"'E4!.8/"</f>
        <v>#VALUE!</v>
      </c>
      <c r="IF222" t="e">
        <f>'Drop 2'!130:130-"'E4!.80"</f>
        <v>#VALUE!</v>
      </c>
      <c r="IG222" t="e">
        <f>'Drop 2'!131:131-"'E4!.81"</f>
        <v>#VALUE!</v>
      </c>
      <c r="IH222" t="e">
        <f>'Drop 2'!132:132-"'E4!.82"</f>
        <v>#VALUE!</v>
      </c>
      <c r="II222" t="e">
        <f>'Drop 2'!133:133-"'E4!.83"</f>
        <v>#VALUE!</v>
      </c>
      <c r="IJ222" t="e">
        <f>'Drop 2'!134:134-"'E4!.84"</f>
        <v>#VALUE!</v>
      </c>
      <c r="IK222" t="e">
        <f>'Drop 2'!135:135-"'E4!.85"</f>
        <v>#VALUE!</v>
      </c>
      <c r="IL222" t="e">
        <f>'Drop 2'!136:136-"'E4!.86"</f>
        <v>#VALUE!</v>
      </c>
      <c r="IM222" t="e">
        <f>'Drop 2'!137:137-"'E4!.87"</f>
        <v>#VALUE!</v>
      </c>
      <c r="IN222" t="e">
        <f>'Drop 2'!138:138-"'E4!.88"</f>
        <v>#VALUE!</v>
      </c>
      <c r="IO222" t="e">
        <f>'Drop 2'!139:139-"'E4!.89"</f>
        <v>#VALUE!</v>
      </c>
      <c r="IP222" t="e">
        <f>'Drop 2'!140:140-"'E4!.8:"</f>
        <v>#VALUE!</v>
      </c>
      <c r="IQ222" t="e">
        <f>'Drop 2'!141:141-"'E4!.8;"</f>
        <v>#VALUE!</v>
      </c>
      <c r="IR222" t="e">
        <f>'Drop 2'!142:142-"'E4!.8&lt;"</f>
        <v>#VALUE!</v>
      </c>
      <c r="IS222" t="e">
        <f>'Drop 2'!143:143-"'E4!.8="</f>
        <v>#VALUE!</v>
      </c>
      <c r="IT222" t="e">
        <f>'Drop 2'!144:144-"'E4!.8&gt;"</f>
        <v>#VALUE!</v>
      </c>
      <c r="IU222" t="e">
        <f>'Drop 2'!145:145-"'E4!.8?"</f>
        <v>#VALUE!</v>
      </c>
      <c r="IV222" t="e">
        <f>'Drop 2'!146:146-"'E4!.8@"</f>
        <v>#VALUE!</v>
      </c>
    </row>
    <row r="223" spans="6:256">
      <c r="F223" t="e">
        <f>'Drop 2'!147:147-"'E4!.8A"</f>
        <v>#VALUE!</v>
      </c>
      <c r="G223" t="e">
        <f>'Drop 2'!148:148-"'E4!.8B"</f>
        <v>#VALUE!</v>
      </c>
      <c r="H223" t="e">
        <f>'Drop 2'!149:149-"'E4!.8C"</f>
        <v>#VALUE!</v>
      </c>
      <c r="I223" t="e">
        <f>'Drop 2'!150:150-"'E4!.8D"</f>
        <v>#VALUE!</v>
      </c>
      <c r="J223" t="e">
        <f>'Drop 2'!151:151-"'E4!.8E"</f>
        <v>#VALUE!</v>
      </c>
      <c r="K223" t="e">
        <f>'Drop 2'!152:152-"'E4!.8F"</f>
        <v>#VALUE!</v>
      </c>
      <c r="L223" t="e">
        <f>'Drop 2'!153:153-"'E4!.8G"</f>
        <v>#VALUE!</v>
      </c>
      <c r="M223" t="e">
        <f>'Drop 2'!154:154-"'E4!.8H"</f>
        <v>#VALUE!</v>
      </c>
      <c r="N223" t="e">
        <f>'Drop 2'!155:155-"'E4!.8I"</f>
        <v>#VALUE!</v>
      </c>
      <c r="O223" t="e">
        <f>'Drop 2'!156:156-"'E4!.8J"</f>
        <v>#VALUE!</v>
      </c>
      <c r="P223" t="e">
        <f>'Drop 2'!157:157-"'E4!.8K"</f>
        <v>#VALUE!</v>
      </c>
      <c r="Q223" t="e">
        <f>'Drop 2'!158:158-"'E4!.8L"</f>
        <v>#VALUE!</v>
      </c>
      <c r="R223" t="e">
        <f>'Drop 2'!159:159-"'E4!.8M"</f>
        <v>#VALUE!</v>
      </c>
      <c r="S223" t="e">
        <f>'Drop 2'!160:160-"'E4!.8N"</f>
        <v>#VALUE!</v>
      </c>
      <c r="T223" t="e">
        <f>'Drop 2'!161:161-"'E4!.8O"</f>
        <v>#VALUE!</v>
      </c>
      <c r="U223" t="e">
        <f>'Drop 2'!162:162-"'E4!.8P"</f>
        <v>#VALUE!</v>
      </c>
      <c r="V223" t="e">
        <f>'Drop 2'!163:163-"'E4!.8Q"</f>
        <v>#VALUE!</v>
      </c>
      <c r="W223" t="e">
        <f>'Drop 2'!164:164-"'E4!.8R"</f>
        <v>#VALUE!</v>
      </c>
      <c r="X223" t="e">
        <f>'Drop 2'!165:165-"'E4!.8S"</f>
        <v>#VALUE!</v>
      </c>
      <c r="Y223" t="e">
        <f>'Drop 2'!166:166-"'E4!.8T"</f>
        <v>#VALUE!</v>
      </c>
      <c r="Z223" t="e">
        <f>'Drop 2'!167:167-"'E4!.8U"</f>
        <v>#VALUE!</v>
      </c>
      <c r="AA223" t="e">
        <f>'Drop 2'!168:168-"'E4!.8V"</f>
        <v>#VALUE!</v>
      </c>
      <c r="AB223" t="e">
        <f>'Drop 2'!169:169-"'E4!.8W"</f>
        <v>#VALUE!</v>
      </c>
      <c r="AC223" t="e">
        <f>'Drop 2'!170:170-"'E4!.8X"</f>
        <v>#VALUE!</v>
      </c>
      <c r="AD223" t="e">
        <f>'Drop 2'!171:171-"'E4!.8Y"</f>
        <v>#VALUE!</v>
      </c>
      <c r="AE223" t="e">
        <f>'Drop 2'!172:172-"'E4!.8Z"</f>
        <v>#VALUE!</v>
      </c>
      <c r="AF223" t="e">
        <f>'Drop 2'!173:173-"'E4!.8["</f>
        <v>#VALUE!</v>
      </c>
      <c r="AG223" t="e">
        <f>'Drop 2'!174:174-"'E4!.8\"</f>
        <v>#VALUE!</v>
      </c>
      <c r="AH223" t="e">
        <f>'Drop 2'!175:175-"'E4!.8]"</f>
        <v>#VALUE!</v>
      </c>
      <c r="AI223" t="e">
        <f>'Drop 2'!176:176-"'E4!.8^"</f>
        <v>#VALUE!</v>
      </c>
      <c r="AJ223" t="e">
        <f>'Drop 2'!177:177-"'E4!.8_"</f>
        <v>#VALUE!</v>
      </c>
      <c r="AK223" t="e">
        <f>'Drop 2'!178:178-"'E4!.8`"</f>
        <v>#VALUE!</v>
      </c>
      <c r="AL223" t="e">
        <f>'Drop 2'!179:179-"'E4!.8a"</f>
        <v>#VALUE!</v>
      </c>
      <c r="AM223" t="e">
        <f>'Drop 2'!180:180-"'E4!.8b"</f>
        <v>#VALUE!</v>
      </c>
      <c r="AN223" t="e">
        <f>'Drop 2'!181:181-"'E4!.8c"</f>
        <v>#VALUE!</v>
      </c>
      <c r="AO223" t="e">
        <f>'Drop 2'!182:182-"'E4!.8d"</f>
        <v>#VALUE!</v>
      </c>
      <c r="AP223" t="e">
        <f>'Drop 2'!183:183-"'E4!.8e"</f>
        <v>#VALUE!</v>
      </c>
      <c r="AQ223" t="e">
        <f>'Drop 2'!184:184-"'E4!.8f"</f>
        <v>#VALUE!</v>
      </c>
      <c r="AR223" t="e">
        <f>'Drop 2'!185:185-"'E4!.8g"</f>
        <v>#VALUE!</v>
      </c>
      <c r="AS223" t="e">
        <f>'Drop 2'!186:186-"'E4!.8h"</f>
        <v>#VALUE!</v>
      </c>
      <c r="AT223" t="e">
        <f>'Drop 2'!187:187-"'E4!.8i"</f>
        <v>#VALUE!</v>
      </c>
      <c r="AU223" t="e">
        <f>'Drop 2'!188:188-"'E4!.8j"</f>
        <v>#VALUE!</v>
      </c>
      <c r="AV223" t="e">
        <f>'Drop 2'!189:189-"'E4!.8k"</f>
        <v>#VALUE!</v>
      </c>
      <c r="AW223" t="e">
        <f>'Drop 2'!190:190-"'E4!.8l"</f>
        <v>#VALUE!</v>
      </c>
      <c r="AX223" t="e">
        <f>'Drop 2'!191:191-"'E4!.8m"</f>
        <v>#VALUE!</v>
      </c>
      <c r="AY223" t="e">
        <f>'Drop 2'!192:192-"'E4!.8n"</f>
        <v>#VALUE!</v>
      </c>
      <c r="AZ223" t="e">
        <f>'Drop 2'!193:193-"'E4!.8o"</f>
        <v>#VALUE!</v>
      </c>
      <c r="BA223" t="e">
        <f>'Drop 2'!194:194-"'E4!.8p"</f>
        <v>#VALUE!</v>
      </c>
      <c r="BB223" t="e">
        <f>'Drop 2'!195:195-"'E4!.8q"</f>
        <v>#VALUE!</v>
      </c>
      <c r="BC223" t="e">
        <f>'Drop 2'!196:196-"'E4!.8r"</f>
        <v>#VALUE!</v>
      </c>
      <c r="BD223" t="e">
        <f>'Drop 2'!197:197-"'E4!.8s"</f>
        <v>#VALUE!</v>
      </c>
      <c r="BE223" t="e">
        <f>'Drop 2'!198:198-"'E4!.8t"</f>
        <v>#VALUE!</v>
      </c>
      <c r="BF223" t="e">
        <f>'Drop 2'!199:199-"'E4!.8u"</f>
        <v>#VALUE!</v>
      </c>
      <c r="BG223" t="e">
        <f>'Drop 2'!200:200-"'E4!.8v"</f>
        <v>#VALUE!</v>
      </c>
      <c r="BH223" t="e">
        <f>'Drop 2'!201:201-"'E4!.8w"</f>
        <v>#VALUE!</v>
      </c>
      <c r="BI223" t="e">
        <f>'Drop 2'!202:202-"'E4!.8x"</f>
        <v>#VALUE!</v>
      </c>
      <c r="BJ223" t="e">
        <f>'Drop 2'!203:203-"'E4!.8y"</f>
        <v>#VALUE!</v>
      </c>
      <c r="BK223" t="e">
        <f>'Drop 2'!204:204-"'E4!.8z"</f>
        <v>#VALUE!</v>
      </c>
      <c r="BL223" t="e">
        <f>'Drop 2'!205:205-"'E4!.8{"</f>
        <v>#VALUE!</v>
      </c>
      <c r="BM223" t="e">
        <f>'Drop 2'!206:206-"'E4!.8|"</f>
        <v>#VALUE!</v>
      </c>
      <c r="BN223" t="e">
        <f>'Drop 2'!207:207-"'E4!.8}"</f>
        <v>#VALUE!</v>
      </c>
      <c r="BO223" t="e">
        <f>'Drop 2'!A1+"'E4!.8~"</f>
        <v>#VALUE!</v>
      </c>
      <c r="BP223" t="e">
        <f>'Drop 2'!B1+"'E4!.9#"</f>
        <v>#VALUE!</v>
      </c>
      <c r="BQ223" t="e">
        <f>'Drop 2'!C1+"'E4!.9$"</f>
        <v>#VALUE!</v>
      </c>
      <c r="BR223" t="e">
        <f>'Drop 2'!D1+"'E4!.9%"</f>
        <v>#VALUE!</v>
      </c>
      <c r="BS223" t="e">
        <f>'Drop 2'!E1+"'E4!.9&amp;"</f>
        <v>#VALUE!</v>
      </c>
      <c r="BT223" t="e">
        <f>'Drop 2'!F1+"'E4!.9'"</f>
        <v>#VALUE!</v>
      </c>
      <c r="BU223" t="e">
        <f>'Drop 2'!G1+"'E4!.9("</f>
        <v>#VALUE!</v>
      </c>
      <c r="BV223" t="e">
        <f>'Drop 2'!H1+"'E4!.9)"</f>
        <v>#VALUE!</v>
      </c>
      <c r="BW223" t="e">
        <f>'Drop 2'!I1+"'E4!.9."</f>
        <v>#VALUE!</v>
      </c>
      <c r="BX223" t="e">
        <f>'Drop 2'!J1+"'E4!.9/"</f>
        <v>#VALUE!</v>
      </c>
      <c r="BY223" t="e">
        <f>'Drop 2'!K1+"'E4!.90"</f>
        <v>#VALUE!</v>
      </c>
      <c r="BZ223" t="e">
        <f>'Drop 2'!L1+"'E4!.91"</f>
        <v>#VALUE!</v>
      </c>
      <c r="CA223" t="e">
        <f>'Drop 2'!M1+"'E4!.92"</f>
        <v>#VALUE!</v>
      </c>
      <c r="CB223" t="e">
        <f>'Drop 2'!A2+"'E4!.93"</f>
        <v>#VALUE!</v>
      </c>
      <c r="CC223" t="e">
        <f>'Drop 2'!B2+"'E4!.94"</f>
        <v>#VALUE!</v>
      </c>
      <c r="CD223" t="e">
        <f>'Drop 2'!C2+"'E4!.95"</f>
        <v>#VALUE!</v>
      </c>
      <c r="CE223" t="e">
        <f>'Drop 2'!D2+"'E4!.96"</f>
        <v>#VALUE!</v>
      </c>
      <c r="CF223" t="e">
        <f>'Drop 2'!E2+"'E4!.97"</f>
        <v>#VALUE!</v>
      </c>
      <c r="CG223" t="e">
        <f>'Drop 2'!F2+"'E4!.98"</f>
        <v>#VALUE!</v>
      </c>
      <c r="CH223" t="e">
        <f>'Drop 2'!G2+"'E4!.99"</f>
        <v>#VALUE!</v>
      </c>
      <c r="CI223" t="e">
        <f>'Drop 2'!H2+"'E4!.9:"</f>
        <v>#VALUE!</v>
      </c>
      <c r="CJ223" t="e">
        <f>'Drop 2'!I2+"'E4!.9;"</f>
        <v>#VALUE!</v>
      </c>
      <c r="CK223" t="e">
        <f>'Drop 2'!J2+"'E4!.9&lt;"</f>
        <v>#VALUE!</v>
      </c>
      <c r="CL223" t="e">
        <f>'Drop 2'!K2+"'E4!.9="</f>
        <v>#VALUE!</v>
      </c>
      <c r="CM223" t="e">
        <f>'Drop 2'!L2+"'E4!.9&gt;"</f>
        <v>#VALUE!</v>
      </c>
      <c r="CN223" t="e">
        <f>'Drop 2'!M2+"'E4!.9?"</f>
        <v>#VALUE!</v>
      </c>
      <c r="CO223" t="e">
        <f>'Drop 2'!A3+"'E4!.9@"</f>
        <v>#VALUE!</v>
      </c>
      <c r="CP223" t="e">
        <f>'Drop 2'!B3+"'E4!.9A"</f>
        <v>#VALUE!</v>
      </c>
      <c r="CQ223" t="e">
        <f>'Drop 2'!C3+"'E4!.9B"</f>
        <v>#VALUE!</v>
      </c>
      <c r="CR223" t="e">
        <f>'Drop 2'!D3+"'E4!.9C"</f>
        <v>#VALUE!</v>
      </c>
      <c r="CS223" t="e">
        <f>'Drop 2'!E3+"'E4!.9D"</f>
        <v>#VALUE!</v>
      </c>
      <c r="CT223" t="e">
        <f>'Drop 2'!F3+"'E4!.9E"</f>
        <v>#VALUE!</v>
      </c>
      <c r="CU223" t="e">
        <f>'Drop 2'!G3+"'E4!.9F"</f>
        <v>#VALUE!</v>
      </c>
      <c r="CV223" t="e">
        <f>'Drop 2'!H3+"'E4!.9G"</f>
        <v>#VALUE!</v>
      </c>
      <c r="CW223" t="e">
        <f>'Drop 2'!I3+"'E4!.9H"</f>
        <v>#VALUE!</v>
      </c>
      <c r="CX223" t="e">
        <f>'Drop 2'!J3+"'E4!.9I"</f>
        <v>#VALUE!</v>
      </c>
      <c r="CY223" t="e">
        <f>'Drop 2'!K3+"'E4!.9J"</f>
        <v>#VALUE!</v>
      </c>
      <c r="CZ223" t="e">
        <f>'Drop 2'!L3+"'E4!.9K"</f>
        <v>#VALUE!</v>
      </c>
      <c r="DA223" t="e">
        <f>'Drop 2'!M3+"'E4!.9L"</f>
        <v>#VALUE!</v>
      </c>
      <c r="DB223" t="e">
        <f>'Drop 2'!A4+"'E4!.9M"</f>
        <v>#VALUE!</v>
      </c>
      <c r="DC223" t="e">
        <f>'Drop 2'!B4+"'E4!.9N"</f>
        <v>#VALUE!</v>
      </c>
      <c r="DD223" t="e">
        <f>'Drop 2'!C4+"'E4!.9O"</f>
        <v>#VALUE!</v>
      </c>
      <c r="DE223" t="e">
        <f>'Drop 2'!D4+"'E4!.9P"</f>
        <v>#VALUE!</v>
      </c>
      <c r="DF223" t="e">
        <f>'Drop 2'!E4+"'E4!.9Q"</f>
        <v>#VALUE!</v>
      </c>
      <c r="DG223" t="e">
        <f>'Drop 2'!F4+"'E4!.9R"</f>
        <v>#VALUE!</v>
      </c>
      <c r="DH223" t="e">
        <f>'Drop 2'!G4+"'E4!.9S"</f>
        <v>#VALUE!</v>
      </c>
      <c r="DI223" t="e">
        <f>'Drop 2'!H4+"'E4!.9T"</f>
        <v>#VALUE!</v>
      </c>
      <c r="DJ223" t="e">
        <f>'Drop 2'!I4+"'E4!.9U"</f>
        <v>#VALUE!</v>
      </c>
      <c r="DK223" t="e">
        <f>'Drop 2'!J4+"'E4!.9V"</f>
        <v>#VALUE!</v>
      </c>
      <c r="DL223" t="e">
        <f>'Drop 2'!K4+"'E4!.9W"</f>
        <v>#VALUE!</v>
      </c>
      <c r="DM223" t="e">
        <f>'Drop 2'!L4+"'E4!.9X"</f>
        <v>#VALUE!</v>
      </c>
      <c r="DN223" t="e">
        <f>'Drop 2'!M4+"'E4!.9Y"</f>
        <v>#VALUE!</v>
      </c>
      <c r="DO223" t="e">
        <f>'Drop 2'!A5+"'E4!.9Z"</f>
        <v>#VALUE!</v>
      </c>
      <c r="DP223" t="e">
        <f>'Drop 2'!B5+"'E4!.9["</f>
        <v>#VALUE!</v>
      </c>
      <c r="DQ223" t="e">
        <f>'Drop 2'!C5+"'E4!.9\"</f>
        <v>#VALUE!</v>
      </c>
      <c r="DR223" t="e">
        <f>'Drop 2'!D5+"'E4!.9]"</f>
        <v>#VALUE!</v>
      </c>
      <c r="DS223" t="e">
        <f>'Drop 2'!E5+"'E4!.9^"</f>
        <v>#VALUE!</v>
      </c>
      <c r="DT223" t="e">
        <f>'Drop 2'!F5+"'E4!.9_"</f>
        <v>#VALUE!</v>
      </c>
      <c r="DU223" t="e">
        <f>'Drop 2'!G5+"'E4!.9`"</f>
        <v>#VALUE!</v>
      </c>
      <c r="DV223" t="e">
        <f>'Drop 2'!H5+"'E4!.9a"</f>
        <v>#VALUE!</v>
      </c>
      <c r="DW223" t="e">
        <f>'Drop 2'!I5+"'E4!.9b"</f>
        <v>#VALUE!</v>
      </c>
      <c r="DX223" t="e">
        <f>'Drop 2'!J5+"'E4!.9c"</f>
        <v>#VALUE!</v>
      </c>
      <c r="DY223" t="e">
        <f>'Drop 2'!K5+"'E4!.9d"</f>
        <v>#VALUE!</v>
      </c>
      <c r="DZ223" t="e">
        <f>'Drop 2'!L5+"'E4!.9e"</f>
        <v>#VALUE!</v>
      </c>
      <c r="EA223" t="e">
        <f>'Drop 2'!M5+"'E4!.9f"</f>
        <v>#VALUE!</v>
      </c>
      <c r="EB223" t="e">
        <f>'Drop 2'!A6+"'E4!.9g"</f>
        <v>#VALUE!</v>
      </c>
      <c r="EC223" t="e">
        <f>'Drop 2'!B6+"'E4!.9h"</f>
        <v>#VALUE!</v>
      </c>
      <c r="ED223" t="e">
        <f>'Drop 2'!C6+"'E4!.9i"</f>
        <v>#VALUE!</v>
      </c>
      <c r="EE223" t="e">
        <f>'Drop 2'!D6+"'E4!.9j"</f>
        <v>#VALUE!</v>
      </c>
      <c r="EF223" t="e">
        <f>'Drop 2'!E6+"'E4!.9k"</f>
        <v>#VALUE!</v>
      </c>
      <c r="EG223" t="e">
        <f>'Drop 2'!F6+"'E4!.9l"</f>
        <v>#VALUE!</v>
      </c>
      <c r="EH223" t="e">
        <f>'Drop 2'!G6+"'E4!.9m"</f>
        <v>#VALUE!</v>
      </c>
      <c r="EI223" t="e">
        <f>'Drop 2'!H6+"'E4!.9n"</f>
        <v>#VALUE!</v>
      </c>
      <c r="EJ223" t="e">
        <f>'Drop 2'!I6+"'E4!.9o"</f>
        <v>#VALUE!</v>
      </c>
      <c r="EK223" t="e">
        <f>'Drop 2'!J6+"'E4!.9p"</f>
        <v>#VALUE!</v>
      </c>
      <c r="EL223" t="e">
        <f>'Drop 2'!K6+"'E4!.9q"</f>
        <v>#VALUE!</v>
      </c>
      <c r="EM223" t="e">
        <f>'Drop 2'!L6+"'E4!.9r"</f>
        <v>#VALUE!</v>
      </c>
      <c r="EN223" t="e">
        <f>'Drop 2'!M6+"'E4!.9s"</f>
        <v>#VALUE!</v>
      </c>
      <c r="EO223" t="e">
        <f>'Drop 2'!A7+"'E4!.9t"</f>
        <v>#VALUE!</v>
      </c>
      <c r="EP223" t="e">
        <f>'Drop 2'!B7+"'E4!.9u"</f>
        <v>#VALUE!</v>
      </c>
      <c r="EQ223" t="e">
        <f>'Drop 2'!C7+"'E4!.9v"</f>
        <v>#VALUE!</v>
      </c>
      <c r="ER223" t="e">
        <f>'Drop 2'!D7+"'E4!.9w"</f>
        <v>#VALUE!</v>
      </c>
      <c r="ES223" t="e">
        <f>'Drop 2'!E7+"'E4!.9x"</f>
        <v>#VALUE!</v>
      </c>
      <c r="ET223" t="e">
        <f>'Drop 2'!F7+"'E4!.9y"</f>
        <v>#VALUE!</v>
      </c>
      <c r="EU223" t="e">
        <f>'Drop 2'!G7+"'E4!.9z"</f>
        <v>#VALUE!</v>
      </c>
      <c r="EV223" t="e">
        <f>'Drop 2'!H7+"'E4!.9{"</f>
        <v>#VALUE!</v>
      </c>
      <c r="EW223" t="e">
        <f>'Drop 2'!I7+"'E4!.9|"</f>
        <v>#VALUE!</v>
      </c>
      <c r="EX223" t="e">
        <f>'Drop 2'!J7+"'E4!.9}"</f>
        <v>#VALUE!</v>
      </c>
      <c r="EY223" t="e">
        <f>'Drop 2'!K7+"'E4!.9~"</f>
        <v>#VALUE!</v>
      </c>
      <c r="EZ223" t="e">
        <f>'Drop 2'!L7+"'E4!.:#"</f>
        <v>#VALUE!</v>
      </c>
      <c r="FA223" t="e">
        <f>'Drop 2'!M7+"'E4!.:$"</f>
        <v>#VALUE!</v>
      </c>
      <c r="FB223" t="e">
        <f>Stock!A:A*"'E4!.:%"</f>
        <v>#VALUE!</v>
      </c>
      <c r="FC223" t="e">
        <f>Stock!B:B*"'E4!.:&amp;"</f>
        <v>#VALUE!</v>
      </c>
      <c r="FD223" t="e">
        <f>Stock!C:C*"'E4!.:'"</f>
        <v>#VALUE!</v>
      </c>
      <c r="FE223" t="e">
        <f>Stock!D:D*"'E4!.:("</f>
        <v>#VALUE!</v>
      </c>
      <c r="FF223" t="e">
        <f>Stock!E:E*"'E4!.:)"</f>
        <v>#VALUE!</v>
      </c>
      <c r="FG223" t="e">
        <f>Stock!F:F*"'E4!.:."</f>
        <v>#VALUE!</v>
      </c>
      <c r="FH223" t="e">
        <f>Stock!G:G*"'E4!.:/"</f>
        <v>#VALUE!</v>
      </c>
      <c r="FI223" t="e">
        <f>Stock!H:H*"'E4!.:0"</f>
        <v>#VALUE!</v>
      </c>
      <c r="FJ223" t="e">
        <f>Stock!I:I*"'E4!.:1"</f>
        <v>#VALUE!</v>
      </c>
      <c r="FK223" t="e">
        <f>Stock!J:J*"'E4!.:2"</f>
        <v>#VALUE!</v>
      </c>
      <c r="FL223" t="e">
        <f>Stock!K:K*"'E4!.:3"</f>
        <v>#VALUE!</v>
      </c>
      <c r="FM223" t="e">
        <f>Stock!L:L*"'E4!.:4"</f>
        <v>#VALUE!</v>
      </c>
      <c r="FN223" t="e">
        <f>Stock!M:M*"'E4!.:5"</f>
        <v>#VALUE!</v>
      </c>
      <c r="FO223" t="e">
        <f>Stock!N:N*"'E4!.:6"</f>
        <v>#VALUE!</v>
      </c>
      <c r="FP223" t="e">
        <f>Stock!O:O*"'E4!.:7"</f>
        <v>#VALUE!</v>
      </c>
      <c r="FQ223" t="e">
        <f>Stock!P:P*"'E4!.:8"</f>
        <v>#VALUE!</v>
      </c>
      <c r="FR223" t="e">
        <f>Stock!Q:Q*"'E4!.:9"</f>
        <v>#VALUE!</v>
      </c>
      <c r="FS223" t="e">
        <f>Stock!R:R*"'E4!.::"</f>
        <v>#VALUE!</v>
      </c>
      <c r="FT223" t="e">
        <f>Stock!S:S*"'E4!.:;"</f>
        <v>#VALUE!</v>
      </c>
      <c r="FU223" t="e">
        <f>Stock!T:T*"'E4!.:&lt;"</f>
        <v>#VALUE!</v>
      </c>
      <c r="FV223" t="e">
        <f>Stock!U:U*"'E4!.:="</f>
        <v>#VALUE!</v>
      </c>
      <c r="FW223" t="e">
        <f>Stock!V:V*"'E4!.:&gt;"</f>
        <v>#VALUE!</v>
      </c>
      <c r="FX223" t="e">
        <f>Stock!W:W*"'E4!.:?"</f>
        <v>#VALUE!</v>
      </c>
      <c r="FY223" t="e">
        <f>Stock!X:X*"'E4!.:@"</f>
        <v>#VALUE!</v>
      </c>
      <c r="FZ223" t="e">
        <f>Stock!Y:Y*"'E4!.:A"</f>
        <v>#VALUE!</v>
      </c>
      <c r="GA223" t="e">
        <f>Stock!Z:Z*"'E4!.:B"</f>
        <v>#VALUE!</v>
      </c>
      <c r="GB223" t="e">
        <f>Stock!AA:AA*"'E4!.:C"</f>
        <v>#VALUE!</v>
      </c>
      <c r="GC223" t="e">
        <f>Stock!AB:AB*"'E4!.:D"</f>
        <v>#VALUE!</v>
      </c>
      <c r="GD223" t="e">
        <f>Stock!AC:AC*"'E4!.:E"</f>
        <v>#VALUE!</v>
      </c>
      <c r="GE223" t="e">
        <f>Stock!AD:AD*"'E4!.:F"</f>
        <v>#VALUE!</v>
      </c>
      <c r="GF223" t="e">
        <f>Stock!AE:AE*"'E4!.:G"</f>
        <v>#VALUE!</v>
      </c>
      <c r="GG223" t="e">
        <f>Stock!AF:AF*"'E4!.:H"</f>
        <v>#VALUE!</v>
      </c>
      <c r="GH223" t="e">
        <f>Stock!AG:AG*"'E4!.:I"</f>
        <v>#VALUE!</v>
      </c>
      <c r="GI223" t="e">
        <f>Stock!AH:AH*"'E4!.:J"</f>
        <v>#VALUE!</v>
      </c>
      <c r="GJ223" t="e">
        <f>Stock!AI:AI*"'E4!.:K"</f>
        <v>#VALUE!</v>
      </c>
      <c r="GK223" t="e">
        <f>Stock!AJ:AJ*"'E4!.:L"</f>
        <v>#VALUE!</v>
      </c>
      <c r="GL223" t="e">
        <f>Stock!AK:AK*"'E4!.:M"</f>
        <v>#VALUE!</v>
      </c>
      <c r="GM223" t="e">
        <f>Stock!AL:AL*"'E4!.:N"</f>
        <v>#VALUE!</v>
      </c>
      <c r="GN223" t="e">
        <f>Stock!AM:AM*"'E4!.:O"</f>
        <v>#VALUE!</v>
      </c>
      <c r="GO223" t="e">
        <f>Stock!AN:AN*"'E4!.:P"</f>
        <v>#VALUE!</v>
      </c>
      <c r="GP223" t="e">
        <f>Stock!AO:AO*"'E4!.:Q"</f>
        <v>#VALUE!</v>
      </c>
      <c r="GQ223" t="e">
        <f>Stock!AP:AP*"'E4!.:R"</f>
        <v>#VALUE!</v>
      </c>
      <c r="GR223" t="e">
        <f>Stock!AQ:AQ*"'E4!.:S"</f>
        <v>#VALUE!</v>
      </c>
      <c r="GS223" t="e">
        <f>Stock!AR:AR*"'E4!.:T"</f>
        <v>#VALUE!</v>
      </c>
      <c r="GT223" t="e">
        <f>Stock!AS:AS*"'E4!.:U"</f>
        <v>#VALUE!</v>
      </c>
      <c r="GU223" t="e">
        <f>Stock!AT:AT*"'E4!.:V"</f>
        <v>#VALUE!</v>
      </c>
      <c r="GV223" t="e">
        <f>Stock!AU:AU*"'E4!.:W"</f>
        <v>#VALUE!</v>
      </c>
      <c r="GW223" t="e">
        <f>Stock!AV:AV*"'E4!.:X"</f>
        <v>#VALUE!</v>
      </c>
      <c r="GX223" t="e">
        <f>Stock!AW:AW*"'E4!.:Y"</f>
        <v>#VALUE!</v>
      </c>
      <c r="GY223" t="e">
        <f>Stock!AX:AX*"'E4!.:Z"</f>
        <v>#VALUE!</v>
      </c>
      <c r="GZ223" t="e">
        <f>Stock!AY:AY*"'E4!.:["</f>
        <v>#VALUE!</v>
      </c>
      <c r="HA223" t="e">
        <f>Stock!AZ:AZ*"'E4!.:\"</f>
        <v>#VALUE!</v>
      </c>
      <c r="HB223" t="e">
        <f>Stock!BA:BA*"'E4!.:]"</f>
        <v>#VALUE!</v>
      </c>
      <c r="HC223" t="e">
        <f>Stock!BB:BB*"'E4!.:^"</f>
        <v>#VALUE!</v>
      </c>
      <c r="HD223" t="e">
        <f>Stock!BC:BC*"'E4!.:_"</f>
        <v>#VALUE!</v>
      </c>
      <c r="HE223" t="e">
        <f>Stock!BD:BD*"'E4!.:`"</f>
        <v>#VALUE!</v>
      </c>
      <c r="HF223" t="e">
        <f>Stock!BE:BE*"'E4!.:a"</f>
        <v>#VALUE!</v>
      </c>
      <c r="HG223" t="e">
        <f>Stock!BF:BF*"'E4!.:b"</f>
        <v>#VALUE!</v>
      </c>
      <c r="HH223" t="e">
        <f>Stock!BG:BG*"'E4!.:c"</f>
        <v>#VALUE!</v>
      </c>
      <c r="HI223" t="e">
        <f>Stock!BH:BH*"'E4!.:d"</f>
        <v>#VALUE!</v>
      </c>
      <c r="HJ223" t="e">
        <f>Stock!BI:BI*"'E4!.:e"</f>
        <v>#VALUE!</v>
      </c>
      <c r="HK223" t="e">
        <f>Stock!BJ:BJ*"'E4!.:f"</f>
        <v>#VALUE!</v>
      </c>
      <c r="HL223" t="e">
        <f>Stock!BK:BK*"'E4!.:g"</f>
        <v>#VALUE!</v>
      </c>
      <c r="HM223" t="e">
        <f>Stock!BL:BL*"'E4!.:h"</f>
        <v>#VALUE!</v>
      </c>
      <c r="HN223" t="e">
        <f>Stock!BM:BM*"'E4!.:i"</f>
        <v>#VALUE!</v>
      </c>
      <c r="HO223" t="e">
        <f>Stock!BN:BN*"'E4!.:j"</f>
        <v>#VALUE!</v>
      </c>
      <c r="HP223" t="e">
        <f>Stock!BO:BO*"'E4!.:k"</f>
        <v>#VALUE!</v>
      </c>
      <c r="HQ223" t="e">
        <f>Stock!BP:BP*"'E4!.:l"</f>
        <v>#VALUE!</v>
      </c>
      <c r="HR223" t="e">
        <f>Stock!BQ:BQ*"'E4!.:m"</f>
        <v>#VALUE!</v>
      </c>
      <c r="HS223" t="e">
        <f>Stock!BR:BR*"'E4!.:n"</f>
        <v>#VALUE!</v>
      </c>
      <c r="HT223" t="e">
        <f>Stock!BS:BS*"'E4!.:o"</f>
        <v>#VALUE!</v>
      </c>
      <c r="HU223" t="e">
        <f>Stock!BT:BT*"'E4!.:p"</f>
        <v>#VALUE!</v>
      </c>
      <c r="HV223" t="e">
        <f>Stock!BU:BU*"'E4!.:q"</f>
        <v>#VALUE!</v>
      </c>
      <c r="HW223" t="e">
        <f>Stock!BV:BV*"'E4!.:r"</f>
        <v>#VALUE!</v>
      </c>
      <c r="HX223" t="e">
        <f>Stock!BW:BW*"'E4!.:s"</f>
        <v>#VALUE!</v>
      </c>
      <c r="HY223" t="e">
        <f>Stock!BX:BX*"'E4!.:t"</f>
        <v>#VALUE!</v>
      </c>
      <c r="HZ223" t="e">
        <f>Stock!BY:BY*"'E4!.:u"</f>
        <v>#VALUE!</v>
      </c>
      <c r="IA223" t="e">
        <f>Stock!BZ:BZ*"'E4!.:v"</f>
        <v>#VALUE!</v>
      </c>
      <c r="IB223" t="e">
        <f>Stock!CA:CA*"'E4!.:w"</f>
        <v>#VALUE!</v>
      </c>
      <c r="IC223" t="e">
        <f>Stock!CB:CB*"'E4!.:x"</f>
        <v>#VALUE!</v>
      </c>
      <c r="ID223" t="e">
        <f>Stock!CC:CC*"'E4!.:y"</f>
        <v>#VALUE!</v>
      </c>
      <c r="IE223" t="e">
        <f>Stock!1:1-"'E4!.:z"</f>
        <v>#VALUE!</v>
      </c>
      <c r="IF223" t="e">
        <f>Stock!2:2-"'E4!.:{"</f>
        <v>#VALUE!</v>
      </c>
      <c r="IG223" t="e">
        <f>Stock!3:3-"'E4!.:|"</f>
        <v>#VALUE!</v>
      </c>
      <c r="IH223" t="e">
        <f>Stock!4:4-"'E4!.:}"</f>
        <v>#VALUE!</v>
      </c>
      <c r="II223" t="e">
        <f>Stock!5:5-"'E4!.:~"</f>
        <v>#VALUE!</v>
      </c>
      <c r="IJ223" t="e">
        <f>Stock!6:6-"'E4!.;#"</f>
        <v>#VALUE!</v>
      </c>
      <c r="IK223" t="e">
        <f>Stock!7:7-"'E4!.;$"</f>
        <v>#VALUE!</v>
      </c>
      <c r="IL223" t="e">
        <f>Stock!8:8-"'E4!.;%"</f>
        <v>#VALUE!</v>
      </c>
      <c r="IM223" t="e">
        <f>Stock!9:9-"'E4!.;&amp;"</f>
        <v>#VALUE!</v>
      </c>
      <c r="IN223" t="e">
        <f>Stock!10:10-"'E4!.;'"</f>
        <v>#VALUE!</v>
      </c>
      <c r="IO223" t="e">
        <f>Stock!11:11-"'E4!.;("</f>
        <v>#VALUE!</v>
      </c>
      <c r="IP223" t="e">
        <f>Stock!12:12-"'E4!.;)"</f>
        <v>#VALUE!</v>
      </c>
      <c r="IQ223" t="e">
        <f>Stock!13:13-"'E4!.;."</f>
        <v>#VALUE!</v>
      </c>
      <c r="IR223" t="e">
        <f>Stock!14:14-"'E4!.;/"</f>
        <v>#VALUE!</v>
      </c>
      <c r="IS223" t="e">
        <f>Stock!15:15-"'E4!.;0"</f>
        <v>#VALUE!</v>
      </c>
      <c r="IT223" t="e">
        <f>Stock!16:16-"'E4!.;1"</f>
        <v>#VALUE!</v>
      </c>
      <c r="IU223" t="e">
        <f>Stock!17:17-"'E4!.;2"</f>
        <v>#VALUE!</v>
      </c>
      <c r="IV223" t="e">
        <f>Stock!18:18-"'E4!.;3"</f>
        <v>#VALUE!</v>
      </c>
    </row>
    <row r="224" spans="6:256">
      <c r="F224" t="e">
        <f>Stock!19:19-"'E4!.;4"</f>
        <v>#VALUE!</v>
      </c>
      <c r="G224" t="e">
        <f>Stock!20:20-"'E4!.;5"</f>
        <v>#VALUE!</v>
      </c>
      <c r="H224" t="e">
        <f>Stock!21:21-"'E4!.;6"</f>
        <v>#VALUE!</v>
      </c>
      <c r="I224" t="e">
        <f>Stock!22:22-"'E4!.;7"</f>
        <v>#VALUE!</v>
      </c>
      <c r="J224" t="e">
        <f>Stock!23:23-"'E4!.;8"</f>
        <v>#VALUE!</v>
      </c>
      <c r="K224" t="e">
        <f>Stock!24:24-"'E4!.;9"</f>
        <v>#VALUE!</v>
      </c>
      <c r="L224" t="e">
        <f>Stock!25:25-"'E4!.;:"</f>
        <v>#VALUE!</v>
      </c>
      <c r="M224" t="e">
        <f>Stock!26:26-"'E4!.;;"</f>
        <v>#VALUE!</v>
      </c>
      <c r="N224" t="e">
        <f>Stock!27:27-"'E4!.;&lt;"</f>
        <v>#VALUE!</v>
      </c>
      <c r="O224" t="e">
        <f>Stock!28:28-"'E4!.;="</f>
        <v>#VALUE!</v>
      </c>
      <c r="P224" t="e">
        <f>Stock!29:29-"'E4!.;&gt;"</f>
        <v>#VALUE!</v>
      </c>
      <c r="Q224" t="e">
        <f>Stock!30:30-"'E4!.;?"</f>
        <v>#VALUE!</v>
      </c>
      <c r="R224" t="e">
        <f>Stock!31:31-"'E4!.;@"</f>
        <v>#VALUE!</v>
      </c>
      <c r="S224" t="e">
        <f>Stock!32:32-"'E4!.;A"</f>
        <v>#VALUE!</v>
      </c>
      <c r="T224" t="e">
        <f>Stock!33:33-"'E4!.;B"</f>
        <v>#VALUE!</v>
      </c>
      <c r="U224" t="e">
        <f>Stock!34:34-"'E4!.;C"</f>
        <v>#VALUE!</v>
      </c>
      <c r="V224" t="e">
        <f>Stock!35:35-"'E4!.;D"</f>
        <v>#VALUE!</v>
      </c>
      <c r="W224" t="e">
        <f>Stock!36:36-"'E4!.;E"</f>
        <v>#VALUE!</v>
      </c>
      <c r="X224" t="e">
        <f>Stock!37:37-"'E4!.;F"</f>
        <v>#VALUE!</v>
      </c>
      <c r="Y224" t="e">
        <f>Stock!38:38-"'E4!.;G"</f>
        <v>#VALUE!</v>
      </c>
      <c r="Z224" t="e">
        <f>Stock!39:39-"'E4!.;H"</f>
        <v>#VALUE!</v>
      </c>
      <c r="AA224" t="e">
        <f>Stock!40:40-"'E4!.;I"</f>
        <v>#VALUE!</v>
      </c>
      <c r="AB224" t="e">
        <f>Stock!41:41-"'E4!.;J"</f>
        <v>#VALUE!</v>
      </c>
      <c r="AC224" t="e">
        <f>Stock!42:42-"'E4!.;K"</f>
        <v>#VALUE!</v>
      </c>
      <c r="AD224" t="e">
        <f>Stock!43:43-"'E4!.;L"</f>
        <v>#VALUE!</v>
      </c>
      <c r="AE224" t="e">
        <f>Stock!44:44-"'E4!.;M"</f>
        <v>#VALUE!</v>
      </c>
      <c r="AF224" t="e">
        <f>Stock!45:45-"'E4!.;N"</f>
        <v>#VALUE!</v>
      </c>
      <c r="AG224" t="e">
        <f>Stock!46:46-"'E4!.;O"</f>
        <v>#VALUE!</v>
      </c>
      <c r="AH224" t="e">
        <f>Stock!47:47-"'E4!.;P"</f>
        <v>#VALUE!</v>
      </c>
      <c r="AI224" t="e">
        <f>Stock!48:48-"'E4!.;Q"</f>
        <v>#VALUE!</v>
      </c>
      <c r="AJ224" t="e">
        <f>Stock!49:49-"'E4!.;R"</f>
        <v>#VALUE!</v>
      </c>
      <c r="AK224" t="e">
        <f>Stock!50:50-"'E4!.;S"</f>
        <v>#VALUE!</v>
      </c>
      <c r="AL224" t="e">
        <f>Stock!51:51-"'E4!.;T"</f>
        <v>#VALUE!</v>
      </c>
      <c r="AM224" t="e">
        <f>Stock!52:52-"'E4!.;U"</f>
        <v>#VALUE!</v>
      </c>
      <c r="AN224" t="e">
        <f>Stock!53:53-"'E4!.;V"</f>
        <v>#VALUE!</v>
      </c>
      <c r="AO224" t="e">
        <f>Stock!54:54-"'E4!.;W"</f>
        <v>#VALUE!</v>
      </c>
      <c r="AP224" t="e">
        <f>Stock!55:55-"'E4!.;X"</f>
        <v>#VALUE!</v>
      </c>
      <c r="AQ224" t="e">
        <f>Stock!56:56-"'E4!.;Y"</f>
        <v>#VALUE!</v>
      </c>
      <c r="AR224" t="e">
        <f>Stock!57:57-"'E4!.;Z"</f>
        <v>#VALUE!</v>
      </c>
      <c r="AS224" t="e">
        <f>Stock!58:58-"'E4!.;["</f>
        <v>#VALUE!</v>
      </c>
      <c r="AT224" t="e">
        <f>Stock!59:59-"'E4!.;\"</f>
        <v>#VALUE!</v>
      </c>
      <c r="AU224" t="e">
        <f>Stock!60:60-"'E4!.;]"</f>
        <v>#VALUE!</v>
      </c>
      <c r="AV224" t="e">
        <f>Stock!61:61-"'E4!.;^"</f>
        <v>#VALUE!</v>
      </c>
      <c r="AW224" t="e">
        <f>Stock!62:62-"'E4!.;_"</f>
        <v>#VALUE!</v>
      </c>
      <c r="AX224" t="e">
        <f>Stock!63:63-"'E4!.;`"</f>
        <v>#VALUE!</v>
      </c>
      <c r="AY224" t="e">
        <f>Stock!64:64-"'E4!.;a"</f>
        <v>#VALUE!</v>
      </c>
      <c r="AZ224" t="e">
        <f>Stock!65:65-"'E4!.;b"</f>
        <v>#VALUE!</v>
      </c>
      <c r="BA224" t="e">
        <f>Stock!66:66-"'E4!.;c"</f>
        <v>#VALUE!</v>
      </c>
      <c r="BB224" t="e">
        <f>Stock!67:67-"'E4!.;d"</f>
        <v>#VALUE!</v>
      </c>
      <c r="BC224" t="e">
        <f>Stock!68:68-"'E4!.;e"</f>
        <v>#VALUE!</v>
      </c>
      <c r="BD224" t="e">
        <f>Stock!69:69-"'E4!.;f"</f>
        <v>#VALUE!</v>
      </c>
      <c r="BE224" t="e">
        <f>Stock!70:70-"'E4!.;g"</f>
        <v>#VALUE!</v>
      </c>
      <c r="BF224" t="e">
        <f>Stock!71:71-"'E4!.;h"</f>
        <v>#VALUE!</v>
      </c>
      <c r="BG224" t="e">
        <f>Stock!72:72-"'E4!.;i"</f>
        <v>#VALUE!</v>
      </c>
      <c r="BH224" t="e">
        <f>Stock!73:73-"'E4!.;j"</f>
        <v>#VALUE!</v>
      </c>
      <c r="BI224" t="e">
        <f>Stock!74:74-"'E4!.;k"</f>
        <v>#VALUE!</v>
      </c>
      <c r="BJ224" t="e">
        <f>Stock!75:75-"'E4!.;l"</f>
        <v>#VALUE!</v>
      </c>
      <c r="BK224" t="e">
        <f>Stock!76:76-"'E4!.;m"</f>
        <v>#VALUE!</v>
      </c>
      <c r="BL224" t="e">
        <f>Stock!77:77-"'E4!.;n"</f>
        <v>#VALUE!</v>
      </c>
      <c r="BM224" t="e">
        <f>Stock!78:78-"'E4!.;o"</f>
        <v>#VALUE!</v>
      </c>
      <c r="BN224" t="e">
        <f>Stock!79:79-"'E4!.;p"</f>
        <v>#VALUE!</v>
      </c>
      <c r="BO224" t="e">
        <f>Stock!80:80-"'E4!.;q"</f>
        <v>#VALUE!</v>
      </c>
      <c r="BP224" t="e">
        <f>Stock!81:81-"'E4!.;r"</f>
        <v>#VALUE!</v>
      </c>
      <c r="BQ224" t="e">
        <f>Stock!82:82-"'E4!.;s"</f>
        <v>#VALUE!</v>
      </c>
      <c r="BR224" t="e">
        <f>Stock!83:83-"'E4!.;t"</f>
        <v>#VALUE!</v>
      </c>
      <c r="BS224" t="e">
        <f>Stock!84:84-"'E4!.;u"</f>
        <v>#VALUE!</v>
      </c>
      <c r="BT224" t="e">
        <f>Stock!85:85-"'E4!.;v"</f>
        <v>#VALUE!</v>
      </c>
      <c r="BU224" t="e">
        <f>Stock!86:86-"'E4!.;w"</f>
        <v>#VALUE!</v>
      </c>
      <c r="BV224" t="e">
        <f>Stock!87:87-"'E4!.;x"</f>
        <v>#VALUE!</v>
      </c>
      <c r="BW224" t="e">
        <f>Stock!88:88-"'E4!.;y"</f>
        <v>#VALUE!</v>
      </c>
      <c r="BX224" t="e">
        <f>Stock!89:89-"'E4!.;z"</f>
        <v>#VALUE!</v>
      </c>
      <c r="BY224" t="e">
        <f>Stock!90:90-"'E4!.;{"</f>
        <v>#VALUE!</v>
      </c>
      <c r="BZ224" t="e">
        <f>Stock!91:91-"'E4!.;|"</f>
        <v>#VALUE!</v>
      </c>
      <c r="CA224" t="e">
        <f>Stock!92:92-"'E4!.;}"</f>
        <v>#VALUE!</v>
      </c>
      <c r="CB224" t="e">
        <f>Stock!93:93-"'E4!.;~"</f>
        <v>#VALUE!</v>
      </c>
      <c r="CC224" t="e">
        <f>Stock!94:94-"'E4!.&lt;#"</f>
        <v>#VALUE!</v>
      </c>
      <c r="CD224" t="e">
        <f>Stock!95:95-"'E4!.&lt;$"</f>
        <v>#VALUE!</v>
      </c>
      <c r="CE224" t="e">
        <f>Stock!96:96-"'E4!.&lt;%"</f>
        <v>#VALUE!</v>
      </c>
      <c r="CF224" t="e">
        <f>Stock!97:97-"'E4!.&lt;&amp;"</f>
        <v>#VALUE!</v>
      </c>
      <c r="CG224" t="e">
        <f>Stock!98:98-"'E4!.&lt;'"</f>
        <v>#VALUE!</v>
      </c>
      <c r="CH224" t="e">
        <f>Stock!99:99-"'E4!.&lt;("</f>
        <v>#VALUE!</v>
      </c>
      <c r="CI224" t="e">
        <f>Stock!100:100-"'E4!.&lt;)"</f>
        <v>#VALUE!</v>
      </c>
      <c r="CJ224" t="e">
        <f>Stock!101:101-"'E4!.&lt;."</f>
        <v>#VALUE!</v>
      </c>
      <c r="CK224" t="e">
        <f>Stock!102:102-"'E4!.&lt;/"</f>
        <v>#VALUE!</v>
      </c>
      <c r="CL224" t="e">
        <f>Stock!103:103-"'E4!.&lt;0"</f>
        <v>#VALUE!</v>
      </c>
      <c r="CM224" t="e">
        <f>Stock!104:104-"'E4!.&lt;1"</f>
        <v>#VALUE!</v>
      </c>
      <c r="CN224" t="e">
        <f>Stock!105:105-"'E4!.&lt;2"</f>
        <v>#VALUE!</v>
      </c>
      <c r="CO224" t="e">
        <f>Stock!106:106-"'E4!.&lt;3"</f>
        <v>#VALUE!</v>
      </c>
      <c r="CP224" t="e">
        <f>Stock!107:107-"'E4!.&lt;4"</f>
        <v>#VALUE!</v>
      </c>
      <c r="CQ224" t="e">
        <f>Stock!108:108-"'E4!.&lt;5"</f>
        <v>#VALUE!</v>
      </c>
      <c r="CR224" t="e">
        <f>Stock!109:109-"'E4!.&lt;6"</f>
        <v>#VALUE!</v>
      </c>
      <c r="CS224" t="e">
        <f>Stock!110:110-"'E4!.&lt;7"</f>
        <v>#VALUE!</v>
      </c>
      <c r="CT224" t="e">
        <f>Stock!111:111-"'E4!.&lt;8"</f>
        <v>#VALUE!</v>
      </c>
      <c r="CU224" t="e">
        <f>Stock!112:112-"'E4!.&lt;9"</f>
        <v>#VALUE!</v>
      </c>
      <c r="CV224" t="e">
        <f>Stock!113:113-"'E4!.&lt;:"</f>
        <v>#VALUE!</v>
      </c>
      <c r="CW224" t="e">
        <f>Stock!114:114-"'E4!.&lt;;"</f>
        <v>#VALUE!</v>
      </c>
      <c r="CX224" t="e">
        <f>Stock!115:115-"'E4!.&lt;&lt;"</f>
        <v>#VALUE!</v>
      </c>
      <c r="CY224" t="e">
        <f>Stock!116:116-"'E4!.&lt;="</f>
        <v>#VALUE!</v>
      </c>
      <c r="CZ224" t="e">
        <f>Stock!117:117-"'E4!.&lt;&gt;"</f>
        <v>#VALUE!</v>
      </c>
      <c r="DA224" t="e">
        <f>Stock!118:118-"'E4!.&lt;?"</f>
        <v>#VALUE!</v>
      </c>
      <c r="DB224" t="e">
        <f>Stock!119:119-"'E4!.&lt;@"</f>
        <v>#VALUE!</v>
      </c>
      <c r="DC224" t="e">
        <f>Stock!120:120-"'E4!.&lt;A"</f>
        <v>#VALUE!</v>
      </c>
      <c r="DD224" t="e">
        <f>Stock!121:121-"'E4!.&lt;B"</f>
        <v>#VALUE!</v>
      </c>
      <c r="DE224" t="e">
        <f>Stock!122:122-"'E4!.&lt;C"</f>
        <v>#VALUE!</v>
      </c>
      <c r="DF224" t="e">
        <f>Stock!123:123-"'E4!.&lt;D"</f>
        <v>#VALUE!</v>
      </c>
      <c r="DG224" t="e">
        <f>Stock!124:124-"'E4!.&lt;E"</f>
        <v>#VALUE!</v>
      </c>
      <c r="DH224" t="e">
        <f>Stock!125:125-"'E4!.&lt;F"</f>
        <v>#VALUE!</v>
      </c>
      <c r="DI224" t="e">
        <f>Stock!126:126-"'E4!.&lt;G"</f>
        <v>#VALUE!</v>
      </c>
      <c r="DJ224" t="e">
        <f>Stock!127:127-"'E4!.&lt;H"</f>
        <v>#VALUE!</v>
      </c>
      <c r="DK224" t="e">
        <f>Stock!128:128-"'E4!.&lt;I"</f>
        <v>#VALUE!</v>
      </c>
      <c r="DL224" t="e">
        <f>Stock!129:129-"'E4!.&lt;J"</f>
        <v>#VALUE!</v>
      </c>
      <c r="DM224" t="e">
        <f>Stock!130:130-"'E4!.&lt;K"</f>
        <v>#VALUE!</v>
      </c>
      <c r="DN224" t="e">
        <f>Stock!131:131-"'E4!.&lt;L"</f>
        <v>#VALUE!</v>
      </c>
      <c r="DO224" t="e">
        <f>Stock!132:132-"'E4!.&lt;M"</f>
        <v>#VALUE!</v>
      </c>
      <c r="DP224" t="e">
        <f>Stock!133:133-"'E4!.&lt;N"</f>
        <v>#VALUE!</v>
      </c>
      <c r="DQ224" t="e">
        <f>Stock!134:134-"'E4!.&lt;O"</f>
        <v>#VALUE!</v>
      </c>
      <c r="DR224" t="e">
        <f>Stock!135:135-"'E4!.&lt;P"</f>
        <v>#VALUE!</v>
      </c>
      <c r="DS224" t="e">
        <f>Stock!136:136-"'E4!.&lt;Q"</f>
        <v>#VALUE!</v>
      </c>
      <c r="DT224" t="e">
        <f>Stock!137:137-"'E4!.&lt;R"</f>
        <v>#VALUE!</v>
      </c>
      <c r="DU224" t="e">
        <f>Stock!138:138-"'E4!.&lt;S"</f>
        <v>#VALUE!</v>
      </c>
      <c r="DV224" t="e">
        <f>Stock!139:139-"'E4!.&lt;T"</f>
        <v>#VALUE!</v>
      </c>
      <c r="DW224" t="e">
        <f>Stock!140:140-"'E4!.&lt;U"</f>
        <v>#VALUE!</v>
      </c>
      <c r="DX224" t="e">
        <f>Stock!141:141-"'E4!.&lt;V"</f>
        <v>#VALUE!</v>
      </c>
      <c r="DY224" t="e">
        <f>Stock!142:142-"'E4!.&lt;W"</f>
        <v>#VALUE!</v>
      </c>
      <c r="DZ224" t="e">
        <f>Stock!143:143-"'E4!.&lt;X"</f>
        <v>#VALUE!</v>
      </c>
      <c r="EA224" t="e">
        <f>Stock!144:144-"'E4!.&lt;Y"</f>
        <v>#VALUE!</v>
      </c>
      <c r="EB224" t="e">
        <f>Stock!145:145-"'E4!.&lt;Z"</f>
        <v>#VALUE!</v>
      </c>
      <c r="EC224" t="e">
        <f>Stock!146:146-"'E4!.&lt;["</f>
        <v>#VALUE!</v>
      </c>
      <c r="ED224" t="e">
        <f>Stock!147:147-"'E4!.&lt;\"</f>
        <v>#VALUE!</v>
      </c>
      <c r="EE224" t="e">
        <f>Stock!148:148-"'E4!.&lt;]"</f>
        <v>#VALUE!</v>
      </c>
      <c r="EF224" t="e">
        <f>Stock!149:149-"'E4!.&lt;^"</f>
        <v>#VALUE!</v>
      </c>
      <c r="EG224" t="e">
        <f>Stock!150:150-"'E4!.&lt;_"</f>
        <v>#VALUE!</v>
      </c>
      <c r="EH224" t="e">
        <f>Stock!151:151-"'E4!.&lt;`"</f>
        <v>#VALUE!</v>
      </c>
      <c r="EI224" t="e">
        <f>Stock!152:152-"'E4!.&lt;a"</f>
        <v>#VALUE!</v>
      </c>
      <c r="EJ224" t="e">
        <f>Stock!153:153-"'E4!.&lt;b"</f>
        <v>#VALUE!</v>
      </c>
      <c r="EK224" t="e">
        <f>Stock!154:154-"'E4!.&lt;c"</f>
        <v>#VALUE!</v>
      </c>
      <c r="EL224" t="e">
        <f>Stock!155:155-"'E4!.&lt;d"</f>
        <v>#VALUE!</v>
      </c>
      <c r="EM224" t="e">
        <f>Stock!156:156-"'E4!.&lt;e"</f>
        <v>#VALUE!</v>
      </c>
      <c r="EN224" t="e">
        <f>Stock!157:157-"'E4!.&lt;f"</f>
        <v>#VALUE!</v>
      </c>
      <c r="EO224" t="e">
        <f>Stock!158:158-"'E4!.&lt;g"</f>
        <v>#VALUE!</v>
      </c>
      <c r="EP224" t="e">
        <f>Stock!159:159-"'E4!.&lt;h"</f>
        <v>#VALUE!</v>
      </c>
      <c r="EQ224" t="e">
        <f>Stock!160:160-"'E4!.&lt;i"</f>
        <v>#VALUE!</v>
      </c>
      <c r="ER224" t="e">
        <f>Stock!161:161-"'E4!.&lt;j"</f>
        <v>#VALUE!</v>
      </c>
      <c r="ES224" t="e">
        <f>Stock!162:162-"'E4!.&lt;k"</f>
        <v>#VALUE!</v>
      </c>
      <c r="ET224" t="e">
        <f>Stock!163:163-"'E4!.&lt;l"</f>
        <v>#VALUE!</v>
      </c>
      <c r="EU224" t="e">
        <f>Stock!164:164-"'E4!.&lt;m"</f>
        <v>#VALUE!</v>
      </c>
      <c r="EV224" t="e">
        <f>Stock!165:165-"'E4!.&lt;n"</f>
        <v>#VALUE!</v>
      </c>
      <c r="EW224" t="e">
        <f>Stock!166:166-"'E4!.&lt;o"</f>
        <v>#VALUE!</v>
      </c>
      <c r="EX224" t="e">
        <f>Stock!167:167-"'E4!.&lt;p"</f>
        <v>#VALUE!</v>
      </c>
      <c r="EY224" t="e">
        <f>Stock!168:168-"'E4!.&lt;q"</f>
        <v>#VALUE!</v>
      </c>
      <c r="EZ224" t="e">
        <f>Stock!169:169-"'E4!.&lt;r"</f>
        <v>#VALUE!</v>
      </c>
      <c r="FA224" t="e">
        <f>Stock!170:170-"'E4!.&lt;s"</f>
        <v>#VALUE!</v>
      </c>
      <c r="FB224" t="e">
        <f>Stock!171:171-"'E4!.&lt;t"</f>
        <v>#VALUE!</v>
      </c>
      <c r="FC224" t="e">
        <f>Stock!172:172-"'E4!.&lt;u"</f>
        <v>#VALUE!</v>
      </c>
      <c r="FD224" t="e">
        <f>Stock!173:173-"'E4!.&lt;v"</f>
        <v>#VALUE!</v>
      </c>
      <c r="FE224" t="e">
        <f>Stock!174:174-"'E4!.&lt;w"</f>
        <v>#VALUE!</v>
      </c>
      <c r="FF224" t="e">
        <f>Stock!175:175-"'E4!.&lt;x"</f>
        <v>#VALUE!</v>
      </c>
      <c r="FG224" t="e">
        <f>Stock!176:176-"'E4!.&lt;y"</f>
        <v>#VALUE!</v>
      </c>
      <c r="FH224" t="e">
        <f>Stock!177:177-"'E4!.&lt;z"</f>
        <v>#VALUE!</v>
      </c>
      <c r="FI224" t="e">
        <f>Stock!178:178-"'E4!.&lt;{"</f>
        <v>#VALUE!</v>
      </c>
      <c r="FJ224" t="e">
        <f>Stock!179:179-"'E4!.&lt;|"</f>
        <v>#VALUE!</v>
      </c>
      <c r="FK224" t="e">
        <f>Stock!180:180-"'E4!.&lt;}"</f>
        <v>#VALUE!</v>
      </c>
      <c r="FL224" t="e">
        <f>Stock!181:181-"'E4!.&lt;~"</f>
        <v>#VALUE!</v>
      </c>
      <c r="FM224" t="e">
        <f>Stock!182:182-"'E4!.=#"</f>
        <v>#VALUE!</v>
      </c>
      <c r="FN224" t="e">
        <f>Stock!183:183-"'E4!.=$"</f>
        <v>#VALUE!</v>
      </c>
      <c r="FO224" t="e">
        <f>Stock!184:184-"'E4!.=%"</f>
        <v>#VALUE!</v>
      </c>
      <c r="FP224" t="e">
        <f>Stock!185:185-"'E4!.=&amp;"</f>
        <v>#VALUE!</v>
      </c>
      <c r="FQ224" t="e">
        <f>Stock!186:186-"'E4!.='"</f>
        <v>#VALUE!</v>
      </c>
      <c r="FR224" t="e">
        <f>Stock!187:187-"'E4!.=("</f>
        <v>#VALUE!</v>
      </c>
      <c r="FS224" t="e">
        <f>Stock!188:188-"'E4!.=)"</f>
        <v>#VALUE!</v>
      </c>
      <c r="FT224" t="e">
        <f>Stock!189:189-"'E4!.=."</f>
        <v>#VALUE!</v>
      </c>
      <c r="FU224" t="e">
        <f>Stock!190:190-"'E4!.=/"</f>
        <v>#VALUE!</v>
      </c>
      <c r="FV224" t="e">
        <f>Stock!191:191-"'E4!.=0"</f>
        <v>#VALUE!</v>
      </c>
      <c r="FW224" t="e">
        <f>Stock!192:192-"'E4!.=1"</f>
        <v>#VALUE!</v>
      </c>
      <c r="FX224" t="e">
        <f>Stock!193:193-"'E4!.=2"</f>
        <v>#VALUE!</v>
      </c>
      <c r="FY224" t="e">
        <f>Stock!194:194-"'E4!.=3"</f>
        <v>#VALUE!</v>
      </c>
      <c r="FZ224" t="e">
        <f>Stock!195:195-"'E4!.=4"</f>
        <v>#VALUE!</v>
      </c>
      <c r="GA224" t="e">
        <f>Stock!196:196-"'E4!.=5"</f>
        <v>#VALUE!</v>
      </c>
      <c r="GB224" t="e">
        <f>Stock!197:197-"'E4!.=6"</f>
        <v>#VALUE!</v>
      </c>
      <c r="GC224" t="e">
        <f>Stock!198:198-"'E4!.=7"</f>
        <v>#VALUE!</v>
      </c>
      <c r="GD224" t="e">
        <f>Stock!199:199-"'E4!.=8"</f>
        <v>#VALUE!</v>
      </c>
      <c r="GE224" t="e">
        <f>Stock!200:200-"'E4!.=9"</f>
        <v>#VALUE!</v>
      </c>
      <c r="GF224" t="e">
        <f>Stock!201:201-"'E4!.=:"</f>
        <v>#VALUE!</v>
      </c>
      <c r="GG224" t="e">
        <f>Stock!202:202-"'E4!.=;"</f>
        <v>#VALUE!</v>
      </c>
      <c r="GH224" t="e">
        <f>Stock!203:203-"'E4!.=&lt;"</f>
        <v>#VALUE!</v>
      </c>
      <c r="GI224" t="e">
        <f>Stock!204:204-"'E4!.=="</f>
        <v>#VALUE!</v>
      </c>
      <c r="GJ224" t="e">
        <f>Stock!205:205-"'E4!.=&gt;"</f>
        <v>#VALUE!</v>
      </c>
      <c r="GK224" t="e">
        <f>Stock!206:206-"'E4!.=?"</f>
        <v>#VALUE!</v>
      </c>
      <c r="GL224" t="e">
        <f>Stock!207:207-"'E4!.=@"</f>
        <v>#VALUE!</v>
      </c>
      <c r="GM224" t="e">
        <f>Stock!208:208-"'E4!.=A"</f>
        <v>#VALUE!</v>
      </c>
      <c r="GN224" t="e">
        <f>Stock!209:209-"'E4!.=B"</f>
        <v>#VALUE!</v>
      </c>
      <c r="GO224" t="e">
        <f>Stock!210:210-"'E4!.=C"</f>
        <v>#VALUE!</v>
      </c>
      <c r="GP224" t="e">
        <f>Stock!211:211-"'E4!.=D"</f>
        <v>#VALUE!</v>
      </c>
      <c r="GQ224" t="e">
        <f>Stock!212:212-"'E4!.=E"</f>
        <v>#VALUE!</v>
      </c>
      <c r="GR224" t="e">
        <f>Stock!213:213-"'E4!.=F"</f>
        <v>#VALUE!</v>
      </c>
      <c r="GS224" t="e">
        <f>Stock!214:214-"'E4!.=G"</f>
        <v>#VALUE!</v>
      </c>
      <c r="GT224" t="e">
        <f>Stock!215:215-"'E4!.=H"</f>
        <v>#VALUE!</v>
      </c>
      <c r="GU224" t="e">
        <f>Stock!216:216-"'E4!.=I"</f>
        <v>#VALUE!</v>
      </c>
      <c r="GV224" t="e">
        <f>Stock!217:217-"'E4!.=J"</f>
        <v>#VALUE!</v>
      </c>
      <c r="GW224" t="e">
        <f>Stock!218:218-"'E4!.=K"</f>
        <v>#VALUE!</v>
      </c>
      <c r="GX224" t="e">
        <f>Stock!219:219-"'E4!.=L"</f>
        <v>#VALUE!</v>
      </c>
      <c r="GY224" t="e">
        <f>Stock!220:220-"'E4!.=M"</f>
        <v>#VALUE!</v>
      </c>
      <c r="GZ224" t="e">
        <f>Stock!221:221-"'E4!.=N"</f>
        <v>#VALUE!</v>
      </c>
      <c r="HA224" t="e">
        <f>Stock!222:222-"'E4!.=O"</f>
        <v>#VALUE!</v>
      </c>
      <c r="HB224" t="e">
        <f>Stock!223:223-"'E4!.=P"</f>
        <v>#VALUE!</v>
      </c>
      <c r="HC224" t="e">
        <f>Stock!224:224-"'E4!.=Q"</f>
        <v>#VALUE!</v>
      </c>
      <c r="HD224" t="e">
        <f>Stock!225:225-"'E4!.=R"</f>
        <v>#VALUE!</v>
      </c>
      <c r="HE224" t="e">
        <f>Stock!226:226-"'E4!.=S"</f>
        <v>#VALUE!</v>
      </c>
      <c r="HF224" t="e">
        <f>Stock!227:227-"'E4!.=T"</f>
        <v>#VALUE!</v>
      </c>
      <c r="HG224" t="e">
        <f>Stock!228:228-"'E4!.=U"</f>
        <v>#VALUE!</v>
      </c>
      <c r="HH224" t="e">
        <f>Stock!229:229-"'E4!.=V"</f>
        <v>#VALUE!</v>
      </c>
      <c r="HI224" t="e">
        <f>Stock!230:230-"'E4!.=W"</f>
        <v>#VALUE!</v>
      </c>
      <c r="HJ224" t="e">
        <f>Stock!231:231-"'E4!.=X"</f>
        <v>#VALUE!</v>
      </c>
      <c r="HK224" t="e">
        <f>Stock!232:232-"'E4!.=Y"</f>
        <v>#VALUE!</v>
      </c>
      <c r="HL224" t="e">
        <f>Stock!233:233-"'E4!.=Z"</f>
        <v>#VALUE!</v>
      </c>
      <c r="HM224" t="e">
        <f>Stock!234:234-"'E4!.=["</f>
        <v>#VALUE!</v>
      </c>
      <c r="HN224" t="e">
        <f>Stock!235:235-"'E4!.=\"</f>
        <v>#VALUE!</v>
      </c>
      <c r="HO224" t="e">
        <f>Stock!236:236-"'E4!.=]"</f>
        <v>#VALUE!</v>
      </c>
      <c r="HP224" t="e">
        <f>Stock!237:237-"'E4!.=^"</f>
        <v>#VALUE!</v>
      </c>
      <c r="HQ224" t="e">
        <f>Stock!238:238-"'E4!.=_"</f>
        <v>#VALUE!</v>
      </c>
      <c r="HR224" t="e">
        <f>Stock!239:239-"'E4!.=`"</f>
        <v>#VALUE!</v>
      </c>
      <c r="HS224" t="e">
        <f>Stock!240:240-"'E4!.=a"</f>
        <v>#VALUE!</v>
      </c>
      <c r="HT224" t="e">
        <f>Stock!241:241-"'E4!.=b"</f>
        <v>#VALUE!</v>
      </c>
      <c r="HU224" t="e">
        <f>Stock!242:242-"'E4!.=c"</f>
        <v>#VALUE!</v>
      </c>
      <c r="HV224" t="e">
        <f>Stock!243:243-"'E4!.=d"</f>
        <v>#VALUE!</v>
      </c>
      <c r="HW224" t="e">
        <f>Stock!244:244-"'E4!.=e"</f>
        <v>#VALUE!</v>
      </c>
      <c r="HX224" t="e">
        <f>Stock!245:245-"'E4!.=f"</f>
        <v>#VALUE!</v>
      </c>
      <c r="HY224" t="e">
        <f>Stock!246:246-"'E4!.=g"</f>
        <v>#VALUE!</v>
      </c>
      <c r="HZ224" t="e">
        <f>Stock!247:247-"'E4!.=h"</f>
        <v>#VALUE!</v>
      </c>
      <c r="IA224" t="e">
        <f>Stock!248:248-"'E4!.=i"</f>
        <v>#VALUE!</v>
      </c>
      <c r="IB224" t="e">
        <f>Stock!249:249-"'E4!.=j"</f>
        <v>#VALUE!</v>
      </c>
      <c r="IC224" t="e">
        <f>Stock!250:250-"'E4!.=k"</f>
        <v>#VALUE!</v>
      </c>
      <c r="ID224" t="e">
        <f>Stock!251:251-"'E4!.=l"</f>
        <v>#VALUE!</v>
      </c>
      <c r="IE224" t="e">
        <f>Stock!252:252-"'E4!.=m"</f>
        <v>#VALUE!</v>
      </c>
      <c r="IF224" t="e">
        <f>Stock!253:253-"'E4!.=n"</f>
        <v>#VALUE!</v>
      </c>
      <c r="IG224" t="e">
        <f>Stock!254:254-"'E4!.=o"</f>
        <v>#VALUE!</v>
      </c>
      <c r="IH224" t="e">
        <f>Stock!255:255-"'E4!.=p"</f>
        <v>#VALUE!</v>
      </c>
      <c r="II224" t="e">
        <f>Stock!256:256-"'E4!.=q"</f>
        <v>#VALUE!</v>
      </c>
      <c r="IJ224" t="e">
        <f>Stock!257:257-"'E4!.=r"</f>
        <v>#VALUE!</v>
      </c>
      <c r="IK224" t="e">
        <f>Stock!258:258-"'E4!.=s"</f>
        <v>#VALUE!</v>
      </c>
      <c r="IL224" t="e">
        <f>Stock!259:259-"'E4!.=t"</f>
        <v>#VALUE!</v>
      </c>
      <c r="IM224" t="e">
        <f>Stock!260:260-"'E4!.=u"</f>
        <v>#VALUE!</v>
      </c>
      <c r="IN224" t="e">
        <f>Stock!261:261-"'E4!.=v"</f>
        <v>#VALUE!</v>
      </c>
      <c r="IO224" t="e">
        <f>Stock!262:262-"'E4!.=w"</f>
        <v>#VALUE!</v>
      </c>
      <c r="IP224" t="e">
        <f>Stock!263:263-"'E4!.=x"</f>
        <v>#VALUE!</v>
      </c>
      <c r="IQ224" t="e">
        <f>Stock!264:264-"'E4!.=y"</f>
        <v>#VALUE!</v>
      </c>
      <c r="IR224" t="e">
        <f>Stock!265:265-"'E4!.=z"</f>
        <v>#VALUE!</v>
      </c>
      <c r="IS224" t="e">
        <f>Stock!266:266-"'E4!.={"</f>
        <v>#VALUE!</v>
      </c>
      <c r="IT224" t="e">
        <f>Stock!267:267-"'E4!.=|"</f>
        <v>#VALUE!</v>
      </c>
      <c r="IU224" t="e">
        <f>Stock!268:268-"'E4!.=}"</f>
        <v>#VALUE!</v>
      </c>
      <c r="IV224" t="e">
        <f>Stock!269:269-"'E4!.=~"</f>
        <v>#VALUE!</v>
      </c>
    </row>
    <row r="225" spans="6:256">
      <c r="F225" t="e">
        <f>Stock!270:270-"'E4!.&gt;#"</f>
        <v>#VALUE!</v>
      </c>
      <c r="G225" t="e">
        <f>Stock!271:271-"'E4!.&gt;$"</f>
        <v>#VALUE!</v>
      </c>
      <c r="H225" t="e">
        <f>Stock!272:272-"'E4!.&gt;%"</f>
        <v>#VALUE!</v>
      </c>
      <c r="I225" t="e">
        <f>Stock!273:273-"'E4!.&gt;&amp;"</f>
        <v>#VALUE!</v>
      </c>
      <c r="J225" t="e">
        <f>Stock!274:274-"'E4!.&gt;'"</f>
        <v>#VALUE!</v>
      </c>
      <c r="K225" t="e">
        <f>Stock!275:275-"'E4!.&gt;("</f>
        <v>#VALUE!</v>
      </c>
      <c r="L225" t="e">
        <f>Stock!276:276-"'E4!.&gt;)"</f>
        <v>#VALUE!</v>
      </c>
      <c r="M225" t="e">
        <f>Stock!277:277-"'E4!.&gt;."</f>
        <v>#VALUE!</v>
      </c>
      <c r="N225" t="e">
        <f>Stock!278:278-"'E4!.&gt;/"</f>
        <v>#VALUE!</v>
      </c>
      <c r="O225" t="e">
        <f>Stock!279:279-"'E4!.&gt;0"</f>
        <v>#VALUE!</v>
      </c>
      <c r="P225" t="e">
        <f>Stock!280:280-"'E4!.&gt;1"</f>
        <v>#VALUE!</v>
      </c>
      <c r="Q225" t="e">
        <f>Stock!281:281-"'E4!.&gt;2"</f>
        <v>#VALUE!</v>
      </c>
      <c r="R225" t="e">
        <f>Stock!282:282-"'E4!.&gt;3"</f>
        <v>#VALUE!</v>
      </c>
      <c r="S225" t="e">
        <f>Stock!283:283-"'E4!.&gt;4"</f>
        <v>#VALUE!</v>
      </c>
      <c r="T225" t="e">
        <f>Stock!284:284-"'E4!.&gt;5"</f>
        <v>#VALUE!</v>
      </c>
      <c r="U225" t="e">
        <f>Stock!285:285-"'E4!.&gt;6"</f>
        <v>#VALUE!</v>
      </c>
      <c r="V225" t="e">
        <f>Stock!286:286-"'E4!.&gt;7"</f>
        <v>#VALUE!</v>
      </c>
      <c r="W225" t="e">
        <f>Stock!287:287-"'E4!.&gt;8"</f>
        <v>#VALUE!</v>
      </c>
      <c r="X225" t="e">
        <f>Stock!288:288-"'E4!.&gt;9"</f>
        <v>#VALUE!</v>
      </c>
      <c r="Y225" t="e">
        <f>Stock!289:289-"'E4!.&gt;:"</f>
        <v>#VALUE!</v>
      </c>
      <c r="Z225" t="e">
        <f>Stock!290:290-"'E4!.&gt;;"</f>
        <v>#VALUE!</v>
      </c>
      <c r="AA225" t="e">
        <f>Stock!291:291-"'E4!.&gt;&lt;"</f>
        <v>#VALUE!</v>
      </c>
      <c r="AB225" t="e">
        <f>Stock!292:292-"'E4!.&gt;="</f>
        <v>#VALUE!</v>
      </c>
      <c r="AC225" t="e">
        <f>Stock!293:293-"'E4!.&gt;&gt;"</f>
        <v>#VALUE!</v>
      </c>
      <c r="AD225" t="e">
        <f>Stock!294:294-"'E4!.&gt;?"</f>
        <v>#VALUE!</v>
      </c>
      <c r="AE225" t="e">
        <f>Stock!295:295-"'E4!.&gt;@"</f>
        <v>#VALUE!</v>
      </c>
      <c r="AF225" t="e">
        <f>Stock!296:296-"'E4!.&gt;A"</f>
        <v>#VALUE!</v>
      </c>
      <c r="AG225" t="e">
        <f>Stock!297:297-"'E4!.&gt;B"</f>
        <v>#VALUE!</v>
      </c>
      <c r="AH225" t="e">
        <f>Stock!298:298-"'E4!.&gt;C"</f>
        <v>#VALUE!</v>
      </c>
      <c r="AI225" t="e">
        <f>Stock!299:299-"'E4!.&gt;D"</f>
        <v>#VALUE!</v>
      </c>
      <c r="AJ225" t="e">
        <f>Stock!300:300-"'E4!.&gt;E"</f>
        <v>#VALUE!</v>
      </c>
      <c r="AK225" t="e">
        <f>Stock!301:301-"'E4!.&gt;F"</f>
        <v>#VALUE!</v>
      </c>
      <c r="AL225" t="e">
        <f>Stock!302:302-"'E4!.&gt;G"</f>
        <v>#VALUE!</v>
      </c>
      <c r="AM225" t="e">
        <f>Stock!303:303-"'E4!.&gt;H"</f>
        <v>#VALUE!</v>
      </c>
      <c r="AN225" t="e">
        <f>Stock!304:304-"'E4!.&gt;I"</f>
        <v>#VALUE!</v>
      </c>
      <c r="AO225" t="e">
        <f>Stock!305:305-"'E4!.&gt;J"</f>
        <v>#VALUE!</v>
      </c>
      <c r="AP225" t="e">
        <f>Stock!306:306-"'E4!.&gt;K"</f>
        <v>#VALUE!</v>
      </c>
      <c r="AQ225" t="e">
        <f>Stock!307:307-"'E4!.&gt;L"</f>
        <v>#VALUE!</v>
      </c>
      <c r="AR225" t="e">
        <f>Stock!308:308-"'E4!.&gt;M"</f>
        <v>#VALUE!</v>
      </c>
      <c r="AS225" t="e">
        <f>Stock!309:309-"'E4!.&gt;N"</f>
        <v>#VALUE!</v>
      </c>
      <c r="AT225" t="e">
        <f>Stock!310:310-"'E4!.&gt;O"</f>
        <v>#VALUE!</v>
      </c>
      <c r="AU225" t="e">
        <f>Stock!311:311-"'E4!.&gt;P"</f>
        <v>#VALUE!</v>
      </c>
      <c r="AV225" t="e">
        <f>Stock!312:312-"'E4!.&gt;Q"</f>
        <v>#VALUE!</v>
      </c>
      <c r="AW225" t="e">
        <f>Stock!313:313-"'E4!.&gt;R"</f>
        <v>#VALUE!</v>
      </c>
      <c r="AX225" t="e">
        <f>Stock!314:314-"'E4!.&gt;S"</f>
        <v>#VALUE!</v>
      </c>
      <c r="AY225" t="e">
        <f>Stock!315:315-"'E4!.&gt;T"</f>
        <v>#VALUE!</v>
      </c>
      <c r="AZ225" t="e">
        <f>Stock!316:316-"'E4!.&gt;U"</f>
        <v>#VALUE!</v>
      </c>
      <c r="BA225" t="e">
        <f>Stock!317:317-"'E4!.&gt;V"</f>
        <v>#VALUE!</v>
      </c>
      <c r="BB225" t="e">
        <f>Stock!318:318-"'E4!.&gt;W"</f>
        <v>#VALUE!</v>
      </c>
      <c r="BC225" t="e">
        <f>Stock!319:319-"'E4!.&gt;X"</f>
        <v>#VALUE!</v>
      </c>
      <c r="BD225" t="e">
        <f>Stock!320:320-"'E4!.&gt;Y"</f>
        <v>#VALUE!</v>
      </c>
      <c r="BE225" t="e">
        <f>Stock!321:321-"'E4!.&gt;Z"</f>
        <v>#VALUE!</v>
      </c>
      <c r="BF225" t="e">
        <f>Stock!322:322-"'E4!.&gt;["</f>
        <v>#VALUE!</v>
      </c>
      <c r="BG225" t="e">
        <f>Stock!323:323-"'E4!.&gt;\"</f>
        <v>#VALUE!</v>
      </c>
      <c r="BH225" t="e">
        <f>Stock!324:324-"'E4!.&gt;]"</f>
        <v>#VALUE!</v>
      </c>
      <c r="BI225" t="e">
        <f>Stock!325:325-"'E4!.&gt;^"</f>
        <v>#VALUE!</v>
      </c>
      <c r="BJ225" t="e">
        <f>Stock!326:326-"'E4!.&gt;_"</f>
        <v>#VALUE!</v>
      </c>
      <c r="BK225" t="e">
        <f>Stock!327:327-"'E4!.&gt;`"</f>
        <v>#VALUE!</v>
      </c>
      <c r="BL225" t="e">
        <f>Stock!328:328-"'E4!.&gt;a"</f>
        <v>#VALUE!</v>
      </c>
      <c r="BM225" t="e">
        <f>Stock!329:329-"'E4!.&gt;b"</f>
        <v>#VALUE!</v>
      </c>
      <c r="BN225" t="e">
        <f>Stock!330:330-"'E4!.&gt;c"</f>
        <v>#VALUE!</v>
      </c>
      <c r="BO225" t="e">
        <f>Stock!331:331-"'E4!.&gt;d"</f>
        <v>#VALUE!</v>
      </c>
      <c r="BP225" t="e">
        <f>Stock!332:332-"'E4!.&gt;e"</f>
        <v>#VALUE!</v>
      </c>
      <c r="BQ225" t="e">
        <f>Stock!333:333-"'E4!.&gt;f"</f>
        <v>#VALUE!</v>
      </c>
      <c r="BR225" t="e">
        <f>Stock!334:334-"'E4!.&gt;g"</f>
        <v>#VALUE!</v>
      </c>
      <c r="BS225" t="e">
        <f>Stock!335:335-"'E4!.&gt;h"</f>
        <v>#VALUE!</v>
      </c>
      <c r="BT225" t="e">
        <f>Stock!336:336-"'E4!.&gt;i"</f>
        <v>#VALUE!</v>
      </c>
      <c r="BU225" t="e">
        <f>Stock!337:337-"'E4!.&gt;j"</f>
        <v>#VALUE!</v>
      </c>
      <c r="BV225" t="e">
        <f>Stock!338:338-"'E4!.&gt;k"</f>
        <v>#VALUE!</v>
      </c>
      <c r="BW225" t="e">
        <f>Stock!339:339-"'E4!.&gt;l"</f>
        <v>#VALUE!</v>
      </c>
      <c r="BX225" t="e">
        <f>Stock!340:340-"'E4!.&gt;m"</f>
        <v>#VALUE!</v>
      </c>
      <c r="BY225" t="e">
        <f>Stock!341:341-"'E4!.&gt;n"</f>
        <v>#VALUE!</v>
      </c>
      <c r="BZ225" t="e">
        <f>Stock!342:342-"'E4!.&gt;o"</f>
        <v>#VALUE!</v>
      </c>
      <c r="CA225" t="e">
        <f>Stock!343:343-"'E4!.&gt;p"</f>
        <v>#VALUE!</v>
      </c>
      <c r="CB225" t="e">
        <f>Stock!344:344-"'E4!.&gt;q"</f>
        <v>#VALUE!</v>
      </c>
      <c r="CC225" t="e">
        <f>Stock!345:345-"'E4!.&gt;r"</f>
        <v>#VALUE!</v>
      </c>
      <c r="CD225" t="e">
        <f>Stock!346:346-"'E4!.&gt;s"</f>
        <v>#VALUE!</v>
      </c>
      <c r="CE225" t="e">
        <f>Stock!347:347-"'E4!.&gt;t"</f>
        <v>#VALUE!</v>
      </c>
      <c r="CF225" t="e">
        <f>Stock!348:348-"'E4!.&gt;u"</f>
        <v>#VALUE!</v>
      </c>
      <c r="CG225" t="e">
        <f>Stock!349:349-"'E4!.&gt;v"</f>
        <v>#VALUE!</v>
      </c>
      <c r="CH225" t="e">
        <f>Stock!350:350-"'E4!.&gt;w"</f>
        <v>#VALUE!</v>
      </c>
      <c r="CI225" t="e">
        <f>Stock!351:351-"'E4!.&gt;x"</f>
        <v>#VALUE!</v>
      </c>
      <c r="CJ225" t="e">
        <f>Stock!352:352-"'E4!.&gt;y"</f>
        <v>#VALUE!</v>
      </c>
      <c r="CK225" t="e">
        <f>Stock!353:353-"'E4!.&gt;z"</f>
        <v>#VALUE!</v>
      </c>
      <c r="CL225" t="e">
        <f>Stock!354:354-"'E4!.&gt;{"</f>
        <v>#VALUE!</v>
      </c>
      <c r="CM225" t="e">
        <f>Stock!355:355-"'E4!.&gt;|"</f>
        <v>#VALUE!</v>
      </c>
      <c r="CN225" t="e">
        <f>Stock!356:356-"'E4!.&gt;}"</f>
        <v>#VALUE!</v>
      </c>
      <c r="CO225" t="e">
        <f>Stock!357:357-"'E4!.&gt;~"</f>
        <v>#VALUE!</v>
      </c>
      <c r="CP225" t="e">
        <f>Stock!358:358-"'E4!.?#"</f>
        <v>#VALUE!</v>
      </c>
      <c r="CQ225" t="e">
        <f>Stock!359:359-"'E4!.?$"</f>
        <v>#VALUE!</v>
      </c>
      <c r="CR225" t="e">
        <f>Stock!360:360-"'E4!.?%"</f>
        <v>#VALUE!</v>
      </c>
      <c r="CS225" t="e">
        <f>Stock!361:361-"'E4!.?&amp;"</f>
        <v>#VALUE!</v>
      </c>
      <c r="CT225" t="e">
        <f>Stock!362:362-"'E4!.?'"</f>
        <v>#VALUE!</v>
      </c>
      <c r="CU225" t="e">
        <f>Stock!363:363-"'E4!.?("</f>
        <v>#VALUE!</v>
      </c>
      <c r="CV225" t="e">
        <f>Stock!364:364-"'E4!.?)"</f>
        <v>#VALUE!</v>
      </c>
      <c r="CW225" t="e">
        <f>Stock!365:365-"'E4!.?."</f>
        <v>#VALUE!</v>
      </c>
      <c r="CX225" t="e">
        <f>Stock!366:366-"'E4!.?/"</f>
        <v>#VALUE!</v>
      </c>
      <c r="CY225" t="e">
        <f>Stock!367:367-"'E4!.?0"</f>
        <v>#VALUE!</v>
      </c>
      <c r="CZ225" t="e">
        <f>Stock!368:368-"'E4!.?1"</f>
        <v>#VALUE!</v>
      </c>
      <c r="DA225" t="e">
        <f>Stock!369:369-"'E4!.?2"</f>
        <v>#VALUE!</v>
      </c>
      <c r="DB225" t="e">
        <f>Stock!370:370-"'E4!.?3"</f>
        <v>#VALUE!</v>
      </c>
      <c r="DC225" t="e">
        <f>Stock!371:371-"'E4!.?4"</f>
        <v>#VALUE!</v>
      </c>
      <c r="DD225" t="e">
        <f>Stock!372:372-"'E4!.?5"</f>
        <v>#VALUE!</v>
      </c>
      <c r="DE225" t="e">
        <f>Stock!373:373-"'E4!.?6"</f>
        <v>#VALUE!</v>
      </c>
      <c r="DF225" t="e">
        <f>Stock!374:374-"'E4!.?7"</f>
        <v>#VALUE!</v>
      </c>
      <c r="DG225" t="e">
        <f>Stock!375:375-"'E4!.?8"</f>
        <v>#VALUE!</v>
      </c>
      <c r="DH225" t="e">
        <f>Stock!376:376-"'E4!.?9"</f>
        <v>#VALUE!</v>
      </c>
      <c r="DI225" t="e">
        <f>Stock!377:377-"'E4!.?:"</f>
        <v>#VALUE!</v>
      </c>
      <c r="DJ225" t="e">
        <f>Stock!378:378-"'E4!.?;"</f>
        <v>#VALUE!</v>
      </c>
      <c r="DK225" t="e">
        <f>Stock!379:379-"'E4!.?&lt;"</f>
        <v>#VALUE!</v>
      </c>
      <c r="DL225" t="e">
        <f>Stock!380:380-"'E4!.?="</f>
        <v>#VALUE!</v>
      </c>
      <c r="DM225" t="e">
        <f>Stock!381:381-"'E4!.?&gt;"</f>
        <v>#VALUE!</v>
      </c>
      <c r="DN225" t="e">
        <f>Stock!382:382-"'E4!.??"</f>
        <v>#VALUE!</v>
      </c>
      <c r="DO225" t="e">
        <f>Stock!383:383-"'E4!.?@"</f>
        <v>#VALUE!</v>
      </c>
      <c r="DP225" t="e">
        <f>Stock!384:384-"'E4!.?A"</f>
        <v>#VALUE!</v>
      </c>
      <c r="DQ225" t="e">
        <f>Stock!385:385-"'E4!.?B"</f>
        <v>#VALUE!</v>
      </c>
      <c r="DR225" t="e">
        <f>Stock!386:386-"'E4!.?C"</f>
        <v>#VALUE!</v>
      </c>
      <c r="DS225" t="e">
        <f>Stock!387:387-"'E4!.?D"</f>
        <v>#VALUE!</v>
      </c>
      <c r="DT225" t="e">
        <f>Stock!388:388-"'E4!.?E"</f>
        <v>#VALUE!</v>
      </c>
      <c r="DU225" t="e">
        <f>Stock!389:389-"'E4!.?F"</f>
        <v>#VALUE!</v>
      </c>
      <c r="DV225" t="e">
        <f>Stock!390:390-"'E4!.?G"</f>
        <v>#VALUE!</v>
      </c>
      <c r="DW225" t="e">
        <f>Stock!391:391-"'E4!.?H"</f>
        <v>#VALUE!</v>
      </c>
      <c r="DX225" t="e">
        <f>Stock!392:392-"'E4!.?I"</f>
        <v>#VALUE!</v>
      </c>
      <c r="DY225" t="e">
        <f>Stock!393:393-"'E4!.?J"</f>
        <v>#VALUE!</v>
      </c>
      <c r="DZ225" t="e">
        <f>Stock!394:394-"'E4!.?K"</f>
        <v>#VALUE!</v>
      </c>
      <c r="EA225" t="e">
        <f>Stock!395:395-"'E4!.?L"</f>
        <v>#VALUE!</v>
      </c>
      <c r="EB225" t="e">
        <f>Stock!396:396-"'E4!.?M"</f>
        <v>#VALUE!</v>
      </c>
      <c r="EC225" t="e">
        <f>Stock!397:397-"'E4!.?N"</f>
        <v>#VALUE!</v>
      </c>
      <c r="ED225" t="e">
        <f>Stock!398:398-"'E4!.?O"</f>
        <v>#VALUE!</v>
      </c>
      <c r="EE225" t="e">
        <f>Stock!399:399-"'E4!.?P"</f>
        <v>#VALUE!</v>
      </c>
      <c r="EF225" t="e">
        <f>Stock!400:400-"'E4!.?Q"</f>
        <v>#VALUE!</v>
      </c>
      <c r="EG225" t="e">
        <f>Stock!401:401-"'E4!.?R"</f>
        <v>#VALUE!</v>
      </c>
      <c r="EH225" t="e">
        <f>Stock!402:402-"'E4!.?S"</f>
        <v>#VALUE!</v>
      </c>
      <c r="EI225" t="e">
        <f>Stock!403:403-"'E4!.?T"</f>
        <v>#VALUE!</v>
      </c>
      <c r="EJ225" t="e">
        <f>Stock!404:404-"'E4!.?U"</f>
        <v>#VALUE!</v>
      </c>
      <c r="EK225" t="e">
        <f>Stock!405:405-"'E4!.?V"</f>
        <v>#VALUE!</v>
      </c>
      <c r="EL225" t="e">
        <f>Stock!406:406-"'E4!.?W"</f>
        <v>#VALUE!</v>
      </c>
      <c r="EM225" t="e">
        <f>Stock!407:407-"'E4!.?X"</f>
        <v>#VALUE!</v>
      </c>
      <c r="EN225" t="e">
        <f>Stock!408:408-"'E4!.?Y"</f>
        <v>#VALUE!</v>
      </c>
      <c r="EO225" t="e">
        <f>Stock!409:409-"'E4!.?Z"</f>
        <v>#VALUE!</v>
      </c>
      <c r="EP225" t="e">
        <f>Stock!410:410-"'E4!.?["</f>
        <v>#VALUE!</v>
      </c>
      <c r="EQ225" t="e">
        <f>Stock!411:411-"'E4!.?\"</f>
        <v>#VALUE!</v>
      </c>
      <c r="ER225" t="e">
        <f>Stock!412:412-"'E4!.?]"</f>
        <v>#VALUE!</v>
      </c>
      <c r="ES225" t="e">
        <f>Stock!413:413-"'E4!.?^"</f>
        <v>#VALUE!</v>
      </c>
      <c r="ET225" t="e">
        <f>Stock!414:414-"'E4!.?_"</f>
        <v>#VALUE!</v>
      </c>
      <c r="EU225" t="e">
        <f>Stock!415:415-"'E4!.?`"</f>
        <v>#VALUE!</v>
      </c>
      <c r="EV225" t="e">
        <f>Stock!416:416-"'E4!.?a"</f>
        <v>#VALUE!</v>
      </c>
      <c r="EW225" t="e">
        <f>Stock!417:417-"'E4!.?b"</f>
        <v>#VALUE!</v>
      </c>
      <c r="EX225" t="e">
        <f>Stock!418:418-"'E4!.?c"</f>
        <v>#VALUE!</v>
      </c>
      <c r="EY225" t="e">
        <f>Stock!419:419-"'E4!.?d"</f>
        <v>#VALUE!</v>
      </c>
      <c r="EZ225" t="e">
        <f>Stock!420:420-"'E4!.?e"</f>
        <v>#VALUE!</v>
      </c>
      <c r="FA225" t="e">
        <f>Stock!421:421-"'E4!.?f"</f>
        <v>#VALUE!</v>
      </c>
      <c r="FB225" t="e">
        <f>Stock!422:422-"'E4!.?g"</f>
        <v>#VALUE!</v>
      </c>
      <c r="FC225" t="e">
        <f>Stock!423:423-"'E4!.?h"</f>
        <v>#VALUE!</v>
      </c>
      <c r="FD225" t="e">
        <f>Stock!424:424-"'E4!.?i"</f>
        <v>#VALUE!</v>
      </c>
      <c r="FE225" t="e">
        <f>Stock!425:425-"'E4!.?j"</f>
        <v>#VALUE!</v>
      </c>
      <c r="FF225" t="e">
        <f>Stock!426:426-"'E4!.?k"</f>
        <v>#VALUE!</v>
      </c>
      <c r="FG225" t="e">
        <f>Stock!427:427-"'E4!.?l"</f>
        <v>#VALUE!</v>
      </c>
      <c r="FH225" t="e">
        <f>Stock!428:428-"'E4!.?m"</f>
        <v>#VALUE!</v>
      </c>
      <c r="FI225" t="e">
        <f>Stock!429:429-"'E4!.?n"</f>
        <v>#VALUE!</v>
      </c>
      <c r="FJ225" t="e">
        <f>Stock!430:430-"'E4!.?o"</f>
        <v>#VALUE!</v>
      </c>
      <c r="FK225" t="e">
        <f>Stock!431:431-"'E4!.?p"</f>
        <v>#VALUE!</v>
      </c>
      <c r="FL225" t="e">
        <f>Stock!432:432-"'E4!.?q"</f>
        <v>#VALUE!</v>
      </c>
      <c r="FM225" t="e">
        <f>Stock!433:433-"'E4!.?r"</f>
        <v>#VALUE!</v>
      </c>
      <c r="FN225" t="e">
        <f>Stock!434:434-"'E4!.?s"</f>
        <v>#VALUE!</v>
      </c>
      <c r="FO225" t="e">
        <f>Stock!435:435-"'E4!.?t"</f>
        <v>#VALUE!</v>
      </c>
      <c r="FP225" t="e">
        <f>Stock!436:436-"'E4!.?u"</f>
        <v>#VALUE!</v>
      </c>
      <c r="FQ225" t="e">
        <f>Stock!437:437-"'E4!.?v"</f>
        <v>#VALUE!</v>
      </c>
      <c r="FR225" t="e">
        <f>Stock!438:438-"'E4!.?w"</f>
        <v>#VALUE!</v>
      </c>
      <c r="FS225" t="e">
        <f>Stock!439:439-"'E4!.?x"</f>
        <v>#VALUE!</v>
      </c>
      <c r="FT225" t="e">
        <f>Stock!440:440-"'E4!.?y"</f>
        <v>#VALUE!</v>
      </c>
      <c r="FU225" t="e">
        <f>Stock!441:441-"'E4!.?z"</f>
        <v>#VALUE!</v>
      </c>
      <c r="FV225" t="e">
        <f>Stock!442:442-"'E4!.?{"</f>
        <v>#VALUE!</v>
      </c>
      <c r="FW225" t="e">
        <f>Stock!443:443-"'E4!.?|"</f>
        <v>#VALUE!</v>
      </c>
      <c r="FX225" t="e">
        <f>Stock!444:444-"'E4!.?}"</f>
        <v>#VALUE!</v>
      </c>
      <c r="FY225" t="e">
        <f>Stock!445:445-"'E4!.?~"</f>
        <v>#VALUE!</v>
      </c>
      <c r="FZ225" t="e">
        <f>Stock!446:446-"'E4!.@#"</f>
        <v>#VALUE!</v>
      </c>
      <c r="GA225" t="e">
        <f>Stock!447:447-"'E4!.@$"</f>
        <v>#VALUE!</v>
      </c>
      <c r="GB225" t="e">
        <f>Stock!448:448-"'E4!.@%"</f>
        <v>#VALUE!</v>
      </c>
      <c r="GC225" t="e">
        <f>Stock!449:449-"'E4!.@&amp;"</f>
        <v>#VALUE!</v>
      </c>
      <c r="GD225" t="e">
        <f>Stock!450:450-"'E4!.@'"</f>
        <v>#VALUE!</v>
      </c>
      <c r="GE225" t="e">
        <f>Stock!451:451-"'E4!.@("</f>
        <v>#VALUE!</v>
      </c>
      <c r="GF225" t="e">
        <f>Stock!452:452-"'E4!.@)"</f>
        <v>#VALUE!</v>
      </c>
      <c r="GG225" t="e">
        <f>Stock!453:453-"'E4!.@."</f>
        <v>#VALUE!</v>
      </c>
      <c r="GH225" t="e">
        <f>Stock!454:454-"'E4!.@/"</f>
        <v>#VALUE!</v>
      </c>
      <c r="GI225" t="e">
        <f>Stock!455:455-"'E4!.@0"</f>
        <v>#VALUE!</v>
      </c>
      <c r="GJ225" t="e">
        <f>Stock!456:456-"'E4!.@1"</f>
        <v>#VALUE!</v>
      </c>
      <c r="GK225" t="e">
        <f>Stock!457:457-"'E4!.@2"</f>
        <v>#VALUE!</v>
      </c>
      <c r="GL225" t="e">
        <f>Stock!458:458-"'E4!.@3"</f>
        <v>#VALUE!</v>
      </c>
      <c r="GM225" t="e">
        <f>Stock!459:459-"'E4!.@4"</f>
        <v>#VALUE!</v>
      </c>
      <c r="GN225" t="e">
        <f>Stock!460:460-"'E4!.@5"</f>
        <v>#VALUE!</v>
      </c>
      <c r="GO225" t="e">
        <f>Stock!461:461-"'E4!.@6"</f>
        <v>#VALUE!</v>
      </c>
      <c r="GP225" t="e">
        <f>Stock!462:462-"'E4!.@7"</f>
        <v>#VALUE!</v>
      </c>
      <c r="GQ225" t="e">
        <f>Stock!463:463-"'E4!.@8"</f>
        <v>#VALUE!</v>
      </c>
      <c r="GR225" t="e">
        <f>Stock!464:464-"'E4!.@9"</f>
        <v>#VALUE!</v>
      </c>
      <c r="GS225" t="e">
        <f>Stock!465:465-"'E4!.@:"</f>
        <v>#VALUE!</v>
      </c>
      <c r="GT225" t="e">
        <f>Stock!466:466-"'E4!.@;"</f>
        <v>#VALUE!</v>
      </c>
      <c r="GU225" t="e">
        <f>Stock!467:467-"'E4!.@&lt;"</f>
        <v>#VALUE!</v>
      </c>
      <c r="GV225" t="e">
        <f>Stock!468:468-"'E4!.@="</f>
        <v>#VALUE!</v>
      </c>
      <c r="GW225" t="e">
        <f>Stock!469:469-"'E4!.@&gt;"</f>
        <v>#VALUE!</v>
      </c>
      <c r="GX225" t="e">
        <f>Stock!470:470-"'E4!.@?"</f>
        <v>#VALUE!</v>
      </c>
      <c r="GY225" t="e">
        <f>Stock!471:471-"'E4!.@@"</f>
        <v>#VALUE!</v>
      </c>
      <c r="GZ225" t="e">
        <f>Stock!472:472-"'E4!.@A"</f>
        <v>#VALUE!</v>
      </c>
      <c r="HA225" t="e">
        <f>Stock!473:473-"'E4!.@B"</f>
        <v>#VALUE!</v>
      </c>
      <c r="HB225" t="e">
        <f>Stock!474:474-"'E4!.@C"</f>
        <v>#VALUE!</v>
      </c>
      <c r="HC225" t="e">
        <f>Stock!475:475-"'E4!.@D"</f>
        <v>#VALUE!</v>
      </c>
      <c r="HD225" t="e">
        <f>Stock!476:476-"'E4!.@E"</f>
        <v>#VALUE!</v>
      </c>
      <c r="HE225" t="e">
        <f>Stock!477:477-"'E4!.@F"</f>
        <v>#VALUE!</v>
      </c>
      <c r="HF225" t="e">
        <f>Stock!478:478-"'E4!.@G"</f>
        <v>#VALUE!</v>
      </c>
      <c r="HG225" t="e">
        <f>Stock!479:479-"'E4!.@H"</f>
        <v>#VALUE!</v>
      </c>
      <c r="HH225" t="e">
        <f>Stock!480:480-"'E4!.@I"</f>
        <v>#VALUE!</v>
      </c>
      <c r="HI225" t="e">
        <f>Stock!481:481-"'E4!.@J"</f>
        <v>#VALUE!</v>
      </c>
      <c r="HJ225" t="e">
        <f>Stock!482:482-"'E4!.@K"</f>
        <v>#VALUE!</v>
      </c>
      <c r="HK225" t="e">
        <f>Stock!483:483-"'E4!.@L"</f>
        <v>#VALUE!</v>
      </c>
      <c r="HL225" t="e">
        <f>Stock!484:484-"'E4!.@M"</f>
        <v>#VALUE!</v>
      </c>
      <c r="HM225" t="e">
        <f>Stock!485:485-"'E4!.@N"</f>
        <v>#VALUE!</v>
      </c>
      <c r="HN225" t="e">
        <f>Stock!486:486-"'E4!.@O"</f>
        <v>#VALUE!</v>
      </c>
      <c r="HO225" t="e">
        <f>Stock!487:487-"'E4!.@P"</f>
        <v>#VALUE!</v>
      </c>
      <c r="HP225" t="e">
        <f>Stock!488:488-"'E4!.@Q"</f>
        <v>#VALUE!</v>
      </c>
      <c r="HQ225" t="e">
        <f>Stock!489:489-"'E4!.@R"</f>
        <v>#VALUE!</v>
      </c>
      <c r="HR225" t="e">
        <f>Stock!490:490-"'E4!.@S"</f>
        <v>#VALUE!</v>
      </c>
      <c r="HS225" t="e">
        <f>Stock!491:491-"'E4!.@T"</f>
        <v>#VALUE!</v>
      </c>
      <c r="HT225" t="e">
        <f>Stock!492:492-"'E4!.@U"</f>
        <v>#VALUE!</v>
      </c>
      <c r="HU225" t="e">
        <f>Stock!493:493-"'E4!.@V"</f>
        <v>#VALUE!</v>
      </c>
      <c r="HV225" t="e">
        <f>Stock!494:494-"'E4!.@W"</f>
        <v>#VALUE!</v>
      </c>
      <c r="HW225" t="e">
        <f>Stock!495:495-"'E4!.@X"</f>
        <v>#VALUE!</v>
      </c>
      <c r="HX225" t="e">
        <f>Stock!496:496-"'E4!.@Y"</f>
        <v>#VALUE!</v>
      </c>
      <c r="HY225" t="e">
        <f>Stock!497:497-"'E4!.@Z"</f>
        <v>#VALUE!</v>
      </c>
      <c r="HZ225" t="e">
        <f>Stock!498:498-"'E4!.@["</f>
        <v>#VALUE!</v>
      </c>
      <c r="IA225" t="e">
        <f>Stock!499:499-"'E4!.@\"</f>
        <v>#VALUE!</v>
      </c>
      <c r="IB225" t="e">
        <f>Stock!500:500-"'E4!.@]"</f>
        <v>#VALUE!</v>
      </c>
      <c r="IC225" t="e">
        <f>Stock!501:501-"'E4!.@^"</f>
        <v>#VALUE!</v>
      </c>
      <c r="ID225" t="e">
        <f>Stock!502:502-"'E4!.@_"</f>
        <v>#VALUE!</v>
      </c>
      <c r="IE225" t="e">
        <f>Stock!503:503-"'E4!.@`"</f>
        <v>#VALUE!</v>
      </c>
      <c r="IF225" t="e">
        <f>Stock!504:504-"'E4!.@a"</f>
        <v>#VALUE!</v>
      </c>
      <c r="IG225" t="e">
        <f>Stock!505:505-"'E4!.@b"</f>
        <v>#VALUE!</v>
      </c>
      <c r="IH225" t="e">
        <f>Stock!506:506-"'E4!.@c"</f>
        <v>#VALUE!</v>
      </c>
      <c r="II225" t="e">
        <f>Stock!507:507-"'E4!.@d"</f>
        <v>#VALUE!</v>
      </c>
      <c r="IJ225" t="e">
        <f>Stock!508:508-"'E4!.@e"</f>
        <v>#VALUE!</v>
      </c>
      <c r="IK225" t="e">
        <f>Stock!509:509-"'E4!.@f"</f>
        <v>#VALUE!</v>
      </c>
      <c r="IL225" t="e">
        <f>Stock!510:510-"'E4!.@g"</f>
        <v>#VALUE!</v>
      </c>
      <c r="IM225" t="e">
        <f>Stock!511:511-"'E4!.@h"</f>
        <v>#VALUE!</v>
      </c>
      <c r="IN225" t="e">
        <f>Stock!512:512-"'E4!.@i"</f>
        <v>#VALUE!</v>
      </c>
      <c r="IO225" t="e">
        <f>Stock!513:513-"'E4!.@j"</f>
        <v>#VALUE!</v>
      </c>
      <c r="IP225" t="e">
        <f>Stock!514:514-"'E4!.@k"</f>
        <v>#VALUE!</v>
      </c>
      <c r="IQ225" t="e">
        <f>Stock!515:515-"'E4!.@l"</f>
        <v>#VALUE!</v>
      </c>
      <c r="IR225" t="e">
        <f>Stock!516:516-"'E4!.@m"</f>
        <v>#VALUE!</v>
      </c>
      <c r="IS225" t="e">
        <f>Stock!517:517-"'E4!.@n"</f>
        <v>#VALUE!</v>
      </c>
      <c r="IT225" t="e">
        <f>Stock!518:518-"'E4!.@o"</f>
        <v>#VALUE!</v>
      </c>
      <c r="IU225" t="e">
        <f>Stock!519:519-"'E4!.@p"</f>
        <v>#VALUE!</v>
      </c>
      <c r="IV225" t="e">
        <f>Stock!520:520-"'E4!.@q"</f>
        <v>#VALUE!</v>
      </c>
    </row>
    <row r="226" spans="6:256">
      <c r="F226" t="e">
        <f>Stock!521:521-"'E4!.@r"</f>
        <v>#VALUE!</v>
      </c>
      <c r="G226" t="e">
        <f>Stock!522:522-"'E4!.@s"</f>
        <v>#VALUE!</v>
      </c>
      <c r="H226" t="e">
        <f>Stock!523:523-"'E4!.@t"</f>
        <v>#VALUE!</v>
      </c>
      <c r="I226" t="e">
        <f>Stock!524:524-"'E4!.@u"</f>
        <v>#VALUE!</v>
      </c>
      <c r="J226" t="e">
        <f>Stock!525:525-"'E4!.@v"</f>
        <v>#VALUE!</v>
      </c>
      <c r="K226" t="e">
        <f>Stock!526:526-"'E4!.@w"</f>
        <v>#VALUE!</v>
      </c>
      <c r="L226" t="e">
        <f>Stock!527:527-"'E4!.@x"</f>
        <v>#VALUE!</v>
      </c>
      <c r="M226" t="e">
        <f>Stock!528:528-"'E4!.@y"</f>
        <v>#VALUE!</v>
      </c>
      <c r="N226" t="e">
        <f>Stock!529:529-"'E4!.@z"</f>
        <v>#VALUE!</v>
      </c>
      <c r="O226" t="e">
        <f>Stock!530:530-"'E4!.@{"</f>
        <v>#VALUE!</v>
      </c>
      <c r="P226" t="e">
        <f>Stock!531:531-"'E4!.@|"</f>
        <v>#VALUE!</v>
      </c>
      <c r="Q226" t="e">
        <f>Stock!532:532-"'E4!.@}"</f>
        <v>#VALUE!</v>
      </c>
      <c r="R226" t="e">
        <f>Stock!533:533-"'E4!.@~"</f>
        <v>#VALUE!</v>
      </c>
      <c r="S226" t="e">
        <f>Stock!534:534-"'E4!.A#"</f>
        <v>#VALUE!</v>
      </c>
      <c r="T226" t="e">
        <f>Stock!535:535-"'E4!.A$"</f>
        <v>#VALUE!</v>
      </c>
      <c r="U226" t="e">
        <f>Stock!536:536-"'E4!.A%"</f>
        <v>#VALUE!</v>
      </c>
      <c r="V226" t="e">
        <f>Stock!537:537-"'E4!.A&amp;"</f>
        <v>#VALUE!</v>
      </c>
      <c r="W226" t="e">
        <f>Stock!538:538-"'E4!.A'"</f>
        <v>#VALUE!</v>
      </c>
      <c r="X226" t="e">
        <f>Stock!539:539-"'E4!.A("</f>
        <v>#VALUE!</v>
      </c>
      <c r="Y226" t="e">
        <f>Stock!540:540-"'E4!.A)"</f>
        <v>#VALUE!</v>
      </c>
      <c r="Z226" t="e">
        <f>Stock!541:541-"'E4!.A."</f>
        <v>#VALUE!</v>
      </c>
      <c r="AA226" t="e">
        <f>Stock!542:542-"'E4!.A/"</f>
        <v>#VALUE!</v>
      </c>
      <c r="AB226" t="e">
        <f>Stock!543:543-"'E4!.A0"</f>
        <v>#VALUE!</v>
      </c>
      <c r="AC226" t="e">
        <f>Stock!544:544-"'E4!.A1"</f>
        <v>#VALUE!</v>
      </c>
      <c r="AD226" t="e">
        <f>Stock!545:545-"'E4!.A2"</f>
        <v>#VALUE!</v>
      </c>
      <c r="AE226" t="e">
        <f>Stock!546:546-"'E4!.A3"</f>
        <v>#VALUE!</v>
      </c>
      <c r="AF226" t="e">
        <f>Stock!547:547-"'E4!.A4"</f>
        <v>#VALUE!</v>
      </c>
      <c r="AG226" t="e">
        <f>Stock!548:548-"'E4!.A5"</f>
        <v>#VALUE!</v>
      </c>
      <c r="AH226" t="e">
        <f>Stock!549:549-"'E4!.A6"</f>
        <v>#VALUE!</v>
      </c>
      <c r="AI226" t="e">
        <f>Stock!550:550-"'E4!.A7"</f>
        <v>#VALUE!</v>
      </c>
      <c r="AJ226" t="e">
        <f>Stock!551:551-"'E4!.A8"</f>
        <v>#VALUE!</v>
      </c>
      <c r="AK226" t="e">
        <f>Stock!552:552-"'E4!.A9"</f>
        <v>#VALUE!</v>
      </c>
      <c r="AL226" t="e">
        <f>Stock!553:553-"'E4!.A:"</f>
        <v>#VALUE!</v>
      </c>
      <c r="AM226" t="e">
        <f>Stock!554:554-"'E4!.A;"</f>
        <v>#VALUE!</v>
      </c>
      <c r="AN226" t="e">
        <f>Stock!555:555-"'E4!.A&lt;"</f>
        <v>#VALUE!</v>
      </c>
      <c r="AO226" t="e">
        <f>Stock!556:556-"'E4!.A="</f>
        <v>#VALUE!</v>
      </c>
      <c r="AP226" t="e">
        <f>Stock!557:557-"'E4!.A&gt;"</f>
        <v>#VALUE!</v>
      </c>
      <c r="AQ226" t="e">
        <f>Stock!558:558-"'E4!.A?"</f>
        <v>#VALUE!</v>
      </c>
      <c r="AR226" t="e">
        <f>Stock!559:559-"'E4!.A@"</f>
        <v>#VALUE!</v>
      </c>
      <c r="AS226" t="e">
        <f>Stock!560:560-"'E4!.AA"</f>
        <v>#VALUE!</v>
      </c>
      <c r="AT226" t="e">
        <f>Stock!561:561-"'E4!.AB"</f>
        <v>#VALUE!</v>
      </c>
      <c r="AU226" t="e">
        <f>Stock!562:562-"'E4!.AC"</f>
        <v>#VALUE!</v>
      </c>
      <c r="AV226" t="e">
        <f>Stock!563:563-"'E4!.AD"</f>
        <v>#VALUE!</v>
      </c>
      <c r="AW226" t="e">
        <f>Stock!564:564-"'E4!.AE"</f>
        <v>#VALUE!</v>
      </c>
      <c r="AX226" t="e">
        <f>Stock!565:565-"'E4!.AF"</f>
        <v>#VALUE!</v>
      </c>
      <c r="AY226" t="e">
        <f>Stock!566:566-"'E4!.AG"</f>
        <v>#VALUE!</v>
      </c>
      <c r="AZ226" t="e">
        <f>Stock!567:567-"'E4!.AH"</f>
        <v>#VALUE!</v>
      </c>
      <c r="BA226" t="e">
        <f>Stock!568:568-"'E4!.AI"</f>
        <v>#VALUE!</v>
      </c>
      <c r="BB226" t="e">
        <f>Stock!569:569-"'E4!.AJ"</f>
        <v>#VALUE!</v>
      </c>
      <c r="BC226" t="e">
        <f>Stock!570:570-"'E4!.AK"</f>
        <v>#VALUE!</v>
      </c>
      <c r="BD226" t="e">
        <f>Stock!571:571-"'E4!.AL"</f>
        <v>#VALUE!</v>
      </c>
      <c r="BE226" t="e">
        <f>Stock!572:572-"'E4!.AM"</f>
        <v>#VALUE!</v>
      </c>
      <c r="BF226" t="e">
        <f>Stock!573:573-"'E4!.AN"</f>
        <v>#VALUE!</v>
      </c>
      <c r="BG226" t="e">
        <f>Stock!574:574-"'E4!.AO"</f>
        <v>#VALUE!</v>
      </c>
      <c r="BH226" t="e">
        <f>Stock!575:575-"'E4!.AP"</f>
        <v>#VALUE!</v>
      </c>
      <c r="BI226" t="e">
        <f>Stock!576:576-"'E4!.AQ"</f>
        <v>#VALUE!</v>
      </c>
      <c r="BJ226" t="e">
        <f>Stock!577:577-"'E4!.AR"</f>
        <v>#VALUE!</v>
      </c>
      <c r="BK226" t="e">
        <f>Stock!578:578-"'E4!.AS"</f>
        <v>#VALUE!</v>
      </c>
      <c r="BL226" t="e">
        <f>Stock!579:579-"'E4!.AT"</f>
        <v>#VALUE!</v>
      </c>
      <c r="BM226" t="e">
        <f>Stock!580:580-"'E4!.AU"</f>
        <v>#VALUE!</v>
      </c>
      <c r="BN226" t="e">
        <f>Stock!581:581-"'E4!.AV"</f>
        <v>#VALUE!</v>
      </c>
      <c r="BO226" t="e">
        <f>Stock!582:582-"'E4!.AW"</f>
        <v>#VALUE!</v>
      </c>
      <c r="BP226" t="e">
        <f>Stock!583:583-"'E4!.AX"</f>
        <v>#VALUE!</v>
      </c>
      <c r="BQ226" t="e">
        <f>Stock!584:584-"'E4!.AY"</f>
        <v>#VALUE!</v>
      </c>
      <c r="BR226" t="e">
        <f>Stock!585:585-"'E4!.AZ"</f>
        <v>#VALUE!</v>
      </c>
      <c r="BS226" t="e">
        <f>Stock!586:586-"'E4!.A["</f>
        <v>#VALUE!</v>
      </c>
      <c r="BT226" t="e">
        <f>Stock!587:587-"'E4!.A\"</f>
        <v>#VALUE!</v>
      </c>
      <c r="BU226" t="e">
        <f>Stock!588:588-"'E4!.A]"</f>
        <v>#VALUE!</v>
      </c>
      <c r="BV226" t="e">
        <f>Stock!589:589-"'E4!.A^"</f>
        <v>#VALUE!</v>
      </c>
      <c r="BW226" t="e">
        <f>Stock!590:590-"'E4!.A_"</f>
        <v>#VALUE!</v>
      </c>
      <c r="BX226" t="e">
        <f>Stock!591:591-"'E4!.A`"</f>
        <v>#VALUE!</v>
      </c>
      <c r="BY226" t="e">
        <f>Stock!592:592-"'E4!.Aa"</f>
        <v>#VALUE!</v>
      </c>
      <c r="BZ226" t="e">
        <f>Stock!593:593-"'E4!.Ab"</f>
        <v>#VALUE!</v>
      </c>
      <c r="CA226" t="e">
        <f>Stock!594:594-"'E4!.Ac"</f>
        <v>#VALUE!</v>
      </c>
      <c r="CB226" t="e">
        <f>Stock!595:595-"'E4!.Ad"</f>
        <v>#VALUE!</v>
      </c>
      <c r="CC226" t="e">
        <f>Stock!596:596-"'E4!.Ae"</f>
        <v>#VALUE!</v>
      </c>
      <c r="CD226" t="e">
        <f>Stock!597:597-"'E4!.Af"</f>
        <v>#VALUE!</v>
      </c>
      <c r="CE226" t="e">
        <f>Stock!598:598-"'E4!.Ag"</f>
        <v>#VALUE!</v>
      </c>
      <c r="CF226" t="e">
        <f>Stock!599:599-"'E4!.Ah"</f>
        <v>#VALUE!</v>
      </c>
      <c r="CG226" t="e">
        <f>Stock!600:600-"'E4!.Ai"</f>
        <v>#VALUE!</v>
      </c>
      <c r="CH226" t="e">
        <f>Stock!601:601-"'E4!.Aj"</f>
        <v>#VALUE!</v>
      </c>
      <c r="CI226" t="e">
        <f>Stock!602:602-"'E4!.Ak"</f>
        <v>#VALUE!</v>
      </c>
      <c r="CJ226" t="e">
        <f>Stock!603:603-"'E4!.Al"</f>
        <v>#VALUE!</v>
      </c>
      <c r="CK226" t="e">
        <f>Stock!604:604-"'E4!.Am"</f>
        <v>#VALUE!</v>
      </c>
      <c r="CL226" t="e">
        <f>Stock!605:605-"'E4!.An"</f>
        <v>#VALUE!</v>
      </c>
      <c r="CM226" t="e">
        <f>Stock!606:606-"'E4!.Ao"</f>
        <v>#VALUE!</v>
      </c>
      <c r="CN226" t="e">
        <f>Stock!607:607-"'E4!.Ap"</f>
        <v>#VALUE!</v>
      </c>
      <c r="CO226" t="e">
        <f>Stock!608:608-"'E4!.Aq"</f>
        <v>#VALUE!</v>
      </c>
      <c r="CP226" t="e">
        <f>Stock!609:609-"'E4!.Ar"</f>
        <v>#VALUE!</v>
      </c>
      <c r="CQ226" t="e">
        <f>Stock!610:610-"'E4!.As"</f>
        <v>#VALUE!</v>
      </c>
      <c r="CR226" t="e">
        <f>Stock!611:611-"'E4!.At"</f>
        <v>#VALUE!</v>
      </c>
      <c r="CS226" t="e">
        <f>Stock!612:612-"'E4!.Au"</f>
        <v>#VALUE!</v>
      </c>
      <c r="CT226" t="e">
        <f>Stock!613:613-"'E4!.Av"</f>
        <v>#VALUE!</v>
      </c>
      <c r="CU226" t="e">
        <f>Stock!614:614-"'E4!.Aw"</f>
        <v>#VALUE!</v>
      </c>
      <c r="CV226" t="e">
        <f>Stock!615:615-"'E4!.Ax"</f>
        <v>#VALUE!</v>
      </c>
      <c r="CW226" t="e">
        <f>Stock!616:616-"'E4!.Ay"</f>
        <v>#VALUE!</v>
      </c>
      <c r="CX226" t="e">
        <f>Stock!617:617-"'E4!.Az"</f>
        <v>#VALUE!</v>
      </c>
      <c r="CY226" t="e">
        <f>Stock!618:618-"'E4!.A{"</f>
        <v>#VALUE!</v>
      </c>
      <c r="CZ226" t="e">
        <f>Stock!619:619-"'E4!.A|"</f>
        <v>#VALUE!</v>
      </c>
      <c r="DA226" t="e">
        <f>Stock!620:620-"'E4!.A}"</f>
        <v>#VALUE!</v>
      </c>
      <c r="DB226" t="e">
        <f>Stock!621:621-"'E4!.A~"</f>
        <v>#VALUE!</v>
      </c>
      <c r="DC226" t="e">
        <f>Stock!622:622-"'E4!.B#"</f>
        <v>#VALUE!</v>
      </c>
      <c r="DD226" t="e">
        <f>Stock!623:623-"'E4!.B$"</f>
        <v>#VALUE!</v>
      </c>
      <c r="DE226" t="e">
        <f>Stock!624:624-"'E4!.B%"</f>
        <v>#VALUE!</v>
      </c>
      <c r="DF226" t="e">
        <f>Stock!625:625-"'E4!.B&amp;"</f>
        <v>#VALUE!</v>
      </c>
      <c r="DG226" t="e">
        <f>Stock!626:626-"'E4!.B'"</f>
        <v>#VALUE!</v>
      </c>
      <c r="DH226" t="e">
        <f>Stock!627:627-"'E4!.B("</f>
        <v>#VALUE!</v>
      </c>
      <c r="DI226" t="e">
        <f>Stock!628:628-"'E4!.B)"</f>
        <v>#VALUE!</v>
      </c>
      <c r="DJ226" t="e">
        <f>Stock!629:629-"'E4!.B."</f>
        <v>#VALUE!</v>
      </c>
      <c r="DK226" t="e">
        <f>Stock!630:630-"'E4!.B/"</f>
        <v>#VALUE!</v>
      </c>
      <c r="DL226" t="e">
        <f>Stock!631:631-"'E4!.B0"</f>
        <v>#VALUE!</v>
      </c>
      <c r="DM226" t="e">
        <f>Stock!632:632-"'E4!.B1"</f>
        <v>#VALUE!</v>
      </c>
      <c r="DN226" t="e">
        <f>Stock!633:633-"'E4!.B2"</f>
        <v>#VALUE!</v>
      </c>
      <c r="DO226" t="e">
        <f>Stock!634:634-"'E4!.B3"</f>
        <v>#VALUE!</v>
      </c>
      <c r="DP226" t="e">
        <f>Stock!635:635-"'E4!.B4"</f>
        <v>#VALUE!</v>
      </c>
      <c r="DQ226" t="e">
        <f>Stock!636:636-"'E4!.B5"</f>
        <v>#VALUE!</v>
      </c>
      <c r="DR226" t="e">
        <f>Stock!637:637-"'E4!.B6"</f>
        <v>#VALUE!</v>
      </c>
      <c r="DS226" t="e">
        <f>Stock!638:638-"'E4!.B7"</f>
        <v>#VALUE!</v>
      </c>
      <c r="DT226" t="e">
        <f>Stock!639:639-"'E4!.B8"</f>
        <v>#VALUE!</v>
      </c>
      <c r="DU226" t="e">
        <f>Stock!640:640-"'E4!.B9"</f>
        <v>#VALUE!</v>
      </c>
      <c r="DV226" t="e">
        <f>Stock!641:641-"'E4!.B:"</f>
        <v>#VALUE!</v>
      </c>
      <c r="DW226" t="e">
        <f>Stock!642:642-"'E4!.B;"</f>
        <v>#VALUE!</v>
      </c>
      <c r="DX226" t="e">
        <f>Stock!643:643-"'E4!.B&lt;"</f>
        <v>#VALUE!</v>
      </c>
      <c r="DY226" t="e">
        <f>Stock!644:644-"'E4!.B="</f>
        <v>#VALUE!</v>
      </c>
      <c r="DZ226" t="e">
        <f>Stock!645:645-"'E4!.B&gt;"</f>
        <v>#VALUE!</v>
      </c>
      <c r="EA226" t="e">
        <f>Stock!646:646-"'E4!.B?"</f>
        <v>#VALUE!</v>
      </c>
      <c r="EB226" t="e">
        <f>Stock!647:647-"'E4!.B@"</f>
        <v>#VALUE!</v>
      </c>
      <c r="EC226" t="e">
        <f>Stock!648:648-"'E4!.BA"</f>
        <v>#VALUE!</v>
      </c>
      <c r="ED226" t="e">
        <f>Stock!649:649-"'E4!.BB"</f>
        <v>#VALUE!</v>
      </c>
      <c r="EE226" t="e">
        <f>Stock!650:650-"'E4!.BC"</f>
        <v>#VALUE!</v>
      </c>
      <c r="EF226" t="e">
        <f>Stock!651:651-"'E4!.BD"</f>
        <v>#VALUE!</v>
      </c>
      <c r="EG226" t="e">
        <f>Stock!652:652-"'E4!.BE"</f>
        <v>#VALUE!</v>
      </c>
      <c r="EH226" t="e">
        <f>Stock!653:653-"'E4!.BF"</f>
        <v>#VALUE!</v>
      </c>
      <c r="EI226" t="e">
        <f>Stock!654:654-"'E4!.BG"</f>
        <v>#VALUE!</v>
      </c>
      <c r="EJ226" t="e">
        <f>Stock!655:655-"'E4!.BH"</f>
        <v>#VALUE!</v>
      </c>
      <c r="EK226" t="e">
        <f>Stock!656:656-"'E4!.BI"</f>
        <v>#VALUE!</v>
      </c>
      <c r="EL226" t="e">
        <f>Stock!657:657-"'E4!.BJ"</f>
        <v>#VALUE!</v>
      </c>
      <c r="EM226" t="e">
        <f>Stock!658:658-"'E4!.BK"</f>
        <v>#VALUE!</v>
      </c>
      <c r="EN226" t="e">
        <f>Stock!659:659-"'E4!.BL"</f>
        <v>#VALUE!</v>
      </c>
      <c r="EO226" t="e">
        <f>Stock!660:660-"'E4!.BM"</f>
        <v>#VALUE!</v>
      </c>
      <c r="EP226" t="e">
        <f>Stock!661:661-"'E4!.BN"</f>
        <v>#VALUE!</v>
      </c>
      <c r="EQ226" t="e">
        <f>Stock!662:662-"'E4!.BO"</f>
        <v>#VALUE!</v>
      </c>
      <c r="ER226" t="e">
        <f>Stock!663:663-"'E4!.BP"</f>
        <v>#VALUE!</v>
      </c>
      <c r="ES226" t="e">
        <f>Stock!664:664-"'E4!.BQ"</f>
        <v>#VALUE!</v>
      </c>
      <c r="ET226" t="e">
        <f>Stock!665:665-"'E4!.BR"</f>
        <v>#VALUE!</v>
      </c>
      <c r="EU226" t="e">
        <f>Stock!666:666-"'E4!.BS"</f>
        <v>#VALUE!</v>
      </c>
      <c r="EV226" t="e">
        <f>Stock!667:667-"'E4!.BT"</f>
        <v>#VALUE!</v>
      </c>
      <c r="EW226" t="e">
        <f>Stock!668:668-"'E4!.BU"</f>
        <v>#VALUE!</v>
      </c>
      <c r="EX226" t="e">
        <f>Stock!669:669-"'E4!.BV"</f>
        <v>#VALUE!</v>
      </c>
      <c r="EY226" t="e">
        <f>Stock!670:670-"'E4!.BW"</f>
        <v>#VALUE!</v>
      </c>
      <c r="EZ226" t="e">
        <f>Stock!671:671-"'E4!.BX"</f>
        <v>#VALUE!</v>
      </c>
      <c r="FA226" t="e">
        <f>Stock!672:672-"'E4!.BY"</f>
        <v>#VALUE!</v>
      </c>
      <c r="FB226" t="e">
        <f>Stock!673:673-"'E4!.BZ"</f>
        <v>#VALUE!</v>
      </c>
      <c r="FC226" t="e">
        <f>Stock!674:674-"'E4!.B["</f>
        <v>#VALUE!</v>
      </c>
      <c r="FD226" t="e">
        <f>Stock!675:675-"'E4!.B\"</f>
        <v>#VALUE!</v>
      </c>
      <c r="FE226" t="e">
        <f>Stock!676:676-"'E4!.B]"</f>
        <v>#VALUE!</v>
      </c>
      <c r="FF226" t="e">
        <f>Stock!677:677-"'E4!.B^"</f>
        <v>#VALUE!</v>
      </c>
      <c r="FG226" t="e">
        <f>Stock!678:678-"'E4!.B_"</f>
        <v>#VALUE!</v>
      </c>
      <c r="FH226" t="e">
        <f>Stock!679:679-"'E4!.B`"</f>
        <v>#VALUE!</v>
      </c>
      <c r="FI226" t="e">
        <f>Stock!680:680-"'E4!.Ba"</f>
        <v>#VALUE!</v>
      </c>
      <c r="FJ226" t="e">
        <f>Stock!681:681-"'E4!.Bb"</f>
        <v>#VALUE!</v>
      </c>
      <c r="FK226" t="e">
        <f>Stock!682:682-"'E4!.Bc"</f>
        <v>#VALUE!</v>
      </c>
      <c r="FL226" t="e">
        <f>Stock!683:683-"'E4!.Bd"</f>
        <v>#VALUE!</v>
      </c>
      <c r="FM226" t="e">
        <f>Stock!684:684-"'E4!.Be"</f>
        <v>#VALUE!</v>
      </c>
      <c r="FN226" t="e">
        <f>Stock!685:685-"'E4!.Bf"</f>
        <v>#VALUE!</v>
      </c>
      <c r="FO226" t="e">
        <f>Stock!686:686-"'E4!.Bg"</f>
        <v>#VALUE!</v>
      </c>
      <c r="FP226" t="e">
        <f>Stock!687:687-"'E4!.Bh"</f>
        <v>#VALUE!</v>
      </c>
      <c r="FQ226" t="e">
        <f>Stock!688:688-"'E4!.Bi"</f>
        <v>#VALUE!</v>
      </c>
      <c r="FR226" t="e">
        <f>Stock!689:689-"'E4!.Bj"</f>
        <v>#VALUE!</v>
      </c>
      <c r="FS226" t="e">
        <f>Stock!690:690-"'E4!.Bk"</f>
        <v>#VALUE!</v>
      </c>
      <c r="FT226" t="e">
        <f>Stock!691:691-"'E4!.Bl"</f>
        <v>#VALUE!</v>
      </c>
      <c r="FU226" t="e">
        <f>Stock!692:692-"'E4!.Bm"</f>
        <v>#VALUE!</v>
      </c>
      <c r="FV226" t="e">
        <f>Stock!693:693-"'E4!.Bn"</f>
        <v>#VALUE!</v>
      </c>
      <c r="FW226" t="e">
        <f>Stock!694:694-"'E4!.Bo"</f>
        <v>#VALUE!</v>
      </c>
      <c r="FX226" t="e">
        <f>Stock!695:695-"'E4!.Bp"</f>
        <v>#VALUE!</v>
      </c>
      <c r="FY226" t="e">
        <f>Stock!696:696-"'E4!.Bq"</f>
        <v>#VALUE!</v>
      </c>
      <c r="FZ226" t="e">
        <f>Stock!697:697-"'E4!.Br"</f>
        <v>#VALUE!</v>
      </c>
      <c r="GA226" t="e">
        <f>Stock!698:698-"'E4!.Bs"</f>
        <v>#VALUE!</v>
      </c>
      <c r="GB226" t="e">
        <f>Stock!699:699-"'E4!.Bt"</f>
        <v>#VALUE!</v>
      </c>
      <c r="GC226" t="e">
        <f>Stock!700:700-"'E4!.Bu"</f>
        <v>#VALUE!</v>
      </c>
      <c r="GD226" t="e">
        <f>Stock!701:701-"'E4!.Bv"</f>
        <v>#VALUE!</v>
      </c>
      <c r="GE226" t="e">
        <f>Stock!702:702-"'E4!.Bw"</f>
        <v>#VALUE!</v>
      </c>
      <c r="GF226" t="e">
        <f>Stock!703:703-"'E4!.Bx"</f>
        <v>#VALUE!</v>
      </c>
      <c r="GG226" t="e">
        <f>Stock!704:704-"'E4!.By"</f>
        <v>#VALUE!</v>
      </c>
      <c r="GH226" t="e">
        <f>Stock!705:705-"'E4!.Bz"</f>
        <v>#VALUE!</v>
      </c>
      <c r="GI226" t="e">
        <f>Stock!706:706-"'E4!.B{"</f>
        <v>#VALUE!</v>
      </c>
      <c r="GJ226" t="e">
        <f>Stock!707:707-"'E4!.B|"</f>
        <v>#VALUE!</v>
      </c>
      <c r="GK226" t="e">
        <f>Stock!708:708-"'E4!.B}"</f>
        <v>#VALUE!</v>
      </c>
      <c r="GL226" t="e">
        <f>Stock!709:709-"'E4!.B~"</f>
        <v>#VALUE!</v>
      </c>
      <c r="GM226" t="e">
        <f>Stock!710:710-"'E4!.C#"</f>
        <v>#VALUE!</v>
      </c>
      <c r="GN226" t="e">
        <f>Stock!711:711-"'E4!.C$"</f>
        <v>#VALUE!</v>
      </c>
      <c r="GO226" t="e">
        <f>Stock!712:712-"'E4!.C%"</f>
        <v>#VALUE!</v>
      </c>
      <c r="GP226" t="e">
        <f>Stock!713:713-"'E4!.C&amp;"</f>
        <v>#VALUE!</v>
      </c>
      <c r="GQ226" t="e">
        <f>Stock!714:714-"'E4!.C'"</f>
        <v>#VALUE!</v>
      </c>
      <c r="GR226" t="e">
        <f>Stock!715:715-"'E4!.C("</f>
        <v>#VALUE!</v>
      </c>
      <c r="GS226" t="e">
        <f>Stock!716:716-"'E4!.C)"</f>
        <v>#VALUE!</v>
      </c>
      <c r="GT226" t="e">
        <f>Stock!717:717-"'E4!.C."</f>
        <v>#VALUE!</v>
      </c>
      <c r="GU226" t="e">
        <f>Stock!718:718-"'E4!.C/"</f>
        <v>#VALUE!</v>
      </c>
      <c r="GV226" t="e">
        <f>Stock!719:719-"'E4!.C0"</f>
        <v>#VALUE!</v>
      </c>
      <c r="GW226" t="e">
        <f>Stock!720:720-"'E4!.C1"</f>
        <v>#VALUE!</v>
      </c>
      <c r="GX226" t="e">
        <f>Stock!721:721-"'E4!.C2"</f>
        <v>#VALUE!</v>
      </c>
      <c r="GY226" t="e">
        <f>Stock!722:722-"'E4!.C3"</f>
        <v>#VALUE!</v>
      </c>
      <c r="GZ226" t="e">
        <f>Stock!723:723-"'E4!.C4"</f>
        <v>#VALUE!</v>
      </c>
      <c r="HA226" t="e">
        <f>Stock!724:724-"'E4!.C5"</f>
        <v>#VALUE!</v>
      </c>
      <c r="HB226" t="e">
        <f>Stock!725:725-"'E4!.C6"</f>
        <v>#VALUE!</v>
      </c>
      <c r="HC226" t="e">
        <f>Stock!726:726-"'E4!.C7"</f>
        <v>#VALUE!</v>
      </c>
      <c r="HD226" t="e">
        <f>Stock!727:727-"'E4!.C8"</f>
        <v>#VALUE!</v>
      </c>
      <c r="HE226" t="e">
        <f>Stock!728:728-"'E4!.C9"</f>
        <v>#VALUE!</v>
      </c>
      <c r="HF226" t="e">
        <f>Stock!729:729-"'E4!.C:"</f>
        <v>#VALUE!</v>
      </c>
      <c r="HG226" t="e">
        <f>Stock!730:730-"'E4!.C;"</f>
        <v>#VALUE!</v>
      </c>
      <c r="HH226" t="e">
        <f>Stock!731:731-"'E4!.C&lt;"</f>
        <v>#VALUE!</v>
      </c>
      <c r="HI226" t="e">
        <f>Stock!732:732-"'E4!.C="</f>
        <v>#VALUE!</v>
      </c>
      <c r="HJ226" t="e">
        <f>Stock!733:733-"'E4!.C&gt;"</f>
        <v>#VALUE!</v>
      </c>
      <c r="HK226" t="e">
        <f>Stock!734:734-"'E4!.C?"</f>
        <v>#VALUE!</v>
      </c>
      <c r="HL226" t="e">
        <f>Stock!735:735-"'E4!.C@"</f>
        <v>#VALUE!</v>
      </c>
      <c r="HM226" t="e">
        <f>Stock!736:736-"'E4!.CA"</f>
        <v>#VALUE!</v>
      </c>
      <c r="HN226" t="e">
        <f>Stock!737:737-"'E4!.CB"</f>
        <v>#VALUE!</v>
      </c>
      <c r="HO226" t="e">
        <f>Stock!738:738-"'E4!.CC"</f>
        <v>#VALUE!</v>
      </c>
      <c r="HP226" t="e">
        <f>Stock!739:739-"'E4!.CD"</f>
        <v>#VALUE!</v>
      </c>
      <c r="HQ226" t="e">
        <f>Stock!740:740-"'E4!.CE"</f>
        <v>#VALUE!</v>
      </c>
      <c r="HR226" t="e">
        <f>Stock!741:741-"'E4!.CF"</f>
        <v>#VALUE!</v>
      </c>
      <c r="HS226" t="e">
        <f>Stock!742:742-"'E4!.CG"</f>
        <v>#VALUE!</v>
      </c>
      <c r="HT226" t="e">
        <f>Stock!743:743-"'E4!.CH"</f>
        <v>#VALUE!</v>
      </c>
      <c r="HU226" t="e">
        <f>Stock!744:744-"'E4!.CI"</f>
        <v>#VALUE!</v>
      </c>
      <c r="HV226" t="e">
        <f>Stock!745:745-"'E4!.CJ"</f>
        <v>#VALUE!</v>
      </c>
      <c r="HW226" t="e">
        <f>Stock!746:746-"'E4!.CK"</f>
        <v>#VALUE!</v>
      </c>
      <c r="HX226" t="e">
        <f>Stock!747:747-"'E4!.CL"</f>
        <v>#VALUE!</v>
      </c>
      <c r="HY226" t="e">
        <f>Stock!748:748-"'E4!.CM"</f>
        <v>#VALUE!</v>
      </c>
      <c r="HZ226" t="e">
        <f>Stock!749:749-"'E4!.CN"</f>
        <v>#VALUE!</v>
      </c>
      <c r="IA226" t="e">
        <f>Stock!750:750-"'E4!.CO"</f>
        <v>#VALUE!</v>
      </c>
      <c r="IB226" t="e">
        <f>Stock!751:751-"'E4!.CP"</f>
        <v>#VALUE!</v>
      </c>
      <c r="IC226" t="e">
        <f>Stock!752:752-"'E4!.CQ"</f>
        <v>#VALUE!</v>
      </c>
      <c r="ID226" t="e">
        <f>Stock!753:753-"'E4!.CR"</f>
        <v>#VALUE!</v>
      </c>
      <c r="IE226" t="e">
        <f>Stock!754:754-"'E4!.CS"</f>
        <v>#VALUE!</v>
      </c>
      <c r="IF226" t="e">
        <f>Stock!755:755-"'E4!.CT"</f>
        <v>#VALUE!</v>
      </c>
      <c r="IG226" t="e">
        <f>Stock!756:756-"'E4!.CU"</f>
        <v>#VALUE!</v>
      </c>
      <c r="IH226" t="e">
        <f>Stock!757:757-"'E4!.CV"</f>
        <v>#VALUE!</v>
      </c>
      <c r="II226" t="e">
        <f>Stock!758:758-"'E4!.CW"</f>
        <v>#VALUE!</v>
      </c>
      <c r="IJ226" t="e">
        <f>Stock!759:759-"'E4!.CX"</f>
        <v>#VALUE!</v>
      </c>
      <c r="IK226" t="e">
        <f>Stock!760:760-"'E4!.CY"</f>
        <v>#VALUE!</v>
      </c>
      <c r="IL226" t="e">
        <f>Stock!761:761-"'E4!.CZ"</f>
        <v>#VALUE!</v>
      </c>
      <c r="IM226" t="e">
        <f>Stock!762:762-"'E4!.C["</f>
        <v>#VALUE!</v>
      </c>
      <c r="IN226" t="e">
        <f>Stock!763:763-"'E4!.C\"</f>
        <v>#VALUE!</v>
      </c>
      <c r="IO226" t="e">
        <f>Stock!764:764-"'E4!.C]"</f>
        <v>#VALUE!</v>
      </c>
      <c r="IP226" t="e">
        <f>Stock!765:765-"'E4!.C^"</f>
        <v>#VALUE!</v>
      </c>
      <c r="IQ226" t="e">
        <f>Stock!766:766-"'E4!.C_"</f>
        <v>#VALUE!</v>
      </c>
      <c r="IR226" t="e">
        <f>Stock!767:767-"'E4!.C`"</f>
        <v>#VALUE!</v>
      </c>
      <c r="IS226" t="e">
        <f>Stock!768:768-"'E4!.Ca"</f>
        <v>#VALUE!</v>
      </c>
      <c r="IT226" t="e">
        <f>Stock!769:769-"'E4!.Cb"</f>
        <v>#VALUE!</v>
      </c>
      <c r="IU226" t="e">
        <f>Stock!770:770-"'E4!.Cc"</f>
        <v>#VALUE!</v>
      </c>
      <c r="IV226" t="e">
        <f>Stock!771:771-"'E4!.Cd"</f>
        <v>#VALUE!</v>
      </c>
    </row>
    <row r="227" spans="6:256">
      <c r="F227" t="e">
        <f>Stock!772:772-"'E4!.Ce"</f>
        <v>#VALUE!</v>
      </c>
      <c r="G227" t="e">
        <f>Stock!773:773-"'E4!.Cf"</f>
        <v>#VALUE!</v>
      </c>
      <c r="H227" t="e">
        <f>Stock!774:774-"'E4!.Cg"</f>
        <v>#VALUE!</v>
      </c>
      <c r="I227" t="e">
        <f>Stock!775:775-"'E4!.Ch"</f>
        <v>#VALUE!</v>
      </c>
      <c r="J227" t="e">
        <f>Stock!776:776-"'E4!.Ci"</f>
        <v>#VALUE!</v>
      </c>
      <c r="K227" t="e">
        <f>Stock!777:777-"'E4!.Cj"</f>
        <v>#VALUE!</v>
      </c>
      <c r="L227" t="e">
        <f>Stock!778:778-"'E4!.Ck"</f>
        <v>#VALUE!</v>
      </c>
      <c r="M227" t="e">
        <f>Stock!779:779-"'E4!.Cl"</f>
        <v>#VALUE!</v>
      </c>
      <c r="N227" t="e">
        <f>Stock!780:780-"'E4!.Cm"</f>
        <v>#VALUE!</v>
      </c>
      <c r="O227" t="e">
        <f>Stock!781:781-"'E4!.Cn"</f>
        <v>#VALUE!</v>
      </c>
      <c r="P227" t="e">
        <f>Stock!782:782-"'E4!.Co"</f>
        <v>#VALUE!</v>
      </c>
      <c r="Q227" t="e">
        <f>Stock!783:783-"'E4!.Cp"</f>
        <v>#VALUE!</v>
      </c>
      <c r="R227" t="e">
        <f>Stock!784:784-"'E4!.Cq"</f>
        <v>#VALUE!</v>
      </c>
      <c r="S227" t="e">
        <f>Stock!785:785-"'E4!.Cr"</f>
        <v>#VALUE!</v>
      </c>
      <c r="T227" t="e">
        <f>Stock!786:786-"'E4!.Cs"</f>
        <v>#VALUE!</v>
      </c>
      <c r="U227" t="e">
        <f>Stock!787:787-"'E4!.Ct"</f>
        <v>#VALUE!</v>
      </c>
      <c r="V227" t="e">
        <f>Stock!788:788-"'E4!.Cu"</f>
        <v>#VALUE!</v>
      </c>
      <c r="W227" t="e">
        <f>Stock!789:789-"'E4!.Cv"</f>
        <v>#VALUE!</v>
      </c>
      <c r="X227" t="e">
        <f>Stock!790:790-"'E4!.Cw"</f>
        <v>#VALUE!</v>
      </c>
      <c r="Y227" t="e">
        <f>Stock!791:791-"'E4!.Cx"</f>
        <v>#VALUE!</v>
      </c>
      <c r="Z227" t="e">
        <f>Stock!792:792-"'E4!.Cy"</f>
        <v>#VALUE!</v>
      </c>
      <c r="AA227" t="e">
        <f>Stock!793:793-"'E4!.Cz"</f>
        <v>#VALUE!</v>
      </c>
      <c r="AB227" t="e">
        <f>Stock!794:794-"'E4!.C{"</f>
        <v>#VALUE!</v>
      </c>
      <c r="AC227" t="e">
        <f>Stock!795:795-"'E4!.C|"</f>
        <v>#VALUE!</v>
      </c>
      <c r="AD227" t="e">
        <f>Stock!796:796-"'E4!.C}"</f>
        <v>#VALUE!</v>
      </c>
      <c r="AE227" t="e">
        <f>Stock!797:797-"'E4!.C~"</f>
        <v>#VALUE!</v>
      </c>
      <c r="AF227" t="e">
        <f>Stock!798:798-"'E4!.D#"</f>
        <v>#VALUE!</v>
      </c>
      <c r="AG227" t="e">
        <f>Stock!799:799-"'E4!.D$"</f>
        <v>#VALUE!</v>
      </c>
      <c r="AH227" t="e">
        <f>Stock!800:800-"'E4!.D%"</f>
        <v>#VALUE!</v>
      </c>
      <c r="AI227" t="e">
        <f>Stock!801:801-"'E4!.D&amp;"</f>
        <v>#VALUE!</v>
      </c>
      <c r="AJ227" t="e">
        <f>Stock!802:802-"'E4!.D'"</f>
        <v>#VALUE!</v>
      </c>
      <c r="AK227" t="e">
        <f>Stock!803:803-"'E4!.D("</f>
        <v>#VALUE!</v>
      </c>
      <c r="AL227" t="e">
        <f>Stock!804:804-"'E4!.D)"</f>
        <v>#VALUE!</v>
      </c>
      <c r="AM227" t="e">
        <f>Stock!805:805-"'E4!.D."</f>
        <v>#VALUE!</v>
      </c>
      <c r="AN227" t="e">
        <f>Stock!806:806-"'E4!.D/"</f>
        <v>#VALUE!</v>
      </c>
      <c r="AO227" t="e">
        <f>Stock!807:807-"'E4!.D0"</f>
        <v>#VALUE!</v>
      </c>
      <c r="AP227" t="e">
        <f>Stock!808:808-"'E4!.D1"</f>
        <v>#VALUE!</v>
      </c>
      <c r="AQ227" t="e">
        <f>Stock!809:809-"'E4!.D2"</f>
        <v>#VALUE!</v>
      </c>
      <c r="AR227" t="e">
        <f>Stock!810:810-"'E4!.D3"</f>
        <v>#VALUE!</v>
      </c>
      <c r="AS227" t="e">
        <f>Stock!811:811-"'E4!.D4"</f>
        <v>#VALUE!</v>
      </c>
      <c r="AT227" t="e">
        <f>Stock!812:812-"'E4!.D5"</f>
        <v>#VALUE!</v>
      </c>
      <c r="AU227" t="e">
        <f>Stock!813:813-"'E4!.D6"</f>
        <v>#VALUE!</v>
      </c>
      <c r="AV227" t="e">
        <f>Stock!814:814-"'E4!.D7"</f>
        <v>#VALUE!</v>
      </c>
      <c r="AW227" t="e">
        <f>Stock!815:815-"'E4!.D8"</f>
        <v>#VALUE!</v>
      </c>
      <c r="AX227" t="e">
        <f>Stock!816:816-"'E4!.D9"</f>
        <v>#VALUE!</v>
      </c>
      <c r="AY227" t="e">
        <f>Stock!817:817-"'E4!.D:"</f>
        <v>#VALUE!</v>
      </c>
      <c r="AZ227" t="e">
        <f>Stock!818:818-"'E4!.D;"</f>
        <v>#VALUE!</v>
      </c>
      <c r="BA227" t="e">
        <f>Stock!819:819-"'E4!.D&lt;"</f>
        <v>#VALUE!</v>
      </c>
      <c r="BB227" t="e">
        <f>Stock!820:820-"'E4!.D="</f>
        <v>#VALUE!</v>
      </c>
      <c r="BC227" t="e">
        <f>Stock!821:821-"'E4!.D&gt;"</f>
        <v>#VALUE!</v>
      </c>
      <c r="BD227" t="e">
        <f>Stock!822:822-"'E4!.D?"</f>
        <v>#VALUE!</v>
      </c>
      <c r="BE227" t="e">
        <f>Stock!823:823-"'E4!.D@"</f>
        <v>#VALUE!</v>
      </c>
      <c r="BF227" t="e">
        <f>Stock!824:824-"'E4!.DA"</f>
        <v>#VALUE!</v>
      </c>
      <c r="BG227" t="e">
        <f>Stock!825:825-"'E4!.DB"</f>
        <v>#VALUE!</v>
      </c>
      <c r="BH227" t="e">
        <f>Stock!826:826-"'E4!.DC"</f>
        <v>#VALUE!</v>
      </c>
      <c r="BI227" t="e">
        <f>Stock!827:827-"'E4!.DD"</f>
        <v>#VALUE!</v>
      </c>
      <c r="BJ227" t="e">
        <f>Stock!828:828-"'E4!.DE"</f>
        <v>#VALUE!</v>
      </c>
      <c r="BK227" t="e">
        <f>Stock!829:829-"'E4!.DF"</f>
        <v>#VALUE!</v>
      </c>
      <c r="BL227" t="e">
        <f>Stock!830:830-"'E4!.DG"</f>
        <v>#VALUE!</v>
      </c>
      <c r="BM227" t="e">
        <f>Stock!831:831-"'E4!.DH"</f>
        <v>#VALUE!</v>
      </c>
      <c r="BN227" t="e">
        <f>Stock!832:832-"'E4!.DI"</f>
        <v>#VALUE!</v>
      </c>
      <c r="BO227" t="e">
        <f>Stock!833:833-"'E4!.DJ"</f>
        <v>#VALUE!</v>
      </c>
      <c r="BP227" t="e">
        <f>Stock!834:834-"'E4!.DK"</f>
        <v>#VALUE!</v>
      </c>
      <c r="BQ227" t="e">
        <f>Stock!835:835-"'E4!.DL"</f>
        <v>#VALUE!</v>
      </c>
      <c r="BR227" t="e">
        <f>Stock!836:836-"'E4!.DM"</f>
        <v>#VALUE!</v>
      </c>
      <c r="BS227" t="e">
        <f>Stock!837:837-"'E4!.DN"</f>
        <v>#VALUE!</v>
      </c>
      <c r="BT227" t="e">
        <f>Stock!838:838-"'E4!.DO"</f>
        <v>#VALUE!</v>
      </c>
      <c r="BU227" t="e">
        <f>Stock!839:839-"'E4!.DP"</f>
        <v>#VALUE!</v>
      </c>
      <c r="BV227" t="e">
        <f>Stock!840:840-"'E4!.DQ"</f>
        <v>#VALUE!</v>
      </c>
      <c r="BW227" t="e">
        <f>Stock!841:841-"'E4!.DR"</f>
        <v>#VALUE!</v>
      </c>
      <c r="BX227" t="e">
        <f>Stock!842:842-"'E4!.DS"</f>
        <v>#VALUE!</v>
      </c>
      <c r="BY227" t="e">
        <f>Stock!843:843-"'E4!.DT"</f>
        <v>#VALUE!</v>
      </c>
      <c r="BZ227" t="e">
        <f>Stock!844:844-"'E4!.DU"</f>
        <v>#VALUE!</v>
      </c>
      <c r="CA227" t="e">
        <f>Stock!845:845-"'E4!.DV"</f>
        <v>#VALUE!</v>
      </c>
      <c r="CB227" t="e">
        <f>Stock!846:846-"'E4!.DW"</f>
        <v>#VALUE!</v>
      </c>
      <c r="CC227" t="e">
        <f>Stock!847:847-"'E4!.DX"</f>
        <v>#VALUE!</v>
      </c>
      <c r="CD227" t="e">
        <f>Stock!848:848-"'E4!.DY"</f>
        <v>#VALUE!</v>
      </c>
      <c r="CE227" t="e">
        <f>Stock!849:849-"'E4!.DZ"</f>
        <v>#VALUE!</v>
      </c>
      <c r="CF227" t="e">
        <f>Stock!850:850-"'E4!.D["</f>
        <v>#VALUE!</v>
      </c>
      <c r="CG227" t="e">
        <f>Stock!851:851-"'E4!.D\"</f>
        <v>#VALUE!</v>
      </c>
      <c r="CH227" t="e">
        <f>Stock!852:852-"'E4!.D]"</f>
        <v>#VALUE!</v>
      </c>
      <c r="CI227" t="e">
        <f>Stock!853:853-"'E4!.D^"</f>
        <v>#VALUE!</v>
      </c>
      <c r="CJ227" t="e">
        <f>Stock!854:854-"'E4!.D_"</f>
        <v>#VALUE!</v>
      </c>
      <c r="CK227" t="e">
        <f>Stock!855:855-"'E4!.D`"</f>
        <v>#VALUE!</v>
      </c>
      <c r="CL227" t="e">
        <f>Stock!856:856-"'E4!.Da"</f>
        <v>#VALUE!</v>
      </c>
      <c r="CM227" t="e">
        <f>Stock!857:857-"'E4!.Db"</f>
        <v>#VALUE!</v>
      </c>
      <c r="CN227" t="e">
        <f>Stock!858:858-"'E4!.Dc"</f>
        <v>#VALUE!</v>
      </c>
      <c r="CO227" t="e">
        <f>Stock!859:859-"'E4!.Dd"</f>
        <v>#VALUE!</v>
      </c>
      <c r="CP227" t="e">
        <f>Stock!860:860-"'E4!.De"</f>
        <v>#VALUE!</v>
      </c>
      <c r="CQ227" t="e">
        <f>Stock!861:861-"'E4!.Df"</f>
        <v>#VALUE!</v>
      </c>
      <c r="CR227" t="e">
        <f>Stock!862:862-"'E4!.Dg"</f>
        <v>#VALUE!</v>
      </c>
      <c r="CS227" t="e">
        <f>Stock!863:863-"'E4!.Dh"</f>
        <v>#VALUE!</v>
      </c>
      <c r="CT227" t="e">
        <f>Stock!864:864-"'E4!.Di"</f>
        <v>#VALUE!</v>
      </c>
      <c r="CU227" t="e">
        <f>Stock!865:865-"'E4!.Dj"</f>
        <v>#VALUE!</v>
      </c>
      <c r="CV227" t="e">
        <f>Stock!866:866-"'E4!.Dk"</f>
        <v>#VALUE!</v>
      </c>
      <c r="CW227" t="e">
        <f>Stock!867:867-"'E4!.Dl"</f>
        <v>#VALUE!</v>
      </c>
      <c r="CX227" t="e">
        <f>Stock!868:868-"'E4!.Dm"</f>
        <v>#VALUE!</v>
      </c>
      <c r="CY227" t="e">
        <f>Stock!869:869-"'E4!.Dn"</f>
        <v>#VALUE!</v>
      </c>
      <c r="CZ227" t="e">
        <f>Stock!870:870-"'E4!.Do"</f>
        <v>#VALUE!</v>
      </c>
      <c r="DA227" t="e">
        <f>Stock!871:871-"'E4!.Dp"</f>
        <v>#VALUE!</v>
      </c>
      <c r="DB227" t="e">
        <f>Stock!872:872-"'E4!.Dq"</f>
        <v>#VALUE!</v>
      </c>
      <c r="DC227" t="e">
        <f>Stock!873:873-"'E4!.Dr"</f>
        <v>#VALUE!</v>
      </c>
      <c r="DD227" t="e">
        <f>Stock!874:874-"'E4!.Ds"</f>
        <v>#VALUE!</v>
      </c>
      <c r="DE227" t="e">
        <f>Stock!875:875-"'E4!.Dt"</f>
        <v>#VALUE!</v>
      </c>
      <c r="DF227" t="e">
        <f>Stock!876:876-"'E4!.Du"</f>
        <v>#VALUE!</v>
      </c>
      <c r="DG227" t="e">
        <f>Stock!877:877-"'E4!.Dv"</f>
        <v>#VALUE!</v>
      </c>
      <c r="DH227" t="e">
        <f>Stock!878:878-"'E4!.Dw"</f>
        <v>#VALUE!</v>
      </c>
      <c r="DI227" t="e">
        <f>Stock!879:879-"'E4!.Dx"</f>
        <v>#VALUE!</v>
      </c>
      <c r="DJ227" t="e">
        <f>Stock!880:880-"'E4!.Dy"</f>
        <v>#VALUE!</v>
      </c>
      <c r="DK227" t="e">
        <f>Stock!881:881-"'E4!.Dz"</f>
        <v>#VALUE!</v>
      </c>
      <c r="DL227" t="e">
        <f>Stock!882:882-"'E4!.D{"</f>
        <v>#VALUE!</v>
      </c>
      <c r="DM227" t="e">
        <f>Stock!883:883-"'E4!.D|"</f>
        <v>#VALUE!</v>
      </c>
      <c r="DN227" t="e">
        <f>Stock!884:884-"'E4!.D}"</f>
        <v>#VALUE!</v>
      </c>
      <c r="DO227" t="e">
        <f>Stock!885:885-"'E4!.D~"</f>
        <v>#VALUE!</v>
      </c>
      <c r="DP227" t="e">
        <f>Stock!886:886-"'E4!.E#"</f>
        <v>#VALUE!</v>
      </c>
      <c r="DQ227" t="e">
        <f>Stock!887:887-"'E4!.E$"</f>
        <v>#VALUE!</v>
      </c>
      <c r="DR227" t="e">
        <f>Stock!888:888-"'E4!.E%"</f>
        <v>#VALUE!</v>
      </c>
      <c r="DS227" t="e">
        <f>Stock!889:889-"'E4!.E&amp;"</f>
        <v>#VALUE!</v>
      </c>
      <c r="DT227" t="e">
        <f>Stock!890:890-"'E4!.E'"</f>
        <v>#VALUE!</v>
      </c>
      <c r="DU227" t="e">
        <f>Stock!891:891-"'E4!.E("</f>
        <v>#VALUE!</v>
      </c>
      <c r="DV227" t="e">
        <f>Stock!892:892-"'E4!.E)"</f>
        <v>#VALUE!</v>
      </c>
      <c r="DW227" t="e">
        <f>Stock!893:893-"'E4!.E."</f>
        <v>#VALUE!</v>
      </c>
      <c r="DX227" t="e">
        <f>Stock!894:894-"'E4!.E/"</f>
        <v>#VALUE!</v>
      </c>
      <c r="DY227" t="e">
        <f>Stock!895:895-"'E4!.E0"</f>
        <v>#VALUE!</v>
      </c>
      <c r="DZ227" t="e">
        <f>Stock!896:896-"'E4!.E1"</f>
        <v>#VALUE!</v>
      </c>
      <c r="EA227" t="e">
        <f>Stock!897:897-"'E4!.E2"</f>
        <v>#VALUE!</v>
      </c>
      <c r="EB227" t="e">
        <f>Stock!898:898-"'E4!.E3"</f>
        <v>#VALUE!</v>
      </c>
      <c r="EC227" t="e">
        <f>Stock!899:899-"'E4!.E4"</f>
        <v>#VALUE!</v>
      </c>
      <c r="ED227" t="e">
        <f>Stock!900:900-"'E4!.E5"</f>
        <v>#VALUE!</v>
      </c>
      <c r="EE227" t="e">
        <f>Stock!901:901-"'E4!.E6"</f>
        <v>#VALUE!</v>
      </c>
      <c r="EF227" t="e">
        <f>Stock!902:902-"'E4!.E7"</f>
        <v>#VALUE!</v>
      </c>
      <c r="EG227" t="e">
        <f>Stock!903:903-"'E4!.E8"</f>
        <v>#VALUE!</v>
      </c>
      <c r="EH227" t="e">
        <f>Stock!904:904-"'E4!.E9"</f>
        <v>#VALUE!</v>
      </c>
      <c r="EI227" t="e">
        <f>Stock!905:905-"'E4!.E:"</f>
        <v>#VALUE!</v>
      </c>
      <c r="EJ227" t="e">
        <f>Stock!906:906-"'E4!.E;"</f>
        <v>#VALUE!</v>
      </c>
      <c r="EK227" t="e">
        <f>Stock!907:907-"'E4!.E&lt;"</f>
        <v>#VALUE!</v>
      </c>
      <c r="EL227" t="e">
        <f>Stock!908:908-"'E4!.E="</f>
        <v>#VALUE!</v>
      </c>
      <c r="EM227" t="e">
        <f>Stock!909:909-"'E4!.E&gt;"</f>
        <v>#VALUE!</v>
      </c>
      <c r="EN227" t="e">
        <f>Stock!910:910-"'E4!.E?"</f>
        <v>#VALUE!</v>
      </c>
      <c r="EO227" t="e">
        <f>Stock!911:911-"'E4!.E@"</f>
        <v>#VALUE!</v>
      </c>
      <c r="EP227" t="e">
        <f>Stock!912:912-"'E4!.EA"</f>
        <v>#VALUE!</v>
      </c>
      <c r="EQ227" t="e">
        <f>Stock!913:913-"'E4!.EB"</f>
        <v>#VALUE!</v>
      </c>
      <c r="ER227" t="e">
        <f>Stock!914:914-"'E4!.EC"</f>
        <v>#VALUE!</v>
      </c>
      <c r="ES227" t="e">
        <f>Stock!915:915-"'E4!.ED"</f>
        <v>#VALUE!</v>
      </c>
      <c r="ET227" t="e">
        <f>Stock!916:916-"'E4!.EE"</f>
        <v>#VALUE!</v>
      </c>
      <c r="EU227" t="e">
        <f>Stock!917:917-"'E4!.EF"</f>
        <v>#VALUE!</v>
      </c>
      <c r="EV227" t="e">
        <f>Stock!918:918-"'E4!.EG"</f>
        <v>#VALUE!</v>
      </c>
      <c r="EW227" t="e">
        <f>Stock!919:919-"'E4!.EH"</f>
        <v>#VALUE!</v>
      </c>
      <c r="EX227" t="e">
        <f>Stock!920:920-"'E4!.EI"</f>
        <v>#VALUE!</v>
      </c>
      <c r="EY227" t="e">
        <f>Stock!921:921-"'E4!.EJ"</f>
        <v>#VALUE!</v>
      </c>
      <c r="EZ227" t="e">
        <f>Stock!922:922-"'E4!.EK"</f>
        <v>#VALUE!</v>
      </c>
      <c r="FA227" t="e">
        <f>Stock!923:923-"'E4!.EL"</f>
        <v>#VALUE!</v>
      </c>
      <c r="FB227" t="e">
        <f>Stock!924:924-"'E4!.EM"</f>
        <v>#VALUE!</v>
      </c>
      <c r="FC227" t="e">
        <f>Stock!925:925-"'E4!.EN"</f>
        <v>#VALUE!</v>
      </c>
      <c r="FD227" t="e">
        <f>Stock!926:926-"'E4!.EO"</f>
        <v>#VALUE!</v>
      </c>
      <c r="FE227" t="e">
        <f>Stock!927:927-"'E4!.EP"</f>
        <v>#VALUE!</v>
      </c>
      <c r="FF227" t="e">
        <f>Stock!928:928-"'E4!.EQ"</f>
        <v>#VALUE!</v>
      </c>
      <c r="FG227" t="e">
        <f>Stock!929:929-"'E4!.ER"</f>
        <v>#VALUE!</v>
      </c>
      <c r="FH227" t="e">
        <f>Stock!930:930-"'E4!.ES"</f>
        <v>#VALUE!</v>
      </c>
      <c r="FI227" t="e">
        <f>Stock!931:931-"'E4!.ET"</f>
        <v>#VALUE!</v>
      </c>
      <c r="FJ227" t="e">
        <f>Stock!932:932-"'E4!.EU"</f>
        <v>#VALUE!</v>
      </c>
      <c r="FK227" t="e">
        <f>Stock!933:933-"'E4!.EV"</f>
        <v>#VALUE!</v>
      </c>
      <c r="FL227" t="e">
        <f>Stock!934:934-"'E4!.EW"</f>
        <v>#VALUE!</v>
      </c>
      <c r="FM227" t="e">
        <f>Stock!935:935-"'E4!.EX"</f>
        <v>#VALUE!</v>
      </c>
      <c r="FN227" t="e">
        <f>Stock!936:936-"'E4!.EY"</f>
        <v>#VALUE!</v>
      </c>
      <c r="FO227" t="e">
        <f>Stock!937:937-"'E4!.EZ"</f>
        <v>#VALUE!</v>
      </c>
      <c r="FP227" t="e">
        <f>Stock!938:938-"'E4!.E["</f>
        <v>#VALUE!</v>
      </c>
      <c r="FQ227" t="e">
        <f>Stock!939:939-"'E4!.E\"</f>
        <v>#VALUE!</v>
      </c>
      <c r="FR227" t="e">
        <f>Stock!940:940-"'E4!.E]"</f>
        <v>#VALUE!</v>
      </c>
      <c r="FS227" t="e">
        <f>Stock!941:941-"'E4!.E^"</f>
        <v>#VALUE!</v>
      </c>
      <c r="FT227" t="e">
        <f>Stock!942:942-"'E4!.E_"</f>
        <v>#VALUE!</v>
      </c>
      <c r="FU227" t="e">
        <f>Stock!943:943-"'E4!.E`"</f>
        <v>#VALUE!</v>
      </c>
      <c r="FV227" t="e">
        <f>Stock!944:944-"'E4!.Ea"</f>
        <v>#VALUE!</v>
      </c>
      <c r="FW227" t="e">
        <f>Stock!945:945-"'E4!.Eb"</f>
        <v>#VALUE!</v>
      </c>
      <c r="FX227" t="e">
        <f>Stock!946:946-"'E4!.Ec"</f>
        <v>#VALUE!</v>
      </c>
      <c r="FY227" t="e">
        <f>Stock!947:947-"'E4!.Ed"</f>
        <v>#VALUE!</v>
      </c>
      <c r="FZ227" t="e">
        <f>Stock!948:948-"'E4!.Ee"</f>
        <v>#VALUE!</v>
      </c>
      <c r="GA227" t="e">
        <f>Stock!949:949-"'E4!.Ef"</f>
        <v>#VALUE!</v>
      </c>
      <c r="GB227" t="e">
        <f>Stock!950:950-"'E4!.Eg"</f>
        <v>#VALUE!</v>
      </c>
      <c r="GC227" t="e">
        <f>Stock!951:951-"'E4!.Eh"</f>
        <v>#VALUE!</v>
      </c>
      <c r="GD227" t="e">
        <f>Stock!952:952-"'E4!.Ei"</f>
        <v>#VALUE!</v>
      </c>
      <c r="GE227" t="e">
        <f>Stock!953:953-"'E4!.Ej"</f>
        <v>#VALUE!</v>
      </c>
      <c r="GF227" t="e">
        <f>Stock!954:954-"'E4!.Ek"</f>
        <v>#VALUE!</v>
      </c>
      <c r="GG227" t="e">
        <f>Stock!955:955-"'E4!.El"</f>
        <v>#VALUE!</v>
      </c>
      <c r="GH227" t="e">
        <f>Stock!956:956-"'E4!.Em"</f>
        <v>#VALUE!</v>
      </c>
      <c r="GI227" t="e">
        <f>Stock!957:957-"'E4!.En"</f>
        <v>#VALUE!</v>
      </c>
      <c r="GJ227" t="e">
        <f>Stock!958:958-"'E4!.Eo"</f>
        <v>#VALUE!</v>
      </c>
      <c r="GK227" t="e">
        <f>Stock!959:959-"'E4!.Ep"</f>
        <v>#VALUE!</v>
      </c>
      <c r="GL227" t="e">
        <f>Stock!960:960-"'E4!.Eq"</f>
        <v>#VALUE!</v>
      </c>
      <c r="GM227" t="e">
        <f>Stock!961:961-"'E4!.Er"</f>
        <v>#VALUE!</v>
      </c>
      <c r="GN227" t="e">
        <f>Stock!962:962-"'E4!.Es"</f>
        <v>#VALUE!</v>
      </c>
      <c r="GO227" t="e">
        <f>Stock!963:963-"'E4!.Et"</f>
        <v>#VALUE!</v>
      </c>
      <c r="GP227" t="e">
        <f>Stock!964:964-"'E4!.Eu"</f>
        <v>#VALUE!</v>
      </c>
      <c r="GQ227" t="e">
        <f>Stock!965:965-"'E4!.Ev"</f>
        <v>#VALUE!</v>
      </c>
      <c r="GR227" t="e">
        <f>Stock!966:966-"'E4!.Ew"</f>
        <v>#VALUE!</v>
      </c>
      <c r="GS227" t="e">
        <f>Stock!967:967-"'E4!.Ex"</f>
        <v>#VALUE!</v>
      </c>
      <c r="GT227" t="e">
        <f>Stock!968:968-"'E4!.Ey"</f>
        <v>#VALUE!</v>
      </c>
      <c r="GU227" t="e">
        <f>Stock!969:969-"'E4!.Ez"</f>
        <v>#VALUE!</v>
      </c>
      <c r="GV227" t="e">
        <f>Stock!970:970-"'E4!.E{"</f>
        <v>#VALUE!</v>
      </c>
      <c r="GW227" t="e">
        <f>Stock!971:971-"'E4!.E|"</f>
        <v>#VALUE!</v>
      </c>
      <c r="GX227" t="e">
        <f>Stock!972:972-"'E4!.E}"</f>
        <v>#VALUE!</v>
      </c>
      <c r="GY227" t="e">
        <f>Stock!973:973-"'E4!.E~"</f>
        <v>#VALUE!</v>
      </c>
      <c r="GZ227" t="e">
        <f>Stock!974:974-"'E4!.F#"</f>
        <v>#VALUE!</v>
      </c>
      <c r="HA227" t="e">
        <f>Stock!975:975-"'E4!.F$"</f>
        <v>#VALUE!</v>
      </c>
      <c r="HB227" t="e">
        <f>Stock!976:976-"'E4!.F%"</f>
        <v>#VALUE!</v>
      </c>
      <c r="HC227" t="e">
        <f>Stock!977:977-"'E4!.F&amp;"</f>
        <v>#VALUE!</v>
      </c>
      <c r="HD227" t="e">
        <f>Stock!978:978-"'E4!.F'"</f>
        <v>#VALUE!</v>
      </c>
      <c r="HE227" t="e">
        <f>Stock!979:979-"'E4!.F("</f>
        <v>#VALUE!</v>
      </c>
      <c r="HF227" t="e">
        <f>Stock!980:980-"'E4!.F)"</f>
        <v>#VALUE!</v>
      </c>
      <c r="HG227" t="e">
        <f>Stock!981:981-"'E4!.F."</f>
        <v>#VALUE!</v>
      </c>
      <c r="HH227" t="e">
        <f>Stock!982:982-"'E4!.F/"</f>
        <v>#VALUE!</v>
      </c>
      <c r="HI227" t="e">
        <f>Stock!983:983-"'E4!.F0"</f>
        <v>#VALUE!</v>
      </c>
      <c r="HJ227" t="e">
        <f>Stock!984:984-"'E4!.F1"</f>
        <v>#VALUE!</v>
      </c>
      <c r="HK227" t="e">
        <f>Stock!985:985-"'E4!.F2"</f>
        <v>#VALUE!</v>
      </c>
      <c r="HL227" t="e">
        <f>Stock!986:986-"'E4!.F3"</f>
        <v>#VALUE!</v>
      </c>
      <c r="HM227" t="e">
        <f>Stock!987:987-"'E4!.F4"</f>
        <v>#VALUE!</v>
      </c>
      <c r="HN227" t="e">
        <f>Stock!988:988-"'E4!.F5"</f>
        <v>#VALUE!</v>
      </c>
      <c r="HO227" t="e">
        <f>Stock!989:989-"'E4!.F6"</f>
        <v>#VALUE!</v>
      </c>
      <c r="HP227" t="e">
        <f>Stock!990:990-"'E4!.F7"</f>
        <v>#VALUE!</v>
      </c>
      <c r="HQ227" t="e">
        <f>Stock!991:991-"'E4!.F8"</f>
        <v>#VALUE!</v>
      </c>
      <c r="HR227" t="e">
        <f>Stock!992:992-"'E4!.F9"</f>
        <v>#VALUE!</v>
      </c>
      <c r="HS227" t="e">
        <f>Stock!993:993-"'E4!.F:"</f>
        <v>#VALUE!</v>
      </c>
      <c r="HT227" t="e">
        <f>Stock!994:994-"'E4!.F;"</f>
        <v>#VALUE!</v>
      </c>
      <c r="HU227" t="e">
        <f>Stock!995:995-"'E4!.F&lt;"</f>
        <v>#VALUE!</v>
      </c>
      <c r="HV227" t="e">
        <f>Stock!996:996-"'E4!.F="</f>
        <v>#VALUE!</v>
      </c>
      <c r="HW227" t="e">
        <f>Stock!997:997-"'E4!.F&gt;"</f>
        <v>#VALUE!</v>
      </c>
      <c r="HX227" t="e">
        <f>Stock!998:998-"'E4!.F?"</f>
        <v>#VALUE!</v>
      </c>
      <c r="HY227" t="e">
        <f>Stock!999:999-"'E4!.F@"</f>
        <v>#VALUE!</v>
      </c>
      <c r="HZ227" t="e">
        <f>Stock!1000:1000-"'E4!.FA"</f>
        <v>#VALUE!</v>
      </c>
      <c r="IA227" t="e">
        <f>Stock!1001:1001-"'E4!.FB"</f>
        <v>#VALUE!</v>
      </c>
      <c r="IB227" t="e">
        <f>Stock!1002:1002-"'E4!.FC"</f>
        <v>#VALUE!</v>
      </c>
      <c r="IC227" t="e">
        <f>Stock!1003:1003-"'E4!.FD"</f>
        <v>#VALUE!</v>
      </c>
      <c r="ID227" t="e">
        <f>Stock!1004:1004-"'E4!.FE"</f>
        <v>#VALUE!</v>
      </c>
      <c r="IE227" t="e">
        <f>Stock!1005:1005-"'E4!.FF"</f>
        <v>#VALUE!</v>
      </c>
      <c r="IF227" t="e">
        <f>Stock!1006:1006-"'E4!.FG"</f>
        <v>#VALUE!</v>
      </c>
      <c r="IG227" t="e">
        <f>Stock!1007:1007-"'E4!.FH"</f>
        <v>#VALUE!</v>
      </c>
      <c r="IH227" t="e">
        <f>Stock!1008:1008-"'E4!.FI"</f>
        <v>#VALUE!</v>
      </c>
      <c r="II227" t="e">
        <f>Stock!1009:1009-"'E4!.FJ"</f>
        <v>#VALUE!</v>
      </c>
      <c r="IJ227" t="e">
        <f>Stock!1010:1010-"'E4!.FK"</f>
        <v>#VALUE!</v>
      </c>
      <c r="IK227" t="e">
        <f>Stock!1011:1011-"'E4!.FL"</f>
        <v>#VALUE!</v>
      </c>
      <c r="IL227" t="e">
        <f>Stock!1012:1012-"'E4!.FM"</f>
        <v>#VALUE!</v>
      </c>
      <c r="IM227" t="e">
        <f>Stock!1013:1013-"'E4!.FN"</f>
        <v>#VALUE!</v>
      </c>
      <c r="IN227" t="e">
        <f>Stock!1014:1014-"'E4!.FO"</f>
        <v>#VALUE!</v>
      </c>
      <c r="IO227" t="e">
        <f>Stock!1015:1015-"'E4!.FP"</f>
        <v>#VALUE!</v>
      </c>
      <c r="IP227" t="e">
        <f>Stock!1016:1016-"'E4!.FQ"</f>
        <v>#VALUE!</v>
      </c>
      <c r="IQ227" t="e">
        <f>Stock!1017:1017-"'E4!.FR"</f>
        <v>#VALUE!</v>
      </c>
      <c r="IR227" t="e">
        <f>Stock!1018:1018-"'E4!.FS"</f>
        <v>#VALUE!</v>
      </c>
      <c r="IS227" t="e">
        <f>Stock!1019:1019-"'E4!.FT"</f>
        <v>#VALUE!</v>
      </c>
      <c r="IT227" t="e">
        <f>Stock!1020:1020-"'E4!.FU"</f>
        <v>#VALUE!</v>
      </c>
      <c r="IU227" t="e">
        <f>Stock!1021:1021-"'E4!.FV"</f>
        <v>#VALUE!</v>
      </c>
      <c r="IV227" t="e">
        <f>Stock!1022:1022-"'E4!.FW"</f>
        <v>#VALUE!</v>
      </c>
    </row>
    <row r="228" spans="6:256">
      <c r="F228" t="e">
        <f>Stock!1023:1023-"'E4!.FX"</f>
        <v>#VALUE!</v>
      </c>
      <c r="G228" t="e">
        <f>Stock!1024:1024-"'E4!.FY"</f>
        <v>#VALUE!</v>
      </c>
      <c r="H228" t="e">
        <f>Stock!1025:1025-"'E4!.FZ"</f>
        <v>#VALUE!</v>
      </c>
      <c r="I228" t="e">
        <f>Stock!1026:1026-"'E4!.F["</f>
        <v>#VALUE!</v>
      </c>
      <c r="J228" t="e">
        <f>Stock!1027:1027-"'E4!.F\"</f>
        <v>#VALUE!</v>
      </c>
      <c r="K228" t="e">
        <f>Stock!1028:1028-"'E4!.F]"</f>
        <v>#VALUE!</v>
      </c>
      <c r="L228" t="e">
        <f>Stock!1029:1029-"'E4!.F^"</f>
        <v>#VALUE!</v>
      </c>
      <c r="M228" t="e">
        <f>Stock!1030:1030-"'E4!.F_"</f>
        <v>#VALUE!</v>
      </c>
      <c r="N228" t="e">
        <f>Stock!1031:1031-"'E4!.F`"</f>
        <v>#VALUE!</v>
      </c>
      <c r="O228" t="e">
        <f>Stock!1032:1032-"'E4!.Fa"</f>
        <v>#VALUE!</v>
      </c>
      <c r="P228" t="e">
        <f>Stock!1033:1033-"'E4!.Fb"</f>
        <v>#VALUE!</v>
      </c>
      <c r="Q228" t="e">
        <f>Stock!1034:1034-"'E4!.Fc"</f>
        <v>#VALUE!</v>
      </c>
      <c r="R228" t="e">
        <f>Stock!1035:1035-"'E4!.Fd"</f>
        <v>#VALUE!</v>
      </c>
      <c r="S228" t="e">
        <f>Stock!1036:1036-"'E4!.Fe"</f>
        <v>#VALUE!</v>
      </c>
      <c r="T228" t="e">
        <f>Stock!1037:1037-"'E4!.Ff"</f>
        <v>#VALUE!</v>
      </c>
      <c r="U228" t="e">
        <f>Stock!1038:1038-"'E4!.Fg"</f>
        <v>#VALUE!</v>
      </c>
      <c r="V228" t="e">
        <f>Stock!1039:1039-"'E4!.Fh"</f>
        <v>#VALUE!</v>
      </c>
      <c r="W228" t="e">
        <f>Stock!1040:1040-"'E4!.Fi"</f>
        <v>#VALUE!</v>
      </c>
      <c r="X228" t="e">
        <f>Stock!1041:1041-"'E4!.Fj"</f>
        <v>#VALUE!</v>
      </c>
      <c r="Y228" t="e">
        <f>Stock!1042:1042-"'E4!.Fk"</f>
        <v>#VALUE!</v>
      </c>
      <c r="Z228" t="e">
        <f>Stock!1043:1043-"'E4!.Fl"</f>
        <v>#VALUE!</v>
      </c>
      <c r="AA228" t="e">
        <f>Stock!1044:1044-"'E4!.Fm"</f>
        <v>#VALUE!</v>
      </c>
      <c r="AB228" t="e">
        <f>Stock!1045:1045-"'E4!.Fn"</f>
        <v>#VALUE!</v>
      </c>
      <c r="AC228" t="e">
        <f>Stock!1046:1046-"'E4!.Fo"</f>
        <v>#VALUE!</v>
      </c>
      <c r="AD228" t="e">
        <f>Stock!1047:1047-"'E4!.Fp"</f>
        <v>#VALUE!</v>
      </c>
      <c r="AE228" t="e">
        <f>Stock!1048:1048-"'E4!.Fq"</f>
        <v>#VALUE!</v>
      </c>
      <c r="AF228" t="e">
        <f>Stock!1049:1049-"'E4!.Fr"</f>
        <v>#VALUE!</v>
      </c>
      <c r="AG228" t="e">
        <f>Stock!1050:1050-"'E4!.Fs"</f>
        <v>#VALUE!</v>
      </c>
      <c r="AH228" t="e">
        <f>Stock!1051:1051-"'E4!.Ft"</f>
        <v>#VALUE!</v>
      </c>
      <c r="AI228" t="e">
        <f>Stock!1052:1052-"'E4!.Fu"</f>
        <v>#VALUE!</v>
      </c>
      <c r="AJ228" t="e">
        <f>Stock!1053:1053-"'E4!.Fv"</f>
        <v>#VALUE!</v>
      </c>
      <c r="AK228" t="e">
        <f>Stock!1054:1054-"'E4!.Fw"</f>
        <v>#VALUE!</v>
      </c>
      <c r="AL228" t="e">
        <f>Stock!1055:1055-"'E4!.Fx"</f>
        <v>#VALUE!</v>
      </c>
      <c r="AM228" t="e">
        <f>Stock!1056:1056-"'E4!.Fy"</f>
        <v>#VALUE!</v>
      </c>
      <c r="AN228" t="e">
        <f>Stock!1057:1057-"'E4!.Fz"</f>
        <v>#VALUE!</v>
      </c>
      <c r="AO228" t="e">
        <f>Stock!1058:1058-"'E4!.F{"</f>
        <v>#VALUE!</v>
      </c>
      <c r="AP228" t="e">
        <f>Stock!1059:1059-"'E4!.F|"</f>
        <v>#VALUE!</v>
      </c>
      <c r="AQ228" t="e">
        <f>Stock!1060:1060-"'E4!.F}"</f>
        <v>#VALUE!</v>
      </c>
      <c r="AR228" t="e">
        <f>Stock!1061:1061-"'E4!.F~"</f>
        <v>#VALUE!</v>
      </c>
      <c r="AS228" t="e">
        <f>Stock!1062:1062-"'E4!.G#"</f>
        <v>#VALUE!</v>
      </c>
      <c r="AT228" t="e">
        <f>Stock!1063:1063-"'E4!.G$"</f>
        <v>#VALUE!</v>
      </c>
      <c r="AU228" t="e">
        <f>Stock!1064:1064-"'E4!.G%"</f>
        <v>#VALUE!</v>
      </c>
      <c r="AV228" t="e">
        <f>Stock!1065:1065-"'E4!.G&amp;"</f>
        <v>#VALUE!</v>
      </c>
      <c r="AW228" t="e">
        <f>Stock!1066:1066-"'E4!.G'"</f>
        <v>#VALUE!</v>
      </c>
      <c r="AX228" t="e">
        <f>Stock!1067:1067-"'E4!.G("</f>
        <v>#VALUE!</v>
      </c>
      <c r="AY228" t="e">
        <f>Stock!1068:1068-"'E4!.G)"</f>
        <v>#VALUE!</v>
      </c>
      <c r="AZ228" t="e">
        <f>Stock!1069:1069-"'E4!.G."</f>
        <v>#VALUE!</v>
      </c>
      <c r="BA228" t="e">
        <f>Stock!1070:1070-"'E4!.G/"</f>
        <v>#VALUE!</v>
      </c>
      <c r="BB228" t="e">
        <f>Stock!1071:1071-"'E4!.G0"</f>
        <v>#VALUE!</v>
      </c>
      <c r="BC228" t="e">
        <f>Stock!1072:1072-"'E4!.G1"</f>
        <v>#VALUE!</v>
      </c>
      <c r="BD228" t="e">
        <f>Stock!1073:1073-"'E4!.G2"</f>
        <v>#VALUE!</v>
      </c>
      <c r="BE228" t="e">
        <f>Stock!1074:1074-"'E4!.G3"</f>
        <v>#VALUE!</v>
      </c>
      <c r="BF228" t="e">
        <f>Stock!1075:1075-"'E4!.G4"</f>
        <v>#VALUE!</v>
      </c>
      <c r="BG228" t="e">
        <f>Stock!1076:1076-"'E4!.G5"</f>
        <v>#VALUE!</v>
      </c>
      <c r="BH228" t="e">
        <f>Stock!1077:1077-"'E4!.G6"</f>
        <v>#VALUE!</v>
      </c>
      <c r="BI228" t="e">
        <f>Stock!1078:1078-"'E4!.G7"</f>
        <v>#VALUE!</v>
      </c>
      <c r="BJ228" t="e">
        <f>Stock!1079:1079-"'E4!.G8"</f>
        <v>#VALUE!</v>
      </c>
      <c r="BK228" t="e">
        <f>Stock!1080:1080-"'E4!.G9"</f>
        <v>#VALUE!</v>
      </c>
      <c r="BL228" t="e">
        <f>Stock!1081:1081-"'E4!.G:"</f>
        <v>#VALUE!</v>
      </c>
      <c r="BM228" t="e">
        <f>Stock!1082:1082-"'E4!.G;"</f>
        <v>#VALUE!</v>
      </c>
      <c r="BN228" t="e">
        <f>Stock!1083:1083-"'E4!.G&lt;"</f>
        <v>#VALUE!</v>
      </c>
      <c r="BO228" t="e">
        <f>Stock!1084:1084-"'E4!.G="</f>
        <v>#VALUE!</v>
      </c>
      <c r="BP228" t="e">
        <f>Stock!1085:1085-"'E4!.G&gt;"</f>
        <v>#VALUE!</v>
      </c>
      <c r="BQ228" t="e">
        <f>Stock!1086:1086-"'E4!.G?"</f>
        <v>#VALUE!</v>
      </c>
      <c r="BR228" t="e">
        <f>Stock!1087:1087-"'E4!.G@"</f>
        <v>#VALUE!</v>
      </c>
      <c r="BS228" t="e">
        <f>Stock!1088:1088-"'E4!.GA"</f>
        <v>#VALUE!</v>
      </c>
      <c r="BT228" t="e">
        <f>Stock!1089:1089-"'E4!.GB"</f>
        <v>#VALUE!</v>
      </c>
      <c r="BU228" t="e">
        <f>Stock!1090:1090-"'E4!.GC"</f>
        <v>#VALUE!</v>
      </c>
      <c r="BV228" t="e">
        <f>Stock!1091:1091-"'E4!.GD"</f>
        <v>#VALUE!</v>
      </c>
      <c r="BW228" t="e">
        <f>Stock!1092:1092-"'E4!.GE"</f>
        <v>#VALUE!</v>
      </c>
      <c r="BX228" t="e">
        <f>Stock!1093:1093-"'E4!.GF"</f>
        <v>#VALUE!</v>
      </c>
      <c r="BY228" t="e">
        <f>Stock!1094:1094-"'E4!.GG"</f>
        <v>#VALUE!</v>
      </c>
      <c r="BZ228" t="e">
        <f>Stock!1095:1095-"'E4!.GH"</f>
        <v>#VALUE!</v>
      </c>
      <c r="CA228" t="e">
        <f>Stock!1096:1096-"'E4!.GI"</f>
        <v>#VALUE!</v>
      </c>
      <c r="CB228" t="e">
        <f>Stock!1097:1097-"'E4!.GJ"</f>
        <v>#VALUE!</v>
      </c>
      <c r="CC228" t="e">
        <f>Stock!1098:1098-"'E4!.GK"</f>
        <v>#VALUE!</v>
      </c>
      <c r="CD228" t="e">
        <f>Stock!1099:1099-"'E4!.GL"</f>
        <v>#VALUE!</v>
      </c>
      <c r="CE228" t="e">
        <f>Stock!1100:1100-"'E4!.GM"</f>
        <v>#VALUE!</v>
      </c>
      <c r="CF228" t="e">
        <f>Stock!1101:1101-"'E4!.GN"</f>
        <v>#VALUE!</v>
      </c>
      <c r="CG228" t="e">
        <f>Stock!1102:1102-"'E4!.GO"</f>
        <v>#VALUE!</v>
      </c>
      <c r="CH228" t="e">
        <f>Stock!1103:1103-"'E4!.GP"</f>
        <v>#VALUE!</v>
      </c>
      <c r="CI228" t="e">
        <f>Stock!1104:1104-"'E4!.GQ"</f>
        <v>#VALUE!</v>
      </c>
      <c r="CJ228" t="e">
        <f>Stock!1105:1105-"'E4!.GR"</f>
        <v>#VALUE!</v>
      </c>
      <c r="CK228" t="e">
        <f>Stock!1106:1106-"'E4!.GS"</f>
        <v>#VALUE!</v>
      </c>
      <c r="CL228" t="e">
        <f>Stock!1107:1107-"'E4!.GT"</f>
        <v>#VALUE!</v>
      </c>
      <c r="CM228" t="e">
        <f>Stock!1108:1108-"'E4!.GU"</f>
        <v>#VALUE!</v>
      </c>
      <c r="CN228" t="e">
        <f>Stock!1109:1109-"'E4!.GV"</f>
        <v>#VALUE!</v>
      </c>
      <c r="CO228" t="e">
        <f>Stock!1110:1110-"'E4!.GW"</f>
        <v>#VALUE!</v>
      </c>
      <c r="CP228" t="e">
        <f>Stock!1111:1111-"'E4!.GX"</f>
        <v>#VALUE!</v>
      </c>
      <c r="CQ228" t="e">
        <f>Stock!1112:1112-"'E4!.GY"</f>
        <v>#VALUE!</v>
      </c>
      <c r="CR228" t="e">
        <f>Stock!1113:1113-"'E4!.GZ"</f>
        <v>#VALUE!</v>
      </c>
      <c r="CS228" t="e">
        <f>Stock!1114:1114-"'E4!.G["</f>
        <v>#VALUE!</v>
      </c>
      <c r="CT228" t="e">
        <f>Stock!1115:1115-"'E4!.G\"</f>
        <v>#VALUE!</v>
      </c>
      <c r="CU228" t="e">
        <f>Stock!1116:1116-"'E4!.G]"</f>
        <v>#VALUE!</v>
      </c>
      <c r="CV228" t="e">
        <f>Stock!1117:1117-"'E4!.G^"</f>
        <v>#VALUE!</v>
      </c>
      <c r="CW228" t="e">
        <f>Stock!1118:1118-"'E4!.G_"</f>
        <v>#VALUE!</v>
      </c>
      <c r="CX228" t="e">
        <f>Stock!1119:1119-"'E4!.G`"</f>
        <v>#VALUE!</v>
      </c>
      <c r="CY228" t="e">
        <f>Stock!1120:1120-"'E4!.Ga"</f>
        <v>#VALUE!</v>
      </c>
      <c r="CZ228" t="e">
        <f>Stock!1121:1121-"'E4!.Gb"</f>
        <v>#VALUE!</v>
      </c>
      <c r="DA228" t="e">
        <f>Stock!1122:1122-"'E4!.Gc"</f>
        <v>#VALUE!</v>
      </c>
      <c r="DB228" t="e">
        <f>Stock!1123:1123-"'E4!.Gd"</f>
        <v>#VALUE!</v>
      </c>
      <c r="DC228" t="e">
        <f>Stock!1124:1124-"'E4!.Ge"</f>
        <v>#VALUE!</v>
      </c>
      <c r="DD228" t="e">
        <f>Stock!1125:1125-"'E4!.Gf"</f>
        <v>#VALUE!</v>
      </c>
      <c r="DE228" t="e">
        <f>Stock!1126:1126-"'E4!.Gg"</f>
        <v>#VALUE!</v>
      </c>
      <c r="DF228" t="e">
        <f>Stock!1127:1127-"'E4!.Gh"</f>
        <v>#VALUE!</v>
      </c>
      <c r="DG228" t="e">
        <f>Stock!1128:1128-"'E4!.Gi"</f>
        <v>#VALUE!</v>
      </c>
      <c r="DH228" t="e">
        <f>Stock!1129:1129-"'E4!.Gj"</f>
        <v>#VALUE!</v>
      </c>
      <c r="DI228" t="e">
        <f>Stock!1130:1130-"'E4!.Gk"</f>
        <v>#VALUE!</v>
      </c>
      <c r="DJ228" t="e">
        <f>Stock!1131:1131-"'E4!.Gl"</f>
        <v>#VALUE!</v>
      </c>
      <c r="DK228" t="e">
        <f>Stock!1132:1132-"'E4!.Gm"</f>
        <v>#VALUE!</v>
      </c>
      <c r="DL228" t="e">
        <f>Stock!1133:1133-"'E4!.Gn"</f>
        <v>#VALUE!</v>
      </c>
      <c r="DM228" t="e">
        <f>Stock!1134:1134-"'E4!.Go"</f>
        <v>#VALUE!</v>
      </c>
      <c r="DN228" t="e">
        <f>Stock!1135:1135-"'E4!.Gp"</f>
        <v>#VALUE!</v>
      </c>
      <c r="DO228" t="e">
        <f>Stock!1136:1136-"'E4!.Gq"</f>
        <v>#VALUE!</v>
      </c>
      <c r="DP228" t="e">
        <f>Stock!1137:1137-"'E4!.Gr"</f>
        <v>#VALUE!</v>
      </c>
      <c r="DQ228" t="e">
        <f>Stock!1138:1138-"'E4!.Gs"</f>
        <v>#VALUE!</v>
      </c>
      <c r="DR228" t="e">
        <f>Stock!1139:1139-"'E4!.Gt"</f>
        <v>#VALUE!</v>
      </c>
      <c r="DS228" t="e">
        <f>Stock!1140:1140-"'E4!.Gu"</f>
        <v>#VALUE!</v>
      </c>
      <c r="DT228" t="e">
        <f>Stock!1141:1141-"'E4!.Gv"</f>
        <v>#VALUE!</v>
      </c>
      <c r="DU228" t="e">
        <f>Stock!1142:1142-"'E4!.Gw"</f>
        <v>#VALUE!</v>
      </c>
      <c r="DV228" t="e">
        <f>Stock!1143:1143-"'E4!.Gx"</f>
        <v>#VALUE!</v>
      </c>
      <c r="DW228" t="e">
        <f>Stock!1144:1144-"'E4!.Gy"</f>
        <v>#VALUE!</v>
      </c>
      <c r="DX228" t="e">
        <f>Stock!1145:1145-"'E4!.Gz"</f>
        <v>#VALUE!</v>
      </c>
      <c r="DY228" t="e">
        <f>Stock!1146:1146-"'E4!.G{"</f>
        <v>#VALUE!</v>
      </c>
      <c r="DZ228" t="e">
        <f>Stock!1147:1147-"'E4!.G|"</f>
        <v>#VALUE!</v>
      </c>
      <c r="EA228" t="e">
        <f>Stock!1148:1148-"'E4!.G}"</f>
        <v>#VALUE!</v>
      </c>
      <c r="EB228" t="e">
        <f>Stock!1149:1149-"'E4!.G~"</f>
        <v>#VALUE!</v>
      </c>
      <c r="EC228" t="e">
        <f>Stock!1150:1150-"'E4!.H#"</f>
        <v>#VALUE!</v>
      </c>
      <c r="ED228" t="e">
        <f>Stock!1151:1151-"'E4!.H$"</f>
        <v>#VALUE!</v>
      </c>
      <c r="EE228" t="e">
        <f>Stock!1152:1152-"'E4!.H%"</f>
        <v>#VALUE!</v>
      </c>
      <c r="EF228" t="e">
        <f>Stock!1153:1153-"'E4!.H&amp;"</f>
        <v>#VALUE!</v>
      </c>
      <c r="EG228" t="e">
        <f>Stock!1154:1154-"'E4!.H'"</f>
        <v>#VALUE!</v>
      </c>
      <c r="EH228" t="e">
        <f>Stock!1155:1155-"'E4!.H("</f>
        <v>#VALUE!</v>
      </c>
      <c r="EI228" t="e">
        <f>Stock!1156:1156-"'E4!.H)"</f>
        <v>#VALUE!</v>
      </c>
      <c r="EJ228" t="e">
        <f>Stock!1157:1157-"'E4!.H."</f>
        <v>#VALUE!</v>
      </c>
      <c r="EK228" t="e">
        <f>Stock!1158:1158-"'E4!.H/"</f>
        <v>#VALUE!</v>
      </c>
      <c r="EL228" t="e">
        <f>Stock!1159:1159-"'E4!.H0"</f>
        <v>#VALUE!</v>
      </c>
      <c r="EM228" t="e">
        <f>Stock!1160:1160-"'E4!.H1"</f>
        <v>#VALUE!</v>
      </c>
      <c r="EN228" t="e">
        <f>Stock!1161:1161-"'E4!.H2"</f>
        <v>#VALUE!</v>
      </c>
      <c r="EO228" t="e">
        <f>Stock!1162:1162-"'E4!.H3"</f>
        <v>#VALUE!</v>
      </c>
      <c r="EP228" t="e">
        <f>Stock!1163:1163-"'E4!.H4"</f>
        <v>#VALUE!</v>
      </c>
      <c r="EQ228" t="e">
        <f>Stock!1164:1164-"'E4!.H5"</f>
        <v>#VALUE!</v>
      </c>
      <c r="ER228" t="e">
        <f>Stock!1165:1165-"'E4!.H6"</f>
        <v>#VALUE!</v>
      </c>
      <c r="ES228" t="e">
        <f>Stock!1166:1166-"'E4!.H7"</f>
        <v>#VALUE!</v>
      </c>
      <c r="ET228" t="e">
        <f>Stock!1167:1167-"'E4!.H8"</f>
        <v>#VALUE!</v>
      </c>
      <c r="EU228" t="e">
        <f>Stock!1168:1168-"'E4!.H9"</f>
        <v>#VALUE!</v>
      </c>
      <c r="EV228" t="e">
        <f>Stock!1169:1169-"'E4!.H:"</f>
        <v>#VALUE!</v>
      </c>
      <c r="EW228" t="e">
        <f>Stock!1170:1170-"'E4!.H;"</f>
        <v>#VALUE!</v>
      </c>
      <c r="EX228" t="e">
        <f>Stock!1171:1171-"'E4!.H&lt;"</f>
        <v>#VALUE!</v>
      </c>
      <c r="EY228" t="e">
        <f>Stock!1172:1172-"'E4!.H="</f>
        <v>#VALUE!</v>
      </c>
      <c r="EZ228" t="e">
        <f>Stock!1173:1173-"'E4!.H&gt;"</f>
        <v>#VALUE!</v>
      </c>
      <c r="FA228" t="e">
        <f>Stock!1174:1174-"'E4!.H?"</f>
        <v>#VALUE!</v>
      </c>
      <c r="FB228" t="e">
        <f>Stock!1175:1175-"'E4!.H@"</f>
        <v>#VALUE!</v>
      </c>
      <c r="FC228" t="e">
        <f>Stock!1176:1176-"'E4!.HA"</f>
        <v>#VALUE!</v>
      </c>
      <c r="FD228" t="e">
        <f>Stock!1177:1177-"'E4!.HB"</f>
        <v>#VALUE!</v>
      </c>
      <c r="FE228" t="e">
        <f>Stock!1178:1178-"'E4!.HC"</f>
        <v>#VALUE!</v>
      </c>
      <c r="FF228" t="e">
        <f>Stock!1179:1179-"'E4!.HD"</f>
        <v>#VALUE!</v>
      </c>
      <c r="FG228" t="e">
        <f>Stock!1180:1180-"'E4!.HE"</f>
        <v>#VALUE!</v>
      </c>
      <c r="FH228" t="e">
        <f>Stock!1181:1181-"'E4!.HF"</f>
        <v>#VALUE!</v>
      </c>
      <c r="FI228" t="e">
        <f>Stock!1182:1182-"'E4!.HG"</f>
        <v>#VALUE!</v>
      </c>
      <c r="FJ228" t="e">
        <f>Stock!1183:1183-"'E4!.HH"</f>
        <v>#VALUE!</v>
      </c>
      <c r="FK228" t="e">
        <f>Stock!1184:1184-"'E4!.HI"</f>
        <v>#VALUE!</v>
      </c>
      <c r="FL228" t="e">
        <f>Stock!1185:1185-"'E4!.HJ"</f>
        <v>#VALUE!</v>
      </c>
      <c r="FM228" t="e">
        <f>Stock!1186:1186-"'E4!.HK"</f>
        <v>#VALUE!</v>
      </c>
      <c r="FN228" t="e">
        <f>Stock!1187:1187-"'E4!.HL"</f>
        <v>#VALUE!</v>
      </c>
      <c r="FO228" t="e">
        <f>Stock!1188:1188-"'E4!.HM"</f>
        <v>#VALUE!</v>
      </c>
      <c r="FP228" t="e">
        <f>Stock!1189:1189-"'E4!.HN"</f>
        <v>#VALUE!</v>
      </c>
      <c r="FQ228" t="e">
        <f>Stock!1190:1190-"'E4!.HO"</f>
        <v>#VALUE!</v>
      </c>
      <c r="FR228" t="e">
        <f>Stock!1191:1191-"'E4!.HP"</f>
        <v>#VALUE!</v>
      </c>
      <c r="FS228" t="e">
        <f>Stock!1192:1192-"'E4!.HQ"</f>
        <v>#VALUE!</v>
      </c>
      <c r="FT228" t="e">
        <f>Stock!1193:1193-"'E4!.HR"</f>
        <v>#VALUE!</v>
      </c>
      <c r="FU228" t="e">
        <f>Stock!1194:1194-"'E4!.HS"</f>
        <v>#VALUE!</v>
      </c>
      <c r="FV228" t="e">
        <f>Stock!1195:1195-"'E4!.HT"</f>
        <v>#VALUE!</v>
      </c>
      <c r="FW228" t="e">
        <f>Stock!1196:1196-"'E4!.HU"</f>
        <v>#VALUE!</v>
      </c>
      <c r="FX228" t="e">
        <f>Stock!1197:1197-"'E4!.HV"</f>
        <v>#VALUE!</v>
      </c>
      <c r="FY228" t="e">
        <f>Stock!1198:1198-"'E4!.HW"</f>
        <v>#VALUE!</v>
      </c>
      <c r="FZ228" t="e">
        <f>Stock!1199:1199-"'E4!.HX"</f>
        <v>#VALUE!</v>
      </c>
      <c r="GA228" t="e">
        <f>Stock!1200:1200-"'E4!.HY"</f>
        <v>#VALUE!</v>
      </c>
      <c r="GB228" t="e">
        <f>Stock!1201:1201-"'E4!.HZ"</f>
        <v>#VALUE!</v>
      </c>
      <c r="GC228" t="e">
        <f>Stock!1202:1202-"'E4!.H["</f>
        <v>#VALUE!</v>
      </c>
      <c r="GD228" t="e">
        <f>Stock!1203:1203-"'E4!.H\"</f>
        <v>#VALUE!</v>
      </c>
      <c r="GE228" t="e">
        <f>Stock!1204:1204-"'E4!.H]"</f>
        <v>#VALUE!</v>
      </c>
      <c r="GF228" t="e">
        <f>Stock!1205:1205-"'E4!.H^"</f>
        <v>#VALUE!</v>
      </c>
      <c r="GG228" t="e">
        <f>Stock!1206:1206-"'E4!.H_"</f>
        <v>#VALUE!</v>
      </c>
      <c r="GH228" t="e">
        <f>Stock!1207:1207-"'E4!.H`"</f>
        <v>#VALUE!</v>
      </c>
      <c r="GI228" t="e">
        <f>Stock!1208:1208-"'E4!.Ha"</f>
        <v>#VALUE!</v>
      </c>
      <c r="GJ228" t="e">
        <f>Stock!1209:1209-"'E4!.Hb"</f>
        <v>#VALUE!</v>
      </c>
      <c r="GK228" t="e">
        <f>Stock!1210:1210-"'E4!.Hc"</f>
        <v>#VALUE!</v>
      </c>
      <c r="GL228" t="e">
        <f>Stock!1211:1211-"'E4!.Hd"</f>
        <v>#VALUE!</v>
      </c>
      <c r="GM228" t="e">
        <f>Stock!1212:1212-"'E4!.He"</f>
        <v>#VALUE!</v>
      </c>
      <c r="GN228" t="e">
        <f>Stock!1213:1213-"'E4!.Hf"</f>
        <v>#VALUE!</v>
      </c>
      <c r="GO228" t="e">
        <f>Stock!1214:1214-"'E4!.Hg"</f>
        <v>#VALUE!</v>
      </c>
      <c r="GP228" t="e">
        <f>Stock!1215:1215-"'E4!.Hh"</f>
        <v>#VALUE!</v>
      </c>
      <c r="GQ228" t="e">
        <f>Stock!1216:1216-"'E4!.Hi"</f>
        <v>#VALUE!</v>
      </c>
      <c r="GR228" t="e">
        <f>Stock!1217:1217-"'E4!.Hj"</f>
        <v>#VALUE!</v>
      </c>
      <c r="GS228" t="e">
        <f>Stock!1218:1218-"'E4!.Hk"</f>
        <v>#VALUE!</v>
      </c>
      <c r="GT228" t="e">
        <f>Stock!1219:1219-"'E4!.Hl"</f>
        <v>#VALUE!</v>
      </c>
      <c r="GU228" t="e">
        <f>Stock!1220:1220-"'E4!.Hm"</f>
        <v>#VALUE!</v>
      </c>
      <c r="GV228" t="e">
        <f>Stock!1221:1221-"'E4!.Hn"</f>
        <v>#VALUE!</v>
      </c>
      <c r="GW228" t="e">
        <f>Stock!1222:1222-"'E4!.Ho"</f>
        <v>#VALUE!</v>
      </c>
      <c r="GX228" t="e">
        <f>Stock!1223:1223-"'E4!.Hp"</f>
        <v>#VALUE!</v>
      </c>
      <c r="GY228" t="e">
        <f>Stock!1224:1224-"'E4!.Hq"</f>
        <v>#VALUE!</v>
      </c>
      <c r="GZ228" t="e">
        <f>Stock!1225:1225-"'E4!.Hr"</f>
        <v>#VALUE!</v>
      </c>
      <c r="HA228" t="e">
        <f>Stock!1226:1226-"'E4!.Hs"</f>
        <v>#VALUE!</v>
      </c>
      <c r="HB228" t="e">
        <f>Stock!1227:1227-"'E4!.Ht"</f>
        <v>#VALUE!</v>
      </c>
      <c r="HC228" t="e">
        <f>Stock!1228:1228-"'E4!.Hu"</f>
        <v>#VALUE!</v>
      </c>
      <c r="HD228" t="e">
        <f>Stock!1229:1229-"'E4!.Hv"</f>
        <v>#VALUE!</v>
      </c>
      <c r="HE228" t="e">
        <f>Stock!1230:1230-"'E4!.Hw"</f>
        <v>#VALUE!</v>
      </c>
      <c r="HF228" t="e">
        <f>Stock!1231:1231-"'E4!.Hx"</f>
        <v>#VALUE!</v>
      </c>
      <c r="HG228" t="e">
        <f>Stock!1232:1232-"'E4!.Hy"</f>
        <v>#VALUE!</v>
      </c>
      <c r="HH228" t="e">
        <f>Stock!1233:1233-"'E4!.Hz"</f>
        <v>#VALUE!</v>
      </c>
      <c r="HI228" t="e">
        <f>Stock!1234:1234-"'E4!.H{"</f>
        <v>#VALUE!</v>
      </c>
      <c r="HJ228" t="e">
        <f>Stock!1235:1235-"'E4!.H|"</f>
        <v>#VALUE!</v>
      </c>
      <c r="HK228" t="e">
        <f>Stock!1236:1236-"'E4!.H}"</f>
        <v>#VALUE!</v>
      </c>
      <c r="HL228" t="e">
        <f>Stock!1237:1237-"'E4!.H~"</f>
        <v>#VALUE!</v>
      </c>
      <c r="HM228" t="e">
        <f>Stock!1238:1238-"'E4!.I#"</f>
        <v>#VALUE!</v>
      </c>
      <c r="HN228" t="e">
        <f>Stock!1239:1239-"'E4!.I$"</f>
        <v>#VALUE!</v>
      </c>
      <c r="HO228" t="e">
        <f>Stock!1240:1240-"'E4!.I%"</f>
        <v>#VALUE!</v>
      </c>
      <c r="HP228" t="e">
        <f>Stock!1241:1241-"'E4!.I&amp;"</f>
        <v>#VALUE!</v>
      </c>
      <c r="HQ228" t="e">
        <f>Stock!1242:1242-"'E4!.I'"</f>
        <v>#VALUE!</v>
      </c>
      <c r="HR228" t="e">
        <f>Stock!1243:1243-"'E4!.I("</f>
        <v>#VALUE!</v>
      </c>
      <c r="HS228" t="e">
        <f>Stock!1244:1244-"'E4!.I)"</f>
        <v>#VALUE!</v>
      </c>
      <c r="HT228" t="e">
        <f>Stock!1245:1245-"'E4!.I."</f>
        <v>#VALUE!</v>
      </c>
      <c r="HU228" t="e">
        <f>Stock!1246:1246-"'E4!.I/"</f>
        <v>#VALUE!</v>
      </c>
      <c r="HV228" t="e">
        <f>Stock!1247:1247-"'E4!.I0"</f>
        <v>#VALUE!</v>
      </c>
      <c r="HW228" t="e">
        <f>Stock!1248:1248-"'E4!.I1"</f>
        <v>#VALUE!</v>
      </c>
      <c r="HX228" t="e">
        <f>Stock!1249:1249-"'E4!.I2"</f>
        <v>#VALUE!</v>
      </c>
      <c r="HY228" t="e">
        <f>Stock!1250:1250-"'E4!.I3"</f>
        <v>#VALUE!</v>
      </c>
      <c r="HZ228" t="e">
        <f>Stock!1251:1251-"'E4!.I4"</f>
        <v>#VALUE!</v>
      </c>
      <c r="IA228" t="e">
        <f>Stock!1252:1252-"'E4!.I5"</f>
        <v>#VALUE!</v>
      </c>
      <c r="IB228" t="e">
        <f>Stock!1253:1253-"'E4!.I6"</f>
        <v>#VALUE!</v>
      </c>
      <c r="IC228" t="e">
        <f>Stock!1254:1254-"'E4!.I7"</f>
        <v>#VALUE!</v>
      </c>
      <c r="ID228" t="e">
        <f>Stock!1255:1255-"'E4!.I8"</f>
        <v>#VALUE!</v>
      </c>
      <c r="IE228" t="e">
        <f>Stock!1256:1256-"'E4!.I9"</f>
        <v>#VALUE!</v>
      </c>
      <c r="IF228" t="e">
        <f>Stock!1257:1257-"'E4!.I:"</f>
        <v>#VALUE!</v>
      </c>
      <c r="IG228" t="e">
        <f>Stock!1258:1258-"'E4!.I;"</f>
        <v>#VALUE!</v>
      </c>
      <c r="IH228" t="e">
        <f>Stock!1259:1259-"'E4!.I&lt;"</f>
        <v>#VALUE!</v>
      </c>
      <c r="II228" t="e">
        <f>Stock!1260:1260-"'E4!.I="</f>
        <v>#VALUE!</v>
      </c>
      <c r="IJ228" t="e">
        <f>Stock!1261:1261-"'E4!.I&gt;"</f>
        <v>#VALUE!</v>
      </c>
      <c r="IK228" t="e">
        <f>Stock!1262:1262-"'E4!.I?"</f>
        <v>#VALUE!</v>
      </c>
      <c r="IL228" t="e">
        <f>Stock!1263:1263-"'E4!.I@"</f>
        <v>#VALUE!</v>
      </c>
      <c r="IM228" t="e">
        <f>Stock!1264:1264-"'E4!.IA"</f>
        <v>#VALUE!</v>
      </c>
      <c r="IN228" t="e">
        <f>Stock!1265:1265-"'E4!.IB"</f>
        <v>#VALUE!</v>
      </c>
      <c r="IO228" t="e">
        <f>Stock!1266:1266-"'E4!.IC"</f>
        <v>#VALUE!</v>
      </c>
      <c r="IP228" t="e">
        <f>Stock!1267:1267-"'E4!.ID"</f>
        <v>#VALUE!</v>
      </c>
      <c r="IQ228" t="e">
        <f>Stock!1268:1268-"'E4!.IE"</f>
        <v>#VALUE!</v>
      </c>
      <c r="IR228" t="e">
        <f>Stock!1269:1269-"'E4!.IF"</f>
        <v>#VALUE!</v>
      </c>
      <c r="IS228" t="e">
        <f>Stock!1270:1270-"'E4!.IG"</f>
        <v>#VALUE!</v>
      </c>
      <c r="IT228" t="e">
        <f>Stock!1271:1271-"'E4!.IH"</f>
        <v>#VALUE!</v>
      </c>
      <c r="IU228" t="e">
        <f>Stock!1272:1272-"'E4!.II"</f>
        <v>#VALUE!</v>
      </c>
      <c r="IV228" t="e">
        <f>Stock!1273:1273-"'E4!.IJ"</f>
        <v>#VALUE!</v>
      </c>
    </row>
    <row r="229" spans="6:256">
      <c r="F229" t="e">
        <f>Stock!1274:1274-"'E4!.IK"</f>
        <v>#VALUE!</v>
      </c>
      <c r="G229" t="e">
        <f>Stock!1275:1275-"'E4!.IL"</f>
        <v>#VALUE!</v>
      </c>
      <c r="H229" t="e">
        <f>Stock!1276:1276-"'E4!.IM"</f>
        <v>#VALUE!</v>
      </c>
      <c r="I229" t="e">
        <f>Stock!1277:1277-"'E4!.IN"</f>
        <v>#VALUE!</v>
      </c>
      <c r="J229" t="e">
        <f>Stock!1278:1278-"'E4!.IO"</f>
        <v>#VALUE!</v>
      </c>
      <c r="K229" t="e">
        <f>Stock!1279:1279-"'E4!.IP"</f>
        <v>#VALUE!</v>
      </c>
      <c r="L229" t="e">
        <f>Stock!1280:1280-"'E4!.IQ"</f>
        <v>#VALUE!</v>
      </c>
      <c r="M229" t="e">
        <f>Stock!1281:1281-"'E4!.IR"</f>
        <v>#VALUE!</v>
      </c>
      <c r="N229" t="e">
        <f>Stock!1282:1282-"'E4!.IS"</f>
        <v>#VALUE!</v>
      </c>
      <c r="O229" t="e">
        <f>Stock!1283:1283-"'E4!.IT"</f>
        <v>#VALUE!</v>
      </c>
      <c r="P229" t="e">
        <f>Stock!1284:1284-"'E4!.IU"</f>
        <v>#VALUE!</v>
      </c>
      <c r="Q229" t="e">
        <f>Stock!1285:1285-"'E4!.IV"</f>
        <v>#VALUE!</v>
      </c>
      <c r="R229" t="e">
        <f>Stock!1286:1286-"'E4!.IW"</f>
        <v>#VALUE!</v>
      </c>
      <c r="S229" t="e">
        <f>Stock!1287:1287-"'E4!.IX"</f>
        <v>#VALUE!</v>
      </c>
      <c r="T229" t="e">
        <f>Stock!1288:1288-"'E4!.IY"</f>
        <v>#VALUE!</v>
      </c>
      <c r="U229" t="e">
        <f>Stock!1289:1289-"'E4!.IZ"</f>
        <v>#VALUE!</v>
      </c>
      <c r="V229" t="e">
        <f>Stock!1290:1290-"'E4!.I["</f>
        <v>#VALUE!</v>
      </c>
      <c r="W229" t="e">
        <f>Stock!1291:1291-"'E4!.I\"</f>
        <v>#VALUE!</v>
      </c>
      <c r="X229" t="e">
        <f>Stock!1292:1292-"'E4!.I]"</f>
        <v>#VALUE!</v>
      </c>
      <c r="Y229" t="e">
        <f>Stock!1293:1293-"'E4!.I^"</f>
        <v>#VALUE!</v>
      </c>
      <c r="Z229" t="e">
        <f>Stock!1294:1294-"'E4!.I_"</f>
        <v>#VALUE!</v>
      </c>
      <c r="AA229" t="e">
        <f>Stock!1295:1295-"'E4!.I`"</f>
        <v>#VALUE!</v>
      </c>
      <c r="AB229" t="e">
        <f>Stock!1296:1296-"'E4!.Ia"</f>
        <v>#VALUE!</v>
      </c>
      <c r="AC229" t="e">
        <f>Stock!1297:1297-"'E4!.Ib"</f>
        <v>#VALUE!</v>
      </c>
      <c r="AD229" t="e">
        <f>Stock!1298:1298-"'E4!.Ic"</f>
        <v>#VALUE!</v>
      </c>
      <c r="AE229" t="e">
        <f>Stock!1299:1299-"'E4!.Id"</f>
        <v>#VALUE!</v>
      </c>
      <c r="AF229" t="e">
        <f>Stock!1300:1300-"'E4!.Ie"</f>
        <v>#VALUE!</v>
      </c>
      <c r="AG229" t="e">
        <f>Stock!1301:1301-"'E4!.If"</f>
        <v>#VALUE!</v>
      </c>
      <c r="AH229" t="e">
        <f>Stock!1302:1302-"'E4!.Ig"</f>
        <v>#VALUE!</v>
      </c>
      <c r="AI229" t="e">
        <f>Stock!1303:1303-"'E4!.Ih"</f>
        <v>#VALUE!</v>
      </c>
      <c r="AJ229" t="e">
        <f>Stock!1304:1304-"'E4!.Ii"</f>
        <v>#VALUE!</v>
      </c>
      <c r="AK229" t="e">
        <f>Stock!1305:1305-"'E4!.Ij"</f>
        <v>#VALUE!</v>
      </c>
      <c r="AL229" t="e">
        <f>Stock!1306:1306-"'E4!.Ik"</f>
        <v>#VALUE!</v>
      </c>
      <c r="AM229" t="e">
        <f>Stock!1307:1307-"'E4!.Il"</f>
        <v>#VALUE!</v>
      </c>
      <c r="AN229" t="e">
        <f>Stock!1308:1308-"'E4!.Im"</f>
        <v>#VALUE!</v>
      </c>
      <c r="AO229" t="e">
        <f>Stock!1309:1309-"'E4!.In"</f>
        <v>#VALUE!</v>
      </c>
      <c r="AP229" t="e">
        <f>Stock!1310:1310-"'E4!.Io"</f>
        <v>#VALUE!</v>
      </c>
      <c r="AQ229" t="e">
        <f>Stock!1311:1311-"'E4!.Ip"</f>
        <v>#VALUE!</v>
      </c>
      <c r="AR229" t="e">
        <f>Stock!1312:1312-"'E4!.Iq"</f>
        <v>#VALUE!</v>
      </c>
      <c r="AS229" t="e">
        <f>Stock!1313:1313-"'E4!.Ir"</f>
        <v>#VALUE!</v>
      </c>
      <c r="AT229" t="e">
        <f>Stock!1314:1314-"'E4!.Is"</f>
        <v>#VALUE!</v>
      </c>
      <c r="AU229" t="e">
        <f>Stock!1315:1315-"'E4!.It"</f>
        <v>#VALUE!</v>
      </c>
      <c r="AV229" t="e">
        <f>Stock!1316:1316-"'E4!.Iu"</f>
        <v>#VALUE!</v>
      </c>
      <c r="AW229" t="e">
        <f>Stock!1317:1317-"'E4!.Iv"</f>
        <v>#VALUE!</v>
      </c>
      <c r="AX229" t="e">
        <f>Stock!1318:1318-"'E4!.Iw"</f>
        <v>#VALUE!</v>
      </c>
      <c r="AY229" t="e">
        <f>Stock!1319:1319-"'E4!.Ix"</f>
        <v>#VALUE!</v>
      </c>
      <c r="AZ229" t="e">
        <f>Stock!1320:1320-"'E4!.Iy"</f>
        <v>#VALUE!</v>
      </c>
      <c r="BA229" t="e">
        <f>Stock!1321:1321-"'E4!.Iz"</f>
        <v>#VALUE!</v>
      </c>
      <c r="BB229" t="e">
        <f>Stock!1322:1322-"'E4!.I{"</f>
        <v>#VALUE!</v>
      </c>
      <c r="BC229" t="e">
        <f>Stock!1323:1323-"'E4!.I|"</f>
        <v>#VALUE!</v>
      </c>
      <c r="BD229" t="e">
        <f>Stock!1324:1324-"'E4!.I}"</f>
        <v>#VALUE!</v>
      </c>
      <c r="BE229" t="e">
        <f>Stock!1325:1325-"'E4!.I~"</f>
        <v>#VALUE!</v>
      </c>
      <c r="BF229" t="e">
        <f>Stock!1326:1326-"'E4!.J#"</f>
        <v>#VALUE!</v>
      </c>
      <c r="BG229" t="e">
        <f>Stock!1327:1327-"'E4!.J$"</f>
        <v>#VALUE!</v>
      </c>
      <c r="BH229" t="e">
        <f>Stock!1328:1328-"'E4!.J%"</f>
        <v>#VALUE!</v>
      </c>
      <c r="BI229" t="e">
        <f>Stock!1329:1329-"'E4!.J&amp;"</f>
        <v>#VALUE!</v>
      </c>
      <c r="BJ229" t="e">
        <f>Stock!1330:1330-"'E4!.J'"</f>
        <v>#VALUE!</v>
      </c>
      <c r="BK229" t="e">
        <f>Stock!1331:1331-"'E4!.J("</f>
        <v>#VALUE!</v>
      </c>
      <c r="BL229" t="e">
        <f>Stock!1332:1332-"'E4!.J)"</f>
        <v>#VALUE!</v>
      </c>
      <c r="BM229" t="e">
        <f>Stock!1333:1333-"'E4!.J."</f>
        <v>#VALUE!</v>
      </c>
      <c r="BN229" t="e">
        <f>Stock!1334:1334-"'E4!.J/"</f>
        <v>#VALUE!</v>
      </c>
      <c r="BO229" t="e">
        <f>Stock!1335:1335-"'E4!.J0"</f>
        <v>#VALUE!</v>
      </c>
      <c r="BP229" t="e">
        <f>Stock!1336:1336-"'E4!.J1"</f>
        <v>#VALUE!</v>
      </c>
      <c r="BQ229" t="e">
        <f>Stock!1337:1337-"'E4!.J2"</f>
        <v>#VALUE!</v>
      </c>
      <c r="BR229" t="e">
        <f>Stock!1338:1338-"'E4!.J3"</f>
        <v>#VALUE!</v>
      </c>
      <c r="BS229" t="e">
        <f>Stock!1339:1339-"'E4!.J4"</f>
        <v>#VALUE!</v>
      </c>
      <c r="BT229" t="e">
        <f>Stock!1340:1340-"'E4!.J5"</f>
        <v>#VALUE!</v>
      </c>
      <c r="BU229" t="e">
        <f>Stock!1341:1341-"'E4!.J6"</f>
        <v>#VALUE!</v>
      </c>
      <c r="BV229" t="e">
        <f>Stock!1342:1342-"'E4!.J7"</f>
        <v>#VALUE!</v>
      </c>
      <c r="BW229" t="e">
        <f>Stock!1343:1343-"'E4!.J8"</f>
        <v>#VALUE!</v>
      </c>
      <c r="BX229" t="e">
        <f>Stock!1344:1344-"'E4!.J9"</f>
        <v>#VALUE!</v>
      </c>
      <c r="BY229" t="e">
        <f>Stock!1345:1345-"'E4!.J:"</f>
        <v>#VALUE!</v>
      </c>
      <c r="BZ229" t="e">
        <f>Stock!1346:1346-"'E4!.J;"</f>
        <v>#VALUE!</v>
      </c>
      <c r="CA229" t="e">
        <f>Stock!1347:1347-"'E4!.J&lt;"</f>
        <v>#VALUE!</v>
      </c>
      <c r="CB229" t="e">
        <f>Stock!1348:1348-"'E4!.J="</f>
        <v>#VALUE!</v>
      </c>
      <c r="CC229" t="e">
        <f>Stock!1349:1349-"'E4!.J&gt;"</f>
        <v>#VALUE!</v>
      </c>
      <c r="CD229" t="e">
        <f>Stock!1350:1350-"'E4!.J?"</f>
        <v>#VALUE!</v>
      </c>
      <c r="CE229" t="e">
        <f>Stock!1351:1351-"'E4!.J@"</f>
        <v>#VALUE!</v>
      </c>
      <c r="CF229" t="e">
        <f>Stock!1352:1352-"'E4!.JA"</f>
        <v>#VALUE!</v>
      </c>
      <c r="CG229" t="e">
        <f>Stock!1353:1353-"'E4!.JB"</f>
        <v>#VALUE!</v>
      </c>
      <c r="CH229" t="e">
        <f>Stock!1354:1354-"'E4!.JC"</f>
        <v>#VALUE!</v>
      </c>
      <c r="CI229" t="e">
        <f>Stock!1355:1355-"'E4!.JD"</f>
        <v>#VALUE!</v>
      </c>
      <c r="CJ229" t="e">
        <f>Stock!1356:1356-"'E4!.JE"</f>
        <v>#VALUE!</v>
      </c>
      <c r="CK229" t="e">
        <f>Stock!1357:1357-"'E4!.JF"</f>
        <v>#VALUE!</v>
      </c>
      <c r="CL229" t="e">
        <f>Stock!1358:1358-"'E4!.JG"</f>
        <v>#VALUE!</v>
      </c>
      <c r="CM229" t="e">
        <f>Stock!1359:1359-"'E4!.JH"</f>
        <v>#VALUE!</v>
      </c>
      <c r="CN229" t="e">
        <f>Stock!1360:1360-"'E4!.JI"</f>
        <v>#VALUE!</v>
      </c>
      <c r="CO229" t="e">
        <f>Stock!1361:1361-"'E4!.JJ"</f>
        <v>#VALUE!</v>
      </c>
      <c r="CP229" t="e">
        <f>Stock!1362:1362-"'E4!.JK"</f>
        <v>#VALUE!</v>
      </c>
      <c r="CQ229" t="e">
        <f>Stock!1363:1363-"'E4!.JL"</f>
        <v>#VALUE!</v>
      </c>
      <c r="CR229" t="e">
        <f>Stock!1364:1364-"'E4!.JM"</f>
        <v>#VALUE!</v>
      </c>
      <c r="CS229" t="e">
        <f>Stock!1365:1365-"'E4!.JN"</f>
        <v>#VALUE!</v>
      </c>
      <c r="CT229" t="e">
        <f>Stock!1366:1366-"'E4!.JO"</f>
        <v>#VALUE!</v>
      </c>
      <c r="CU229" t="e">
        <f>Stock!1367:1367-"'E4!.JP"</f>
        <v>#VALUE!</v>
      </c>
      <c r="CV229" t="e">
        <f>Stock!1368:1368-"'E4!.JQ"</f>
        <v>#VALUE!</v>
      </c>
      <c r="CW229" t="e">
        <f>Stock!1369:1369-"'E4!.JR"</f>
        <v>#VALUE!</v>
      </c>
      <c r="CX229" t="e">
        <f>Stock!1370:1370-"'E4!.JS"</f>
        <v>#VALUE!</v>
      </c>
      <c r="CY229" t="e">
        <f>Stock!1371:1371-"'E4!.JT"</f>
        <v>#VALUE!</v>
      </c>
      <c r="CZ229" t="e">
        <f>Stock!1372:1372-"'E4!.JU"</f>
        <v>#VALUE!</v>
      </c>
      <c r="DA229" t="e">
        <f>Stock!1373:1373-"'E4!.JV"</f>
        <v>#VALUE!</v>
      </c>
      <c r="DB229" t="e">
        <f>Stock!1374:1374-"'E4!.JW"</f>
        <v>#VALUE!</v>
      </c>
      <c r="DC229" t="e">
        <f>Stock!1375:1375-"'E4!.JX"</f>
        <v>#VALUE!</v>
      </c>
      <c r="DD229" t="e">
        <f>Stock!1376:1376-"'E4!.JY"</f>
        <v>#VALUE!</v>
      </c>
      <c r="DE229" t="e">
        <f>Stock!1377:1377-"'E4!.JZ"</f>
        <v>#VALUE!</v>
      </c>
      <c r="DF229" t="e">
        <f>Stock!1378:1378-"'E4!.J["</f>
        <v>#VALUE!</v>
      </c>
      <c r="DG229" t="e">
        <f>Stock!1379:1379-"'E4!.J\"</f>
        <v>#VALUE!</v>
      </c>
      <c r="DH229" t="e">
        <f>Stock!1380:1380-"'E4!.J]"</f>
        <v>#VALUE!</v>
      </c>
      <c r="DI229" t="e">
        <f>Stock!1381:1381-"'E4!.J^"</f>
        <v>#VALUE!</v>
      </c>
      <c r="DJ229" t="e">
        <f>Stock!1382:1382-"'E4!.J_"</f>
        <v>#VALUE!</v>
      </c>
      <c r="DK229" t="e">
        <f>Stock!1383:1383-"'E4!.J`"</f>
        <v>#VALUE!</v>
      </c>
      <c r="DL229" t="e">
        <f>Stock!1384:1384-"'E4!.Ja"</f>
        <v>#VALUE!</v>
      </c>
      <c r="DM229" t="e">
        <f>Stock!1385:1385-"'E4!.Jb"</f>
        <v>#VALUE!</v>
      </c>
      <c r="DN229" t="e">
        <f>Stock!1386:1386-"'E4!.Jc"</f>
        <v>#VALUE!</v>
      </c>
      <c r="DO229" t="e">
        <f>Stock!1387:1387-"'E4!.Jd"</f>
        <v>#VALUE!</v>
      </c>
      <c r="DP229" t="e">
        <f>Stock!1388:1388-"'E4!.Je"</f>
        <v>#VALUE!</v>
      </c>
      <c r="DQ229" t="e">
        <f>Stock!1389:1389-"'E4!.Jf"</f>
        <v>#VALUE!</v>
      </c>
      <c r="DR229" t="e">
        <f>Stock!1390:1390-"'E4!.Jg"</f>
        <v>#VALUE!</v>
      </c>
      <c r="DS229" t="e">
        <f>Stock!1391:1391-"'E4!.Jh"</f>
        <v>#VALUE!</v>
      </c>
      <c r="DT229" t="e">
        <f>Stock!1392:1392-"'E4!.Ji"</f>
        <v>#VALUE!</v>
      </c>
      <c r="DU229" t="e">
        <f>Stock!1393:1393-"'E4!.Jj"</f>
        <v>#VALUE!</v>
      </c>
      <c r="DV229" t="e">
        <f>Stock!1394:1394-"'E4!.Jk"</f>
        <v>#VALUE!</v>
      </c>
      <c r="DW229" t="e">
        <f>Stock!1395:1395-"'E4!.Jl"</f>
        <v>#VALUE!</v>
      </c>
      <c r="DX229" t="e">
        <f>Stock!1396:1396-"'E4!.Jm"</f>
        <v>#VALUE!</v>
      </c>
      <c r="DY229" t="e">
        <f>Stock!1397:1397-"'E4!.Jn"</f>
        <v>#VALUE!</v>
      </c>
      <c r="DZ229" t="e">
        <f>Stock!1398:1398-"'E4!.Jo"</f>
        <v>#VALUE!</v>
      </c>
      <c r="EA229" t="e">
        <f>Stock!1399:1399-"'E4!.Jp"</f>
        <v>#VALUE!</v>
      </c>
      <c r="EB229" t="e">
        <f>Stock!1400:1400-"'E4!.Jq"</f>
        <v>#VALUE!</v>
      </c>
      <c r="EC229" t="e">
        <f>Stock!1401:1401-"'E4!.Jr"</f>
        <v>#VALUE!</v>
      </c>
      <c r="ED229" t="e">
        <f>Stock!1402:1402-"'E4!.Js"</f>
        <v>#VALUE!</v>
      </c>
      <c r="EE229" t="e">
        <f>Stock!1403:1403-"'E4!.Jt"</f>
        <v>#VALUE!</v>
      </c>
      <c r="EF229" t="e">
        <f>Stock!1404:1404-"'E4!.Ju"</f>
        <v>#VALUE!</v>
      </c>
      <c r="EG229" t="e">
        <f>Stock!1405:1405-"'E4!.Jv"</f>
        <v>#VALUE!</v>
      </c>
      <c r="EH229" t="e">
        <f>Stock!1406:1406-"'E4!.Jw"</f>
        <v>#VALUE!</v>
      </c>
      <c r="EI229" t="e">
        <f>Stock!1407:1407-"'E4!.Jx"</f>
        <v>#VALUE!</v>
      </c>
      <c r="EJ229" t="e">
        <f>Stock!1408:1408-"'E4!.Jy"</f>
        <v>#VALUE!</v>
      </c>
      <c r="EK229" t="e">
        <f>Stock!1409:1409-"'E4!.Jz"</f>
        <v>#VALUE!</v>
      </c>
      <c r="EL229" t="e">
        <f>Stock!1410:1410-"'E4!.J{"</f>
        <v>#VALUE!</v>
      </c>
      <c r="EM229" t="e">
        <f>Stock!1411:1411-"'E4!.J|"</f>
        <v>#VALUE!</v>
      </c>
      <c r="EN229" t="e">
        <f>Stock!1412:1412-"'E4!.J}"</f>
        <v>#VALUE!</v>
      </c>
      <c r="EO229" t="e">
        <f>Stock!1413:1413-"'E4!.J~"</f>
        <v>#VALUE!</v>
      </c>
      <c r="EP229" t="e">
        <f>Stock!1414:1414-"'E4!.K#"</f>
        <v>#VALUE!</v>
      </c>
      <c r="EQ229" t="e">
        <f>Stock!1415:1415-"'E4!.K$"</f>
        <v>#VALUE!</v>
      </c>
      <c r="ER229" t="e">
        <f>Stock!1416:1416-"'E4!.K%"</f>
        <v>#VALUE!</v>
      </c>
      <c r="ES229" t="e">
        <f>Stock!1417:1417-"'E4!.K&amp;"</f>
        <v>#VALUE!</v>
      </c>
      <c r="ET229" t="e">
        <f>Stock!1418:1418-"'E4!.K'"</f>
        <v>#VALUE!</v>
      </c>
      <c r="EU229" t="e">
        <f>Stock!1419:1419-"'E4!.K("</f>
        <v>#VALUE!</v>
      </c>
      <c r="EV229" t="e">
        <f>Stock!1420:1420-"'E4!.K)"</f>
        <v>#VALUE!</v>
      </c>
      <c r="EW229" t="e">
        <f>Stock!1421:1421-"'E4!.K."</f>
        <v>#VALUE!</v>
      </c>
      <c r="EX229" t="e">
        <f>Stock!1422:1422-"'E4!.K/"</f>
        <v>#VALUE!</v>
      </c>
      <c r="EY229" t="e">
        <f>Stock!1423:1423-"'E4!.K0"</f>
        <v>#VALUE!</v>
      </c>
      <c r="EZ229" t="e">
        <f>Stock!1424:1424-"'E4!.K1"</f>
        <v>#VALUE!</v>
      </c>
      <c r="FA229" t="e">
        <f>Stock!1425:1425-"'E4!.K2"</f>
        <v>#VALUE!</v>
      </c>
      <c r="FB229" t="e">
        <f>Stock!1426:1426-"'E4!.K3"</f>
        <v>#VALUE!</v>
      </c>
      <c r="FC229" t="e">
        <f>Stock!1427:1427-"'E4!.K4"</f>
        <v>#VALUE!</v>
      </c>
      <c r="FD229" t="e">
        <f>Stock!1428:1428-"'E4!.K5"</f>
        <v>#VALUE!</v>
      </c>
      <c r="FE229" t="e">
        <f>Stock!1429:1429-"'E4!.K6"</f>
        <v>#VALUE!</v>
      </c>
      <c r="FF229" t="e">
        <f>Stock!1430:1430-"'E4!.K7"</f>
        <v>#VALUE!</v>
      </c>
      <c r="FG229" t="e">
        <f>Stock!1431:1431-"'E4!.K8"</f>
        <v>#VALUE!</v>
      </c>
      <c r="FH229" t="e">
        <f>Stock!1432:1432-"'E4!.K9"</f>
        <v>#VALUE!</v>
      </c>
      <c r="FI229" t="e">
        <f>Stock!1433:1433-"'E4!.K:"</f>
        <v>#VALUE!</v>
      </c>
      <c r="FJ229" t="e">
        <f>Stock!1434:1434-"'E4!.K;"</f>
        <v>#VALUE!</v>
      </c>
      <c r="FK229" t="e">
        <f>Stock!1435:1435-"'E4!.K&lt;"</f>
        <v>#VALUE!</v>
      </c>
      <c r="FL229" t="e">
        <f>Stock!1436:1436-"'E4!.K="</f>
        <v>#VALUE!</v>
      </c>
      <c r="FM229" t="e">
        <f>Stock!1437:1437-"'E4!.K&gt;"</f>
        <v>#VALUE!</v>
      </c>
      <c r="FN229" t="e">
        <f>Stock!1438:1438-"'E4!.K?"</f>
        <v>#VALUE!</v>
      </c>
      <c r="FO229" t="e">
        <f>Stock!1439:1439-"'E4!.K@"</f>
        <v>#VALUE!</v>
      </c>
      <c r="FP229" t="e">
        <f>Stock!1440:1440-"'E4!.KA"</f>
        <v>#VALUE!</v>
      </c>
      <c r="FQ229" t="e">
        <f>Stock!1441:1441-"'E4!.KB"</f>
        <v>#VALUE!</v>
      </c>
      <c r="FR229" t="e">
        <f>Stock!1442:1442-"'E4!.KC"</f>
        <v>#VALUE!</v>
      </c>
      <c r="FS229" t="e">
        <f>Stock!1443:1443-"'E4!.KD"</f>
        <v>#VALUE!</v>
      </c>
      <c r="FT229" t="e">
        <f>Stock!1444:1444-"'E4!.KE"</f>
        <v>#VALUE!</v>
      </c>
      <c r="FU229" t="e">
        <f>Stock!1445:1445-"'E4!.KF"</f>
        <v>#VALUE!</v>
      </c>
      <c r="FV229" t="e">
        <f>Stock!1446:1446-"'E4!.KG"</f>
        <v>#VALUE!</v>
      </c>
      <c r="FW229" t="e">
        <f>Stock!1447:1447-"'E4!.KH"</f>
        <v>#VALUE!</v>
      </c>
      <c r="FX229" t="e">
        <f>Stock!1448:1448-"'E4!.KI"</f>
        <v>#VALUE!</v>
      </c>
      <c r="FY229" t="e">
        <f>Stock!1449:1449-"'E4!.KJ"</f>
        <v>#VALUE!</v>
      </c>
      <c r="FZ229" t="e">
        <f>Stock!1450:1450-"'E4!.KK"</f>
        <v>#VALUE!</v>
      </c>
      <c r="GA229" t="e">
        <f>Stock!1451:1451-"'E4!.KL"</f>
        <v>#VALUE!</v>
      </c>
      <c r="GB229" t="e">
        <f>Stock!1452:1452-"'E4!.KM"</f>
        <v>#VALUE!</v>
      </c>
      <c r="GC229" t="e">
        <f>Stock!1453:1453-"'E4!.KN"</f>
        <v>#VALUE!</v>
      </c>
      <c r="GD229" t="e">
        <f>Stock!1454:1454-"'E4!.KO"</f>
        <v>#VALUE!</v>
      </c>
      <c r="GE229" t="e">
        <f>Stock!1455:1455-"'E4!.KP"</f>
        <v>#VALUE!</v>
      </c>
      <c r="GF229" t="e">
        <f>Stock!1456:1456-"'E4!.KQ"</f>
        <v>#VALUE!</v>
      </c>
      <c r="GG229" t="e">
        <f>Stock!1457:1457-"'E4!.KR"</f>
        <v>#VALUE!</v>
      </c>
      <c r="GH229" t="e">
        <f>Stock!1458:1458-"'E4!.KS"</f>
        <v>#VALUE!</v>
      </c>
      <c r="GI229" t="e">
        <f>Stock!1459:1459-"'E4!.KT"</f>
        <v>#VALUE!</v>
      </c>
      <c r="GJ229" t="e">
        <f>Stock!1460:1460-"'E4!.KU"</f>
        <v>#VALUE!</v>
      </c>
      <c r="GK229" t="e">
        <f>Stock!1461:1461-"'E4!.KV"</f>
        <v>#VALUE!</v>
      </c>
      <c r="GL229" t="e">
        <f>Stock!1462:1462-"'E4!.KW"</f>
        <v>#VALUE!</v>
      </c>
      <c r="GM229" t="e">
        <f>Stock!1463:1463-"'E4!.KX"</f>
        <v>#VALUE!</v>
      </c>
      <c r="GN229" t="e">
        <f>Stock!1464:1464-"'E4!.KY"</f>
        <v>#VALUE!</v>
      </c>
      <c r="GO229" t="e">
        <f>Stock!1465:1465-"'E4!.KZ"</f>
        <v>#VALUE!</v>
      </c>
      <c r="GP229" t="e">
        <f>Stock!1466:1466-"'E4!.K["</f>
        <v>#VALUE!</v>
      </c>
      <c r="GQ229" t="e">
        <f>Stock!1467:1467-"'E4!.K\"</f>
        <v>#VALUE!</v>
      </c>
      <c r="GR229" t="e">
        <f>Stock!1468:1468-"'E4!.K]"</f>
        <v>#VALUE!</v>
      </c>
      <c r="GS229" t="e">
        <f>Stock!1469:1469-"'E4!.K^"</f>
        <v>#VALUE!</v>
      </c>
      <c r="GT229" t="e">
        <f>Stock!1470:1470-"'E4!.K_"</f>
        <v>#VALUE!</v>
      </c>
      <c r="GU229" t="e">
        <f>Stock!1471:1471-"'E4!.K`"</f>
        <v>#VALUE!</v>
      </c>
      <c r="GV229" t="e">
        <f>Stock!1472:1472-"'E4!.Ka"</f>
        <v>#VALUE!</v>
      </c>
      <c r="GW229" t="e">
        <f>Stock!1473:1473-"'E4!.Kb"</f>
        <v>#VALUE!</v>
      </c>
      <c r="GX229" t="e">
        <f>Stock!1474:1474-"'E4!.Kc"</f>
        <v>#VALUE!</v>
      </c>
      <c r="GY229" t="e">
        <f>Stock!1475:1475-"'E4!.Kd"</f>
        <v>#VALUE!</v>
      </c>
      <c r="GZ229" t="e">
        <f>Stock!1476:1476-"'E4!.Ke"</f>
        <v>#VALUE!</v>
      </c>
      <c r="HA229" t="e">
        <f>Stock!1477:1477-"'E4!.Kf"</f>
        <v>#VALUE!</v>
      </c>
      <c r="HB229" t="e">
        <f>Stock!1478:1478-"'E4!.Kg"</f>
        <v>#VALUE!</v>
      </c>
      <c r="HC229" t="e">
        <f>Stock!1479:1479-"'E4!.Kh"</f>
        <v>#VALUE!</v>
      </c>
      <c r="HD229" t="e">
        <f>Stock!1480:1480-"'E4!.Ki"</f>
        <v>#VALUE!</v>
      </c>
      <c r="HE229" t="e">
        <f>Stock!1481:1481-"'E4!.Kj"</f>
        <v>#VALUE!</v>
      </c>
      <c r="HF229" t="e">
        <f>Stock!1482:1482-"'E4!.Kk"</f>
        <v>#VALUE!</v>
      </c>
      <c r="HG229" t="e">
        <f>Stock!1483:1483-"'E4!.Kl"</f>
        <v>#VALUE!</v>
      </c>
      <c r="HH229" t="e">
        <f>Stock!1484:1484-"'E4!.Km"</f>
        <v>#VALUE!</v>
      </c>
      <c r="HI229" t="e">
        <f>Stock!1485:1485-"'E4!.Kn"</f>
        <v>#VALUE!</v>
      </c>
      <c r="HJ229" t="e">
        <f>Stock!1486:1486-"'E4!.Ko"</f>
        <v>#VALUE!</v>
      </c>
      <c r="HK229" t="e">
        <f>Stock!1487:1487-"'E4!.Kp"</f>
        <v>#VALUE!</v>
      </c>
      <c r="HL229" t="e">
        <f>Stock!1488:1488-"'E4!.Kq"</f>
        <v>#VALUE!</v>
      </c>
      <c r="HM229" t="e">
        <f>Stock!1489:1489-"'E4!.Kr"</f>
        <v>#VALUE!</v>
      </c>
      <c r="HN229" t="e">
        <f>Stock!1490:1490-"'E4!.Ks"</f>
        <v>#VALUE!</v>
      </c>
      <c r="HO229" t="e">
        <f>Stock!1491:1491-"'E4!.Kt"</f>
        <v>#VALUE!</v>
      </c>
      <c r="HP229" t="e">
        <f>Stock!1492:1492-"'E4!.Ku"</f>
        <v>#VALUE!</v>
      </c>
      <c r="HQ229" t="e">
        <f>Stock!1493:1493-"'E4!.Kv"</f>
        <v>#VALUE!</v>
      </c>
      <c r="HR229" t="e">
        <f>Stock!1494:1494-"'E4!.Kw"</f>
        <v>#VALUE!</v>
      </c>
      <c r="HS229" t="e">
        <f>Stock!1495:1495-"'E4!.Kx"</f>
        <v>#VALUE!</v>
      </c>
      <c r="HT229" t="e">
        <f>Stock!1496:1496-"'E4!.Ky"</f>
        <v>#VALUE!</v>
      </c>
      <c r="HU229" t="e">
        <f>Stock!1497:1497-"'E4!.Kz"</f>
        <v>#VALUE!</v>
      </c>
      <c r="HV229" t="e">
        <f>Stock!1498:1498-"'E4!.K{"</f>
        <v>#VALUE!</v>
      </c>
      <c r="HW229" t="e">
        <f>Stock!1499:1499-"'E4!.K|"</f>
        <v>#VALUE!</v>
      </c>
      <c r="HX229" t="e">
        <f>Stock!1500:1500-"'E4!.K}"</f>
        <v>#VALUE!</v>
      </c>
      <c r="HY229" t="e">
        <f>Stock!1501:1501-"'E4!.K~"</f>
        <v>#VALUE!</v>
      </c>
      <c r="HZ229" t="e">
        <f>Stock!1502:1502-"'E4!.L#"</f>
        <v>#VALUE!</v>
      </c>
      <c r="IA229" t="e">
        <f>Stock!1503:1503-"'E4!.L$"</f>
        <v>#VALUE!</v>
      </c>
      <c r="IB229" t="e">
        <f>Stock!1504:1504-"'E4!.L%"</f>
        <v>#VALUE!</v>
      </c>
      <c r="IC229" t="e">
        <f>Stock!1505:1505-"'E4!.L&amp;"</f>
        <v>#VALUE!</v>
      </c>
      <c r="ID229" t="e">
        <f>Stock!1506:1506-"'E4!.L'"</f>
        <v>#VALUE!</v>
      </c>
      <c r="IE229" t="e">
        <f>Stock!1507:1507-"'E4!.L("</f>
        <v>#VALUE!</v>
      </c>
      <c r="IF229" t="e">
        <f>Stock!1508:1508-"'E4!.L)"</f>
        <v>#VALUE!</v>
      </c>
      <c r="IG229" t="e">
        <f>Stock!1509:1509-"'E4!.L."</f>
        <v>#VALUE!</v>
      </c>
      <c r="IH229" t="e">
        <f>Stock!1510:1510-"'E4!.L/"</f>
        <v>#VALUE!</v>
      </c>
      <c r="II229" t="e">
        <f>Stock!1511:1511-"'E4!.L0"</f>
        <v>#VALUE!</v>
      </c>
      <c r="IJ229" t="e">
        <f>Stock!1512:1512-"'E4!.L1"</f>
        <v>#VALUE!</v>
      </c>
      <c r="IK229" t="e">
        <f>Stock!1513:1513-"'E4!.L2"</f>
        <v>#VALUE!</v>
      </c>
      <c r="IL229" t="e">
        <f>Stock!1514:1514-"'E4!.L3"</f>
        <v>#VALUE!</v>
      </c>
      <c r="IM229" t="e">
        <f>Stock!1515:1515-"'E4!.L4"</f>
        <v>#VALUE!</v>
      </c>
      <c r="IN229" t="e">
        <f>Stock!1516:1516-"'E4!.L5"</f>
        <v>#VALUE!</v>
      </c>
      <c r="IO229" t="e">
        <f>Stock!1517:1517-"'E4!.L6"</f>
        <v>#VALUE!</v>
      </c>
      <c r="IP229" t="e">
        <f>Stock!1518:1518-"'E4!.L7"</f>
        <v>#VALUE!</v>
      </c>
      <c r="IQ229" t="e">
        <f>Stock!1519:1519-"'E4!.L8"</f>
        <v>#VALUE!</v>
      </c>
      <c r="IR229" t="e">
        <f>Stock!1520:1520-"'E4!.L9"</f>
        <v>#VALUE!</v>
      </c>
      <c r="IS229" t="e">
        <f>Stock!1521:1521-"'E4!.L:"</f>
        <v>#VALUE!</v>
      </c>
      <c r="IT229" t="e">
        <f>Stock!1522:1522-"'E4!.L;"</f>
        <v>#VALUE!</v>
      </c>
      <c r="IU229" t="e">
        <f>Stock!1523:1523-"'E4!.L&lt;"</f>
        <v>#VALUE!</v>
      </c>
      <c r="IV229" t="e">
        <f>Stock!1524:1524-"'E4!.L="</f>
        <v>#VALUE!</v>
      </c>
    </row>
    <row r="230" spans="6:256">
      <c r="F230" t="e">
        <f>Stock!1525:1525-"'E4!.L&gt;"</f>
        <v>#VALUE!</v>
      </c>
      <c r="G230" t="e">
        <f>Stock!1526:1526-"'E4!.L?"</f>
        <v>#VALUE!</v>
      </c>
      <c r="H230" t="e">
        <f>Stock!1527:1527-"'E4!.L@"</f>
        <v>#VALUE!</v>
      </c>
      <c r="I230" t="e">
        <f>Stock!1528:1528-"'E4!.LA"</f>
        <v>#VALUE!</v>
      </c>
      <c r="J230" t="e">
        <f>Stock!1529:1529-"'E4!.LB"</f>
        <v>#VALUE!</v>
      </c>
      <c r="K230" t="e">
        <f>Stock!1530:1530-"'E4!.LC"</f>
        <v>#VALUE!</v>
      </c>
      <c r="L230" t="e">
        <f>Stock!1531:1531-"'E4!.LD"</f>
        <v>#VALUE!</v>
      </c>
      <c r="M230" t="e">
        <f>Stock!1532:1532-"'E4!.LE"</f>
        <v>#VALUE!</v>
      </c>
      <c r="N230" t="e">
        <f>Stock!1533:1533-"'E4!.LF"</f>
        <v>#VALUE!</v>
      </c>
      <c r="O230" t="e">
        <f>Stock!1534:1534-"'E4!.LG"</f>
        <v>#VALUE!</v>
      </c>
      <c r="P230" t="e">
        <f>Stock!1535:1535-"'E4!.LH"</f>
        <v>#VALUE!</v>
      </c>
      <c r="Q230" t="e">
        <f>Stock!1536:1536-"'E4!.LI"</f>
        <v>#VALUE!</v>
      </c>
      <c r="R230" t="e">
        <f>Stock!1537:1537-"'E4!.LJ"</f>
        <v>#VALUE!</v>
      </c>
      <c r="S230" t="e">
        <f>Stock!1538:1538-"'E4!.LK"</f>
        <v>#VALUE!</v>
      </c>
      <c r="T230" t="e">
        <f>Stock!1539:1539-"'E4!.LL"</f>
        <v>#VALUE!</v>
      </c>
      <c r="U230" t="e">
        <f>Stock!1540:1540-"'E4!.LM"</f>
        <v>#VALUE!</v>
      </c>
      <c r="V230" t="e">
        <f>Stock!1541:1541-"'E4!.LN"</f>
        <v>#VALUE!</v>
      </c>
      <c r="W230" t="e">
        <f>Stock!1542:1542-"'E4!.LO"</f>
        <v>#VALUE!</v>
      </c>
      <c r="X230" t="e">
        <f>Stock!1543:1543-"'E4!.LP"</f>
        <v>#VALUE!</v>
      </c>
      <c r="Y230" t="e">
        <f>Stock!1544:1544-"'E4!.LQ"</f>
        <v>#VALUE!</v>
      </c>
      <c r="Z230" t="e">
        <f>Stock!1545:1545-"'E4!.LR"</f>
        <v>#VALUE!</v>
      </c>
      <c r="AA230" t="e">
        <f>Stock!1546:1546-"'E4!.LS"</f>
        <v>#VALUE!</v>
      </c>
      <c r="AB230" t="e">
        <f>Stock!1547:1547-"'E4!.LT"</f>
        <v>#VALUE!</v>
      </c>
      <c r="AC230" t="e">
        <f>Stock!1548:1548-"'E4!.LU"</f>
        <v>#VALUE!</v>
      </c>
      <c r="AD230" t="e">
        <f>Stock!1549:1549-"'E4!.LV"</f>
        <v>#VALUE!</v>
      </c>
      <c r="AE230" t="e">
        <f>Stock!1550:1550-"'E4!.LW"</f>
        <v>#VALUE!</v>
      </c>
      <c r="AF230" t="e">
        <f>Stock!1551:1551-"'E4!.LX"</f>
        <v>#VALUE!</v>
      </c>
      <c r="AG230" t="e">
        <f>Stock!1552:1552-"'E4!.LY"</f>
        <v>#VALUE!</v>
      </c>
      <c r="AH230" t="e">
        <f>Stock!1553:1553-"'E4!.LZ"</f>
        <v>#VALUE!</v>
      </c>
      <c r="AI230" t="e">
        <f>Stock!1554:1554-"'E4!.L["</f>
        <v>#VALUE!</v>
      </c>
      <c r="AJ230" t="e">
        <f>Stock!1555:1555-"'E4!.L\"</f>
        <v>#VALUE!</v>
      </c>
      <c r="AK230" t="e">
        <f>Stock!1556:1556-"'E4!.L]"</f>
        <v>#VALUE!</v>
      </c>
      <c r="AL230" t="e">
        <f>Stock!1557:1557-"'E4!.L^"</f>
        <v>#VALUE!</v>
      </c>
      <c r="AM230" t="e">
        <f>Stock!1558:1558-"'E4!.L_"</f>
        <v>#VALUE!</v>
      </c>
      <c r="AN230" t="e">
        <f>Stock!1559:1559-"'E4!.L`"</f>
        <v>#VALUE!</v>
      </c>
      <c r="AO230" t="e">
        <f>Stock!1560:1560-"'E4!.La"</f>
        <v>#VALUE!</v>
      </c>
      <c r="AP230" t="e">
        <f>Stock!1561:1561-"'E4!.Lb"</f>
        <v>#VALUE!</v>
      </c>
      <c r="AQ230" t="e">
        <f>Stock!1562:1562-"'E4!.Lc"</f>
        <v>#VALUE!</v>
      </c>
      <c r="AR230" t="e">
        <f>Stock!1563:1563-"'E4!.Ld"</f>
        <v>#VALUE!</v>
      </c>
      <c r="AS230" t="e">
        <f>Stock!1564:1564-"'E4!.Le"</f>
        <v>#VALUE!</v>
      </c>
      <c r="AT230" t="e">
        <f>Stock!1565:1565-"'E4!.Lf"</f>
        <v>#VALUE!</v>
      </c>
      <c r="AU230" t="e">
        <f>Stock!1566:1566-"'E4!.Lg"</f>
        <v>#VALUE!</v>
      </c>
      <c r="AV230" t="e">
        <f>Stock!1567:1567-"'E4!.Lh"</f>
        <v>#VALUE!</v>
      </c>
      <c r="AW230" t="e">
        <f>Stock!1568:1568-"'E4!.Li"</f>
        <v>#VALUE!</v>
      </c>
      <c r="AX230" t="e">
        <f>Stock!1569:1569-"'E4!.Lj"</f>
        <v>#VALUE!</v>
      </c>
      <c r="AY230" t="e">
        <f>Stock!1570:1570-"'E4!.Lk"</f>
        <v>#VALUE!</v>
      </c>
      <c r="AZ230" t="e">
        <f>Stock!1571:1571-"'E4!.Ll"</f>
        <v>#VALUE!</v>
      </c>
      <c r="BA230" t="e">
        <f>Stock!1572:1572-"'E4!.Lm"</f>
        <v>#VALUE!</v>
      </c>
      <c r="BB230" t="e">
        <f>Stock!1573:1573-"'E4!.Ln"</f>
        <v>#VALUE!</v>
      </c>
      <c r="BC230" t="e">
        <f>Stock!1574:1574-"'E4!.Lo"</f>
        <v>#VALUE!</v>
      </c>
      <c r="BD230" t="e">
        <f>Stock!1575:1575-"'E4!.Lp"</f>
        <v>#VALUE!</v>
      </c>
      <c r="BE230" t="e">
        <f>Stock!1576:1576-"'E4!.Lq"</f>
        <v>#VALUE!</v>
      </c>
      <c r="BF230" t="e">
        <f>Stock!1577:1577-"'E4!.Lr"</f>
        <v>#VALUE!</v>
      </c>
      <c r="BG230" t="e">
        <f>Stock!1578:1578-"'E4!.Ls"</f>
        <v>#VALUE!</v>
      </c>
      <c r="BH230" t="e">
        <f>Stock!1579:1579-"'E4!.Lt"</f>
        <v>#VALUE!</v>
      </c>
      <c r="BI230" t="e">
        <f>Stock!1580:1580-"'E4!.Lu"</f>
        <v>#VALUE!</v>
      </c>
      <c r="BJ230" t="e">
        <f>Stock!1581:1581-"'E4!.Lv"</f>
        <v>#VALUE!</v>
      </c>
      <c r="BK230" t="e">
        <f>Stock!1582:1582-"'E4!.Lw"</f>
        <v>#VALUE!</v>
      </c>
      <c r="BL230" t="e">
        <f>Stock!1583:1583-"'E4!.Lx"</f>
        <v>#VALUE!</v>
      </c>
      <c r="BM230" t="e">
        <f>Stock!1584:1584-"'E4!.Ly"</f>
        <v>#VALUE!</v>
      </c>
      <c r="BN230" t="e">
        <f>Stock!1585:1585-"'E4!.Lz"</f>
        <v>#VALUE!</v>
      </c>
      <c r="BO230" t="e">
        <f>Stock!1586:1586-"'E4!.L{"</f>
        <v>#VALUE!</v>
      </c>
      <c r="BP230" t="e">
        <f>Stock!1587:1587-"'E4!.L|"</f>
        <v>#VALUE!</v>
      </c>
      <c r="BQ230" t="e">
        <f>Stock!1588:1588-"'E4!.L}"</f>
        <v>#VALUE!</v>
      </c>
      <c r="BR230" t="e">
        <f>Stock!1589:1589-"'E4!.L~"</f>
        <v>#VALUE!</v>
      </c>
      <c r="BS230" t="e">
        <f>Stock!1590:1590-"'E4!.M#"</f>
        <v>#VALUE!</v>
      </c>
      <c r="BT230" t="e">
        <f>Stock!1591:1591-"'E4!.M$"</f>
        <v>#VALUE!</v>
      </c>
      <c r="BU230" t="e">
        <f>Stock!1592:1592-"'E4!.M%"</f>
        <v>#VALUE!</v>
      </c>
      <c r="BV230" t="e">
        <f>Stock!1593:1593-"'E4!.M&amp;"</f>
        <v>#VALUE!</v>
      </c>
      <c r="BW230" t="e">
        <f>Stock!1594:1594-"'E4!.M'"</f>
        <v>#VALUE!</v>
      </c>
      <c r="BX230" t="e">
        <f>Stock!1595:1595-"'E4!.M("</f>
        <v>#VALUE!</v>
      </c>
      <c r="BY230" t="e">
        <f>Stock!1596:1596-"'E4!.M)"</f>
        <v>#VALUE!</v>
      </c>
      <c r="BZ230" t="e">
        <f>Stock!1597:1597-"'E4!.M."</f>
        <v>#VALUE!</v>
      </c>
      <c r="CA230" t="e">
        <f>Stock!1598:1598-"'E4!.M/"</f>
        <v>#VALUE!</v>
      </c>
      <c r="CB230" t="e">
        <f>Stock!1599:1599-"'E4!.M0"</f>
        <v>#VALUE!</v>
      </c>
      <c r="CC230" t="e">
        <f>Stock!1600:1600-"'E4!.M1"</f>
        <v>#VALUE!</v>
      </c>
      <c r="CD230" t="e">
        <f>Stock!1601:1601-"'E4!.M2"</f>
        <v>#VALUE!</v>
      </c>
      <c r="CE230" t="e">
        <f>Stock!1602:1602-"'E4!.M3"</f>
        <v>#VALUE!</v>
      </c>
      <c r="CF230" t="e">
        <f>Stock!1603:1603-"'E4!.M4"</f>
        <v>#VALUE!</v>
      </c>
      <c r="CG230" t="e">
        <f>Stock!1604:1604-"'E4!.M5"</f>
        <v>#VALUE!</v>
      </c>
      <c r="CH230" t="e">
        <f>Stock!1605:1605-"'E4!.M6"</f>
        <v>#VALUE!</v>
      </c>
      <c r="CI230" t="e">
        <f>Stock!1606:1606-"'E4!.M7"</f>
        <v>#VALUE!</v>
      </c>
      <c r="CJ230" t="e">
        <f>Stock!1607:1607-"'E4!.M8"</f>
        <v>#VALUE!</v>
      </c>
      <c r="CK230" t="e">
        <f>Stock!1608:1608-"'E4!.M9"</f>
        <v>#VALUE!</v>
      </c>
      <c r="CL230" t="e">
        <f>Stock!1609:1609-"'E4!.M:"</f>
        <v>#VALUE!</v>
      </c>
      <c r="CM230" t="e">
        <f>Stock!1610:1610-"'E4!.M;"</f>
        <v>#VALUE!</v>
      </c>
      <c r="CN230" t="e">
        <f>Stock!1611:1611-"'E4!.M&lt;"</f>
        <v>#VALUE!</v>
      </c>
      <c r="CO230" t="e">
        <f>Stock!1612:1612-"'E4!.M="</f>
        <v>#VALUE!</v>
      </c>
      <c r="CP230" t="e">
        <f>Stock!1613:1613-"'E4!.M&gt;"</f>
        <v>#VALUE!</v>
      </c>
      <c r="CQ230" t="e">
        <f>Stock!1614:1614-"'E4!.M?"</f>
        <v>#VALUE!</v>
      </c>
      <c r="CR230" t="e">
        <f>Stock!1615:1615-"'E4!.M@"</f>
        <v>#VALUE!</v>
      </c>
      <c r="CS230" t="e">
        <f>Stock!1616:1616-"'E4!.MA"</f>
        <v>#VALUE!</v>
      </c>
      <c r="CT230" t="e">
        <f>Stock!1617:1617-"'E4!.MB"</f>
        <v>#VALUE!</v>
      </c>
      <c r="CU230" t="e">
        <f>Stock!1618:1618-"'E4!.MC"</f>
        <v>#VALUE!</v>
      </c>
      <c r="CV230" t="e">
        <f>Stock!1619:1619-"'E4!.MD"</f>
        <v>#VALUE!</v>
      </c>
      <c r="CW230" t="e">
        <f>Stock!1620:1620-"'E4!.ME"</f>
        <v>#VALUE!</v>
      </c>
      <c r="CX230" t="e">
        <f>Stock!1621:1621-"'E4!.MF"</f>
        <v>#VALUE!</v>
      </c>
      <c r="CY230" t="e">
        <f>Stock!1622:1622-"'E4!.MG"</f>
        <v>#VALUE!</v>
      </c>
      <c r="CZ230" t="e">
        <f>Stock!1623:1623-"'E4!.MH"</f>
        <v>#VALUE!</v>
      </c>
      <c r="DA230" t="e">
        <f>Stock!1624:1624-"'E4!.MI"</f>
        <v>#VALUE!</v>
      </c>
      <c r="DB230" t="e">
        <f>Stock!1625:1625-"'E4!.MJ"</f>
        <v>#VALUE!</v>
      </c>
      <c r="DC230" t="e">
        <f>Stock!1626:1626-"'E4!.MK"</f>
        <v>#VALUE!</v>
      </c>
      <c r="DD230" t="e">
        <f>Stock!1627:1627-"'E4!.ML"</f>
        <v>#VALUE!</v>
      </c>
      <c r="DE230" t="e">
        <f>Stock!1628:1628-"'E4!.MM"</f>
        <v>#VALUE!</v>
      </c>
      <c r="DF230" t="e">
        <f>Stock!1629:1629-"'E4!.MN"</f>
        <v>#VALUE!</v>
      </c>
      <c r="DG230" t="e">
        <f>Stock!1630:1630-"'E4!.MO"</f>
        <v>#VALUE!</v>
      </c>
      <c r="DH230" t="e">
        <f>Stock!1631:1631-"'E4!.MP"</f>
        <v>#VALUE!</v>
      </c>
      <c r="DI230" t="e">
        <f>Stock!1632:1632-"'E4!.MQ"</f>
        <v>#VALUE!</v>
      </c>
      <c r="DJ230" t="e">
        <f>Stock!1633:1633-"'E4!.MR"</f>
        <v>#VALUE!</v>
      </c>
      <c r="DK230" t="e">
        <f>Stock!1634:1634-"'E4!.MS"</f>
        <v>#VALUE!</v>
      </c>
      <c r="DL230" t="e">
        <f>Stock!1635:1635-"'E4!.MT"</f>
        <v>#VALUE!</v>
      </c>
      <c r="DM230" t="e">
        <f>Stock!1636:1636-"'E4!.MU"</f>
        <v>#VALUE!</v>
      </c>
      <c r="DN230" t="e">
        <f>Stock!1637:1637-"'E4!.MV"</f>
        <v>#VALUE!</v>
      </c>
      <c r="DO230" t="e">
        <f>Stock!1638:1638-"'E4!.MW"</f>
        <v>#VALUE!</v>
      </c>
      <c r="DP230" t="e">
        <f>Stock!1639:1639-"'E4!.MX"</f>
        <v>#VALUE!</v>
      </c>
      <c r="DQ230" t="e">
        <f>Stock!1640:1640-"'E4!.MY"</f>
        <v>#VALUE!</v>
      </c>
      <c r="DR230" t="e">
        <f>Stock!1641:1641-"'E4!.MZ"</f>
        <v>#VALUE!</v>
      </c>
      <c r="DS230" t="e">
        <f>Stock!1642:1642-"'E4!.M["</f>
        <v>#VALUE!</v>
      </c>
      <c r="DT230" t="e">
        <f>Stock!1643:1643-"'E4!.M\"</f>
        <v>#VALUE!</v>
      </c>
      <c r="DU230" t="e">
        <f>Stock!1644:1644-"'E4!.M]"</f>
        <v>#VALUE!</v>
      </c>
      <c r="DV230" t="e">
        <f>Stock!1645:1645-"'E4!.M^"</f>
        <v>#VALUE!</v>
      </c>
      <c r="DW230" t="e">
        <f>Stock!1646:1646-"'E4!.M_"</f>
        <v>#VALUE!</v>
      </c>
      <c r="DX230" t="e">
        <f>Stock!1647:1647-"'E4!.M`"</f>
        <v>#VALUE!</v>
      </c>
      <c r="DY230" t="e">
        <f>Stock!1648:1648-"'E4!.Ma"</f>
        <v>#VALUE!</v>
      </c>
      <c r="DZ230" t="e">
        <f>Stock!1649:1649-"'E4!.Mb"</f>
        <v>#VALUE!</v>
      </c>
      <c r="EA230" t="e">
        <f>Stock!1650:1650-"'E4!.Mc"</f>
        <v>#VALUE!</v>
      </c>
      <c r="EB230" t="e">
        <f>Stock!1651:1651-"'E4!.Md"</f>
        <v>#VALUE!</v>
      </c>
      <c r="EC230" t="e">
        <f>Stock!1652:1652-"'E4!.Me"</f>
        <v>#VALUE!</v>
      </c>
      <c r="ED230" t="e">
        <f>Stock!1653:1653-"'E4!.Mf"</f>
        <v>#VALUE!</v>
      </c>
      <c r="EE230" t="e">
        <f>Stock!1654:1654-"'E4!.Mg"</f>
        <v>#VALUE!</v>
      </c>
      <c r="EF230" t="e">
        <f>Stock!1655:1655-"'E4!.Mh"</f>
        <v>#VALUE!</v>
      </c>
      <c r="EG230" t="e">
        <f>Stock!1656:1656-"'E4!.Mi"</f>
        <v>#VALUE!</v>
      </c>
      <c r="EH230" t="e">
        <f>Stock!1657:1657-"'E4!.Mj"</f>
        <v>#VALUE!</v>
      </c>
      <c r="EI230" t="e">
        <f>Stock!1658:1658-"'E4!.Mk"</f>
        <v>#VALUE!</v>
      </c>
      <c r="EJ230" t="e">
        <f>Stock!1659:1659-"'E4!.Ml"</f>
        <v>#VALUE!</v>
      </c>
      <c r="EK230" t="e">
        <f>Stock!1660:1660-"'E4!.Mm"</f>
        <v>#VALUE!</v>
      </c>
      <c r="EL230" t="e">
        <f>Stock!1661:1661-"'E4!.Mn"</f>
        <v>#VALUE!</v>
      </c>
      <c r="EM230" t="e">
        <f>Stock!1662:1662-"'E4!.Mo"</f>
        <v>#VALUE!</v>
      </c>
      <c r="EN230" t="e">
        <f>Stock!1663:1663-"'E4!.Mp"</f>
        <v>#VALUE!</v>
      </c>
      <c r="EO230" t="e">
        <f>Stock!1664:1664-"'E4!.Mq"</f>
        <v>#VALUE!</v>
      </c>
      <c r="EP230" t="e">
        <f>Stock!1665:1665-"'E4!.Mr"</f>
        <v>#VALUE!</v>
      </c>
      <c r="EQ230" t="e">
        <f>Stock!1666:1666-"'E4!.Ms"</f>
        <v>#VALUE!</v>
      </c>
      <c r="ER230" t="e">
        <f>Stock!1667:1667-"'E4!.Mt"</f>
        <v>#VALUE!</v>
      </c>
      <c r="ES230" t="e">
        <f>Stock!1668:1668-"'E4!.Mu"</f>
        <v>#VALUE!</v>
      </c>
      <c r="ET230" t="e">
        <f>Stock!1669:1669-"'E4!.Mv"</f>
        <v>#VALUE!</v>
      </c>
      <c r="EU230" t="e">
        <f>Stock!1670:1670-"'E4!.Mw"</f>
        <v>#VALUE!</v>
      </c>
      <c r="EV230" t="e">
        <f>Stock!1671:1671-"'E4!.Mx"</f>
        <v>#VALUE!</v>
      </c>
      <c r="EW230" t="e">
        <f>Stock!1672:1672-"'E4!.My"</f>
        <v>#VALUE!</v>
      </c>
      <c r="EX230" t="e">
        <f>Stock!1673:1673-"'E4!.Mz"</f>
        <v>#VALUE!</v>
      </c>
      <c r="EY230" t="e">
        <f>Stock!1674:1674-"'E4!.M{"</f>
        <v>#VALUE!</v>
      </c>
      <c r="EZ230" t="e">
        <f>Stock!1675:1675-"'E4!.M|"</f>
        <v>#VALUE!</v>
      </c>
      <c r="FA230" t="e">
        <f>Stock!1676:1676-"'E4!.M}"</f>
        <v>#VALUE!</v>
      </c>
      <c r="FB230" t="e">
        <f>Stock!1677:1677-"'E4!.M~"</f>
        <v>#VALUE!</v>
      </c>
      <c r="FC230" t="e">
        <f>Stock!1678:1678-"'E4!.N#"</f>
        <v>#VALUE!</v>
      </c>
      <c r="FD230" t="e">
        <f>Stock!1679:1679-"'E4!.N$"</f>
        <v>#VALUE!</v>
      </c>
      <c r="FE230" t="e">
        <f>Stock!1680:1680-"'E4!.N%"</f>
        <v>#VALUE!</v>
      </c>
      <c r="FF230" t="e">
        <f>Stock!1681:1681-"'E4!.N&amp;"</f>
        <v>#VALUE!</v>
      </c>
      <c r="FG230" t="e">
        <f>Stock!1682:1682-"'E4!.N'"</f>
        <v>#VALUE!</v>
      </c>
      <c r="FH230" t="e">
        <f>Stock!1683:1683-"'E4!.N("</f>
        <v>#VALUE!</v>
      </c>
      <c r="FI230" t="e">
        <f>Stock!1684:1684-"'E4!.N)"</f>
        <v>#VALUE!</v>
      </c>
      <c r="FJ230" t="e">
        <f>Stock!1685:1685-"'E4!.N."</f>
        <v>#VALUE!</v>
      </c>
      <c r="FK230" t="e">
        <f>Stock!1686:1686-"'E4!.N/"</f>
        <v>#VALUE!</v>
      </c>
      <c r="FL230" t="e">
        <f>Stock!1687:1687-"'E4!.N0"</f>
        <v>#VALUE!</v>
      </c>
      <c r="FM230" t="e">
        <f>Stock!1688:1688-"'E4!.N1"</f>
        <v>#VALUE!</v>
      </c>
      <c r="FN230" t="e">
        <f>Stock!1689:1689-"'E4!.N2"</f>
        <v>#VALUE!</v>
      </c>
      <c r="FO230" t="e">
        <f>Stock!1690:1690-"'E4!.N3"</f>
        <v>#VALUE!</v>
      </c>
      <c r="FP230" t="e">
        <f>Stock!1691:1691-"'E4!.N4"</f>
        <v>#VALUE!</v>
      </c>
      <c r="FQ230" t="e">
        <f>Stock!1692:1692-"'E4!.N5"</f>
        <v>#VALUE!</v>
      </c>
      <c r="FR230" t="e">
        <f>Stock!1693:1693-"'E4!.N6"</f>
        <v>#VALUE!</v>
      </c>
      <c r="FS230" t="e">
        <f>Stock!1694:1694-"'E4!.N7"</f>
        <v>#VALUE!</v>
      </c>
      <c r="FT230" t="e">
        <f>Stock!1695:1695-"'E4!.N8"</f>
        <v>#VALUE!</v>
      </c>
      <c r="FU230" t="e">
        <f>Stock!1696:1696-"'E4!.N9"</f>
        <v>#VALUE!</v>
      </c>
      <c r="FV230" t="e">
        <f>Stock!1697:1697-"'E4!.N:"</f>
        <v>#VALUE!</v>
      </c>
      <c r="FW230" t="e">
        <f>Stock!1698:1698-"'E4!.N;"</f>
        <v>#VALUE!</v>
      </c>
      <c r="FX230" t="e">
        <f>Stock!1699:1699-"'E4!.N&lt;"</f>
        <v>#VALUE!</v>
      </c>
      <c r="FY230" t="e">
        <f>Stock!1700:1700-"'E4!.N="</f>
        <v>#VALUE!</v>
      </c>
      <c r="FZ230" t="e">
        <f>Stock!1701:1701-"'E4!.N&gt;"</f>
        <v>#VALUE!</v>
      </c>
      <c r="GA230" t="e">
        <f>Stock!1702:1702-"'E4!.N?"</f>
        <v>#VALUE!</v>
      </c>
      <c r="GB230" t="e">
        <f>Stock!1703:1703-"'E4!.N@"</f>
        <v>#VALUE!</v>
      </c>
      <c r="GC230" t="e">
        <f>Stock!1704:1704-"'E4!.NA"</f>
        <v>#VALUE!</v>
      </c>
      <c r="GD230" t="e">
        <f>Stock!1705:1705-"'E4!.NB"</f>
        <v>#VALUE!</v>
      </c>
      <c r="GE230" t="e">
        <f>Stock!1706:1706-"'E4!.NC"</f>
        <v>#VALUE!</v>
      </c>
      <c r="GF230" t="e">
        <f>Stock!1707:1707-"'E4!.ND"</f>
        <v>#VALUE!</v>
      </c>
      <c r="GG230" t="e">
        <f>Stock!1708:1708-"'E4!.NE"</f>
        <v>#VALUE!</v>
      </c>
      <c r="GH230" t="e">
        <f>Stock!1709:1709-"'E4!.NF"</f>
        <v>#VALUE!</v>
      </c>
      <c r="GI230" t="e">
        <f>Stock!1710:1710-"'E4!.NG"</f>
        <v>#VALUE!</v>
      </c>
      <c r="GJ230" t="e">
        <f>Stock!1711:1711-"'E4!.NH"</f>
        <v>#VALUE!</v>
      </c>
      <c r="GK230" t="e">
        <f>Stock!1712:1712-"'E4!.NI"</f>
        <v>#VALUE!</v>
      </c>
      <c r="GL230" t="e">
        <f>Stock!1713:1713-"'E4!.NJ"</f>
        <v>#VALUE!</v>
      </c>
      <c r="GM230" t="e">
        <f>Stock!1714:1714-"'E4!.NK"</f>
        <v>#VALUE!</v>
      </c>
      <c r="GN230" t="e">
        <f>Stock!1715:1715-"'E4!.NL"</f>
        <v>#VALUE!</v>
      </c>
      <c r="GO230" t="e">
        <f>Stock!1716:1716-"'E4!.NM"</f>
        <v>#VALUE!</v>
      </c>
      <c r="GP230" t="e">
        <f>Stock!1717:1717-"'E4!.NN"</f>
        <v>#VALUE!</v>
      </c>
      <c r="GQ230" t="e">
        <f>Stock!1718:1718-"'E4!.NO"</f>
        <v>#VALUE!</v>
      </c>
      <c r="GR230" t="e">
        <f>Stock!1719:1719-"'E4!.NP"</f>
        <v>#VALUE!</v>
      </c>
      <c r="GS230" t="e">
        <f>Stock!1720:1720-"'E4!.NQ"</f>
        <v>#VALUE!</v>
      </c>
      <c r="GT230" t="e">
        <f>Stock!1721:1721-"'E4!.NR"</f>
        <v>#VALUE!</v>
      </c>
      <c r="GU230" t="e">
        <f>Stock!1722:1722-"'E4!.NS"</f>
        <v>#VALUE!</v>
      </c>
      <c r="GV230" t="e">
        <f>Stock!1723:1723-"'E4!.NT"</f>
        <v>#VALUE!</v>
      </c>
      <c r="GW230" t="e">
        <f>Stock!1724:1724-"'E4!.NU"</f>
        <v>#VALUE!</v>
      </c>
      <c r="GX230" t="e">
        <f>Stock!1725:1725-"'E4!.NV"</f>
        <v>#VALUE!</v>
      </c>
      <c r="GY230" t="e">
        <f>Stock!1726:1726-"'E4!.NW"</f>
        <v>#VALUE!</v>
      </c>
      <c r="GZ230" t="e">
        <f>Stock!1727:1727-"'E4!.NX"</f>
        <v>#VALUE!</v>
      </c>
      <c r="HA230" t="e">
        <f>Stock!1728:1728-"'E4!.NY"</f>
        <v>#VALUE!</v>
      </c>
      <c r="HB230" t="e">
        <f>Stock!1729:1729-"'E4!.NZ"</f>
        <v>#VALUE!</v>
      </c>
      <c r="HC230" t="e">
        <f>Stock!1730:1730-"'E4!.N["</f>
        <v>#VALUE!</v>
      </c>
      <c r="HD230" t="e">
        <f>Stock!1731:1731-"'E4!.N\"</f>
        <v>#VALUE!</v>
      </c>
      <c r="HE230" t="e">
        <f>Stock!1732:1732-"'E4!.N]"</f>
        <v>#VALUE!</v>
      </c>
      <c r="HF230" t="e">
        <f>Stock!1733:1733-"'E4!.N^"</f>
        <v>#VALUE!</v>
      </c>
      <c r="HG230" t="e">
        <f>Stock!1734:1734-"'E4!.N_"</f>
        <v>#VALUE!</v>
      </c>
      <c r="HH230" t="e">
        <f>Stock!1735:1735-"'E4!.N`"</f>
        <v>#VALUE!</v>
      </c>
      <c r="HI230" t="e">
        <f>Stock!1736:1736-"'E4!.Na"</f>
        <v>#VALUE!</v>
      </c>
      <c r="HJ230" t="e">
        <f>Stock!1737:1737-"'E4!.Nb"</f>
        <v>#VALUE!</v>
      </c>
      <c r="HK230" t="e">
        <f>Stock!1738:1738-"'E4!.Nc"</f>
        <v>#VALUE!</v>
      </c>
      <c r="HL230" t="e">
        <f>Stock!1739:1739-"'E4!.Nd"</f>
        <v>#VALUE!</v>
      </c>
      <c r="HM230" t="e">
        <f>Stock!1740:1740-"'E4!.Ne"</f>
        <v>#VALUE!</v>
      </c>
      <c r="HN230" t="e">
        <f>Stock!1741:1741-"'E4!.Nf"</f>
        <v>#VALUE!</v>
      </c>
      <c r="HO230" t="e">
        <f>Stock!1742:1742-"'E4!.Ng"</f>
        <v>#VALUE!</v>
      </c>
      <c r="HP230" t="e">
        <f>Stock!1743:1743-"'E4!.Nh"</f>
        <v>#VALUE!</v>
      </c>
      <c r="HQ230" t="e">
        <f>Stock!1744:1744-"'E4!.Ni"</f>
        <v>#VALUE!</v>
      </c>
      <c r="HR230" t="e">
        <f>Stock!1745:1745-"'E4!.Nj"</f>
        <v>#VALUE!</v>
      </c>
      <c r="HS230" t="e">
        <f>Stock!1746:1746-"'E4!.Nk"</f>
        <v>#VALUE!</v>
      </c>
      <c r="HT230" t="e">
        <f>Stock!1747:1747-"'E4!.Nl"</f>
        <v>#VALUE!</v>
      </c>
      <c r="HU230" t="e">
        <f>Stock!1748:1748-"'E4!.Nm"</f>
        <v>#VALUE!</v>
      </c>
      <c r="HV230" t="e">
        <f>Stock!1749:1749-"'E4!.Nn"</f>
        <v>#VALUE!</v>
      </c>
      <c r="HW230" t="e">
        <f>Stock!1750:1750-"'E4!.No"</f>
        <v>#VALUE!</v>
      </c>
      <c r="HX230" t="e">
        <f>Stock!1751:1751-"'E4!.Np"</f>
        <v>#VALUE!</v>
      </c>
      <c r="HY230" t="e">
        <f>Stock!1752:1752-"'E4!.Nq"</f>
        <v>#VALUE!</v>
      </c>
      <c r="HZ230" t="e">
        <f>Stock!1753:1753-"'E4!.Nr"</f>
        <v>#VALUE!</v>
      </c>
      <c r="IA230" t="e">
        <f>Stock!1754:1754-"'E4!.Ns"</f>
        <v>#VALUE!</v>
      </c>
      <c r="IB230" t="e">
        <f>Stock!1755:1755-"'E4!.Nt"</f>
        <v>#VALUE!</v>
      </c>
      <c r="IC230" t="e">
        <f>Stock!1756:1756-"'E4!.Nu"</f>
        <v>#VALUE!</v>
      </c>
      <c r="ID230" t="e">
        <f>Stock!1757:1757-"'E4!.Nv"</f>
        <v>#VALUE!</v>
      </c>
      <c r="IE230" t="e">
        <f>Stock!1758:1758-"'E4!.Nw"</f>
        <v>#VALUE!</v>
      </c>
      <c r="IF230" t="e">
        <f>Stock!1759:1759-"'E4!.Nx"</f>
        <v>#VALUE!</v>
      </c>
      <c r="IG230" t="e">
        <f>Stock!1760:1760-"'E4!.Ny"</f>
        <v>#VALUE!</v>
      </c>
      <c r="IH230" t="e">
        <f>Stock!1761:1761-"'E4!.Nz"</f>
        <v>#VALUE!</v>
      </c>
      <c r="II230" t="e">
        <f>Stock!1762:1762-"'E4!.N{"</f>
        <v>#VALUE!</v>
      </c>
      <c r="IJ230" t="e">
        <f>Stock!1763:1763-"'E4!.N|"</f>
        <v>#VALUE!</v>
      </c>
      <c r="IK230" t="e">
        <f>Stock!1764:1764-"'E4!.N}"</f>
        <v>#VALUE!</v>
      </c>
      <c r="IL230" t="e">
        <f>Stock!1765:1765-"'E4!.N~"</f>
        <v>#VALUE!</v>
      </c>
      <c r="IM230" t="e">
        <f>Stock!1766:1766-"'E4!.O#"</f>
        <v>#VALUE!</v>
      </c>
      <c r="IN230" t="e">
        <f>Stock!1767:1767-"'E4!.O$"</f>
        <v>#VALUE!</v>
      </c>
      <c r="IO230" t="e">
        <f>Stock!1768:1768-"'E4!.O%"</f>
        <v>#VALUE!</v>
      </c>
      <c r="IP230" t="e">
        <f>Stock!1769:1769-"'E4!.O&amp;"</f>
        <v>#VALUE!</v>
      </c>
      <c r="IQ230" t="e">
        <f>Stock!1770:1770-"'E4!.O'"</f>
        <v>#VALUE!</v>
      </c>
      <c r="IR230" t="e">
        <f>Stock!1771:1771-"'E4!.O("</f>
        <v>#VALUE!</v>
      </c>
      <c r="IS230" t="e">
        <f>Stock!1772:1772-"'E4!.O)"</f>
        <v>#VALUE!</v>
      </c>
      <c r="IT230" t="e">
        <f>Stock!1773:1773-"'E4!.O."</f>
        <v>#VALUE!</v>
      </c>
      <c r="IU230" t="e">
        <f>Stock!1774:1774-"'E4!.O/"</f>
        <v>#VALUE!</v>
      </c>
      <c r="IV230" t="e">
        <f>Stock!1775:1775-"'E4!.O0"</f>
        <v>#VALUE!</v>
      </c>
    </row>
    <row r="231" spans="6:256">
      <c r="F231" t="e">
        <f>Stock!1776:1776-"'E4!.O1"</f>
        <v>#VALUE!</v>
      </c>
      <c r="G231" t="e">
        <f>Stock!1777:1777-"'E4!.O2"</f>
        <v>#VALUE!</v>
      </c>
      <c r="H231" t="e">
        <f>Stock!1778:1778-"'E4!.O3"</f>
        <v>#VALUE!</v>
      </c>
      <c r="I231" t="e">
        <f>Stock!1779:1779-"'E4!.O4"</f>
        <v>#VALUE!</v>
      </c>
      <c r="J231" t="e">
        <f>Stock!1780:1780-"'E4!.O5"</f>
        <v>#VALUE!</v>
      </c>
      <c r="K231" t="e">
        <f>Stock!1781:1781-"'E4!.O6"</f>
        <v>#VALUE!</v>
      </c>
      <c r="L231" t="e">
        <f>Stock!1782:1782-"'E4!.O7"</f>
        <v>#VALUE!</v>
      </c>
      <c r="M231" t="e">
        <f>Stock!1783:1783-"'E4!.O8"</f>
        <v>#VALUE!</v>
      </c>
      <c r="N231" t="e">
        <f>Stock!1784:1784-"'E4!.O9"</f>
        <v>#VALUE!</v>
      </c>
      <c r="O231" t="e">
        <f>Stock!1785:1785-"'E4!.O:"</f>
        <v>#VALUE!</v>
      </c>
      <c r="P231" t="e">
        <f>Stock!1786:1786-"'E4!.O;"</f>
        <v>#VALUE!</v>
      </c>
      <c r="Q231" t="e">
        <f>Stock!1787:1787-"'E4!.O&lt;"</f>
        <v>#VALUE!</v>
      </c>
      <c r="R231" t="e">
        <f>Stock!1788:1788-"'E4!.O="</f>
        <v>#VALUE!</v>
      </c>
      <c r="S231" t="e">
        <f>Stock!1789:1789-"'E4!.O&gt;"</f>
        <v>#VALUE!</v>
      </c>
      <c r="T231" t="e">
        <f>Stock!1790:1790-"'E4!.O?"</f>
        <v>#VALUE!</v>
      </c>
      <c r="U231" t="e">
        <f>Stock!1791:1791-"'E4!.O@"</f>
        <v>#VALUE!</v>
      </c>
      <c r="V231" t="e">
        <f>Stock!1792:1792-"'E4!.OA"</f>
        <v>#VALUE!</v>
      </c>
      <c r="W231" t="e">
        <f>Stock!1793:1793-"'E4!.OB"</f>
        <v>#VALUE!</v>
      </c>
      <c r="X231" t="e">
        <f>Stock!1794:1794-"'E4!.OC"</f>
        <v>#VALUE!</v>
      </c>
      <c r="Y231" t="e">
        <f>Stock!1795:1795-"'E4!.OD"</f>
        <v>#VALUE!</v>
      </c>
      <c r="Z231" t="e">
        <f>Stock!1796:1796-"'E4!.OE"</f>
        <v>#VALUE!</v>
      </c>
      <c r="AA231" t="e">
        <f>Stock!1797:1797-"'E4!.OF"</f>
        <v>#VALUE!</v>
      </c>
      <c r="AB231" t="e">
        <f>Stock!1798:1798-"'E4!.OG"</f>
        <v>#VALUE!</v>
      </c>
      <c r="AC231" t="e">
        <f>Stock!1799:1799-"'E4!.OH"</f>
        <v>#VALUE!</v>
      </c>
      <c r="AD231" t="e">
        <f>Stock!1800:1800-"'E4!.OI"</f>
        <v>#VALUE!</v>
      </c>
      <c r="AE231" t="e">
        <f>Stock!1801:1801-"'E4!.OJ"</f>
        <v>#VALUE!</v>
      </c>
      <c r="AF231" t="e">
        <f>Stock!1802:1802-"'E4!.OK"</f>
        <v>#VALUE!</v>
      </c>
      <c r="AG231" t="e">
        <f>Stock!1803:1803-"'E4!.OL"</f>
        <v>#VALUE!</v>
      </c>
      <c r="AH231" t="e">
        <f>Stock!1804:1804-"'E4!.OM"</f>
        <v>#VALUE!</v>
      </c>
      <c r="AI231" t="e">
        <f>Stock!1805:1805-"'E4!.ON"</f>
        <v>#VALUE!</v>
      </c>
      <c r="AJ231" t="e">
        <f>Stock!1806:1806-"'E4!.OO"</f>
        <v>#VALUE!</v>
      </c>
      <c r="AK231" t="e">
        <f>Stock!1807:1807-"'E4!.OP"</f>
        <v>#VALUE!</v>
      </c>
      <c r="AL231" t="e">
        <f>Stock!1808:1808-"'E4!.OQ"</f>
        <v>#VALUE!</v>
      </c>
      <c r="AM231" t="e">
        <f>Stock!1809:1809-"'E4!.OR"</f>
        <v>#VALUE!</v>
      </c>
      <c r="AN231" t="e">
        <f>Stock!1810:1810-"'E4!.OS"</f>
        <v>#VALUE!</v>
      </c>
      <c r="AO231" t="e">
        <f>Stock!1811:1811-"'E4!.OT"</f>
        <v>#VALUE!</v>
      </c>
      <c r="AP231" t="e">
        <f>Stock!1812:1812-"'E4!.OU"</f>
        <v>#VALUE!</v>
      </c>
      <c r="AQ231" t="e">
        <f>Stock!1813:1813-"'E4!.OV"</f>
        <v>#VALUE!</v>
      </c>
      <c r="AR231" t="e">
        <f>Stock!1814:1814-"'E4!.OW"</f>
        <v>#VALUE!</v>
      </c>
      <c r="AS231" t="e">
        <f>Stock!1815:1815-"'E4!.OX"</f>
        <v>#VALUE!</v>
      </c>
      <c r="AT231" t="e">
        <f>Stock!1816:1816-"'E4!.OY"</f>
        <v>#VALUE!</v>
      </c>
      <c r="AU231" t="e">
        <f>Stock!1817:1817-"'E4!.OZ"</f>
        <v>#VALUE!</v>
      </c>
      <c r="AV231" t="e">
        <f>Stock!1818:1818-"'E4!.O["</f>
        <v>#VALUE!</v>
      </c>
      <c r="AW231" t="e">
        <f>Stock!1819:1819-"'E4!.O\"</f>
        <v>#VALUE!</v>
      </c>
      <c r="AX231" t="e">
        <f>Stock!1820:1820-"'E4!.O]"</f>
        <v>#VALUE!</v>
      </c>
      <c r="AY231" t="e">
        <f>Stock!1821:1821-"'E4!.O^"</f>
        <v>#VALUE!</v>
      </c>
      <c r="AZ231" t="e">
        <f>Stock!1822:1822-"'E4!.O_"</f>
        <v>#VALUE!</v>
      </c>
      <c r="BA231" t="e">
        <f>Stock!1823:1823-"'E4!.O`"</f>
        <v>#VALUE!</v>
      </c>
      <c r="BB231" t="e">
        <f>Stock!1824:1824-"'E4!.Oa"</f>
        <v>#VALUE!</v>
      </c>
      <c r="BC231" t="e">
        <f>Stock!1825:1825-"'E4!.Ob"</f>
        <v>#VALUE!</v>
      </c>
      <c r="BD231" t="e">
        <f>Stock!1826:1826-"'E4!.Oc"</f>
        <v>#VALUE!</v>
      </c>
      <c r="BE231" t="e">
        <f>Stock!1827:1827-"'E4!.Od"</f>
        <v>#VALUE!</v>
      </c>
      <c r="BF231" t="e">
        <f>Stock!1828:1828-"'E4!.Oe"</f>
        <v>#VALUE!</v>
      </c>
      <c r="BG231" t="e">
        <f>Stock!1829:1829-"'E4!.Of"</f>
        <v>#VALUE!</v>
      </c>
      <c r="BH231" t="e">
        <f>Stock!1830:1830-"'E4!.Og"</f>
        <v>#VALUE!</v>
      </c>
      <c r="BI231" t="e">
        <f>Stock!1831:1831-"'E4!.Oh"</f>
        <v>#VALUE!</v>
      </c>
      <c r="BJ231" t="e">
        <f>Stock!1832:1832-"'E4!.Oi"</f>
        <v>#VALUE!</v>
      </c>
      <c r="BK231" t="e">
        <f>Stock!1833:1833-"'E4!.Oj"</f>
        <v>#VALUE!</v>
      </c>
      <c r="BL231" t="e">
        <f>Stock!1834:1834-"'E4!.Ok"</f>
        <v>#VALUE!</v>
      </c>
      <c r="BM231" t="e">
        <f>Stock!1835:1835-"'E4!.Ol"</f>
        <v>#VALUE!</v>
      </c>
      <c r="BN231" t="e">
        <f>Stock!1836:1836-"'E4!.Om"</f>
        <v>#VALUE!</v>
      </c>
      <c r="BO231" t="e">
        <f>Stock!1837:1837-"'E4!.On"</f>
        <v>#VALUE!</v>
      </c>
      <c r="BP231" t="e">
        <f>Stock!1838:1838-"'E4!.Oo"</f>
        <v>#VALUE!</v>
      </c>
      <c r="BQ231" t="e">
        <f>Stock!1839:1839-"'E4!.Op"</f>
        <v>#VALUE!</v>
      </c>
      <c r="BR231" t="e">
        <f>Stock!1840:1840-"'E4!.Oq"</f>
        <v>#VALUE!</v>
      </c>
      <c r="BS231" t="e">
        <f>Stock!1841:1841-"'E4!.Or"</f>
        <v>#VALUE!</v>
      </c>
      <c r="BT231" t="e">
        <f>Stock!1842:1842-"'E4!.Os"</f>
        <v>#VALUE!</v>
      </c>
      <c r="BU231" t="e">
        <f>Stock!1843:1843-"'E4!.Ot"</f>
        <v>#VALUE!</v>
      </c>
      <c r="BV231" t="e">
        <f>Stock!1844:1844-"'E4!.Ou"</f>
        <v>#VALUE!</v>
      </c>
      <c r="BW231" t="e">
        <f>Stock!1845:1845-"'E4!.Ov"</f>
        <v>#VALUE!</v>
      </c>
      <c r="BX231" t="e">
        <f>Stock!1846:1846-"'E4!.Ow"</f>
        <v>#VALUE!</v>
      </c>
      <c r="BY231" t="e">
        <f>Stock!1847:1847-"'E4!.Ox"</f>
        <v>#VALUE!</v>
      </c>
      <c r="BZ231" t="e">
        <f>Stock!1848:1848-"'E4!.Oy"</f>
        <v>#VALUE!</v>
      </c>
      <c r="CA231" t="e">
        <f>Stock!1849:1849-"'E4!.Oz"</f>
        <v>#VALUE!</v>
      </c>
      <c r="CB231" t="e">
        <f>Stock!1850:1850-"'E4!.O{"</f>
        <v>#VALUE!</v>
      </c>
      <c r="CC231" t="e">
        <f>Stock!1851:1851-"'E4!.O|"</f>
        <v>#VALUE!</v>
      </c>
      <c r="CD231" t="e">
        <f>Stock!1852:1852-"'E4!.O}"</f>
        <v>#VALUE!</v>
      </c>
      <c r="CE231" t="e">
        <f>Stock!1853:1853-"'E4!.O~"</f>
        <v>#VALUE!</v>
      </c>
      <c r="CF231" t="e">
        <f>Stock!1854:1854-"'E4!.P#"</f>
        <v>#VALUE!</v>
      </c>
      <c r="CG231" t="e">
        <f>Stock!1855:1855-"'E4!.P$"</f>
        <v>#VALUE!</v>
      </c>
      <c r="CH231" t="e">
        <f>Stock!1856:1856-"'E4!.P%"</f>
        <v>#VALUE!</v>
      </c>
      <c r="CI231" t="e">
        <f>Stock!1857:1857-"'E4!.P&amp;"</f>
        <v>#VALUE!</v>
      </c>
      <c r="CJ231" t="e">
        <f>Stock!1858:1858-"'E4!.P'"</f>
        <v>#VALUE!</v>
      </c>
      <c r="CK231" t="e">
        <f>Stock!1859:1859-"'E4!.P("</f>
        <v>#VALUE!</v>
      </c>
      <c r="CL231" t="e">
        <f>Stock!1860:1860-"'E4!.P)"</f>
        <v>#VALUE!</v>
      </c>
      <c r="CM231" t="e">
        <f>Stock!1861:1861-"'E4!.P."</f>
        <v>#VALUE!</v>
      </c>
      <c r="CN231" t="e">
        <f>Stock!1862:1862-"'E4!.P/"</f>
        <v>#VALUE!</v>
      </c>
      <c r="CO231" t="e">
        <f>Stock!1863:1863-"'E4!.P0"</f>
        <v>#VALUE!</v>
      </c>
      <c r="CP231" t="e">
        <f>Stock!1864:1864-"'E4!.P1"</f>
        <v>#VALUE!</v>
      </c>
      <c r="CQ231" t="e">
        <f>Stock!1865:1865-"'E4!.P2"</f>
        <v>#VALUE!</v>
      </c>
      <c r="CR231" t="e">
        <f>Stock!1866:1866-"'E4!.P3"</f>
        <v>#VALUE!</v>
      </c>
      <c r="CS231" t="e">
        <f>Stock!1867:1867-"'E4!.P4"</f>
        <v>#VALUE!</v>
      </c>
      <c r="CT231" t="e">
        <f>Stock!1868:1868-"'E4!.P5"</f>
        <v>#VALUE!</v>
      </c>
      <c r="CU231" t="e">
        <f>Stock!1869:1869-"'E4!.P6"</f>
        <v>#VALUE!</v>
      </c>
      <c r="CV231" t="e">
        <f>Stock!1870:1870-"'E4!.P7"</f>
        <v>#VALUE!</v>
      </c>
      <c r="CW231" t="e">
        <f>Stock!1871:1871-"'E4!.P8"</f>
        <v>#VALUE!</v>
      </c>
      <c r="CX231" t="e">
        <f>Stock!1872:1872-"'E4!.P9"</f>
        <v>#VALUE!</v>
      </c>
      <c r="CY231" t="e">
        <f>Stock!1873:1873-"'E4!.P:"</f>
        <v>#VALUE!</v>
      </c>
      <c r="CZ231" t="e">
        <f>Stock!1874:1874-"'E4!.P;"</f>
        <v>#VALUE!</v>
      </c>
      <c r="DA231" t="e">
        <f>Stock!1875:1875-"'E4!.P&lt;"</f>
        <v>#VALUE!</v>
      </c>
      <c r="DB231" t="e">
        <f>Stock!1876:1876-"'E4!.P="</f>
        <v>#VALUE!</v>
      </c>
      <c r="DC231" t="e">
        <f>Stock!1877:1877-"'E4!.P&gt;"</f>
        <v>#VALUE!</v>
      </c>
      <c r="DD231" t="e">
        <f>Stock!1878:1878-"'E4!.P?"</f>
        <v>#VALUE!</v>
      </c>
      <c r="DE231" t="e">
        <f>Stock!1879:1879-"'E4!.P@"</f>
        <v>#VALUE!</v>
      </c>
      <c r="DF231" t="e">
        <f>Stock!1880:1880-"'E4!.PA"</f>
        <v>#VALUE!</v>
      </c>
      <c r="DG231" t="e">
        <f>Stock!1881:1881-"'E4!.PB"</f>
        <v>#VALUE!</v>
      </c>
      <c r="DH231" t="e">
        <f>Stock!1882:1882-"'E4!.PC"</f>
        <v>#VALUE!</v>
      </c>
      <c r="DI231" t="e">
        <f>Stock!1883:1883-"'E4!.PD"</f>
        <v>#VALUE!</v>
      </c>
      <c r="DJ231" t="e">
        <f>Stock!1884:1884-"'E4!.PE"</f>
        <v>#VALUE!</v>
      </c>
      <c r="DK231" t="e">
        <f>Stock!1885:1885-"'E4!.PF"</f>
        <v>#VALUE!</v>
      </c>
      <c r="DL231" t="e">
        <f>Stock!1886:1886-"'E4!.PG"</f>
        <v>#VALUE!</v>
      </c>
      <c r="DM231" t="e">
        <f>Stock!1887:1887-"'E4!.PH"</f>
        <v>#VALUE!</v>
      </c>
      <c r="DN231" t="e">
        <f>Stock!1888:1888-"'E4!.PI"</f>
        <v>#VALUE!</v>
      </c>
      <c r="DO231" t="e">
        <f>Stock!1889:1889-"'E4!.PJ"</f>
        <v>#VALUE!</v>
      </c>
      <c r="DP231" t="e">
        <f>Stock!1890:1890-"'E4!.PK"</f>
        <v>#VALUE!</v>
      </c>
      <c r="DQ231" t="e">
        <f>Stock!1891:1891-"'E4!.PL"</f>
        <v>#VALUE!</v>
      </c>
      <c r="DR231" t="e">
        <f>Stock!1892:1892-"'E4!.PM"</f>
        <v>#VALUE!</v>
      </c>
      <c r="DS231" t="e">
        <f>Stock!1893:1893-"'E4!.PN"</f>
        <v>#VALUE!</v>
      </c>
      <c r="DT231" t="e">
        <f>Stock!1894:1894-"'E4!.PO"</f>
        <v>#VALUE!</v>
      </c>
      <c r="DU231" t="e">
        <f>Stock!1895:1895-"'E4!.PP"</f>
        <v>#VALUE!</v>
      </c>
      <c r="DV231" t="e">
        <f>Stock!1896:1896-"'E4!.PQ"</f>
        <v>#VALUE!</v>
      </c>
      <c r="DW231" t="e">
        <f>Stock!1897:1897-"'E4!.PR"</f>
        <v>#VALUE!</v>
      </c>
      <c r="DX231" t="e">
        <f>Stock!1898:1898-"'E4!.PS"</f>
        <v>#VALUE!</v>
      </c>
      <c r="DY231" t="e">
        <f>Stock!1899:1899-"'E4!.PT"</f>
        <v>#VALUE!</v>
      </c>
      <c r="DZ231" t="e">
        <f>Stock!1900:1900-"'E4!.PU"</f>
        <v>#VALUE!</v>
      </c>
      <c r="EA231" t="e">
        <f>Stock!1901:1901-"'E4!.PV"</f>
        <v>#VALUE!</v>
      </c>
      <c r="EB231" t="e">
        <f>Stock!1902:1902-"'E4!.PW"</f>
        <v>#VALUE!</v>
      </c>
      <c r="EC231" t="e">
        <f>Stock!1903:1903-"'E4!.PX"</f>
        <v>#VALUE!</v>
      </c>
      <c r="ED231" t="e">
        <f>Stock!1904:1904-"'E4!.PY"</f>
        <v>#VALUE!</v>
      </c>
      <c r="EE231" t="e">
        <f>Stock!1905:1905-"'E4!.PZ"</f>
        <v>#VALUE!</v>
      </c>
      <c r="EF231" t="e">
        <f>Stock!1906:1906-"'E4!.P["</f>
        <v>#VALUE!</v>
      </c>
      <c r="EG231" t="e">
        <f>Stock!1907:1907-"'E4!.P\"</f>
        <v>#VALUE!</v>
      </c>
      <c r="EH231" t="e">
        <f>Stock!1908:1908-"'E4!.P]"</f>
        <v>#VALUE!</v>
      </c>
      <c r="EI231" t="e">
        <f>Stock!1909:1909-"'E4!.P^"</f>
        <v>#VALUE!</v>
      </c>
      <c r="EJ231" t="e">
        <f>Stock!1910:1910-"'E4!.P_"</f>
        <v>#VALUE!</v>
      </c>
      <c r="EK231" t="e">
        <f>Stock!1911:1911-"'E4!.P`"</f>
        <v>#VALUE!</v>
      </c>
      <c r="EL231" t="e">
        <f>Stock!1912:1912-"'E4!.Pa"</f>
        <v>#VALUE!</v>
      </c>
      <c r="EM231" t="e">
        <f>Stock!1913:1913-"'E4!.Pb"</f>
        <v>#VALUE!</v>
      </c>
      <c r="EN231" t="e">
        <f>Stock!1914:1914-"'E4!.Pc"</f>
        <v>#VALUE!</v>
      </c>
      <c r="EO231" t="e">
        <f>Stock!1915:1915-"'E4!.Pd"</f>
        <v>#VALUE!</v>
      </c>
      <c r="EP231" t="e">
        <f>Stock!1916:1916-"'E4!.Pe"</f>
        <v>#VALUE!</v>
      </c>
      <c r="EQ231" t="e">
        <f>Stock!1917:1917-"'E4!.Pf"</f>
        <v>#VALUE!</v>
      </c>
      <c r="ER231" t="e">
        <f>Stock!1918:1918-"'E4!.Pg"</f>
        <v>#VALUE!</v>
      </c>
      <c r="ES231" t="e">
        <f>Stock!1919:1919-"'E4!.Ph"</f>
        <v>#VALUE!</v>
      </c>
      <c r="ET231" t="e">
        <f>Stock!1920:1920-"'E4!.Pi"</f>
        <v>#VALUE!</v>
      </c>
      <c r="EU231" t="e">
        <f>Stock!1921:1921-"'E4!.Pj"</f>
        <v>#VALUE!</v>
      </c>
      <c r="EV231" t="e">
        <f>Stock!1922:1922-"'E4!.Pk"</f>
        <v>#VALUE!</v>
      </c>
      <c r="EW231" t="e">
        <f>Stock!1923:1923-"'E4!.Pl"</f>
        <v>#VALUE!</v>
      </c>
      <c r="EX231" t="e">
        <f>Stock!1924:1924-"'E4!.Pm"</f>
        <v>#VALUE!</v>
      </c>
      <c r="EY231" t="e">
        <f>Stock!1925:1925-"'E4!.Pn"</f>
        <v>#VALUE!</v>
      </c>
      <c r="EZ231" t="e">
        <f>Stock!1926:1926-"'E4!.Po"</f>
        <v>#VALUE!</v>
      </c>
      <c r="FA231" t="e">
        <f>Stock!1927:1927-"'E4!.Pp"</f>
        <v>#VALUE!</v>
      </c>
      <c r="FB231" t="e">
        <f>Stock!1928:1928-"'E4!.Pq"</f>
        <v>#VALUE!</v>
      </c>
      <c r="FC231" t="e">
        <f>Stock!1929:1929-"'E4!.Pr"</f>
        <v>#VALUE!</v>
      </c>
      <c r="FD231" t="e">
        <f>Stock!1930:1930-"'E4!.Ps"</f>
        <v>#VALUE!</v>
      </c>
      <c r="FE231" t="e">
        <f>Stock!1931:1931-"'E4!.Pt"</f>
        <v>#VALUE!</v>
      </c>
      <c r="FF231" t="e">
        <f>Stock!1932:1932-"'E4!.Pu"</f>
        <v>#VALUE!</v>
      </c>
      <c r="FG231" t="e">
        <f>Stock!1933:1933-"'E4!.Pv"</f>
        <v>#VALUE!</v>
      </c>
      <c r="FH231" t="e">
        <f>Stock!1934:1934-"'E4!.Pw"</f>
        <v>#VALUE!</v>
      </c>
      <c r="FI231" t="e">
        <f>Stock!1935:1935-"'E4!.Px"</f>
        <v>#VALUE!</v>
      </c>
      <c r="FJ231" t="e">
        <f>Stock!1936:1936-"'E4!.Py"</f>
        <v>#VALUE!</v>
      </c>
      <c r="FK231" t="e">
        <f>Stock!1937:1937-"'E4!.Pz"</f>
        <v>#VALUE!</v>
      </c>
      <c r="FL231" t="e">
        <f>Stock!1938:1938-"'E4!.P{"</f>
        <v>#VALUE!</v>
      </c>
      <c r="FM231" t="e">
        <f>Stock!1939:1939-"'E4!.P|"</f>
        <v>#VALUE!</v>
      </c>
      <c r="FN231" t="e">
        <f>Stock!1940:1940-"'E4!.P}"</f>
        <v>#VALUE!</v>
      </c>
      <c r="FO231" t="e">
        <f>Stock!1941:1941-"'E4!.P~"</f>
        <v>#VALUE!</v>
      </c>
      <c r="FP231" t="e">
        <f>Stock!1942:1942-"'E4!.Q#"</f>
        <v>#VALUE!</v>
      </c>
      <c r="FQ231" t="e">
        <f>Stock!1943:1943-"'E4!.Q$"</f>
        <v>#VALUE!</v>
      </c>
      <c r="FR231" t="e">
        <f>Stock!1944:1944-"'E4!.Q%"</f>
        <v>#VALUE!</v>
      </c>
      <c r="FS231" t="e">
        <f>Stock!1945:1945-"'E4!.Q&amp;"</f>
        <v>#VALUE!</v>
      </c>
      <c r="FT231" t="e">
        <f>Stock!1946:1946-"'E4!.Q'"</f>
        <v>#VALUE!</v>
      </c>
      <c r="FU231" t="e">
        <f>Stock!1947:1947-"'E4!.Q("</f>
        <v>#VALUE!</v>
      </c>
      <c r="FV231" t="e">
        <f>Stock!1948:1948-"'E4!.Q)"</f>
        <v>#VALUE!</v>
      </c>
      <c r="FW231" t="e">
        <f>Stock!1949:1949-"'E4!.Q."</f>
        <v>#VALUE!</v>
      </c>
      <c r="FX231" t="e">
        <f>Stock!1950:1950-"'E4!.Q/"</f>
        <v>#VALUE!</v>
      </c>
      <c r="FY231" t="e">
        <f>Stock!1951:1951-"'E4!.Q0"</f>
        <v>#VALUE!</v>
      </c>
      <c r="FZ231" t="e">
        <f>Stock!1952:1952-"'E4!.Q1"</f>
        <v>#VALUE!</v>
      </c>
      <c r="GA231" t="e">
        <f>Stock!1953:1953-"'E4!.Q2"</f>
        <v>#VALUE!</v>
      </c>
      <c r="GB231" t="e">
        <f>Stock!1954:1954-"'E4!.Q3"</f>
        <v>#VALUE!</v>
      </c>
      <c r="GC231" t="e">
        <f>Stock!1955:1955-"'E4!.Q4"</f>
        <v>#VALUE!</v>
      </c>
      <c r="GD231" t="e">
        <f>Stock!1956:1956-"'E4!.Q5"</f>
        <v>#VALUE!</v>
      </c>
      <c r="GE231" t="e">
        <f>Stock!1957:1957-"'E4!.Q6"</f>
        <v>#VALUE!</v>
      </c>
      <c r="GF231" t="e">
        <f>Stock!1958:1958-"'E4!.Q7"</f>
        <v>#VALUE!</v>
      </c>
      <c r="GG231" t="e">
        <f>Stock!1959:1959-"'E4!.Q8"</f>
        <v>#VALUE!</v>
      </c>
      <c r="GH231" t="e">
        <f>Stock!1960:1960-"'E4!.Q9"</f>
        <v>#VALUE!</v>
      </c>
      <c r="GI231" t="e">
        <f>Stock!1961:1961-"'E4!.Q:"</f>
        <v>#VALUE!</v>
      </c>
      <c r="GJ231" t="e">
        <f>Stock!1962:1962-"'E4!.Q;"</f>
        <v>#VALUE!</v>
      </c>
      <c r="GK231" t="e">
        <f>Stock!1963:1963-"'E4!.Q&lt;"</f>
        <v>#VALUE!</v>
      </c>
      <c r="GL231" t="e">
        <f>Stock!1964:1964-"'E4!.Q="</f>
        <v>#VALUE!</v>
      </c>
      <c r="GM231" t="e">
        <f>Stock!1965:1965-"'E4!.Q&gt;"</f>
        <v>#VALUE!</v>
      </c>
      <c r="GN231" t="e">
        <f>Stock!1966:1966-"'E4!.Q?"</f>
        <v>#VALUE!</v>
      </c>
      <c r="GO231" t="e">
        <f>Stock!1967:1967-"'E4!.Q@"</f>
        <v>#VALUE!</v>
      </c>
      <c r="GP231" t="e">
        <f>Stock!1968:1968-"'E4!.QA"</f>
        <v>#VALUE!</v>
      </c>
      <c r="GQ231" t="e">
        <f>Stock!1969:1969-"'E4!.QB"</f>
        <v>#VALUE!</v>
      </c>
      <c r="GR231" t="e">
        <f>Stock!1970:1970-"'E4!.QC"</f>
        <v>#VALUE!</v>
      </c>
      <c r="GS231" t="e">
        <f>Stock!1971:1971-"'E4!.QD"</f>
        <v>#VALUE!</v>
      </c>
      <c r="GT231" t="e">
        <f>Stock!1972:1972-"'E4!.QE"</f>
        <v>#VALUE!</v>
      </c>
      <c r="GU231" t="e">
        <f>Stock!1973:1973-"'E4!.QF"</f>
        <v>#VALUE!</v>
      </c>
      <c r="GV231" t="e">
        <f>Stock!1974:1974-"'E4!.QG"</f>
        <v>#VALUE!</v>
      </c>
      <c r="GW231" t="e">
        <f>Stock!1975:1975-"'E4!.QH"</f>
        <v>#VALUE!</v>
      </c>
      <c r="GX231" t="e">
        <f>Stock!1976:1976-"'E4!.QI"</f>
        <v>#VALUE!</v>
      </c>
      <c r="GY231" t="e">
        <f>Stock!1977:1977-"'E4!.QJ"</f>
        <v>#VALUE!</v>
      </c>
      <c r="GZ231" t="e">
        <f>Stock!1978:1978-"'E4!.QK"</f>
        <v>#VALUE!</v>
      </c>
      <c r="HA231" t="e">
        <f>Stock!1979:1979-"'E4!.QL"</f>
        <v>#VALUE!</v>
      </c>
      <c r="HB231" t="e">
        <f>Stock!1980:1980-"'E4!.QM"</f>
        <v>#VALUE!</v>
      </c>
      <c r="HC231" t="e">
        <f>Stock!1981:1981-"'E4!.QN"</f>
        <v>#VALUE!</v>
      </c>
      <c r="HD231" t="e">
        <f>Stock!1982:1982-"'E4!.QO"</f>
        <v>#VALUE!</v>
      </c>
      <c r="HE231" t="e">
        <f>Stock!1983:1983-"'E4!.QP"</f>
        <v>#VALUE!</v>
      </c>
      <c r="HF231" t="e">
        <f>Stock!1984:1984-"'E4!.QQ"</f>
        <v>#VALUE!</v>
      </c>
      <c r="HG231" t="e">
        <f>Stock!1985:1985-"'E4!.QR"</f>
        <v>#VALUE!</v>
      </c>
      <c r="HH231" t="e">
        <f>Stock!1986:1986-"'E4!.QS"</f>
        <v>#VALUE!</v>
      </c>
      <c r="HI231" t="e">
        <f>Stock!1987:1987-"'E4!.QT"</f>
        <v>#VALUE!</v>
      </c>
      <c r="HJ231" t="e">
        <f>Stock!1988:1988-"'E4!.QU"</f>
        <v>#VALUE!</v>
      </c>
      <c r="HK231" t="e">
        <f>Stock!1989:1989-"'E4!.QV"</f>
        <v>#VALUE!</v>
      </c>
      <c r="HL231" t="e">
        <f>Stock!1990:1990-"'E4!.QW"</f>
        <v>#VALUE!</v>
      </c>
      <c r="HM231" t="e">
        <f>Stock!1991:1991-"'E4!.QX"</f>
        <v>#VALUE!</v>
      </c>
      <c r="HN231" t="e">
        <f>Stock!1992:1992-"'E4!.QY"</f>
        <v>#VALUE!</v>
      </c>
      <c r="HO231" t="e">
        <f>Stock!1993:1993-"'E4!.QZ"</f>
        <v>#VALUE!</v>
      </c>
      <c r="HP231" t="e">
        <f>Stock!1994:1994-"'E4!.Q["</f>
        <v>#VALUE!</v>
      </c>
      <c r="HQ231" t="e">
        <f>Stock!1995:1995-"'E4!.Q\"</f>
        <v>#VALUE!</v>
      </c>
      <c r="HR231" t="e">
        <f>Stock!1996:1996-"'E4!.Q]"</f>
        <v>#VALUE!</v>
      </c>
      <c r="HS231" t="e">
        <f>Stock!1997:1997-"'E4!.Q^"</f>
        <v>#VALUE!</v>
      </c>
      <c r="HT231" t="e">
        <f>Stock!1998:1998-"'E4!.Q_"</f>
        <v>#VALUE!</v>
      </c>
      <c r="HU231" t="e">
        <f>Stock!1999:1999-"'E4!.Q`"</f>
        <v>#VALUE!</v>
      </c>
      <c r="HV231" t="e">
        <f>Stock!2000:2000-"'E4!.Qa"</f>
        <v>#VALUE!</v>
      </c>
      <c r="HW231" t="e">
        <f>Stock!2001:2001-"'E4!.Qb"</f>
        <v>#VALUE!</v>
      </c>
      <c r="HX231" t="e">
        <f>Stock!2002:2002-"'E4!.Qc"</f>
        <v>#VALUE!</v>
      </c>
      <c r="HY231" t="e">
        <f>Stock!2003:2003-"'E4!.Qd"</f>
        <v>#VALUE!</v>
      </c>
      <c r="HZ231" t="e">
        <f>Stock!2004:2004-"'E4!.Qe"</f>
        <v>#VALUE!</v>
      </c>
      <c r="IA231" t="e">
        <f>Stock!2005:2005-"'E4!.Qf"</f>
        <v>#VALUE!</v>
      </c>
      <c r="IB231" t="e">
        <f>Stock!2006:2006-"'E4!.Qg"</f>
        <v>#VALUE!</v>
      </c>
      <c r="IC231" t="e">
        <f>Stock!2007:2007-"'E4!.Qh"</f>
        <v>#VALUE!</v>
      </c>
      <c r="ID231" t="e">
        <f>Stock!2008:2008-"'E4!.Qi"</f>
        <v>#VALUE!</v>
      </c>
      <c r="IE231" t="e">
        <f>Stock!2009:2009-"'E4!.Qj"</f>
        <v>#VALUE!</v>
      </c>
      <c r="IF231" t="e">
        <f>Stock!2010:2010-"'E4!.Qk"</f>
        <v>#VALUE!</v>
      </c>
      <c r="IG231" t="e">
        <f>Stock!2011:2011-"'E4!.Ql"</f>
        <v>#VALUE!</v>
      </c>
      <c r="IH231" t="e">
        <f>Stock!2012:2012-"'E4!.Qm"</f>
        <v>#VALUE!</v>
      </c>
      <c r="II231" t="e">
        <f>Stock!2013:2013-"'E4!.Qn"</f>
        <v>#VALUE!</v>
      </c>
      <c r="IJ231" t="e">
        <f>Stock!2014:2014-"'E4!.Qo"</f>
        <v>#VALUE!</v>
      </c>
      <c r="IK231" t="e">
        <f>Stock!2015:2015-"'E4!.Qp"</f>
        <v>#VALUE!</v>
      </c>
      <c r="IL231" t="e">
        <f>Stock!2016:2016-"'E4!.Qq"</f>
        <v>#VALUE!</v>
      </c>
      <c r="IM231" t="e">
        <f>Stock!2017:2017-"'E4!.Qr"</f>
        <v>#VALUE!</v>
      </c>
      <c r="IN231" t="e">
        <f>Stock!2018:2018-"'E4!.Qs"</f>
        <v>#VALUE!</v>
      </c>
      <c r="IO231" t="e">
        <f>Stock!2019:2019-"'E4!.Qt"</f>
        <v>#VALUE!</v>
      </c>
      <c r="IP231" t="e">
        <f>Stock!2020:2020-"'E4!.Qu"</f>
        <v>#VALUE!</v>
      </c>
      <c r="IQ231" t="e">
        <f>Stock!2021:2021-"'E4!.Qv"</f>
        <v>#VALUE!</v>
      </c>
      <c r="IR231" t="e">
        <f>Stock!2022:2022-"'E4!.Qw"</f>
        <v>#VALUE!</v>
      </c>
      <c r="IS231" t="e">
        <f>Stock!2023:2023-"'E4!.Qx"</f>
        <v>#VALUE!</v>
      </c>
      <c r="IT231" t="e">
        <f>Stock!2024:2024-"'E4!.Qy"</f>
        <v>#VALUE!</v>
      </c>
      <c r="IU231" t="e">
        <f>Stock!2025:2025-"'E4!.Qz"</f>
        <v>#VALUE!</v>
      </c>
      <c r="IV231" t="e">
        <f>Stock!2026:2026-"'E4!.Q{"</f>
        <v>#VALUE!</v>
      </c>
    </row>
    <row r="232" spans="6:256">
      <c r="F232" t="e">
        <f>Stock!2027:2027-"'E4!.Q|"</f>
        <v>#VALUE!</v>
      </c>
      <c r="G232" t="e">
        <f>Stock!2028:2028-"'E4!.Q}"</f>
        <v>#VALUE!</v>
      </c>
      <c r="H232" t="e">
        <f>Stock!2029:2029-"'E4!.Q~"</f>
        <v>#VALUE!</v>
      </c>
      <c r="I232" t="e">
        <f>Stock!2030:2030-"'E4!.R#"</f>
        <v>#VALUE!</v>
      </c>
      <c r="J232" t="e">
        <f>Stock!2031:2031-"'E4!.R$"</f>
        <v>#VALUE!</v>
      </c>
      <c r="K232" t="e">
        <f>Stock!2032:2032-"'E4!.R%"</f>
        <v>#VALUE!</v>
      </c>
      <c r="L232" t="e">
        <f>Stock!2033:2033-"'E4!.R&amp;"</f>
        <v>#VALUE!</v>
      </c>
      <c r="M232" t="e">
        <f>Stock!2034:2034-"'E4!.R'"</f>
        <v>#VALUE!</v>
      </c>
      <c r="N232" t="e">
        <f>Stock!2035:2035-"'E4!.R("</f>
        <v>#VALUE!</v>
      </c>
      <c r="O232" t="e">
        <f>Stock!2036:2036-"'E4!.R)"</f>
        <v>#VALUE!</v>
      </c>
      <c r="P232" t="e">
        <f>Stock!2037:2037-"'E4!.R."</f>
        <v>#VALUE!</v>
      </c>
      <c r="Q232" t="e">
        <f>Stock!2038:2038-"'E4!.R/"</f>
        <v>#VALUE!</v>
      </c>
      <c r="R232" t="e">
        <f>Stock!2039:2039-"'E4!.R0"</f>
        <v>#VALUE!</v>
      </c>
      <c r="S232" t="e">
        <f>Stock!2040:2040-"'E4!.R1"</f>
        <v>#VALUE!</v>
      </c>
      <c r="T232" t="e">
        <f>Stock!2041:2041-"'E4!.R2"</f>
        <v>#VALUE!</v>
      </c>
      <c r="U232" t="e">
        <f>Stock!2042:2042-"'E4!.R3"</f>
        <v>#VALUE!</v>
      </c>
      <c r="V232" t="e">
        <f>Stock!2043:2043-"'E4!.R4"</f>
        <v>#VALUE!</v>
      </c>
      <c r="W232" t="e">
        <f>Stock!2044:2044-"'E4!.R5"</f>
        <v>#VALUE!</v>
      </c>
      <c r="X232" t="e">
        <f>Stock!2045:2045-"'E4!.R6"</f>
        <v>#VALUE!</v>
      </c>
      <c r="Y232" t="e">
        <f>Stock!2046:2046-"'E4!.R7"</f>
        <v>#VALUE!</v>
      </c>
      <c r="Z232" t="e">
        <f>Stock!2047:2047-"'E4!.R8"</f>
        <v>#VALUE!</v>
      </c>
      <c r="AA232" t="e">
        <f>Stock!2048:2048-"'E4!.R9"</f>
        <v>#VALUE!</v>
      </c>
      <c r="AB232" t="e">
        <f>Stock!2049:2049-"'E4!.R:"</f>
        <v>#VALUE!</v>
      </c>
      <c r="AC232" t="e">
        <f>Stock!2050:2050-"'E4!.R;"</f>
        <v>#VALUE!</v>
      </c>
      <c r="AD232" t="e">
        <f>Stock!2051:2051-"'E4!.R&lt;"</f>
        <v>#VALUE!</v>
      </c>
      <c r="AE232" t="e">
        <f>Stock!2052:2052-"'E4!.R="</f>
        <v>#VALUE!</v>
      </c>
      <c r="AF232" t="e">
        <f>Stock!2053:2053-"'E4!.R&gt;"</f>
        <v>#VALUE!</v>
      </c>
      <c r="AG232" t="e">
        <f>Stock!2054:2054-"'E4!.R?"</f>
        <v>#VALUE!</v>
      </c>
      <c r="AH232" t="e">
        <f>Stock!2055:2055-"'E4!.R@"</f>
        <v>#VALUE!</v>
      </c>
      <c r="AI232" t="e">
        <f>Stock!2056:2056-"'E4!.RA"</f>
        <v>#VALUE!</v>
      </c>
      <c r="AJ232" t="e">
        <f>Stock!2057:2057-"'E4!.RB"</f>
        <v>#VALUE!</v>
      </c>
      <c r="AK232" t="e">
        <f>Stock!2058:2058-"'E4!.RC"</f>
        <v>#VALUE!</v>
      </c>
      <c r="AL232" t="e">
        <f>Stock!2059:2059-"'E4!.RD"</f>
        <v>#VALUE!</v>
      </c>
      <c r="AM232" t="e">
        <f>Stock!2060:2060-"'E4!.RE"</f>
        <v>#VALUE!</v>
      </c>
      <c r="AN232" t="e">
        <f>Stock!2061:2061-"'E4!.RF"</f>
        <v>#VALUE!</v>
      </c>
      <c r="AO232" t="e">
        <f>Stock!2062:2062-"'E4!.RG"</f>
        <v>#VALUE!</v>
      </c>
      <c r="AP232" t="e">
        <f>Stock!2063:2063-"'E4!.RH"</f>
        <v>#VALUE!</v>
      </c>
      <c r="AQ232" t="e">
        <f>Stock!2064:2064-"'E4!.RI"</f>
        <v>#VALUE!</v>
      </c>
      <c r="AR232" t="e">
        <f>Stock!2065:2065-"'E4!.RJ"</f>
        <v>#VALUE!</v>
      </c>
      <c r="AS232" t="e">
        <f>Stock!2066:2066-"'E4!.RK"</f>
        <v>#VALUE!</v>
      </c>
      <c r="AT232" t="e">
        <f>Stock!2067:2067-"'E4!.RL"</f>
        <v>#VALUE!</v>
      </c>
      <c r="AU232" t="e">
        <f>Stock!2068:2068-"'E4!.RM"</f>
        <v>#VALUE!</v>
      </c>
      <c r="AV232" t="e">
        <f>Stock!2069:2069-"'E4!.RN"</f>
        <v>#VALUE!</v>
      </c>
      <c r="AW232" t="e">
        <f>Stock!2070:2070-"'E4!.RO"</f>
        <v>#VALUE!</v>
      </c>
      <c r="AX232" t="e">
        <f>Stock!2071:2071-"'E4!.RP"</f>
        <v>#VALUE!</v>
      </c>
      <c r="AY232" t="e">
        <f>Stock!2072:2072-"'E4!.RQ"</f>
        <v>#VALUE!</v>
      </c>
      <c r="AZ232" t="e">
        <f>Stock!2073:2073-"'E4!.RR"</f>
        <v>#VALUE!</v>
      </c>
      <c r="BA232" t="e">
        <f>Stock!2074:2074-"'E4!.RS"</f>
        <v>#VALUE!</v>
      </c>
      <c r="BB232" t="e">
        <f>Stock!2075:2075-"'E4!.RT"</f>
        <v>#VALUE!</v>
      </c>
      <c r="BC232" t="e">
        <f>Stock!2076:2076-"'E4!.RU"</f>
        <v>#VALUE!</v>
      </c>
      <c r="BD232" t="e">
        <f>Stock!2077:2077-"'E4!.RV"</f>
        <v>#VALUE!</v>
      </c>
      <c r="BE232" t="e">
        <f>Stock!2078:2078-"'E4!.RW"</f>
        <v>#VALUE!</v>
      </c>
      <c r="BF232" t="e">
        <f>Stock!2079:2079-"'E4!.RX"</f>
        <v>#VALUE!</v>
      </c>
      <c r="BG232" t="e">
        <f>Stock!2080:2080-"'E4!.RY"</f>
        <v>#VALUE!</v>
      </c>
      <c r="BH232" t="e">
        <f>Stock!2081:2081-"'E4!.RZ"</f>
        <v>#VALUE!</v>
      </c>
      <c r="BI232" t="e">
        <f>Stock!2082:2082-"'E4!.R["</f>
        <v>#VALUE!</v>
      </c>
      <c r="BJ232" t="e">
        <f>Stock!2083:2083-"'E4!.R\"</f>
        <v>#VALUE!</v>
      </c>
      <c r="BK232" t="e">
        <f>Stock!2084:2084-"'E4!.R]"</f>
        <v>#VALUE!</v>
      </c>
      <c r="BL232" t="e">
        <f>Stock!2085:2085-"'E4!.R^"</f>
        <v>#VALUE!</v>
      </c>
      <c r="BM232" t="e">
        <f>Stock!2086:2086-"'E4!.R_"</f>
        <v>#VALUE!</v>
      </c>
      <c r="BN232" t="e">
        <f>Stock!2087:2087-"'E4!.R`"</f>
        <v>#VALUE!</v>
      </c>
      <c r="BO232" t="e">
        <f>Stock!2088:2088-"'E4!.Ra"</f>
        <v>#VALUE!</v>
      </c>
      <c r="BP232" t="e">
        <f>Stock!2089:2089-"'E4!.Rb"</f>
        <v>#VALUE!</v>
      </c>
      <c r="BQ232" t="e">
        <f>Stock!2090:2090-"'E4!.Rc"</f>
        <v>#VALUE!</v>
      </c>
      <c r="BR232" t="e">
        <f>Stock!2091:2091-"'E4!.Rd"</f>
        <v>#VALUE!</v>
      </c>
      <c r="BS232" t="e">
        <f>Stock!2092:2092-"'E4!.Re"</f>
        <v>#VALUE!</v>
      </c>
      <c r="BT232" t="e">
        <f>Stock!2093:2093-"'E4!.Rf"</f>
        <v>#VALUE!</v>
      </c>
      <c r="BU232" t="e">
        <f>Stock!2094:2094-"'E4!.Rg"</f>
        <v>#VALUE!</v>
      </c>
      <c r="BV232" t="e">
        <f>Stock!2095:2095-"'E4!.Rh"</f>
        <v>#VALUE!</v>
      </c>
      <c r="BW232" t="e">
        <f>Stock!2096:2096-"'E4!.Ri"</f>
        <v>#VALUE!</v>
      </c>
      <c r="BX232" t="e">
        <f>Stock!2097:2097-"'E4!.Rj"</f>
        <v>#VALUE!</v>
      </c>
      <c r="BY232" t="e">
        <f>Stock!2098:2098-"'E4!.Rk"</f>
        <v>#VALUE!</v>
      </c>
      <c r="BZ232" t="e">
        <f>Stock!2099:2099-"'E4!.Rl"</f>
        <v>#VALUE!</v>
      </c>
      <c r="CA232" t="e">
        <f>Stock!2100:2100-"'E4!.Rm"</f>
        <v>#VALUE!</v>
      </c>
      <c r="CB232" t="e">
        <f>Stock!2101:2101-"'E4!.Rn"</f>
        <v>#VALUE!</v>
      </c>
      <c r="CC232" t="e">
        <f>Stock!2102:2102-"'E4!.Ro"</f>
        <v>#VALUE!</v>
      </c>
      <c r="CD232" t="e">
        <f>Stock!2103:2103-"'E4!.Rp"</f>
        <v>#VALUE!</v>
      </c>
      <c r="CE232" t="e">
        <f>Stock!2104:2104-"'E4!.Rq"</f>
        <v>#VALUE!</v>
      </c>
      <c r="CF232" t="e">
        <f>Stock!2105:2105-"'E4!.Rr"</f>
        <v>#VALUE!</v>
      </c>
      <c r="CG232" t="e">
        <f>Stock!2106:2106-"'E4!.Rs"</f>
        <v>#VALUE!</v>
      </c>
      <c r="CH232" t="e">
        <f>Stock!2107:2107-"'E4!.Rt"</f>
        <v>#VALUE!</v>
      </c>
      <c r="CI232" t="e">
        <f>Stock!2108:2108-"'E4!.Ru"</f>
        <v>#VALUE!</v>
      </c>
      <c r="CJ232" t="e">
        <f>Stock!2109:2109-"'E4!.Rv"</f>
        <v>#VALUE!</v>
      </c>
      <c r="CK232" t="e">
        <f>Stock!2110:2110-"'E4!.Rw"</f>
        <v>#VALUE!</v>
      </c>
      <c r="CL232" t="e">
        <f>Stock!2111:2111-"'E4!.Rx"</f>
        <v>#VALUE!</v>
      </c>
      <c r="CM232" t="e">
        <f>Stock!2112:2112-"'E4!.Ry"</f>
        <v>#VALUE!</v>
      </c>
      <c r="CN232" t="e">
        <f>Stock!2113:2113-"'E4!.Rz"</f>
        <v>#VALUE!</v>
      </c>
      <c r="CO232" t="e">
        <f>Stock!2114:2114-"'E4!.R{"</f>
        <v>#VALUE!</v>
      </c>
      <c r="CP232" t="e">
        <f>Stock!2115:2115-"'E4!.R|"</f>
        <v>#VALUE!</v>
      </c>
      <c r="CQ232" t="e">
        <f>Stock!2116:2116-"'E4!.R}"</f>
        <v>#VALUE!</v>
      </c>
      <c r="CR232" t="e">
        <f>Stock!2117:2117-"'E4!.R~"</f>
        <v>#VALUE!</v>
      </c>
      <c r="CS232" t="e">
        <f>Stock!2118:2118-"'E4!.S#"</f>
        <v>#VALUE!</v>
      </c>
      <c r="CT232" t="e">
        <f>Stock!2119:2119-"'E4!.S$"</f>
        <v>#VALUE!</v>
      </c>
      <c r="CU232" t="e">
        <f>Stock!2120:2120-"'E4!.S%"</f>
        <v>#VALUE!</v>
      </c>
      <c r="CV232" t="e">
        <f>Stock!2121:2121-"'E4!.S&amp;"</f>
        <v>#VALUE!</v>
      </c>
      <c r="CW232" t="e">
        <f>Stock!2122:2122-"'E4!.S'"</f>
        <v>#VALUE!</v>
      </c>
      <c r="CX232" t="e">
        <f>Stock!2123:2123-"'E4!.S("</f>
        <v>#VALUE!</v>
      </c>
      <c r="CY232" t="e">
        <f>Stock!2124:2124-"'E4!.S)"</f>
        <v>#VALUE!</v>
      </c>
      <c r="CZ232" t="e">
        <f>Stock!2125:2125-"'E4!.S."</f>
        <v>#VALUE!</v>
      </c>
      <c r="DA232" t="e">
        <f>Stock!2126:2126-"'E4!.S/"</f>
        <v>#VALUE!</v>
      </c>
      <c r="DB232" t="e">
        <f>Stock!2127:2127-"'E4!.S0"</f>
        <v>#VALUE!</v>
      </c>
      <c r="DC232" t="e">
        <f>Stock!2128:2128-"'E4!.S1"</f>
        <v>#VALUE!</v>
      </c>
      <c r="DD232" t="e">
        <f>Stock!2129:2129-"'E4!.S2"</f>
        <v>#VALUE!</v>
      </c>
      <c r="DE232" t="e">
        <f>Stock!2130:2130-"'E4!.S3"</f>
        <v>#VALUE!</v>
      </c>
      <c r="DF232" t="e">
        <f>Stock!2131:2131-"'E4!.S4"</f>
        <v>#VALUE!</v>
      </c>
      <c r="DG232" t="e">
        <f>Stock!2132:2132-"'E4!.S5"</f>
        <v>#VALUE!</v>
      </c>
      <c r="DH232" t="e">
        <f>Stock!2133:2133-"'E4!.S6"</f>
        <v>#VALUE!</v>
      </c>
      <c r="DI232" t="e">
        <f>Stock!2134:2134-"'E4!.S7"</f>
        <v>#VALUE!</v>
      </c>
      <c r="DJ232" t="e">
        <f>Stock!2135:2135-"'E4!.S8"</f>
        <v>#VALUE!</v>
      </c>
      <c r="DK232" t="e">
        <f>Stock!2136:2136-"'E4!.S9"</f>
        <v>#VALUE!</v>
      </c>
      <c r="DL232" t="e">
        <f>Stock!2137:2137-"'E4!.S:"</f>
        <v>#VALUE!</v>
      </c>
      <c r="DM232" t="e">
        <f>Stock!2138:2138-"'E4!.S;"</f>
        <v>#VALUE!</v>
      </c>
      <c r="DN232" t="e">
        <f>Stock!2139:2139-"'E4!.S&lt;"</f>
        <v>#VALUE!</v>
      </c>
      <c r="DO232" t="e">
        <f>Stock!2140:2140-"'E4!.S="</f>
        <v>#VALUE!</v>
      </c>
      <c r="DP232" t="e">
        <f>Stock!2141:2141-"'E4!.S&gt;"</f>
        <v>#VALUE!</v>
      </c>
      <c r="DQ232" t="e">
        <f>Stock!2142:2142-"'E4!.S?"</f>
        <v>#VALUE!</v>
      </c>
      <c r="DR232" t="e">
        <f>Stock!2143:2143-"'E4!.S@"</f>
        <v>#VALUE!</v>
      </c>
      <c r="DS232" t="e">
        <f>Stock!2144:2144-"'E4!.SA"</f>
        <v>#VALUE!</v>
      </c>
      <c r="DT232" t="e">
        <f>Stock!2145:2145-"'E4!.SB"</f>
        <v>#VALUE!</v>
      </c>
      <c r="DU232" t="e">
        <f>Stock!2146:2146-"'E4!.SC"</f>
        <v>#VALUE!</v>
      </c>
      <c r="DV232" t="e">
        <f>Stock!2147:2147-"'E4!.SD"</f>
        <v>#VALUE!</v>
      </c>
      <c r="DW232" t="e">
        <f>Stock!2148:2148-"'E4!.SE"</f>
        <v>#VALUE!</v>
      </c>
      <c r="DX232" t="e">
        <f>Stock!2149:2149-"'E4!.SF"</f>
        <v>#VALUE!</v>
      </c>
      <c r="DY232" t="e">
        <f>Stock!2150:2150-"'E4!.SG"</f>
        <v>#VALUE!</v>
      </c>
      <c r="DZ232" t="e">
        <f>Stock!2151:2151-"'E4!.SH"</f>
        <v>#VALUE!</v>
      </c>
      <c r="EA232" t="e">
        <f>Stock!2152:2152-"'E4!.SI"</f>
        <v>#VALUE!</v>
      </c>
      <c r="EB232" t="e">
        <f>Stock!2153:2153-"'E4!.SJ"</f>
        <v>#VALUE!</v>
      </c>
      <c r="EC232" t="e">
        <f>Stock!2154:2154-"'E4!.SK"</f>
        <v>#VALUE!</v>
      </c>
      <c r="ED232" t="e">
        <f>Stock!2155:2155-"'E4!.SL"</f>
        <v>#VALUE!</v>
      </c>
      <c r="EE232" t="e">
        <f>Stock!2156:2156-"'E4!.SM"</f>
        <v>#VALUE!</v>
      </c>
      <c r="EF232" t="e">
        <f>Stock!2157:2157-"'E4!.SN"</f>
        <v>#VALUE!</v>
      </c>
      <c r="EG232" t="e">
        <f>Stock!2158:2158-"'E4!.SO"</f>
        <v>#VALUE!</v>
      </c>
      <c r="EH232" t="e">
        <f>Stock!2159:2159-"'E4!.SP"</f>
        <v>#VALUE!</v>
      </c>
      <c r="EI232" t="e">
        <f>Stock!2160:2160-"'E4!.SQ"</f>
        <v>#VALUE!</v>
      </c>
      <c r="EJ232" t="e">
        <f>Stock!2161:2161-"'E4!.SR"</f>
        <v>#VALUE!</v>
      </c>
      <c r="EK232" t="e">
        <f>Stock!2162:2162-"'E4!.SS"</f>
        <v>#VALUE!</v>
      </c>
      <c r="EL232" t="e">
        <f>Stock!2163:2163-"'E4!.ST"</f>
        <v>#VALUE!</v>
      </c>
      <c r="EM232" t="e">
        <f>Stock!2164:2164-"'E4!.SU"</f>
        <v>#VALUE!</v>
      </c>
      <c r="EN232" t="e">
        <f>Stock!2165:2165-"'E4!.SV"</f>
        <v>#VALUE!</v>
      </c>
      <c r="EO232" t="e">
        <f>Stock!2166:2166-"'E4!.SW"</f>
        <v>#VALUE!</v>
      </c>
      <c r="EP232" t="e">
        <f>Stock!2167:2167-"'E4!.SX"</f>
        <v>#VALUE!</v>
      </c>
      <c r="EQ232" t="e">
        <f>Stock!2168:2168-"'E4!.SY"</f>
        <v>#VALUE!</v>
      </c>
      <c r="ER232" t="e">
        <f>Stock!2169:2169-"'E4!.SZ"</f>
        <v>#VALUE!</v>
      </c>
      <c r="ES232" t="e">
        <f>Stock!2170:2170-"'E4!.S["</f>
        <v>#VALUE!</v>
      </c>
      <c r="ET232" t="e">
        <f>Stock!2171:2171-"'E4!.S\"</f>
        <v>#VALUE!</v>
      </c>
      <c r="EU232" t="e">
        <f>Stock!2172:2172-"'E4!.S]"</f>
        <v>#VALUE!</v>
      </c>
      <c r="EV232" t="e">
        <f>Stock!2173:2173-"'E4!.S^"</f>
        <v>#VALUE!</v>
      </c>
      <c r="EW232" t="e">
        <f>Stock!2174:2174-"'E4!.S_"</f>
        <v>#VALUE!</v>
      </c>
      <c r="EX232" t="e">
        <f>Stock!2175:2175-"'E4!.S`"</f>
        <v>#VALUE!</v>
      </c>
      <c r="EY232" t="e">
        <f>Stock!2176:2176-"'E4!.Sa"</f>
        <v>#VALUE!</v>
      </c>
      <c r="EZ232" t="e">
        <f>Stock!2177:2177-"'E4!.Sb"</f>
        <v>#VALUE!</v>
      </c>
      <c r="FA232" t="e">
        <f>Stock!2178:2178-"'E4!.Sc"</f>
        <v>#VALUE!</v>
      </c>
      <c r="FB232" t="e">
        <f>Stock!2179:2179-"'E4!.Sd"</f>
        <v>#VALUE!</v>
      </c>
      <c r="FC232" t="e">
        <f>Stock!2180:2180-"'E4!.Se"</f>
        <v>#VALUE!</v>
      </c>
      <c r="FD232" t="e">
        <f>Stock!2181:2181-"'E4!.Sf"</f>
        <v>#VALUE!</v>
      </c>
      <c r="FE232" t="e">
        <f>Stock!2182:2182-"'E4!.Sg"</f>
        <v>#VALUE!</v>
      </c>
      <c r="FF232" t="e">
        <f>Stock!2183:2183-"'E4!.Sh"</f>
        <v>#VALUE!</v>
      </c>
      <c r="FG232" t="e">
        <f>Stock!2184:2184-"'E4!.Si"</f>
        <v>#VALUE!</v>
      </c>
      <c r="FH232" t="e">
        <f>Stock!2185:2185-"'E4!.Sj"</f>
        <v>#VALUE!</v>
      </c>
      <c r="FI232" t="e">
        <f>Stock!2186:2186-"'E4!.Sk"</f>
        <v>#VALUE!</v>
      </c>
      <c r="FJ232" t="e">
        <f>Stock!2187:2187-"'E4!.Sl"</f>
        <v>#VALUE!</v>
      </c>
      <c r="FK232" t="e">
        <f>Stock!2188:2188-"'E4!.Sm"</f>
        <v>#VALUE!</v>
      </c>
      <c r="FL232" t="e">
        <f>Stock!2189:2189-"'E4!.Sn"</f>
        <v>#VALUE!</v>
      </c>
      <c r="FM232" t="e">
        <f>Stock!2190:2190-"'E4!.So"</f>
        <v>#VALUE!</v>
      </c>
      <c r="FN232" t="e">
        <f>Stock!2191:2191-"'E4!.Sp"</f>
        <v>#VALUE!</v>
      </c>
      <c r="FO232" t="e">
        <f>Stock!2192:2192-"'E4!.Sq"</f>
        <v>#VALUE!</v>
      </c>
      <c r="FP232" t="e">
        <f>Stock!2193:2193-"'E4!.Sr"</f>
        <v>#VALUE!</v>
      </c>
      <c r="FQ232" t="e">
        <f>Stock!2194:2194-"'E4!.Ss"</f>
        <v>#VALUE!</v>
      </c>
      <c r="FR232" t="e">
        <f>Stock!2195:2195-"'E4!.St"</f>
        <v>#VALUE!</v>
      </c>
      <c r="FS232" t="e">
        <f>Stock!2196:2196-"'E4!.Su"</f>
        <v>#VALUE!</v>
      </c>
      <c r="FT232" t="e">
        <f>Stock!2197:2197-"'E4!.Sv"</f>
        <v>#VALUE!</v>
      </c>
      <c r="FU232" t="e">
        <f>Stock!2198:2198-"'E4!.Sw"</f>
        <v>#VALUE!</v>
      </c>
      <c r="FV232" t="e">
        <f>Stock!2199:2199-"'E4!.Sx"</f>
        <v>#VALUE!</v>
      </c>
      <c r="FW232" t="e">
        <f>Stock!2200:2200-"'E4!.Sy"</f>
        <v>#VALUE!</v>
      </c>
      <c r="FX232" t="e">
        <f>Stock!2201:2201-"'E4!.Sz"</f>
        <v>#VALUE!</v>
      </c>
      <c r="FY232" t="e">
        <f>Stock!2202:2202-"'E4!.S{"</f>
        <v>#VALUE!</v>
      </c>
      <c r="FZ232" t="e">
        <f>Stock!2203:2203-"'E4!.S|"</f>
        <v>#VALUE!</v>
      </c>
      <c r="GA232" t="e">
        <f>Stock!2204:2204-"'E4!.S}"</f>
        <v>#VALUE!</v>
      </c>
      <c r="GB232" t="e">
        <f>Stock!2205:2205-"'E4!.S~"</f>
        <v>#VALUE!</v>
      </c>
      <c r="GC232" t="e">
        <f>Stock!2206:2206-"'E4!.T#"</f>
        <v>#VALUE!</v>
      </c>
      <c r="GD232" t="e">
        <f>Stock!2207:2207-"'E4!.T$"</f>
        <v>#VALUE!</v>
      </c>
      <c r="GE232" t="e">
        <f>Stock!2208:2208-"'E4!.T%"</f>
        <v>#VALUE!</v>
      </c>
      <c r="GF232" t="e">
        <f>Stock!2209:2209-"'E4!.T&amp;"</f>
        <v>#VALUE!</v>
      </c>
      <c r="GG232" t="e">
        <f>Stock!2210:2210-"'E4!.T'"</f>
        <v>#VALUE!</v>
      </c>
      <c r="GH232" t="e">
        <f>Stock!2211:2211-"'E4!.T("</f>
        <v>#VALUE!</v>
      </c>
      <c r="GI232" t="e">
        <f>Stock!2212:2212-"'E4!.T)"</f>
        <v>#VALUE!</v>
      </c>
      <c r="GJ232" t="e">
        <f>Stock!2213:2213-"'E4!.T."</f>
        <v>#VALUE!</v>
      </c>
      <c r="GK232" t="e">
        <f>Stock!2214:2214-"'E4!.T/"</f>
        <v>#VALUE!</v>
      </c>
      <c r="GL232" t="e">
        <f>Stock!2215:2215-"'E4!.T0"</f>
        <v>#VALUE!</v>
      </c>
      <c r="GM232" t="e">
        <f>Stock!2216:2216-"'E4!.T1"</f>
        <v>#VALUE!</v>
      </c>
      <c r="GN232" t="e">
        <f>Stock!2217:2217-"'E4!.T2"</f>
        <v>#VALUE!</v>
      </c>
      <c r="GO232" t="e">
        <f>Stock!2218:2218-"'E4!.T3"</f>
        <v>#VALUE!</v>
      </c>
      <c r="GP232" t="e">
        <f>Stock!2219:2219-"'E4!.T4"</f>
        <v>#VALUE!</v>
      </c>
      <c r="GQ232" t="e">
        <f>Stock!2220:2220-"'E4!.T5"</f>
        <v>#VALUE!</v>
      </c>
      <c r="GR232" t="e">
        <f>Stock!2221:2221-"'E4!.T6"</f>
        <v>#VALUE!</v>
      </c>
      <c r="GS232" t="e">
        <f>Stock!2222:2222-"'E4!.T7"</f>
        <v>#VALUE!</v>
      </c>
      <c r="GT232" t="e">
        <f>Stock!2223:2223-"'E4!.T8"</f>
        <v>#VALUE!</v>
      </c>
      <c r="GU232" t="e">
        <f>Stock!2224:2224-"'E4!.T9"</f>
        <v>#VALUE!</v>
      </c>
      <c r="GV232" t="e">
        <f>Stock!2225:2225-"'E4!.T:"</f>
        <v>#VALUE!</v>
      </c>
      <c r="GW232" t="e">
        <f>Stock!2226:2226-"'E4!.T;"</f>
        <v>#VALUE!</v>
      </c>
      <c r="GX232" t="e">
        <f>Stock!2227:2227-"'E4!.T&lt;"</f>
        <v>#VALUE!</v>
      </c>
      <c r="GY232" t="e">
        <f>Stock!2228:2228-"'E4!.T="</f>
        <v>#VALUE!</v>
      </c>
      <c r="GZ232" t="e">
        <f>Stock!2229:2229-"'E4!.T&gt;"</f>
        <v>#VALUE!</v>
      </c>
      <c r="HA232" t="e">
        <f>Stock!2230:2230-"'E4!.T?"</f>
        <v>#VALUE!</v>
      </c>
      <c r="HB232" t="e">
        <f>Stock!2231:2231-"'E4!.T@"</f>
        <v>#VALUE!</v>
      </c>
      <c r="HC232" t="e">
        <f>Stock!2232:2232-"'E4!.TA"</f>
        <v>#VALUE!</v>
      </c>
      <c r="HD232" t="e">
        <f>Stock!2233:2233-"'E4!.TB"</f>
        <v>#VALUE!</v>
      </c>
      <c r="HE232" t="e">
        <f>Stock!2234:2234-"'E4!.TC"</f>
        <v>#VALUE!</v>
      </c>
      <c r="HF232" t="e">
        <f>Stock!2235:2235-"'E4!.TD"</f>
        <v>#VALUE!</v>
      </c>
      <c r="HG232" t="e">
        <f>Stock!2236:2236-"'E4!.TE"</f>
        <v>#VALUE!</v>
      </c>
      <c r="HH232" t="e">
        <f>Stock!2237:2237-"'E4!.TF"</f>
        <v>#VALUE!</v>
      </c>
      <c r="HI232" t="e">
        <f>Stock!2238:2238-"'E4!.TG"</f>
        <v>#VALUE!</v>
      </c>
      <c r="HJ232" t="e">
        <f>Stock!2239:2239-"'E4!.TH"</f>
        <v>#VALUE!</v>
      </c>
      <c r="HK232" t="e">
        <f>Stock!2240:2240-"'E4!.TI"</f>
        <v>#VALUE!</v>
      </c>
      <c r="HL232" t="e">
        <f>Stock!2241:2241-"'E4!.TJ"</f>
        <v>#VALUE!</v>
      </c>
      <c r="HM232" t="e">
        <f>Stock!2242:2242-"'E4!.TK"</f>
        <v>#VALUE!</v>
      </c>
      <c r="HN232" t="e">
        <f>Stock!2243:2243-"'E4!.TL"</f>
        <v>#VALUE!</v>
      </c>
      <c r="HO232" t="e">
        <f>Stock!2244:2244-"'E4!.TM"</f>
        <v>#VALUE!</v>
      </c>
      <c r="HP232" t="e">
        <f>Stock!2245:2245-"'E4!.TN"</f>
        <v>#VALUE!</v>
      </c>
      <c r="HQ232" t="e">
        <f>Stock!2246:2246-"'E4!.TO"</f>
        <v>#VALUE!</v>
      </c>
      <c r="HR232" t="e">
        <f>Stock!2247:2247-"'E4!.TP"</f>
        <v>#VALUE!</v>
      </c>
      <c r="HS232" t="e">
        <f>Stock!2248:2248-"'E4!.TQ"</f>
        <v>#VALUE!</v>
      </c>
      <c r="HT232" t="e">
        <f>Stock!2249:2249-"'E4!.TR"</f>
        <v>#VALUE!</v>
      </c>
      <c r="HU232" t="e">
        <f>Stock!2250:2250-"'E4!.TS"</f>
        <v>#VALUE!</v>
      </c>
      <c r="HV232" t="e">
        <f>Stock!2251:2251-"'E4!.TT"</f>
        <v>#VALUE!</v>
      </c>
      <c r="HW232" t="e">
        <f>Stock!2252:2252-"'E4!.TU"</f>
        <v>#VALUE!</v>
      </c>
      <c r="HX232" t="e">
        <f>Stock!2253:2253-"'E4!.TV"</f>
        <v>#VALUE!</v>
      </c>
      <c r="HY232" t="e">
        <f>Stock!2254:2254-"'E4!.TW"</f>
        <v>#VALUE!</v>
      </c>
      <c r="HZ232" t="e">
        <f>Stock!2255:2255-"'E4!.TX"</f>
        <v>#VALUE!</v>
      </c>
      <c r="IA232" t="e">
        <f>Stock!2256:2256-"'E4!.TY"</f>
        <v>#VALUE!</v>
      </c>
      <c r="IB232" t="e">
        <f>Stock!2257:2257-"'E4!.TZ"</f>
        <v>#VALUE!</v>
      </c>
      <c r="IC232" t="e">
        <f>Stock!2258:2258-"'E4!.T["</f>
        <v>#VALUE!</v>
      </c>
      <c r="ID232" t="e">
        <f>Stock!2259:2259-"'E4!.T\"</f>
        <v>#VALUE!</v>
      </c>
      <c r="IE232" t="e">
        <f>Stock!2260:2260-"'E4!.T]"</f>
        <v>#VALUE!</v>
      </c>
      <c r="IF232" t="e">
        <f>Stock!2261:2261-"'E4!.T^"</f>
        <v>#VALUE!</v>
      </c>
      <c r="IG232" t="e">
        <f>Stock!2262:2262-"'E4!.T_"</f>
        <v>#VALUE!</v>
      </c>
      <c r="IH232" t="e">
        <f>Stock!2263:2263-"'E4!.T`"</f>
        <v>#VALUE!</v>
      </c>
      <c r="II232" t="e">
        <f>Stock!2264:2264-"'E4!.Ta"</f>
        <v>#VALUE!</v>
      </c>
      <c r="IJ232" t="e">
        <f>Stock!2265:2265-"'E4!.Tb"</f>
        <v>#VALUE!</v>
      </c>
      <c r="IK232" t="e">
        <f>Stock!2266:2266-"'E4!.Tc"</f>
        <v>#VALUE!</v>
      </c>
      <c r="IL232" t="e">
        <f>Stock!2267:2267-"'E4!.Td"</f>
        <v>#VALUE!</v>
      </c>
      <c r="IM232" t="e">
        <f>Stock!2268:2268-"'E4!.Te"</f>
        <v>#VALUE!</v>
      </c>
      <c r="IN232" t="e">
        <f>Stock!2269:2269-"'E4!.Tf"</f>
        <v>#VALUE!</v>
      </c>
      <c r="IO232" t="e">
        <f>Stock!2270:2270-"'E4!.Tg"</f>
        <v>#VALUE!</v>
      </c>
      <c r="IP232" t="e">
        <f>Stock!2271:2271-"'E4!.Th"</f>
        <v>#VALUE!</v>
      </c>
      <c r="IQ232" t="e">
        <f>Stock!2272:2272-"'E4!.Ti"</f>
        <v>#VALUE!</v>
      </c>
      <c r="IR232" t="e">
        <f>Stock!2273:2273-"'E4!.Tj"</f>
        <v>#VALUE!</v>
      </c>
      <c r="IS232" t="e">
        <f>Stock!2274:2274-"'E4!.Tk"</f>
        <v>#VALUE!</v>
      </c>
      <c r="IT232" t="e">
        <f>Stock!2275:2275-"'E4!.Tl"</f>
        <v>#VALUE!</v>
      </c>
      <c r="IU232" t="e">
        <f>Stock!2276:2276-"'E4!.Tm"</f>
        <v>#VALUE!</v>
      </c>
      <c r="IV232" t="e">
        <f>Stock!2277:2277-"'E4!.Tn"</f>
        <v>#VALUE!</v>
      </c>
    </row>
    <row r="233" spans="6:256">
      <c r="F233" t="e">
        <f>Stock!2278:2278-"'E4!.To"</f>
        <v>#VALUE!</v>
      </c>
      <c r="G233" t="e">
        <f>Stock!2279:2279-"'E4!.Tp"</f>
        <v>#VALUE!</v>
      </c>
      <c r="H233" t="e">
        <f>Stock!2280:2280-"'E4!.Tq"</f>
        <v>#VALUE!</v>
      </c>
      <c r="I233" t="e">
        <f>Stock!2281:2281-"'E4!.Tr"</f>
        <v>#VALUE!</v>
      </c>
      <c r="J233" t="e">
        <f>Stock!2282:2282-"'E4!.Ts"</f>
        <v>#VALUE!</v>
      </c>
      <c r="K233" t="e">
        <f>Stock!2283:2283-"'E4!.Tt"</f>
        <v>#VALUE!</v>
      </c>
      <c r="L233" t="e">
        <f>Stock!2284:2284-"'E4!.Tu"</f>
        <v>#VALUE!</v>
      </c>
      <c r="M233" t="e">
        <f>Stock!2285:2285-"'E4!.Tv"</f>
        <v>#VALUE!</v>
      </c>
      <c r="N233" t="e">
        <f>Stock!2286:2286-"'E4!.Tw"</f>
        <v>#VALUE!</v>
      </c>
      <c r="O233" t="e">
        <f>Stock!2287:2287-"'E4!.Tx"</f>
        <v>#VALUE!</v>
      </c>
      <c r="P233" t="e">
        <f>Stock!2288:2288-"'E4!.Ty"</f>
        <v>#VALUE!</v>
      </c>
      <c r="Q233" t="e">
        <f>Stock!2289:2289-"'E4!.Tz"</f>
        <v>#VALUE!</v>
      </c>
      <c r="R233" t="e">
        <f>Stock!2290:2290-"'E4!.T{"</f>
        <v>#VALUE!</v>
      </c>
      <c r="S233" t="e">
        <f>Stock!2291:2291-"'E4!.T|"</f>
        <v>#VALUE!</v>
      </c>
      <c r="T233" t="e">
        <f>Stock!2292:2292-"'E4!.T}"</f>
        <v>#VALUE!</v>
      </c>
      <c r="U233" t="e">
        <f>Stock!2293:2293-"'E4!.T~"</f>
        <v>#VALUE!</v>
      </c>
      <c r="V233" t="e">
        <f>Stock!2294:2294-"'E4!.U#"</f>
        <v>#VALUE!</v>
      </c>
      <c r="W233" t="e">
        <f>Stock!2295:2295-"'E4!.U$"</f>
        <v>#VALUE!</v>
      </c>
      <c r="X233" t="e">
        <f>Stock!2296:2296-"'E4!.U%"</f>
        <v>#VALUE!</v>
      </c>
      <c r="Y233" t="e">
        <f>Stock!2297:2297-"'E4!.U&amp;"</f>
        <v>#VALUE!</v>
      </c>
      <c r="Z233" t="e">
        <f>Stock!2298:2298-"'E4!.U'"</f>
        <v>#VALUE!</v>
      </c>
      <c r="AA233" t="e">
        <f>Stock!2299:2299-"'E4!.U("</f>
        <v>#VALUE!</v>
      </c>
      <c r="AB233" t="e">
        <f>Stock!2300:2300-"'E4!.U)"</f>
        <v>#VALUE!</v>
      </c>
      <c r="AC233" t="e">
        <f>Stock!2301:2301-"'E4!.U."</f>
        <v>#VALUE!</v>
      </c>
      <c r="AD233" t="e">
        <f>Stock!2302:2302-"'E4!.U/"</f>
        <v>#VALUE!</v>
      </c>
      <c r="AE233" t="e">
        <f>Stock!2303:2303-"'E4!.U0"</f>
        <v>#VALUE!</v>
      </c>
      <c r="AF233" t="e">
        <f>Stock!2304:2304-"'E4!.U1"</f>
        <v>#VALUE!</v>
      </c>
      <c r="AG233" t="e">
        <f>Stock!2305:2305-"'E4!.U2"</f>
        <v>#VALUE!</v>
      </c>
      <c r="AH233" t="e">
        <f>Stock!2306:2306-"'E4!.U3"</f>
        <v>#VALUE!</v>
      </c>
      <c r="AI233" t="e">
        <f>Stock!2307:2307-"'E4!.U4"</f>
        <v>#VALUE!</v>
      </c>
      <c r="AJ233" t="e">
        <f>Stock!2308:2308-"'E4!.U5"</f>
        <v>#VALUE!</v>
      </c>
      <c r="AK233" t="e">
        <f>Stock!2309:2309-"'E4!.U6"</f>
        <v>#VALUE!</v>
      </c>
      <c r="AL233" t="e">
        <f>Stock!2310:2310-"'E4!.U7"</f>
        <v>#VALUE!</v>
      </c>
      <c r="AM233" t="e">
        <f>Stock!2311:2311-"'E4!.U8"</f>
        <v>#VALUE!</v>
      </c>
      <c r="AN233" t="e">
        <f>Stock!2312:2312-"'E4!.U9"</f>
        <v>#VALUE!</v>
      </c>
      <c r="AO233" t="e">
        <f>Stock!2313:2313-"'E4!.U:"</f>
        <v>#VALUE!</v>
      </c>
      <c r="AP233" t="e">
        <f>Stock!2314:2314-"'E4!.U;"</f>
        <v>#VALUE!</v>
      </c>
      <c r="AQ233" t="e">
        <f>Stock!2315:2315-"'E4!.U&lt;"</f>
        <v>#VALUE!</v>
      </c>
      <c r="AR233" t="e">
        <f>Stock!2316:2316-"'E4!.U="</f>
        <v>#VALUE!</v>
      </c>
      <c r="AS233" t="e">
        <f>Stock!2317:2317-"'E4!.U&gt;"</f>
        <v>#VALUE!</v>
      </c>
      <c r="AT233" t="e">
        <f>Stock!2318:2318-"'E4!.U?"</f>
        <v>#VALUE!</v>
      </c>
      <c r="AU233" t="e">
        <f>Stock!2319:2319-"'E4!.U@"</f>
        <v>#VALUE!</v>
      </c>
      <c r="AV233" t="e">
        <f>Stock!2320:2320-"'E4!.UA"</f>
        <v>#VALUE!</v>
      </c>
      <c r="AW233" t="e">
        <f>Stock!2321:2321-"'E4!.UB"</f>
        <v>#VALUE!</v>
      </c>
      <c r="AX233" t="e">
        <f>Stock!2322:2322-"'E4!.UC"</f>
        <v>#VALUE!</v>
      </c>
      <c r="AY233" t="e">
        <f>Stock!2323:2323-"'E4!.UD"</f>
        <v>#VALUE!</v>
      </c>
      <c r="AZ233" t="e">
        <f>Stock!2324:2324-"'E4!.UE"</f>
        <v>#VALUE!</v>
      </c>
      <c r="BA233" t="e">
        <f>Stock!2325:2325-"'E4!.UF"</f>
        <v>#VALUE!</v>
      </c>
      <c r="BB233" t="e">
        <f>Stock!2326:2326-"'E4!.UG"</f>
        <v>#VALUE!</v>
      </c>
      <c r="BC233" t="e">
        <f>Stock!2327:2327-"'E4!.UH"</f>
        <v>#VALUE!</v>
      </c>
      <c r="BD233" t="e">
        <f>Stock!2328:2328-"'E4!.UI"</f>
        <v>#VALUE!</v>
      </c>
      <c r="BE233" t="e">
        <f>Stock!2329:2329-"'E4!.UJ"</f>
        <v>#VALUE!</v>
      </c>
      <c r="BF233" t="e">
        <f>Stock!2330:2330-"'E4!.UK"</f>
        <v>#VALUE!</v>
      </c>
      <c r="BG233" t="e">
        <f>Stock!2331:2331-"'E4!.UL"</f>
        <v>#VALUE!</v>
      </c>
      <c r="BH233" t="e">
        <f>Stock!2332:2332-"'E4!.UM"</f>
        <v>#VALUE!</v>
      </c>
      <c r="BI233" t="e">
        <f>Stock!2333:2333-"'E4!.UN"</f>
        <v>#VALUE!</v>
      </c>
      <c r="BJ233" t="e">
        <f>Stock!2334:2334-"'E4!.UO"</f>
        <v>#VALUE!</v>
      </c>
      <c r="BK233" t="e">
        <f>Stock!2335:2335-"'E4!.UP"</f>
        <v>#VALUE!</v>
      </c>
      <c r="BL233" t="e">
        <f>Stock!2336:2336-"'E4!.UQ"</f>
        <v>#VALUE!</v>
      </c>
      <c r="BM233" t="e">
        <f>Stock!2337:2337-"'E4!.UR"</f>
        <v>#VALUE!</v>
      </c>
      <c r="BN233" t="e">
        <f>Stock!2338:2338-"'E4!.US"</f>
        <v>#VALUE!</v>
      </c>
      <c r="BO233" t="e">
        <f>Stock!2339:2339-"'E4!.UT"</f>
        <v>#VALUE!</v>
      </c>
      <c r="BP233" t="e">
        <f>Stock!2340:2340-"'E4!.UU"</f>
        <v>#VALUE!</v>
      </c>
      <c r="BQ233" t="e">
        <f>Stock!2341:2341-"'E4!.UV"</f>
        <v>#VALUE!</v>
      </c>
      <c r="BR233" t="e">
        <f>Stock!2342:2342-"'E4!.UW"</f>
        <v>#VALUE!</v>
      </c>
      <c r="BS233" t="e">
        <f>Stock!2343:2343-"'E4!.UX"</f>
        <v>#VALUE!</v>
      </c>
      <c r="BT233" t="e">
        <f>Stock!2344:2344-"'E4!.UY"</f>
        <v>#VALUE!</v>
      </c>
      <c r="BU233" t="e">
        <f>Stock!2345:2345-"'E4!.UZ"</f>
        <v>#VALUE!</v>
      </c>
      <c r="BV233" t="e">
        <f>Stock!2346:2346-"'E4!.U["</f>
        <v>#VALUE!</v>
      </c>
      <c r="BW233" t="e">
        <f>Stock!2347:2347-"'E4!.U\"</f>
        <v>#VALUE!</v>
      </c>
      <c r="BX233" t="e">
        <f>Stock!2348:2348-"'E4!.U]"</f>
        <v>#VALUE!</v>
      </c>
      <c r="BY233" t="e">
        <f>Stock!2349:2349-"'E4!.U^"</f>
        <v>#VALUE!</v>
      </c>
      <c r="BZ233" t="e">
        <f>Stock!2350:2350-"'E4!.U_"</f>
        <v>#VALUE!</v>
      </c>
      <c r="CA233" t="e">
        <f>Stock!2351:2351-"'E4!.U`"</f>
        <v>#VALUE!</v>
      </c>
      <c r="CB233" t="e">
        <f>Stock!2352:2352-"'E4!.Ua"</f>
        <v>#VALUE!</v>
      </c>
      <c r="CC233" t="e">
        <f>Stock!2353:2353-"'E4!.Ub"</f>
        <v>#VALUE!</v>
      </c>
      <c r="CD233" t="e">
        <f>Stock!2354:2354-"'E4!.Uc"</f>
        <v>#VALUE!</v>
      </c>
      <c r="CE233" t="e">
        <f>Stock!2355:2355-"'E4!.Ud"</f>
        <v>#VALUE!</v>
      </c>
      <c r="CF233" t="e">
        <f>Stock!2356:2356-"'E4!.Ue"</f>
        <v>#VALUE!</v>
      </c>
      <c r="CG233" t="e">
        <f>Stock!2357:2357-"'E4!.Uf"</f>
        <v>#VALUE!</v>
      </c>
      <c r="CH233" t="e">
        <f>Stock!2358:2358-"'E4!.Ug"</f>
        <v>#VALUE!</v>
      </c>
      <c r="CI233" t="e">
        <f>Stock!2359:2359-"'E4!.Uh"</f>
        <v>#VALUE!</v>
      </c>
      <c r="CJ233" t="e">
        <f>Stock!2360:2360-"'E4!.Ui"</f>
        <v>#VALUE!</v>
      </c>
      <c r="CK233" t="e">
        <f>Stock!2361:2361-"'E4!.Uj"</f>
        <v>#VALUE!</v>
      </c>
      <c r="CL233" t="e">
        <f>Stock!2362:2362-"'E4!.Uk"</f>
        <v>#VALUE!</v>
      </c>
      <c r="CM233" t="e">
        <f>Stock!2363:2363-"'E4!.Ul"</f>
        <v>#VALUE!</v>
      </c>
      <c r="CN233" t="e">
        <f>Stock!2364:2364-"'E4!.Um"</f>
        <v>#VALUE!</v>
      </c>
      <c r="CO233" t="e">
        <f>Stock!2365:2365-"'E4!.Un"</f>
        <v>#VALUE!</v>
      </c>
      <c r="CP233" t="e">
        <f>Stock!2366:2366-"'E4!.Uo"</f>
        <v>#VALUE!</v>
      </c>
      <c r="CQ233" t="e">
        <f>Stock!2367:2367-"'E4!.Up"</f>
        <v>#VALUE!</v>
      </c>
      <c r="CR233" t="e">
        <f>Stock!2368:2368-"'E4!.Uq"</f>
        <v>#VALUE!</v>
      </c>
      <c r="CS233" t="e">
        <f>Stock!2369:2369-"'E4!.Ur"</f>
        <v>#VALUE!</v>
      </c>
      <c r="CT233" t="e">
        <f>Stock!2370:2370-"'E4!.Us"</f>
        <v>#VALUE!</v>
      </c>
      <c r="CU233" t="e">
        <f>Stock!2371:2371-"'E4!.Ut"</f>
        <v>#VALUE!</v>
      </c>
      <c r="CV233" t="e">
        <f>Stock!2372:2372-"'E4!.Uu"</f>
        <v>#VALUE!</v>
      </c>
      <c r="CW233" t="e">
        <f>Stock!2373:2373-"'E4!.Uv"</f>
        <v>#VALUE!</v>
      </c>
      <c r="CX233" t="e">
        <f>Stock!2374:2374-"'E4!.Uw"</f>
        <v>#VALUE!</v>
      </c>
      <c r="CY233" t="e">
        <f>Stock!2375:2375-"'E4!.Ux"</f>
        <v>#VALUE!</v>
      </c>
      <c r="CZ233" t="e">
        <f>Stock!2376:2376-"'E4!.Uy"</f>
        <v>#VALUE!</v>
      </c>
      <c r="DA233" t="e">
        <f>Stock!2377:2377-"'E4!.Uz"</f>
        <v>#VALUE!</v>
      </c>
      <c r="DB233" t="e">
        <f>Stock!2378:2378-"'E4!.U{"</f>
        <v>#VALUE!</v>
      </c>
      <c r="DC233" t="e">
        <f>Stock!2379:2379-"'E4!.U|"</f>
        <v>#VALUE!</v>
      </c>
      <c r="DD233" t="e">
        <f>Stock!2380:2380-"'E4!.U}"</f>
        <v>#VALUE!</v>
      </c>
      <c r="DE233" t="e">
        <f>Stock!2381:2381-"'E4!.U~"</f>
        <v>#VALUE!</v>
      </c>
      <c r="DF233" t="e">
        <f>Stock!2382:2382-"'E4!.V#"</f>
        <v>#VALUE!</v>
      </c>
      <c r="DG233" t="e">
        <f>Stock!2383:2383-"'E4!.V$"</f>
        <v>#VALUE!</v>
      </c>
      <c r="DH233" t="e">
        <f>Stock!2384:2384-"'E4!.V%"</f>
        <v>#VALUE!</v>
      </c>
      <c r="DI233" t="e">
        <f>Stock!2385:2385-"'E4!.V&amp;"</f>
        <v>#VALUE!</v>
      </c>
      <c r="DJ233" t="e">
        <f>Stock!2386:2386-"'E4!.V'"</f>
        <v>#VALUE!</v>
      </c>
      <c r="DK233" t="e">
        <f>Stock!2387:2387-"'E4!.V("</f>
        <v>#VALUE!</v>
      </c>
      <c r="DL233" t="e">
        <f>Stock!2388:2388-"'E4!.V)"</f>
        <v>#VALUE!</v>
      </c>
      <c r="DM233" t="e">
        <f>Stock!2389:2389-"'E4!.V."</f>
        <v>#VALUE!</v>
      </c>
      <c r="DN233" t="e">
        <f>Stock!2390:2390-"'E4!.V/"</f>
        <v>#VALUE!</v>
      </c>
      <c r="DO233" t="e">
        <f>Stock!2391:2391-"'E4!.V0"</f>
        <v>#VALUE!</v>
      </c>
      <c r="DP233" t="e">
        <f>Stock!2392:2392-"'E4!.V1"</f>
        <v>#VALUE!</v>
      </c>
      <c r="DQ233" t="e">
        <f>Stock!2393:2393-"'E4!.V2"</f>
        <v>#VALUE!</v>
      </c>
      <c r="DR233" t="e">
        <f>Stock!2394:2394-"'E4!.V3"</f>
        <v>#VALUE!</v>
      </c>
      <c r="DS233" t="e">
        <f>Stock!2395:2395-"'E4!.V4"</f>
        <v>#VALUE!</v>
      </c>
      <c r="DT233" t="e">
        <f>Stock!2396:2396-"'E4!.V5"</f>
        <v>#VALUE!</v>
      </c>
      <c r="DU233" t="e">
        <f>Stock!2397:2397-"'E4!.V6"</f>
        <v>#VALUE!</v>
      </c>
      <c r="DV233" t="e">
        <f>Stock!2398:2398-"'E4!.V7"</f>
        <v>#VALUE!</v>
      </c>
      <c r="DW233" t="e">
        <f>Stock!2399:2399-"'E4!.V8"</f>
        <v>#VALUE!</v>
      </c>
      <c r="DX233" t="e">
        <f>Stock!2400:2400-"'E4!.V9"</f>
        <v>#VALUE!</v>
      </c>
      <c r="DY233" t="e">
        <f>Stock!2401:2401-"'E4!.V:"</f>
        <v>#VALUE!</v>
      </c>
      <c r="DZ233" t="e">
        <f>Stock!2402:2402-"'E4!.V;"</f>
        <v>#VALUE!</v>
      </c>
      <c r="EA233" t="e">
        <f>Stock!2403:2403-"'E4!.V&lt;"</f>
        <v>#VALUE!</v>
      </c>
      <c r="EB233" t="e">
        <f>Stock!2404:2404-"'E4!.V="</f>
        <v>#VALUE!</v>
      </c>
      <c r="EC233" t="e">
        <f>Stock!2405:2405-"'E4!.V&gt;"</f>
        <v>#VALUE!</v>
      </c>
      <c r="ED233" t="e">
        <f>Stock!2406:2406-"'E4!.V?"</f>
        <v>#VALUE!</v>
      </c>
      <c r="EE233" t="e">
        <f>Stock!2407:2407-"'E4!.V@"</f>
        <v>#VALUE!</v>
      </c>
      <c r="EF233" t="e">
        <f>Stock!2408:2408-"'E4!.VA"</f>
        <v>#VALUE!</v>
      </c>
      <c r="EG233" t="e">
        <f>Stock!2409:2409-"'E4!.VB"</f>
        <v>#VALUE!</v>
      </c>
      <c r="EH233" t="e">
        <f>Stock!2410:2410-"'E4!.VC"</f>
        <v>#VALUE!</v>
      </c>
      <c r="EI233" t="e">
        <f>Stock!2411:2411-"'E4!.VD"</f>
        <v>#VALUE!</v>
      </c>
      <c r="EJ233" t="e">
        <f>Stock!2412:2412-"'E4!.VE"</f>
        <v>#VALUE!</v>
      </c>
      <c r="EK233" t="e">
        <f>Stock!2413:2413-"'E4!.VF"</f>
        <v>#VALUE!</v>
      </c>
      <c r="EL233" t="e">
        <f>Stock!2414:2414-"'E4!.VG"</f>
        <v>#VALUE!</v>
      </c>
      <c r="EM233" t="e">
        <f>Stock!2415:2415-"'E4!.VH"</f>
        <v>#VALUE!</v>
      </c>
      <c r="EN233" t="e">
        <f>Stock!2416:2416-"'E4!.VI"</f>
        <v>#VALUE!</v>
      </c>
      <c r="EO233" t="e">
        <f>Stock!2417:2417-"'E4!.VJ"</f>
        <v>#VALUE!</v>
      </c>
      <c r="EP233" t="e">
        <f>Stock!2418:2418-"'E4!.VK"</f>
        <v>#VALUE!</v>
      </c>
      <c r="EQ233" t="e">
        <f>Stock!2419:2419-"'E4!.VL"</f>
        <v>#VALUE!</v>
      </c>
      <c r="ER233" t="e">
        <f>Stock!2420:2420-"'E4!.VM"</f>
        <v>#VALUE!</v>
      </c>
      <c r="ES233" t="e">
        <f>Stock!2421:2421-"'E4!.VN"</f>
        <v>#VALUE!</v>
      </c>
      <c r="ET233" t="e">
        <f>Stock!2422:2422-"'E4!.VO"</f>
        <v>#VALUE!</v>
      </c>
      <c r="EU233" t="e">
        <f>Stock!2423:2423-"'E4!.VP"</f>
        <v>#VALUE!</v>
      </c>
      <c r="EV233" t="e">
        <f>Stock!2424:2424-"'E4!.VQ"</f>
        <v>#VALUE!</v>
      </c>
      <c r="EW233" t="e">
        <f>Stock!2425:2425-"'E4!.VR"</f>
        <v>#VALUE!</v>
      </c>
      <c r="EX233" t="e">
        <f>Stock!2426:2426-"'E4!.VS"</f>
        <v>#VALUE!</v>
      </c>
      <c r="EY233" t="e">
        <f>Stock!2427:2427-"'E4!.VT"</f>
        <v>#VALUE!</v>
      </c>
      <c r="EZ233" t="e">
        <f>Stock!2428:2428-"'E4!.VU"</f>
        <v>#VALUE!</v>
      </c>
      <c r="FA233" t="e">
        <f>Stock!2429:2429-"'E4!.VV"</f>
        <v>#VALUE!</v>
      </c>
      <c r="FB233" t="e">
        <f>Stock!2430:2430-"'E4!.VW"</f>
        <v>#VALUE!</v>
      </c>
      <c r="FC233" t="e">
        <f>Stock!2431:2431-"'E4!.VX"</f>
        <v>#VALUE!</v>
      </c>
      <c r="FD233" t="e">
        <f>Stock!2432:2432-"'E4!.VY"</f>
        <v>#VALUE!</v>
      </c>
      <c r="FE233" t="e">
        <f>Stock!2433:2433-"'E4!.VZ"</f>
        <v>#VALUE!</v>
      </c>
      <c r="FF233" t="e">
        <f>Stock!2434:2434-"'E4!.V["</f>
        <v>#VALUE!</v>
      </c>
      <c r="FG233" t="e">
        <f>Stock!2435:2435-"'E4!.V\"</f>
        <v>#VALUE!</v>
      </c>
      <c r="FH233" t="e">
        <f>Stock!2436:2436-"'E4!.V]"</f>
        <v>#VALUE!</v>
      </c>
      <c r="FI233" t="e">
        <f>Stock!2437:2437-"'E4!.V^"</f>
        <v>#VALUE!</v>
      </c>
      <c r="FJ233" t="e">
        <f>Stock!2438:2438-"'E4!.V_"</f>
        <v>#VALUE!</v>
      </c>
      <c r="FK233" t="e">
        <f>Stock!2439:2439-"'E4!.V`"</f>
        <v>#VALUE!</v>
      </c>
      <c r="FL233" t="e">
        <f>Stock!2440:2440-"'E4!.Va"</f>
        <v>#VALUE!</v>
      </c>
      <c r="FM233" t="e">
        <f>Stock!2441:2441-"'E4!.Vb"</f>
        <v>#VALUE!</v>
      </c>
      <c r="FN233" t="e">
        <f>Stock!2442:2442-"'E4!.Vc"</f>
        <v>#VALUE!</v>
      </c>
      <c r="FO233" t="e">
        <f>Stock!2443:2443-"'E4!.Vd"</f>
        <v>#VALUE!</v>
      </c>
      <c r="FP233" t="e">
        <f>Stock!2444:2444-"'E4!.Ve"</f>
        <v>#VALUE!</v>
      </c>
      <c r="FQ233" t="e">
        <f>Stock!2445:2445-"'E4!.Vf"</f>
        <v>#VALUE!</v>
      </c>
      <c r="FR233" t="e">
        <f>Stock!2446:2446-"'E4!.Vg"</f>
        <v>#VALUE!</v>
      </c>
      <c r="FS233" t="e">
        <f>Stock!2447:2447-"'E4!.Vh"</f>
        <v>#VALUE!</v>
      </c>
      <c r="FT233" t="e">
        <f>Stock!2448:2448-"'E4!.Vi"</f>
        <v>#VALUE!</v>
      </c>
      <c r="FU233" t="e">
        <f>Stock!2449:2449-"'E4!.Vj"</f>
        <v>#VALUE!</v>
      </c>
      <c r="FV233" t="e">
        <f>Stock!2450:2450-"'E4!.Vk"</f>
        <v>#VALUE!</v>
      </c>
      <c r="FW233" t="e">
        <f>Stock!2451:2451-"'E4!.Vl"</f>
        <v>#VALUE!</v>
      </c>
      <c r="FX233" t="e">
        <f>Stock!2452:2452-"'E4!.Vm"</f>
        <v>#VALUE!</v>
      </c>
      <c r="FY233" t="e">
        <f>Stock!2453:2453-"'E4!.Vn"</f>
        <v>#VALUE!</v>
      </c>
      <c r="FZ233" t="e">
        <f>Stock!2454:2454-"'E4!.Vo"</f>
        <v>#VALUE!</v>
      </c>
      <c r="GA233" t="e">
        <f>Stock!2455:2455-"'E4!.Vp"</f>
        <v>#VALUE!</v>
      </c>
      <c r="GB233" t="e">
        <f>Stock!2456:2456-"'E4!.Vq"</f>
        <v>#VALUE!</v>
      </c>
      <c r="GC233" t="e">
        <f>Stock!2457:2457-"'E4!.Vr"</f>
        <v>#VALUE!</v>
      </c>
      <c r="GD233" t="e">
        <f>Stock!2458:2458-"'E4!.Vs"</f>
        <v>#VALUE!</v>
      </c>
      <c r="GE233" t="e">
        <f>Stock!2459:2459-"'E4!.Vt"</f>
        <v>#VALUE!</v>
      </c>
      <c r="GF233" t="e">
        <f>Stock!2460:2460-"'E4!.Vu"</f>
        <v>#VALUE!</v>
      </c>
      <c r="GG233" t="e">
        <f>Stock!2461:2461-"'E4!.Vv"</f>
        <v>#VALUE!</v>
      </c>
      <c r="GH233" t="e">
        <f>Stock!2462:2462-"'E4!.Vw"</f>
        <v>#VALUE!</v>
      </c>
      <c r="GI233" t="e">
        <f>Stock!2463:2463-"'E4!.Vx"</f>
        <v>#VALUE!</v>
      </c>
      <c r="GJ233" t="e">
        <f>Stock!2464:2464-"'E4!.Vy"</f>
        <v>#VALUE!</v>
      </c>
      <c r="GK233" t="e">
        <f>Stock!2465:2465-"'E4!.Vz"</f>
        <v>#VALUE!</v>
      </c>
      <c r="GL233" t="e">
        <f>Stock!2466:2466-"'E4!.V{"</f>
        <v>#VALUE!</v>
      </c>
      <c r="GM233" t="e">
        <f>Stock!2467:2467-"'E4!.V|"</f>
        <v>#VALUE!</v>
      </c>
      <c r="GN233" t="e">
        <f>Stock!2468:2468-"'E4!.V}"</f>
        <v>#VALUE!</v>
      </c>
      <c r="GO233" t="e">
        <f>Stock!2469:2469-"'E4!.V~"</f>
        <v>#VALUE!</v>
      </c>
      <c r="GP233" t="e">
        <f>Stock!2470:2470-"'E4!.W#"</f>
        <v>#VALUE!</v>
      </c>
      <c r="GQ233" t="e">
        <f>Stock!2471:2471-"'E4!.W$"</f>
        <v>#VALUE!</v>
      </c>
      <c r="GR233" t="e">
        <f>Stock!2472:2472-"'E4!.W%"</f>
        <v>#VALUE!</v>
      </c>
      <c r="GS233" t="e">
        <f>Stock!2473:2473-"'E4!.W&amp;"</f>
        <v>#VALUE!</v>
      </c>
      <c r="GT233" t="e">
        <f>Stock!2474:2474-"'E4!.W'"</f>
        <v>#VALUE!</v>
      </c>
      <c r="GU233" t="e">
        <f>Stock!2475:2475-"'E4!.W("</f>
        <v>#VALUE!</v>
      </c>
      <c r="GV233" t="e">
        <f>Stock!2476:2476-"'E4!.W)"</f>
        <v>#VALUE!</v>
      </c>
      <c r="GW233" t="e">
        <f>Stock!2477:2477-"'E4!.W."</f>
        <v>#VALUE!</v>
      </c>
      <c r="GX233" t="e">
        <f>Stock!2478:2478-"'E4!.W/"</f>
        <v>#VALUE!</v>
      </c>
      <c r="GY233" t="e">
        <f>Stock!2479:2479-"'E4!.W0"</f>
        <v>#VALUE!</v>
      </c>
      <c r="GZ233" t="e">
        <f>Stock!2480:2480-"'E4!.W1"</f>
        <v>#VALUE!</v>
      </c>
      <c r="HA233" t="e">
        <f>Stock!2481:2481-"'E4!.W2"</f>
        <v>#VALUE!</v>
      </c>
      <c r="HB233" t="e">
        <f>Stock!2482:2482-"'E4!.W3"</f>
        <v>#VALUE!</v>
      </c>
      <c r="HC233" t="e">
        <f>Stock!2483:2483-"'E4!.W4"</f>
        <v>#VALUE!</v>
      </c>
      <c r="HD233" t="e">
        <f>Stock!2484:2484-"'E4!.W5"</f>
        <v>#VALUE!</v>
      </c>
      <c r="HE233" t="e">
        <f>Stock!2485:2485-"'E4!.W6"</f>
        <v>#VALUE!</v>
      </c>
      <c r="HF233" t="e">
        <f>Stock!2486:2486-"'E4!.W7"</f>
        <v>#VALUE!</v>
      </c>
      <c r="HG233" t="e">
        <f>Stock!2487:2487-"'E4!.W8"</f>
        <v>#VALUE!</v>
      </c>
      <c r="HH233" t="e">
        <f>Stock!2488:2488-"'E4!.W9"</f>
        <v>#VALUE!</v>
      </c>
      <c r="HI233" t="e">
        <f>Stock!2489:2489-"'E4!.W:"</f>
        <v>#VALUE!</v>
      </c>
      <c r="HJ233" t="e">
        <f>Stock!2490:2490-"'E4!.W;"</f>
        <v>#VALUE!</v>
      </c>
      <c r="HK233" t="e">
        <f>Stock!2491:2491-"'E4!.W&lt;"</f>
        <v>#VALUE!</v>
      </c>
      <c r="HL233" t="e">
        <f>Stock!2492:2492-"'E4!.W="</f>
        <v>#VALUE!</v>
      </c>
      <c r="HM233" t="e">
        <f>Stock!2493:2493-"'E4!.W&gt;"</f>
        <v>#VALUE!</v>
      </c>
      <c r="HN233" t="e">
        <f>Stock!2494:2494-"'E4!.W?"</f>
        <v>#VALUE!</v>
      </c>
      <c r="HO233" t="e">
        <f>Stock!2495:2495-"'E4!.W@"</f>
        <v>#VALUE!</v>
      </c>
      <c r="HP233" t="e">
        <f>Stock!2496:2496-"'E4!.WA"</f>
        <v>#VALUE!</v>
      </c>
      <c r="HQ233" t="e">
        <f>Stock!2497:2497-"'E4!.WB"</f>
        <v>#VALUE!</v>
      </c>
      <c r="HR233" t="e">
        <f>Stock!2498:2498-"'E4!.WC"</f>
        <v>#VALUE!</v>
      </c>
      <c r="HS233" t="e">
        <f>Stock!2499:2499-"'E4!.WD"</f>
        <v>#VALUE!</v>
      </c>
      <c r="HT233" t="e">
        <f>Stock!2500:2500-"'E4!.WE"</f>
        <v>#VALUE!</v>
      </c>
      <c r="HU233" t="e">
        <f>Stock!2501:2501-"'E4!.WF"</f>
        <v>#VALUE!</v>
      </c>
      <c r="HV233" t="e">
        <f>Stock!2502:2502-"'E4!.WG"</f>
        <v>#VALUE!</v>
      </c>
      <c r="HW233" t="e">
        <f>Stock!2503:2503-"'E4!.WH"</f>
        <v>#VALUE!</v>
      </c>
      <c r="HX233" t="e">
        <f>Stock!2504:2504-"'E4!.WI"</f>
        <v>#VALUE!</v>
      </c>
      <c r="HY233" t="e">
        <f>Stock!2505:2505-"'E4!.WJ"</f>
        <v>#VALUE!</v>
      </c>
      <c r="HZ233" t="e">
        <f>Stock!2506:2506-"'E4!.WK"</f>
        <v>#VALUE!</v>
      </c>
      <c r="IA233" t="e">
        <f>Stock!2507:2507-"'E4!.WL"</f>
        <v>#VALUE!</v>
      </c>
      <c r="IB233" t="e">
        <f>Stock!2508:2508-"'E4!.WM"</f>
        <v>#VALUE!</v>
      </c>
      <c r="IC233" t="e">
        <f>Stock!2509:2509-"'E4!.WN"</f>
        <v>#VALUE!</v>
      </c>
      <c r="ID233" t="e">
        <f>Stock!2510:2510-"'E4!.WO"</f>
        <v>#VALUE!</v>
      </c>
      <c r="IE233" t="e">
        <f>Stock!2511:2511-"'E4!.WP"</f>
        <v>#VALUE!</v>
      </c>
      <c r="IF233" t="e">
        <f>Stock!2512:2512-"'E4!.WQ"</f>
        <v>#VALUE!</v>
      </c>
      <c r="IG233" t="e">
        <f>Stock!2513:2513-"'E4!.WR"</f>
        <v>#VALUE!</v>
      </c>
      <c r="IH233" t="e">
        <f>Stock!2514:2514-"'E4!.WS"</f>
        <v>#VALUE!</v>
      </c>
      <c r="II233" t="e">
        <f>Stock!2515:2515-"'E4!.WT"</f>
        <v>#VALUE!</v>
      </c>
      <c r="IJ233" t="e">
        <f>Stock!2516:2516-"'E4!.WU"</f>
        <v>#VALUE!</v>
      </c>
      <c r="IK233" t="e">
        <f>Stock!2517:2517-"'E4!.WV"</f>
        <v>#VALUE!</v>
      </c>
      <c r="IL233" t="e">
        <f>Stock!2518:2518-"'E4!.WW"</f>
        <v>#VALUE!</v>
      </c>
      <c r="IM233" t="e">
        <f>Stock!2519:2519-"'E4!.WX"</f>
        <v>#VALUE!</v>
      </c>
      <c r="IN233" t="e">
        <f>Stock!2520:2520-"'E4!.WY"</f>
        <v>#VALUE!</v>
      </c>
      <c r="IO233" t="e">
        <f>Stock!2521:2521-"'E4!.WZ"</f>
        <v>#VALUE!</v>
      </c>
      <c r="IP233" t="e">
        <f>Stock!2522:2522-"'E4!.W["</f>
        <v>#VALUE!</v>
      </c>
      <c r="IQ233" t="e">
        <f>Stock!2523:2523-"'E4!.W\"</f>
        <v>#VALUE!</v>
      </c>
      <c r="IR233" t="e">
        <f>Stock!2524:2524-"'E4!.W]"</f>
        <v>#VALUE!</v>
      </c>
      <c r="IS233" t="e">
        <f>Stock!2525:2525-"'E4!.W^"</f>
        <v>#VALUE!</v>
      </c>
      <c r="IT233" t="e">
        <f>Stock!2526:2526-"'E4!.W_"</f>
        <v>#VALUE!</v>
      </c>
      <c r="IU233" t="e">
        <f>Stock!2527:2527-"'E4!.W`"</f>
        <v>#VALUE!</v>
      </c>
      <c r="IV233" t="e">
        <f>Stock!2528:2528-"'E4!.Wa"</f>
        <v>#VALUE!</v>
      </c>
    </row>
    <row r="234" spans="6:256">
      <c r="F234" t="e">
        <f>Stock!2529:2529-"'E4!.Wb"</f>
        <v>#VALUE!</v>
      </c>
      <c r="G234" t="e">
        <f>Stock!2530:2530-"'E4!.Wc"</f>
        <v>#VALUE!</v>
      </c>
      <c r="H234" t="e">
        <f>Stock!2531:2531-"'E4!.Wd"</f>
        <v>#VALUE!</v>
      </c>
      <c r="I234" t="e">
        <f>Stock!2532:2532-"'E4!.We"</f>
        <v>#VALUE!</v>
      </c>
      <c r="J234" t="e">
        <f>Stock!2533:2533-"'E4!.Wf"</f>
        <v>#VALUE!</v>
      </c>
      <c r="K234" t="e">
        <f>Stock!2534:2534-"'E4!.Wg"</f>
        <v>#VALUE!</v>
      </c>
      <c r="L234" t="e">
        <f>Stock!2535:2535-"'E4!.Wh"</f>
        <v>#VALUE!</v>
      </c>
      <c r="M234" t="e">
        <f>Stock!2536:2536-"'E4!.Wi"</f>
        <v>#VALUE!</v>
      </c>
      <c r="N234" t="e">
        <f>Stock!2537:2537-"'E4!.Wj"</f>
        <v>#VALUE!</v>
      </c>
      <c r="O234" t="e">
        <f>Stock!2538:2538-"'E4!.Wk"</f>
        <v>#VALUE!</v>
      </c>
      <c r="P234" t="e">
        <f>Stock!2539:2539-"'E4!.Wl"</f>
        <v>#VALUE!</v>
      </c>
      <c r="Q234" t="e">
        <f>Stock!2540:2540-"'E4!.Wm"</f>
        <v>#VALUE!</v>
      </c>
      <c r="R234" t="e">
        <f>Stock!2541:2541-"'E4!.Wn"</f>
        <v>#VALUE!</v>
      </c>
      <c r="S234" t="e">
        <f>Stock!2542:2542-"'E4!.Wo"</f>
        <v>#VALUE!</v>
      </c>
      <c r="T234" t="e">
        <f>Stock!2543:2543-"'E4!.Wp"</f>
        <v>#VALUE!</v>
      </c>
      <c r="U234" t="e">
        <f>Stock!2544:2544-"'E4!.Wq"</f>
        <v>#VALUE!</v>
      </c>
      <c r="V234" t="e">
        <f>Stock!2545:2545-"'E4!.Wr"</f>
        <v>#VALUE!</v>
      </c>
      <c r="W234" t="e">
        <f>Stock!2546:2546-"'E4!.Ws"</f>
        <v>#VALUE!</v>
      </c>
      <c r="X234" t="e">
        <f>Stock!2547:2547-"'E4!.Wt"</f>
        <v>#VALUE!</v>
      </c>
      <c r="Y234" t="e">
        <f>Stock!2548:2548-"'E4!.Wu"</f>
        <v>#VALUE!</v>
      </c>
      <c r="Z234" t="e">
        <f>Stock!2549:2549-"'E4!.Wv"</f>
        <v>#VALUE!</v>
      </c>
      <c r="AA234" t="e">
        <f>Stock!2550:2550-"'E4!.Ww"</f>
        <v>#VALUE!</v>
      </c>
      <c r="AB234" t="e">
        <f>Stock!2551:2551-"'E4!.Wx"</f>
        <v>#VALUE!</v>
      </c>
      <c r="AC234" t="e">
        <f>Stock!2552:2552-"'E4!.Wy"</f>
        <v>#VALUE!</v>
      </c>
      <c r="AD234" t="e">
        <f>Stock!2553:2553-"'E4!.Wz"</f>
        <v>#VALUE!</v>
      </c>
      <c r="AE234" t="e">
        <f>Stock!2554:2554-"'E4!.W{"</f>
        <v>#VALUE!</v>
      </c>
      <c r="AF234" t="e">
        <f>Stock!2555:2555-"'E4!.W|"</f>
        <v>#VALUE!</v>
      </c>
      <c r="AG234" t="e">
        <f>Stock!2556:2556-"'E4!.W}"</f>
        <v>#VALUE!</v>
      </c>
      <c r="AH234" t="e">
        <f>Stock!2557:2557-"'E4!.W~"</f>
        <v>#VALUE!</v>
      </c>
      <c r="AI234" t="e">
        <f>Stock!2558:2558-"'E4!.X#"</f>
        <v>#VALUE!</v>
      </c>
      <c r="AJ234" t="e">
        <f>Stock!2559:2559-"'E4!.X$"</f>
        <v>#VALUE!</v>
      </c>
      <c r="AK234" t="e">
        <f>Stock!2560:2560-"'E4!.X%"</f>
        <v>#VALUE!</v>
      </c>
      <c r="AL234" t="e">
        <f>Stock!2561:2561-"'E4!.X&amp;"</f>
        <v>#VALUE!</v>
      </c>
      <c r="AM234" t="e">
        <f>Stock!2562:2562-"'E4!.X'"</f>
        <v>#VALUE!</v>
      </c>
      <c r="AN234" t="e">
        <f>Stock!2563:2563-"'E4!.X("</f>
        <v>#VALUE!</v>
      </c>
      <c r="AO234" t="e">
        <f>Stock!2564:2564-"'E4!.X)"</f>
        <v>#VALUE!</v>
      </c>
      <c r="AP234" t="e">
        <f>Stock!2565:2565-"'E4!.X."</f>
        <v>#VALUE!</v>
      </c>
      <c r="AQ234" t="e">
        <f>Stock!2566:2566-"'E4!.X/"</f>
        <v>#VALUE!</v>
      </c>
      <c r="AR234" t="e">
        <f>Stock!2567:2567-"'E4!.X0"</f>
        <v>#VALUE!</v>
      </c>
      <c r="AS234" t="e">
        <f>Stock!2568:2568-"'E4!.X1"</f>
        <v>#VALUE!</v>
      </c>
      <c r="AT234" t="e">
        <f>Stock!2569:2569-"'E4!.X2"</f>
        <v>#VALUE!</v>
      </c>
      <c r="AU234" t="e">
        <f>Stock!2570:2570-"'E4!.X3"</f>
        <v>#VALUE!</v>
      </c>
      <c r="AV234" t="e">
        <f>Stock!2571:2571-"'E4!.X4"</f>
        <v>#VALUE!</v>
      </c>
      <c r="AW234" t="e">
        <f>Stock!2572:2572-"'E4!.X5"</f>
        <v>#VALUE!</v>
      </c>
      <c r="AX234" t="e">
        <f>Stock!2573:2573-"'E4!.X6"</f>
        <v>#VALUE!</v>
      </c>
      <c r="AY234" t="e">
        <f>Stock!2574:2574-"'E4!.X7"</f>
        <v>#VALUE!</v>
      </c>
      <c r="AZ234" t="e">
        <f>Stock!2575:2575-"'E4!.X8"</f>
        <v>#VALUE!</v>
      </c>
      <c r="BA234" t="e">
        <f>Stock!2576:2576-"'E4!.X9"</f>
        <v>#VALUE!</v>
      </c>
      <c r="BB234" t="e">
        <f>Stock!2577:2577-"'E4!.X:"</f>
        <v>#VALUE!</v>
      </c>
      <c r="BC234" t="e">
        <f>Stock!2578:2578-"'E4!.X;"</f>
        <v>#VALUE!</v>
      </c>
      <c r="BD234" t="e">
        <f>Stock!2579:2579-"'E4!.X&lt;"</f>
        <v>#VALUE!</v>
      </c>
      <c r="BE234" t="e">
        <f>Stock!2580:2580-"'E4!.X="</f>
        <v>#VALUE!</v>
      </c>
      <c r="BF234" t="e">
        <f>Stock!2581:2581-"'E4!.X&gt;"</f>
        <v>#VALUE!</v>
      </c>
      <c r="BG234" t="e">
        <f>Stock!2582:2582-"'E4!.X?"</f>
        <v>#VALUE!</v>
      </c>
      <c r="BH234" t="e">
        <f>Stock!2583:2583-"'E4!.X@"</f>
        <v>#VALUE!</v>
      </c>
      <c r="BI234" t="e">
        <f>Stock!2584:2584-"'E4!.XA"</f>
        <v>#VALUE!</v>
      </c>
      <c r="BJ234" t="e">
        <f>Stock!2585:2585-"'E4!.XB"</f>
        <v>#VALUE!</v>
      </c>
      <c r="BK234" t="e">
        <f>Stock!2586:2586-"'E4!.XC"</f>
        <v>#VALUE!</v>
      </c>
      <c r="BL234" t="e">
        <f>Stock!2587:2587-"'E4!.XD"</f>
        <v>#VALUE!</v>
      </c>
      <c r="BM234" t="e">
        <f>Stock!2588:2588-"'E4!.XE"</f>
        <v>#VALUE!</v>
      </c>
      <c r="BN234" t="e">
        <f>Stock!2589:2589-"'E4!.XF"</f>
        <v>#VALUE!</v>
      </c>
      <c r="BO234" t="e">
        <f>Stock!2590:2590-"'E4!.XG"</f>
        <v>#VALUE!</v>
      </c>
      <c r="BP234" t="e">
        <f>Stock!2591:2591-"'E4!.XH"</f>
        <v>#VALUE!</v>
      </c>
      <c r="BQ234" t="e">
        <f>Stock!2592:2592-"'E4!.XI"</f>
        <v>#VALUE!</v>
      </c>
      <c r="BR234" t="e">
        <f>Stock!2593:2593-"'E4!.XJ"</f>
        <v>#VALUE!</v>
      </c>
      <c r="BS234" t="e">
        <f>Stock!2594:2594-"'E4!.XK"</f>
        <v>#VALUE!</v>
      </c>
      <c r="BT234" t="e">
        <f>Stock!2595:2595-"'E4!.XL"</f>
        <v>#VALUE!</v>
      </c>
      <c r="BU234" t="e">
        <f>Stock!2596:2596-"'E4!.XM"</f>
        <v>#VALUE!</v>
      </c>
      <c r="BV234" t="e">
        <f>Stock!2597:2597-"'E4!.XN"</f>
        <v>#VALUE!</v>
      </c>
      <c r="BW234" t="e">
        <f>Stock!2598:2598-"'E4!.XO"</f>
        <v>#VALUE!</v>
      </c>
      <c r="BX234" t="e">
        <f>Stock!2599:2599-"'E4!.XP"</f>
        <v>#VALUE!</v>
      </c>
      <c r="BY234" t="e">
        <f>Stock!2600:2600-"'E4!.XQ"</f>
        <v>#VALUE!</v>
      </c>
      <c r="BZ234" t="e">
        <f>Stock!2601:2601-"'E4!.XR"</f>
        <v>#VALUE!</v>
      </c>
      <c r="CA234" t="e">
        <f>Stock!2602:2602-"'E4!.XS"</f>
        <v>#VALUE!</v>
      </c>
      <c r="CB234" t="e">
        <f>Stock!2603:2603-"'E4!.XT"</f>
        <v>#VALUE!</v>
      </c>
      <c r="CC234" t="e">
        <f>Stock!2604:2604-"'E4!.XU"</f>
        <v>#VALUE!</v>
      </c>
      <c r="CD234" t="e">
        <f>Stock!2605:2605-"'E4!.XV"</f>
        <v>#VALUE!</v>
      </c>
      <c r="CE234" t="e">
        <f>Stock!2606:2606-"'E4!.XW"</f>
        <v>#VALUE!</v>
      </c>
      <c r="CF234" t="e">
        <f>Stock!2607:2607-"'E4!.XX"</f>
        <v>#VALUE!</v>
      </c>
      <c r="CG234" t="e">
        <f>Stock!2608:2608-"'E4!.XY"</f>
        <v>#VALUE!</v>
      </c>
      <c r="CH234" t="e">
        <f>Stock!2609:2609-"'E4!.XZ"</f>
        <v>#VALUE!</v>
      </c>
      <c r="CI234" t="e">
        <f>Stock!2610:2610-"'E4!.X["</f>
        <v>#VALUE!</v>
      </c>
      <c r="CJ234" t="e">
        <f>Stock!2611:2611-"'E4!.X\"</f>
        <v>#VALUE!</v>
      </c>
      <c r="CK234" t="e">
        <f>Stock!2612:2612-"'E4!.X]"</f>
        <v>#VALUE!</v>
      </c>
      <c r="CL234" t="e">
        <f>Stock!2613:2613-"'E4!.X^"</f>
        <v>#VALUE!</v>
      </c>
      <c r="CM234" t="e">
        <f>Stock!2614:2614-"'E4!.X_"</f>
        <v>#VALUE!</v>
      </c>
      <c r="CN234" t="e">
        <f>Stock!2615:2615-"'E4!.X`"</f>
        <v>#VALUE!</v>
      </c>
      <c r="CO234" t="e">
        <f>Stock!2616:2616-"'E4!.Xa"</f>
        <v>#VALUE!</v>
      </c>
      <c r="CP234" t="e">
        <f>Stock!2617:2617-"'E4!.Xb"</f>
        <v>#VALUE!</v>
      </c>
      <c r="CQ234" t="e">
        <f>Stock!2618:2618-"'E4!.Xc"</f>
        <v>#VALUE!</v>
      </c>
      <c r="CR234" t="e">
        <f>Stock!2619:2619-"'E4!.Xd"</f>
        <v>#VALUE!</v>
      </c>
      <c r="CS234" t="e">
        <f>Stock!2620:2620-"'E4!.Xe"</f>
        <v>#VALUE!</v>
      </c>
      <c r="CT234" t="e">
        <f>Stock!2621:2621-"'E4!.Xf"</f>
        <v>#VALUE!</v>
      </c>
      <c r="CU234" t="e">
        <f>Stock!2622:2622-"'E4!.Xg"</f>
        <v>#VALUE!</v>
      </c>
      <c r="CV234" t="e">
        <f>Stock!2623:2623-"'E4!.Xh"</f>
        <v>#VALUE!</v>
      </c>
      <c r="CW234" t="e">
        <f>Stock!2624:2624-"'E4!.Xi"</f>
        <v>#VALUE!</v>
      </c>
      <c r="CX234" t="e">
        <f>Stock!2625:2625-"'E4!.Xj"</f>
        <v>#VALUE!</v>
      </c>
      <c r="CY234" t="e">
        <f>Stock!2626:2626-"'E4!.Xk"</f>
        <v>#VALUE!</v>
      </c>
      <c r="CZ234" t="e">
        <f>Stock!2627:2627-"'E4!.Xl"</f>
        <v>#VALUE!</v>
      </c>
      <c r="DA234" t="e">
        <f>Stock!2628:2628-"'E4!.Xm"</f>
        <v>#VALUE!</v>
      </c>
      <c r="DB234" t="e">
        <f>Stock!2629:2629-"'E4!.Xn"</f>
        <v>#VALUE!</v>
      </c>
      <c r="DC234" t="e">
        <f>Stock!2630:2630-"'E4!.Xo"</f>
        <v>#VALUE!</v>
      </c>
      <c r="DD234" t="e">
        <f>Stock!2631:2631-"'E4!.Xp"</f>
        <v>#VALUE!</v>
      </c>
      <c r="DE234" t="e">
        <f>Stock!2632:2632-"'E4!.Xq"</f>
        <v>#VALUE!</v>
      </c>
      <c r="DF234" t="e">
        <f>Stock!2633:2633-"'E4!.Xr"</f>
        <v>#VALUE!</v>
      </c>
      <c r="DG234" t="e">
        <f>Stock!2634:2634-"'E4!.Xs"</f>
        <v>#VALUE!</v>
      </c>
      <c r="DH234" t="e">
        <f>Stock!2635:2635-"'E4!.Xt"</f>
        <v>#VALUE!</v>
      </c>
      <c r="DI234" t="e">
        <f>Stock!2636:2636-"'E4!.Xu"</f>
        <v>#VALUE!</v>
      </c>
      <c r="DJ234" t="e">
        <f>Stock!2637:2637-"'E4!.Xv"</f>
        <v>#VALUE!</v>
      </c>
      <c r="DK234" t="e">
        <f>Stock!2638:2638-"'E4!.Xw"</f>
        <v>#VALUE!</v>
      </c>
      <c r="DL234" t="e">
        <f>Stock!2639:2639-"'E4!.Xx"</f>
        <v>#VALUE!</v>
      </c>
      <c r="DM234" t="e">
        <f>Stock!2640:2640-"'E4!.Xy"</f>
        <v>#VALUE!</v>
      </c>
      <c r="DN234" t="e">
        <f>Stock!2641:2641-"'E4!.Xz"</f>
        <v>#VALUE!</v>
      </c>
      <c r="DO234" t="e">
        <f>Stock!2642:2642-"'E4!.X{"</f>
        <v>#VALUE!</v>
      </c>
      <c r="DP234" t="e">
        <f>Stock!2643:2643-"'E4!.X|"</f>
        <v>#VALUE!</v>
      </c>
      <c r="DQ234" t="e">
        <f>Stock!2644:2644-"'E4!.X}"</f>
        <v>#VALUE!</v>
      </c>
      <c r="DR234" t="e">
        <f>Stock!2645:2645-"'E4!.X~"</f>
        <v>#VALUE!</v>
      </c>
      <c r="DS234" t="e">
        <f>Stock!2646:2646-"'E4!.Y#"</f>
        <v>#VALUE!</v>
      </c>
      <c r="DT234" t="e">
        <f>Stock!2647:2647-"'E4!.Y$"</f>
        <v>#VALUE!</v>
      </c>
      <c r="DU234" t="e">
        <f>Stock!2648:2648-"'E4!.Y%"</f>
        <v>#VALUE!</v>
      </c>
      <c r="DV234" t="e">
        <f>Stock!2649:2649-"'E4!.Y&amp;"</f>
        <v>#VALUE!</v>
      </c>
      <c r="DW234" t="e">
        <f>Stock!2650:2650-"'E4!.Y'"</f>
        <v>#VALUE!</v>
      </c>
      <c r="DX234" t="e">
        <f>Stock!2651:2651-"'E4!.Y("</f>
        <v>#VALUE!</v>
      </c>
      <c r="DY234" t="e">
        <f>Stock!2652:2652-"'E4!.Y)"</f>
        <v>#VALUE!</v>
      </c>
      <c r="DZ234" t="e">
        <f>Stock!2653:2653-"'E4!.Y."</f>
        <v>#VALUE!</v>
      </c>
      <c r="EA234" t="e">
        <f>Stock!2654:2654-"'E4!.Y/"</f>
        <v>#VALUE!</v>
      </c>
      <c r="EB234" t="e">
        <f>Stock!2655:2655-"'E4!.Y0"</f>
        <v>#VALUE!</v>
      </c>
      <c r="EC234" t="e">
        <f>Stock!2656:2656-"'E4!.Y1"</f>
        <v>#VALUE!</v>
      </c>
      <c r="ED234" t="e">
        <f>Stock!2657:2657-"'E4!.Y2"</f>
        <v>#VALUE!</v>
      </c>
      <c r="EE234" t="e">
        <f>Stock!2658:2658-"'E4!.Y3"</f>
        <v>#VALUE!</v>
      </c>
      <c r="EF234" t="e">
        <f>Stock!2659:2659-"'E4!.Y4"</f>
        <v>#VALUE!</v>
      </c>
      <c r="EG234" t="e">
        <f>Stock!2660:2660-"'E4!.Y5"</f>
        <v>#VALUE!</v>
      </c>
      <c r="EH234" t="e">
        <f>Stock!2661:2661-"'E4!.Y6"</f>
        <v>#VALUE!</v>
      </c>
      <c r="EI234" t="e">
        <f>Stock!2662:2662-"'E4!.Y7"</f>
        <v>#VALUE!</v>
      </c>
      <c r="EJ234" t="e">
        <f>Stock!2663:2663-"'E4!.Y8"</f>
        <v>#VALUE!</v>
      </c>
      <c r="EK234" t="e">
        <f>Stock!2664:2664-"'E4!.Y9"</f>
        <v>#VALUE!</v>
      </c>
      <c r="EL234" t="e">
        <f>Stock!2665:2665-"'E4!.Y:"</f>
        <v>#VALUE!</v>
      </c>
      <c r="EM234" t="e">
        <f>Stock!2666:2666-"'E4!.Y;"</f>
        <v>#VALUE!</v>
      </c>
      <c r="EN234" t="e">
        <f>Stock!2667:2667-"'E4!.Y&lt;"</f>
        <v>#VALUE!</v>
      </c>
      <c r="EO234" t="e">
        <f>Stock!2668:2668-"'E4!.Y="</f>
        <v>#VALUE!</v>
      </c>
      <c r="EP234" t="e">
        <f>Stock!2669:2669-"'E4!.Y&gt;"</f>
        <v>#VALUE!</v>
      </c>
      <c r="EQ234" t="e">
        <f>Stock!2670:2670-"'E4!.Y?"</f>
        <v>#VALUE!</v>
      </c>
      <c r="ER234" t="e">
        <f>Stock!2671:2671-"'E4!.Y@"</f>
        <v>#VALUE!</v>
      </c>
      <c r="ES234" t="e">
        <f>Stock!2672:2672-"'E4!.YA"</f>
        <v>#VALUE!</v>
      </c>
      <c r="ET234" t="e">
        <f>Stock!2673:2673-"'E4!.YB"</f>
        <v>#VALUE!</v>
      </c>
      <c r="EU234" t="e">
        <f>Stock!2674:2674-"'E4!.YC"</f>
        <v>#VALUE!</v>
      </c>
      <c r="EV234" t="e">
        <f>Stock!2675:2675-"'E4!.YD"</f>
        <v>#VALUE!</v>
      </c>
      <c r="EW234" t="e">
        <f>Stock!2676:2676-"'E4!.YE"</f>
        <v>#VALUE!</v>
      </c>
      <c r="EX234" t="e">
        <f>Stock!2677:2677-"'E4!.YF"</f>
        <v>#VALUE!</v>
      </c>
      <c r="EY234" t="e">
        <f>Stock!2678:2678-"'E4!.YG"</f>
        <v>#VALUE!</v>
      </c>
      <c r="EZ234" t="e">
        <f>Stock!2679:2679-"'E4!.YH"</f>
        <v>#VALUE!</v>
      </c>
      <c r="FA234" t="e">
        <f>Stock!2680:2680-"'E4!.YI"</f>
        <v>#VALUE!</v>
      </c>
      <c r="FB234" t="e">
        <f>Stock!2681:2681-"'E4!.YJ"</f>
        <v>#VALUE!</v>
      </c>
      <c r="FC234" t="e">
        <f>Stock!2682:2682-"'E4!.YK"</f>
        <v>#VALUE!</v>
      </c>
      <c r="FD234" t="e">
        <f>Stock!2683:2683-"'E4!.YL"</f>
        <v>#VALUE!</v>
      </c>
      <c r="FE234" t="e">
        <f>Stock!2684:2684-"'E4!.YM"</f>
        <v>#VALUE!</v>
      </c>
      <c r="FF234" t="e">
        <f>Stock!2685:2685-"'E4!.YN"</f>
        <v>#VALUE!</v>
      </c>
      <c r="FG234" t="e">
        <f>Stock!2686:2686-"'E4!.YO"</f>
        <v>#VALUE!</v>
      </c>
      <c r="FH234" t="e">
        <f>Stock!2687:2687-"'E4!.YP"</f>
        <v>#VALUE!</v>
      </c>
      <c r="FI234" t="e">
        <f>Stock!2688:2688-"'E4!.YQ"</f>
        <v>#VALUE!</v>
      </c>
      <c r="FJ234" t="e">
        <f>Stock!2689:2689-"'E4!.YR"</f>
        <v>#VALUE!</v>
      </c>
      <c r="FK234" t="e">
        <f>Stock!2690:2690-"'E4!.YS"</f>
        <v>#VALUE!</v>
      </c>
      <c r="FL234" t="e">
        <f>Stock!2691:2691-"'E4!.YT"</f>
        <v>#VALUE!</v>
      </c>
      <c r="FM234" t="e">
        <f>Stock!2692:2692-"'E4!.YU"</f>
        <v>#VALUE!</v>
      </c>
      <c r="FN234" t="e">
        <f>Stock!2693:2693-"'E4!.YV"</f>
        <v>#VALUE!</v>
      </c>
      <c r="FO234" t="e">
        <f>Stock!2694:2694-"'E4!.YW"</f>
        <v>#VALUE!</v>
      </c>
      <c r="FP234" t="e">
        <f>Stock!2695:2695-"'E4!.YX"</f>
        <v>#VALUE!</v>
      </c>
      <c r="FQ234" t="e">
        <f>Stock!2696:2696-"'E4!.YY"</f>
        <v>#VALUE!</v>
      </c>
      <c r="FR234" t="e">
        <f>Stock!2697:2697-"'E4!.YZ"</f>
        <v>#VALUE!</v>
      </c>
      <c r="FS234" t="e">
        <f>Stock!2698:2698-"'E4!.Y["</f>
        <v>#VALUE!</v>
      </c>
      <c r="FT234" t="e">
        <f>Stock!2699:2699-"'E4!.Y\"</f>
        <v>#VALUE!</v>
      </c>
      <c r="FU234" t="e">
        <f>Stock!2700:2700-"'E4!.Y]"</f>
        <v>#VALUE!</v>
      </c>
      <c r="FV234" t="e">
        <f>Stock!2701:2701-"'E4!.Y^"</f>
        <v>#VALUE!</v>
      </c>
      <c r="FW234" t="e">
        <f>Stock!2702:2702-"'E4!.Y_"</f>
        <v>#VALUE!</v>
      </c>
      <c r="FX234" t="e">
        <f>Stock!2703:2703-"'E4!.Y`"</f>
        <v>#VALUE!</v>
      </c>
      <c r="FY234" t="e">
        <f>Stock!2704:2704-"'E4!.Ya"</f>
        <v>#VALUE!</v>
      </c>
      <c r="FZ234" t="e">
        <f>Stock!2705:2705-"'E4!.Yb"</f>
        <v>#VALUE!</v>
      </c>
      <c r="GA234" t="e">
        <f>Stock!2706:2706-"'E4!.Yc"</f>
        <v>#VALUE!</v>
      </c>
      <c r="GB234" t="e">
        <f>Stock!2707:2707-"'E4!.Yd"</f>
        <v>#VALUE!</v>
      </c>
      <c r="GC234" t="e">
        <f>Stock!2708:2708-"'E4!.Ye"</f>
        <v>#VALUE!</v>
      </c>
      <c r="GD234" t="e">
        <f>Stock!2709:2709-"'E4!.Yf"</f>
        <v>#VALUE!</v>
      </c>
      <c r="GE234" t="e">
        <f>Stock!2710:2710-"'E4!.Yg"</f>
        <v>#VALUE!</v>
      </c>
      <c r="GF234" t="e">
        <f>Stock!2711:2711-"'E4!.Yh"</f>
        <v>#VALUE!</v>
      </c>
      <c r="GG234" t="e">
        <f>Stock!2712:2712-"'E4!.Yi"</f>
        <v>#VALUE!</v>
      </c>
      <c r="GH234" t="e">
        <f>Stock!2713:2713-"'E4!.Yj"</f>
        <v>#VALUE!</v>
      </c>
      <c r="GI234" t="e">
        <f>Stock!2714:2714-"'E4!.Yk"</f>
        <v>#VALUE!</v>
      </c>
      <c r="GJ234" t="e">
        <f>Stock!2715:2715-"'E4!.Yl"</f>
        <v>#VALUE!</v>
      </c>
      <c r="GK234" t="e">
        <f>Stock!2716:2716-"'E4!.Ym"</f>
        <v>#VALUE!</v>
      </c>
      <c r="GL234" t="e">
        <f>Stock!2717:2717-"'E4!.Yn"</f>
        <v>#VALUE!</v>
      </c>
      <c r="GM234" t="e">
        <f>Stock!2718:2718-"'E4!.Yo"</f>
        <v>#VALUE!</v>
      </c>
      <c r="GN234" t="e">
        <f>Stock!2719:2719-"'E4!.Yp"</f>
        <v>#VALUE!</v>
      </c>
      <c r="GO234" t="e">
        <f>Stock!2720:2720-"'E4!.Yq"</f>
        <v>#VALUE!</v>
      </c>
      <c r="GP234" t="e">
        <f>Stock!2721:2721-"'E4!.Yr"</f>
        <v>#VALUE!</v>
      </c>
      <c r="GQ234" t="e">
        <f>Stock!2722:2722-"'E4!.Ys"</f>
        <v>#VALUE!</v>
      </c>
      <c r="GR234" t="e">
        <f>Stock!2723:2723-"'E4!.Yt"</f>
        <v>#VALUE!</v>
      </c>
      <c r="GS234" t="e">
        <f>Stock!2724:2724-"'E4!.Yu"</f>
        <v>#VALUE!</v>
      </c>
      <c r="GT234" t="e">
        <f>Stock!2725:2725-"'E4!.Yv"</f>
        <v>#VALUE!</v>
      </c>
      <c r="GU234" t="e">
        <f>Stock!2726:2726-"'E4!.Yw"</f>
        <v>#VALUE!</v>
      </c>
      <c r="GV234" t="e">
        <f>Stock!2727:2727-"'E4!.Yx"</f>
        <v>#VALUE!</v>
      </c>
      <c r="GW234" t="e">
        <f>Stock!2728:2728-"'E4!.Yy"</f>
        <v>#VALUE!</v>
      </c>
      <c r="GX234" t="e">
        <f>Stock!2729:2729-"'E4!.Yz"</f>
        <v>#VALUE!</v>
      </c>
      <c r="GY234" t="e">
        <f>Stock!2730:2730-"'E4!.Y{"</f>
        <v>#VALUE!</v>
      </c>
      <c r="GZ234" t="e">
        <f>Stock!2731:2731-"'E4!.Y|"</f>
        <v>#VALUE!</v>
      </c>
      <c r="HA234" t="e">
        <f>Stock!2732:2732-"'E4!.Y}"</f>
        <v>#VALUE!</v>
      </c>
      <c r="HB234" t="e">
        <f>Stock!2733:2733-"'E4!.Y~"</f>
        <v>#VALUE!</v>
      </c>
      <c r="HC234" t="e">
        <f>Stock!2734:2734-"'E4!.Z#"</f>
        <v>#VALUE!</v>
      </c>
      <c r="HD234" t="e">
        <f>Stock!2735:2735-"'E4!.Z$"</f>
        <v>#VALUE!</v>
      </c>
      <c r="HE234" t="e">
        <f>Stock!2736:2736-"'E4!.Z%"</f>
        <v>#VALUE!</v>
      </c>
      <c r="HF234" t="e">
        <f>Stock!2737:2737-"'E4!.Z&amp;"</f>
        <v>#VALUE!</v>
      </c>
      <c r="HG234" t="e">
        <f>Stock!2738:2738-"'E4!.Z'"</f>
        <v>#VALUE!</v>
      </c>
      <c r="HH234" t="e">
        <f>Stock!2739:2739-"'E4!.Z("</f>
        <v>#VALUE!</v>
      </c>
      <c r="HI234" t="e">
        <f>Stock!2740:2740-"'E4!.Z)"</f>
        <v>#VALUE!</v>
      </c>
      <c r="HJ234" t="e">
        <f>Stock!2741:2741-"'E4!.Z."</f>
        <v>#VALUE!</v>
      </c>
      <c r="HK234" t="e">
        <f>Stock!2742:2742-"'E4!.Z/"</f>
        <v>#VALUE!</v>
      </c>
      <c r="HL234" t="e">
        <f>Stock!2743:2743-"'E4!.Z0"</f>
        <v>#VALUE!</v>
      </c>
      <c r="HM234" t="e">
        <f>Stock!2744:2744-"'E4!.Z1"</f>
        <v>#VALUE!</v>
      </c>
      <c r="HN234" t="e">
        <f>Stock!2745:2745-"'E4!.Z2"</f>
        <v>#VALUE!</v>
      </c>
      <c r="HO234" t="e">
        <f>Stock!2746:2746-"'E4!.Z3"</f>
        <v>#VALUE!</v>
      </c>
      <c r="HP234" t="e">
        <f>Stock!2747:2747-"'E4!.Z4"</f>
        <v>#VALUE!</v>
      </c>
      <c r="HQ234" t="e">
        <f>Stock!2748:2748-"'E4!.Z5"</f>
        <v>#VALUE!</v>
      </c>
      <c r="HR234" t="e">
        <f>Stock!2749:2749-"'E4!.Z6"</f>
        <v>#VALUE!</v>
      </c>
      <c r="HS234" t="e">
        <f>Stock!2750:2750-"'E4!.Z7"</f>
        <v>#VALUE!</v>
      </c>
      <c r="HT234" t="e">
        <f>Stock!2751:2751-"'E4!.Z8"</f>
        <v>#VALUE!</v>
      </c>
      <c r="HU234" t="e">
        <f>Stock!2752:2752-"'E4!.Z9"</f>
        <v>#VALUE!</v>
      </c>
      <c r="HV234" t="e">
        <f>Stock!2753:2753-"'E4!.Z:"</f>
        <v>#VALUE!</v>
      </c>
      <c r="HW234" t="e">
        <f>Stock!2754:2754-"'E4!.Z;"</f>
        <v>#VALUE!</v>
      </c>
      <c r="HX234" t="e">
        <f>Stock!2755:2755-"'E4!.Z&lt;"</f>
        <v>#VALUE!</v>
      </c>
      <c r="HY234" t="e">
        <f>Stock!2756:2756-"'E4!.Z="</f>
        <v>#VALUE!</v>
      </c>
      <c r="HZ234" t="e">
        <f>Stock!2757:2757-"'E4!.Z&gt;"</f>
        <v>#VALUE!</v>
      </c>
      <c r="IA234" t="e">
        <f>Stock!2758:2758-"'E4!.Z?"</f>
        <v>#VALUE!</v>
      </c>
      <c r="IB234" t="e">
        <f>Stock!2759:2759-"'E4!.Z@"</f>
        <v>#VALUE!</v>
      </c>
      <c r="IC234" t="e">
        <f>Stock!2760:2760-"'E4!.ZA"</f>
        <v>#VALUE!</v>
      </c>
      <c r="ID234" t="e">
        <f>Stock!2761:2761-"'E4!.ZB"</f>
        <v>#VALUE!</v>
      </c>
      <c r="IE234" t="e">
        <f>Stock!2762:2762-"'E4!.ZC"</f>
        <v>#VALUE!</v>
      </c>
      <c r="IF234" t="e">
        <f>Stock!2763:2763-"'E4!.ZD"</f>
        <v>#VALUE!</v>
      </c>
      <c r="IG234" t="e">
        <f>Stock!2764:2764-"'E4!.ZE"</f>
        <v>#VALUE!</v>
      </c>
      <c r="IH234" t="e">
        <f>Stock!2765:2765-"'E4!.ZF"</f>
        <v>#VALUE!</v>
      </c>
      <c r="II234" t="e">
        <f>Stock!2766:2766-"'E4!.ZG"</f>
        <v>#VALUE!</v>
      </c>
      <c r="IJ234" t="e">
        <f>Stock!2767:2767-"'E4!.ZH"</f>
        <v>#VALUE!</v>
      </c>
      <c r="IK234" t="e">
        <f>Stock!2768:2768-"'E4!.ZI"</f>
        <v>#VALUE!</v>
      </c>
      <c r="IL234" t="e">
        <f>Stock!2769:2769-"'E4!.ZJ"</f>
        <v>#VALUE!</v>
      </c>
      <c r="IM234" t="e">
        <f>Stock!2770:2770-"'E4!.ZK"</f>
        <v>#VALUE!</v>
      </c>
      <c r="IN234" t="e">
        <f>Stock!2771:2771-"'E4!.ZL"</f>
        <v>#VALUE!</v>
      </c>
      <c r="IO234" t="e">
        <f>Stock!2772:2772-"'E4!.ZM"</f>
        <v>#VALUE!</v>
      </c>
      <c r="IP234" t="e">
        <f>Stock!2773:2773-"'E4!.ZN"</f>
        <v>#VALUE!</v>
      </c>
      <c r="IQ234" t="e">
        <f>Stock!2774:2774-"'E4!.ZO"</f>
        <v>#VALUE!</v>
      </c>
      <c r="IR234" t="e">
        <f>Stock!2775:2775-"'E4!.ZP"</f>
        <v>#VALUE!</v>
      </c>
      <c r="IS234" t="e">
        <f>Stock!2776:2776-"'E4!.ZQ"</f>
        <v>#VALUE!</v>
      </c>
      <c r="IT234" t="e">
        <f>Stock!2777:2777-"'E4!.ZR"</f>
        <v>#VALUE!</v>
      </c>
      <c r="IU234" t="e">
        <f>Stock!2778:2778-"'E4!.ZS"</f>
        <v>#VALUE!</v>
      </c>
      <c r="IV234" t="e">
        <f>Stock!2779:2779-"'E4!.ZT"</f>
        <v>#VALUE!</v>
      </c>
    </row>
    <row r="235" spans="6:256">
      <c r="F235" t="e">
        <f>Stock!2780:2780-"'E4!.ZU"</f>
        <v>#VALUE!</v>
      </c>
      <c r="G235" t="e">
        <f>Stock!2781:2781-"'E4!.ZV"</f>
        <v>#VALUE!</v>
      </c>
      <c r="H235" t="e">
        <f>Stock!2782:2782-"'E4!.ZW"</f>
        <v>#VALUE!</v>
      </c>
      <c r="I235" t="e">
        <f>Stock!2783:2783-"'E4!.ZX"</f>
        <v>#VALUE!</v>
      </c>
      <c r="J235" t="e">
        <f>Stock!2784:2784-"'E4!.ZY"</f>
        <v>#VALUE!</v>
      </c>
      <c r="K235" t="e">
        <f>Stock!2785:2785-"'E4!.ZZ"</f>
        <v>#VALUE!</v>
      </c>
      <c r="L235" t="e">
        <f>Stock!2786:2786-"'E4!.Z["</f>
        <v>#VALUE!</v>
      </c>
      <c r="M235" t="e">
        <f>Stock!2787:2787-"'E4!.Z\"</f>
        <v>#VALUE!</v>
      </c>
      <c r="N235" t="e">
        <f>Stock!2788:2788-"'E4!.Z]"</f>
        <v>#VALUE!</v>
      </c>
      <c r="O235" t="e">
        <f>Stock!2789:2789-"'E4!.Z^"</f>
        <v>#VALUE!</v>
      </c>
      <c r="P235" t="e">
        <f>Stock!2790:2790-"'E4!.Z_"</f>
        <v>#VALUE!</v>
      </c>
      <c r="Q235" t="e">
        <f>Stock!2791:2791-"'E4!.Z`"</f>
        <v>#VALUE!</v>
      </c>
      <c r="R235" t="e">
        <f>Stock!2792:2792-"'E4!.Za"</f>
        <v>#VALUE!</v>
      </c>
      <c r="S235" t="e">
        <f>Stock!2793:2793-"'E4!.Zb"</f>
        <v>#VALUE!</v>
      </c>
      <c r="T235" t="e">
        <f>Stock!2794:2794-"'E4!.Zc"</f>
        <v>#VALUE!</v>
      </c>
      <c r="U235" t="e">
        <f>Stock!2795:2795-"'E4!.Zd"</f>
        <v>#VALUE!</v>
      </c>
      <c r="V235" t="e">
        <f>Stock!2796:2796-"'E4!.Ze"</f>
        <v>#VALUE!</v>
      </c>
      <c r="W235" t="e">
        <f>Stock!2797:2797-"'E4!.Zf"</f>
        <v>#VALUE!</v>
      </c>
      <c r="X235" t="e">
        <f>Stock!2798:2798-"'E4!.Zg"</f>
        <v>#VALUE!</v>
      </c>
      <c r="Y235" t="e">
        <f>Stock!2799:2799-"'E4!.Zh"</f>
        <v>#VALUE!</v>
      </c>
      <c r="Z235" t="e">
        <f>Stock!2800:2800-"'E4!.Zi"</f>
        <v>#VALUE!</v>
      </c>
      <c r="AA235" t="e">
        <f>Stock!2801:2801-"'E4!.Zj"</f>
        <v>#VALUE!</v>
      </c>
      <c r="AB235" t="e">
        <f>Stock!2802:2802-"'E4!.Zk"</f>
        <v>#VALUE!</v>
      </c>
      <c r="AC235" t="e">
        <f>Stock!2803:2803-"'E4!.Zl"</f>
        <v>#VALUE!</v>
      </c>
      <c r="AD235" t="e">
        <f>Stock!2804:2804-"'E4!.Zm"</f>
        <v>#VALUE!</v>
      </c>
      <c r="AE235" t="e">
        <f>Stock!2805:2805-"'E4!.Zn"</f>
        <v>#VALUE!</v>
      </c>
      <c r="AF235" t="e">
        <f>Stock!2806:2806-"'E4!.Zo"</f>
        <v>#VALUE!</v>
      </c>
      <c r="AG235" t="e">
        <f>Stock!2807:2807-"'E4!.Zp"</f>
        <v>#VALUE!</v>
      </c>
      <c r="AH235" t="e">
        <f>Stock!2808:2808-"'E4!.Zq"</f>
        <v>#VALUE!</v>
      </c>
      <c r="AI235" t="e">
        <f>Stock!2809:2809-"'E4!.Zr"</f>
        <v>#VALUE!</v>
      </c>
      <c r="AJ235" t="e">
        <f>Stock!2810:2810-"'E4!.Zs"</f>
        <v>#VALUE!</v>
      </c>
      <c r="AK235" t="e">
        <f>Stock!2811:2811-"'E4!.Zt"</f>
        <v>#VALUE!</v>
      </c>
      <c r="AL235" t="e">
        <f>Stock!2812:2812-"'E4!.Zu"</f>
        <v>#VALUE!</v>
      </c>
      <c r="AM235" t="e">
        <f>Stock!2813:2813-"'E4!.Zv"</f>
        <v>#VALUE!</v>
      </c>
      <c r="AN235" t="e">
        <f>Stock!2814:2814-"'E4!.Zw"</f>
        <v>#VALUE!</v>
      </c>
      <c r="AO235" t="e">
        <f>Stock!2815:2815-"'E4!.Zx"</f>
        <v>#VALUE!</v>
      </c>
      <c r="AP235" t="e">
        <f>Stock!2816:2816-"'E4!.Zy"</f>
        <v>#VALUE!</v>
      </c>
      <c r="AQ235" t="e">
        <f>Stock!2817:2817-"'E4!.Zz"</f>
        <v>#VALUE!</v>
      </c>
      <c r="AR235" t="e">
        <f>Stock!2818:2818-"'E4!.Z{"</f>
        <v>#VALUE!</v>
      </c>
      <c r="AS235" t="e">
        <f>Stock!2819:2819-"'E4!.Z|"</f>
        <v>#VALUE!</v>
      </c>
      <c r="AT235" t="e">
        <f>Stock!2820:2820-"'E4!.Z}"</f>
        <v>#VALUE!</v>
      </c>
      <c r="AU235" t="e">
        <f>Stock!2821:2821-"'E4!.Z~"</f>
        <v>#VALUE!</v>
      </c>
      <c r="AV235" t="e">
        <f>Stock!2822:2822-"'E4!.[#"</f>
        <v>#VALUE!</v>
      </c>
      <c r="AW235" t="e">
        <f>Stock!2823:2823-"'E4!.[$"</f>
        <v>#VALUE!</v>
      </c>
      <c r="AX235" t="e">
        <f>Stock!2824:2824-"'E4!.[%"</f>
        <v>#VALUE!</v>
      </c>
      <c r="AY235" t="e">
        <f>Stock!2825:2825-"'E4!.[&amp;"</f>
        <v>#VALUE!</v>
      </c>
      <c r="AZ235" t="e">
        <f>Stock!2826:2826-"'E4!.['"</f>
        <v>#VALUE!</v>
      </c>
      <c r="BA235" t="e">
        <f>Stock!2827:2827-"'E4!.[("</f>
        <v>#VALUE!</v>
      </c>
      <c r="BB235" t="e">
        <f>Stock!2828:2828-"'E4!.[)"</f>
        <v>#VALUE!</v>
      </c>
      <c r="BC235" t="e">
        <f>Stock!2829:2829-"'E4!.[."</f>
        <v>#VALUE!</v>
      </c>
      <c r="BD235" t="e">
        <f>Stock!2830:2830-"'E4!.[/"</f>
        <v>#VALUE!</v>
      </c>
      <c r="BE235" t="e">
        <f>Stock!2831:2831-"'E4!.[0"</f>
        <v>#VALUE!</v>
      </c>
      <c r="BF235" t="e">
        <f>Stock!2832:2832-"'E4!.[1"</f>
        <v>#VALUE!</v>
      </c>
      <c r="BG235" t="e">
        <f>Stock!2833:2833-"'E4!.[2"</f>
        <v>#VALUE!</v>
      </c>
      <c r="BH235" t="e">
        <f>Stock!2834:2834-"'E4!.[3"</f>
        <v>#VALUE!</v>
      </c>
      <c r="BI235" t="e">
        <f>Stock!2835:2835-"'E4!.[4"</f>
        <v>#VALUE!</v>
      </c>
      <c r="BJ235" t="e">
        <f>Stock!2836:2836-"'E4!.[5"</f>
        <v>#VALUE!</v>
      </c>
      <c r="BK235" t="e">
        <f>Stock!2837:2837-"'E4!.[6"</f>
        <v>#VALUE!</v>
      </c>
      <c r="BL235" t="e">
        <f>Stock!2838:2838-"'E4!.[7"</f>
        <v>#VALUE!</v>
      </c>
      <c r="BM235" t="e">
        <f>Stock!2839:2839-"'E4!.[8"</f>
        <v>#VALUE!</v>
      </c>
      <c r="BN235" t="e">
        <f>Stock!2840:2840-"'E4!.[9"</f>
        <v>#VALUE!</v>
      </c>
      <c r="BO235" t="e">
        <f>Stock!2841:2841-"'E4!.[:"</f>
        <v>#VALUE!</v>
      </c>
      <c r="BP235" t="e">
        <f>Stock!2842:2842-"'E4!.[;"</f>
        <v>#VALUE!</v>
      </c>
      <c r="BQ235" t="e">
        <f>Stock!2843:2843-"'E4!.[&lt;"</f>
        <v>#VALUE!</v>
      </c>
      <c r="BR235" t="e">
        <f>Stock!2844:2844-"'E4!.[="</f>
        <v>#VALUE!</v>
      </c>
      <c r="BS235" t="e">
        <f>Stock!2845:2845-"'E4!.[&gt;"</f>
        <v>#VALUE!</v>
      </c>
      <c r="BT235" t="e">
        <f>Stock!2846:2846-"'E4!.[?"</f>
        <v>#VALUE!</v>
      </c>
      <c r="BU235" t="e">
        <f>Stock!2847:2847-"'E4!.[@"</f>
        <v>#VALUE!</v>
      </c>
      <c r="BV235" t="e">
        <f>Stock!2848:2848-"'E4!.[A"</f>
        <v>#VALUE!</v>
      </c>
      <c r="BW235" t="e">
        <f>Stock!2849:2849-"'E4!.[B"</f>
        <v>#VALUE!</v>
      </c>
      <c r="BX235" t="e">
        <f>Stock!2850:2850-"'E4!.[C"</f>
        <v>#VALUE!</v>
      </c>
      <c r="BY235" t="e">
        <f>Stock!2851:2851-"'E4!.[D"</f>
        <v>#VALUE!</v>
      </c>
      <c r="BZ235" t="e">
        <f>Stock!2852:2852-"'E4!.[E"</f>
        <v>#VALUE!</v>
      </c>
      <c r="CA235" t="e">
        <f>Stock!2853:2853-"'E4!.[F"</f>
        <v>#VALUE!</v>
      </c>
      <c r="CB235" t="e">
        <f>Stock!2854:2854-"'E4!.[G"</f>
        <v>#VALUE!</v>
      </c>
      <c r="CC235" t="e">
        <f>Stock!2855:2855-"'E4!.[H"</f>
        <v>#VALUE!</v>
      </c>
      <c r="CD235" t="e">
        <f>Stock!2856:2856-"'E4!.[I"</f>
        <v>#VALUE!</v>
      </c>
      <c r="CE235" t="e">
        <f>Stock!2857:2857-"'E4!.[J"</f>
        <v>#VALUE!</v>
      </c>
      <c r="CF235" t="e">
        <f>Stock!2858:2858-"'E4!.[K"</f>
        <v>#VALUE!</v>
      </c>
      <c r="CG235" t="e">
        <f>Stock!2859:2859-"'E4!.[L"</f>
        <v>#VALUE!</v>
      </c>
      <c r="CH235" t="e">
        <f>Stock!2860:2860-"'E4!.[M"</f>
        <v>#VALUE!</v>
      </c>
      <c r="CI235" t="e">
        <f>Stock!2861:2861-"'E4!.[N"</f>
        <v>#VALUE!</v>
      </c>
      <c r="CJ235" t="e">
        <f>Stock!2862:2862-"'E4!.[O"</f>
        <v>#VALUE!</v>
      </c>
      <c r="CK235" t="e">
        <f>Stock!2863:2863-"'E4!.[P"</f>
        <v>#VALUE!</v>
      </c>
      <c r="CL235" t="e">
        <f>Stock!2864:2864-"'E4!.[Q"</f>
        <v>#VALUE!</v>
      </c>
      <c r="CM235" t="e">
        <f>Stock!2865:2865-"'E4!.[R"</f>
        <v>#VALUE!</v>
      </c>
      <c r="CN235" t="e">
        <f>Stock!2866:2866-"'E4!.[S"</f>
        <v>#VALUE!</v>
      </c>
      <c r="CO235" t="e">
        <f>Stock!2867:2867-"'E4!.[T"</f>
        <v>#VALUE!</v>
      </c>
      <c r="CP235" t="e">
        <f>Stock!2868:2868-"'E4!.[U"</f>
        <v>#VALUE!</v>
      </c>
      <c r="CQ235" t="e">
        <f>Stock!2869:2869-"'E4!.[V"</f>
        <v>#VALUE!</v>
      </c>
      <c r="CR235" t="e">
        <f>Stock!2870:2870-"'E4!.[W"</f>
        <v>#VALUE!</v>
      </c>
      <c r="CS235" t="e">
        <f>Stock!2871:2871-"'E4!.[X"</f>
        <v>#VALUE!</v>
      </c>
      <c r="CT235" t="e">
        <f>Stock!2872:2872-"'E4!.[Y"</f>
        <v>#VALUE!</v>
      </c>
      <c r="CU235" t="e">
        <f>Stock!2873:2873-"'E4!.[Z"</f>
        <v>#VALUE!</v>
      </c>
      <c r="CV235" t="e">
        <f>Stock!2874:2874-"'E4!.[["</f>
        <v>#VALUE!</v>
      </c>
      <c r="CW235" t="e">
        <f>Stock!2875:2875-"'E4!.[\"</f>
        <v>#VALUE!</v>
      </c>
      <c r="CX235" t="e">
        <f>Stock!2876:2876-"'E4!.[]"</f>
        <v>#VALUE!</v>
      </c>
      <c r="CY235" t="e">
        <f>Stock!2877:2877-"'E4!.[^"</f>
        <v>#VALUE!</v>
      </c>
      <c r="CZ235" t="e">
        <f>Stock!2878:2878-"'E4!.[_"</f>
        <v>#VALUE!</v>
      </c>
      <c r="DA235" t="e">
        <f>Stock!2879:2879-"'E4!.[`"</f>
        <v>#VALUE!</v>
      </c>
      <c r="DB235" t="e">
        <f>Stock!2880:2880-"'E4!.[a"</f>
        <v>#VALUE!</v>
      </c>
      <c r="DC235" t="e">
        <f>Stock!2881:2881-"'E4!.[b"</f>
        <v>#VALUE!</v>
      </c>
      <c r="DD235" t="e">
        <f>Stock!2882:2882-"'E4!.[c"</f>
        <v>#VALUE!</v>
      </c>
      <c r="DE235" t="e">
        <f>Stock!2883:2883-"'E4!.[d"</f>
        <v>#VALUE!</v>
      </c>
      <c r="DF235" t="e">
        <f>Stock!2884:2884-"'E4!.[e"</f>
        <v>#VALUE!</v>
      </c>
      <c r="DG235" t="e">
        <f>Stock!2885:2885-"'E4!.[f"</f>
        <v>#VALUE!</v>
      </c>
      <c r="DH235" t="e">
        <f>Stock!2886:2886-"'E4!.[g"</f>
        <v>#VALUE!</v>
      </c>
      <c r="DI235" t="e">
        <f>Stock!2887:2887-"'E4!.[h"</f>
        <v>#VALUE!</v>
      </c>
      <c r="DJ235" t="e">
        <f>Stock!2888:2888-"'E4!.[i"</f>
        <v>#VALUE!</v>
      </c>
      <c r="DK235" t="e">
        <f>Stock!2889:2889-"'E4!.[j"</f>
        <v>#VALUE!</v>
      </c>
      <c r="DL235" t="e">
        <f>Stock!2890:2890-"'E4!.[k"</f>
        <v>#VALUE!</v>
      </c>
      <c r="DM235" t="e">
        <f>Stock!2891:2891-"'E4!.[l"</f>
        <v>#VALUE!</v>
      </c>
      <c r="DN235" t="e">
        <f>Stock!2892:2892-"'E4!.[m"</f>
        <v>#VALUE!</v>
      </c>
      <c r="DO235" t="e">
        <f>Stock!2893:2893-"'E4!.[n"</f>
        <v>#VALUE!</v>
      </c>
      <c r="DP235" t="e">
        <f>Stock!2894:2894-"'E4!.[o"</f>
        <v>#VALUE!</v>
      </c>
      <c r="DQ235" t="e">
        <f>Stock!2895:2895-"'E4!.[p"</f>
        <v>#VALUE!</v>
      </c>
      <c r="DR235" t="e">
        <f>Stock!2896:2896-"'E4!.[q"</f>
        <v>#VALUE!</v>
      </c>
      <c r="DS235" t="e">
        <f>Stock!2897:2897-"'E4!.[r"</f>
        <v>#VALUE!</v>
      </c>
      <c r="DT235" t="e">
        <f>Stock!2898:2898-"'E4!.[s"</f>
        <v>#VALUE!</v>
      </c>
      <c r="DU235" t="e">
        <f>Stock!2899:2899-"'E4!.[t"</f>
        <v>#VALUE!</v>
      </c>
      <c r="DV235" t="e">
        <f>Stock!2900:2900-"'E4!.[u"</f>
        <v>#VALUE!</v>
      </c>
      <c r="DW235" t="e">
        <f>Stock!2901:2901-"'E4!.[v"</f>
        <v>#VALUE!</v>
      </c>
      <c r="DX235" t="e">
        <f>Stock!2902:2902-"'E4!.[w"</f>
        <v>#VALUE!</v>
      </c>
      <c r="DY235" t="e">
        <f>Stock!2903:2903-"'E4!.[x"</f>
        <v>#VALUE!</v>
      </c>
      <c r="DZ235" t="e">
        <f>Stock!2904:2904-"'E4!.[y"</f>
        <v>#VALUE!</v>
      </c>
      <c r="EA235" t="e">
        <f>Stock!2905:2905-"'E4!.[z"</f>
        <v>#VALUE!</v>
      </c>
      <c r="EB235" t="e">
        <f>Stock!2906:2906-"'E4!.[{"</f>
        <v>#VALUE!</v>
      </c>
      <c r="EC235" t="e">
        <f>Stock!2907:2907-"'E4!.[|"</f>
        <v>#VALUE!</v>
      </c>
      <c r="ED235" t="e">
        <f>Stock!2908:2908-"'E4!.[}"</f>
        <v>#VALUE!</v>
      </c>
      <c r="EE235" t="e">
        <f>Stock!2909:2909-"'E4!.[~"</f>
        <v>#VALUE!</v>
      </c>
      <c r="EF235" t="e">
        <f>Stock!2910:2910-"'E4!.\#"</f>
        <v>#VALUE!</v>
      </c>
      <c r="EG235" t="e">
        <f>Stock!2911:2911-"'E4!.\$"</f>
        <v>#VALUE!</v>
      </c>
      <c r="EH235" t="e">
        <f>Stock!2912:2912-"'E4!.\%"</f>
        <v>#VALUE!</v>
      </c>
      <c r="EI235" t="e">
        <f>Stock!2913:2913-"'E4!.\&amp;"</f>
        <v>#VALUE!</v>
      </c>
      <c r="EJ235" t="e">
        <f>Stock!2914:2914-"'E4!.\'"</f>
        <v>#VALUE!</v>
      </c>
      <c r="EK235" t="e">
        <f>Stock!2915:2915-"'E4!.\("</f>
        <v>#VALUE!</v>
      </c>
      <c r="EL235" t="e">
        <f>Stock!2916:2916-"'E4!.\)"</f>
        <v>#VALUE!</v>
      </c>
      <c r="EM235" t="e">
        <f>Stock!2917:2917-"'E4!.\."</f>
        <v>#VALUE!</v>
      </c>
      <c r="EN235" t="e">
        <f>Stock!2918:2918-"'E4!.\/"</f>
        <v>#VALUE!</v>
      </c>
      <c r="EO235" t="e">
        <f>Stock!2919:2919-"'E4!.\0"</f>
        <v>#VALUE!</v>
      </c>
      <c r="EP235" t="e">
        <f>Stock!2920:2920-"'E4!.\1"</f>
        <v>#VALUE!</v>
      </c>
      <c r="EQ235" t="e">
        <f>Stock!2921:2921-"'E4!.\2"</f>
        <v>#VALUE!</v>
      </c>
      <c r="ER235" t="e">
        <f>Stock!2922:2922-"'E4!.\3"</f>
        <v>#VALUE!</v>
      </c>
      <c r="ES235" t="e">
        <f>Stock!2923:2923-"'E4!.\4"</f>
        <v>#VALUE!</v>
      </c>
      <c r="ET235" t="e">
        <f>Stock!2924:2924-"'E4!.\5"</f>
        <v>#VALUE!</v>
      </c>
      <c r="EU235" t="e">
        <f>Stock!2925:2925-"'E4!.\6"</f>
        <v>#VALUE!</v>
      </c>
      <c r="EV235" t="e">
        <f>Stock!2926:2926-"'E4!.\7"</f>
        <v>#VALUE!</v>
      </c>
      <c r="EW235" t="e">
        <f>Stock!2927:2927-"'E4!.\8"</f>
        <v>#VALUE!</v>
      </c>
      <c r="EX235" t="e">
        <f>Stock!2928:2928-"'E4!.\9"</f>
        <v>#VALUE!</v>
      </c>
      <c r="EY235" t="e">
        <f>Stock!2929:2929-"'E4!.\:"</f>
        <v>#VALUE!</v>
      </c>
      <c r="EZ235" t="e">
        <f>Stock!2930:2930-"'E4!.\;"</f>
        <v>#VALUE!</v>
      </c>
      <c r="FA235" t="e">
        <f>Stock!2931:2931-"'E4!.\&lt;"</f>
        <v>#VALUE!</v>
      </c>
      <c r="FB235" t="e">
        <f>Stock!2932:2932-"'E4!.\="</f>
        <v>#VALUE!</v>
      </c>
      <c r="FC235" t="e">
        <f>Stock!2933:2933-"'E4!.\&gt;"</f>
        <v>#VALUE!</v>
      </c>
      <c r="FD235" t="e">
        <f>Stock!2934:2934-"'E4!.\?"</f>
        <v>#VALUE!</v>
      </c>
      <c r="FE235" t="e">
        <f>Stock!2935:2935-"'E4!.\@"</f>
        <v>#VALUE!</v>
      </c>
      <c r="FF235" t="e">
        <f>Stock!2936:2936-"'E4!.\A"</f>
        <v>#VALUE!</v>
      </c>
      <c r="FG235" t="e">
        <f>Stock!2937:2937-"'E4!.\B"</f>
        <v>#VALUE!</v>
      </c>
      <c r="FH235" t="e">
        <f>Stock!2938:2938-"'E4!.\C"</f>
        <v>#VALUE!</v>
      </c>
      <c r="FI235" t="e">
        <f>Stock!2939:2939-"'E4!.\D"</f>
        <v>#VALUE!</v>
      </c>
      <c r="FJ235" t="e">
        <f>Stock!2940:2940-"'E4!.\E"</f>
        <v>#VALUE!</v>
      </c>
      <c r="FK235" t="e">
        <f>Stock!2941:2941-"'E4!.\F"</f>
        <v>#VALUE!</v>
      </c>
      <c r="FL235" t="e">
        <f>Stock!2942:2942-"'E4!.\G"</f>
        <v>#VALUE!</v>
      </c>
      <c r="FM235" t="e">
        <f>Stock!2943:2943-"'E4!.\H"</f>
        <v>#VALUE!</v>
      </c>
      <c r="FN235" t="e">
        <f>Stock!2944:2944-"'E4!.\I"</f>
        <v>#VALUE!</v>
      </c>
      <c r="FO235" t="e">
        <f>Stock!2945:2945-"'E4!.\J"</f>
        <v>#VALUE!</v>
      </c>
      <c r="FP235" t="e">
        <f>Stock!2946:2946-"'E4!.\K"</f>
        <v>#VALUE!</v>
      </c>
      <c r="FQ235" t="e">
        <f>Stock!2947:2947-"'E4!.\L"</f>
        <v>#VALUE!</v>
      </c>
      <c r="FR235" t="e">
        <f>Stock!2948:2948-"'E4!.\M"</f>
        <v>#VALUE!</v>
      </c>
      <c r="FS235" t="e">
        <f>Stock!2949:2949-"'E4!.\N"</f>
        <v>#VALUE!</v>
      </c>
      <c r="FT235" t="e">
        <f>Stock!2950:2950-"'E4!.\O"</f>
        <v>#VALUE!</v>
      </c>
      <c r="FU235" t="e">
        <f>Stock!2951:2951-"'E4!.\P"</f>
        <v>#VALUE!</v>
      </c>
      <c r="FV235" t="e">
        <f>Stock!2952:2952-"'E4!.\Q"</f>
        <v>#VALUE!</v>
      </c>
      <c r="FW235" t="e">
        <f>Stock!2953:2953-"'E4!.\R"</f>
        <v>#VALUE!</v>
      </c>
      <c r="FX235" t="e">
        <f>Stock!2954:2954-"'E4!.\S"</f>
        <v>#VALUE!</v>
      </c>
      <c r="FY235" t="e">
        <f>Stock!2955:2955-"'E4!.\T"</f>
        <v>#VALUE!</v>
      </c>
      <c r="FZ235" t="e">
        <f>Stock!2956:2956-"'E4!.\U"</f>
        <v>#VALUE!</v>
      </c>
      <c r="GA235" t="e">
        <f>Stock!2957:2957-"'E4!.\V"</f>
        <v>#VALUE!</v>
      </c>
      <c r="GB235" t="e">
        <f>Stock!2958:2958-"'E4!.\W"</f>
        <v>#VALUE!</v>
      </c>
      <c r="GC235" t="e">
        <f>Stock!2959:2959-"'E4!.\X"</f>
        <v>#VALUE!</v>
      </c>
      <c r="GD235" t="e">
        <f>Stock!2960:2960-"'E4!.\Y"</f>
        <v>#VALUE!</v>
      </c>
      <c r="GE235" t="e">
        <f>Stock!2961:2961-"'E4!.\Z"</f>
        <v>#VALUE!</v>
      </c>
      <c r="GF235" t="e">
        <f>Stock!2962:2962-"'E4!.\["</f>
        <v>#VALUE!</v>
      </c>
      <c r="GG235" t="e">
        <f>Stock!2963:2963-"'E4!.\\"</f>
        <v>#VALUE!</v>
      </c>
      <c r="GH235" t="e">
        <f>Stock!2964:2964-"'E4!.\]"</f>
        <v>#VALUE!</v>
      </c>
      <c r="GI235" t="e">
        <f>Stock!2965:2965-"'E4!.\^"</f>
        <v>#VALUE!</v>
      </c>
      <c r="GJ235" t="e">
        <f>Stock!2966:2966-"'E4!.\_"</f>
        <v>#VALUE!</v>
      </c>
      <c r="GK235" t="e">
        <f>Stock!2967:2967-"'E4!.\`"</f>
        <v>#VALUE!</v>
      </c>
      <c r="GL235" t="e">
        <f>Stock!2968:2968-"'E4!.\a"</f>
        <v>#VALUE!</v>
      </c>
      <c r="GM235" t="e">
        <f>Stock!2969:2969-"'E4!.\b"</f>
        <v>#VALUE!</v>
      </c>
      <c r="GN235" t="e">
        <f>Stock!2970:2970-"'E4!.\c"</f>
        <v>#VALUE!</v>
      </c>
      <c r="GO235" t="e">
        <f>Stock!2971:2971-"'E4!.\d"</f>
        <v>#VALUE!</v>
      </c>
      <c r="GP235" t="e">
        <f>Stock!2972:2972-"'E4!.\e"</f>
        <v>#VALUE!</v>
      </c>
      <c r="GQ235" t="e">
        <f>Stock!2973:2973-"'E4!.\f"</f>
        <v>#VALUE!</v>
      </c>
      <c r="GR235" t="e">
        <f>Stock!2974:2974-"'E4!.\g"</f>
        <v>#VALUE!</v>
      </c>
      <c r="GS235" t="e">
        <f>Stock!2975:2975-"'E4!.\h"</f>
        <v>#VALUE!</v>
      </c>
      <c r="GT235" t="e">
        <f>Stock!2976:2976-"'E4!.\i"</f>
        <v>#VALUE!</v>
      </c>
      <c r="GU235" t="e">
        <f>Stock!2977:2977-"'E4!.\j"</f>
        <v>#VALUE!</v>
      </c>
      <c r="GV235" t="e">
        <f>Stock!2978:2978-"'E4!.\k"</f>
        <v>#VALUE!</v>
      </c>
      <c r="GW235" t="e">
        <f>Stock!2979:2979-"'E4!.\l"</f>
        <v>#VALUE!</v>
      </c>
      <c r="GX235" t="e">
        <f>Stock!2980:2980-"'E4!.\m"</f>
        <v>#VALUE!</v>
      </c>
      <c r="GY235" t="e">
        <f>Stock!2981:2981-"'E4!.\n"</f>
        <v>#VALUE!</v>
      </c>
      <c r="GZ235" t="e">
        <f>Stock!2982:2982-"'E4!.\o"</f>
        <v>#VALUE!</v>
      </c>
      <c r="HA235" t="e">
        <f>Stock!2983:2983-"'E4!.\p"</f>
        <v>#VALUE!</v>
      </c>
      <c r="HB235" t="e">
        <f>Stock!2984:2984-"'E4!.\q"</f>
        <v>#VALUE!</v>
      </c>
      <c r="HC235" t="e">
        <f>Stock!2985:2985-"'E4!.\r"</f>
        <v>#VALUE!</v>
      </c>
      <c r="HD235" t="e">
        <f>Stock!2986:2986-"'E4!.\s"</f>
        <v>#VALUE!</v>
      </c>
      <c r="HE235" t="e">
        <f>Stock!2987:2987-"'E4!.\t"</f>
        <v>#VALUE!</v>
      </c>
      <c r="HF235" t="e">
        <f>Stock!2988:2988-"'E4!.\u"</f>
        <v>#VALUE!</v>
      </c>
      <c r="HG235" t="e">
        <f>Stock!2989:2989-"'E4!.\v"</f>
        <v>#VALUE!</v>
      </c>
      <c r="HH235" t="e">
        <f>Stock!2990:2990-"'E4!.\w"</f>
        <v>#VALUE!</v>
      </c>
      <c r="HI235" t="e">
        <f>Stock!2991:2991-"'E4!.\x"</f>
        <v>#VALUE!</v>
      </c>
      <c r="HJ235" t="e">
        <f>Stock!2992:2992-"'E4!.\y"</f>
        <v>#VALUE!</v>
      </c>
      <c r="HK235" t="e">
        <f>Stock!2993:2993-"'E4!.\z"</f>
        <v>#VALUE!</v>
      </c>
      <c r="HL235" t="e">
        <f>Stock!2994:2994-"'E4!.\{"</f>
        <v>#VALUE!</v>
      </c>
      <c r="HM235" t="e">
        <f>Stock!2995:2995-"'E4!.\|"</f>
        <v>#VALUE!</v>
      </c>
      <c r="HN235" t="e">
        <f>Stock!2996:2996-"'E4!.\}"</f>
        <v>#VALUE!</v>
      </c>
      <c r="HO235" t="e">
        <f>Stock!2997:2997-"'E4!.\~"</f>
        <v>#VALUE!</v>
      </c>
      <c r="HP235" t="e">
        <f>Stock!2998:2998-"'E4!.]#"</f>
        <v>#VALUE!</v>
      </c>
      <c r="HQ235" t="e">
        <f>Stock!2999:2999-"'E4!.]$"</f>
        <v>#VALUE!</v>
      </c>
      <c r="HR235" t="e">
        <f>Stock!3000:3000-"'E4!.]%"</f>
        <v>#VALUE!</v>
      </c>
      <c r="HS235" t="e">
        <f>Stock!3001:3001-"'E4!.]&amp;"</f>
        <v>#VALUE!</v>
      </c>
      <c r="HT235" t="e">
        <f>Stock!3002:3002-"'E4!.]'"</f>
        <v>#VALUE!</v>
      </c>
      <c r="HU235" t="e">
        <f>Stock!3003:3003-"'E4!.]("</f>
        <v>#VALUE!</v>
      </c>
      <c r="HV235" t="e">
        <f>Stock!3004:3004-"'E4!.])"</f>
        <v>#VALUE!</v>
      </c>
      <c r="HW235" t="e">
        <f>Stock!3005:3005-"'E4!.]."</f>
        <v>#VALUE!</v>
      </c>
      <c r="HX235" t="e">
        <f>Stock!3006:3006-"'E4!.]/"</f>
        <v>#VALUE!</v>
      </c>
      <c r="HY235" t="e">
        <f>Stock!3007:3007-"'E4!.]0"</f>
        <v>#VALUE!</v>
      </c>
      <c r="HZ235" t="e">
        <f>Stock!3008:3008-"'E4!.]1"</f>
        <v>#VALUE!</v>
      </c>
      <c r="IA235" t="e">
        <f>Stock!3009:3009-"'E4!.]2"</f>
        <v>#VALUE!</v>
      </c>
      <c r="IB235" t="e">
        <f>Stock!3010:3010-"'E4!.]3"</f>
        <v>#VALUE!</v>
      </c>
      <c r="IC235" t="e">
        <f>Stock!3011:3011-"'E4!.]4"</f>
        <v>#VALUE!</v>
      </c>
      <c r="ID235" t="e">
        <f>Stock!3012:3012-"'E4!.]5"</f>
        <v>#VALUE!</v>
      </c>
      <c r="IE235" t="e">
        <f>Stock!3013:3013-"'E4!.]6"</f>
        <v>#VALUE!</v>
      </c>
      <c r="IF235" t="e">
        <f>Stock!3014:3014-"'E4!.]7"</f>
        <v>#VALUE!</v>
      </c>
      <c r="IG235" t="e">
        <f>Stock!3015:3015-"'E4!.]8"</f>
        <v>#VALUE!</v>
      </c>
      <c r="IH235" t="e">
        <f>Stock!3016:3016-"'E4!.]9"</f>
        <v>#VALUE!</v>
      </c>
      <c r="II235" t="e">
        <f>Stock!3017:3017-"'E4!.]:"</f>
        <v>#VALUE!</v>
      </c>
      <c r="IJ235" t="e">
        <f>Stock!3018:3018-"'E4!.];"</f>
        <v>#VALUE!</v>
      </c>
      <c r="IK235" t="e">
        <f>Stock!3019:3019-"'E4!.]&lt;"</f>
        <v>#VALUE!</v>
      </c>
      <c r="IL235" t="e">
        <f>Stock!3020:3020-"'E4!.]="</f>
        <v>#VALUE!</v>
      </c>
      <c r="IM235" t="e">
        <f>Stock!3021:3021-"'E4!.]&gt;"</f>
        <v>#VALUE!</v>
      </c>
      <c r="IN235" t="e">
        <f>Stock!3022:3022-"'E4!.]?"</f>
        <v>#VALUE!</v>
      </c>
      <c r="IO235" t="e">
        <f>Stock!3023:3023-"'E4!.]@"</f>
        <v>#VALUE!</v>
      </c>
      <c r="IP235" t="e">
        <f>Stock!3024:3024-"'E4!.]A"</f>
        <v>#VALUE!</v>
      </c>
      <c r="IQ235" t="e">
        <f>Stock!3025:3025-"'E4!.]B"</f>
        <v>#VALUE!</v>
      </c>
      <c r="IR235" t="e">
        <f>Stock!3026:3026-"'E4!.]C"</f>
        <v>#VALUE!</v>
      </c>
      <c r="IS235" t="e">
        <f>Stock!3027:3027-"'E4!.]D"</f>
        <v>#VALUE!</v>
      </c>
      <c r="IT235" t="e">
        <f>Stock!3028:3028-"'E4!.]E"</f>
        <v>#VALUE!</v>
      </c>
      <c r="IU235" t="e">
        <f>Stock!3029:3029-"'E4!.]F"</f>
        <v>#VALUE!</v>
      </c>
      <c r="IV235" t="e">
        <f>Stock!3030:3030-"'E4!.]G"</f>
        <v>#VALUE!</v>
      </c>
    </row>
    <row r="236" spans="6:256">
      <c r="F236" t="e">
        <f>Stock!3031:3031-"'E4!.]H"</f>
        <v>#VALUE!</v>
      </c>
      <c r="G236" t="e">
        <f>Stock!3032:3032-"'E4!.]I"</f>
        <v>#VALUE!</v>
      </c>
      <c r="H236" t="e">
        <f>Stock!3033:3033-"'E4!.]J"</f>
        <v>#VALUE!</v>
      </c>
      <c r="I236" t="e">
        <f>Stock!3034:3034-"'E4!.]K"</f>
        <v>#VALUE!</v>
      </c>
      <c r="J236" t="e">
        <f>Stock!3035:3035-"'E4!.]L"</f>
        <v>#VALUE!</v>
      </c>
      <c r="K236" t="e">
        <f>Stock!3036:3036-"'E4!.]M"</f>
        <v>#VALUE!</v>
      </c>
      <c r="L236" t="e">
        <f>Stock!3037:3037-"'E4!.]N"</f>
        <v>#VALUE!</v>
      </c>
      <c r="M236" t="e">
        <f>Stock!3038:3038-"'E4!.]O"</f>
        <v>#VALUE!</v>
      </c>
      <c r="N236" t="e">
        <f>Stock!3039:3039-"'E4!.]P"</f>
        <v>#VALUE!</v>
      </c>
      <c r="O236" t="e">
        <f>Stock!3040:3040-"'E4!.]Q"</f>
        <v>#VALUE!</v>
      </c>
      <c r="P236" t="e">
        <f>Stock!3041:3041-"'E4!.]R"</f>
        <v>#VALUE!</v>
      </c>
      <c r="Q236" t="e">
        <f>Stock!3042:3042-"'E4!.]S"</f>
        <v>#VALUE!</v>
      </c>
      <c r="R236" t="e">
        <f>Stock!3043:3043-"'E4!.]T"</f>
        <v>#VALUE!</v>
      </c>
      <c r="S236" t="e">
        <f>Stock!3044:3044-"'E4!.]U"</f>
        <v>#VALUE!</v>
      </c>
      <c r="T236" t="e">
        <f>Stock!3045:3045-"'E4!.]V"</f>
        <v>#VALUE!</v>
      </c>
      <c r="U236" t="e">
        <f>Stock!3046:3046-"'E4!.]W"</f>
        <v>#VALUE!</v>
      </c>
      <c r="V236" t="e">
        <f>Stock!3047:3047-"'E4!.]X"</f>
        <v>#VALUE!</v>
      </c>
      <c r="W236" t="e">
        <f>Stock!3048:3048-"'E4!.]Y"</f>
        <v>#VALUE!</v>
      </c>
      <c r="X236" t="e">
        <f>Stock!3049:3049-"'E4!.]Z"</f>
        <v>#VALUE!</v>
      </c>
      <c r="Y236" t="e">
        <f>Stock!3050:3050-"'E4!.]["</f>
        <v>#VALUE!</v>
      </c>
      <c r="Z236" t="e">
        <f>Stock!3051:3051-"'E4!.]\"</f>
        <v>#VALUE!</v>
      </c>
      <c r="AA236" t="e">
        <f>Stock!3052:3052-"'E4!.]]"</f>
        <v>#VALUE!</v>
      </c>
      <c r="AB236" t="e">
        <f>Stock!3053:3053-"'E4!.]^"</f>
        <v>#VALUE!</v>
      </c>
      <c r="AC236" t="e">
        <f>Stock!3054:3054-"'E4!.]_"</f>
        <v>#VALUE!</v>
      </c>
      <c r="AD236" t="e">
        <f>Stock!3055:3055-"'E4!.]`"</f>
        <v>#VALUE!</v>
      </c>
      <c r="AE236" t="e">
        <f>Stock!3056:3056-"'E4!.]a"</f>
        <v>#VALUE!</v>
      </c>
      <c r="AF236" t="e">
        <f>Stock!3057:3057-"'E4!.]b"</f>
        <v>#VALUE!</v>
      </c>
      <c r="AG236" t="e">
        <f>Stock!3058:3058-"'E4!.]c"</f>
        <v>#VALUE!</v>
      </c>
      <c r="AH236" t="e">
        <f>Stock!3059:3059-"'E4!.]d"</f>
        <v>#VALUE!</v>
      </c>
      <c r="AI236" t="e">
        <f>Stock!3060:3060-"'E4!.]e"</f>
        <v>#VALUE!</v>
      </c>
      <c r="AJ236" t="e">
        <f>Stock!3061:3061-"'E4!.]f"</f>
        <v>#VALUE!</v>
      </c>
      <c r="AK236" t="e">
        <f>Stock!3062:3062-"'E4!.]g"</f>
        <v>#VALUE!</v>
      </c>
      <c r="AL236" t="e">
        <f>Stock!3063:3063-"'E4!.]h"</f>
        <v>#VALUE!</v>
      </c>
      <c r="AM236" t="e">
        <f>Stock!3064:3064-"'E4!.]i"</f>
        <v>#VALUE!</v>
      </c>
      <c r="AN236" t="e">
        <f>Stock!3065:3065-"'E4!.]j"</f>
        <v>#VALUE!</v>
      </c>
      <c r="AO236" t="e">
        <f>Stock!3066:3066-"'E4!.]k"</f>
        <v>#VALUE!</v>
      </c>
      <c r="AP236" t="e">
        <f>Stock!3067:3067-"'E4!.]l"</f>
        <v>#VALUE!</v>
      </c>
      <c r="AQ236" t="e">
        <f>Stock!3068:3068-"'E4!.]m"</f>
        <v>#VALUE!</v>
      </c>
      <c r="AR236" t="e">
        <f>Stock!3069:3069-"'E4!.]n"</f>
        <v>#VALUE!</v>
      </c>
      <c r="AS236" t="e">
        <f>Stock!3070:3070-"'E4!.]o"</f>
        <v>#VALUE!</v>
      </c>
      <c r="AT236" t="e">
        <f>Stock!3071:3071-"'E4!.]p"</f>
        <v>#VALUE!</v>
      </c>
      <c r="AU236" t="e">
        <f>Stock!3072:3072-"'E4!.]q"</f>
        <v>#VALUE!</v>
      </c>
      <c r="AV236" t="e">
        <f>Stock!3073:3073-"'E4!.]r"</f>
        <v>#VALUE!</v>
      </c>
      <c r="AW236" t="e">
        <f>Stock!3074:3074-"'E4!.]s"</f>
        <v>#VALUE!</v>
      </c>
      <c r="AX236" t="e">
        <f>Stock!3075:3075-"'E4!.]t"</f>
        <v>#VALUE!</v>
      </c>
      <c r="AY236" t="e">
        <f>Stock!3076:3076-"'E4!.]u"</f>
        <v>#VALUE!</v>
      </c>
      <c r="AZ236" t="e">
        <f>Stock!3077:3077-"'E4!.]v"</f>
        <v>#VALUE!</v>
      </c>
      <c r="BA236" t="e">
        <f>Stock!3078:3078-"'E4!.]w"</f>
        <v>#VALUE!</v>
      </c>
      <c r="BB236" t="e">
        <f>Stock!3079:3079-"'E4!.]x"</f>
        <v>#VALUE!</v>
      </c>
      <c r="BC236" t="e">
        <f>Stock!3080:3080-"'E4!.]y"</f>
        <v>#VALUE!</v>
      </c>
      <c r="BD236" t="e">
        <f>Stock!3081:3081-"'E4!.]z"</f>
        <v>#VALUE!</v>
      </c>
      <c r="BE236" t="e">
        <f>Stock!3082:3082-"'E4!.]{"</f>
        <v>#VALUE!</v>
      </c>
      <c r="BF236" t="e">
        <f>Stock!3083:3083-"'E4!.]|"</f>
        <v>#VALUE!</v>
      </c>
      <c r="BG236" t="e">
        <f>Stock!3084:3084-"'E4!.]}"</f>
        <v>#VALUE!</v>
      </c>
      <c r="BH236" t="e">
        <f>Stock!3085:3085-"'E4!.]~"</f>
        <v>#VALUE!</v>
      </c>
      <c r="BI236" t="e">
        <f>Stock!3086:3086-"'E4!.^#"</f>
        <v>#VALUE!</v>
      </c>
      <c r="BJ236" t="e">
        <f>Stock!3087:3087-"'E4!.^$"</f>
        <v>#VALUE!</v>
      </c>
      <c r="BK236" t="e">
        <f>Stock!3088:3088-"'E4!.^%"</f>
        <v>#VALUE!</v>
      </c>
      <c r="BL236" t="e">
        <f>Stock!3089:3089-"'E4!.^&amp;"</f>
        <v>#VALUE!</v>
      </c>
      <c r="BM236" t="e">
        <f>Stock!3090:3090-"'E4!.^'"</f>
        <v>#VALUE!</v>
      </c>
      <c r="BN236" t="e">
        <f>Stock!3091:3091-"'E4!.^("</f>
        <v>#VALUE!</v>
      </c>
      <c r="BO236" t="e">
        <f>Stock!3092:3092-"'E4!.^)"</f>
        <v>#VALUE!</v>
      </c>
      <c r="BP236" t="e">
        <f>Stock!3093:3093-"'E4!.^."</f>
        <v>#VALUE!</v>
      </c>
      <c r="BQ236" t="e">
        <f>Stock!3094:3094-"'E4!.^/"</f>
        <v>#VALUE!</v>
      </c>
      <c r="BR236" t="e">
        <f>Stock!3095:3095-"'E4!.^0"</f>
        <v>#VALUE!</v>
      </c>
      <c r="BS236" t="e">
        <f>Stock!3096:3096-"'E4!.^1"</f>
        <v>#VALUE!</v>
      </c>
      <c r="BT236" t="e">
        <f>Stock!3097:3097-"'E4!.^2"</f>
        <v>#VALUE!</v>
      </c>
      <c r="BU236" t="e">
        <f>Stock!3098:3098-"'E4!.^3"</f>
        <v>#VALUE!</v>
      </c>
      <c r="BV236" t="e">
        <f>Stock!3099:3099-"'E4!.^4"</f>
        <v>#VALUE!</v>
      </c>
      <c r="BW236" t="e">
        <f>Stock!3100:3100-"'E4!.^5"</f>
        <v>#VALUE!</v>
      </c>
      <c r="BX236" t="e">
        <f>Stock!3101:3101-"'E4!.^6"</f>
        <v>#VALUE!</v>
      </c>
      <c r="BY236" t="e">
        <f>Stock!3102:3102-"'E4!.^7"</f>
        <v>#VALUE!</v>
      </c>
      <c r="BZ236" t="e">
        <f>Stock!3103:3103-"'E4!.^8"</f>
        <v>#VALUE!</v>
      </c>
      <c r="CA236" t="e">
        <f>Stock!3104:3104-"'E4!.^9"</f>
        <v>#VALUE!</v>
      </c>
      <c r="CB236" t="e">
        <f>Stock!3105:3105-"'E4!.^:"</f>
        <v>#VALUE!</v>
      </c>
      <c r="CC236" t="e">
        <f>Stock!3106:3106-"'E4!.^;"</f>
        <v>#VALUE!</v>
      </c>
      <c r="CD236" t="e">
        <f>Stock!3107:3107-"'E4!.^&lt;"</f>
        <v>#VALUE!</v>
      </c>
      <c r="CE236" t="e">
        <f>Stock!3108:3108-"'E4!.^="</f>
        <v>#VALUE!</v>
      </c>
      <c r="CF236" t="e">
        <f>Stock!3109:3109-"'E4!.^&gt;"</f>
        <v>#VALUE!</v>
      </c>
      <c r="CG236" t="e">
        <f>Stock!3110:3110-"'E4!.^?"</f>
        <v>#VALUE!</v>
      </c>
      <c r="CH236" t="e">
        <f>Stock!3111:3111-"'E4!.^@"</f>
        <v>#VALUE!</v>
      </c>
      <c r="CI236" t="e">
        <f>Stock!3112:3112-"'E4!.^A"</f>
        <v>#VALUE!</v>
      </c>
      <c r="CJ236" t="e">
        <f>Stock!3113:3113-"'E4!.^B"</f>
        <v>#VALUE!</v>
      </c>
      <c r="CK236" t="e">
        <f>Stock!3114:3114-"'E4!.^C"</f>
        <v>#VALUE!</v>
      </c>
      <c r="CL236" t="e">
        <f>Stock!3115:3115-"'E4!.^D"</f>
        <v>#VALUE!</v>
      </c>
      <c r="CM236" t="e">
        <f>Stock!3116:3116-"'E4!.^E"</f>
        <v>#VALUE!</v>
      </c>
      <c r="CN236" t="e">
        <f>Stock!3117:3117-"'E4!.^F"</f>
        <v>#VALUE!</v>
      </c>
      <c r="CO236" t="e">
        <f>Stock!3118:3118-"'E4!.^G"</f>
        <v>#VALUE!</v>
      </c>
      <c r="CP236" t="e">
        <f>Stock!3119:3119-"'E4!.^H"</f>
        <v>#VALUE!</v>
      </c>
      <c r="CQ236" t="e">
        <f>Stock!3120:3120-"'E4!.^I"</f>
        <v>#VALUE!</v>
      </c>
      <c r="CR236" t="e">
        <f>Stock!3121:3121-"'E4!.^J"</f>
        <v>#VALUE!</v>
      </c>
      <c r="CS236" t="e">
        <f>Stock!3122:3122-"'E4!.^K"</f>
        <v>#VALUE!</v>
      </c>
      <c r="CT236" t="e">
        <f>Stock!3123:3123-"'E4!.^L"</f>
        <v>#VALUE!</v>
      </c>
      <c r="CU236" t="e">
        <f>Stock!3124:3124-"'E4!.^M"</f>
        <v>#VALUE!</v>
      </c>
      <c r="CV236" t="e">
        <f>Stock!3125:3125-"'E4!.^N"</f>
        <v>#VALUE!</v>
      </c>
      <c r="CW236" t="e">
        <f>Stock!3126:3126-"'E4!.^O"</f>
        <v>#VALUE!</v>
      </c>
      <c r="CX236" t="e">
        <f>Stock!3127:3127-"'E4!.^P"</f>
        <v>#VALUE!</v>
      </c>
      <c r="CY236" t="e">
        <f>Stock!3128:3128-"'E4!.^Q"</f>
        <v>#VALUE!</v>
      </c>
      <c r="CZ236" t="e">
        <f>Stock!3129:3129-"'E4!.^R"</f>
        <v>#VALUE!</v>
      </c>
      <c r="DA236" t="e">
        <f>Stock!3130:3130-"'E4!.^S"</f>
        <v>#VALUE!</v>
      </c>
      <c r="DB236" t="e">
        <f>Stock!3131:3131-"'E4!.^T"</f>
        <v>#VALUE!</v>
      </c>
      <c r="DC236" t="e">
        <f>Stock!3132:3132-"'E4!.^U"</f>
        <v>#VALUE!</v>
      </c>
      <c r="DD236" t="e">
        <f>Stock!3133:3133-"'E4!.^V"</f>
        <v>#VALUE!</v>
      </c>
      <c r="DE236" t="e">
        <f>Stock!3134:3134-"'E4!.^W"</f>
        <v>#VALUE!</v>
      </c>
      <c r="DF236" t="e">
        <f>Stock!3135:3135-"'E4!.^X"</f>
        <v>#VALUE!</v>
      </c>
      <c r="DG236" t="e">
        <f>Stock!3136:3136-"'E4!.^Y"</f>
        <v>#VALUE!</v>
      </c>
      <c r="DH236" t="e">
        <f>Stock!3137:3137-"'E4!.^Z"</f>
        <v>#VALUE!</v>
      </c>
      <c r="DI236" t="e">
        <f>Stock!3138:3138-"'E4!.^["</f>
        <v>#VALUE!</v>
      </c>
      <c r="DJ236" t="e">
        <f>Stock!3139:3139-"'E4!.^\"</f>
        <v>#VALUE!</v>
      </c>
      <c r="DK236" t="e">
        <f>Stock!3140:3140-"'E4!.^]"</f>
        <v>#VALUE!</v>
      </c>
      <c r="DL236" t="e">
        <f>Stock!3141:3141-"'E4!.^^"</f>
        <v>#VALUE!</v>
      </c>
      <c r="DM236" t="e">
        <f>Stock!3142:3142-"'E4!.^_"</f>
        <v>#VALUE!</v>
      </c>
      <c r="DN236" t="e">
        <f>Stock!3143:3143-"'E4!.^`"</f>
        <v>#VALUE!</v>
      </c>
      <c r="DO236" t="e">
        <f>Stock!3144:3144-"'E4!.^a"</f>
        <v>#VALUE!</v>
      </c>
      <c r="DP236" t="e">
        <f>Stock!3145:3145-"'E4!.^b"</f>
        <v>#VALUE!</v>
      </c>
      <c r="DQ236" t="e">
        <f>Stock!3146:3146-"'E4!.^c"</f>
        <v>#VALUE!</v>
      </c>
      <c r="DR236" t="e">
        <f>Stock!3147:3147-"'E4!.^d"</f>
        <v>#VALUE!</v>
      </c>
      <c r="DS236" t="e">
        <f>Stock!3148:3148-"'E4!.^e"</f>
        <v>#VALUE!</v>
      </c>
      <c r="DT236" t="e">
        <f>Stock!3149:3149-"'E4!.^f"</f>
        <v>#VALUE!</v>
      </c>
      <c r="DU236" t="e">
        <f>Stock!N1+"'E4!.^g"</f>
        <v>#VALUE!</v>
      </c>
      <c r="DV236" t="e">
        <f>Stock!O1+"'E4!.^h"</f>
        <v>#VALUE!</v>
      </c>
      <c r="DW236" t="e">
        <f>Stock!P1+"'E4!.^i"</f>
        <v>#VALUE!</v>
      </c>
      <c r="DX236" t="e">
        <f>Stock!Q1+"'E4!.^j"</f>
        <v>#VALUE!</v>
      </c>
      <c r="DY236" t="e">
        <f>Stock!R1+"'E4!.^k"</f>
        <v>#VALUE!</v>
      </c>
      <c r="DZ236" t="e">
        <f>Stock!S1+"'E4!.^l"</f>
        <v>#VALUE!</v>
      </c>
      <c r="EA236" t="e">
        <f>Stock!T1+"'E4!.^m"</f>
        <v>#VALUE!</v>
      </c>
      <c r="EB236" t="e">
        <f>Stock!U1+"'E4!.^n"</f>
        <v>#VALUE!</v>
      </c>
      <c r="EC236" t="e">
        <f>Stock!V1+"'E4!.^o"</f>
        <v>#VALUE!</v>
      </c>
      <c r="ED236" t="e">
        <f>Stock!W1+"'E4!.^p"</f>
        <v>#VALUE!</v>
      </c>
      <c r="EE236" t="e">
        <f>Stock!X1+"'E4!.^q"</f>
        <v>#VALUE!</v>
      </c>
      <c r="EF236" t="e">
        <f>Stock!Y1+"'E4!.^r"</f>
        <v>#VALUE!</v>
      </c>
      <c r="EG236" t="e">
        <f>Stock!N2+"'E4!.^s"</f>
        <v>#VALUE!</v>
      </c>
      <c r="EH236" t="e">
        <f>Stock!O2+"'E4!.^t"</f>
        <v>#VALUE!</v>
      </c>
      <c r="EI236" t="e">
        <f>Stock!P2+"'E4!.^u"</f>
        <v>#VALUE!</v>
      </c>
      <c r="EJ236" t="e">
        <f>Stock!Q2+"'E4!.^v"</f>
        <v>#VALUE!</v>
      </c>
      <c r="EK236" t="e">
        <f>Stock!R2+"'E4!.^w"</f>
        <v>#VALUE!</v>
      </c>
      <c r="EL236" s="333" t="e">
        <f>Stock!S2+"'E4!.^x"</f>
        <v>#VALUE!</v>
      </c>
      <c r="EM236" s="333" t="e">
        <f>Stock!T2+"'E4!.^y"</f>
        <v>#VALUE!</v>
      </c>
      <c r="EN236" t="e">
        <f>Stock!U2+"'E4!.^z"</f>
        <v>#VALUE!</v>
      </c>
      <c r="EO236" t="e">
        <f>Stock!V2+"'E4!.^{"</f>
        <v>#VALUE!</v>
      </c>
      <c r="EP236" t="e">
        <f>Stock!W2+"'E4!.^|"</f>
        <v>#VALUE!</v>
      </c>
      <c r="EQ236" t="e">
        <f>Stock!X2+"'E4!.^}"</f>
        <v>#VALUE!</v>
      </c>
      <c r="ER236" t="e">
        <f>Stock!Y2+"'E4!.^~"</f>
        <v>#VALUE!</v>
      </c>
      <c r="ES236" t="e">
        <f>Stock!A3+"'E4!._#"</f>
        <v>#VALUE!</v>
      </c>
      <c r="ET236" t="e">
        <f>Stock!N3+"'E4!._$"</f>
        <v>#VALUE!</v>
      </c>
      <c r="EU236" t="e">
        <f>Stock!O3+"'E4!._%"</f>
        <v>#VALUE!</v>
      </c>
      <c r="EV236" t="e">
        <f>Stock!P3+"'E4!._&amp;"</f>
        <v>#VALUE!</v>
      </c>
      <c r="EW236" t="e">
        <f>Stock!Q3+"'E4!._'"</f>
        <v>#VALUE!</v>
      </c>
      <c r="EX236" t="e">
        <f>Stock!R3+"'E4!._("</f>
        <v>#VALUE!</v>
      </c>
      <c r="EY236" s="333" t="e">
        <f>Stock!S3+"'E4!._)"</f>
        <v>#VALUE!</v>
      </c>
      <c r="EZ236" s="333" t="e">
        <f>Stock!T3+"'E4!._."</f>
        <v>#VALUE!</v>
      </c>
      <c r="FA236" t="e">
        <f>Stock!U3+"'E4!._/"</f>
        <v>#VALUE!</v>
      </c>
      <c r="FB236" t="e">
        <f>Stock!V3+"'E4!._0"</f>
        <v>#VALUE!</v>
      </c>
      <c r="FC236" t="e">
        <f>Stock!W3+"'E4!._1"</f>
        <v>#VALUE!</v>
      </c>
      <c r="FD236" t="e">
        <f>Stock!X3+"'E4!._2"</f>
        <v>#VALUE!</v>
      </c>
      <c r="FE236" t="e">
        <f>Stock!Y3+"'E4!._3"</f>
        <v>#VALUE!</v>
      </c>
      <c r="FF236" t="e">
        <f>Stock!A4+"'E4!._4"</f>
        <v>#VALUE!</v>
      </c>
      <c r="FG236" t="e">
        <f>Stock!B4+"'E4!._5"</f>
        <v>#VALUE!</v>
      </c>
      <c r="FH236" t="e">
        <f>Stock!C4+"'E4!._6"</f>
        <v>#VALUE!</v>
      </c>
      <c r="FI236" t="e">
        <f>Stock!D4+"'E4!._7"</f>
        <v>#VALUE!</v>
      </c>
      <c r="FJ236" t="e">
        <f>Stock!E4+"'E4!._8"</f>
        <v>#VALUE!</v>
      </c>
      <c r="FK236" t="e">
        <f>Stock!F4+"'E4!._9"</f>
        <v>#VALUE!</v>
      </c>
      <c r="FL236" t="e">
        <f>Stock!G4+"'E4!._:"</f>
        <v>#VALUE!</v>
      </c>
      <c r="FM236" t="e">
        <f>Stock!H4+"'E4!._;"</f>
        <v>#VALUE!</v>
      </c>
      <c r="FN236" t="e">
        <f>Stock!I4+"'E4!._&lt;"</f>
        <v>#VALUE!</v>
      </c>
      <c r="FO236" t="e">
        <f>Stock!J4+"'E4!._="</f>
        <v>#VALUE!</v>
      </c>
      <c r="FP236" t="e">
        <f>Stock!K4+"'E4!._&gt;"</f>
        <v>#VALUE!</v>
      </c>
      <c r="FQ236" t="e">
        <f>Stock!L4+"'E4!._?"</f>
        <v>#VALUE!</v>
      </c>
      <c r="FR236" t="e">
        <f>Stock!N4+"'E4!._@"</f>
        <v>#VALUE!</v>
      </c>
      <c r="FS236" t="e">
        <f>Stock!O4+"'E4!._A"</f>
        <v>#VALUE!</v>
      </c>
      <c r="FT236" t="e">
        <f>Stock!P4+"'E4!._B"</f>
        <v>#VALUE!</v>
      </c>
      <c r="FU236" t="e">
        <f>Stock!Q4+"'E4!._C"</f>
        <v>#VALUE!</v>
      </c>
      <c r="FV236" t="e">
        <f>Stock!R4+"'E4!._D"</f>
        <v>#VALUE!</v>
      </c>
      <c r="FW236" s="333" t="e">
        <f>Stock!S4+"'E4!._E"</f>
        <v>#VALUE!</v>
      </c>
      <c r="FX236" s="333" t="e">
        <f>Stock!T4+"'E4!._F"</f>
        <v>#VALUE!</v>
      </c>
      <c r="FY236" t="e">
        <f>Stock!U4+"'E4!._G"</f>
        <v>#VALUE!</v>
      </c>
      <c r="FZ236" t="e">
        <f>Stock!V4+"'E4!._H"</f>
        <v>#VALUE!</v>
      </c>
      <c r="GA236" t="e">
        <f>Stock!W4+"'E4!._I"</f>
        <v>#VALUE!</v>
      </c>
      <c r="GB236" t="e">
        <f>Stock!X4+"'E4!._J"</f>
        <v>#VALUE!</v>
      </c>
      <c r="GC236" t="e">
        <f>Stock!Y4+"'E4!._K"</f>
        <v>#VALUE!</v>
      </c>
      <c r="GD236" t="e">
        <f>Stock!A5+"'E4!._L"</f>
        <v>#VALUE!</v>
      </c>
      <c r="GE236" t="e">
        <f>Stock!B5+"'E4!._M"</f>
        <v>#VALUE!</v>
      </c>
      <c r="GF236" t="e">
        <f>Stock!C5+"'E4!._N"</f>
        <v>#VALUE!</v>
      </c>
      <c r="GG236" t="e">
        <f>Stock!D5+"'E4!._O"</f>
        <v>#VALUE!</v>
      </c>
      <c r="GH236" t="e">
        <f>Stock!E5+"'E4!._P"</f>
        <v>#VALUE!</v>
      </c>
      <c r="GI236" t="e">
        <f>Stock!F5+"'E4!._Q"</f>
        <v>#VALUE!</v>
      </c>
      <c r="GJ236" t="e">
        <f>Stock!G5+"'E4!._R"</f>
        <v>#VALUE!</v>
      </c>
      <c r="GK236" t="e">
        <f>Stock!H5+"'E4!._S"</f>
        <v>#VALUE!</v>
      </c>
      <c r="GL236" t="e">
        <f>Stock!I5+"'E4!._T"</f>
        <v>#VALUE!</v>
      </c>
      <c r="GM236" t="e">
        <f>Stock!J5+"'E4!._U"</f>
        <v>#VALUE!</v>
      </c>
      <c r="GN236" t="e">
        <f>Stock!K5+"'E4!._V"</f>
        <v>#VALUE!</v>
      </c>
      <c r="GO236" t="e">
        <f>Stock!L5+"'E4!._W"</f>
        <v>#VALUE!</v>
      </c>
      <c r="GP236" t="e">
        <f>Stock!N5+"'E4!._X"</f>
        <v>#VALUE!</v>
      </c>
      <c r="GQ236" t="e">
        <f>Stock!O5+"'E4!._Y"</f>
        <v>#VALUE!</v>
      </c>
      <c r="GR236" t="e">
        <f>Stock!P5+"'E4!._Z"</f>
        <v>#VALUE!</v>
      </c>
      <c r="GS236" t="e">
        <f>Stock!Q5+"'E4!._["</f>
        <v>#VALUE!</v>
      </c>
      <c r="GT236" t="e">
        <f>Stock!R5+"'E4!._\"</f>
        <v>#VALUE!</v>
      </c>
      <c r="GU236" s="333" t="e">
        <f>Stock!S5+"'E4!._]"</f>
        <v>#VALUE!</v>
      </c>
      <c r="GV236" s="333" t="e">
        <f>Stock!T5+"'E4!._^"</f>
        <v>#VALUE!</v>
      </c>
      <c r="GW236" t="e">
        <f>Stock!U5+"'E4!.__"</f>
        <v>#VALUE!</v>
      </c>
      <c r="GX236" t="e">
        <f>Stock!V5+"'E4!._`"</f>
        <v>#VALUE!</v>
      </c>
      <c r="GY236" t="e">
        <f>Stock!W5+"'E4!._a"</f>
        <v>#VALUE!</v>
      </c>
      <c r="GZ236" t="e">
        <f>Stock!X5+"'E4!._b"</f>
        <v>#VALUE!</v>
      </c>
      <c r="HA236" t="e">
        <f>Stock!Y5+"'E4!._c"</f>
        <v>#VALUE!</v>
      </c>
      <c r="HB236" t="e">
        <f>Stock!A6+"'E4!._d"</f>
        <v>#VALUE!</v>
      </c>
      <c r="HC236" t="e">
        <f>Stock!B6+"'E4!._e"</f>
        <v>#VALUE!</v>
      </c>
      <c r="HD236" t="e">
        <f>Stock!C6+"'E4!._f"</f>
        <v>#VALUE!</v>
      </c>
      <c r="HE236" t="e">
        <f>Stock!D6+"'E4!._g"</f>
        <v>#VALUE!</v>
      </c>
      <c r="HF236" t="e">
        <f>Stock!E6+"'E4!._h"</f>
        <v>#VALUE!</v>
      </c>
      <c r="HG236" t="e">
        <f>Stock!F6+"'E4!._i"</f>
        <v>#VALUE!</v>
      </c>
      <c r="HH236" t="e">
        <f>Stock!G6+"'E4!._j"</f>
        <v>#VALUE!</v>
      </c>
      <c r="HI236" t="e">
        <f>Stock!H6+"'E4!._k"</f>
        <v>#VALUE!</v>
      </c>
      <c r="HJ236" t="e">
        <f>Stock!I6+"'E4!._l"</f>
        <v>#VALUE!</v>
      </c>
      <c r="HK236" t="e">
        <f>Stock!J6+"'E4!._m"</f>
        <v>#VALUE!</v>
      </c>
      <c r="HL236" t="e">
        <f>Stock!K6+"'E4!._n"</f>
        <v>#VALUE!</v>
      </c>
      <c r="HM236" t="e">
        <f>Stock!L6+"'E4!._o"</f>
        <v>#VALUE!</v>
      </c>
      <c r="HN236" t="e">
        <f>Stock!N6+"'E4!._p"</f>
        <v>#VALUE!</v>
      </c>
      <c r="HO236" t="e">
        <f>Stock!O6+"'E4!._q"</f>
        <v>#VALUE!</v>
      </c>
      <c r="HP236" t="e">
        <f>Stock!P6+"'E4!._r"</f>
        <v>#VALUE!</v>
      </c>
      <c r="HQ236" t="e">
        <f>Stock!Q6+"'E4!._s"</f>
        <v>#VALUE!</v>
      </c>
      <c r="HR236" t="e">
        <f>Stock!R6+"'E4!._t"</f>
        <v>#VALUE!</v>
      </c>
      <c r="HS236" s="333" t="e">
        <f>Stock!S6+"'E4!._u"</f>
        <v>#VALUE!</v>
      </c>
      <c r="HT236" s="333" t="e">
        <f>Stock!T6+"'E4!._v"</f>
        <v>#VALUE!</v>
      </c>
      <c r="HU236" t="e">
        <f>Stock!U6+"'E4!._w"</f>
        <v>#VALUE!</v>
      </c>
      <c r="HV236" t="e">
        <f>Stock!V6+"'E4!._x"</f>
        <v>#VALUE!</v>
      </c>
      <c r="HW236" t="e">
        <f>Stock!W6+"'E4!._y"</f>
        <v>#VALUE!</v>
      </c>
      <c r="HX236" t="e">
        <f>Stock!X6+"'E4!._z"</f>
        <v>#VALUE!</v>
      </c>
      <c r="HY236" t="e">
        <f>Stock!Y6+"'E4!._{"</f>
        <v>#VALUE!</v>
      </c>
      <c r="HZ236" t="e">
        <f>Stock!A7+"'E4!._|"</f>
        <v>#VALUE!</v>
      </c>
      <c r="IA236" t="e">
        <f>Stock!B7+"'E4!._}"</f>
        <v>#VALUE!</v>
      </c>
      <c r="IB236" t="e">
        <f>Stock!C7+"'E4!._~"</f>
        <v>#VALUE!</v>
      </c>
      <c r="IC236" t="e">
        <f>Stock!D7+"'E4!.`#"</f>
        <v>#VALUE!</v>
      </c>
      <c r="ID236" t="e">
        <f>Stock!E7+"'E4!.`$"</f>
        <v>#VALUE!</v>
      </c>
      <c r="IE236" t="e">
        <f>Stock!F7+"'E4!.`%"</f>
        <v>#VALUE!</v>
      </c>
      <c r="IF236" t="e">
        <f>Stock!G7+"'E4!.`&amp;"</f>
        <v>#VALUE!</v>
      </c>
      <c r="IG236" t="e">
        <f>Stock!H7+"'E4!.`'"</f>
        <v>#VALUE!</v>
      </c>
      <c r="IH236" t="e">
        <f>Stock!I7+"'E4!.`("</f>
        <v>#VALUE!</v>
      </c>
      <c r="II236" t="e">
        <f>Stock!J7+"'E4!.`)"</f>
        <v>#VALUE!</v>
      </c>
      <c r="IJ236" t="e">
        <f>Stock!K7+"'E4!.`."</f>
        <v>#VALUE!</v>
      </c>
      <c r="IK236" t="e">
        <f>Stock!L7+"'E4!.`/"</f>
        <v>#VALUE!</v>
      </c>
      <c r="IL236" t="e">
        <f>Stock!N7+"'E4!.`0"</f>
        <v>#VALUE!</v>
      </c>
      <c r="IM236" t="e">
        <f>Stock!O7+"'E4!.`1"</f>
        <v>#VALUE!</v>
      </c>
      <c r="IN236" t="e">
        <f>Stock!P7+"'E4!.`2"</f>
        <v>#VALUE!</v>
      </c>
      <c r="IO236" t="e">
        <f>Stock!Q7+"'E4!.`3"</f>
        <v>#VALUE!</v>
      </c>
      <c r="IP236" t="e">
        <f>Stock!R7+"'E4!.`4"</f>
        <v>#VALUE!</v>
      </c>
      <c r="IQ236" s="333" t="e">
        <f>Stock!S7+"'E4!.`5"</f>
        <v>#VALUE!</v>
      </c>
      <c r="IR236" s="333" t="e">
        <f>Stock!T7+"'E4!.`6"</f>
        <v>#VALUE!</v>
      </c>
      <c r="IS236" t="e">
        <f>Stock!U7+"'E4!.`7"</f>
        <v>#VALUE!</v>
      </c>
      <c r="IT236" t="e">
        <f>Stock!V7+"'E4!.`8"</f>
        <v>#VALUE!</v>
      </c>
      <c r="IU236" t="e">
        <f>Stock!W7+"'E4!.`9"</f>
        <v>#VALUE!</v>
      </c>
      <c r="IV236" t="e">
        <f>Stock!X7+"'E4!.`:"</f>
        <v>#VALUE!</v>
      </c>
    </row>
    <row r="237" spans="6:256">
      <c r="F237" t="e">
        <f>Stock!Y7+"'E4!.`;"</f>
        <v>#VALUE!</v>
      </c>
      <c r="G237" t="e">
        <f>Stock!A8+"'E4!.`&lt;"</f>
        <v>#VALUE!</v>
      </c>
      <c r="H237" t="e">
        <f>Stock!B8+"'E4!.`="</f>
        <v>#VALUE!</v>
      </c>
      <c r="I237" t="e">
        <f>Stock!C8+"'E4!.`&gt;"</f>
        <v>#VALUE!</v>
      </c>
      <c r="J237" t="e">
        <f>Stock!D8+"'E4!.`?"</f>
        <v>#VALUE!</v>
      </c>
      <c r="K237" t="e">
        <f>Stock!E8+"'E4!.`@"</f>
        <v>#VALUE!</v>
      </c>
      <c r="L237" t="e">
        <f>Stock!F8+"'E4!.`A"</f>
        <v>#VALUE!</v>
      </c>
      <c r="M237" t="e">
        <f>Stock!G8+"'E4!.`B"</f>
        <v>#VALUE!</v>
      </c>
      <c r="N237" t="e">
        <f>Stock!H8+"'E4!.`C"</f>
        <v>#VALUE!</v>
      </c>
      <c r="O237" t="e">
        <f>Stock!I8+"'E4!.`D"</f>
        <v>#VALUE!</v>
      </c>
      <c r="P237" t="e">
        <f>Stock!J8+"'E4!.`E"</f>
        <v>#VALUE!</v>
      </c>
      <c r="Q237" t="e">
        <f>Stock!K8+"'E4!.`F"</f>
        <v>#VALUE!</v>
      </c>
      <c r="R237" t="e">
        <f>Stock!L8+"'E4!.`G"</f>
        <v>#VALUE!</v>
      </c>
      <c r="S237" t="e">
        <f>Stock!N8+"'E4!.`H"</f>
        <v>#VALUE!</v>
      </c>
      <c r="T237" t="e">
        <f>Stock!O8+"'E4!.`I"</f>
        <v>#VALUE!</v>
      </c>
      <c r="U237" t="e">
        <f>Stock!P8+"'E4!.`J"</f>
        <v>#VALUE!</v>
      </c>
      <c r="V237" t="e">
        <f>Stock!Q8+"'E4!.`K"</f>
        <v>#VALUE!</v>
      </c>
      <c r="W237" t="e">
        <f>Stock!R8+"'E4!.`L"</f>
        <v>#VALUE!</v>
      </c>
      <c r="X237" s="333" t="e">
        <f>Stock!S8+"'E4!.`M"</f>
        <v>#VALUE!</v>
      </c>
      <c r="Y237" s="333" t="e">
        <f>Stock!T8+"'E4!.`N"</f>
        <v>#VALUE!</v>
      </c>
      <c r="Z237" t="e">
        <f>Stock!U8+"'E4!.`O"</f>
        <v>#VALUE!</v>
      </c>
      <c r="AA237" t="e">
        <f>Stock!V8+"'E4!.`P"</f>
        <v>#VALUE!</v>
      </c>
      <c r="AB237" t="e">
        <f>Stock!W8+"'E4!.`Q"</f>
        <v>#VALUE!</v>
      </c>
      <c r="AC237" t="e">
        <f>Stock!X8+"'E4!.`R"</f>
        <v>#VALUE!</v>
      </c>
      <c r="AD237" t="e">
        <f>Stock!Y8+"'E4!.`S"</f>
        <v>#VALUE!</v>
      </c>
      <c r="AE237" t="e">
        <f>Stock!A9+"'E4!.`T"</f>
        <v>#VALUE!</v>
      </c>
      <c r="AF237" t="e">
        <f>Stock!B9+"'E4!.`U"</f>
        <v>#VALUE!</v>
      </c>
      <c r="AG237" t="e">
        <f>Stock!C9+"'E4!.`V"</f>
        <v>#VALUE!</v>
      </c>
      <c r="AH237" t="e">
        <f>Stock!D9+"'E4!.`W"</f>
        <v>#VALUE!</v>
      </c>
      <c r="AI237" t="e">
        <f>Stock!E9+"'E4!.`X"</f>
        <v>#VALUE!</v>
      </c>
      <c r="AJ237" t="e">
        <f>Stock!F9+"'E4!.`Y"</f>
        <v>#VALUE!</v>
      </c>
      <c r="AK237" t="e">
        <f>Stock!G9+"'E4!.`Z"</f>
        <v>#VALUE!</v>
      </c>
      <c r="AL237" t="e">
        <f>Stock!H9+"'E4!.`["</f>
        <v>#VALUE!</v>
      </c>
      <c r="AM237" t="e">
        <f>Stock!I9+"'E4!.`\"</f>
        <v>#VALUE!</v>
      </c>
      <c r="AN237" t="e">
        <f>Stock!J9+"'E4!.`]"</f>
        <v>#VALUE!</v>
      </c>
      <c r="AO237" t="e">
        <f>Stock!K9+"'E4!.`^"</f>
        <v>#VALUE!</v>
      </c>
      <c r="AP237" t="e">
        <f>Stock!L9+"'E4!.`_"</f>
        <v>#VALUE!</v>
      </c>
      <c r="AQ237" t="e">
        <f>Stock!M9+"'E4!.``"</f>
        <v>#VALUE!</v>
      </c>
      <c r="AR237" t="e">
        <f>Stock!N9+"'E4!.`a"</f>
        <v>#VALUE!</v>
      </c>
      <c r="AS237" t="e">
        <f>Stock!O9+"'E4!.`b"</f>
        <v>#VALUE!</v>
      </c>
      <c r="AT237" t="e">
        <f>Stock!P9+"'E4!.`c"</f>
        <v>#VALUE!</v>
      </c>
      <c r="AU237" t="e">
        <f>Stock!Q9+"'E4!.`d"</f>
        <v>#VALUE!</v>
      </c>
      <c r="AV237" t="e">
        <f>Stock!R9+"'E4!.`e"</f>
        <v>#VALUE!</v>
      </c>
      <c r="AW237" s="333" t="e">
        <f>Stock!S9+"'E4!.`f"</f>
        <v>#VALUE!</v>
      </c>
      <c r="AX237" s="333" t="e">
        <f>Stock!T9+"'E4!.`g"</f>
        <v>#VALUE!</v>
      </c>
      <c r="AY237" t="e">
        <f>Stock!U9+"'E4!.`h"</f>
        <v>#VALUE!</v>
      </c>
      <c r="AZ237" t="e">
        <f>Stock!V9+"'E4!.`i"</f>
        <v>#VALUE!</v>
      </c>
      <c r="BA237" t="e">
        <f>Stock!W9+"'E4!.`j"</f>
        <v>#VALUE!</v>
      </c>
      <c r="BB237" t="e">
        <f>Stock!X9+"'E4!.`k"</f>
        <v>#VALUE!</v>
      </c>
      <c r="BC237" t="e">
        <f>Stock!Y9+"'E4!.`l"</f>
        <v>#VALUE!</v>
      </c>
      <c r="BD237" t="e">
        <f>Stock!A10+"'E4!.`m"</f>
        <v>#VALUE!</v>
      </c>
      <c r="BE237" t="e">
        <f>Stock!B10+"'E4!.`n"</f>
        <v>#VALUE!</v>
      </c>
      <c r="BF237" t="e">
        <f>Stock!C10+"'E4!.`o"</f>
        <v>#VALUE!</v>
      </c>
      <c r="BG237" t="e">
        <f>Stock!D10+"'E4!.`p"</f>
        <v>#VALUE!</v>
      </c>
      <c r="BH237" t="e">
        <f>Stock!E10+"'E4!.`q"</f>
        <v>#VALUE!</v>
      </c>
      <c r="BI237" t="e">
        <f>Stock!F10+"'E4!.`r"</f>
        <v>#VALUE!</v>
      </c>
      <c r="BJ237" t="e">
        <f>Stock!G10+"'E4!.`s"</f>
        <v>#VALUE!</v>
      </c>
      <c r="BK237" t="e">
        <f>Stock!H10+"'E4!.`t"</f>
        <v>#VALUE!</v>
      </c>
      <c r="BL237" t="e">
        <f>Stock!I10+"'E4!.`u"</f>
        <v>#VALUE!</v>
      </c>
      <c r="BM237" t="e">
        <f>Stock!J10+"'E4!.`v"</f>
        <v>#VALUE!</v>
      </c>
      <c r="BN237" t="e">
        <f>Stock!K10+"'E4!.`w"</f>
        <v>#VALUE!</v>
      </c>
      <c r="BO237" t="e">
        <f>Stock!L10+"'E4!.`x"</f>
        <v>#VALUE!</v>
      </c>
      <c r="BP237" t="e">
        <f>Stock!N10+"'E4!.`y"</f>
        <v>#VALUE!</v>
      </c>
      <c r="BQ237" t="e">
        <f>Stock!O10+"'E4!.`z"</f>
        <v>#VALUE!</v>
      </c>
      <c r="BR237" t="e">
        <f>Stock!P10+"'E4!.`{"</f>
        <v>#VALUE!</v>
      </c>
      <c r="BS237" t="e">
        <f>Stock!Q10+"'E4!.`|"</f>
        <v>#VALUE!</v>
      </c>
      <c r="BT237" t="e">
        <f>Stock!R10+"'E4!.`}"</f>
        <v>#VALUE!</v>
      </c>
      <c r="BU237" s="333" t="e">
        <f>Stock!S10+"'E4!.`~"</f>
        <v>#VALUE!</v>
      </c>
      <c r="BV237" s="333" t="e">
        <f>Stock!T10+"'E4!.a#"</f>
        <v>#VALUE!</v>
      </c>
      <c r="BW237" t="e">
        <f>Stock!U10+"'E4!.a$"</f>
        <v>#VALUE!</v>
      </c>
      <c r="BX237" t="e">
        <f>Stock!V10+"'E4!.a%"</f>
        <v>#VALUE!</v>
      </c>
      <c r="BY237" t="e">
        <f>Stock!W10+"'E4!.a&amp;"</f>
        <v>#VALUE!</v>
      </c>
      <c r="BZ237" t="e">
        <f>Stock!X10+"'E4!.a'"</f>
        <v>#VALUE!</v>
      </c>
      <c r="CA237" t="e">
        <f>Stock!Y10+"'E4!.a("</f>
        <v>#VALUE!</v>
      </c>
      <c r="CB237" t="e">
        <f>Stock!N11+"'E4!.a)"</f>
        <v>#VALUE!</v>
      </c>
      <c r="CC237" t="e">
        <f>Stock!O11+"'E4!.a."</f>
        <v>#VALUE!</v>
      </c>
      <c r="CD237" t="e">
        <f>Stock!P11+"'E4!.a/"</f>
        <v>#VALUE!</v>
      </c>
      <c r="CE237" t="e">
        <f>Stock!Q11+"'E4!.a0"</f>
        <v>#VALUE!</v>
      </c>
      <c r="CF237" t="e">
        <f>Stock!R11+"'E4!.a1"</f>
        <v>#VALUE!</v>
      </c>
      <c r="CG237" s="333" t="e">
        <f>Stock!S11+"'E4!.a2"</f>
        <v>#VALUE!</v>
      </c>
      <c r="CH237" s="333" t="e">
        <f>Stock!T11+"'E4!.a3"</f>
        <v>#VALUE!</v>
      </c>
      <c r="CI237" t="e">
        <f>Stock!U11+"'E4!.a4"</f>
        <v>#VALUE!</v>
      </c>
      <c r="CJ237" t="e">
        <f>Stock!V11+"'E4!.a5"</f>
        <v>#VALUE!</v>
      </c>
      <c r="CK237" t="e">
        <f>Stock!W11+"'E4!.a6"</f>
        <v>#VALUE!</v>
      </c>
      <c r="CL237" t="e">
        <f>Stock!X11+"'E4!.a7"</f>
        <v>#VALUE!</v>
      </c>
      <c r="CM237" t="e">
        <f>Stock!Y11+"'E4!.a8"</f>
        <v>#VALUE!</v>
      </c>
      <c r="CN237" t="e">
        <f>Stock!A12+"'E4!.a9"</f>
        <v>#VALUE!</v>
      </c>
      <c r="CO237" t="e">
        <f>Stock!N12+"'E4!.a:"</f>
        <v>#VALUE!</v>
      </c>
      <c r="CP237" t="e">
        <f>Stock!O12+"'E4!.a;"</f>
        <v>#VALUE!</v>
      </c>
      <c r="CQ237" t="e">
        <f>Stock!P12+"'E4!.a&lt;"</f>
        <v>#VALUE!</v>
      </c>
      <c r="CR237" t="e">
        <f>Stock!Q12+"'E4!.a="</f>
        <v>#VALUE!</v>
      </c>
      <c r="CS237" t="e">
        <f>Stock!R12+"'E4!.a&gt;"</f>
        <v>#VALUE!</v>
      </c>
      <c r="CT237" s="333" t="e">
        <f>Stock!S12+"'E4!.a?"</f>
        <v>#VALUE!</v>
      </c>
      <c r="CU237" s="333" t="e">
        <f>Stock!T12+"'E4!.a@"</f>
        <v>#VALUE!</v>
      </c>
      <c r="CV237" t="e">
        <f>Stock!U12+"'E4!.aA"</f>
        <v>#VALUE!</v>
      </c>
      <c r="CW237" t="e">
        <f>Stock!V12+"'E4!.aB"</f>
        <v>#VALUE!</v>
      </c>
      <c r="CX237" t="e">
        <f>Stock!W12+"'E4!.aC"</f>
        <v>#VALUE!</v>
      </c>
      <c r="CY237" t="e">
        <f>Stock!X12+"'E4!.aD"</f>
        <v>#VALUE!</v>
      </c>
      <c r="CZ237" t="e">
        <f>Stock!Y12+"'E4!.aE"</f>
        <v>#VALUE!</v>
      </c>
      <c r="DA237" t="e">
        <f>Stock!A13+"'E4!.aF"</f>
        <v>#VALUE!</v>
      </c>
      <c r="DB237" t="e">
        <f>Stock!B13+"'E4!.aG"</f>
        <v>#VALUE!</v>
      </c>
      <c r="DC237" t="e">
        <f>Stock!C13+"'E4!.aH"</f>
        <v>#VALUE!</v>
      </c>
      <c r="DD237" t="e">
        <f>Stock!D13+"'E4!.aI"</f>
        <v>#VALUE!</v>
      </c>
      <c r="DE237" t="e">
        <f>Stock!E13+"'E4!.aJ"</f>
        <v>#VALUE!</v>
      </c>
      <c r="DF237" t="e">
        <f>Stock!F13+"'E4!.aK"</f>
        <v>#VALUE!</v>
      </c>
      <c r="DG237" t="e">
        <f>Stock!G13+"'E4!.aL"</f>
        <v>#VALUE!</v>
      </c>
      <c r="DH237" t="e">
        <f>Stock!H13+"'E4!.aM"</f>
        <v>#VALUE!</v>
      </c>
      <c r="DI237" t="e">
        <f>Stock!I13+"'E4!.aN"</f>
        <v>#VALUE!</v>
      </c>
      <c r="DJ237" t="e">
        <f>Stock!J13+"'E4!.aO"</f>
        <v>#VALUE!</v>
      </c>
      <c r="DK237" t="e">
        <f>Stock!K13+"'E4!.aP"</f>
        <v>#VALUE!</v>
      </c>
      <c r="DL237" t="e">
        <f>Stock!L13+"'E4!.aQ"</f>
        <v>#VALUE!</v>
      </c>
      <c r="DM237" t="e">
        <f>Stock!N13+"'E4!.aR"</f>
        <v>#VALUE!</v>
      </c>
      <c r="DN237" t="e">
        <f>Stock!O13+"'E4!.aS"</f>
        <v>#VALUE!</v>
      </c>
      <c r="DO237" t="e">
        <f>Stock!P13+"'E4!.aT"</f>
        <v>#VALUE!</v>
      </c>
      <c r="DP237" t="e">
        <f>Stock!Q13+"'E4!.aU"</f>
        <v>#VALUE!</v>
      </c>
      <c r="DQ237" t="e">
        <f>Stock!R13+"'E4!.aV"</f>
        <v>#VALUE!</v>
      </c>
      <c r="DR237" s="333" t="e">
        <f>Stock!S13+"'E4!.aW"</f>
        <v>#VALUE!</v>
      </c>
      <c r="DS237" s="333" t="e">
        <f>Stock!T13+"'E4!.aX"</f>
        <v>#VALUE!</v>
      </c>
      <c r="DT237" t="e">
        <f>Stock!U13+"'E4!.aY"</f>
        <v>#VALUE!</v>
      </c>
      <c r="DU237" t="e">
        <f>Stock!V13+"'E4!.aZ"</f>
        <v>#VALUE!</v>
      </c>
      <c r="DV237" t="e">
        <f>Stock!W13+"'E4!.a["</f>
        <v>#VALUE!</v>
      </c>
      <c r="DW237" t="e">
        <f>Stock!X13+"'E4!.a\"</f>
        <v>#VALUE!</v>
      </c>
      <c r="DX237" t="e">
        <f>Stock!Y13+"'E4!.a]"</f>
        <v>#VALUE!</v>
      </c>
      <c r="DY237" t="e">
        <f>Stock!A14+"'E4!.a^"</f>
        <v>#VALUE!</v>
      </c>
      <c r="DZ237" t="e">
        <f>Stock!B14+"'E4!.a_"</f>
        <v>#VALUE!</v>
      </c>
      <c r="EA237" t="e">
        <f>Stock!C14+"'E4!.a`"</f>
        <v>#VALUE!</v>
      </c>
      <c r="EB237" t="e">
        <f>Stock!D14+"'E4!.aa"</f>
        <v>#VALUE!</v>
      </c>
      <c r="EC237" t="e">
        <f>Stock!E14+"'E4!.ab"</f>
        <v>#VALUE!</v>
      </c>
      <c r="ED237" t="e">
        <f>Stock!F14+"'E4!.ac"</f>
        <v>#VALUE!</v>
      </c>
      <c r="EE237" t="e">
        <f>Stock!G14+"'E4!.ad"</f>
        <v>#VALUE!</v>
      </c>
      <c r="EF237" t="e">
        <f>Stock!H14+"'E4!.ae"</f>
        <v>#VALUE!</v>
      </c>
      <c r="EG237" t="e">
        <f>Stock!I14+"'E4!.af"</f>
        <v>#VALUE!</v>
      </c>
      <c r="EH237" t="e">
        <f>Stock!J14+"'E4!.ag"</f>
        <v>#VALUE!</v>
      </c>
      <c r="EI237" t="e">
        <f>Stock!K14+"'E4!.ah"</f>
        <v>#VALUE!</v>
      </c>
      <c r="EJ237" t="e">
        <f>Stock!L14+"'E4!.ai"</f>
        <v>#VALUE!</v>
      </c>
      <c r="EK237" t="e">
        <f>Stock!N14+"'E4!.aj"</f>
        <v>#VALUE!</v>
      </c>
      <c r="EL237" t="e">
        <f>Stock!O14+"'E4!.ak"</f>
        <v>#VALUE!</v>
      </c>
      <c r="EM237" t="e">
        <f>Stock!P14+"'E4!.al"</f>
        <v>#VALUE!</v>
      </c>
      <c r="EN237" t="e">
        <f>Stock!Q14+"'E4!.am"</f>
        <v>#VALUE!</v>
      </c>
      <c r="EO237" t="e">
        <f>Stock!R14+"'E4!.an"</f>
        <v>#VALUE!</v>
      </c>
      <c r="EP237" s="333" t="e">
        <f>Stock!S14+"'E4!.ao"</f>
        <v>#VALUE!</v>
      </c>
      <c r="EQ237" s="333" t="e">
        <f>Stock!T14+"'E4!.ap"</f>
        <v>#VALUE!</v>
      </c>
      <c r="ER237" t="e">
        <f>Stock!U14+"'E4!.aq"</f>
        <v>#VALUE!</v>
      </c>
      <c r="ES237" t="e">
        <f>Stock!V14+"'E4!.ar"</f>
        <v>#VALUE!</v>
      </c>
      <c r="ET237" t="e">
        <f>Stock!W14+"'E4!.as"</f>
        <v>#VALUE!</v>
      </c>
      <c r="EU237" t="e">
        <f>Stock!X14+"'E4!.at"</f>
        <v>#VALUE!</v>
      </c>
      <c r="EV237" t="e">
        <f>Stock!Y14+"'E4!.au"</f>
        <v>#VALUE!</v>
      </c>
      <c r="EW237" t="e">
        <f>Stock!A15+"'E4!.av"</f>
        <v>#VALUE!</v>
      </c>
      <c r="EX237" t="e">
        <f>Stock!B15+"'E4!.aw"</f>
        <v>#VALUE!</v>
      </c>
      <c r="EY237" t="e">
        <f>Stock!C15+"'E4!.ax"</f>
        <v>#VALUE!</v>
      </c>
      <c r="EZ237" t="e">
        <f>Stock!D15+"'E4!.ay"</f>
        <v>#VALUE!</v>
      </c>
      <c r="FA237" t="e">
        <f>Stock!E15+"'E4!.az"</f>
        <v>#VALUE!</v>
      </c>
      <c r="FB237" t="e">
        <f>Stock!F15+"'E4!.a{"</f>
        <v>#VALUE!</v>
      </c>
      <c r="FC237" t="e">
        <f>Stock!G15+"'E4!.a|"</f>
        <v>#VALUE!</v>
      </c>
      <c r="FD237" t="e">
        <f>Stock!H15+"'E4!.a}"</f>
        <v>#VALUE!</v>
      </c>
      <c r="FE237" t="e">
        <f>Stock!I15+"'E4!.a~"</f>
        <v>#VALUE!</v>
      </c>
      <c r="FF237" t="e">
        <f>Stock!J15+"'E4!.b#"</f>
        <v>#VALUE!</v>
      </c>
      <c r="FG237" t="e">
        <f>Stock!K15+"'E4!.b$"</f>
        <v>#VALUE!</v>
      </c>
      <c r="FH237" t="e">
        <f>Stock!L15+"'E4!.b%"</f>
        <v>#VALUE!</v>
      </c>
      <c r="FI237" t="e">
        <f>Stock!N15+"'E4!.b&amp;"</f>
        <v>#VALUE!</v>
      </c>
      <c r="FJ237" t="e">
        <f>Stock!O15+"'E4!.b'"</f>
        <v>#VALUE!</v>
      </c>
      <c r="FK237" t="e">
        <f>Stock!P15+"'E4!.b("</f>
        <v>#VALUE!</v>
      </c>
      <c r="FL237" t="e">
        <f>Stock!Q15+"'E4!.b)"</f>
        <v>#VALUE!</v>
      </c>
      <c r="FM237" t="e">
        <f>Stock!R15+"'E4!.b."</f>
        <v>#VALUE!</v>
      </c>
      <c r="FN237" s="333" t="e">
        <f>Stock!S15+"'E4!.b/"</f>
        <v>#VALUE!</v>
      </c>
      <c r="FO237" s="333" t="e">
        <f>Stock!T15+"'E4!.b0"</f>
        <v>#VALUE!</v>
      </c>
      <c r="FP237" t="e">
        <f>Stock!U15+"'E4!.b1"</f>
        <v>#VALUE!</v>
      </c>
      <c r="FQ237" t="e">
        <f>Stock!V15+"'E4!.b2"</f>
        <v>#VALUE!</v>
      </c>
      <c r="FR237" t="e">
        <f>Stock!W15+"'E4!.b3"</f>
        <v>#VALUE!</v>
      </c>
      <c r="FS237" t="e">
        <f>Stock!X15+"'E4!.b4"</f>
        <v>#VALUE!</v>
      </c>
      <c r="FT237" t="e">
        <f>Stock!Y15+"'E4!.b5"</f>
        <v>#VALUE!</v>
      </c>
      <c r="FU237" t="e">
        <f>Stock!A16+"'E4!.b6"</f>
        <v>#VALUE!</v>
      </c>
      <c r="FV237" t="e">
        <f>Stock!B16+"'E4!.b7"</f>
        <v>#VALUE!</v>
      </c>
      <c r="FW237" t="e">
        <f>Stock!C16+"'E4!.b8"</f>
        <v>#VALUE!</v>
      </c>
      <c r="FX237" t="e">
        <f>Stock!D16+"'E4!.b9"</f>
        <v>#VALUE!</v>
      </c>
      <c r="FY237" t="e">
        <f>Stock!E16+"'E4!.b:"</f>
        <v>#VALUE!</v>
      </c>
      <c r="FZ237" t="e">
        <f>Stock!F16+"'E4!.b;"</f>
        <v>#VALUE!</v>
      </c>
      <c r="GA237" t="e">
        <f>Stock!G16+"'E4!.b&lt;"</f>
        <v>#VALUE!</v>
      </c>
      <c r="GB237" t="e">
        <f>Stock!H16+"'E4!.b="</f>
        <v>#VALUE!</v>
      </c>
      <c r="GC237" t="e">
        <f>Stock!I16+"'E4!.b&gt;"</f>
        <v>#VALUE!</v>
      </c>
      <c r="GD237" t="e">
        <f>Stock!J16+"'E4!.b?"</f>
        <v>#VALUE!</v>
      </c>
      <c r="GE237" t="e">
        <f>Stock!K16+"'E4!.b@"</f>
        <v>#VALUE!</v>
      </c>
      <c r="GF237" t="e">
        <f>Stock!L16+"'E4!.bA"</f>
        <v>#VALUE!</v>
      </c>
      <c r="GG237" t="e">
        <f>Stock!N16+"'E4!.bB"</f>
        <v>#VALUE!</v>
      </c>
      <c r="GH237" t="e">
        <f>Stock!O16+"'E4!.bC"</f>
        <v>#VALUE!</v>
      </c>
      <c r="GI237" t="e">
        <f>Stock!P16+"'E4!.bD"</f>
        <v>#VALUE!</v>
      </c>
      <c r="GJ237" t="e">
        <f>Stock!Q16+"'E4!.bE"</f>
        <v>#VALUE!</v>
      </c>
      <c r="GK237" t="e">
        <f>Stock!R16+"'E4!.bF"</f>
        <v>#VALUE!</v>
      </c>
      <c r="GL237" s="333" t="e">
        <f>Stock!S16+"'E4!.bG"</f>
        <v>#VALUE!</v>
      </c>
      <c r="GM237" s="333" t="e">
        <f>Stock!T16+"'E4!.bH"</f>
        <v>#VALUE!</v>
      </c>
      <c r="GN237" t="e">
        <f>Stock!U16+"'E4!.bI"</f>
        <v>#VALUE!</v>
      </c>
      <c r="GO237" t="e">
        <f>Stock!V16+"'E4!.bJ"</f>
        <v>#VALUE!</v>
      </c>
      <c r="GP237" t="e">
        <f>Stock!W16+"'E4!.bK"</f>
        <v>#VALUE!</v>
      </c>
      <c r="GQ237" t="e">
        <f>Stock!X16+"'E4!.bL"</f>
        <v>#VALUE!</v>
      </c>
      <c r="GR237" t="e">
        <f>Stock!Y16+"'E4!.bM"</f>
        <v>#VALUE!</v>
      </c>
      <c r="GS237" t="e">
        <f>Stock!A17+"'E4!.bN"</f>
        <v>#VALUE!</v>
      </c>
      <c r="GT237" t="e">
        <f>Stock!B17+"'E4!.bO"</f>
        <v>#VALUE!</v>
      </c>
      <c r="GU237" t="e">
        <f>Stock!C17+"'E4!.bP"</f>
        <v>#VALUE!</v>
      </c>
      <c r="GV237" t="e">
        <f>Stock!D17+"'E4!.bQ"</f>
        <v>#VALUE!</v>
      </c>
      <c r="GW237" t="e">
        <f>Stock!E17+"'E4!.bR"</f>
        <v>#VALUE!</v>
      </c>
      <c r="GX237" t="e">
        <f>Stock!F17+"'E4!.bS"</f>
        <v>#VALUE!</v>
      </c>
      <c r="GY237" t="e">
        <f>Stock!G17+"'E4!.bT"</f>
        <v>#VALUE!</v>
      </c>
      <c r="GZ237" t="e">
        <f>Stock!H17+"'E4!.bU"</f>
        <v>#VALUE!</v>
      </c>
      <c r="HA237" t="e">
        <f>Stock!I17+"'E4!.bV"</f>
        <v>#VALUE!</v>
      </c>
      <c r="HB237" t="e">
        <f>Stock!J17+"'E4!.bW"</f>
        <v>#VALUE!</v>
      </c>
      <c r="HC237" t="e">
        <f>Stock!K17+"'E4!.bX"</f>
        <v>#VALUE!</v>
      </c>
      <c r="HD237" t="e">
        <f>Stock!L17+"'E4!.bY"</f>
        <v>#VALUE!</v>
      </c>
      <c r="HE237" t="e">
        <f>Stock!N17+"'E4!.bZ"</f>
        <v>#VALUE!</v>
      </c>
      <c r="HF237" t="e">
        <f>Stock!O17+"'E4!.b["</f>
        <v>#VALUE!</v>
      </c>
      <c r="HG237" t="e">
        <f>Stock!P17+"'E4!.b\"</f>
        <v>#VALUE!</v>
      </c>
      <c r="HH237" t="e">
        <f>Stock!Q17+"'E4!.b]"</f>
        <v>#VALUE!</v>
      </c>
      <c r="HI237" t="e">
        <f>Stock!R17+"'E4!.b^"</f>
        <v>#VALUE!</v>
      </c>
      <c r="HJ237" s="333" t="e">
        <f>Stock!S17+"'E4!.b_"</f>
        <v>#VALUE!</v>
      </c>
      <c r="HK237" s="333" t="e">
        <f>Stock!T17+"'E4!.b`"</f>
        <v>#VALUE!</v>
      </c>
      <c r="HL237" t="e">
        <f>Stock!U17+"'E4!.ba"</f>
        <v>#VALUE!</v>
      </c>
      <c r="HM237" t="e">
        <f>Stock!V17+"'E4!.bb"</f>
        <v>#VALUE!</v>
      </c>
      <c r="HN237" t="e">
        <f>Stock!W17+"'E4!.bc"</f>
        <v>#VALUE!</v>
      </c>
      <c r="HO237" t="e">
        <f>Stock!X17+"'E4!.bd"</f>
        <v>#VALUE!</v>
      </c>
      <c r="HP237" t="e">
        <f>Stock!Y17+"'E4!.be"</f>
        <v>#VALUE!</v>
      </c>
      <c r="HQ237" t="e">
        <f>Stock!A18+"'E4!.bf"</f>
        <v>#VALUE!</v>
      </c>
      <c r="HR237" t="e">
        <f>Stock!B18+"'E4!.bg"</f>
        <v>#VALUE!</v>
      </c>
      <c r="HS237" t="e">
        <f>Stock!C18+"'E4!.bh"</f>
        <v>#VALUE!</v>
      </c>
      <c r="HT237" t="e">
        <f>Stock!D18+"'E4!.bi"</f>
        <v>#VALUE!</v>
      </c>
      <c r="HU237" t="e">
        <f>Stock!E18+"'E4!.bj"</f>
        <v>#VALUE!</v>
      </c>
      <c r="HV237" t="e">
        <f>Stock!F18+"'E4!.bk"</f>
        <v>#VALUE!</v>
      </c>
      <c r="HW237" t="e">
        <f>Stock!G18+"'E4!.bl"</f>
        <v>#VALUE!</v>
      </c>
      <c r="HX237" t="e">
        <f>Stock!H18+"'E4!.bm"</f>
        <v>#VALUE!</v>
      </c>
      <c r="HY237" t="e">
        <f>Stock!I18+"'E4!.bn"</f>
        <v>#VALUE!</v>
      </c>
      <c r="HZ237" t="e">
        <f>Stock!J18+"'E4!.bo"</f>
        <v>#VALUE!</v>
      </c>
      <c r="IA237" t="e">
        <f>Stock!K18+"'E4!.bp"</f>
        <v>#VALUE!</v>
      </c>
      <c r="IB237" t="e">
        <f>Stock!L18+"'E4!.bq"</f>
        <v>#VALUE!</v>
      </c>
      <c r="IC237" t="e">
        <f>Stock!N18+"'E4!.br"</f>
        <v>#VALUE!</v>
      </c>
      <c r="ID237" t="e">
        <f>Stock!O18+"'E4!.bs"</f>
        <v>#VALUE!</v>
      </c>
      <c r="IE237" t="e">
        <f>Stock!P18+"'E4!.bt"</f>
        <v>#VALUE!</v>
      </c>
      <c r="IF237" t="e">
        <f>Stock!Q18+"'E4!.bu"</f>
        <v>#VALUE!</v>
      </c>
      <c r="IG237" t="e">
        <f>Stock!R18+"'E4!.bv"</f>
        <v>#VALUE!</v>
      </c>
      <c r="IH237" s="333" t="e">
        <f>Stock!S18+"'E4!.bw"</f>
        <v>#VALUE!</v>
      </c>
      <c r="II237" s="333" t="e">
        <f>Stock!T18+"'E4!.bx"</f>
        <v>#VALUE!</v>
      </c>
      <c r="IJ237" t="e">
        <f>Stock!U18+"'E4!.by"</f>
        <v>#VALUE!</v>
      </c>
      <c r="IK237" t="e">
        <f>Stock!V18+"'E4!.bz"</f>
        <v>#VALUE!</v>
      </c>
      <c r="IL237" t="e">
        <f>Stock!W18+"'E4!.b{"</f>
        <v>#VALUE!</v>
      </c>
      <c r="IM237" t="e">
        <f>Stock!X18+"'E4!.b|"</f>
        <v>#VALUE!</v>
      </c>
      <c r="IN237" t="e">
        <f>Stock!Y18+"'E4!.b}"</f>
        <v>#VALUE!</v>
      </c>
      <c r="IO237" t="e">
        <f>Stock!A19+"'E4!.b~"</f>
        <v>#VALUE!</v>
      </c>
      <c r="IP237" t="e">
        <f>Stock!B19+"'E4!.c#"</f>
        <v>#VALUE!</v>
      </c>
      <c r="IQ237" t="e">
        <f>Stock!C19+"'E4!.c$"</f>
        <v>#VALUE!</v>
      </c>
      <c r="IR237" t="e">
        <f>Stock!D19+"'E4!.c%"</f>
        <v>#VALUE!</v>
      </c>
      <c r="IS237" t="e">
        <f>Stock!E19+"'E4!.c&amp;"</f>
        <v>#VALUE!</v>
      </c>
      <c r="IT237" t="e">
        <f>Stock!F19+"'E4!.c'"</f>
        <v>#VALUE!</v>
      </c>
      <c r="IU237" t="e">
        <f>Stock!G19+"'E4!.c("</f>
        <v>#VALUE!</v>
      </c>
      <c r="IV237" t="e">
        <f>Stock!H19+"'E4!.c)"</f>
        <v>#VALUE!</v>
      </c>
    </row>
    <row r="238" spans="6:256">
      <c r="F238" t="e">
        <f>Stock!I19+"'E4!.c."</f>
        <v>#VALUE!</v>
      </c>
      <c r="G238" t="e">
        <f>Stock!J19+"'E4!.c/"</f>
        <v>#VALUE!</v>
      </c>
      <c r="H238" t="e">
        <f>Stock!K19+"'E4!.c0"</f>
        <v>#VALUE!</v>
      </c>
      <c r="I238" t="e">
        <f>Stock!L19+"'E4!.c1"</f>
        <v>#VALUE!</v>
      </c>
      <c r="J238" t="e">
        <f>Stock!N19+"'E4!.c2"</f>
        <v>#VALUE!</v>
      </c>
      <c r="K238" t="e">
        <f>Stock!O19+"'E4!.c3"</f>
        <v>#VALUE!</v>
      </c>
      <c r="L238" t="e">
        <f>Stock!P19+"'E4!.c4"</f>
        <v>#VALUE!</v>
      </c>
      <c r="M238" t="e">
        <f>Stock!Q19+"'E4!.c5"</f>
        <v>#VALUE!</v>
      </c>
      <c r="N238" t="e">
        <f>Stock!R19+"'E4!.c6"</f>
        <v>#VALUE!</v>
      </c>
      <c r="O238" s="333" t="e">
        <f>Stock!S19+"'E4!.c7"</f>
        <v>#VALUE!</v>
      </c>
      <c r="P238" s="333" t="e">
        <f>Stock!T19+"'E4!.c8"</f>
        <v>#VALUE!</v>
      </c>
      <c r="Q238" t="e">
        <f>Stock!U19+"'E4!.c9"</f>
        <v>#VALUE!</v>
      </c>
      <c r="R238" t="e">
        <f>Stock!V19+"'E4!.c:"</f>
        <v>#VALUE!</v>
      </c>
      <c r="S238" t="e">
        <f>Stock!W19+"'E4!.c;"</f>
        <v>#VALUE!</v>
      </c>
      <c r="T238" t="e">
        <f>Stock!X19+"'E4!.c&lt;"</f>
        <v>#VALUE!</v>
      </c>
      <c r="U238" t="e">
        <f>Stock!Y19+"'E4!.c="</f>
        <v>#VALUE!</v>
      </c>
      <c r="V238" t="e">
        <f>Stock!A20+"'E4!.c&gt;"</f>
        <v>#VALUE!</v>
      </c>
      <c r="W238" t="e">
        <f>Stock!B20+"'E4!.c?"</f>
        <v>#VALUE!</v>
      </c>
      <c r="X238" t="e">
        <f>Stock!C20+"'E4!.c@"</f>
        <v>#VALUE!</v>
      </c>
      <c r="Y238" t="e">
        <f>Stock!D20+"'E4!.cA"</f>
        <v>#VALUE!</v>
      </c>
      <c r="Z238" t="e">
        <f>Stock!E20+"'E4!.cB"</f>
        <v>#VALUE!</v>
      </c>
      <c r="AA238" t="e">
        <f>Stock!F20+"'E4!.cC"</f>
        <v>#VALUE!</v>
      </c>
      <c r="AB238" t="e">
        <f>Stock!G20+"'E4!.cD"</f>
        <v>#VALUE!</v>
      </c>
      <c r="AC238" t="e">
        <f>Stock!H20+"'E4!.cE"</f>
        <v>#VALUE!</v>
      </c>
      <c r="AD238" t="e">
        <f>Stock!I20+"'E4!.cF"</f>
        <v>#VALUE!</v>
      </c>
      <c r="AE238" t="e">
        <f>Stock!J20+"'E4!.cG"</f>
        <v>#VALUE!</v>
      </c>
      <c r="AF238" t="e">
        <f>Stock!K20+"'E4!.cH"</f>
        <v>#VALUE!</v>
      </c>
      <c r="AG238" t="e">
        <f>Stock!L20+"'E4!.cI"</f>
        <v>#VALUE!</v>
      </c>
      <c r="AH238" t="e">
        <f>Stock!N20+"'E4!.cJ"</f>
        <v>#VALUE!</v>
      </c>
      <c r="AI238" t="e">
        <f>Stock!O20+"'E4!.cK"</f>
        <v>#VALUE!</v>
      </c>
      <c r="AJ238" t="e">
        <f>Stock!P20+"'E4!.cL"</f>
        <v>#VALUE!</v>
      </c>
      <c r="AK238" t="e">
        <f>Stock!Q20+"'E4!.cM"</f>
        <v>#VALUE!</v>
      </c>
      <c r="AL238" t="e">
        <f>Stock!R20+"'E4!.cN"</f>
        <v>#VALUE!</v>
      </c>
      <c r="AM238" s="333" t="e">
        <f>Stock!S20+"'E4!.cO"</f>
        <v>#VALUE!</v>
      </c>
      <c r="AN238" s="333" t="e">
        <f>Stock!T20+"'E4!.cP"</f>
        <v>#VALUE!</v>
      </c>
      <c r="AO238" t="e">
        <f>Stock!U20+"'E4!.cQ"</f>
        <v>#VALUE!</v>
      </c>
      <c r="AP238" t="e">
        <f>Stock!V20+"'E4!.cR"</f>
        <v>#VALUE!</v>
      </c>
      <c r="AQ238" t="e">
        <f>Stock!W20+"'E4!.cS"</f>
        <v>#VALUE!</v>
      </c>
      <c r="AR238" t="e">
        <f>Stock!X20+"'E4!.cT"</f>
        <v>#VALUE!</v>
      </c>
      <c r="AS238" t="e">
        <f>Stock!Y20+"'E4!.cU"</f>
        <v>#VALUE!</v>
      </c>
      <c r="AT238" t="e">
        <f>Stock!A21+"'E4!.cV"</f>
        <v>#VALUE!</v>
      </c>
      <c r="AU238" t="e">
        <f>Stock!N21+"'E4!.cW"</f>
        <v>#VALUE!</v>
      </c>
      <c r="AV238" t="e">
        <f>Stock!O21+"'E4!.cX"</f>
        <v>#VALUE!</v>
      </c>
      <c r="AW238" t="e">
        <f>Stock!P21+"'E4!.cY"</f>
        <v>#VALUE!</v>
      </c>
      <c r="AX238" t="e">
        <f>Stock!Q21+"'E4!.cZ"</f>
        <v>#VALUE!</v>
      </c>
      <c r="AY238" t="e">
        <f>Stock!R21+"'E4!.c["</f>
        <v>#VALUE!</v>
      </c>
      <c r="AZ238" s="333" t="e">
        <f>Stock!S21+"'E4!.c\"</f>
        <v>#VALUE!</v>
      </c>
      <c r="BA238" s="333" t="e">
        <f>Stock!T21+"'E4!.c]"</f>
        <v>#VALUE!</v>
      </c>
      <c r="BB238" t="e">
        <f>Stock!U21+"'E4!.c^"</f>
        <v>#VALUE!</v>
      </c>
      <c r="BC238" t="e">
        <f>Stock!V21+"'E4!.c_"</f>
        <v>#VALUE!</v>
      </c>
      <c r="BD238" t="e">
        <f>Stock!W21+"'E4!.c`"</f>
        <v>#VALUE!</v>
      </c>
      <c r="BE238" t="e">
        <f>Stock!X21+"'E4!.ca"</f>
        <v>#VALUE!</v>
      </c>
      <c r="BF238" t="e">
        <f>Stock!Y21+"'E4!.cb"</f>
        <v>#VALUE!</v>
      </c>
      <c r="BG238" t="e">
        <f>Stock!A22+"'E4!.cc"</f>
        <v>#VALUE!</v>
      </c>
      <c r="BH238" t="e">
        <f>Stock!B22+"'E4!.cd"</f>
        <v>#VALUE!</v>
      </c>
      <c r="BI238" t="e">
        <f>Stock!C22+"'E4!.ce"</f>
        <v>#VALUE!</v>
      </c>
      <c r="BJ238" t="e">
        <f>Stock!D22+"'E4!.cf"</f>
        <v>#VALUE!</v>
      </c>
      <c r="BK238" t="e">
        <f>Stock!E22+"'E4!.cg"</f>
        <v>#VALUE!</v>
      </c>
      <c r="BL238" t="e">
        <f>Stock!F22+"'E4!.ch"</f>
        <v>#VALUE!</v>
      </c>
      <c r="BM238" t="e">
        <f>Stock!G22+"'E4!.ci"</f>
        <v>#VALUE!</v>
      </c>
      <c r="BN238" t="e">
        <f>Stock!H22+"'E4!.cj"</f>
        <v>#VALUE!</v>
      </c>
      <c r="BO238" t="e">
        <f>Stock!I22+"'E4!.ck"</f>
        <v>#VALUE!</v>
      </c>
      <c r="BP238" t="e">
        <f>Stock!J22+"'E4!.cl"</f>
        <v>#VALUE!</v>
      </c>
      <c r="BQ238" t="e">
        <f>Stock!K22+"'E4!.cm"</f>
        <v>#VALUE!</v>
      </c>
      <c r="BR238" t="e">
        <f>Stock!N22+"'E4!.cn"</f>
        <v>#VALUE!</v>
      </c>
      <c r="BS238" t="e">
        <f>Stock!O22+"'E4!.co"</f>
        <v>#VALUE!</v>
      </c>
      <c r="BT238" t="e">
        <f>Stock!P22+"'E4!.cp"</f>
        <v>#VALUE!</v>
      </c>
      <c r="BU238" t="e">
        <f>Stock!Q22+"'E4!.cq"</f>
        <v>#VALUE!</v>
      </c>
      <c r="BV238" t="e">
        <f>Stock!R22+"'E4!.cr"</f>
        <v>#VALUE!</v>
      </c>
      <c r="BW238" s="333" t="e">
        <f>Stock!S22+"'E4!.cs"</f>
        <v>#VALUE!</v>
      </c>
      <c r="BX238" s="333" t="e">
        <f>Stock!T22+"'E4!.ct"</f>
        <v>#VALUE!</v>
      </c>
      <c r="BY238" t="e">
        <f>Stock!U22+"'E4!.cu"</f>
        <v>#VALUE!</v>
      </c>
      <c r="BZ238" t="e">
        <f>Stock!V22+"'E4!.cv"</f>
        <v>#VALUE!</v>
      </c>
      <c r="CA238" t="e">
        <f>Stock!W22+"'E4!.cw"</f>
        <v>#VALUE!</v>
      </c>
      <c r="CB238" t="e">
        <f>Stock!X22+"'E4!.cx"</f>
        <v>#VALUE!</v>
      </c>
      <c r="CC238" t="e">
        <f>Stock!Y22+"'E4!.cy"</f>
        <v>#VALUE!</v>
      </c>
      <c r="CD238" t="e">
        <f>Stock!A23+"'E4!.cz"</f>
        <v>#VALUE!</v>
      </c>
      <c r="CE238" t="e">
        <f>Stock!B23+"'E4!.c{"</f>
        <v>#VALUE!</v>
      </c>
      <c r="CF238" t="e">
        <f>Stock!C23+"'E4!.c|"</f>
        <v>#VALUE!</v>
      </c>
      <c r="CG238" t="e">
        <f>Stock!D23+"'E4!.c}"</f>
        <v>#VALUE!</v>
      </c>
      <c r="CH238" t="e">
        <f>Stock!E23+"'E4!.c~"</f>
        <v>#VALUE!</v>
      </c>
      <c r="CI238" t="e">
        <f>Stock!F23+"'E4!.d#"</f>
        <v>#VALUE!</v>
      </c>
      <c r="CJ238" t="e">
        <f>Stock!G23+"'E4!.d$"</f>
        <v>#VALUE!</v>
      </c>
      <c r="CK238" t="e">
        <f>Stock!H23+"'E4!.d%"</f>
        <v>#VALUE!</v>
      </c>
      <c r="CL238" t="e">
        <f>Stock!I23+"'E4!.d&amp;"</f>
        <v>#VALUE!</v>
      </c>
      <c r="CM238" t="e">
        <f>Stock!J23+"'E4!.d'"</f>
        <v>#VALUE!</v>
      </c>
      <c r="CN238" t="e">
        <f>Stock!K23+"'E4!.d("</f>
        <v>#VALUE!</v>
      </c>
      <c r="CO238" t="e">
        <f>Stock!N23+"'E4!.d)"</f>
        <v>#VALUE!</v>
      </c>
      <c r="CP238" t="e">
        <f>Stock!O23+"'E4!.d."</f>
        <v>#VALUE!</v>
      </c>
      <c r="CQ238" t="e">
        <f>Stock!P23+"'E4!.d/"</f>
        <v>#VALUE!</v>
      </c>
      <c r="CR238" t="e">
        <f>Stock!Q23+"'E4!.d0"</f>
        <v>#VALUE!</v>
      </c>
      <c r="CS238" t="e">
        <f>Stock!R23+"'E4!.d1"</f>
        <v>#VALUE!</v>
      </c>
      <c r="CT238" s="333" t="e">
        <f>Stock!S23+"'E4!.d2"</f>
        <v>#VALUE!</v>
      </c>
      <c r="CU238" s="333" t="e">
        <f>Stock!T23+"'E4!.d3"</f>
        <v>#VALUE!</v>
      </c>
      <c r="CV238" t="e">
        <f>Stock!U23+"'E4!.d4"</f>
        <v>#VALUE!</v>
      </c>
      <c r="CW238" t="e">
        <f>Stock!V23+"'E4!.d5"</f>
        <v>#VALUE!</v>
      </c>
      <c r="CX238" t="e">
        <f>Stock!W23+"'E4!.d6"</f>
        <v>#VALUE!</v>
      </c>
      <c r="CY238" t="e">
        <f>Stock!X23+"'E4!.d7"</f>
        <v>#VALUE!</v>
      </c>
      <c r="CZ238" t="e">
        <f>Stock!Y23+"'E4!.d8"</f>
        <v>#VALUE!</v>
      </c>
      <c r="DA238" t="e">
        <f>Stock!A24+"'E4!.d9"</f>
        <v>#VALUE!</v>
      </c>
      <c r="DB238" t="e">
        <f>Stock!B24+"'E4!.d:"</f>
        <v>#VALUE!</v>
      </c>
      <c r="DC238" t="e">
        <f>Stock!C24+"'E4!.d;"</f>
        <v>#VALUE!</v>
      </c>
      <c r="DD238" t="e">
        <f>Stock!D24+"'E4!.d&lt;"</f>
        <v>#VALUE!</v>
      </c>
      <c r="DE238" t="e">
        <f>Stock!E24+"'E4!.d="</f>
        <v>#VALUE!</v>
      </c>
      <c r="DF238" t="e">
        <f>Stock!F24+"'E4!.d&gt;"</f>
        <v>#VALUE!</v>
      </c>
      <c r="DG238" t="e">
        <f>Stock!G24+"'E4!.d?"</f>
        <v>#VALUE!</v>
      </c>
      <c r="DH238" t="e">
        <f>Stock!H24+"'E4!.d@"</f>
        <v>#VALUE!</v>
      </c>
      <c r="DI238" t="e">
        <f>Stock!I24+"'E4!.dA"</f>
        <v>#VALUE!</v>
      </c>
      <c r="DJ238" t="e">
        <f>Stock!J24+"'E4!.dB"</f>
        <v>#VALUE!</v>
      </c>
      <c r="DK238" t="e">
        <f>Stock!K24+"'E4!.dC"</f>
        <v>#VALUE!</v>
      </c>
      <c r="DL238" t="e">
        <f>Stock!N24+"'E4!.dD"</f>
        <v>#VALUE!</v>
      </c>
      <c r="DM238" t="e">
        <f>Stock!O24+"'E4!.dE"</f>
        <v>#VALUE!</v>
      </c>
      <c r="DN238" t="e">
        <f>Stock!P24+"'E4!.dF"</f>
        <v>#VALUE!</v>
      </c>
      <c r="DO238" t="e">
        <f>Stock!Q24+"'E4!.dG"</f>
        <v>#VALUE!</v>
      </c>
      <c r="DP238" t="e">
        <f>Stock!R24+"'E4!.dH"</f>
        <v>#VALUE!</v>
      </c>
      <c r="DQ238" s="333" t="e">
        <f>Stock!S24+"'E4!.dI"</f>
        <v>#VALUE!</v>
      </c>
      <c r="DR238" s="333" t="e">
        <f>Stock!T24+"'E4!.dJ"</f>
        <v>#VALUE!</v>
      </c>
      <c r="DS238" t="e">
        <f>Stock!U24+"'E4!.dK"</f>
        <v>#VALUE!</v>
      </c>
      <c r="DT238" t="e">
        <f>Stock!V24+"'E4!.dL"</f>
        <v>#VALUE!</v>
      </c>
      <c r="DU238" t="e">
        <f>Stock!W24+"'E4!.dM"</f>
        <v>#VALUE!</v>
      </c>
      <c r="DV238" t="e">
        <f>Stock!X24+"'E4!.dN"</f>
        <v>#VALUE!</v>
      </c>
      <c r="DW238" t="e">
        <f>Stock!Y24+"'E4!.dO"</f>
        <v>#VALUE!</v>
      </c>
      <c r="DX238" t="e">
        <f>Stock!A25+"'E4!.dP"</f>
        <v>#VALUE!</v>
      </c>
      <c r="DY238" t="e">
        <f>Stock!B25+"'E4!.dQ"</f>
        <v>#VALUE!</v>
      </c>
      <c r="DZ238" t="e">
        <f>Stock!C25+"'E4!.dR"</f>
        <v>#VALUE!</v>
      </c>
      <c r="EA238" t="e">
        <f>Stock!D25+"'E4!.dS"</f>
        <v>#VALUE!</v>
      </c>
      <c r="EB238" t="e">
        <f>Stock!E25+"'E4!.dT"</f>
        <v>#VALUE!</v>
      </c>
      <c r="EC238" t="e">
        <f>Stock!F25+"'E4!.dU"</f>
        <v>#VALUE!</v>
      </c>
      <c r="ED238" t="e">
        <f>Stock!G25+"'E4!.dV"</f>
        <v>#VALUE!</v>
      </c>
      <c r="EE238" t="e">
        <f>Stock!H25+"'E4!.dW"</f>
        <v>#VALUE!</v>
      </c>
      <c r="EF238" t="e">
        <f>Stock!I25+"'E4!.dX"</f>
        <v>#VALUE!</v>
      </c>
      <c r="EG238" t="e">
        <f>Stock!J25+"'E4!.dY"</f>
        <v>#VALUE!</v>
      </c>
      <c r="EH238" t="e">
        <f>Stock!K25+"'E4!.dZ"</f>
        <v>#VALUE!</v>
      </c>
      <c r="EI238" t="e">
        <f>Stock!N25+"'E4!.d["</f>
        <v>#VALUE!</v>
      </c>
      <c r="EJ238" t="e">
        <f>Stock!O25+"'E4!.d\"</f>
        <v>#VALUE!</v>
      </c>
      <c r="EK238" t="e">
        <f>Stock!P25+"'E4!.d]"</f>
        <v>#VALUE!</v>
      </c>
      <c r="EL238" t="e">
        <f>Stock!Q25+"'E4!.d^"</f>
        <v>#VALUE!</v>
      </c>
      <c r="EM238" t="e">
        <f>Stock!R25+"'E4!.d_"</f>
        <v>#VALUE!</v>
      </c>
      <c r="EN238" s="333" t="e">
        <f>Stock!S25+"'E4!.d`"</f>
        <v>#VALUE!</v>
      </c>
      <c r="EO238" s="333" t="e">
        <f>Stock!T25+"'E4!.da"</f>
        <v>#VALUE!</v>
      </c>
      <c r="EP238" t="e">
        <f>Stock!U25+"'E4!.db"</f>
        <v>#VALUE!</v>
      </c>
      <c r="EQ238" t="e">
        <f>Stock!V25+"'E4!.dc"</f>
        <v>#VALUE!</v>
      </c>
      <c r="ER238" t="e">
        <f>Stock!W25+"'E4!.dd"</f>
        <v>#VALUE!</v>
      </c>
      <c r="ES238" t="e">
        <f>Stock!X25+"'E4!.de"</f>
        <v>#VALUE!</v>
      </c>
      <c r="ET238" t="e">
        <f>Stock!Y25+"'E4!.df"</f>
        <v>#VALUE!</v>
      </c>
      <c r="EU238" t="e">
        <f>Stock!A26+"'E4!.dg"</f>
        <v>#VALUE!</v>
      </c>
      <c r="EV238" t="e">
        <f>Stock!B26+"'E4!.dh"</f>
        <v>#VALUE!</v>
      </c>
      <c r="EW238" t="e">
        <f>Stock!C26+"'E4!.di"</f>
        <v>#VALUE!</v>
      </c>
      <c r="EX238" t="e">
        <f>Stock!N26+"'E4!.dj"</f>
        <v>#VALUE!</v>
      </c>
      <c r="EY238" t="e">
        <f>Stock!O26+"'E4!.dk"</f>
        <v>#VALUE!</v>
      </c>
      <c r="EZ238" t="e">
        <f>Stock!P26+"'E4!.dl"</f>
        <v>#VALUE!</v>
      </c>
      <c r="FA238" t="e">
        <f>Stock!Q26+"'E4!.dm"</f>
        <v>#VALUE!</v>
      </c>
      <c r="FB238" t="e">
        <f>Stock!R26+"'E4!.dn"</f>
        <v>#VALUE!</v>
      </c>
      <c r="FC238" s="333" t="e">
        <f>Stock!S26+"'E4!.do"</f>
        <v>#VALUE!</v>
      </c>
      <c r="FD238" s="333" t="e">
        <f>Stock!T26+"'E4!.dp"</f>
        <v>#VALUE!</v>
      </c>
      <c r="FE238" t="e">
        <f>Stock!U26+"'E4!.dq"</f>
        <v>#VALUE!</v>
      </c>
      <c r="FF238" t="e">
        <f>Stock!V26+"'E4!.dr"</f>
        <v>#VALUE!</v>
      </c>
      <c r="FG238" t="e">
        <f>Stock!W26+"'E4!.ds"</f>
        <v>#VALUE!</v>
      </c>
      <c r="FH238" t="e">
        <f>Stock!X26+"'E4!.dt"</f>
        <v>#VALUE!</v>
      </c>
      <c r="FI238" t="e">
        <f>Stock!Y26+"'E4!.du"</f>
        <v>#VALUE!</v>
      </c>
      <c r="FJ238" t="e">
        <f>Stock!A27+"'E4!.dv"</f>
        <v>#VALUE!</v>
      </c>
      <c r="FK238" t="e">
        <f>Stock!B27+"'E4!.dw"</f>
        <v>#VALUE!</v>
      </c>
      <c r="FL238" t="e">
        <f>Stock!C27+"'E4!.dx"</f>
        <v>#VALUE!</v>
      </c>
      <c r="FM238" t="e">
        <f>Stock!D27+"'E4!.dy"</f>
        <v>#VALUE!</v>
      </c>
      <c r="FN238" t="e">
        <f>Stock!E27+"'E4!.dz"</f>
        <v>#VALUE!</v>
      </c>
      <c r="FO238" t="e">
        <f>Stock!F27+"'E4!.d{"</f>
        <v>#VALUE!</v>
      </c>
      <c r="FP238" t="e">
        <f>Stock!G27+"'E4!.d|"</f>
        <v>#VALUE!</v>
      </c>
      <c r="FQ238" t="e">
        <f>Stock!H27+"'E4!.d}"</f>
        <v>#VALUE!</v>
      </c>
      <c r="FR238" t="e">
        <f>Stock!I27+"'E4!.d~"</f>
        <v>#VALUE!</v>
      </c>
      <c r="FS238" t="e">
        <f>Stock!J27+"'E4!.e#"</f>
        <v>#VALUE!</v>
      </c>
      <c r="FT238" t="e">
        <f>Stock!K27+"'E4!.e$"</f>
        <v>#VALUE!</v>
      </c>
      <c r="FU238" t="e">
        <f>Stock!N27+"'E4!.e%"</f>
        <v>#VALUE!</v>
      </c>
      <c r="FV238" t="e">
        <f>Stock!O27+"'E4!.e&amp;"</f>
        <v>#VALUE!</v>
      </c>
      <c r="FW238" t="e">
        <f>Stock!P27+"'E4!.e'"</f>
        <v>#VALUE!</v>
      </c>
      <c r="FX238" t="e">
        <f>Stock!Q27+"'E4!.e("</f>
        <v>#VALUE!</v>
      </c>
      <c r="FY238" t="e">
        <f>Stock!R27+"'E4!.e)"</f>
        <v>#VALUE!</v>
      </c>
      <c r="FZ238" s="333" t="e">
        <f>Stock!S27+"'E4!.e."</f>
        <v>#VALUE!</v>
      </c>
      <c r="GA238" s="333" t="e">
        <f>Stock!T27+"'E4!.e/"</f>
        <v>#VALUE!</v>
      </c>
      <c r="GB238" t="e">
        <f>Stock!U27+"'E4!.e0"</f>
        <v>#VALUE!</v>
      </c>
      <c r="GC238" t="e">
        <f>Stock!V27+"'E4!.e1"</f>
        <v>#VALUE!</v>
      </c>
      <c r="GD238" t="e">
        <f>Stock!W27+"'E4!.e2"</f>
        <v>#VALUE!</v>
      </c>
      <c r="GE238" t="e">
        <f>Stock!X27+"'E4!.e3"</f>
        <v>#VALUE!</v>
      </c>
      <c r="GF238" t="e">
        <f>Stock!Y27+"'E4!.e4"</f>
        <v>#VALUE!</v>
      </c>
      <c r="GG238" t="e">
        <f>Stock!A28+"'E4!.e5"</f>
        <v>#VALUE!</v>
      </c>
      <c r="GH238" t="e">
        <f>Stock!B28+"'E4!.e6"</f>
        <v>#VALUE!</v>
      </c>
      <c r="GI238" t="e">
        <f>Stock!C28+"'E4!.e7"</f>
        <v>#VALUE!</v>
      </c>
      <c r="GJ238" t="e">
        <f>Stock!D28+"'E4!.e8"</f>
        <v>#VALUE!</v>
      </c>
      <c r="GK238" t="e">
        <f>Stock!E28+"'E4!.e9"</f>
        <v>#VALUE!</v>
      </c>
      <c r="GL238" t="e">
        <f>Stock!N28+"'E4!.e:"</f>
        <v>#VALUE!</v>
      </c>
      <c r="GM238" t="e">
        <f>Stock!O28+"'E4!.e;"</f>
        <v>#VALUE!</v>
      </c>
      <c r="GN238" t="e">
        <f>Stock!P28+"'E4!.e&lt;"</f>
        <v>#VALUE!</v>
      </c>
      <c r="GO238" t="e">
        <f>Stock!Q28+"'E4!.e="</f>
        <v>#VALUE!</v>
      </c>
      <c r="GP238" t="e">
        <f>Stock!R28+"'E4!.e&gt;"</f>
        <v>#VALUE!</v>
      </c>
      <c r="GQ238" s="333" t="e">
        <f>Stock!S28+"'E4!.e?"</f>
        <v>#VALUE!</v>
      </c>
      <c r="GR238" s="333" t="e">
        <f>Stock!T28+"'E4!.e@"</f>
        <v>#VALUE!</v>
      </c>
      <c r="GS238" t="e">
        <f>Stock!U28+"'E4!.eA"</f>
        <v>#VALUE!</v>
      </c>
      <c r="GT238" t="e">
        <f>Stock!V28+"'E4!.eB"</f>
        <v>#VALUE!</v>
      </c>
      <c r="GU238" t="e">
        <f>Stock!W28+"'E4!.eC"</f>
        <v>#VALUE!</v>
      </c>
      <c r="GV238" t="e">
        <f>Stock!X28+"'E4!.eD"</f>
        <v>#VALUE!</v>
      </c>
      <c r="GW238" t="e">
        <f>Stock!Y28+"'E4!.eE"</f>
        <v>#VALUE!</v>
      </c>
      <c r="GX238" t="e">
        <f>Stock!A29+"'E4!.eF"</f>
        <v>#VALUE!</v>
      </c>
      <c r="GY238" t="e">
        <f>Stock!B29+"'E4!.eG"</f>
        <v>#VALUE!</v>
      </c>
      <c r="GZ238" t="e">
        <f>Stock!C29+"'E4!.eH"</f>
        <v>#VALUE!</v>
      </c>
      <c r="HA238" t="e">
        <f>Stock!D29+"'E4!.eI"</f>
        <v>#VALUE!</v>
      </c>
      <c r="HB238" t="e">
        <f>Stock!E29+"'E4!.eJ"</f>
        <v>#VALUE!</v>
      </c>
      <c r="HC238" t="e">
        <f>Stock!N29+"'E4!.eK"</f>
        <v>#VALUE!</v>
      </c>
      <c r="HD238" t="e">
        <f>Stock!O29+"'E4!.eL"</f>
        <v>#VALUE!</v>
      </c>
      <c r="HE238" t="e">
        <f>Stock!P29+"'E4!.eM"</f>
        <v>#VALUE!</v>
      </c>
      <c r="HF238" t="e">
        <f>Stock!Q29+"'E4!.eN"</f>
        <v>#VALUE!</v>
      </c>
      <c r="HG238" t="e">
        <f>Stock!R29+"'E4!.eO"</f>
        <v>#VALUE!</v>
      </c>
      <c r="HH238" s="333" t="e">
        <f>Stock!S29+"'E4!.eP"</f>
        <v>#VALUE!</v>
      </c>
      <c r="HI238" s="333" t="e">
        <f>Stock!T29+"'E4!.eQ"</f>
        <v>#VALUE!</v>
      </c>
      <c r="HJ238" t="e">
        <f>Stock!U29+"'E4!.eR"</f>
        <v>#VALUE!</v>
      </c>
      <c r="HK238" t="e">
        <f>Stock!V29+"'E4!.eS"</f>
        <v>#VALUE!</v>
      </c>
      <c r="HL238" t="e">
        <f>Stock!W29+"'E4!.eT"</f>
        <v>#VALUE!</v>
      </c>
      <c r="HM238" t="e">
        <f>Stock!X29+"'E4!.eU"</f>
        <v>#VALUE!</v>
      </c>
      <c r="HN238" t="e">
        <f>Stock!Y29+"'E4!.eV"</f>
        <v>#VALUE!</v>
      </c>
      <c r="HO238" t="e">
        <f>Stock!N30+"'E4!.eW"</f>
        <v>#VALUE!</v>
      </c>
      <c r="HP238" t="e">
        <f>Stock!O30+"'E4!.eX"</f>
        <v>#VALUE!</v>
      </c>
      <c r="HQ238" t="e">
        <f>Stock!P30+"'E4!.eY"</f>
        <v>#VALUE!</v>
      </c>
      <c r="HR238" t="e">
        <f>Stock!Q30+"'E4!.eZ"</f>
        <v>#VALUE!</v>
      </c>
      <c r="HS238" t="e">
        <f>Stock!R30+"'E4!.e["</f>
        <v>#VALUE!</v>
      </c>
      <c r="HT238" s="333" t="e">
        <f>Stock!S30+"'E4!.e\"</f>
        <v>#VALUE!</v>
      </c>
      <c r="HU238" s="333" t="e">
        <f>Stock!T30+"'E4!.e]"</f>
        <v>#VALUE!</v>
      </c>
      <c r="HV238" t="e">
        <f>Stock!U30+"'E4!.e^"</f>
        <v>#VALUE!</v>
      </c>
      <c r="HW238" t="e">
        <f>Stock!V30+"'E4!.e_"</f>
        <v>#VALUE!</v>
      </c>
      <c r="HX238" t="e">
        <f>Stock!W30+"'E4!.e`"</f>
        <v>#VALUE!</v>
      </c>
      <c r="HY238" t="e">
        <f>Stock!X30+"'E4!.ea"</f>
        <v>#VALUE!</v>
      </c>
      <c r="HZ238" t="e">
        <f>Stock!Y30+"'E4!.eb"</f>
        <v>#VALUE!</v>
      </c>
      <c r="IA238" t="e">
        <f>Stock!A31+"'E4!.ec"</f>
        <v>#VALUE!</v>
      </c>
      <c r="IB238" t="e">
        <f>Stock!N31+"'E4!.ed"</f>
        <v>#VALUE!</v>
      </c>
      <c r="IC238" t="e">
        <f>Stock!O31+"'E4!.ee"</f>
        <v>#VALUE!</v>
      </c>
      <c r="ID238" t="e">
        <f>Stock!P31+"'E4!.ef"</f>
        <v>#VALUE!</v>
      </c>
      <c r="IE238" t="e">
        <f>Stock!Q31+"'E4!.eg"</f>
        <v>#VALUE!</v>
      </c>
      <c r="IF238" t="e">
        <f>Stock!R31+"'E4!.eh"</f>
        <v>#VALUE!</v>
      </c>
      <c r="IG238" s="333" t="e">
        <f>Stock!S31+"'E4!.ei"</f>
        <v>#VALUE!</v>
      </c>
      <c r="IH238" s="333" t="e">
        <f>Stock!T31+"'E4!.ej"</f>
        <v>#VALUE!</v>
      </c>
      <c r="II238" t="e">
        <f>Stock!U31+"'E4!.ek"</f>
        <v>#VALUE!</v>
      </c>
      <c r="IJ238" t="e">
        <f>Stock!V31+"'E4!.el"</f>
        <v>#VALUE!</v>
      </c>
      <c r="IK238" t="e">
        <f>Stock!W31+"'E4!.em"</f>
        <v>#VALUE!</v>
      </c>
      <c r="IL238" t="e">
        <f>Stock!X31+"'E4!.en"</f>
        <v>#VALUE!</v>
      </c>
      <c r="IM238" t="e">
        <f>Stock!Y31+"'E4!.eo"</f>
        <v>#VALUE!</v>
      </c>
      <c r="IN238" t="e">
        <f>Stock!A32+"'E4!.ep"</f>
        <v>#VALUE!</v>
      </c>
      <c r="IO238" t="e">
        <f>Stock!B32+"'E4!.eq"</f>
        <v>#VALUE!</v>
      </c>
      <c r="IP238" t="e">
        <f>Stock!C32+"'E4!.er"</f>
        <v>#VALUE!</v>
      </c>
      <c r="IQ238" t="e">
        <f>Stock!D32+"'E4!.es"</f>
        <v>#VALUE!</v>
      </c>
      <c r="IR238" t="e">
        <f>Stock!E32+"'E4!.et"</f>
        <v>#VALUE!</v>
      </c>
      <c r="IS238" t="e">
        <f>Stock!F32+"'E4!.eu"</f>
        <v>#VALUE!</v>
      </c>
      <c r="IT238" t="e">
        <f>Stock!G32+"'E4!.ev"</f>
        <v>#VALUE!</v>
      </c>
      <c r="IU238" t="e">
        <f>Stock!H32+"'E4!.ew"</f>
        <v>#VALUE!</v>
      </c>
      <c r="IV238" t="e">
        <f>Stock!I32+"'E4!.ex"</f>
        <v>#VALUE!</v>
      </c>
    </row>
    <row r="239" spans="6:256">
      <c r="F239" t="e">
        <f>Stock!J32+"'E4!.ey"</f>
        <v>#VALUE!</v>
      </c>
      <c r="G239" t="e">
        <f>Stock!K32+"'E4!.ez"</f>
        <v>#VALUE!</v>
      </c>
      <c r="H239" t="e">
        <f>Stock!L32+"'E4!.e{"</f>
        <v>#VALUE!</v>
      </c>
      <c r="I239" t="e">
        <f>Stock!N32+"'E4!.e|"</f>
        <v>#VALUE!</v>
      </c>
      <c r="J239" t="e">
        <f>Stock!O32+"'E4!.e}"</f>
        <v>#VALUE!</v>
      </c>
      <c r="K239" t="e">
        <f>Stock!P32+"'E4!.e~"</f>
        <v>#VALUE!</v>
      </c>
      <c r="L239" t="e">
        <f>Stock!Q32+"'E4!.f#"</f>
        <v>#VALUE!</v>
      </c>
      <c r="M239" t="e">
        <f>Stock!R32+"'E4!.f$"</f>
        <v>#VALUE!</v>
      </c>
      <c r="N239" s="333" t="e">
        <f>Stock!S32+"'E4!.f%"</f>
        <v>#VALUE!</v>
      </c>
      <c r="O239" s="333" t="e">
        <f>Stock!T32+"'E4!.f&amp;"</f>
        <v>#VALUE!</v>
      </c>
      <c r="P239" t="e">
        <f>Stock!U32+"'E4!.f'"</f>
        <v>#VALUE!</v>
      </c>
      <c r="Q239" t="e">
        <f>Stock!V32+"'E4!.f("</f>
        <v>#VALUE!</v>
      </c>
      <c r="R239" t="e">
        <f>Stock!W32+"'E4!.f)"</f>
        <v>#VALUE!</v>
      </c>
      <c r="S239" t="e">
        <f>Stock!X32+"'E4!.f."</f>
        <v>#VALUE!</v>
      </c>
      <c r="T239" t="e">
        <f>Stock!Y32+"'E4!.f/"</f>
        <v>#VALUE!</v>
      </c>
      <c r="U239" t="e">
        <f>Stock!A33+"'E4!.f0"</f>
        <v>#VALUE!</v>
      </c>
      <c r="V239" t="e">
        <f>Stock!B33+"'E4!.f1"</f>
        <v>#VALUE!</v>
      </c>
      <c r="W239" t="e">
        <f>Stock!C33+"'E4!.f2"</f>
        <v>#VALUE!</v>
      </c>
      <c r="X239" t="e">
        <f>Stock!D33+"'E4!.f3"</f>
        <v>#VALUE!</v>
      </c>
      <c r="Y239" t="e">
        <f>Stock!E33+"'E4!.f4"</f>
        <v>#VALUE!</v>
      </c>
      <c r="Z239" t="e">
        <f>Stock!F33+"'E4!.f5"</f>
        <v>#VALUE!</v>
      </c>
      <c r="AA239" t="e">
        <f>Stock!G33+"'E4!.f6"</f>
        <v>#VALUE!</v>
      </c>
      <c r="AB239" t="e">
        <f>Stock!H33+"'E4!.f7"</f>
        <v>#VALUE!</v>
      </c>
      <c r="AC239" t="e">
        <f>Stock!I33+"'E4!.f8"</f>
        <v>#VALUE!</v>
      </c>
      <c r="AD239" t="e">
        <f>Stock!J33+"'E4!.f9"</f>
        <v>#VALUE!</v>
      </c>
      <c r="AE239" t="e">
        <f>Stock!K33+"'E4!.f:"</f>
        <v>#VALUE!</v>
      </c>
      <c r="AF239" t="e">
        <f>Stock!L33+"'E4!.f;"</f>
        <v>#VALUE!</v>
      </c>
      <c r="AG239" t="e">
        <f>Stock!N33+"'E4!.f&lt;"</f>
        <v>#VALUE!</v>
      </c>
      <c r="AH239" t="e">
        <f>Stock!O33+"'E4!.f="</f>
        <v>#VALUE!</v>
      </c>
      <c r="AI239" t="e">
        <f>Stock!P33+"'E4!.f&gt;"</f>
        <v>#VALUE!</v>
      </c>
      <c r="AJ239" t="e">
        <f>Stock!Q33+"'E4!.f?"</f>
        <v>#VALUE!</v>
      </c>
      <c r="AK239" t="e">
        <f>Stock!R33+"'E4!.f@"</f>
        <v>#VALUE!</v>
      </c>
      <c r="AL239" s="333" t="e">
        <f>Stock!S33+"'E4!.fA"</f>
        <v>#VALUE!</v>
      </c>
      <c r="AM239" s="333" t="e">
        <f>Stock!T33+"'E4!.fB"</f>
        <v>#VALUE!</v>
      </c>
      <c r="AN239" t="e">
        <f>Stock!U33+"'E4!.fC"</f>
        <v>#VALUE!</v>
      </c>
      <c r="AO239" t="e">
        <f>Stock!V33+"'E4!.fD"</f>
        <v>#VALUE!</v>
      </c>
      <c r="AP239" t="e">
        <f>Stock!W33+"'E4!.fE"</f>
        <v>#VALUE!</v>
      </c>
      <c r="AQ239" t="e">
        <f>Stock!X33+"'E4!.fF"</f>
        <v>#VALUE!</v>
      </c>
      <c r="AR239" t="e">
        <f>Stock!Y33+"'E4!.fG"</f>
        <v>#VALUE!</v>
      </c>
      <c r="AS239" t="e">
        <f>Stock!A34+"'E4!.fH"</f>
        <v>#VALUE!</v>
      </c>
      <c r="AT239" t="e">
        <f>Stock!B34+"'E4!.fI"</f>
        <v>#VALUE!</v>
      </c>
      <c r="AU239" t="e">
        <f>Stock!C34+"'E4!.fJ"</f>
        <v>#VALUE!</v>
      </c>
      <c r="AV239" t="e">
        <f>Stock!D34+"'E4!.fK"</f>
        <v>#VALUE!</v>
      </c>
      <c r="AW239" t="e">
        <f>Stock!E34+"'E4!.fL"</f>
        <v>#VALUE!</v>
      </c>
      <c r="AX239" t="e">
        <f>Stock!F34+"'E4!.fM"</f>
        <v>#VALUE!</v>
      </c>
      <c r="AY239" t="e">
        <f>Stock!G34+"'E4!.fN"</f>
        <v>#VALUE!</v>
      </c>
      <c r="AZ239" t="e">
        <f>Stock!H34+"'E4!.fO"</f>
        <v>#VALUE!</v>
      </c>
      <c r="BA239" t="e">
        <f>Stock!I34+"'E4!.fP"</f>
        <v>#VALUE!</v>
      </c>
      <c r="BB239" t="e">
        <f>Stock!J34+"'E4!.fQ"</f>
        <v>#VALUE!</v>
      </c>
      <c r="BC239" t="e">
        <f>Stock!K34+"'E4!.fR"</f>
        <v>#VALUE!</v>
      </c>
      <c r="BD239" t="e">
        <f>Stock!L34+"'E4!.fS"</f>
        <v>#VALUE!</v>
      </c>
      <c r="BE239" t="e">
        <f>Stock!N34+"'E4!.fT"</f>
        <v>#VALUE!</v>
      </c>
      <c r="BF239" t="e">
        <f>Stock!O34+"'E4!.fU"</f>
        <v>#VALUE!</v>
      </c>
      <c r="BG239" t="e">
        <f>Stock!P34+"'E4!.fV"</f>
        <v>#VALUE!</v>
      </c>
      <c r="BH239" t="e">
        <f>Stock!Q34+"'E4!.fW"</f>
        <v>#VALUE!</v>
      </c>
      <c r="BI239" t="e">
        <f>Stock!R34+"'E4!.fX"</f>
        <v>#VALUE!</v>
      </c>
      <c r="BJ239" s="333" t="e">
        <f>Stock!S34+"'E4!.fY"</f>
        <v>#VALUE!</v>
      </c>
      <c r="BK239" s="333" t="e">
        <f>Stock!T34+"'E4!.fZ"</f>
        <v>#VALUE!</v>
      </c>
      <c r="BL239" t="e">
        <f>Stock!U34+"'E4!.f["</f>
        <v>#VALUE!</v>
      </c>
      <c r="BM239" t="e">
        <f>Stock!V34+"'E4!.f\"</f>
        <v>#VALUE!</v>
      </c>
      <c r="BN239" t="e">
        <f>Stock!W34+"'E4!.f]"</f>
        <v>#VALUE!</v>
      </c>
      <c r="BO239" t="e">
        <f>Stock!X34+"'E4!.f^"</f>
        <v>#VALUE!</v>
      </c>
      <c r="BP239" t="e">
        <f>Stock!Y34+"'E4!.f_"</f>
        <v>#VALUE!</v>
      </c>
      <c r="BQ239" t="e">
        <f>Stock!A35+"'E4!.f`"</f>
        <v>#VALUE!</v>
      </c>
      <c r="BR239" t="e">
        <f>Stock!B35+"'E4!.fa"</f>
        <v>#VALUE!</v>
      </c>
      <c r="BS239" t="e">
        <f>Stock!C35+"'E4!.fb"</f>
        <v>#VALUE!</v>
      </c>
      <c r="BT239" t="e">
        <f>Stock!D35+"'E4!.fc"</f>
        <v>#VALUE!</v>
      </c>
      <c r="BU239" t="e">
        <f>Stock!E35+"'E4!.fd"</f>
        <v>#VALUE!</v>
      </c>
      <c r="BV239" t="e">
        <f>Stock!F35+"'E4!.fe"</f>
        <v>#VALUE!</v>
      </c>
      <c r="BW239" t="e">
        <f>Stock!G35+"'E4!.ff"</f>
        <v>#VALUE!</v>
      </c>
      <c r="BX239" t="e">
        <f>Stock!H35+"'E4!.fg"</f>
        <v>#VALUE!</v>
      </c>
      <c r="BY239" t="e">
        <f>Stock!I35+"'E4!.fh"</f>
        <v>#VALUE!</v>
      </c>
      <c r="BZ239" t="e">
        <f>Stock!J35+"'E4!.fi"</f>
        <v>#VALUE!</v>
      </c>
      <c r="CA239" t="e">
        <f>Stock!K35+"'E4!.fj"</f>
        <v>#VALUE!</v>
      </c>
      <c r="CB239" t="e">
        <f>Stock!L35+"'E4!.fk"</f>
        <v>#VALUE!</v>
      </c>
      <c r="CC239" t="e">
        <f>Stock!N35+"'E4!.fl"</f>
        <v>#VALUE!</v>
      </c>
      <c r="CD239" t="e">
        <f>Stock!O35+"'E4!.fm"</f>
        <v>#VALUE!</v>
      </c>
      <c r="CE239" t="e">
        <f>Stock!P35+"'E4!.fn"</f>
        <v>#VALUE!</v>
      </c>
      <c r="CF239" t="e">
        <f>Stock!Q35+"'E4!.fo"</f>
        <v>#VALUE!</v>
      </c>
      <c r="CG239" t="e">
        <f>Stock!R35+"'E4!.fp"</f>
        <v>#VALUE!</v>
      </c>
      <c r="CH239" s="333" t="e">
        <f>Stock!S35+"'E4!.fq"</f>
        <v>#VALUE!</v>
      </c>
      <c r="CI239" s="333" t="e">
        <f>Stock!T35+"'E4!.fr"</f>
        <v>#VALUE!</v>
      </c>
      <c r="CJ239" t="e">
        <f>Stock!U35+"'E4!.fs"</f>
        <v>#VALUE!</v>
      </c>
      <c r="CK239" t="e">
        <f>Stock!V35+"'E4!.ft"</f>
        <v>#VALUE!</v>
      </c>
      <c r="CL239" t="e">
        <f>Stock!W35+"'E4!.fu"</f>
        <v>#VALUE!</v>
      </c>
      <c r="CM239" t="e">
        <f>Stock!X35+"'E4!.fv"</f>
        <v>#VALUE!</v>
      </c>
      <c r="CN239" t="e">
        <f>Stock!Y35+"'E4!.fw"</f>
        <v>#VALUE!</v>
      </c>
      <c r="CO239" t="e">
        <f>Stock!A36+"'E4!.fx"</f>
        <v>#VALUE!</v>
      </c>
      <c r="CP239" t="e">
        <f>Stock!B36+"'E4!.fy"</f>
        <v>#VALUE!</v>
      </c>
      <c r="CQ239" t="e">
        <f>Stock!C36+"'E4!.fz"</f>
        <v>#VALUE!</v>
      </c>
      <c r="CR239" t="e">
        <f>Stock!D36+"'E4!.f{"</f>
        <v>#VALUE!</v>
      </c>
      <c r="CS239" t="e">
        <f>Stock!E36+"'E4!.f|"</f>
        <v>#VALUE!</v>
      </c>
      <c r="CT239" t="e">
        <f>Stock!F36+"'E4!.f}"</f>
        <v>#VALUE!</v>
      </c>
      <c r="CU239" t="e">
        <f>Stock!G36+"'E4!.f~"</f>
        <v>#VALUE!</v>
      </c>
      <c r="CV239" t="e">
        <f>Stock!H36+"'E4!.g#"</f>
        <v>#VALUE!</v>
      </c>
      <c r="CW239" t="e">
        <f>Stock!I36+"'E4!.g$"</f>
        <v>#VALUE!</v>
      </c>
      <c r="CX239" t="e">
        <f>Stock!J36+"'E4!.g%"</f>
        <v>#VALUE!</v>
      </c>
      <c r="CY239" t="e">
        <f>Stock!K36+"'E4!.g&amp;"</f>
        <v>#VALUE!</v>
      </c>
      <c r="CZ239" t="e">
        <f>Stock!L36+"'E4!.g'"</f>
        <v>#VALUE!</v>
      </c>
      <c r="DA239" t="e">
        <f>Stock!N36+"'E4!.g("</f>
        <v>#VALUE!</v>
      </c>
      <c r="DB239" t="e">
        <f>Stock!O36+"'E4!.g)"</f>
        <v>#VALUE!</v>
      </c>
      <c r="DC239" t="e">
        <f>Stock!P36+"'E4!.g."</f>
        <v>#VALUE!</v>
      </c>
      <c r="DD239" t="e">
        <f>Stock!Q36+"'E4!.g/"</f>
        <v>#VALUE!</v>
      </c>
      <c r="DE239" t="e">
        <f>Stock!R36+"'E4!.g0"</f>
        <v>#VALUE!</v>
      </c>
      <c r="DF239" s="333" t="e">
        <f>Stock!S36+"'E4!.g1"</f>
        <v>#VALUE!</v>
      </c>
      <c r="DG239" s="333" t="e">
        <f>Stock!T36+"'E4!.g2"</f>
        <v>#VALUE!</v>
      </c>
      <c r="DH239" t="e">
        <f>Stock!U36+"'E4!.g3"</f>
        <v>#VALUE!</v>
      </c>
      <c r="DI239" t="e">
        <f>Stock!V36+"'E4!.g4"</f>
        <v>#VALUE!</v>
      </c>
      <c r="DJ239" t="e">
        <f>Stock!W36+"'E4!.g5"</f>
        <v>#VALUE!</v>
      </c>
      <c r="DK239" t="e">
        <f>Stock!X36+"'E4!.g6"</f>
        <v>#VALUE!</v>
      </c>
      <c r="DL239" t="e">
        <f>Stock!Y36+"'E4!.g7"</f>
        <v>#VALUE!</v>
      </c>
      <c r="DM239" t="e">
        <f>Stock!A37+"'E4!.g8"</f>
        <v>#VALUE!</v>
      </c>
      <c r="DN239" t="e">
        <f>Stock!B37+"'E4!.g9"</f>
        <v>#VALUE!</v>
      </c>
      <c r="DO239" t="e">
        <f>Stock!C37+"'E4!.g:"</f>
        <v>#VALUE!</v>
      </c>
      <c r="DP239" t="e">
        <f>Stock!D37+"'E4!.g;"</f>
        <v>#VALUE!</v>
      </c>
      <c r="DQ239" t="e">
        <f>Stock!E37+"'E4!.g&lt;"</f>
        <v>#VALUE!</v>
      </c>
      <c r="DR239" t="e">
        <f>Stock!F37+"'E4!.g="</f>
        <v>#VALUE!</v>
      </c>
      <c r="DS239" t="e">
        <f>Stock!G37+"'E4!.g&gt;"</f>
        <v>#VALUE!</v>
      </c>
      <c r="DT239" t="e">
        <f>Stock!H37+"'E4!.g?"</f>
        <v>#VALUE!</v>
      </c>
      <c r="DU239" t="e">
        <f>Stock!I37+"'E4!.g@"</f>
        <v>#VALUE!</v>
      </c>
      <c r="DV239" t="e">
        <f>Stock!J37+"'E4!.gA"</f>
        <v>#VALUE!</v>
      </c>
      <c r="DW239" t="e">
        <f>Stock!K37+"'E4!.gB"</f>
        <v>#VALUE!</v>
      </c>
      <c r="DX239" t="e">
        <f>Stock!L37+"'E4!.gC"</f>
        <v>#VALUE!</v>
      </c>
      <c r="DY239" t="e">
        <f>Stock!N37+"'E4!.gD"</f>
        <v>#VALUE!</v>
      </c>
      <c r="DZ239" t="e">
        <f>Stock!O37+"'E4!.gE"</f>
        <v>#VALUE!</v>
      </c>
      <c r="EA239" t="e">
        <f>Stock!P37+"'E4!.gF"</f>
        <v>#VALUE!</v>
      </c>
      <c r="EB239" t="e">
        <f>Stock!Q37+"'E4!.gG"</f>
        <v>#VALUE!</v>
      </c>
      <c r="EC239" t="e">
        <f>Stock!R37+"'E4!.gH"</f>
        <v>#VALUE!</v>
      </c>
      <c r="ED239" s="333" t="e">
        <f>Stock!S37+"'E4!.gI"</f>
        <v>#VALUE!</v>
      </c>
      <c r="EE239" s="333" t="e">
        <f>Stock!T37+"'E4!.gJ"</f>
        <v>#VALUE!</v>
      </c>
      <c r="EF239" t="e">
        <f>Stock!U37+"'E4!.gK"</f>
        <v>#VALUE!</v>
      </c>
      <c r="EG239" t="e">
        <f>Stock!V37+"'E4!.gL"</f>
        <v>#VALUE!</v>
      </c>
      <c r="EH239" t="e">
        <f>Stock!W37+"'E4!.gM"</f>
        <v>#VALUE!</v>
      </c>
      <c r="EI239" t="e">
        <f>Stock!X37+"'E4!.gN"</f>
        <v>#VALUE!</v>
      </c>
      <c r="EJ239" t="e">
        <f>Stock!Y37+"'E4!.gO"</f>
        <v>#VALUE!</v>
      </c>
      <c r="EK239" t="e">
        <f>Stock!A38+"'E4!.gP"</f>
        <v>#VALUE!</v>
      </c>
      <c r="EL239" t="e">
        <f>Stock!B38+"'E4!.gQ"</f>
        <v>#VALUE!</v>
      </c>
      <c r="EM239" t="e">
        <f>Stock!C38+"'E4!.gR"</f>
        <v>#VALUE!</v>
      </c>
      <c r="EN239" t="e">
        <f>Stock!D38+"'E4!.gS"</f>
        <v>#VALUE!</v>
      </c>
      <c r="EO239" t="e">
        <f>Stock!E38+"'E4!.gT"</f>
        <v>#VALUE!</v>
      </c>
      <c r="EP239" t="e">
        <f>Stock!F38+"'E4!.gU"</f>
        <v>#VALUE!</v>
      </c>
      <c r="EQ239" t="e">
        <f>Stock!G38+"'E4!.gV"</f>
        <v>#VALUE!</v>
      </c>
      <c r="ER239" t="e">
        <f>Stock!H38+"'E4!.gW"</f>
        <v>#VALUE!</v>
      </c>
      <c r="ES239" t="e">
        <f>Stock!I38+"'E4!.gX"</f>
        <v>#VALUE!</v>
      </c>
      <c r="ET239" t="e">
        <f>Stock!J38+"'E4!.gY"</f>
        <v>#VALUE!</v>
      </c>
      <c r="EU239" t="e">
        <f>Stock!K38+"'E4!.gZ"</f>
        <v>#VALUE!</v>
      </c>
      <c r="EV239" t="e">
        <f>Stock!L38+"'E4!.g["</f>
        <v>#VALUE!</v>
      </c>
      <c r="EW239" t="e">
        <f>Stock!N38+"'E4!.g\"</f>
        <v>#VALUE!</v>
      </c>
      <c r="EX239" t="e">
        <f>Stock!O38+"'E4!.g]"</f>
        <v>#VALUE!</v>
      </c>
      <c r="EY239" t="e">
        <f>Stock!P38+"'E4!.g^"</f>
        <v>#VALUE!</v>
      </c>
      <c r="EZ239" t="e">
        <f>Stock!Q38+"'E4!.g_"</f>
        <v>#VALUE!</v>
      </c>
      <c r="FA239" t="e">
        <f>Stock!R38+"'E4!.g`"</f>
        <v>#VALUE!</v>
      </c>
      <c r="FB239" s="333" t="e">
        <f>Stock!S38+"'E4!.ga"</f>
        <v>#VALUE!</v>
      </c>
      <c r="FC239" s="333" t="e">
        <f>Stock!T38+"'E4!.gb"</f>
        <v>#VALUE!</v>
      </c>
      <c r="FD239" t="e">
        <f>Stock!U38+"'E4!.gc"</f>
        <v>#VALUE!</v>
      </c>
      <c r="FE239" t="e">
        <f>Stock!V38+"'E4!.gd"</f>
        <v>#VALUE!</v>
      </c>
      <c r="FF239" t="e">
        <f>Stock!W38+"'E4!.ge"</f>
        <v>#VALUE!</v>
      </c>
      <c r="FG239" t="e">
        <f>Stock!X38+"'E4!.gf"</f>
        <v>#VALUE!</v>
      </c>
      <c r="FH239" t="e">
        <f>Stock!Y38+"'E4!.gg"</f>
        <v>#VALUE!</v>
      </c>
      <c r="FI239" t="e">
        <f>Stock!A39+"'E4!.gh"</f>
        <v>#VALUE!</v>
      </c>
      <c r="FJ239" t="e">
        <f>Stock!B39+"'E4!.gi"</f>
        <v>#VALUE!</v>
      </c>
      <c r="FK239" t="e">
        <f>Stock!C39+"'E4!.gj"</f>
        <v>#VALUE!</v>
      </c>
      <c r="FL239" t="e">
        <f>Stock!D39+"'E4!.gk"</f>
        <v>#VALUE!</v>
      </c>
      <c r="FM239" t="e">
        <f>Stock!E39+"'E4!.gl"</f>
        <v>#VALUE!</v>
      </c>
      <c r="FN239" t="e">
        <f>Stock!F39+"'E4!.gm"</f>
        <v>#VALUE!</v>
      </c>
      <c r="FO239" t="e">
        <f>Stock!G39+"'E4!.gn"</f>
        <v>#VALUE!</v>
      </c>
      <c r="FP239" t="e">
        <f>Stock!H39+"'E4!.go"</f>
        <v>#VALUE!</v>
      </c>
      <c r="FQ239" t="e">
        <f>Stock!I39+"'E4!.gp"</f>
        <v>#VALUE!</v>
      </c>
      <c r="FR239" t="e">
        <f>Stock!J39+"'E4!.gq"</f>
        <v>#VALUE!</v>
      </c>
      <c r="FS239" t="e">
        <f>Stock!K39+"'E4!.gr"</f>
        <v>#VALUE!</v>
      </c>
      <c r="FT239" t="e">
        <f>Stock!L39+"'E4!.gs"</f>
        <v>#VALUE!</v>
      </c>
      <c r="FU239" t="e">
        <f>Stock!N39+"'E4!.gt"</f>
        <v>#VALUE!</v>
      </c>
      <c r="FV239" t="e">
        <f>Stock!O39+"'E4!.gu"</f>
        <v>#VALUE!</v>
      </c>
      <c r="FW239" t="e">
        <f>Stock!P39+"'E4!.gv"</f>
        <v>#VALUE!</v>
      </c>
      <c r="FX239" t="e">
        <f>Stock!Q39+"'E4!.gw"</f>
        <v>#VALUE!</v>
      </c>
      <c r="FY239" t="e">
        <f>Stock!R39+"'E4!.gx"</f>
        <v>#VALUE!</v>
      </c>
      <c r="FZ239" s="333" t="e">
        <f>Stock!S39+"'E4!.gy"</f>
        <v>#VALUE!</v>
      </c>
      <c r="GA239" s="333" t="e">
        <f>Stock!T39+"'E4!.gz"</f>
        <v>#VALUE!</v>
      </c>
      <c r="GB239" t="e">
        <f>Stock!U39+"'E4!.g{"</f>
        <v>#VALUE!</v>
      </c>
      <c r="GC239" t="e">
        <f>Stock!V39+"'E4!.g|"</f>
        <v>#VALUE!</v>
      </c>
      <c r="GD239" t="e">
        <f>Stock!W39+"'E4!.g}"</f>
        <v>#VALUE!</v>
      </c>
      <c r="GE239" t="e">
        <f>Stock!X39+"'E4!.g~"</f>
        <v>#VALUE!</v>
      </c>
      <c r="GF239" t="e">
        <f>Stock!Y39+"'E4!.h#"</f>
        <v>#VALUE!</v>
      </c>
      <c r="GG239" t="e">
        <f>Stock!N40+"'E4!.h$"</f>
        <v>#VALUE!</v>
      </c>
      <c r="GH239" t="e">
        <f>Stock!O40+"'E4!.h%"</f>
        <v>#VALUE!</v>
      </c>
      <c r="GI239" t="e">
        <f>Stock!P40+"'E4!.h&amp;"</f>
        <v>#VALUE!</v>
      </c>
      <c r="GJ239" t="e">
        <f>Stock!Q40+"'E4!.h'"</f>
        <v>#VALUE!</v>
      </c>
      <c r="GK239" t="e">
        <f>Stock!R40+"'E4!.h("</f>
        <v>#VALUE!</v>
      </c>
      <c r="GL239" s="333" t="e">
        <f>Stock!S40+"'E4!.h)"</f>
        <v>#VALUE!</v>
      </c>
      <c r="GM239" s="333" t="e">
        <f>Stock!T40+"'E4!.h."</f>
        <v>#VALUE!</v>
      </c>
      <c r="GN239" t="e">
        <f>Stock!U40+"'E4!.h/"</f>
        <v>#VALUE!</v>
      </c>
      <c r="GO239" t="e">
        <f>Stock!V40+"'E4!.h0"</f>
        <v>#VALUE!</v>
      </c>
      <c r="GP239" t="e">
        <f>Stock!W40+"'E4!.h1"</f>
        <v>#VALUE!</v>
      </c>
      <c r="GQ239" t="e">
        <f>Stock!X40+"'E4!.h2"</f>
        <v>#VALUE!</v>
      </c>
      <c r="GR239" t="e">
        <f>Stock!Y40+"'E4!.h3"</f>
        <v>#VALUE!</v>
      </c>
      <c r="GS239" t="e">
        <f>Stock!A41+"'E4!.h4"</f>
        <v>#VALUE!</v>
      </c>
      <c r="GT239" t="e">
        <f>Stock!N41+"'E4!.h5"</f>
        <v>#VALUE!</v>
      </c>
      <c r="GU239" t="e">
        <f>Stock!O41+"'E4!.h6"</f>
        <v>#VALUE!</v>
      </c>
      <c r="GV239" t="e">
        <f>Stock!P41+"'E4!.h7"</f>
        <v>#VALUE!</v>
      </c>
      <c r="GW239" t="e">
        <f>Stock!Q41+"'E4!.h8"</f>
        <v>#VALUE!</v>
      </c>
      <c r="GX239" t="e">
        <f>Stock!R41+"'E4!.h9"</f>
        <v>#VALUE!</v>
      </c>
      <c r="GY239" s="333" t="e">
        <f>Stock!S41+"'E4!.h:"</f>
        <v>#VALUE!</v>
      </c>
      <c r="GZ239" s="333" t="e">
        <f>Stock!T41+"'E4!.h;"</f>
        <v>#VALUE!</v>
      </c>
      <c r="HA239" t="e">
        <f>Stock!U41+"'E4!.h&lt;"</f>
        <v>#VALUE!</v>
      </c>
      <c r="HB239" t="e">
        <f>Stock!V41+"'E4!.h="</f>
        <v>#VALUE!</v>
      </c>
      <c r="HC239" t="e">
        <f>Stock!W41+"'E4!.h&gt;"</f>
        <v>#VALUE!</v>
      </c>
      <c r="HD239" t="e">
        <f>Stock!X41+"'E4!.h?"</f>
        <v>#VALUE!</v>
      </c>
      <c r="HE239" t="e">
        <f>Stock!Y41+"'E4!.h@"</f>
        <v>#VALUE!</v>
      </c>
      <c r="HF239" t="e">
        <f>Stock!A42+"'E4!.hA"</f>
        <v>#VALUE!</v>
      </c>
      <c r="HG239" t="e">
        <f>Stock!B42+"'E4!.hB"</f>
        <v>#VALUE!</v>
      </c>
      <c r="HH239" t="e">
        <f>Stock!C42+"'E4!.hC"</f>
        <v>#VALUE!</v>
      </c>
      <c r="HI239" t="e">
        <f>Stock!D42+"'E4!.hD"</f>
        <v>#VALUE!</v>
      </c>
      <c r="HJ239" t="e">
        <f>Stock!E42+"'E4!.hE"</f>
        <v>#VALUE!</v>
      </c>
      <c r="HK239" t="e">
        <f>Stock!F42+"'E4!.hF"</f>
        <v>#VALUE!</v>
      </c>
      <c r="HL239" t="e">
        <f>Stock!G42+"'E4!.hG"</f>
        <v>#VALUE!</v>
      </c>
      <c r="HM239" t="e">
        <f>Stock!H42+"'E4!.hH"</f>
        <v>#VALUE!</v>
      </c>
      <c r="HN239" t="e">
        <f>Stock!I42+"'E4!.hI"</f>
        <v>#VALUE!</v>
      </c>
      <c r="HO239" t="e">
        <f>Stock!J42+"'E4!.hJ"</f>
        <v>#VALUE!</v>
      </c>
      <c r="HP239" t="e">
        <f>Stock!K42+"'E4!.hK"</f>
        <v>#VALUE!</v>
      </c>
      <c r="HQ239" t="e">
        <f>Stock!L42+"'E4!.hL"</f>
        <v>#VALUE!</v>
      </c>
      <c r="HR239" t="e">
        <f>Stock!N42+"'E4!.hM"</f>
        <v>#VALUE!</v>
      </c>
      <c r="HS239" t="e">
        <f>Stock!O42+"'E4!.hN"</f>
        <v>#VALUE!</v>
      </c>
      <c r="HT239" t="e">
        <f>Stock!P42+"'E4!.hO"</f>
        <v>#VALUE!</v>
      </c>
      <c r="HU239" t="e">
        <f>Stock!Q42+"'E4!.hP"</f>
        <v>#VALUE!</v>
      </c>
      <c r="HV239" t="e">
        <f>Stock!R42+"'E4!.hQ"</f>
        <v>#VALUE!</v>
      </c>
      <c r="HW239" s="333" t="e">
        <f>Stock!S42+"'E4!.hR"</f>
        <v>#VALUE!</v>
      </c>
      <c r="HX239" s="333" t="e">
        <f>Stock!T42+"'E4!.hS"</f>
        <v>#VALUE!</v>
      </c>
      <c r="HY239" t="e">
        <f>Stock!U42+"'E4!.hT"</f>
        <v>#VALUE!</v>
      </c>
      <c r="HZ239" t="e">
        <f>Stock!V42+"'E4!.hU"</f>
        <v>#VALUE!</v>
      </c>
      <c r="IA239" t="e">
        <f>Stock!W42+"'E4!.hV"</f>
        <v>#VALUE!</v>
      </c>
      <c r="IB239" t="e">
        <f>Stock!X42+"'E4!.hW"</f>
        <v>#VALUE!</v>
      </c>
      <c r="IC239" t="e">
        <f>Stock!Y42+"'E4!.hX"</f>
        <v>#VALUE!</v>
      </c>
      <c r="ID239" t="e">
        <f>Stock!A43+"'E4!.hY"</f>
        <v>#VALUE!</v>
      </c>
      <c r="IE239" t="e">
        <f>Stock!B43+"'E4!.hZ"</f>
        <v>#VALUE!</v>
      </c>
      <c r="IF239" t="e">
        <f>Stock!C43+"'E4!.h["</f>
        <v>#VALUE!</v>
      </c>
      <c r="IG239" t="e">
        <f>Stock!N43+"'E4!.h\"</f>
        <v>#VALUE!</v>
      </c>
      <c r="IH239" t="e">
        <f>Stock!O43+"'E4!.h]"</f>
        <v>#VALUE!</v>
      </c>
      <c r="II239" t="e">
        <f>Stock!P43+"'E4!.h^"</f>
        <v>#VALUE!</v>
      </c>
      <c r="IJ239" t="e">
        <f>Stock!Q43+"'E4!.h_"</f>
        <v>#VALUE!</v>
      </c>
      <c r="IK239" t="e">
        <f>Stock!R43+"'E4!.h`"</f>
        <v>#VALUE!</v>
      </c>
      <c r="IL239" s="333" t="e">
        <f>Stock!S43+"'E4!.ha"</f>
        <v>#VALUE!</v>
      </c>
      <c r="IM239" s="333" t="e">
        <f>Stock!T43+"'E4!.hb"</f>
        <v>#VALUE!</v>
      </c>
      <c r="IN239" t="e">
        <f>Stock!U43+"'E4!.hc"</f>
        <v>#VALUE!</v>
      </c>
      <c r="IO239" t="e">
        <f>Stock!V43+"'E4!.hd"</f>
        <v>#VALUE!</v>
      </c>
      <c r="IP239" t="e">
        <f>Stock!W43+"'E4!.he"</f>
        <v>#VALUE!</v>
      </c>
      <c r="IQ239" t="e">
        <f>Stock!X43+"'E4!.hf"</f>
        <v>#VALUE!</v>
      </c>
      <c r="IR239" t="e">
        <f>Stock!Y43+"'E4!.hg"</f>
        <v>#VALUE!</v>
      </c>
      <c r="IS239" t="e">
        <f>Stock!A44+"'E4!.hh"</f>
        <v>#VALUE!</v>
      </c>
      <c r="IT239" t="e">
        <f>Stock!B44+"'E4!.hi"</f>
        <v>#VALUE!</v>
      </c>
      <c r="IU239" t="e">
        <f>Stock!C44+"'E4!.hj"</f>
        <v>#VALUE!</v>
      </c>
      <c r="IV239" t="e">
        <f>Stock!N44+"'E4!.hk"</f>
        <v>#VALUE!</v>
      </c>
    </row>
    <row r="240" spans="6:256">
      <c r="F240" t="e">
        <f>Stock!O44+"'E4!.hl"</f>
        <v>#VALUE!</v>
      </c>
      <c r="G240" t="e">
        <f>Stock!P44+"'E4!.hm"</f>
        <v>#VALUE!</v>
      </c>
      <c r="H240" t="e">
        <f>Stock!Q44+"'E4!.hn"</f>
        <v>#VALUE!</v>
      </c>
      <c r="I240" t="e">
        <f>Stock!R44+"'E4!.ho"</f>
        <v>#VALUE!</v>
      </c>
      <c r="J240" s="333" t="e">
        <f>Stock!S44+"'E4!.hp"</f>
        <v>#VALUE!</v>
      </c>
      <c r="K240" s="333" t="e">
        <f>Stock!T44+"'E4!.hq"</f>
        <v>#VALUE!</v>
      </c>
      <c r="L240" t="e">
        <f>Stock!U44+"'E4!.hr"</f>
        <v>#VALUE!</v>
      </c>
      <c r="M240" t="e">
        <f>Stock!V44+"'E4!.hs"</f>
        <v>#VALUE!</v>
      </c>
      <c r="N240" t="e">
        <f>Stock!W44+"'E4!.ht"</f>
        <v>#VALUE!</v>
      </c>
      <c r="O240" t="e">
        <f>Stock!X44+"'E4!.hu"</f>
        <v>#VALUE!</v>
      </c>
      <c r="P240" t="e">
        <f>Stock!Y44+"'E4!.hv"</f>
        <v>#VALUE!</v>
      </c>
      <c r="Q240" t="e">
        <f>Stock!A45+"'E4!.hw"</f>
        <v>#VALUE!</v>
      </c>
      <c r="R240" t="e">
        <f>Stock!B45+"'E4!.hx"</f>
        <v>#VALUE!</v>
      </c>
      <c r="S240" t="e">
        <f>Stock!C45+"'E4!.hy"</f>
        <v>#VALUE!</v>
      </c>
      <c r="T240" t="e">
        <f>Stock!N45+"'E4!.hz"</f>
        <v>#VALUE!</v>
      </c>
      <c r="U240" t="e">
        <f>Stock!O45+"'E4!.h{"</f>
        <v>#VALUE!</v>
      </c>
      <c r="V240" t="e">
        <f>Stock!P45+"'E4!.h|"</f>
        <v>#VALUE!</v>
      </c>
      <c r="W240" t="e">
        <f>Stock!Q45+"'E4!.h}"</f>
        <v>#VALUE!</v>
      </c>
      <c r="X240" t="e">
        <f>Stock!R45+"'E4!.h~"</f>
        <v>#VALUE!</v>
      </c>
      <c r="Y240" s="333" t="e">
        <f>Stock!S45+"'E4!.i#"</f>
        <v>#VALUE!</v>
      </c>
      <c r="Z240" s="333" t="e">
        <f>Stock!T45+"'E4!.i$"</f>
        <v>#VALUE!</v>
      </c>
      <c r="AA240" t="e">
        <f>Stock!U45+"'E4!.i%"</f>
        <v>#VALUE!</v>
      </c>
      <c r="AB240" t="e">
        <f>Stock!V45+"'E4!.i&amp;"</f>
        <v>#VALUE!</v>
      </c>
      <c r="AC240" t="e">
        <f>Stock!W45+"'E4!.i'"</f>
        <v>#VALUE!</v>
      </c>
      <c r="AD240" t="e">
        <f>Stock!X45+"'E4!.i("</f>
        <v>#VALUE!</v>
      </c>
      <c r="AE240" t="e">
        <f>Stock!Y45+"'E4!.i)"</f>
        <v>#VALUE!</v>
      </c>
      <c r="AF240" t="e">
        <f>Stock!A46+"'E4!.i."</f>
        <v>#VALUE!</v>
      </c>
      <c r="AG240" t="e">
        <f>Stock!B46+"'E4!.i/"</f>
        <v>#VALUE!</v>
      </c>
      <c r="AH240" t="e">
        <f>Stock!C46+"'E4!.i0"</f>
        <v>#VALUE!</v>
      </c>
      <c r="AI240" t="e">
        <f>Stock!N46+"'E4!.i1"</f>
        <v>#VALUE!</v>
      </c>
      <c r="AJ240" t="e">
        <f>Stock!O46+"'E4!.i2"</f>
        <v>#VALUE!</v>
      </c>
      <c r="AK240" t="e">
        <f>Stock!P46+"'E4!.i3"</f>
        <v>#VALUE!</v>
      </c>
      <c r="AL240" t="e">
        <f>Stock!Q46+"'E4!.i4"</f>
        <v>#VALUE!</v>
      </c>
      <c r="AM240" t="e">
        <f>Stock!R46+"'E4!.i5"</f>
        <v>#VALUE!</v>
      </c>
      <c r="AN240" s="333" t="e">
        <f>Stock!S46+"'E4!.i6"</f>
        <v>#VALUE!</v>
      </c>
      <c r="AO240" s="333" t="e">
        <f>Stock!T46+"'E4!.i7"</f>
        <v>#VALUE!</v>
      </c>
      <c r="AP240" t="e">
        <f>Stock!U46+"'E4!.i8"</f>
        <v>#VALUE!</v>
      </c>
      <c r="AQ240" t="e">
        <f>Stock!V46+"'E4!.i9"</f>
        <v>#VALUE!</v>
      </c>
      <c r="AR240" t="e">
        <f>Stock!W46+"'E4!.i:"</f>
        <v>#VALUE!</v>
      </c>
      <c r="AS240" t="e">
        <f>Stock!X46+"'E4!.i;"</f>
        <v>#VALUE!</v>
      </c>
      <c r="AT240" t="e">
        <f>Stock!Y46+"'E4!.i&lt;"</f>
        <v>#VALUE!</v>
      </c>
      <c r="AU240" t="e">
        <f>Stock!A47+"'E4!.i="</f>
        <v>#VALUE!</v>
      </c>
      <c r="AV240" t="e">
        <f>Stock!B47+"'E4!.i&gt;"</f>
        <v>#VALUE!</v>
      </c>
      <c r="AW240" t="e">
        <f>Stock!C47+"'E4!.i?"</f>
        <v>#VALUE!</v>
      </c>
      <c r="AX240" t="e">
        <f>Stock!N47+"'E4!.i@"</f>
        <v>#VALUE!</v>
      </c>
      <c r="AY240" t="e">
        <f>Stock!O47+"'E4!.iA"</f>
        <v>#VALUE!</v>
      </c>
      <c r="AZ240" t="e">
        <f>Stock!P47+"'E4!.iB"</f>
        <v>#VALUE!</v>
      </c>
      <c r="BA240" t="e">
        <f>Stock!Q47+"'E4!.iC"</f>
        <v>#VALUE!</v>
      </c>
      <c r="BB240" t="e">
        <f>Stock!R47+"'E4!.iD"</f>
        <v>#VALUE!</v>
      </c>
      <c r="BC240" s="333" t="e">
        <f>Stock!S47+"'E4!.iE"</f>
        <v>#VALUE!</v>
      </c>
      <c r="BD240" s="333" t="e">
        <f>Stock!T47+"'E4!.iF"</f>
        <v>#VALUE!</v>
      </c>
      <c r="BE240" t="e">
        <f>Stock!U47+"'E4!.iG"</f>
        <v>#VALUE!</v>
      </c>
      <c r="BF240" t="e">
        <f>Stock!V47+"'E4!.iH"</f>
        <v>#VALUE!</v>
      </c>
      <c r="BG240" t="e">
        <f>Stock!W47+"'E4!.iI"</f>
        <v>#VALUE!</v>
      </c>
      <c r="BH240" t="e">
        <f>Stock!X47+"'E4!.iJ"</f>
        <v>#VALUE!</v>
      </c>
      <c r="BI240" t="e">
        <f>Stock!Y47+"'E4!.iK"</f>
        <v>#VALUE!</v>
      </c>
      <c r="BJ240" t="e">
        <f>Stock!A48+"'E4!.iL"</f>
        <v>#VALUE!</v>
      </c>
      <c r="BK240" t="e">
        <f>Stock!B48+"'E4!.iM"</f>
        <v>#VALUE!</v>
      </c>
      <c r="BL240" t="e">
        <f>Stock!C48+"'E4!.iN"</f>
        <v>#VALUE!</v>
      </c>
      <c r="BM240" t="e">
        <f>Stock!N48+"'E4!.iO"</f>
        <v>#VALUE!</v>
      </c>
      <c r="BN240" t="e">
        <f>Stock!O48+"'E4!.iP"</f>
        <v>#VALUE!</v>
      </c>
      <c r="BO240" t="e">
        <f>Stock!P48+"'E4!.iQ"</f>
        <v>#VALUE!</v>
      </c>
      <c r="BP240" t="e">
        <f>Stock!Q48+"'E4!.iR"</f>
        <v>#VALUE!</v>
      </c>
      <c r="BQ240" t="e">
        <f>Stock!R48+"'E4!.iS"</f>
        <v>#VALUE!</v>
      </c>
      <c r="BR240" s="333" t="e">
        <f>Stock!S48+"'E4!.iT"</f>
        <v>#VALUE!</v>
      </c>
      <c r="BS240" s="333" t="e">
        <f>Stock!T48+"'E4!.iU"</f>
        <v>#VALUE!</v>
      </c>
      <c r="BT240" t="e">
        <f>Stock!U48+"'E4!.iV"</f>
        <v>#VALUE!</v>
      </c>
      <c r="BU240" t="e">
        <f>Stock!V48+"'E4!.iW"</f>
        <v>#VALUE!</v>
      </c>
      <c r="BV240" t="e">
        <f>Stock!W48+"'E4!.iX"</f>
        <v>#VALUE!</v>
      </c>
      <c r="BW240" t="e">
        <f>Stock!X48+"'E4!.iY"</f>
        <v>#VALUE!</v>
      </c>
      <c r="BX240" t="e">
        <f>Stock!Y48+"'E4!.iZ"</f>
        <v>#VALUE!</v>
      </c>
      <c r="BY240" t="e">
        <f>Stock!A49+"'E4!.i["</f>
        <v>#VALUE!</v>
      </c>
      <c r="BZ240" t="e">
        <f>Stock!B49+"'E4!.i\"</f>
        <v>#VALUE!</v>
      </c>
      <c r="CA240" t="e">
        <f>Stock!C49+"'E4!.i]"</f>
        <v>#VALUE!</v>
      </c>
      <c r="CB240" t="e">
        <f>Stock!D49+"'E4!.i^"</f>
        <v>#VALUE!</v>
      </c>
      <c r="CC240" t="e">
        <f>Stock!E49+"'E4!.i_"</f>
        <v>#VALUE!</v>
      </c>
      <c r="CD240" t="e">
        <f>Stock!F49+"'E4!.i`"</f>
        <v>#VALUE!</v>
      </c>
      <c r="CE240" t="e">
        <f>Stock!G49+"'E4!.ia"</f>
        <v>#VALUE!</v>
      </c>
      <c r="CF240" t="e">
        <f>Stock!H49+"'E4!.ib"</f>
        <v>#VALUE!</v>
      </c>
      <c r="CG240" t="e">
        <f>Stock!I49+"'E4!.ic"</f>
        <v>#VALUE!</v>
      </c>
      <c r="CH240" t="e">
        <f>Stock!J49+"'E4!.id"</f>
        <v>#VALUE!</v>
      </c>
      <c r="CI240" t="e">
        <f>Stock!K49+"'E4!.ie"</f>
        <v>#VALUE!</v>
      </c>
      <c r="CJ240" t="e">
        <f>Stock!L49+"'E4!.if"</f>
        <v>#VALUE!</v>
      </c>
      <c r="CK240" t="e">
        <f>Stock!N49+"'E4!.ig"</f>
        <v>#VALUE!</v>
      </c>
      <c r="CL240" t="e">
        <f>Stock!O49+"'E4!.ih"</f>
        <v>#VALUE!</v>
      </c>
      <c r="CM240" t="e">
        <f>Stock!P49+"'E4!.ii"</f>
        <v>#VALUE!</v>
      </c>
      <c r="CN240" t="e">
        <f>Stock!Q49+"'E4!.ij"</f>
        <v>#VALUE!</v>
      </c>
      <c r="CO240" t="e">
        <f>Stock!R49+"'E4!.ik"</f>
        <v>#VALUE!</v>
      </c>
      <c r="CP240" s="333" t="e">
        <f>Stock!S49+"'E4!.il"</f>
        <v>#VALUE!</v>
      </c>
      <c r="CQ240" s="333" t="e">
        <f>Stock!T49+"'E4!.im"</f>
        <v>#VALUE!</v>
      </c>
      <c r="CR240" t="e">
        <f>Stock!U49+"'E4!.in"</f>
        <v>#VALUE!</v>
      </c>
      <c r="CS240" t="e">
        <f>Stock!V49+"'E4!.io"</f>
        <v>#VALUE!</v>
      </c>
      <c r="CT240" t="e">
        <f>Stock!W49+"'E4!.ip"</f>
        <v>#VALUE!</v>
      </c>
      <c r="CU240" t="e">
        <f>Stock!X49+"'E4!.iq"</f>
        <v>#VALUE!</v>
      </c>
      <c r="CV240" t="e">
        <f>Stock!Y49+"'E4!.ir"</f>
        <v>#VALUE!</v>
      </c>
      <c r="CW240" t="e">
        <f>Stock!N50+"'E4!.is"</f>
        <v>#VALUE!</v>
      </c>
      <c r="CX240" t="e">
        <f>Stock!O50+"'E4!.it"</f>
        <v>#VALUE!</v>
      </c>
      <c r="CY240" t="e">
        <f>Stock!P50+"'E4!.iu"</f>
        <v>#VALUE!</v>
      </c>
      <c r="CZ240" t="e">
        <f>Stock!Q50+"'E4!.iv"</f>
        <v>#VALUE!</v>
      </c>
      <c r="DA240" t="e">
        <f>Stock!R50+"'E4!.iw"</f>
        <v>#VALUE!</v>
      </c>
      <c r="DB240" s="333" t="e">
        <f>Stock!S50+"'E4!.ix"</f>
        <v>#VALUE!</v>
      </c>
      <c r="DC240" s="333" t="e">
        <f>Stock!T50+"'E4!.iy"</f>
        <v>#VALUE!</v>
      </c>
      <c r="DD240" t="e">
        <f>Stock!U50+"'E4!.iz"</f>
        <v>#VALUE!</v>
      </c>
      <c r="DE240" t="e">
        <f>Stock!V50+"'E4!.i{"</f>
        <v>#VALUE!</v>
      </c>
      <c r="DF240" t="e">
        <f>Stock!W50+"'E4!.i|"</f>
        <v>#VALUE!</v>
      </c>
      <c r="DG240" t="e">
        <f>Stock!X50+"'E4!.i}"</f>
        <v>#VALUE!</v>
      </c>
      <c r="DH240" t="e">
        <f>Stock!Y50+"'E4!.i~"</f>
        <v>#VALUE!</v>
      </c>
      <c r="DI240" t="e">
        <f>Stock!N51+"'E4!.j#"</f>
        <v>#VALUE!</v>
      </c>
      <c r="DJ240" t="e">
        <f>Stock!O51+"'E4!.j$"</f>
        <v>#VALUE!</v>
      </c>
      <c r="DK240" t="e">
        <f>Stock!P51+"'E4!.j%"</f>
        <v>#VALUE!</v>
      </c>
      <c r="DL240" t="e">
        <f>Stock!Q51+"'E4!.j&amp;"</f>
        <v>#VALUE!</v>
      </c>
      <c r="DM240" t="e">
        <f>Stock!R51+"'E4!.j'"</f>
        <v>#VALUE!</v>
      </c>
      <c r="DN240" s="333" t="e">
        <f>Stock!S51+"'E4!.j("</f>
        <v>#VALUE!</v>
      </c>
      <c r="DO240" s="333" t="e">
        <f>Stock!T51+"'E4!.j)"</f>
        <v>#VALUE!</v>
      </c>
      <c r="DP240" t="e">
        <f>Stock!U51+"'E4!.j."</f>
        <v>#VALUE!</v>
      </c>
      <c r="DQ240" t="e">
        <f>Stock!V51+"'E4!.j/"</f>
        <v>#VALUE!</v>
      </c>
      <c r="DR240" t="e">
        <f>Stock!W51+"'E4!.j0"</f>
        <v>#VALUE!</v>
      </c>
      <c r="DS240" t="e">
        <f>Stock!X51+"'E4!.j1"</f>
        <v>#VALUE!</v>
      </c>
      <c r="DT240" t="e">
        <f>Stock!Y51+"'E4!.j2"</f>
        <v>#VALUE!</v>
      </c>
      <c r="DU240" t="e">
        <f>Stock!N52+"'E4!.j3"</f>
        <v>#VALUE!</v>
      </c>
      <c r="DV240" t="e">
        <f>Stock!O52+"'E4!.j4"</f>
        <v>#VALUE!</v>
      </c>
      <c r="DW240" t="e">
        <f>Stock!P52+"'E4!.j5"</f>
        <v>#VALUE!</v>
      </c>
      <c r="DX240" t="e">
        <f>Stock!Q52+"'E4!.j6"</f>
        <v>#VALUE!</v>
      </c>
      <c r="DY240" t="e">
        <f>Stock!R52+"'E4!.j7"</f>
        <v>#VALUE!</v>
      </c>
      <c r="DZ240" s="333" t="e">
        <f>Stock!S52+"'E4!.j8"</f>
        <v>#VALUE!</v>
      </c>
      <c r="EA240" s="333" t="e">
        <f>Stock!T52+"'E4!.j9"</f>
        <v>#VALUE!</v>
      </c>
      <c r="EB240" t="e">
        <f>Stock!U52+"'E4!.j:"</f>
        <v>#VALUE!</v>
      </c>
      <c r="EC240" t="e">
        <f>Stock!V52+"'E4!.j;"</f>
        <v>#VALUE!</v>
      </c>
      <c r="ED240" t="e">
        <f>Stock!W52+"'E4!.j&lt;"</f>
        <v>#VALUE!</v>
      </c>
      <c r="EE240" t="e">
        <f>Stock!X52+"'E4!.j="</f>
        <v>#VALUE!</v>
      </c>
      <c r="EF240" t="e">
        <f>Stock!Y52+"'E4!.j&gt;"</f>
        <v>#VALUE!</v>
      </c>
      <c r="EG240" t="e">
        <f>Stock!N53+"'E4!.j?"</f>
        <v>#VALUE!</v>
      </c>
      <c r="EH240" t="e">
        <f>Stock!O53+"'E4!.j@"</f>
        <v>#VALUE!</v>
      </c>
      <c r="EI240" t="e">
        <f>Stock!P53+"'E4!.jA"</f>
        <v>#VALUE!</v>
      </c>
      <c r="EJ240" t="e">
        <f>Stock!Q53+"'E4!.jB"</f>
        <v>#VALUE!</v>
      </c>
      <c r="EK240" t="e">
        <f>Stock!R53+"'E4!.jC"</f>
        <v>#VALUE!</v>
      </c>
      <c r="EL240" s="333" t="e">
        <f>Stock!S53+"'E4!.jD"</f>
        <v>#VALUE!</v>
      </c>
      <c r="EM240" s="333" t="e">
        <f>Stock!T53+"'E4!.jE"</f>
        <v>#VALUE!</v>
      </c>
      <c r="EN240" t="e">
        <f>Stock!U53+"'E4!.jF"</f>
        <v>#VALUE!</v>
      </c>
      <c r="EO240" t="e">
        <f>Stock!V53+"'E4!.jG"</f>
        <v>#VALUE!</v>
      </c>
      <c r="EP240" t="e">
        <f>Stock!W53+"'E4!.jH"</f>
        <v>#VALUE!</v>
      </c>
      <c r="EQ240" t="e">
        <f>Stock!X53+"'E4!.jI"</f>
        <v>#VALUE!</v>
      </c>
      <c r="ER240" t="e">
        <f>Stock!Y53+"'E4!.jJ"</f>
        <v>#VALUE!</v>
      </c>
      <c r="ES240" t="e">
        <f>Stock!N54+"'E4!.jK"</f>
        <v>#VALUE!</v>
      </c>
      <c r="ET240" t="e">
        <f>Stock!O54+"'E4!.jL"</f>
        <v>#VALUE!</v>
      </c>
      <c r="EU240" t="e">
        <f>Stock!P54+"'E4!.jM"</f>
        <v>#VALUE!</v>
      </c>
      <c r="EV240" t="e">
        <f>Stock!Q54+"'E4!.jN"</f>
        <v>#VALUE!</v>
      </c>
      <c r="EW240" t="e">
        <f>Stock!R54+"'E4!.jO"</f>
        <v>#VALUE!</v>
      </c>
      <c r="EX240" s="333" t="e">
        <f>Stock!S54+"'E4!.jP"</f>
        <v>#VALUE!</v>
      </c>
      <c r="EY240" s="333" t="e">
        <f>Stock!T54+"'E4!.jQ"</f>
        <v>#VALUE!</v>
      </c>
      <c r="EZ240" t="e">
        <f>Stock!U54+"'E4!.jR"</f>
        <v>#VALUE!</v>
      </c>
      <c r="FA240" t="e">
        <f>Stock!V54+"'E4!.jS"</f>
        <v>#VALUE!</v>
      </c>
      <c r="FB240" t="e">
        <f>Stock!W54+"'E4!.jT"</f>
        <v>#VALUE!</v>
      </c>
      <c r="FC240" t="e">
        <f>Stock!X54+"'E4!.jU"</f>
        <v>#VALUE!</v>
      </c>
      <c r="FD240" t="e">
        <f>Stock!Y54+"'E4!.jV"</f>
        <v>#VALUE!</v>
      </c>
      <c r="FE240" t="e">
        <f>Stock!N55+"'E4!.jW"</f>
        <v>#VALUE!</v>
      </c>
      <c r="FF240" t="e">
        <f>Stock!O55+"'E4!.jX"</f>
        <v>#VALUE!</v>
      </c>
      <c r="FG240" t="e">
        <f>Stock!P55+"'E4!.jY"</f>
        <v>#VALUE!</v>
      </c>
      <c r="FH240" t="e">
        <f>Stock!Q55+"'E4!.jZ"</f>
        <v>#VALUE!</v>
      </c>
      <c r="FI240" t="e">
        <f>Stock!R55+"'E4!.j["</f>
        <v>#VALUE!</v>
      </c>
      <c r="FJ240" s="333" t="e">
        <f>Stock!S55+"'E4!.j\"</f>
        <v>#VALUE!</v>
      </c>
      <c r="FK240" s="333" t="e">
        <f>Stock!T55+"'E4!.j]"</f>
        <v>#VALUE!</v>
      </c>
      <c r="FL240" t="e">
        <f>Stock!U55+"'E4!.j^"</f>
        <v>#VALUE!</v>
      </c>
      <c r="FM240" t="e">
        <f>Stock!V55+"'E4!.j_"</f>
        <v>#VALUE!</v>
      </c>
      <c r="FN240" t="e">
        <f>Stock!W55+"'E4!.j`"</f>
        <v>#VALUE!</v>
      </c>
      <c r="FO240" t="e">
        <f>Stock!X55+"'E4!.ja"</f>
        <v>#VALUE!</v>
      </c>
      <c r="FP240" t="e">
        <f>Stock!Y55+"'E4!.jb"</f>
        <v>#VALUE!</v>
      </c>
      <c r="FQ240" t="e">
        <f>Stock!N56+"'E4!.jc"</f>
        <v>#VALUE!</v>
      </c>
      <c r="FR240" t="e">
        <f>Stock!O56+"'E4!.jd"</f>
        <v>#VALUE!</v>
      </c>
      <c r="FS240" t="e">
        <f>Stock!P56+"'E4!.je"</f>
        <v>#VALUE!</v>
      </c>
      <c r="FT240" t="e">
        <f>Stock!Q56+"'E4!.jf"</f>
        <v>#VALUE!</v>
      </c>
      <c r="FU240" t="e">
        <f>Stock!R56+"'E4!.jg"</f>
        <v>#VALUE!</v>
      </c>
      <c r="FV240" s="333" t="e">
        <f>Stock!S56+"'E4!.jh"</f>
        <v>#VALUE!</v>
      </c>
      <c r="FW240" s="333" t="e">
        <f>Stock!T56+"'E4!.ji"</f>
        <v>#VALUE!</v>
      </c>
      <c r="FX240" t="e">
        <f>Stock!U56+"'E4!.jj"</f>
        <v>#VALUE!</v>
      </c>
      <c r="FY240" t="e">
        <f>Stock!V56+"'E4!.jk"</f>
        <v>#VALUE!</v>
      </c>
      <c r="FZ240" t="e">
        <f>Stock!W56+"'E4!.jl"</f>
        <v>#VALUE!</v>
      </c>
      <c r="GA240" t="e">
        <f>Stock!X56+"'E4!.jm"</f>
        <v>#VALUE!</v>
      </c>
      <c r="GB240" t="e">
        <f>Stock!Y56+"'E4!.jn"</f>
        <v>#VALUE!</v>
      </c>
      <c r="GC240" t="e">
        <f>Stock!N57+"'E4!.jo"</f>
        <v>#VALUE!</v>
      </c>
      <c r="GD240" t="e">
        <f>Stock!O57+"'E4!.jp"</f>
        <v>#VALUE!</v>
      </c>
      <c r="GE240" t="e">
        <f>Stock!P57+"'E4!.jq"</f>
        <v>#VALUE!</v>
      </c>
      <c r="GF240" t="e">
        <f>Stock!Q57+"'E4!.jr"</f>
        <v>#VALUE!</v>
      </c>
      <c r="GG240" t="e">
        <f>Stock!R57+"'E4!.js"</f>
        <v>#VALUE!</v>
      </c>
      <c r="GH240" s="333" t="e">
        <f>Stock!S57+"'E4!.jt"</f>
        <v>#VALUE!</v>
      </c>
      <c r="GI240" s="333" t="e">
        <f>Stock!T57+"'E4!.ju"</f>
        <v>#VALUE!</v>
      </c>
      <c r="GJ240" t="e">
        <f>Stock!U57+"'E4!.jv"</f>
        <v>#VALUE!</v>
      </c>
      <c r="GK240" t="e">
        <f>Stock!V57+"'E4!.jw"</f>
        <v>#VALUE!</v>
      </c>
      <c r="GL240" t="e">
        <f>Stock!W57+"'E4!.jx"</f>
        <v>#VALUE!</v>
      </c>
      <c r="GM240" t="e">
        <f>Stock!X57+"'E4!.jy"</f>
        <v>#VALUE!</v>
      </c>
      <c r="GN240" t="e">
        <f>Stock!Y57+"'E4!.jz"</f>
        <v>#VALUE!</v>
      </c>
      <c r="GO240" t="e">
        <f>Stock!N58+"'E4!.j{"</f>
        <v>#VALUE!</v>
      </c>
      <c r="GP240" t="e">
        <f>Stock!O58+"'E4!.j|"</f>
        <v>#VALUE!</v>
      </c>
      <c r="GQ240" t="e">
        <f>Stock!P58+"'E4!.j}"</f>
        <v>#VALUE!</v>
      </c>
      <c r="GR240" t="e">
        <f>Stock!Q58+"'E4!.j~"</f>
        <v>#VALUE!</v>
      </c>
      <c r="GS240" t="e">
        <f>Stock!R58+"'E4!.k#"</f>
        <v>#VALUE!</v>
      </c>
      <c r="GT240" s="333" t="e">
        <f>Stock!S58+"'E4!.k$"</f>
        <v>#VALUE!</v>
      </c>
      <c r="GU240" s="333" t="e">
        <f>Stock!T58+"'E4!.k%"</f>
        <v>#VALUE!</v>
      </c>
      <c r="GV240" t="e">
        <f>Stock!U58+"'E4!.k&amp;"</f>
        <v>#VALUE!</v>
      </c>
      <c r="GW240" t="e">
        <f>Stock!V58+"'E4!.k'"</f>
        <v>#VALUE!</v>
      </c>
      <c r="GX240" t="e">
        <f>Stock!W58+"'E4!.k("</f>
        <v>#VALUE!</v>
      </c>
      <c r="GY240" t="e">
        <f>Stock!X58+"'E4!.k)"</f>
        <v>#VALUE!</v>
      </c>
      <c r="GZ240" t="e">
        <f>Stock!Y58+"'E4!.k."</f>
        <v>#VALUE!</v>
      </c>
      <c r="HA240" t="e">
        <f>Stock!N59+"'E4!.k/"</f>
        <v>#VALUE!</v>
      </c>
      <c r="HB240" t="e">
        <f>Stock!O59+"'E4!.k0"</f>
        <v>#VALUE!</v>
      </c>
      <c r="HC240" t="e">
        <f>Stock!P59+"'E4!.k1"</f>
        <v>#VALUE!</v>
      </c>
      <c r="HD240" t="e">
        <f>Stock!Q59+"'E4!.k2"</f>
        <v>#VALUE!</v>
      </c>
      <c r="HE240" t="e">
        <f>Stock!R59+"'E4!.k3"</f>
        <v>#VALUE!</v>
      </c>
      <c r="HF240" s="333" t="e">
        <f>Stock!S59+"'E4!.k4"</f>
        <v>#VALUE!</v>
      </c>
      <c r="HG240" s="333" t="e">
        <f>Stock!T59+"'E4!.k5"</f>
        <v>#VALUE!</v>
      </c>
      <c r="HH240" t="e">
        <f>Stock!U59+"'E4!.k6"</f>
        <v>#VALUE!</v>
      </c>
      <c r="HI240" t="e">
        <f>Stock!V59+"'E4!.k7"</f>
        <v>#VALUE!</v>
      </c>
      <c r="HJ240" t="e">
        <f>Stock!W59+"'E4!.k8"</f>
        <v>#VALUE!</v>
      </c>
      <c r="HK240" t="e">
        <f>Stock!X59+"'E4!.k9"</f>
        <v>#VALUE!</v>
      </c>
      <c r="HL240" t="e">
        <f>Stock!Y59+"'E4!.k:"</f>
        <v>#VALUE!</v>
      </c>
      <c r="HM240" t="e">
        <f>Stock!N60+"'E4!.k;"</f>
        <v>#VALUE!</v>
      </c>
      <c r="HN240" t="e">
        <f>Stock!O60+"'E4!.k&lt;"</f>
        <v>#VALUE!</v>
      </c>
      <c r="HO240" t="e">
        <f>Stock!P60+"'E4!.k="</f>
        <v>#VALUE!</v>
      </c>
      <c r="HP240" t="e">
        <f>Stock!Q60+"'E4!.k&gt;"</f>
        <v>#VALUE!</v>
      </c>
      <c r="HQ240" t="e">
        <f>Stock!R60+"'E4!.k?"</f>
        <v>#VALUE!</v>
      </c>
      <c r="HR240" s="333" t="e">
        <f>Stock!S60+"'E4!.k@"</f>
        <v>#VALUE!</v>
      </c>
      <c r="HS240" s="333" t="e">
        <f>Stock!T60+"'E4!.kA"</f>
        <v>#VALUE!</v>
      </c>
      <c r="HT240" t="e">
        <f>Stock!U60+"'E4!.kB"</f>
        <v>#VALUE!</v>
      </c>
      <c r="HU240" t="e">
        <f>Stock!V60+"'E4!.kC"</f>
        <v>#VALUE!</v>
      </c>
      <c r="HV240" t="e">
        <f>Stock!W60+"'E4!.kD"</f>
        <v>#VALUE!</v>
      </c>
      <c r="HW240" t="e">
        <f>Stock!X60+"'E4!.kE"</f>
        <v>#VALUE!</v>
      </c>
      <c r="HX240" t="e">
        <f>Stock!Y60+"'E4!.kF"</f>
        <v>#VALUE!</v>
      </c>
      <c r="HY240" t="e">
        <f>Stock!N61+"'E4!.kG"</f>
        <v>#VALUE!</v>
      </c>
      <c r="HZ240" t="e">
        <f>Stock!O61+"'E4!.kH"</f>
        <v>#VALUE!</v>
      </c>
      <c r="IA240" t="e">
        <f>Stock!P61+"'E4!.kI"</f>
        <v>#VALUE!</v>
      </c>
      <c r="IB240" t="e">
        <f>Stock!Q61+"'E4!.kJ"</f>
        <v>#VALUE!</v>
      </c>
      <c r="IC240" t="e">
        <f>Stock!R61+"'E4!.kK"</f>
        <v>#VALUE!</v>
      </c>
      <c r="ID240" s="333" t="e">
        <f>Stock!S61+"'E4!.kL"</f>
        <v>#VALUE!</v>
      </c>
      <c r="IE240" s="333" t="e">
        <f>Stock!T61+"'E4!.kM"</f>
        <v>#VALUE!</v>
      </c>
      <c r="IF240" t="e">
        <f>Stock!U61+"'E4!.kN"</f>
        <v>#VALUE!</v>
      </c>
      <c r="IG240" t="e">
        <f>Stock!V61+"'E4!.kO"</f>
        <v>#VALUE!</v>
      </c>
      <c r="IH240" t="e">
        <f>Stock!W61+"'E4!.kP"</f>
        <v>#VALUE!</v>
      </c>
      <c r="II240" t="e">
        <f>Stock!X61+"'E4!.kQ"</f>
        <v>#VALUE!</v>
      </c>
      <c r="IJ240" t="e">
        <f>Stock!Y61+"'E4!.kR"</f>
        <v>#VALUE!</v>
      </c>
      <c r="IK240" t="e">
        <f>Stock!N62+"'E4!.kS"</f>
        <v>#VALUE!</v>
      </c>
      <c r="IL240" t="e">
        <f>Stock!O62+"'E4!.kT"</f>
        <v>#VALUE!</v>
      </c>
      <c r="IM240" t="e">
        <f>Stock!P62+"'E4!.kU"</f>
        <v>#VALUE!</v>
      </c>
      <c r="IN240" t="e">
        <f>Stock!Q62+"'E4!.kV"</f>
        <v>#VALUE!</v>
      </c>
      <c r="IO240" t="e">
        <f>Stock!R62+"'E4!.kW"</f>
        <v>#VALUE!</v>
      </c>
      <c r="IP240" s="333" t="e">
        <f>Stock!S62+"'E4!.kX"</f>
        <v>#VALUE!</v>
      </c>
      <c r="IQ240" s="333" t="e">
        <f>Stock!T62+"'E4!.kY"</f>
        <v>#VALUE!</v>
      </c>
      <c r="IR240" t="e">
        <f>Stock!U62+"'E4!.kZ"</f>
        <v>#VALUE!</v>
      </c>
      <c r="IS240" t="e">
        <f>Stock!V62+"'E4!.k["</f>
        <v>#VALUE!</v>
      </c>
      <c r="IT240" t="e">
        <f>Stock!W62+"'E4!.k\"</f>
        <v>#VALUE!</v>
      </c>
      <c r="IU240" t="e">
        <f>Stock!X62+"'E4!.k]"</f>
        <v>#VALUE!</v>
      </c>
      <c r="IV240" t="e">
        <f>Stock!Y62+"'E4!.k^"</f>
        <v>#VALUE!</v>
      </c>
    </row>
    <row r="241" spans="6:256">
      <c r="F241" t="e">
        <f>Stock!N63+"'E4!.k_"</f>
        <v>#VALUE!</v>
      </c>
      <c r="G241" t="e">
        <f>Stock!O63+"'E4!.k`"</f>
        <v>#VALUE!</v>
      </c>
      <c r="H241" t="e">
        <f>Stock!P63+"'E4!.ka"</f>
        <v>#VALUE!</v>
      </c>
      <c r="I241" t="e">
        <f>Stock!Q63+"'E4!.kb"</f>
        <v>#VALUE!</v>
      </c>
      <c r="J241" t="e">
        <f>Stock!R63+"'E4!.kc"</f>
        <v>#VALUE!</v>
      </c>
      <c r="K241" s="333" t="e">
        <f>Stock!S63+"'E4!.kd"</f>
        <v>#VALUE!</v>
      </c>
      <c r="L241" s="333" t="e">
        <f>Stock!T63+"'E4!.ke"</f>
        <v>#VALUE!</v>
      </c>
      <c r="M241" t="e">
        <f>Stock!U63+"'E4!.kf"</f>
        <v>#VALUE!</v>
      </c>
      <c r="N241" t="e">
        <f>Stock!V63+"'E4!.kg"</f>
        <v>#VALUE!</v>
      </c>
      <c r="O241" t="e">
        <f>Stock!W63+"'E4!.kh"</f>
        <v>#VALUE!</v>
      </c>
      <c r="P241" t="e">
        <f>Stock!X63+"'E4!.ki"</f>
        <v>#VALUE!</v>
      </c>
      <c r="Q241" t="e">
        <f>Stock!Y63+"'E4!.kj"</f>
        <v>#VALUE!</v>
      </c>
      <c r="R241" t="e">
        <f>Stock!N64+"'E4!.kk"</f>
        <v>#VALUE!</v>
      </c>
      <c r="S241" t="e">
        <f>Stock!O64+"'E4!.kl"</f>
        <v>#VALUE!</v>
      </c>
      <c r="T241" t="e">
        <f>Stock!P64+"'E4!.km"</f>
        <v>#VALUE!</v>
      </c>
      <c r="U241" t="e">
        <f>Stock!Q64+"'E4!.kn"</f>
        <v>#VALUE!</v>
      </c>
      <c r="V241" t="e">
        <f>Stock!R64+"'E4!.ko"</f>
        <v>#VALUE!</v>
      </c>
      <c r="W241" s="333" t="e">
        <f>Stock!S64+"'E4!.kp"</f>
        <v>#VALUE!</v>
      </c>
      <c r="X241" s="333" t="e">
        <f>Stock!T64+"'E4!.kq"</f>
        <v>#VALUE!</v>
      </c>
      <c r="Y241" t="e">
        <f>Stock!U64+"'E4!.kr"</f>
        <v>#VALUE!</v>
      </c>
      <c r="Z241" t="e">
        <f>Stock!V64+"'E4!.ks"</f>
        <v>#VALUE!</v>
      </c>
      <c r="AA241" t="e">
        <f>Stock!W64+"'E4!.kt"</f>
        <v>#VALUE!</v>
      </c>
      <c r="AB241" t="e">
        <f>Stock!X64+"'E4!.ku"</f>
        <v>#VALUE!</v>
      </c>
      <c r="AC241" t="e">
        <f>Stock!Y64+"'E4!.kv"</f>
        <v>#VALUE!</v>
      </c>
      <c r="AD241" t="e">
        <f>Stock!N65+"'E4!.kw"</f>
        <v>#VALUE!</v>
      </c>
      <c r="AE241" t="e">
        <f>Stock!O65+"'E4!.kx"</f>
        <v>#VALUE!</v>
      </c>
      <c r="AF241" t="e">
        <f>Stock!P65+"'E4!.ky"</f>
        <v>#VALUE!</v>
      </c>
      <c r="AG241" t="e">
        <f>Stock!Q65+"'E4!.kz"</f>
        <v>#VALUE!</v>
      </c>
      <c r="AH241" t="e">
        <f>Stock!R65+"'E4!.k{"</f>
        <v>#VALUE!</v>
      </c>
      <c r="AI241" s="333" t="e">
        <f>Stock!S65+"'E4!.k|"</f>
        <v>#VALUE!</v>
      </c>
      <c r="AJ241" s="333" t="e">
        <f>Stock!T65+"'E4!.k}"</f>
        <v>#VALUE!</v>
      </c>
      <c r="AK241" t="e">
        <f>Stock!U65+"'E4!.k~"</f>
        <v>#VALUE!</v>
      </c>
      <c r="AL241" t="e">
        <f>Stock!V65+"'E4!.l#"</f>
        <v>#VALUE!</v>
      </c>
      <c r="AM241" t="e">
        <f>Stock!W65+"'E4!.l$"</f>
        <v>#VALUE!</v>
      </c>
      <c r="AN241" t="e">
        <f>Stock!X65+"'E4!.l%"</f>
        <v>#VALUE!</v>
      </c>
      <c r="AO241" t="e">
        <f>Stock!Y65+"'E4!.l&amp;"</f>
        <v>#VALUE!</v>
      </c>
      <c r="AP241" t="e">
        <f>Stock!N66+"'E4!.l'"</f>
        <v>#VALUE!</v>
      </c>
      <c r="AQ241" t="e">
        <f>Stock!O66+"'E4!.l("</f>
        <v>#VALUE!</v>
      </c>
      <c r="AR241" t="e">
        <f>Stock!P66+"'E4!.l)"</f>
        <v>#VALUE!</v>
      </c>
      <c r="AS241" t="e">
        <f>Stock!Q66+"'E4!.l."</f>
        <v>#VALUE!</v>
      </c>
      <c r="AT241" t="e">
        <f>Stock!R66+"'E4!.l/"</f>
        <v>#VALUE!</v>
      </c>
      <c r="AU241" s="333" t="e">
        <f>Stock!S66+"'E4!.l0"</f>
        <v>#VALUE!</v>
      </c>
      <c r="AV241" s="333" t="e">
        <f>Stock!T66+"'E4!.l1"</f>
        <v>#VALUE!</v>
      </c>
      <c r="AW241" t="e">
        <f>Stock!U66+"'E4!.l2"</f>
        <v>#VALUE!</v>
      </c>
      <c r="AX241" t="e">
        <f>Stock!V66+"'E4!.l3"</f>
        <v>#VALUE!</v>
      </c>
      <c r="AY241" t="e">
        <f>Stock!W66+"'E4!.l4"</f>
        <v>#VALUE!</v>
      </c>
      <c r="AZ241" t="e">
        <f>Stock!X66+"'E4!.l5"</f>
        <v>#VALUE!</v>
      </c>
      <c r="BA241" t="e">
        <f>Stock!Y66+"'E4!.l6"</f>
        <v>#VALUE!</v>
      </c>
      <c r="BB241" t="e">
        <f>Stock!N67+"'E4!.l7"</f>
        <v>#VALUE!</v>
      </c>
      <c r="BC241" t="e">
        <f>Stock!O67+"'E4!.l8"</f>
        <v>#VALUE!</v>
      </c>
      <c r="BD241" t="e">
        <f>Stock!P67+"'E4!.l9"</f>
        <v>#VALUE!</v>
      </c>
      <c r="BE241" t="e">
        <f>Stock!Q67+"'E4!.l:"</f>
        <v>#VALUE!</v>
      </c>
      <c r="BF241" t="e">
        <f>Stock!R67+"'E4!.l;"</f>
        <v>#VALUE!</v>
      </c>
      <c r="BG241" s="333" t="e">
        <f>Stock!S67+"'E4!.l&lt;"</f>
        <v>#VALUE!</v>
      </c>
      <c r="BH241" s="333" t="e">
        <f>Stock!T67+"'E4!.l="</f>
        <v>#VALUE!</v>
      </c>
      <c r="BI241" t="e">
        <f>Stock!U67+"'E4!.l&gt;"</f>
        <v>#VALUE!</v>
      </c>
      <c r="BJ241" t="e">
        <f>Stock!V67+"'E4!.l?"</f>
        <v>#VALUE!</v>
      </c>
      <c r="BK241" t="e">
        <f>Stock!W67+"'E4!.l@"</f>
        <v>#VALUE!</v>
      </c>
      <c r="BL241" t="e">
        <f>Stock!X67+"'E4!.lA"</f>
        <v>#VALUE!</v>
      </c>
      <c r="BM241" t="e">
        <f>Stock!Y67+"'E4!.lB"</f>
        <v>#VALUE!</v>
      </c>
      <c r="BN241" t="e">
        <f>Stock!N68+"'E4!.lC"</f>
        <v>#VALUE!</v>
      </c>
      <c r="BO241" t="e">
        <f>Stock!O68+"'E4!.lD"</f>
        <v>#VALUE!</v>
      </c>
      <c r="BP241" t="e">
        <f>Stock!P68+"'E4!.lE"</f>
        <v>#VALUE!</v>
      </c>
      <c r="BQ241" t="e">
        <f>Stock!Q68+"'E4!.lF"</f>
        <v>#VALUE!</v>
      </c>
      <c r="BR241" t="e">
        <f>Stock!R68+"'E4!.lG"</f>
        <v>#VALUE!</v>
      </c>
      <c r="BS241" s="333" t="e">
        <f>Stock!S68+"'E4!.lH"</f>
        <v>#VALUE!</v>
      </c>
      <c r="BT241" s="333" t="e">
        <f>Stock!T68+"'E4!.lI"</f>
        <v>#VALUE!</v>
      </c>
      <c r="BU241" t="e">
        <f>Stock!U68+"'E4!.lJ"</f>
        <v>#VALUE!</v>
      </c>
      <c r="BV241" t="e">
        <f>Stock!V68+"'E4!.lK"</f>
        <v>#VALUE!</v>
      </c>
      <c r="BW241" t="e">
        <f>Stock!W68+"'E4!.lL"</f>
        <v>#VALUE!</v>
      </c>
      <c r="BX241" t="e">
        <f>Stock!X68+"'E4!.lM"</f>
        <v>#VALUE!</v>
      </c>
      <c r="BY241" t="e">
        <f>Stock!Y68+"'E4!.lN"</f>
        <v>#VALUE!</v>
      </c>
      <c r="BZ241" t="e">
        <f>Stock!N69+"'E4!.lO"</f>
        <v>#VALUE!</v>
      </c>
      <c r="CA241" t="e">
        <f>Stock!O69+"'E4!.lP"</f>
        <v>#VALUE!</v>
      </c>
      <c r="CB241" t="e">
        <f>Stock!P69+"'E4!.lQ"</f>
        <v>#VALUE!</v>
      </c>
      <c r="CC241" t="e">
        <f>Stock!Q69+"'E4!.lR"</f>
        <v>#VALUE!</v>
      </c>
      <c r="CD241" t="e">
        <f>Stock!R69+"'E4!.lS"</f>
        <v>#VALUE!</v>
      </c>
      <c r="CE241" s="333" t="e">
        <f>Stock!S69+"'E4!.lT"</f>
        <v>#VALUE!</v>
      </c>
      <c r="CF241" s="333" t="e">
        <f>Stock!T69+"'E4!.lU"</f>
        <v>#VALUE!</v>
      </c>
      <c r="CG241" t="e">
        <f>Stock!U69+"'E4!.lV"</f>
        <v>#VALUE!</v>
      </c>
      <c r="CH241" t="e">
        <f>Stock!V69+"'E4!.lW"</f>
        <v>#VALUE!</v>
      </c>
      <c r="CI241" t="e">
        <f>Stock!W69+"'E4!.lX"</f>
        <v>#VALUE!</v>
      </c>
      <c r="CJ241" t="e">
        <f>Stock!X69+"'E4!.lY"</f>
        <v>#VALUE!</v>
      </c>
      <c r="CK241" t="e">
        <f>Stock!Y69+"'E4!.lZ"</f>
        <v>#VALUE!</v>
      </c>
      <c r="CL241" t="e">
        <f>Stock!N70+"'E4!.l["</f>
        <v>#VALUE!</v>
      </c>
      <c r="CM241" t="e">
        <f>Stock!O70+"'E4!.l\"</f>
        <v>#VALUE!</v>
      </c>
      <c r="CN241" t="e">
        <f>Stock!P70+"'E4!.l]"</f>
        <v>#VALUE!</v>
      </c>
      <c r="CO241" t="e">
        <f>Stock!Q70+"'E4!.l^"</f>
        <v>#VALUE!</v>
      </c>
      <c r="CP241" t="e">
        <f>Stock!R70+"'E4!.l_"</f>
        <v>#VALUE!</v>
      </c>
      <c r="CQ241" s="333" t="e">
        <f>Stock!S70+"'E4!.l`"</f>
        <v>#VALUE!</v>
      </c>
      <c r="CR241" s="333" t="e">
        <f>Stock!T70+"'E4!.la"</f>
        <v>#VALUE!</v>
      </c>
      <c r="CS241" t="e">
        <f>Stock!U70+"'E4!.lb"</f>
        <v>#VALUE!</v>
      </c>
      <c r="CT241" t="e">
        <f>Stock!V70+"'E4!.lc"</f>
        <v>#VALUE!</v>
      </c>
      <c r="CU241" t="e">
        <f>Stock!W70+"'E4!.ld"</f>
        <v>#VALUE!</v>
      </c>
      <c r="CV241" t="e">
        <f>Stock!X70+"'E4!.le"</f>
        <v>#VALUE!</v>
      </c>
      <c r="CW241" t="e">
        <f>Stock!Y70+"'E4!.lf"</f>
        <v>#VALUE!</v>
      </c>
      <c r="CX241" t="e">
        <f>Stock!N71+"'E4!.lg"</f>
        <v>#VALUE!</v>
      </c>
      <c r="CY241" t="e">
        <f>Stock!O71+"'E4!.lh"</f>
        <v>#VALUE!</v>
      </c>
      <c r="CZ241" t="e">
        <f>Stock!P71+"'E4!.li"</f>
        <v>#VALUE!</v>
      </c>
      <c r="DA241" t="e">
        <f>Stock!Q71+"'E4!.lj"</f>
        <v>#VALUE!</v>
      </c>
      <c r="DB241" t="e">
        <f>Stock!R71+"'E4!.lk"</f>
        <v>#VALUE!</v>
      </c>
      <c r="DC241" s="333" t="e">
        <f>Stock!S71+"'E4!.ll"</f>
        <v>#VALUE!</v>
      </c>
      <c r="DD241" s="333" t="e">
        <f>Stock!T71+"'E4!.lm"</f>
        <v>#VALUE!</v>
      </c>
      <c r="DE241" t="e">
        <f>Stock!U71+"'E4!.ln"</f>
        <v>#VALUE!</v>
      </c>
      <c r="DF241" t="e">
        <f>Stock!V71+"'E4!.lo"</f>
        <v>#VALUE!</v>
      </c>
      <c r="DG241" t="e">
        <f>Stock!W71+"'E4!.lp"</f>
        <v>#VALUE!</v>
      </c>
      <c r="DH241" t="e">
        <f>Stock!X71+"'E4!.lq"</f>
        <v>#VALUE!</v>
      </c>
      <c r="DI241" t="e">
        <f>Stock!Y71+"'E4!.lr"</f>
        <v>#VALUE!</v>
      </c>
      <c r="DJ241" t="e">
        <f>Stock!N72+"'E4!.ls"</f>
        <v>#VALUE!</v>
      </c>
      <c r="DK241" t="e">
        <f>Stock!O72+"'E4!.lt"</f>
        <v>#VALUE!</v>
      </c>
      <c r="DL241" t="e">
        <f>Stock!P72+"'E4!.lu"</f>
        <v>#VALUE!</v>
      </c>
      <c r="DM241" t="e">
        <f>Stock!Q72+"'E4!.lv"</f>
        <v>#VALUE!</v>
      </c>
      <c r="DN241" t="e">
        <f>Stock!R72+"'E4!.lw"</f>
        <v>#VALUE!</v>
      </c>
      <c r="DO241" s="333" t="e">
        <f>Stock!S72+"'E4!.lx"</f>
        <v>#VALUE!</v>
      </c>
      <c r="DP241" s="333" t="e">
        <f>Stock!T72+"'E4!.ly"</f>
        <v>#VALUE!</v>
      </c>
      <c r="DQ241" t="e">
        <f>Stock!U72+"'E4!.lz"</f>
        <v>#VALUE!</v>
      </c>
      <c r="DR241" t="e">
        <f>Stock!V72+"'E4!.l{"</f>
        <v>#VALUE!</v>
      </c>
      <c r="DS241" t="e">
        <f>Stock!W72+"'E4!.l|"</f>
        <v>#VALUE!</v>
      </c>
      <c r="DT241" t="e">
        <f>Stock!X72+"'E4!.l}"</f>
        <v>#VALUE!</v>
      </c>
      <c r="DU241" t="e">
        <f>Stock!Y72+"'E4!.l~"</f>
        <v>#VALUE!</v>
      </c>
      <c r="DV241" t="e">
        <f>Stock!N73+"'E4!.m#"</f>
        <v>#VALUE!</v>
      </c>
      <c r="DW241" t="e">
        <f>Stock!O73+"'E4!.m$"</f>
        <v>#VALUE!</v>
      </c>
      <c r="DX241" t="e">
        <f>Stock!P73+"'E4!.m%"</f>
        <v>#VALUE!</v>
      </c>
      <c r="DY241" t="e">
        <f>Stock!Q73+"'E4!.m&amp;"</f>
        <v>#VALUE!</v>
      </c>
      <c r="DZ241" t="e">
        <f>Stock!R73+"'E4!.m'"</f>
        <v>#VALUE!</v>
      </c>
      <c r="EA241" s="333" t="e">
        <f>Stock!S73+"'E4!.m("</f>
        <v>#VALUE!</v>
      </c>
      <c r="EB241" s="333" t="e">
        <f>Stock!T73+"'E4!.m)"</f>
        <v>#VALUE!</v>
      </c>
      <c r="EC241" t="e">
        <f>Stock!U73+"'E4!.m."</f>
        <v>#VALUE!</v>
      </c>
      <c r="ED241" t="e">
        <f>Stock!V73+"'E4!.m/"</f>
        <v>#VALUE!</v>
      </c>
      <c r="EE241" t="e">
        <f>Stock!W73+"'E4!.m0"</f>
        <v>#VALUE!</v>
      </c>
      <c r="EF241" t="e">
        <f>Stock!X73+"'E4!.m1"</f>
        <v>#VALUE!</v>
      </c>
      <c r="EG241" t="e">
        <f>Stock!Y73+"'E4!.m2"</f>
        <v>#VALUE!</v>
      </c>
      <c r="EH241" t="e">
        <f>Stock!N74+"'E4!.m3"</f>
        <v>#VALUE!</v>
      </c>
      <c r="EI241" t="e">
        <f>Stock!O74+"'E4!.m4"</f>
        <v>#VALUE!</v>
      </c>
      <c r="EJ241" t="e">
        <f>Stock!P74+"'E4!.m5"</f>
        <v>#VALUE!</v>
      </c>
      <c r="EK241" t="e">
        <f>Stock!Q74+"'E4!.m6"</f>
        <v>#VALUE!</v>
      </c>
      <c r="EL241" t="e">
        <f>Stock!R74+"'E4!.m7"</f>
        <v>#VALUE!</v>
      </c>
      <c r="EM241" s="333" t="e">
        <f>Stock!S74+"'E4!.m8"</f>
        <v>#VALUE!</v>
      </c>
      <c r="EN241" s="333" t="e">
        <f>Stock!T74+"'E4!.m9"</f>
        <v>#VALUE!</v>
      </c>
      <c r="EO241" t="e">
        <f>Stock!U74+"'E4!.m:"</f>
        <v>#VALUE!</v>
      </c>
      <c r="EP241" t="e">
        <f>Stock!V74+"'E4!.m;"</f>
        <v>#VALUE!</v>
      </c>
      <c r="EQ241" t="e">
        <f>Stock!W74+"'E4!.m&lt;"</f>
        <v>#VALUE!</v>
      </c>
      <c r="ER241" t="e">
        <f>Stock!X74+"'E4!.m="</f>
        <v>#VALUE!</v>
      </c>
      <c r="ES241" t="e">
        <f>Stock!Y74+"'E4!.m&gt;"</f>
        <v>#VALUE!</v>
      </c>
      <c r="ET241" t="e">
        <f>Stock!N75+"'E4!.m?"</f>
        <v>#VALUE!</v>
      </c>
      <c r="EU241" t="e">
        <f>Stock!O75+"'E4!.m@"</f>
        <v>#VALUE!</v>
      </c>
      <c r="EV241" t="e">
        <f>Stock!P75+"'E4!.mA"</f>
        <v>#VALUE!</v>
      </c>
      <c r="EW241" t="e">
        <f>Stock!Q75+"'E4!.mB"</f>
        <v>#VALUE!</v>
      </c>
      <c r="EX241" t="e">
        <f>Stock!R75+"'E4!.mC"</f>
        <v>#VALUE!</v>
      </c>
      <c r="EY241" s="333" t="e">
        <f>Stock!S75+"'E4!.mD"</f>
        <v>#VALUE!</v>
      </c>
      <c r="EZ241" s="333" t="e">
        <f>Stock!T75+"'E4!.mE"</f>
        <v>#VALUE!</v>
      </c>
      <c r="FA241" t="e">
        <f>Stock!U75+"'E4!.mF"</f>
        <v>#VALUE!</v>
      </c>
      <c r="FB241" t="e">
        <f>Stock!V75+"'E4!.mG"</f>
        <v>#VALUE!</v>
      </c>
      <c r="FC241" t="e">
        <f>Stock!W75+"'E4!.mH"</f>
        <v>#VALUE!</v>
      </c>
      <c r="FD241" t="e">
        <f>Stock!X75+"'E4!.mI"</f>
        <v>#VALUE!</v>
      </c>
      <c r="FE241" t="e">
        <f>Stock!Y75+"'E4!.mJ"</f>
        <v>#VALUE!</v>
      </c>
      <c r="FF241" t="e">
        <f>Stock!N76+"'E4!.mK"</f>
        <v>#VALUE!</v>
      </c>
      <c r="FG241" t="e">
        <f>Stock!O76+"'E4!.mL"</f>
        <v>#VALUE!</v>
      </c>
      <c r="FH241" t="e">
        <f>Stock!P76+"'E4!.mM"</f>
        <v>#VALUE!</v>
      </c>
      <c r="FI241" t="e">
        <f>Stock!Q76+"'E4!.mN"</f>
        <v>#VALUE!</v>
      </c>
      <c r="FJ241" t="e">
        <f>Stock!R76+"'E4!.mO"</f>
        <v>#VALUE!</v>
      </c>
      <c r="FK241" s="333" t="e">
        <f>Stock!S76+"'E4!.mP"</f>
        <v>#VALUE!</v>
      </c>
      <c r="FL241" s="333" t="e">
        <f>Stock!T76+"'E4!.mQ"</f>
        <v>#VALUE!</v>
      </c>
      <c r="FM241" t="e">
        <f>Stock!U76+"'E4!.mR"</f>
        <v>#VALUE!</v>
      </c>
      <c r="FN241" t="e">
        <f>Stock!V76+"'E4!.mS"</f>
        <v>#VALUE!</v>
      </c>
      <c r="FO241" t="e">
        <f>Stock!W76+"'E4!.mT"</f>
        <v>#VALUE!</v>
      </c>
      <c r="FP241" t="e">
        <f>Stock!X76+"'E4!.mU"</f>
        <v>#VALUE!</v>
      </c>
      <c r="FQ241" t="e">
        <f>Stock!Y76+"'E4!.mV"</f>
        <v>#VALUE!</v>
      </c>
      <c r="FR241" t="e">
        <f>Stock!N77+"'E4!.mW"</f>
        <v>#VALUE!</v>
      </c>
      <c r="FS241" t="e">
        <f>Stock!O77+"'E4!.mX"</f>
        <v>#VALUE!</v>
      </c>
      <c r="FT241" t="e">
        <f>Stock!P77+"'E4!.mY"</f>
        <v>#VALUE!</v>
      </c>
      <c r="FU241" t="e">
        <f>Stock!Q77+"'E4!.mZ"</f>
        <v>#VALUE!</v>
      </c>
      <c r="FV241" t="e">
        <f>Stock!R77+"'E4!.m["</f>
        <v>#VALUE!</v>
      </c>
      <c r="FW241" s="333" t="e">
        <f>Stock!S77+"'E4!.m\"</f>
        <v>#VALUE!</v>
      </c>
      <c r="FX241" s="333" t="e">
        <f>Stock!T77+"'E4!.m]"</f>
        <v>#VALUE!</v>
      </c>
      <c r="FY241" t="e">
        <f>Stock!U77+"'E4!.m^"</f>
        <v>#VALUE!</v>
      </c>
      <c r="FZ241" t="e">
        <f>Stock!V77+"'E4!.m_"</f>
        <v>#VALUE!</v>
      </c>
      <c r="GA241" t="e">
        <f>Stock!W77+"'E4!.m`"</f>
        <v>#VALUE!</v>
      </c>
      <c r="GB241" t="e">
        <f>Stock!X77+"'E4!.ma"</f>
        <v>#VALUE!</v>
      </c>
      <c r="GC241" t="e">
        <f>Stock!Y77+"'E4!.mb"</f>
        <v>#VALUE!</v>
      </c>
      <c r="GD241" t="e">
        <f>Stock!N78+"'E4!.mc"</f>
        <v>#VALUE!</v>
      </c>
      <c r="GE241" t="e">
        <f>Stock!O78+"'E4!.md"</f>
        <v>#VALUE!</v>
      </c>
      <c r="GF241" t="e">
        <f>Stock!P78+"'E4!.me"</f>
        <v>#VALUE!</v>
      </c>
      <c r="GG241" t="e">
        <f>Stock!Q78+"'E4!.mf"</f>
        <v>#VALUE!</v>
      </c>
      <c r="GH241" t="e">
        <f>Stock!R78+"'E4!.mg"</f>
        <v>#VALUE!</v>
      </c>
      <c r="GI241" s="333" t="e">
        <f>Stock!S78+"'E4!.mh"</f>
        <v>#VALUE!</v>
      </c>
      <c r="GJ241" s="333" t="e">
        <f>Stock!T78+"'E4!.mi"</f>
        <v>#VALUE!</v>
      </c>
      <c r="GK241" t="e">
        <f>Stock!U78+"'E4!.mj"</f>
        <v>#VALUE!</v>
      </c>
      <c r="GL241" t="e">
        <f>Stock!V78+"'E4!.mk"</f>
        <v>#VALUE!</v>
      </c>
      <c r="GM241" t="e">
        <f>Stock!W78+"'E4!.ml"</f>
        <v>#VALUE!</v>
      </c>
      <c r="GN241" t="e">
        <f>Stock!X78+"'E4!.mm"</f>
        <v>#VALUE!</v>
      </c>
      <c r="GO241" t="e">
        <f>Stock!Y78+"'E4!.mn"</f>
        <v>#VALUE!</v>
      </c>
      <c r="GP241" t="e">
        <f>Stock!N79+"'E4!.mo"</f>
        <v>#VALUE!</v>
      </c>
      <c r="GQ241" t="e">
        <f>Stock!O79+"'E4!.mp"</f>
        <v>#VALUE!</v>
      </c>
      <c r="GR241" t="e">
        <f>Stock!P79+"'E4!.mq"</f>
        <v>#VALUE!</v>
      </c>
      <c r="GS241" t="e">
        <f>Stock!Q79+"'E4!.mr"</f>
        <v>#VALUE!</v>
      </c>
      <c r="GT241" t="e">
        <f>Stock!R79+"'E4!.ms"</f>
        <v>#VALUE!</v>
      </c>
      <c r="GU241" s="333" t="e">
        <f>Stock!S79+"'E4!.mt"</f>
        <v>#VALUE!</v>
      </c>
      <c r="GV241" s="333" t="e">
        <f>Stock!T79+"'E4!.mu"</f>
        <v>#VALUE!</v>
      </c>
      <c r="GW241" t="e">
        <f>Stock!U79+"'E4!.mv"</f>
        <v>#VALUE!</v>
      </c>
      <c r="GX241" t="e">
        <f>Stock!V79+"'E4!.mw"</f>
        <v>#VALUE!</v>
      </c>
      <c r="GY241" t="e">
        <f>Stock!W79+"'E4!.mx"</f>
        <v>#VALUE!</v>
      </c>
      <c r="GZ241" t="e">
        <f>Stock!X79+"'E4!.my"</f>
        <v>#VALUE!</v>
      </c>
      <c r="HA241" t="e">
        <f>Stock!Y79+"'E4!.mz"</f>
        <v>#VALUE!</v>
      </c>
      <c r="HB241" t="e">
        <f>Stock!N80+"'E4!.m{"</f>
        <v>#VALUE!</v>
      </c>
      <c r="HC241" t="e">
        <f>Stock!O80+"'E4!.m|"</f>
        <v>#VALUE!</v>
      </c>
      <c r="HD241" t="e">
        <f>Stock!P80+"'E4!.m}"</f>
        <v>#VALUE!</v>
      </c>
      <c r="HE241" t="e">
        <f>Stock!Q80+"'E4!.m~"</f>
        <v>#VALUE!</v>
      </c>
      <c r="HF241" t="e">
        <f>Stock!R80+"'E4!.n#"</f>
        <v>#VALUE!</v>
      </c>
      <c r="HG241" s="333" t="e">
        <f>Stock!S80+"'E4!.n$"</f>
        <v>#VALUE!</v>
      </c>
      <c r="HH241" s="333" t="e">
        <f>Stock!T80+"'E4!.n%"</f>
        <v>#VALUE!</v>
      </c>
      <c r="HI241" t="e">
        <f>Stock!U80+"'E4!.n&amp;"</f>
        <v>#VALUE!</v>
      </c>
      <c r="HJ241" t="e">
        <f>Stock!V80+"'E4!.n'"</f>
        <v>#VALUE!</v>
      </c>
      <c r="HK241" t="e">
        <f>Stock!W80+"'E4!.n("</f>
        <v>#VALUE!</v>
      </c>
      <c r="HL241" t="e">
        <f>Stock!X80+"'E4!.n)"</f>
        <v>#VALUE!</v>
      </c>
      <c r="HM241" t="e">
        <f>Stock!Y80+"'E4!.n."</f>
        <v>#VALUE!</v>
      </c>
      <c r="HN241" t="e">
        <f>Stock!N81+"'E4!.n/"</f>
        <v>#VALUE!</v>
      </c>
      <c r="HO241" t="e">
        <f>Stock!O81+"'E4!.n0"</f>
        <v>#VALUE!</v>
      </c>
      <c r="HP241" t="e">
        <f>Stock!P81+"'E4!.n1"</f>
        <v>#VALUE!</v>
      </c>
      <c r="HQ241" t="e">
        <f>Stock!Q81+"'E4!.n2"</f>
        <v>#VALUE!</v>
      </c>
      <c r="HR241" t="e">
        <f>Stock!R81+"'E4!.n3"</f>
        <v>#VALUE!</v>
      </c>
      <c r="HS241" s="333" t="e">
        <f>Stock!S81+"'E4!.n4"</f>
        <v>#VALUE!</v>
      </c>
      <c r="HT241" s="333" t="e">
        <f>Stock!T81+"'E4!.n5"</f>
        <v>#VALUE!</v>
      </c>
      <c r="HU241" t="e">
        <f>Stock!U81+"'E4!.n6"</f>
        <v>#VALUE!</v>
      </c>
      <c r="HV241" t="e">
        <f>Stock!V81+"'E4!.n7"</f>
        <v>#VALUE!</v>
      </c>
      <c r="HW241" t="e">
        <f>Stock!W81+"'E4!.n8"</f>
        <v>#VALUE!</v>
      </c>
      <c r="HX241" t="e">
        <f>Stock!X81+"'E4!.n9"</f>
        <v>#VALUE!</v>
      </c>
      <c r="HY241" t="e">
        <f>Stock!Y81+"'E4!.n:"</f>
        <v>#VALUE!</v>
      </c>
      <c r="HZ241" t="e">
        <f>Stock!N82+"'E4!.n;"</f>
        <v>#VALUE!</v>
      </c>
      <c r="IA241" t="e">
        <f>Stock!O82+"'E4!.n&lt;"</f>
        <v>#VALUE!</v>
      </c>
      <c r="IB241" t="e">
        <f>Stock!P82+"'E4!.n="</f>
        <v>#VALUE!</v>
      </c>
      <c r="IC241" t="e">
        <f>Stock!Q82+"'E4!.n&gt;"</f>
        <v>#VALUE!</v>
      </c>
      <c r="ID241" t="e">
        <f>Stock!R82+"'E4!.n?"</f>
        <v>#VALUE!</v>
      </c>
      <c r="IE241" s="333" t="e">
        <f>Stock!S82+"'E4!.n@"</f>
        <v>#VALUE!</v>
      </c>
      <c r="IF241" s="333" t="e">
        <f>Stock!T82+"'E4!.nA"</f>
        <v>#VALUE!</v>
      </c>
      <c r="IG241" t="e">
        <f>Stock!U82+"'E4!.nB"</f>
        <v>#VALUE!</v>
      </c>
      <c r="IH241" t="e">
        <f>Stock!V82+"'E4!.nC"</f>
        <v>#VALUE!</v>
      </c>
      <c r="II241" t="e">
        <f>Stock!W82+"'E4!.nD"</f>
        <v>#VALUE!</v>
      </c>
      <c r="IJ241" t="e">
        <f>Stock!X82+"'E4!.nE"</f>
        <v>#VALUE!</v>
      </c>
      <c r="IK241" t="e">
        <f>Stock!Y82+"'E4!.nF"</f>
        <v>#VALUE!</v>
      </c>
      <c r="IL241" t="e">
        <f>Stock!N83+"'E4!.nG"</f>
        <v>#VALUE!</v>
      </c>
      <c r="IM241" t="e">
        <f>Stock!O83+"'E4!.nH"</f>
        <v>#VALUE!</v>
      </c>
      <c r="IN241" t="e">
        <f>Stock!P83+"'E4!.nI"</f>
        <v>#VALUE!</v>
      </c>
      <c r="IO241" t="e">
        <f>Stock!Q83+"'E4!.nJ"</f>
        <v>#VALUE!</v>
      </c>
      <c r="IP241" t="e">
        <f>Stock!R83+"'E4!.nK"</f>
        <v>#VALUE!</v>
      </c>
      <c r="IQ241" s="333" t="e">
        <f>Stock!S83+"'E4!.nL"</f>
        <v>#VALUE!</v>
      </c>
      <c r="IR241" s="333" t="e">
        <f>Stock!T83+"'E4!.nM"</f>
        <v>#VALUE!</v>
      </c>
      <c r="IS241" t="e">
        <f>Stock!U83+"'E4!.nN"</f>
        <v>#VALUE!</v>
      </c>
      <c r="IT241" t="e">
        <f>Stock!V83+"'E4!.nO"</f>
        <v>#VALUE!</v>
      </c>
      <c r="IU241" t="e">
        <f>Stock!W83+"'E4!.nP"</f>
        <v>#VALUE!</v>
      </c>
      <c r="IV241" t="e">
        <f>Stock!X83+"'E4!.nQ"</f>
        <v>#VALUE!</v>
      </c>
    </row>
    <row r="242" spans="6:256">
      <c r="F242" t="e">
        <f>Stock!Y83+"'E4!.nR"</f>
        <v>#VALUE!</v>
      </c>
      <c r="G242" t="e">
        <f>Stock!N84+"'E4!.nS"</f>
        <v>#VALUE!</v>
      </c>
      <c r="H242" t="e">
        <f>Stock!O84+"'E4!.nT"</f>
        <v>#VALUE!</v>
      </c>
      <c r="I242" t="e">
        <f>Stock!P84+"'E4!.nU"</f>
        <v>#VALUE!</v>
      </c>
      <c r="J242" t="e">
        <f>Stock!Q84+"'E4!.nV"</f>
        <v>#VALUE!</v>
      </c>
      <c r="K242" t="e">
        <f>Stock!R84+"'E4!.nW"</f>
        <v>#VALUE!</v>
      </c>
      <c r="L242" s="333" t="e">
        <f>Stock!S84+"'E4!.nX"</f>
        <v>#VALUE!</v>
      </c>
      <c r="M242" s="333" t="e">
        <f>Stock!T84+"'E4!.nY"</f>
        <v>#VALUE!</v>
      </c>
      <c r="N242" t="e">
        <f>Stock!U84+"'E4!.nZ"</f>
        <v>#VALUE!</v>
      </c>
      <c r="O242" t="e">
        <f>Stock!V84+"'E4!.n["</f>
        <v>#VALUE!</v>
      </c>
      <c r="P242" t="e">
        <f>Stock!W84+"'E4!.n\"</f>
        <v>#VALUE!</v>
      </c>
      <c r="Q242" t="e">
        <f>Stock!X84+"'E4!.n]"</f>
        <v>#VALUE!</v>
      </c>
      <c r="R242" t="e">
        <f>Stock!Y84+"'E4!.n^"</f>
        <v>#VALUE!</v>
      </c>
      <c r="S242" t="e">
        <f>Stock!N85+"'E4!.n_"</f>
        <v>#VALUE!</v>
      </c>
      <c r="T242" t="e">
        <f>Stock!O85+"'E4!.n`"</f>
        <v>#VALUE!</v>
      </c>
      <c r="U242" t="e">
        <f>Stock!P85+"'E4!.na"</f>
        <v>#VALUE!</v>
      </c>
      <c r="V242" t="e">
        <f>Stock!Q85+"'E4!.nb"</f>
        <v>#VALUE!</v>
      </c>
      <c r="W242" t="e">
        <f>Stock!R85+"'E4!.nc"</f>
        <v>#VALUE!</v>
      </c>
      <c r="X242" s="333" t="e">
        <f>Stock!S85+"'E4!.nd"</f>
        <v>#VALUE!</v>
      </c>
      <c r="Y242" s="333" t="e">
        <f>Stock!T85+"'E4!.ne"</f>
        <v>#VALUE!</v>
      </c>
      <c r="Z242" t="e">
        <f>Stock!U85+"'E4!.nf"</f>
        <v>#VALUE!</v>
      </c>
      <c r="AA242" t="e">
        <f>Stock!V85+"'E4!.ng"</f>
        <v>#VALUE!</v>
      </c>
      <c r="AB242" t="e">
        <f>Stock!W85+"'E4!.nh"</f>
        <v>#VALUE!</v>
      </c>
      <c r="AC242" t="e">
        <f>Stock!X85+"'E4!.ni"</f>
        <v>#VALUE!</v>
      </c>
      <c r="AD242" t="e">
        <f>Stock!Y85+"'E4!.nj"</f>
        <v>#VALUE!</v>
      </c>
      <c r="AE242" t="e">
        <f>Stock!N86+"'E4!.nk"</f>
        <v>#VALUE!</v>
      </c>
      <c r="AF242" t="e">
        <f>Stock!O86+"'E4!.nl"</f>
        <v>#VALUE!</v>
      </c>
      <c r="AG242" t="e">
        <f>Stock!P86+"'E4!.nm"</f>
        <v>#VALUE!</v>
      </c>
      <c r="AH242" t="e">
        <f>Stock!Q86+"'E4!.nn"</f>
        <v>#VALUE!</v>
      </c>
      <c r="AI242" t="e">
        <f>Stock!R86+"'E4!.no"</f>
        <v>#VALUE!</v>
      </c>
      <c r="AJ242" s="333" t="e">
        <f>Stock!S86+"'E4!.np"</f>
        <v>#VALUE!</v>
      </c>
      <c r="AK242" s="333" t="e">
        <f>Stock!T86+"'E4!.nq"</f>
        <v>#VALUE!</v>
      </c>
      <c r="AL242" t="e">
        <f>Stock!U86+"'E4!.nr"</f>
        <v>#VALUE!</v>
      </c>
      <c r="AM242" t="e">
        <f>Stock!V86+"'E4!.ns"</f>
        <v>#VALUE!</v>
      </c>
      <c r="AN242" t="e">
        <f>Stock!W86+"'E4!.nt"</f>
        <v>#VALUE!</v>
      </c>
      <c r="AO242" t="e">
        <f>Stock!X86+"'E4!.nu"</f>
        <v>#VALUE!</v>
      </c>
      <c r="AP242" t="e">
        <f>Stock!Y86+"'E4!.nv"</f>
        <v>#VALUE!</v>
      </c>
      <c r="AQ242" t="e">
        <f>Stock!N87+"'E4!.nw"</f>
        <v>#VALUE!</v>
      </c>
      <c r="AR242" t="e">
        <f>Stock!O87+"'E4!.nx"</f>
        <v>#VALUE!</v>
      </c>
      <c r="AS242" t="e">
        <f>Stock!P87+"'E4!.ny"</f>
        <v>#VALUE!</v>
      </c>
      <c r="AT242" t="e">
        <f>Stock!Q87+"'E4!.nz"</f>
        <v>#VALUE!</v>
      </c>
      <c r="AU242" t="e">
        <f>Stock!R87+"'E4!.n{"</f>
        <v>#VALUE!</v>
      </c>
      <c r="AV242" s="333" t="e">
        <f>Stock!S87+"'E4!.n|"</f>
        <v>#VALUE!</v>
      </c>
      <c r="AW242" s="333" t="e">
        <f>Stock!T87+"'E4!.n}"</f>
        <v>#VALUE!</v>
      </c>
      <c r="AX242" t="e">
        <f>Stock!U87+"'E4!.n~"</f>
        <v>#VALUE!</v>
      </c>
      <c r="AY242" t="e">
        <f>Stock!V87+"'E4!.o#"</f>
        <v>#VALUE!</v>
      </c>
      <c r="AZ242" t="e">
        <f>Stock!W87+"'E4!.o$"</f>
        <v>#VALUE!</v>
      </c>
      <c r="BA242" t="e">
        <f>Stock!X87+"'E4!.o%"</f>
        <v>#VALUE!</v>
      </c>
      <c r="BB242" t="e">
        <f>Stock!Y87+"'E4!.o&amp;"</f>
        <v>#VALUE!</v>
      </c>
      <c r="BC242" t="e">
        <f>Stock!N88+"'E4!.o'"</f>
        <v>#VALUE!</v>
      </c>
      <c r="BD242" t="e">
        <f>Stock!O88+"'E4!.o("</f>
        <v>#VALUE!</v>
      </c>
      <c r="BE242" t="e">
        <f>Stock!P88+"'E4!.o)"</f>
        <v>#VALUE!</v>
      </c>
      <c r="BF242" t="e">
        <f>Stock!Q88+"'E4!.o."</f>
        <v>#VALUE!</v>
      </c>
      <c r="BG242" t="e">
        <f>Stock!R88+"'E4!.o/"</f>
        <v>#VALUE!</v>
      </c>
      <c r="BH242" s="333" t="e">
        <f>Stock!S88+"'E4!.o0"</f>
        <v>#VALUE!</v>
      </c>
      <c r="BI242" s="333" t="e">
        <f>Stock!T88+"'E4!.o1"</f>
        <v>#VALUE!</v>
      </c>
      <c r="BJ242" t="e">
        <f>Stock!U88+"'E4!.o2"</f>
        <v>#VALUE!</v>
      </c>
      <c r="BK242" t="e">
        <f>Stock!V88+"'E4!.o3"</f>
        <v>#VALUE!</v>
      </c>
      <c r="BL242" t="e">
        <f>Stock!W88+"'E4!.o4"</f>
        <v>#VALUE!</v>
      </c>
      <c r="BM242" t="e">
        <f>Stock!X88+"'E4!.o5"</f>
        <v>#VALUE!</v>
      </c>
      <c r="BN242" t="e">
        <f>Stock!Y88+"'E4!.o6"</f>
        <v>#VALUE!</v>
      </c>
      <c r="BO242" t="e">
        <f>Stock!N89+"'E4!.o7"</f>
        <v>#VALUE!</v>
      </c>
      <c r="BP242" t="e">
        <f>Stock!O89+"'E4!.o8"</f>
        <v>#VALUE!</v>
      </c>
      <c r="BQ242" t="e">
        <f>Stock!P89+"'E4!.o9"</f>
        <v>#VALUE!</v>
      </c>
      <c r="BR242" t="e">
        <f>Stock!Q89+"'E4!.o:"</f>
        <v>#VALUE!</v>
      </c>
      <c r="BS242" t="e">
        <f>Stock!R89+"'E4!.o;"</f>
        <v>#VALUE!</v>
      </c>
      <c r="BT242" s="333" t="e">
        <f>Stock!S89+"'E4!.o&lt;"</f>
        <v>#VALUE!</v>
      </c>
      <c r="BU242" s="333" t="e">
        <f>Stock!T89+"'E4!.o="</f>
        <v>#VALUE!</v>
      </c>
      <c r="BV242" t="e">
        <f>Stock!U89+"'E4!.o&gt;"</f>
        <v>#VALUE!</v>
      </c>
      <c r="BW242" t="e">
        <f>Stock!V89+"'E4!.o?"</f>
        <v>#VALUE!</v>
      </c>
      <c r="BX242" t="e">
        <f>Stock!W89+"'E4!.o@"</f>
        <v>#VALUE!</v>
      </c>
      <c r="BY242" t="e">
        <f>Stock!X89+"'E4!.oA"</f>
        <v>#VALUE!</v>
      </c>
      <c r="BZ242" t="e">
        <f>Stock!Y89+"'E4!.oB"</f>
        <v>#VALUE!</v>
      </c>
      <c r="CA242" t="e">
        <f>Stock!N90+"'E4!.oC"</f>
        <v>#VALUE!</v>
      </c>
      <c r="CB242" t="e">
        <f>Stock!O90+"'E4!.oD"</f>
        <v>#VALUE!</v>
      </c>
      <c r="CC242" t="e">
        <f>Stock!P90+"'E4!.oE"</f>
        <v>#VALUE!</v>
      </c>
      <c r="CD242" t="e">
        <f>Stock!Q90+"'E4!.oF"</f>
        <v>#VALUE!</v>
      </c>
      <c r="CE242" t="e">
        <f>Stock!R90+"'E4!.oG"</f>
        <v>#VALUE!</v>
      </c>
      <c r="CF242" s="333" t="e">
        <f>Stock!S90+"'E4!.oH"</f>
        <v>#VALUE!</v>
      </c>
      <c r="CG242" s="333" t="e">
        <f>Stock!T90+"'E4!.oI"</f>
        <v>#VALUE!</v>
      </c>
      <c r="CH242" t="e">
        <f>Stock!U90+"'E4!.oJ"</f>
        <v>#VALUE!</v>
      </c>
      <c r="CI242" t="e">
        <f>Stock!V90+"'E4!.oK"</f>
        <v>#VALUE!</v>
      </c>
      <c r="CJ242" t="e">
        <f>Stock!W90+"'E4!.oL"</f>
        <v>#VALUE!</v>
      </c>
      <c r="CK242" t="e">
        <f>Stock!X90+"'E4!.oM"</f>
        <v>#VALUE!</v>
      </c>
      <c r="CL242" t="e">
        <f>Stock!Y90+"'E4!.oN"</f>
        <v>#VALUE!</v>
      </c>
      <c r="CM242" t="e">
        <f>Stock!N91+"'E4!.oO"</f>
        <v>#VALUE!</v>
      </c>
      <c r="CN242" t="e">
        <f>Stock!O91+"'E4!.oP"</f>
        <v>#VALUE!</v>
      </c>
      <c r="CO242" t="e">
        <f>Stock!P91+"'E4!.oQ"</f>
        <v>#VALUE!</v>
      </c>
      <c r="CP242" t="e">
        <f>Stock!Q91+"'E4!.oR"</f>
        <v>#VALUE!</v>
      </c>
      <c r="CQ242" t="e">
        <f>Stock!R91+"'E4!.oS"</f>
        <v>#VALUE!</v>
      </c>
      <c r="CR242" s="333" t="e">
        <f>Stock!S91+"'E4!.oT"</f>
        <v>#VALUE!</v>
      </c>
      <c r="CS242" s="333" t="e">
        <f>Stock!T91+"'E4!.oU"</f>
        <v>#VALUE!</v>
      </c>
      <c r="CT242" t="e">
        <f>Stock!U91+"'E4!.oV"</f>
        <v>#VALUE!</v>
      </c>
      <c r="CU242" t="e">
        <f>Stock!V91+"'E4!.oW"</f>
        <v>#VALUE!</v>
      </c>
      <c r="CV242" t="e">
        <f>Stock!W91+"'E4!.oX"</f>
        <v>#VALUE!</v>
      </c>
      <c r="CW242" t="e">
        <f>Stock!X91+"'E4!.oY"</f>
        <v>#VALUE!</v>
      </c>
      <c r="CX242" t="e">
        <f>Stock!Y91+"'E4!.oZ"</f>
        <v>#VALUE!</v>
      </c>
      <c r="CY242" t="e">
        <f>Stock!N92+"'E4!.o["</f>
        <v>#VALUE!</v>
      </c>
      <c r="CZ242" t="e">
        <f>Stock!O92+"'E4!.o\"</f>
        <v>#VALUE!</v>
      </c>
      <c r="DA242" t="e">
        <f>Stock!P92+"'E4!.o]"</f>
        <v>#VALUE!</v>
      </c>
      <c r="DB242" t="e">
        <f>Stock!Q92+"'E4!.o^"</f>
        <v>#VALUE!</v>
      </c>
      <c r="DC242" t="e">
        <f>Stock!R92+"'E4!.o_"</f>
        <v>#VALUE!</v>
      </c>
      <c r="DD242" s="333" t="e">
        <f>Stock!S92+"'E4!.o`"</f>
        <v>#VALUE!</v>
      </c>
      <c r="DE242" s="333" t="e">
        <f>Stock!T92+"'E4!.oa"</f>
        <v>#VALUE!</v>
      </c>
      <c r="DF242" t="e">
        <f>Stock!U92+"'E4!.ob"</f>
        <v>#VALUE!</v>
      </c>
      <c r="DG242" t="e">
        <f>Stock!V92+"'E4!.oc"</f>
        <v>#VALUE!</v>
      </c>
      <c r="DH242" t="e">
        <f>Stock!W92+"'E4!.od"</f>
        <v>#VALUE!</v>
      </c>
      <c r="DI242" t="e">
        <f>Stock!X92+"'E4!.oe"</f>
        <v>#VALUE!</v>
      </c>
      <c r="DJ242" t="e">
        <f>Stock!Y92+"'E4!.of"</f>
        <v>#VALUE!</v>
      </c>
      <c r="DK242" t="e">
        <f>Stock!N93+"'E4!.og"</f>
        <v>#VALUE!</v>
      </c>
      <c r="DL242" t="e">
        <f>Stock!O93+"'E4!.oh"</f>
        <v>#VALUE!</v>
      </c>
      <c r="DM242" t="e">
        <f>Stock!P93+"'E4!.oi"</f>
        <v>#VALUE!</v>
      </c>
      <c r="DN242" t="e">
        <f>Stock!Q93+"'E4!.oj"</f>
        <v>#VALUE!</v>
      </c>
      <c r="DO242" t="e">
        <f>Stock!R93+"'E4!.ok"</f>
        <v>#VALUE!</v>
      </c>
      <c r="DP242" s="333" t="e">
        <f>Stock!S93+"'E4!.ol"</f>
        <v>#VALUE!</v>
      </c>
      <c r="DQ242" s="333" t="e">
        <f>Stock!T93+"'E4!.om"</f>
        <v>#VALUE!</v>
      </c>
      <c r="DR242" t="e">
        <f>Stock!U93+"'E4!.on"</f>
        <v>#VALUE!</v>
      </c>
      <c r="DS242" t="e">
        <f>Stock!V93+"'E4!.oo"</f>
        <v>#VALUE!</v>
      </c>
      <c r="DT242" t="e">
        <f>Stock!W93+"'E4!.op"</f>
        <v>#VALUE!</v>
      </c>
      <c r="DU242" t="e">
        <f>Stock!X93+"'E4!.oq"</f>
        <v>#VALUE!</v>
      </c>
      <c r="DV242" t="e">
        <f>Stock!Y93+"'E4!.or"</f>
        <v>#VALUE!</v>
      </c>
      <c r="DW242" t="e">
        <f>Stock!N94+"'E4!.os"</f>
        <v>#VALUE!</v>
      </c>
      <c r="DX242" t="e">
        <f>Stock!O94+"'E4!.ot"</f>
        <v>#VALUE!</v>
      </c>
      <c r="DY242" t="e">
        <f>Stock!P94+"'E4!.ou"</f>
        <v>#VALUE!</v>
      </c>
      <c r="DZ242" t="e">
        <f>Stock!Q94+"'E4!.ov"</f>
        <v>#VALUE!</v>
      </c>
      <c r="EA242" t="e">
        <f>Stock!R94+"'E4!.ow"</f>
        <v>#VALUE!</v>
      </c>
      <c r="EB242" s="333" t="e">
        <f>Stock!S94+"'E4!.ox"</f>
        <v>#VALUE!</v>
      </c>
      <c r="EC242" s="333" t="e">
        <f>Stock!T94+"'E4!.oy"</f>
        <v>#VALUE!</v>
      </c>
      <c r="ED242" t="e">
        <f>Stock!U94+"'E4!.oz"</f>
        <v>#VALUE!</v>
      </c>
      <c r="EE242" t="e">
        <f>Stock!V94+"'E4!.o{"</f>
        <v>#VALUE!</v>
      </c>
      <c r="EF242" t="e">
        <f>Stock!W94+"'E4!.o|"</f>
        <v>#VALUE!</v>
      </c>
      <c r="EG242" t="e">
        <f>Stock!X94+"'E4!.o}"</f>
        <v>#VALUE!</v>
      </c>
      <c r="EH242" t="e">
        <f>Stock!Y94+"'E4!.o~"</f>
        <v>#VALUE!</v>
      </c>
      <c r="EI242" t="e">
        <f>Stock!N95+"'E4!.p#"</f>
        <v>#VALUE!</v>
      </c>
      <c r="EJ242" t="e">
        <f>Stock!O95+"'E4!.p$"</f>
        <v>#VALUE!</v>
      </c>
      <c r="EK242" t="e">
        <f>Stock!P95+"'E4!.p%"</f>
        <v>#VALUE!</v>
      </c>
      <c r="EL242" t="e">
        <f>Stock!Q95+"'E4!.p&amp;"</f>
        <v>#VALUE!</v>
      </c>
      <c r="EM242" t="e">
        <f>Stock!R95+"'E4!.p'"</f>
        <v>#VALUE!</v>
      </c>
      <c r="EN242" s="333" t="e">
        <f>Stock!S95+"'E4!.p("</f>
        <v>#VALUE!</v>
      </c>
      <c r="EO242" s="333" t="e">
        <f>Stock!T95+"'E4!.p)"</f>
        <v>#VALUE!</v>
      </c>
      <c r="EP242" t="e">
        <f>Stock!U95+"'E4!.p."</f>
        <v>#VALUE!</v>
      </c>
      <c r="EQ242" t="e">
        <f>Stock!V95+"'E4!.p/"</f>
        <v>#VALUE!</v>
      </c>
      <c r="ER242" t="e">
        <f>Stock!W95+"'E4!.p0"</f>
        <v>#VALUE!</v>
      </c>
      <c r="ES242" t="e">
        <f>Stock!X95+"'E4!.p1"</f>
        <v>#VALUE!</v>
      </c>
      <c r="ET242" t="e">
        <f>Stock!Y95+"'E4!.p2"</f>
        <v>#VALUE!</v>
      </c>
      <c r="EU242" t="e">
        <f>Stock!N96+"'E4!.p3"</f>
        <v>#VALUE!</v>
      </c>
      <c r="EV242" t="e">
        <f>Stock!O96+"'E4!.p4"</f>
        <v>#VALUE!</v>
      </c>
      <c r="EW242" t="e">
        <f>Stock!P96+"'E4!.p5"</f>
        <v>#VALUE!</v>
      </c>
      <c r="EX242" t="e">
        <f>Stock!Q96+"'E4!.p6"</f>
        <v>#VALUE!</v>
      </c>
      <c r="EY242" t="e">
        <f>Stock!R96+"'E4!.p7"</f>
        <v>#VALUE!</v>
      </c>
      <c r="EZ242" s="333" t="e">
        <f>Stock!S96+"'E4!.p8"</f>
        <v>#VALUE!</v>
      </c>
      <c r="FA242" s="333" t="e">
        <f>Stock!T96+"'E4!.p9"</f>
        <v>#VALUE!</v>
      </c>
      <c r="FB242" t="e">
        <f>Stock!U96+"'E4!.p:"</f>
        <v>#VALUE!</v>
      </c>
      <c r="FC242" t="e">
        <f>Stock!V96+"'E4!.p;"</f>
        <v>#VALUE!</v>
      </c>
      <c r="FD242" t="e">
        <f>Stock!W96+"'E4!.p&lt;"</f>
        <v>#VALUE!</v>
      </c>
      <c r="FE242" t="e">
        <f>Stock!X96+"'E4!.p="</f>
        <v>#VALUE!</v>
      </c>
      <c r="FF242" t="e">
        <f>Stock!Y96+"'E4!.p&gt;"</f>
        <v>#VALUE!</v>
      </c>
      <c r="FG242" t="e">
        <f>Stock!N97+"'E4!.p?"</f>
        <v>#VALUE!</v>
      </c>
      <c r="FH242" t="e">
        <f>Stock!O97+"'E4!.p@"</f>
        <v>#VALUE!</v>
      </c>
      <c r="FI242" t="e">
        <f>Stock!P97+"'E4!.pA"</f>
        <v>#VALUE!</v>
      </c>
      <c r="FJ242" t="e">
        <f>Stock!Q97+"'E4!.pB"</f>
        <v>#VALUE!</v>
      </c>
      <c r="FK242" t="e">
        <f>Stock!R97+"'E4!.pC"</f>
        <v>#VALUE!</v>
      </c>
      <c r="FL242" s="333" t="e">
        <f>Stock!S97+"'E4!.pD"</f>
        <v>#VALUE!</v>
      </c>
      <c r="FM242" s="333" t="e">
        <f>Stock!T97+"'E4!.pE"</f>
        <v>#VALUE!</v>
      </c>
      <c r="FN242" t="e">
        <f>Stock!U97+"'E4!.pF"</f>
        <v>#VALUE!</v>
      </c>
      <c r="FO242" t="e">
        <f>Stock!V97+"'E4!.pG"</f>
        <v>#VALUE!</v>
      </c>
      <c r="FP242" t="e">
        <f>Stock!W97+"'E4!.pH"</f>
        <v>#VALUE!</v>
      </c>
      <c r="FQ242" t="e">
        <f>Stock!X97+"'E4!.pI"</f>
        <v>#VALUE!</v>
      </c>
      <c r="FR242" t="e">
        <f>Stock!Y97+"'E4!.pJ"</f>
        <v>#VALUE!</v>
      </c>
      <c r="FS242" t="e">
        <f>Stock!N98+"'E4!.pK"</f>
        <v>#VALUE!</v>
      </c>
      <c r="FT242" t="e">
        <f>Stock!O98+"'E4!.pL"</f>
        <v>#VALUE!</v>
      </c>
      <c r="FU242" t="e">
        <f>Stock!P98+"'E4!.pM"</f>
        <v>#VALUE!</v>
      </c>
      <c r="FV242" t="e">
        <f>Stock!Q98+"'E4!.pN"</f>
        <v>#VALUE!</v>
      </c>
      <c r="FW242" t="e">
        <f>Stock!R98+"'E4!.pO"</f>
        <v>#VALUE!</v>
      </c>
      <c r="FX242" s="333" t="e">
        <f>Stock!S98+"'E4!.pP"</f>
        <v>#VALUE!</v>
      </c>
      <c r="FY242" s="333" t="e">
        <f>Stock!T98+"'E4!.pQ"</f>
        <v>#VALUE!</v>
      </c>
      <c r="FZ242" t="e">
        <f>Stock!U98+"'E4!.pR"</f>
        <v>#VALUE!</v>
      </c>
      <c r="GA242" t="e">
        <f>Stock!V98+"'E4!.pS"</f>
        <v>#VALUE!</v>
      </c>
      <c r="GB242" t="e">
        <f>Stock!W98+"'E4!.pT"</f>
        <v>#VALUE!</v>
      </c>
      <c r="GC242" t="e">
        <f>Stock!X98+"'E4!.pU"</f>
        <v>#VALUE!</v>
      </c>
      <c r="GD242" t="e">
        <f>Stock!Y98+"'E4!.pV"</f>
        <v>#VALUE!</v>
      </c>
      <c r="GE242" t="e">
        <f>Stock!N99+"'E4!.pW"</f>
        <v>#VALUE!</v>
      </c>
      <c r="GF242" t="e">
        <f>Stock!O99+"'E4!.pX"</f>
        <v>#VALUE!</v>
      </c>
      <c r="GG242" t="e">
        <f>Stock!P99+"'E4!.pY"</f>
        <v>#VALUE!</v>
      </c>
      <c r="GH242" t="e">
        <f>Stock!Q99+"'E4!.pZ"</f>
        <v>#VALUE!</v>
      </c>
      <c r="GI242" t="e">
        <f>Stock!R99+"'E4!.p["</f>
        <v>#VALUE!</v>
      </c>
      <c r="GJ242" s="333" t="e">
        <f>Stock!S99+"'E4!.p\"</f>
        <v>#VALUE!</v>
      </c>
      <c r="GK242" s="333" t="e">
        <f>Stock!T99+"'E4!.p]"</f>
        <v>#VALUE!</v>
      </c>
      <c r="GL242" t="e">
        <f>Stock!U99+"'E4!.p^"</f>
        <v>#VALUE!</v>
      </c>
      <c r="GM242" t="e">
        <f>Stock!V99+"'E4!.p_"</f>
        <v>#VALUE!</v>
      </c>
      <c r="GN242" t="e">
        <f>Stock!W99+"'E4!.p`"</f>
        <v>#VALUE!</v>
      </c>
      <c r="GO242" t="e">
        <f>Stock!X99+"'E4!.pa"</f>
        <v>#VALUE!</v>
      </c>
      <c r="GP242" t="e">
        <f>Stock!Y99+"'E4!.pb"</f>
        <v>#VALUE!</v>
      </c>
      <c r="GQ242" t="e">
        <f>Stock!N100+"'E4!.pc"</f>
        <v>#VALUE!</v>
      </c>
      <c r="GR242" t="e">
        <f>Stock!O100+"'E4!.pd"</f>
        <v>#VALUE!</v>
      </c>
      <c r="GS242" t="e">
        <f>Stock!P100+"'E4!.pe"</f>
        <v>#VALUE!</v>
      </c>
      <c r="GT242" t="e">
        <f>Stock!Q100+"'E4!.pf"</f>
        <v>#VALUE!</v>
      </c>
      <c r="GU242" t="e">
        <f>Stock!R100+"'E4!.pg"</f>
        <v>#VALUE!</v>
      </c>
      <c r="GV242" s="333" t="e">
        <f>Stock!S100+"'E4!.ph"</f>
        <v>#VALUE!</v>
      </c>
      <c r="GW242" s="333" t="e">
        <f>Stock!T100+"'E4!.pi"</f>
        <v>#VALUE!</v>
      </c>
      <c r="GX242" t="e">
        <f>Stock!U100+"'E4!.pj"</f>
        <v>#VALUE!</v>
      </c>
      <c r="GY242" t="e">
        <f>Stock!V100+"'E4!.pk"</f>
        <v>#VALUE!</v>
      </c>
      <c r="GZ242" t="e">
        <f>Stock!W100+"'E4!.pl"</f>
        <v>#VALUE!</v>
      </c>
      <c r="HA242" t="e">
        <f>Stock!X100+"'E4!.pm"</f>
        <v>#VALUE!</v>
      </c>
      <c r="HB242" t="e">
        <f>Stock!Y100+"'E4!.pn"</f>
        <v>#VALUE!</v>
      </c>
      <c r="HC242" t="e">
        <f>Stock!N101+"'E4!.po"</f>
        <v>#VALUE!</v>
      </c>
      <c r="HD242" t="e">
        <f>Stock!O101+"'E4!.pp"</f>
        <v>#VALUE!</v>
      </c>
      <c r="HE242" t="e">
        <f>Stock!P101+"'E4!.pq"</f>
        <v>#VALUE!</v>
      </c>
      <c r="HF242" t="e">
        <f>Stock!Q101+"'E4!.pr"</f>
        <v>#VALUE!</v>
      </c>
      <c r="HG242" t="e">
        <f>Stock!R101+"'E4!.ps"</f>
        <v>#VALUE!</v>
      </c>
      <c r="HH242" s="333" t="e">
        <f>Stock!S101+"'E4!.pt"</f>
        <v>#VALUE!</v>
      </c>
      <c r="HI242" s="333" t="e">
        <f>Stock!T101+"'E4!.pu"</f>
        <v>#VALUE!</v>
      </c>
      <c r="HJ242" t="e">
        <f>Stock!U101+"'E4!.pv"</f>
        <v>#VALUE!</v>
      </c>
      <c r="HK242" t="e">
        <f>Stock!V101+"'E4!.pw"</f>
        <v>#VALUE!</v>
      </c>
      <c r="HL242" t="e">
        <f>Stock!W101+"'E4!.px"</f>
        <v>#VALUE!</v>
      </c>
      <c r="HM242" t="e">
        <f>Stock!X101+"'E4!.py"</f>
        <v>#VALUE!</v>
      </c>
      <c r="HN242" t="e">
        <f>Stock!Y101+"'E4!.pz"</f>
        <v>#VALUE!</v>
      </c>
      <c r="HO242" t="e">
        <f>Stock!N102+"'E4!.p{"</f>
        <v>#VALUE!</v>
      </c>
      <c r="HP242" t="e">
        <f>Stock!O102+"'E4!.p|"</f>
        <v>#VALUE!</v>
      </c>
      <c r="HQ242" t="e">
        <f>Stock!P102+"'E4!.p}"</f>
        <v>#VALUE!</v>
      </c>
      <c r="HR242" t="e">
        <f>Stock!Q102+"'E4!.p~"</f>
        <v>#VALUE!</v>
      </c>
      <c r="HS242" t="e">
        <f>Stock!R102+"'E4!.q#"</f>
        <v>#VALUE!</v>
      </c>
      <c r="HT242" s="333" t="e">
        <f>Stock!S102+"'E4!.q$"</f>
        <v>#VALUE!</v>
      </c>
      <c r="HU242" s="333" t="e">
        <f>Stock!T102+"'E4!.q%"</f>
        <v>#VALUE!</v>
      </c>
      <c r="HV242" t="e">
        <f>Stock!U102+"'E4!.q&amp;"</f>
        <v>#VALUE!</v>
      </c>
      <c r="HW242" t="e">
        <f>Stock!V102+"'E4!.q'"</f>
        <v>#VALUE!</v>
      </c>
      <c r="HX242" t="e">
        <f>Stock!W102+"'E4!.q("</f>
        <v>#VALUE!</v>
      </c>
      <c r="HY242" t="e">
        <f>Stock!X102+"'E4!.q)"</f>
        <v>#VALUE!</v>
      </c>
      <c r="HZ242" t="e">
        <f>Stock!Y102+"'E4!.q."</f>
        <v>#VALUE!</v>
      </c>
      <c r="IA242" t="e">
        <f>Stock!N103+"'E4!.q/"</f>
        <v>#VALUE!</v>
      </c>
      <c r="IB242" t="e">
        <f>Stock!O103+"'E4!.q0"</f>
        <v>#VALUE!</v>
      </c>
      <c r="IC242" t="e">
        <f>Stock!P103+"'E4!.q1"</f>
        <v>#VALUE!</v>
      </c>
      <c r="ID242" t="e">
        <f>Stock!Q103+"'E4!.q2"</f>
        <v>#VALUE!</v>
      </c>
      <c r="IE242" t="e">
        <f>Stock!R103+"'E4!.q3"</f>
        <v>#VALUE!</v>
      </c>
      <c r="IF242" s="333" t="e">
        <f>Stock!S103+"'E4!.q4"</f>
        <v>#VALUE!</v>
      </c>
      <c r="IG242" s="333" t="e">
        <f>Stock!T103+"'E4!.q5"</f>
        <v>#VALUE!</v>
      </c>
      <c r="IH242" t="e">
        <f>Stock!U103+"'E4!.q6"</f>
        <v>#VALUE!</v>
      </c>
      <c r="II242" t="e">
        <f>Stock!V103+"'E4!.q7"</f>
        <v>#VALUE!</v>
      </c>
      <c r="IJ242" t="e">
        <f>Stock!W103+"'E4!.q8"</f>
        <v>#VALUE!</v>
      </c>
      <c r="IK242" t="e">
        <f>Stock!X103+"'E4!.q9"</f>
        <v>#VALUE!</v>
      </c>
      <c r="IL242" t="e">
        <f>Stock!Y103+"'E4!.q:"</f>
        <v>#VALUE!</v>
      </c>
      <c r="IM242" t="e">
        <f>Stock!N104+"'E4!.q;"</f>
        <v>#VALUE!</v>
      </c>
      <c r="IN242" t="e">
        <f>Stock!O104+"'E4!.q&lt;"</f>
        <v>#VALUE!</v>
      </c>
      <c r="IO242" t="e">
        <f>Stock!P104+"'E4!.q="</f>
        <v>#VALUE!</v>
      </c>
      <c r="IP242" t="e">
        <f>Stock!Q104+"'E4!.q&gt;"</f>
        <v>#VALUE!</v>
      </c>
      <c r="IQ242" t="e">
        <f>Stock!R104+"'E4!.q?"</f>
        <v>#VALUE!</v>
      </c>
      <c r="IR242" s="333" t="e">
        <f>Stock!S104+"'E4!.q@"</f>
        <v>#VALUE!</v>
      </c>
      <c r="IS242" s="333" t="e">
        <f>Stock!T104+"'E4!.qA"</f>
        <v>#VALUE!</v>
      </c>
      <c r="IT242" t="e">
        <f>Stock!U104+"'E4!.qB"</f>
        <v>#VALUE!</v>
      </c>
      <c r="IU242" t="e">
        <f>Stock!V104+"'E4!.qC"</f>
        <v>#VALUE!</v>
      </c>
      <c r="IV242" t="e">
        <f>Stock!W104+"'E4!.qD"</f>
        <v>#VALUE!</v>
      </c>
    </row>
    <row r="243" spans="6:256">
      <c r="F243" t="e">
        <f>Stock!X104+"'E4!.qE"</f>
        <v>#VALUE!</v>
      </c>
      <c r="G243" t="e">
        <f>Stock!Y104+"'E4!.qF"</f>
        <v>#VALUE!</v>
      </c>
      <c r="H243" t="e">
        <f>Stock!N105+"'E4!.qG"</f>
        <v>#VALUE!</v>
      </c>
      <c r="I243" t="e">
        <f>Stock!O105+"'E4!.qH"</f>
        <v>#VALUE!</v>
      </c>
      <c r="J243" t="e">
        <f>Stock!P105+"'E4!.qI"</f>
        <v>#VALUE!</v>
      </c>
      <c r="K243" t="e">
        <f>Stock!Q105+"'E4!.qJ"</f>
        <v>#VALUE!</v>
      </c>
      <c r="L243" t="e">
        <f>Stock!R105+"'E4!.qK"</f>
        <v>#VALUE!</v>
      </c>
      <c r="M243" s="333" t="e">
        <f>Stock!S105+"'E4!.qL"</f>
        <v>#VALUE!</v>
      </c>
      <c r="N243" s="333" t="e">
        <f>Stock!T105+"'E4!.qM"</f>
        <v>#VALUE!</v>
      </c>
      <c r="O243" t="e">
        <f>Stock!U105+"'E4!.qN"</f>
        <v>#VALUE!</v>
      </c>
      <c r="P243" t="e">
        <f>Stock!V105+"'E4!.qO"</f>
        <v>#VALUE!</v>
      </c>
      <c r="Q243" t="e">
        <f>Stock!W105+"'E4!.qP"</f>
        <v>#VALUE!</v>
      </c>
      <c r="R243" t="e">
        <f>Stock!X105+"'E4!.qQ"</f>
        <v>#VALUE!</v>
      </c>
      <c r="S243" t="e">
        <f>Stock!Y105+"'E4!.qR"</f>
        <v>#VALUE!</v>
      </c>
      <c r="T243" t="e">
        <f>Stock!N106+"'E4!.qS"</f>
        <v>#VALUE!</v>
      </c>
      <c r="U243" t="e">
        <f>Stock!O106+"'E4!.qT"</f>
        <v>#VALUE!</v>
      </c>
      <c r="V243" t="e">
        <f>Stock!P106+"'E4!.qU"</f>
        <v>#VALUE!</v>
      </c>
      <c r="W243" t="e">
        <f>Stock!Q106+"'E4!.qV"</f>
        <v>#VALUE!</v>
      </c>
      <c r="X243" t="e">
        <f>Stock!R106+"'E4!.qW"</f>
        <v>#VALUE!</v>
      </c>
      <c r="Y243" s="333" t="e">
        <f>Stock!S106+"'E4!.qX"</f>
        <v>#VALUE!</v>
      </c>
      <c r="Z243" s="333" t="e">
        <f>Stock!T106+"'E4!.qY"</f>
        <v>#VALUE!</v>
      </c>
      <c r="AA243" t="e">
        <f>Stock!U106+"'E4!.qZ"</f>
        <v>#VALUE!</v>
      </c>
      <c r="AB243" t="e">
        <f>Stock!V106+"'E4!.q["</f>
        <v>#VALUE!</v>
      </c>
      <c r="AC243" t="e">
        <f>Stock!W106+"'E4!.q\"</f>
        <v>#VALUE!</v>
      </c>
      <c r="AD243" t="e">
        <f>Stock!X106+"'E4!.q]"</f>
        <v>#VALUE!</v>
      </c>
      <c r="AE243" t="e">
        <f>Stock!Y106+"'E4!.q^"</f>
        <v>#VALUE!</v>
      </c>
      <c r="AF243" t="e">
        <f>Stock!N107+"'E4!.q_"</f>
        <v>#VALUE!</v>
      </c>
      <c r="AG243" t="e">
        <f>Stock!O107+"'E4!.q`"</f>
        <v>#VALUE!</v>
      </c>
      <c r="AH243" t="e">
        <f>Stock!P107+"'E4!.qa"</f>
        <v>#VALUE!</v>
      </c>
      <c r="AI243" t="e">
        <f>Stock!Q107+"'E4!.qb"</f>
        <v>#VALUE!</v>
      </c>
      <c r="AJ243" t="e">
        <f>Stock!R107+"'E4!.qc"</f>
        <v>#VALUE!</v>
      </c>
      <c r="AK243" s="333" t="e">
        <f>Stock!S107+"'E4!.qd"</f>
        <v>#VALUE!</v>
      </c>
      <c r="AL243" s="333" t="e">
        <f>Stock!T107+"'E4!.qe"</f>
        <v>#VALUE!</v>
      </c>
      <c r="AM243" t="e">
        <f>Stock!U107+"'E4!.qf"</f>
        <v>#VALUE!</v>
      </c>
      <c r="AN243" t="e">
        <f>Stock!V107+"'E4!.qg"</f>
        <v>#VALUE!</v>
      </c>
      <c r="AO243" t="e">
        <f>Stock!W107+"'E4!.qh"</f>
        <v>#VALUE!</v>
      </c>
      <c r="AP243" t="e">
        <f>Stock!X107+"'E4!.qi"</f>
        <v>#VALUE!</v>
      </c>
      <c r="AQ243" t="e">
        <f>Stock!Y107+"'E4!.qj"</f>
        <v>#VALUE!</v>
      </c>
      <c r="AR243" t="e">
        <f>Stock!N108+"'E4!.qk"</f>
        <v>#VALUE!</v>
      </c>
      <c r="AS243" t="e">
        <f>Stock!O108+"'E4!.ql"</f>
        <v>#VALUE!</v>
      </c>
      <c r="AT243" t="e">
        <f>Stock!P108+"'E4!.qm"</f>
        <v>#VALUE!</v>
      </c>
      <c r="AU243" t="e">
        <f>Stock!Q108+"'E4!.qn"</f>
        <v>#VALUE!</v>
      </c>
      <c r="AV243" t="e">
        <f>Stock!R108+"'E4!.qo"</f>
        <v>#VALUE!</v>
      </c>
      <c r="AW243" s="333" t="e">
        <f>Stock!S108+"'E4!.qp"</f>
        <v>#VALUE!</v>
      </c>
      <c r="AX243" s="333" t="e">
        <f>Stock!T108+"'E4!.qq"</f>
        <v>#VALUE!</v>
      </c>
      <c r="AY243" t="e">
        <f>Stock!U108+"'E4!.qr"</f>
        <v>#VALUE!</v>
      </c>
      <c r="AZ243" t="e">
        <f>Stock!V108+"'E4!.qs"</f>
        <v>#VALUE!</v>
      </c>
      <c r="BA243" t="e">
        <f>Stock!W108+"'E4!.qt"</f>
        <v>#VALUE!</v>
      </c>
      <c r="BB243" t="e">
        <f>Stock!X108+"'E4!.qu"</f>
        <v>#VALUE!</v>
      </c>
      <c r="BC243" t="e">
        <f>Stock!Y108+"'E4!.qv"</f>
        <v>#VALUE!</v>
      </c>
      <c r="BD243" t="e">
        <f>Stock!N109+"'E4!.qw"</f>
        <v>#VALUE!</v>
      </c>
      <c r="BE243" t="e">
        <f>Stock!O109+"'E4!.qx"</f>
        <v>#VALUE!</v>
      </c>
      <c r="BF243" t="e">
        <f>Stock!P109+"'E4!.qy"</f>
        <v>#VALUE!</v>
      </c>
      <c r="BG243" t="e">
        <f>Stock!Q109+"'E4!.qz"</f>
        <v>#VALUE!</v>
      </c>
      <c r="BH243" t="e">
        <f>Stock!R109+"'E4!.q{"</f>
        <v>#VALUE!</v>
      </c>
      <c r="BI243" s="333" t="e">
        <f>Stock!S109+"'E4!.q|"</f>
        <v>#VALUE!</v>
      </c>
      <c r="BJ243" s="333" t="e">
        <f>Stock!T109+"'E4!.q}"</f>
        <v>#VALUE!</v>
      </c>
      <c r="BK243" t="e">
        <f>Stock!U109+"'E4!.q~"</f>
        <v>#VALUE!</v>
      </c>
      <c r="BL243" t="e">
        <f>Stock!V109+"'E4!.r#"</f>
        <v>#VALUE!</v>
      </c>
      <c r="BM243" t="e">
        <f>Stock!W109+"'E4!.r$"</f>
        <v>#VALUE!</v>
      </c>
      <c r="BN243" t="e">
        <f>Stock!X109+"'E4!.r%"</f>
        <v>#VALUE!</v>
      </c>
      <c r="BO243" t="e">
        <f>Stock!Y109+"'E4!.r&amp;"</f>
        <v>#VALUE!</v>
      </c>
      <c r="BP243" t="e">
        <f>Stock!N110+"'E4!.r'"</f>
        <v>#VALUE!</v>
      </c>
      <c r="BQ243" t="e">
        <f>Stock!O110+"'E4!.r("</f>
        <v>#VALUE!</v>
      </c>
      <c r="BR243" t="e">
        <f>Stock!P110+"'E4!.r)"</f>
        <v>#VALUE!</v>
      </c>
      <c r="BS243" t="e">
        <f>Stock!Q110+"'E4!.r."</f>
        <v>#VALUE!</v>
      </c>
      <c r="BT243" t="e">
        <f>Stock!R110+"'E4!.r/"</f>
        <v>#VALUE!</v>
      </c>
      <c r="BU243" s="333" t="e">
        <f>Stock!S110+"'E4!.r0"</f>
        <v>#VALUE!</v>
      </c>
      <c r="BV243" s="333" t="e">
        <f>Stock!T110+"'E4!.r1"</f>
        <v>#VALUE!</v>
      </c>
      <c r="BW243" t="e">
        <f>Stock!U110+"'E4!.r2"</f>
        <v>#VALUE!</v>
      </c>
      <c r="BX243" t="e">
        <f>Stock!V110+"'E4!.r3"</f>
        <v>#VALUE!</v>
      </c>
      <c r="BY243" t="e">
        <f>Stock!W110+"'E4!.r4"</f>
        <v>#VALUE!</v>
      </c>
      <c r="BZ243" t="e">
        <f>Stock!X110+"'E4!.r5"</f>
        <v>#VALUE!</v>
      </c>
      <c r="CA243" t="e">
        <f>Stock!Y110+"'E4!.r6"</f>
        <v>#VALUE!</v>
      </c>
      <c r="CB243" t="e">
        <f>Stock!N111+"'E4!.r7"</f>
        <v>#VALUE!</v>
      </c>
      <c r="CC243" t="e">
        <f>Stock!O111+"'E4!.r8"</f>
        <v>#VALUE!</v>
      </c>
      <c r="CD243" t="e">
        <f>Stock!P111+"'E4!.r9"</f>
        <v>#VALUE!</v>
      </c>
      <c r="CE243" t="e">
        <f>Stock!Q111+"'E4!.r:"</f>
        <v>#VALUE!</v>
      </c>
      <c r="CF243" t="e">
        <f>Stock!R111+"'E4!.r;"</f>
        <v>#VALUE!</v>
      </c>
      <c r="CG243" s="333" t="e">
        <f>Stock!S111+"'E4!.r&lt;"</f>
        <v>#VALUE!</v>
      </c>
      <c r="CH243" s="333" t="e">
        <f>Stock!T111+"'E4!.r="</f>
        <v>#VALUE!</v>
      </c>
      <c r="CI243" t="e">
        <f>Stock!U111+"'E4!.r&gt;"</f>
        <v>#VALUE!</v>
      </c>
      <c r="CJ243" t="e">
        <f>Stock!V111+"'E4!.r?"</f>
        <v>#VALUE!</v>
      </c>
      <c r="CK243" t="e">
        <f>Stock!W111+"'E4!.r@"</f>
        <v>#VALUE!</v>
      </c>
      <c r="CL243" t="e">
        <f>Stock!X111+"'E4!.rA"</f>
        <v>#VALUE!</v>
      </c>
      <c r="CM243" t="e">
        <f>Stock!Y111+"'E4!.rB"</f>
        <v>#VALUE!</v>
      </c>
      <c r="CN243" t="e">
        <f>Stock!N112+"'E4!.rC"</f>
        <v>#VALUE!</v>
      </c>
      <c r="CO243" t="e">
        <f>Stock!O112+"'E4!.rD"</f>
        <v>#VALUE!</v>
      </c>
      <c r="CP243" t="e">
        <f>Stock!P112+"'E4!.rE"</f>
        <v>#VALUE!</v>
      </c>
      <c r="CQ243" t="e">
        <f>Stock!Q112+"'E4!.rF"</f>
        <v>#VALUE!</v>
      </c>
      <c r="CR243" t="e">
        <f>Stock!R112+"'E4!.rG"</f>
        <v>#VALUE!</v>
      </c>
      <c r="CS243" s="333" t="e">
        <f>Stock!S112+"'E4!.rH"</f>
        <v>#VALUE!</v>
      </c>
      <c r="CT243" s="333" t="e">
        <f>Stock!T112+"'E4!.rI"</f>
        <v>#VALUE!</v>
      </c>
      <c r="CU243" t="e">
        <f>Stock!U112+"'E4!.rJ"</f>
        <v>#VALUE!</v>
      </c>
      <c r="CV243" t="e">
        <f>Stock!V112+"'E4!.rK"</f>
        <v>#VALUE!</v>
      </c>
      <c r="CW243" t="e">
        <f>Stock!W112+"'E4!.rL"</f>
        <v>#VALUE!</v>
      </c>
      <c r="CX243" t="e">
        <f>Stock!X112+"'E4!.rM"</f>
        <v>#VALUE!</v>
      </c>
      <c r="CY243" t="e">
        <f>Stock!Y112+"'E4!.rN"</f>
        <v>#VALUE!</v>
      </c>
      <c r="CZ243" t="e">
        <f>Stock!N113+"'E4!.rO"</f>
        <v>#VALUE!</v>
      </c>
      <c r="DA243" t="e">
        <f>Stock!O113+"'E4!.rP"</f>
        <v>#VALUE!</v>
      </c>
      <c r="DB243" t="e">
        <f>Stock!P113+"'E4!.rQ"</f>
        <v>#VALUE!</v>
      </c>
      <c r="DC243" t="e">
        <f>Stock!Q113+"'E4!.rR"</f>
        <v>#VALUE!</v>
      </c>
      <c r="DD243" t="e">
        <f>Stock!R113+"'E4!.rS"</f>
        <v>#VALUE!</v>
      </c>
      <c r="DE243" s="333" t="e">
        <f>Stock!S113+"'E4!.rT"</f>
        <v>#VALUE!</v>
      </c>
      <c r="DF243" s="333" t="e">
        <f>Stock!T113+"'E4!.rU"</f>
        <v>#VALUE!</v>
      </c>
      <c r="DG243" t="e">
        <f>Stock!U113+"'E4!.rV"</f>
        <v>#VALUE!</v>
      </c>
      <c r="DH243" t="e">
        <f>Stock!V113+"'E4!.rW"</f>
        <v>#VALUE!</v>
      </c>
      <c r="DI243" t="e">
        <f>Stock!W113+"'E4!.rX"</f>
        <v>#VALUE!</v>
      </c>
      <c r="DJ243" t="e">
        <f>Stock!X113+"'E4!.rY"</f>
        <v>#VALUE!</v>
      </c>
      <c r="DK243" t="e">
        <f>Stock!Y113+"'E4!.rZ"</f>
        <v>#VALUE!</v>
      </c>
      <c r="DL243" t="e">
        <f>Stock!N114+"'E4!.r["</f>
        <v>#VALUE!</v>
      </c>
      <c r="DM243" t="e">
        <f>Stock!O114+"'E4!.r\"</f>
        <v>#VALUE!</v>
      </c>
      <c r="DN243" t="e">
        <f>Stock!P114+"'E4!.r]"</f>
        <v>#VALUE!</v>
      </c>
      <c r="DO243" t="e">
        <f>Stock!Q114+"'E4!.r^"</f>
        <v>#VALUE!</v>
      </c>
      <c r="DP243" t="e">
        <f>Stock!R114+"'E4!.r_"</f>
        <v>#VALUE!</v>
      </c>
      <c r="DQ243" s="333" t="e">
        <f>Stock!S114+"'E4!.r`"</f>
        <v>#VALUE!</v>
      </c>
      <c r="DR243" s="333" t="e">
        <f>Stock!T114+"'E4!.ra"</f>
        <v>#VALUE!</v>
      </c>
      <c r="DS243" t="e">
        <f>Stock!U114+"'E4!.rb"</f>
        <v>#VALUE!</v>
      </c>
      <c r="DT243" t="e">
        <f>Stock!V114+"'E4!.rc"</f>
        <v>#VALUE!</v>
      </c>
      <c r="DU243" t="e">
        <f>Stock!W114+"'E4!.rd"</f>
        <v>#VALUE!</v>
      </c>
      <c r="DV243" t="e">
        <f>Stock!X114+"'E4!.re"</f>
        <v>#VALUE!</v>
      </c>
      <c r="DW243" t="e">
        <f>Stock!Y114+"'E4!.rf"</f>
        <v>#VALUE!</v>
      </c>
      <c r="DX243" t="e">
        <f>Stock!N115+"'E4!.rg"</f>
        <v>#VALUE!</v>
      </c>
      <c r="DY243" t="e">
        <f>Stock!O115+"'E4!.rh"</f>
        <v>#VALUE!</v>
      </c>
      <c r="DZ243" t="e">
        <f>Stock!P115+"'E4!.ri"</f>
        <v>#VALUE!</v>
      </c>
      <c r="EA243" t="e">
        <f>Stock!Q115+"'E4!.rj"</f>
        <v>#VALUE!</v>
      </c>
      <c r="EB243" t="e">
        <f>Stock!R115+"'E4!.rk"</f>
        <v>#VALUE!</v>
      </c>
      <c r="EC243" s="333" t="e">
        <f>Stock!S115+"'E4!.rl"</f>
        <v>#VALUE!</v>
      </c>
      <c r="ED243" s="333" t="e">
        <f>Stock!T115+"'E4!.rm"</f>
        <v>#VALUE!</v>
      </c>
      <c r="EE243" t="e">
        <f>Stock!U115+"'E4!.rn"</f>
        <v>#VALUE!</v>
      </c>
      <c r="EF243" t="e">
        <f>Stock!V115+"'E4!.ro"</f>
        <v>#VALUE!</v>
      </c>
      <c r="EG243" t="e">
        <f>Stock!W115+"'E4!.rp"</f>
        <v>#VALUE!</v>
      </c>
      <c r="EH243" t="e">
        <f>Stock!X115+"'E4!.rq"</f>
        <v>#VALUE!</v>
      </c>
      <c r="EI243" t="e">
        <f>Stock!Y115+"'E4!.rr"</f>
        <v>#VALUE!</v>
      </c>
      <c r="EJ243" t="e">
        <f>Stock!N116+"'E4!.rs"</f>
        <v>#VALUE!</v>
      </c>
      <c r="EK243" t="e">
        <f>Stock!O116+"'E4!.rt"</f>
        <v>#VALUE!</v>
      </c>
      <c r="EL243" t="e">
        <f>Stock!P116+"'E4!.ru"</f>
        <v>#VALUE!</v>
      </c>
      <c r="EM243" t="e">
        <f>Stock!Q116+"'E4!.rv"</f>
        <v>#VALUE!</v>
      </c>
      <c r="EN243" t="e">
        <f>Stock!R116+"'E4!.rw"</f>
        <v>#VALUE!</v>
      </c>
      <c r="EO243" s="333" t="e">
        <f>Stock!S116+"'E4!.rx"</f>
        <v>#VALUE!</v>
      </c>
      <c r="EP243" s="333" t="e">
        <f>Stock!T116+"'E4!.ry"</f>
        <v>#VALUE!</v>
      </c>
      <c r="EQ243" t="e">
        <f>Stock!U116+"'E4!.rz"</f>
        <v>#VALUE!</v>
      </c>
      <c r="ER243" t="e">
        <f>Stock!V116+"'E4!.r{"</f>
        <v>#VALUE!</v>
      </c>
      <c r="ES243" t="e">
        <f>Stock!W116+"'E4!.r|"</f>
        <v>#VALUE!</v>
      </c>
      <c r="ET243" t="e">
        <f>Stock!X116+"'E4!.r}"</f>
        <v>#VALUE!</v>
      </c>
      <c r="EU243" t="e">
        <f>Stock!Y116+"'E4!.r~"</f>
        <v>#VALUE!</v>
      </c>
      <c r="EV243" t="e">
        <f>Stock!N117+"'E4!.s#"</f>
        <v>#VALUE!</v>
      </c>
      <c r="EW243" t="e">
        <f>Stock!O117+"'E4!.s$"</f>
        <v>#VALUE!</v>
      </c>
      <c r="EX243" t="e">
        <f>Stock!P117+"'E4!.s%"</f>
        <v>#VALUE!</v>
      </c>
      <c r="EY243" t="e">
        <f>Stock!Q117+"'E4!.s&amp;"</f>
        <v>#VALUE!</v>
      </c>
      <c r="EZ243" t="e">
        <f>Stock!R117+"'E4!.s'"</f>
        <v>#VALUE!</v>
      </c>
      <c r="FA243" s="333" t="e">
        <f>Stock!S117+"'E4!.s("</f>
        <v>#VALUE!</v>
      </c>
      <c r="FB243" s="333" t="e">
        <f>Stock!T117+"'E4!.s)"</f>
        <v>#VALUE!</v>
      </c>
      <c r="FC243" t="e">
        <f>Stock!U117+"'E4!.s."</f>
        <v>#VALUE!</v>
      </c>
      <c r="FD243" t="e">
        <f>Stock!V117+"'E4!.s/"</f>
        <v>#VALUE!</v>
      </c>
      <c r="FE243" t="e">
        <f>Stock!W117+"'E4!.s0"</f>
        <v>#VALUE!</v>
      </c>
      <c r="FF243" t="e">
        <f>Stock!X117+"'E4!.s1"</f>
        <v>#VALUE!</v>
      </c>
      <c r="FG243" t="e">
        <f>Stock!Y117+"'E4!.s2"</f>
        <v>#VALUE!</v>
      </c>
      <c r="FH243" t="e">
        <f>Stock!N118+"'E4!.s3"</f>
        <v>#VALUE!</v>
      </c>
      <c r="FI243" t="e">
        <f>Stock!O118+"'E4!.s4"</f>
        <v>#VALUE!</v>
      </c>
      <c r="FJ243" t="e">
        <f>Stock!P118+"'E4!.s5"</f>
        <v>#VALUE!</v>
      </c>
      <c r="FK243" t="e">
        <f>Stock!Q118+"'E4!.s6"</f>
        <v>#VALUE!</v>
      </c>
      <c r="FL243" t="e">
        <f>Stock!R118+"'E4!.s7"</f>
        <v>#VALUE!</v>
      </c>
      <c r="FM243" s="333" t="e">
        <f>Stock!S118+"'E4!.s8"</f>
        <v>#VALUE!</v>
      </c>
      <c r="FN243" s="333" t="e">
        <f>Stock!T118+"'E4!.s9"</f>
        <v>#VALUE!</v>
      </c>
      <c r="FO243" t="e">
        <f>Stock!U118+"'E4!.s:"</f>
        <v>#VALUE!</v>
      </c>
      <c r="FP243" t="e">
        <f>Stock!V118+"'E4!.s;"</f>
        <v>#VALUE!</v>
      </c>
      <c r="FQ243" t="e">
        <f>Stock!W118+"'E4!.s&lt;"</f>
        <v>#VALUE!</v>
      </c>
      <c r="FR243" t="e">
        <f>Stock!X118+"'E4!.s="</f>
        <v>#VALUE!</v>
      </c>
      <c r="FS243" t="e">
        <f>Stock!Y118+"'E4!.s&gt;"</f>
        <v>#VALUE!</v>
      </c>
      <c r="FT243" t="e">
        <f>Stock!N119+"'E4!.s?"</f>
        <v>#VALUE!</v>
      </c>
      <c r="FU243" t="e">
        <f>Stock!O119+"'E4!.s@"</f>
        <v>#VALUE!</v>
      </c>
      <c r="FV243" t="e">
        <f>Stock!P119+"'E4!.sA"</f>
        <v>#VALUE!</v>
      </c>
      <c r="FW243" t="e">
        <f>Stock!Q119+"'E4!.sB"</f>
        <v>#VALUE!</v>
      </c>
      <c r="FX243" t="e">
        <f>Stock!R119+"'E4!.sC"</f>
        <v>#VALUE!</v>
      </c>
      <c r="FY243" s="333" t="e">
        <f>Stock!S119+"'E4!.sD"</f>
        <v>#VALUE!</v>
      </c>
      <c r="FZ243" s="333" t="e">
        <f>Stock!T119+"'E4!.sE"</f>
        <v>#VALUE!</v>
      </c>
      <c r="GA243" t="e">
        <f>Stock!U119+"'E4!.sF"</f>
        <v>#VALUE!</v>
      </c>
      <c r="GB243" t="e">
        <f>Stock!V119+"'E4!.sG"</f>
        <v>#VALUE!</v>
      </c>
      <c r="GC243" t="e">
        <f>Stock!W119+"'E4!.sH"</f>
        <v>#VALUE!</v>
      </c>
      <c r="GD243" t="e">
        <f>Stock!X119+"'E4!.sI"</f>
        <v>#VALUE!</v>
      </c>
      <c r="GE243" t="e">
        <f>Stock!Y119+"'E4!.sJ"</f>
        <v>#VALUE!</v>
      </c>
      <c r="GF243" t="e">
        <f>Stock!N120+"'E4!.sK"</f>
        <v>#VALUE!</v>
      </c>
      <c r="GG243" t="e">
        <f>Stock!O120+"'E4!.sL"</f>
        <v>#VALUE!</v>
      </c>
      <c r="GH243" t="e">
        <f>Stock!P120+"'E4!.sM"</f>
        <v>#VALUE!</v>
      </c>
      <c r="GI243" t="e">
        <f>Stock!Q120+"'E4!.sN"</f>
        <v>#VALUE!</v>
      </c>
      <c r="GJ243" t="e">
        <f>Stock!R120+"'E4!.sO"</f>
        <v>#VALUE!</v>
      </c>
      <c r="GK243" s="333" t="e">
        <f>Stock!S120+"'E4!.sP"</f>
        <v>#VALUE!</v>
      </c>
      <c r="GL243" s="333" t="e">
        <f>Stock!T120+"'E4!.sQ"</f>
        <v>#VALUE!</v>
      </c>
      <c r="GM243" t="e">
        <f>Stock!U120+"'E4!.sR"</f>
        <v>#VALUE!</v>
      </c>
      <c r="GN243" t="e">
        <f>Stock!V120+"'E4!.sS"</f>
        <v>#VALUE!</v>
      </c>
      <c r="GO243" t="e">
        <f>Stock!W120+"'E4!.sT"</f>
        <v>#VALUE!</v>
      </c>
      <c r="GP243" t="e">
        <f>Stock!X120+"'E4!.sU"</f>
        <v>#VALUE!</v>
      </c>
      <c r="GQ243" t="e">
        <f>Stock!Y120+"'E4!.sV"</f>
        <v>#VALUE!</v>
      </c>
      <c r="GR243" t="e">
        <f>Stock!N121+"'E4!.sW"</f>
        <v>#VALUE!</v>
      </c>
      <c r="GS243" t="e">
        <f>Stock!O121+"'E4!.sX"</f>
        <v>#VALUE!</v>
      </c>
      <c r="GT243" t="e">
        <f>Stock!P121+"'E4!.sY"</f>
        <v>#VALUE!</v>
      </c>
      <c r="GU243" t="e">
        <f>Stock!Q121+"'E4!.sZ"</f>
        <v>#VALUE!</v>
      </c>
      <c r="GV243" t="e">
        <f>Stock!R121+"'E4!.s["</f>
        <v>#VALUE!</v>
      </c>
      <c r="GW243" s="333" t="e">
        <f>Stock!S121+"'E4!.s\"</f>
        <v>#VALUE!</v>
      </c>
      <c r="GX243" s="333" t="e">
        <f>Stock!T121+"'E4!.s]"</f>
        <v>#VALUE!</v>
      </c>
      <c r="GY243" t="e">
        <f>Stock!U121+"'E4!.s^"</f>
        <v>#VALUE!</v>
      </c>
      <c r="GZ243" t="e">
        <f>Stock!V121+"'E4!.s_"</f>
        <v>#VALUE!</v>
      </c>
      <c r="HA243" t="e">
        <f>Stock!W121+"'E4!.s`"</f>
        <v>#VALUE!</v>
      </c>
      <c r="HB243" t="e">
        <f>Stock!X121+"'E4!.sa"</f>
        <v>#VALUE!</v>
      </c>
      <c r="HC243" t="e">
        <f>Stock!Y121+"'E4!.sb"</f>
        <v>#VALUE!</v>
      </c>
      <c r="HD243" t="e">
        <f>Stock!N122+"'E4!.sc"</f>
        <v>#VALUE!</v>
      </c>
      <c r="HE243" t="e">
        <f>Stock!O122+"'E4!.sd"</f>
        <v>#VALUE!</v>
      </c>
      <c r="HF243" t="e">
        <f>Stock!P122+"'E4!.se"</f>
        <v>#VALUE!</v>
      </c>
      <c r="HG243" t="e">
        <f>Stock!Q122+"'E4!.sf"</f>
        <v>#VALUE!</v>
      </c>
      <c r="HH243" t="e">
        <f>Stock!R122+"'E4!.sg"</f>
        <v>#VALUE!</v>
      </c>
      <c r="HI243" s="333" t="e">
        <f>Stock!S122+"'E4!.sh"</f>
        <v>#VALUE!</v>
      </c>
      <c r="HJ243" s="333" t="e">
        <f>Stock!T122+"'E4!.si"</f>
        <v>#VALUE!</v>
      </c>
      <c r="HK243" t="e">
        <f>Stock!U122+"'E4!.sj"</f>
        <v>#VALUE!</v>
      </c>
      <c r="HL243" t="e">
        <f>Stock!V122+"'E4!.sk"</f>
        <v>#VALUE!</v>
      </c>
      <c r="HM243" t="e">
        <f>Stock!W122+"'E4!.sl"</f>
        <v>#VALUE!</v>
      </c>
      <c r="HN243" t="e">
        <f>Stock!X122+"'E4!.sm"</f>
        <v>#VALUE!</v>
      </c>
      <c r="HO243" t="e">
        <f>Stock!Y122+"'E4!.sn"</f>
        <v>#VALUE!</v>
      </c>
      <c r="HP243" t="e">
        <f>Stock!N123+"'E4!.so"</f>
        <v>#VALUE!</v>
      </c>
      <c r="HQ243" t="e">
        <f>Stock!O123+"'E4!.sp"</f>
        <v>#VALUE!</v>
      </c>
      <c r="HR243" t="e">
        <f>Stock!P123+"'E4!.sq"</f>
        <v>#VALUE!</v>
      </c>
      <c r="HS243" t="e">
        <f>Stock!Q123+"'E4!.sr"</f>
        <v>#VALUE!</v>
      </c>
      <c r="HT243" t="e">
        <f>Stock!R123+"'E4!.ss"</f>
        <v>#VALUE!</v>
      </c>
      <c r="HU243" s="333" t="e">
        <f>Stock!S123+"'E4!.st"</f>
        <v>#VALUE!</v>
      </c>
      <c r="HV243" s="333" t="e">
        <f>Stock!T123+"'E4!.su"</f>
        <v>#VALUE!</v>
      </c>
      <c r="HW243" t="e">
        <f>Stock!U123+"'E4!.sv"</f>
        <v>#VALUE!</v>
      </c>
      <c r="HX243" t="e">
        <f>Stock!V123+"'E4!.sw"</f>
        <v>#VALUE!</v>
      </c>
      <c r="HY243" t="e">
        <f>Stock!W123+"'E4!.sx"</f>
        <v>#VALUE!</v>
      </c>
      <c r="HZ243" t="e">
        <f>Stock!X123+"'E4!.sy"</f>
        <v>#VALUE!</v>
      </c>
      <c r="IA243" t="e">
        <f>Stock!Y123+"'E4!.sz"</f>
        <v>#VALUE!</v>
      </c>
      <c r="IB243" t="e">
        <f>Stock!N124+"'E4!.s{"</f>
        <v>#VALUE!</v>
      </c>
      <c r="IC243" t="e">
        <f>Stock!O124+"'E4!.s|"</f>
        <v>#VALUE!</v>
      </c>
      <c r="ID243" t="e">
        <f>Stock!P124+"'E4!.s}"</f>
        <v>#VALUE!</v>
      </c>
      <c r="IE243" t="e">
        <f>Stock!Q124+"'E4!.s~"</f>
        <v>#VALUE!</v>
      </c>
      <c r="IF243" t="e">
        <f>Stock!R124+"'E4!.t#"</f>
        <v>#VALUE!</v>
      </c>
      <c r="IG243" s="333" t="e">
        <f>Stock!S124+"'E4!.t$"</f>
        <v>#VALUE!</v>
      </c>
      <c r="IH243" s="333" t="e">
        <f>Stock!T124+"'E4!.t%"</f>
        <v>#VALUE!</v>
      </c>
      <c r="II243" t="e">
        <f>Stock!U124+"'E4!.t&amp;"</f>
        <v>#VALUE!</v>
      </c>
      <c r="IJ243" t="e">
        <f>Stock!V124+"'E4!.t'"</f>
        <v>#VALUE!</v>
      </c>
      <c r="IK243" t="e">
        <f>Stock!W124+"'E4!.t("</f>
        <v>#VALUE!</v>
      </c>
      <c r="IL243" t="e">
        <f>Stock!X124+"'E4!.t)"</f>
        <v>#VALUE!</v>
      </c>
      <c r="IM243" t="e">
        <f>Stock!Y124+"'E4!.t."</f>
        <v>#VALUE!</v>
      </c>
      <c r="IN243" t="e">
        <f>Stock!N125+"'E4!.t/"</f>
        <v>#VALUE!</v>
      </c>
      <c r="IO243" t="e">
        <f>Stock!O125+"'E4!.t0"</f>
        <v>#VALUE!</v>
      </c>
      <c r="IP243" t="e">
        <f>Stock!P125+"'E4!.t1"</f>
        <v>#VALUE!</v>
      </c>
      <c r="IQ243" t="e">
        <f>Stock!Q125+"'E4!.t2"</f>
        <v>#VALUE!</v>
      </c>
      <c r="IR243" t="e">
        <f>Stock!R125+"'E4!.t3"</f>
        <v>#VALUE!</v>
      </c>
      <c r="IS243" s="333" t="e">
        <f>Stock!S125+"'E4!.t4"</f>
        <v>#VALUE!</v>
      </c>
      <c r="IT243" s="333" t="e">
        <f>Stock!T125+"'E4!.t5"</f>
        <v>#VALUE!</v>
      </c>
      <c r="IU243" t="e">
        <f>Stock!U125+"'E4!.t6"</f>
        <v>#VALUE!</v>
      </c>
      <c r="IV243" t="e">
        <f>Stock!V125+"'E4!.t7"</f>
        <v>#VALUE!</v>
      </c>
    </row>
    <row r="244" spans="6:256">
      <c r="F244" t="e">
        <f>Stock!W125+"'E4!.t8"</f>
        <v>#VALUE!</v>
      </c>
      <c r="G244" t="e">
        <f>Stock!X125+"'E4!.t9"</f>
        <v>#VALUE!</v>
      </c>
      <c r="H244" t="e">
        <f>Stock!Y125+"'E4!.t:"</f>
        <v>#VALUE!</v>
      </c>
      <c r="I244" t="e">
        <f>Stock!N126+"'E4!.t;"</f>
        <v>#VALUE!</v>
      </c>
      <c r="J244" t="e">
        <f>Stock!O126+"'E4!.t&lt;"</f>
        <v>#VALUE!</v>
      </c>
      <c r="K244" t="e">
        <f>Stock!P126+"'E4!.t="</f>
        <v>#VALUE!</v>
      </c>
      <c r="L244" t="e">
        <f>Stock!Q126+"'E4!.t&gt;"</f>
        <v>#VALUE!</v>
      </c>
      <c r="M244" t="e">
        <f>Stock!R126+"'E4!.t?"</f>
        <v>#VALUE!</v>
      </c>
      <c r="N244" s="333" t="e">
        <f>Stock!S126+"'E4!.t@"</f>
        <v>#VALUE!</v>
      </c>
      <c r="O244" s="333" t="e">
        <f>Stock!T126+"'E4!.tA"</f>
        <v>#VALUE!</v>
      </c>
      <c r="P244" t="e">
        <f>Stock!U126+"'E4!.tB"</f>
        <v>#VALUE!</v>
      </c>
      <c r="Q244" t="e">
        <f>Stock!V126+"'E4!.tC"</f>
        <v>#VALUE!</v>
      </c>
      <c r="R244" t="e">
        <f>Stock!W126+"'E4!.tD"</f>
        <v>#VALUE!</v>
      </c>
      <c r="S244" t="e">
        <f>Stock!X126+"'E4!.tE"</f>
        <v>#VALUE!</v>
      </c>
      <c r="T244" t="e">
        <f>Stock!Y126+"'E4!.tF"</f>
        <v>#VALUE!</v>
      </c>
      <c r="U244" t="e">
        <f>Stock!N127+"'E4!.tG"</f>
        <v>#VALUE!</v>
      </c>
      <c r="V244" t="e">
        <f>Stock!O127+"'E4!.tH"</f>
        <v>#VALUE!</v>
      </c>
      <c r="W244" t="e">
        <f>Stock!P127+"'E4!.tI"</f>
        <v>#VALUE!</v>
      </c>
      <c r="X244" t="e">
        <f>Stock!Q127+"'E4!.tJ"</f>
        <v>#VALUE!</v>
      </c>
      <c r="Y244" t="e">
        <f>Stock!R127+"'E4!.tK"</f>
        <v>#VALUE!</v>
      </c>
      <c r="Z244" s="333" t="e">
        <f>Stock!S127+"'E4!.tL"</f>
        <v>#VALUE!</v>
      </c>
      <c r="AA244" s="333" t="e">
        <f>Stock!T127+"'E4!.tM"</f>
        <v>#VALUE!</v>
      </c>
      <c r="AB244" t="e">
        <f>Stock!U127+"'E4!.tN"</f>
        <v>#VALUE!</v>
      </c>
      <c r="AC244" t="e">
        <f>Stock!V127+"'E4!.tO"</f>
        <v>#VALUE!</v>
      </c>
      <c r="AD244" t="e">
        <f>Stock!W127+"'E4!.tP"</f>
        <v>#VALUE!</v>
      </c>
      <c r="AE244" t="e">
        <f>Stock!X127+"'E4!.tQ"</f>
        <v>#VALUE!</v>
      </c>
      <c r="AF244" t="e">
        <f>Stock!Y127+"'E4!.tR"</f>
        <v>#VALUE!</v>
      </c>
      <c r="AG244" t="e">
        <f>Stock!N128+"'E4!.tS"</f>
        <v>#VALUE!</v>
      </c>
      <c r="AH244" t="e">
        <f>Stock!O128+"'E4!.tT"</f>
        <v>#VALUE!</v>
      </c>
      <c r="AI244" t="e">
        <f>Stock!P128+"'E4!.tU"</f>
        <v>#VALUE!</v>
      </c>
      <c r="AJ244" t="e">
        <f>Stock!Q128+"'E4!.tV"</f>
        <v>#VALUE!</v>
      </c>
      <c r="AK244" t="e">
        <f>Stock!R128+"'E4!.tW"</f>
        <v>#VALUE!</v>
      </c>
      <c r="AL244" s="333" t="e">
        <f>Stock!S128+"'E4!.tX"</f>
        <v>#VALUE!</v>
      </c>
      <c r="AM244" s="333" t="e">
        <f>Stock!T128+"'E4!.tY"</f>
        <v>#VALUE!</v>
      </c>
      <c r="AN244" t="e">
        <f>Stock!U128+"'E4!.tZ"</f>
        <v>#VALUE!</v>
      </c>
      <c r="AO244" t="e">
        <f>Stock!V128+"'E4!.t["</f>
        <v>#VALUE!</v>
      </c>
      <c r="AP244" t="e">
        <f>Stock!W128+"'E4!.t\"</f>
        <v>#VALUE!</v>
      </c>
      <c r="AQ244" t="e">
        <f>Stock!X128+"'E4!.t]"</f>
        <v>#VALUE!</v>
      </c>
      <c r="AR244" t="e">
        <f>Stock!Y128+"'E4!.t^"</f>
        <v>#VALUE!</v>
      </c>
      <c r="AS244" t="e">
        <f>Stock!N129+"'E4!.t_"</f>
        <v>#VALUE!</v>
      </c>
      <c r="AT244" t="e">
        <f>Stock!O129+"'E4!.t`"</f>
        <v>#VALUE!</v>
      </c>
      <c r="AU244" t="e">
        <f>Stock!P129+"'E4!.ta"</f>
        <v>#VALUE!</v>
      </c>
      <c r="AV244" t="e">
        <f>Stock!Q129+"'E4!.tb"</f>
        <v>#VALUE!</v>
      </c>
      <c r="AW244" t="e">
        <f>Stock!R129+"'E4!.tc"</f>
        <v>#VALUE!</v>
      </c>
      <c r="AX244" s="333" t="e">
        <f>Stock!S129+"'E4!.td"</f>
        <v>#VALUE!</v>
      </c>
      <c r="AY244" s="333" t="e">
        <f>Stock!T129+"'E4!.te"</f>
        <v>#VALUE!</v>
      </c>
      <c r="AZ244" t="e">
        <f>Stock!U129+"'E4!.tf"</f>
        <v>#VALUE!</v>
      </c>
      <c r="BA244" t="e">
        <f>Stock!V129+"'E4!.tg"</f>
        <v>#VALUE!</v>
      </c>
      <c r="BB244" t="e">
        <f>Stock!W129+"'E4!.th"</f>
        <v>#VALUE!</v>
      </c>
      <c r="BC244" t="e">
        <f>Stock!X129+"'E4!.ti"</f>
        <v>#VALUE!</v>
      </c>
      <c r="BD244" t="e">
        <f>Stock!Y129+"'E4!.tj"</f>
        <v>#VALUE!</v>
      </c>
      <c r="BE244" t="e">
        <f>Stock!N130+"'E4!.tk"</f>
        <v>#VALUE!</v>
      </c>
      <c r="BF244" t="e">
        <f>Stock!O130+"'E4!.tl"</f>
        <v>#VALUE!</v>
      </c>
      <c r="BG244" t="e">
        <f>Stock!P130+"'E4!.tm"</f>
        <v>#VALUE!</v>
      </c>
      <c r="BH244" t="e">
        <f>Stock!Q130+"'E4!.tn"</f>
        <v>#VALUE!</v>
      </c>
      <c r="BI244" t="e">
        <f>Stock!R130+"'E4!.to"</f>
        <v>#VALUE!</v>
      </c>
      <c r="BJ244" t="e">
        <f>Stock!S130+"'E4!.tp"</f>
        <v>#VALUE!</v>
      </c>
      <c r="BK244" t="e">
        <f>Stock!T130+"'E4!.tq"</f>
        <v>#VALUE!</v>
      </c>
      <c r="BL244" t="e">
        <f>Stock!U130+"'E4!.tr"</f>
        <v>#VALUE!</v>
      </c>
      <c r="BM244" t="e">
        <f>Stock!V130+"'E4!.ts"</f>
        <v>#VALUE!</v>
      </c>
      <c r="BN244" t="e">
        <f>Stock!W130+"'E4!.tt"</f>
        <v>#VALUE!</v>
      </c>
      <c r="BO244" t="e">
        <f>Stock!X130+"'E4!.tu"</f>
        <v>#VALUE!</v>
      </c>
      <c r="BP244" t="e">
        <f>Stock!Y130+"'E4!.tv"</f>
        <v>#VALUE!</v>
      </c>
      <c r="BQ244" t="e">
        <f>Stock!N131+"'E4!.tw"</f>
        <v>#VALUE!</v>
      </c>
      <c r="BR244" t="e">
        <f>Stock!O131+"'E4!.tx"</f>
        <v>#VALUE!</v>
      </c>
      <c r="BS244" t="e">
        <f>Stock!P131+"'E4!.ty"</f>
        <v>#VALUE!</v>
      </c>
      <c r="BT244" t="e">
        <f>Stock!Q131+"'E4!.tz"</f>
        <v>#VALUE!</v>
      </c>
      <c r="BU244" t="e">
        <f>Stock!R131+"'E4!.t{"</f>
        <v>#VALUE!</v>
      </c>
      <c r="BV244" t="e">
        <f>Stock!S131+"'E4!.t|"</f>
        <v>#VALUE!</v>
      </c>
      <c r="BW244" t="e">
        <f>Stock!T131+"'E4!.t}"</f>
        <v>#VALUE!</v>
      </c>
      <c r="BX244" t="e">
        <f>Stock!U131+"'E4!.t~"</f>
        <v>#VALUE!</v>
      </c>
      <c r="BY244" t="e">
        <f>Stock!V131+"'E4!.u#"</f>
        <v>#VALUE!</v>
      </c>
      <c r="BZ244" t="e">
        <f>Stock!W131+"'E4!.u$"</f>
        <v>#VALUE!</v>
      </c>
      <c r="CA244" t="e">
        <f>Stock!X131+"'E4!.u%"</f>
        <v>#VALUE!</v>
      </c>
      <c r="CB244" t="e">
        <f>Stock!Y131+"'E4!.u&amp;"</f>
        <v>#VALUE!</v>
      </c>
      <c r="CC244" t="e">
        <f>Stock!N132+"'E4!.u'"</f>
        <v>#VALUE!</v>
      </c>
      <c r="CD244" t="e">
        <f>Stock!O132+"'E4!.u("</f>
        <v>#VALUE!</v>
      </c>
      <c r="CE244" t="e">
        <f>Stock!P132+"'E4!.u)"</f>
        <v>#VALUE!</v>
      </c>
      <c r="CF244" t="e">
        <f>Stock!Q132+"'E4!.u."</f>
        <v>#VALUE!</v>
      </c>
      <c r="CG244" t="e">
        <f>Stock!R132+"'E4!.u/"</f>
        <v>#VALUE!</v>
      </c>
      <c r="CH244" s="333" t="e">
        <f>Stock!S132+"'E4!.u0"</f>
        <v>#VALUE!</v>
      </c>
      <c r="CI244" s="333" t="e">
        <f>Stock!T132+"'E4!.u1"</f>
        <v>#VALUE!</v>
      </c>
      <c r="CJ244" t="e">
        <f>Stock!U132+"'E4!.u2"</f>
        <v>#VALUE!</v>
      </c>
      <c r="CK244" t="e">
        <f>Stock!V132+"'E4!.u3"</f>
        <v>#VALUE!</v>
      </c>
      <c r="CL244" t="e">
        <f>Stock!W132+"'E4!.u4"</f>
        <v>#VALUE!</v>
      </c>
      <c r="CM244" t="e">
        <f>Stock!X132+"'E4!.u5"</f>
        <v>#VALUE!</v>
      </c>
      <c r="CN244" t="e">
        <f>Stock!Y132+"'E4!.u6"</f>
        <v>#VALUE!</v>
      </c>
      <c r="CO244" t="e">
        <f>Stock!N133+"'E4!.u7"</f>
        <v>#VALUE!</v>
      </c>
      <c r="CP244" t="e">
        <f>Stock!O133+"'E4!.u8"</f>
        <v>#VALUE!</v>
      </c>
      <c r="CQ244" t="e">
        <f>Stock!P133+"'E4!.u9"</f>
        <v>#VALUE!</v>
      </c>
      <c r="CR244" t="e">
        <f>Stock!Q133+"'E4!.u:"</f>
        <v>#VALUE!</v>
      </c>
      <c r="CS244" t="e">
        <f>Stock!R133+"'E4!.u;"</f>
        <v>#VALUE!</v>
      </c>
      <c r="CT244" s="333" t="e">
        <f>Stock!S133+"'E4!.u&lt;"</f>
        <v>#VALUE!</v>
      </c>
      <c r="CU244" s="333" t="e">
        <f>Stock!T133+"'E4!.u="</f>
        <v>#VALUE!</v>
      </c>
      <c r="CV244" t="e">
        <f>Stock!U133+"'E4!.u&gt;"</f>
        <v>#VALUE!</v>
      </c>
      <c r="CW244" t="e">
        <f>Stock!V133+"'E4!.u?"</f>
        <v>#VALUE!</v>
      </c>
      <c r="CX244" t="e">
        <f>Stock!W133+"'E4!.u@"</f>
        <v>#VALUE!</v>
      </c>
      <c r="CY244" t="e">
        <f>Stock!X133+"'E4!.uA"</f>
        <v>#VALUE!</v>
      </c>
      <c r="CZ244" t="e">
        <f>Stock!Y133+"'E4!.uB"</f>
        <v>#VALUE!</v>
      </c>
      <c r="DA244" t="e">
        <f>Stock!N134+"'E4!.uC"</f>
        <v>#VALUE!</v>
      </c>
      <c r="DB244" t="e">
        <f>Stock!O134+"'E4!.uD"</f>
        <v>#VALUE!</v>
      </c>
      <c r="DC244" t="e">
        <f>Stock!P134+"'E4!.uE"</f>
        <v>#VALUE!</v>
      </c>
      <c r="DD244" t="e">
        <f>Stock!Q134+"'E4!.uF"</f>
        <v>#VALUE!</v>
      </c>
      <c r="DE244" t="e">
        <f>Stock!R134+"'E4!.uG"</f>
        <v>#VALUE!</v>
      </c>
      <c r="DF244" s="333" t="e">
        <f>Stock!S134+"'E4!.uH"</f>
        <v>#VALUE!</v>
      </c>
      <c r="DG244" s="333" t="e">
        <f>Stock!T134+"'E4!.uI"</f>
        <v>#VALUE!</v>
      </c>
      <c r="DH244" t="e">
        <f>Stock!U134+"'E4!.uJ"</f>
        <v>#VALUE!</v>
      </c>
      <c r="DI244" t="e">
        <f>Stock!V134+"'E4!.uK"</f>
        <v>#VALUE!</v>
      </c>
      <c r="DJ244" t="e">
        <f>Stock!W134+"'E4!.uL"</f>
        <v>#VALUE!</v>
      </c>
      <c r="DK244" t="e">
        <f>Stock!X134+"'E4!.uM"</f>
        <v>#VALUE!</v>
      </c>
      <c r="DL244" t="e">
        <f>Stock!Y134+"'E4!.uN"</f>
        <v>#VALUE!</v>
      </c>
      <c r="DM244" t="e">
        <f>Stock!N135+"'E4!.uO"</f>
        <v>#VALUE!</v>
      </c>
      <c r="DN244" t="e">
        <f>Stock!O135+"'E4!.uP"</f>
        <v>#VALUE!</v>
      </c>
      <c r="DO244" t="e">
        <f>Stock!P135+"'E4!.uQ"</f>
        <v>#VALUE!</v>
      </c>
      <c r="DP244" t="e">
        <f>Stock!Q135+"'E4!.uR"</f>
        <v>#VALUE!</v>
      </c>
      <c r="DQ244" t="e">
        <f>Stock!R135+"'E4!.uS"</f>
        <v>#VALUE!</v>
      </c>
      <c r="DR244" s="333" t="e">
        <f>Stock!S135+"'E4!.uT"</f>
        <v>#VALUE!</v>
      </c>
      <c r="DS244" s="333" t="e">
        <f>Stock!T135+"'E4!.uU"</f>
        <v>#VALUE!</v>
      </c>
      <c r="DT244" t="e">
        <f>Stock!U135+"'E4!.uV"</f>
        <v>#VALUE!</v>
      </c>
      <c r="DU244" t="e">
        <f>Stock!V135+"'E4!.uW"</f>
        <v>#VALUE!</v>
      </c>
      <c r="DV244" t="e">
        <f>Stock!W135+"'E4!.uX"</f>
        <v>#VALUE!</v>
      </c>
      <c r="DW244" t="e">
        <f>Stock!X135+"'E4!.uY"</f>
        <v>#VALUE!</v>
      </c>
      <c r="DX244" t="e">
        <f>Stock!Y135+"'E4!.uZ"</f>
        <v>#VALUE!</v>
      </c>
      <c r="DY244" t="e">
        <f>Stock!N136+"'E4!.u["</f>
        <v>#VALUE!</v>
      </c>
      <c r="DZ244" t="e">
        <f>Stock!O136+"'E4!.u\"</f>
        <v>#VALUE!</v>
      </c>
      <c r="EA244" t="e">
        <f>Stock!P136+"'E4!.u]"</f>
        <v>#VALUE!</v>
      </c>
      <c r="EB244" t="e">
        <f>Stock!Q136+"'E4!.u^"</f>
        <v>#VALUE!</v>
      </c>
      <c r="EC244" t="e">
        <f>Stock!R136+"'E4!.u_"</f>
        <v>#VALUE!</v>
      </c>
      <c r="ED244" s="333" t="e">
        <f>Stock!S136+"'E4!.u`"</f>
        <v>#VALUE!</v>
      </c>
      <c r="EE244" s="333" t="e">
        <f>Stock!T136+"'E4!.ua"</f>
        <v>#VALUE!</v>
      </c>
      <c r="EF244" t="e">
        <f>Stock!U136+"'E4!.ub"</f>
        <v>#VALUE!</v>
      </c>
      <c r="EG244" t="e">
        <f>Stock!V136+"'E4!.uc"</f>
        <v>#VALUE!</v>
      </c>
      <c r="EH244" t="e">
        <f>Stock!W136+"'E4!.ud"</f>
        <v>#VALUE!</v>
      </c>
      <c r="EI244" t="e">
        <f>Stock!X136+"'E4!.ue"</f>
        <v>#VALUE!</v>
      </c>
      <c r="EJ244" t="e">
        <f>Stock!Y136+"'E4!.uf"</f>
        <v>#VALUE!</v>
      </c>
      <c r="EK244" t="e">
        <f>Stock!N137+"'E4!.ug"</f>
        <v>#VALUE!</v>
      </c>
      <c r="EL244" t="e">
        <f>Stock!O137+"'E4!.uh"</f>
        <v>#VALUE!</v>
      </c>
      <c r="EM244" t="e">
        <f>Stock!P137+"'E4!.ui"</f>
        <v>#VALUE!</v>
      </c>
      <c r="EN244" t="e">
        <f>Stock!Q137+"'E4!.uj"</f>
        <v>#VALUE!</v>
      </c>
      <c r="EO244" t="e">
        <f>Stock!R137+"'E4!.uk"</f>
        <v>#VALUE!</v>
      </c>
      <c r="EP244" s="333" t="e">
        <f>Stock!S137+"'E4!.ul"</f>
        <v>#VALUE!</v>
      </c>
      <c r="EQ244" s="333" t="e">
        <f>Stock!T137+"'E4!.um"</f>
        <v>#VALUE!</v>
      </c>
      <c r="ER244" t="e">
        <f>Stock!U137+"'E4!.un"</f>
        <v>#VALUE!</v>
      </c>
      <c r="ES244" t="e">
        <f>Stock!V137+"'E4!.uo"</f>
        <v>#VALUE!</v>
      </c>
      <c r="ET244" t="e">
        <f>Stock!W137+"'E4!.up"</f>
        <v>#VALUE!</v>
      </c>
      <c r="EU244" t="e">
        <f>Stock!X137+"'E4!.uq"</f>
        <v>#VALUE!</v>
      </c>
      <c r="EV244" t="e">
        <f>Stock!Y137+"'E4!.ur"</f>
        <v>#VALUE!</v>
      </c>
      <c r="EW244" t="e">
        <f>Stock!N138+"'E4!.us"</f>
        <v>#VALUE!</v>
      </c>
      <c r="EX244" t="e">
        <f>Stock!O138+"'E4!.ut"</f>
        <v>#VALUE!</v>
      </c>
      <c r="EY244" t="e">
        <f>Stock!P138+"'E4!.uu"</f>
        <v>#VALUE!</v>
      </c>
      <c r="EZ244" t="e">
        <f>Stock!Q138+"'E4!.uv"</f>
        <v>#VALUE!</v>
      </c>
      <c r="FA244" t="e">
        <f>Stock!R138+"'E4!.uw"</f>
        <v>#VALUE!</v>
      </c>
      <c r="FB244" s="333" t="e">
        <f>Stock!S138+"'E4!.ux"</f>
        <v>#VALUE!</v>
      </c>
      <c r="FC244" s="333" t="e">
        <f>Stock!T138+"'E4!.uy"</f>
        <v>#VALUE!</v>
      </c>
      <c r="FD244" t="e">
        <f>Stock!U138+"'E4!.uz"</f>
        <v>#VALUE!</v>
      </c>
      <c r="FE244" t="e">
        <f>Stock!V138+"'E4!.u{"</f>
        <v>#VALUE!</v>
      </c>
      <c r="FF244" t="e">
        <f>Stock!W138+"'E4!.u|"</f>
        <v>#VALUE!</v>
      </c>
      <c r="FG244" t="e">
        <f>Stock!X138+"'E4!.u}"</f>
        <v>#VALUE!</v>
      </c>
      <c r="FH244" t="e">
        <f>Stock!Y138+"'E4!.u~"</f>
        <v>#VALUE!</v>
      </c>
      <c r="FI244" t="e">
        <f>Stock!N139+"'E4!.v#"</f>
        <v>#VALUE!</v>
      </c>
      <c r="FJ244" t="e">
        <f>Stock!O139+"'E4!.v$"</f>
        <v>#VALUE!</v>
      </c>
      <c r="FK244" t="e">
        <f>Stock!P139+"'E4!.v%"</f>
        <v>#VALUE!</v>
      </c>
      <c r="FL244" t="e">
        <f>Stock!Q139+"'E4!.v&amp;"</f>
        <v>#VALUE!</v>
      </c>
      <c r="FM244" t="e">
        <f>Stock!R139+"'E4!.v'"</f>
        <v>#VALUE!</v>
      </c>
      <c r="FN244" s="333" t="e">
        <f>Stock!S139+"'E4!.v("</f>
        <v>#VALUE!</v>
      </c>
      <c r="FO244" s="333" t="e">
        <f>Stock!T139+"'E4!.v)"</f>
        <v>#VALUE!</v>
      </c>
      <c r="FP244" t="e">
        <f>Stock!U139+"'E4!.v."</f>
        <v>#VALUE!</v>
      </c>
      <c r="FQ244" t="e">
        <f>Stock!V139+"'E4!.v/"</f>
        <v>#VALUE!</v>
      </c>
      <c r="FR244" t="e">
        <f>Stock!W139+"'E4!.v0"</f>
        <v>#VALUE!</v>
      </c>
      <c r="FS244" t="e">
        <f>Stock!X139+"'E4!.v1"</f>
        <v>#VALUE!</v>
      </c>
      <c r="FT244" t="e">
        <f>Stock!Y139+"'E4!.v2"</f>
        <v>#VALUE!</v>
      </c>
      <c r="FU244" t="e">
        <f>Stock!N140+"'E4!.v3"</f>
        <v>#VALUE!</v>
      </c>
      <c r="FV244" t="e">
        <f>Stock!O140+"'E4!.v4"</f>
        <v>#VALUE!</v>
      </c>
      <c r="FW244" t="e">
        <f>Stock!P140+"'E4!.v5"</f>
        <v>#VALUE!</v>
      </c>
      <c r="FX244" t="e">
        <f>Stock!Q140+"'E4!.v6"</f>
        <v>#VALUE!</v>
      </c>
      <c r="FY244" t="e">
        <f>Stock!R140+"'E4!.v7"</f>
        <v>#VALUE!</v>
      </c>
      <c r="FZ244" s="333" t="e">
        <f>Stock!S140+"'E4!.v8"</f>
        <v>#VALUE!</v>
      </c>
      <c r="GA244" s="333" t="e">
        <f>Stock!T140+"'E4!.v9"</f>
        <v>#VALUE!</v>
      </c>
      <c r="GB244" t="e">
        <f>Stock!U140+"'E4!.v:"</f>
        <v>#VALUE!</v>
      </c>
      <c r="GC244" t="e">
        <f>Stock!V140+"'E4!.v;"</f>
        <v>#VALUE!</v>
      </c>
      <c r="GD244" t="e">
        <f>Stock!W140+"'E4!.v&lt;"</f>
        <v>#VALUE!</v>
      </c>
      <c r="GE244" t="e">
        <f>Stock!X140+"'E4!.v="</f>
        <v>#VALUE!</v>
      </c>
      <c r="GF244" t="e">
        <f>Stock!Y140+"'E4!.v&gt;"</f>
        <v>#VALUE!</v>
      </c>
      <c r="GG244" t="e">
        <f>Stock!N141+"'E4!.v?"</f>
        <v>#VALUE!</v>
      </c>
      <c r="GH244" t="e">
        <f>Stock!O141+"'E4!.v@"</f>
        <v>#VALUE!</v>
      </c>
      <c r="GI244" t="e">
        <f>Stock!P141+"'E4!.vA"</f>
        <v>#VALUE!</v>
      </c>
      <c r="GJ244" t="e">
        <f>Stock!Q141+"'E4!.vB"</f>
        <v>#VALUE!</v>
      </c>
      <c r="GK244" t="e">
        <f>Stock!R141+"'E4!.vC"</f>
        <v>#VALUE!</v>
      </c>
      <c r="GL244" s="333" t="e">
        <f>Stock!S141+"'E4!.vD"</f>
        <v>#VALUE!</v>
      </c>
      <c r="GM244" s="333" t="e">
        <f>Stock!T141+"'E4!.vE"</f>
        <v>#VALUE!</v>
      </c>
      <c r="GN244" t="e">
        <f>Stock!U141+"'E4!.vF"</f>
        <v>#VALUE!</v>
      </c>
      <c r="GO244" t="e">
        <f>Stock!V141+"'E4!.vG"</f>
        <v>#VALUE!</v>
      </c>
      <c r="GP244" t="e">
        <f>Stock!W141+"'E4!.vH"</f>
        <v>#VALUE!</v>
      </c>
      <c r="GQ244" t="e">
        <f>Stock!X141+"'E4!.vI"</f>
        <v>#VALUE!</v>
      </c>
      <c r="GR244" t="e">
        <f>Stock!Y141+"'E4!.vJ"</f>
        <v>#VALUE!</v>
      </c>
      <c r="GS244" t="e">
        <f>Stock!N142+"'E4!.vK"</f>
        <v>#VALUE!</v>
      </c>
      <c r="GT244" t="e">
        <f>Stock!O142+"'E4!.vL"</f>
        <v>#VALUE!</v>
      </c>
      <c r="GU244" t="e">
        <f>Stock!P142+"'E4!.vM"</f>
        <v>#VALUE!</v>
      </c>
      <c r="GV244" t="e">
        <f>Stock!Q142+"'E4!.vN"</f>
        <v>#VALUE!</v>
      </c>
      <c r="GW244" t="e">
        <f>Stock!R142+"'E4!.vO"</f>
        <v>#VALUE!</v>
      </c>
      <c r="GX244" s="333" t="e">
        <f>Stock!S142+"'E4!.vP"</f>
        <v>#VALUE!</v>
      </c>
      <c r="GY244" s="333" t="e">
        <f>Stock!T142+"'E4!.vQ"</f>
        <v>#VALUE!</v>
      </c>
      <c r="GZ244" t="e">
        <f>Stock!U142+"'E4!.vR"</f>
        <v>#VALUE!</v>
      </c>
      <c r="HA244" t="e">
        <f>Stock!V142+"'E4!.vS"</f>
        <v>#VALUE!</v>
      </c>
      <c r="HB244" t="e">
        <f>Stock!W142+"'E4!.vT"</f>
        <v>#VALUE!</v>
      </c>
      <c r="HC244" t="e">
        <f>Stock!X142+"'E4!.vU"</f>
        <v>#VALUE!</v>
      </c>
      <c r="HD244" t="e">
        <f>Stock!Y142+"'E4!.vV"</f>
        <v>#VALUE!</v>
      </c>
      <c r="HE244" t="e">
        <f>Stock!N143+"'E4!.vW"</f>
        <v>#VALUE!</v>
      </c>
      <c r="HF244" t="e">
        <f>Stock!O143+"'E4!.vX"</f>
        <v>#VALUE!</v>
      </c>
      <c r="HG244" t="e">
        <f>Stock!P143+"'E4!.vY"</f>
        <v>#VALUE!</v>
      </c>
      <c r="HH244" t="e">
        <f>Stock!Q143+"'E4!.vZ"</f>
        <v>#VALUE!</v>
      </c>
      <c r="HI244" t="e">
        <f>Stock!R143+"'E4!.v["</f>
        <v>#VALUE!</v>
      </c>
      <c r="HJ244" s="333" t="e">
        <f>Stock!S143+"'E4!.v\"</f>
        <v>#VALUE!</v>
      </c>
      <c r="HK244" s="333" t="e">
        <f>Stock!T143+"'E4!.v]"</f>
        <v>#VALUE!</v>
      </c>
      <c r="HL244" t="e">
        <f>Stock!U143+"'E4!.v^"</f>
        <v>#VALUE!</v>
      </c>
      <c r="HM244" t="e">
        <f>Stock!V143+"'E4!.v_"</f>
        <v>#VALUE!</v>
      </c>
      <c r="HN244" t="e">
        <f>Stock!W143+"'E4!.v`"</f>
        <v>#VALUE!</v>
      </c>
      <c r="HO244" t="e">
        <f>Stock!X143+"'E4!.va"</f>
        <v>#VALUE!</v>
      </c>
      <c r="HP244" t="e">
        <f>Stock!Y143+"'E4!.vb"</f>
        <v>#VALUE!</v>
      </c>
      <c r="HQ244" t="e">
        <f>Stock!N144+"'E4!.vc"</f>
        <v>#VALUE!</v>
      </c>
      <c r="HR244" t="e">
        <f>Stock!O144+"'E4!.vd"</f>
        <v>#VALUE!</v>
      </c>
      <c r="HS244" t="e">
        <f>Stock!P144+"'E4!.ve"</f>
        <v>#VALUE!</v>
      </c>
      <c r="HT244" t="e">
        <f>Stock!Q144+"'E4!.vf"</f>
        <v>#VALUE!</v>
      </c>
      <c r="HU244" t="e">
        <f>Stock!R144+"'E4!.vg"</f>
        <v>#VALUE!</v>
      </c>
      <c r="HV244" s="333" t="e">
        <f>Stock!S144+"'E4!.vh"</f>
        <v>#VALUE!</v>
      </c>
      <c r="HW244" s="333" t="e">
        <f>Stock!T144+"'E4!.vi"</f>
        <v>#VALUE!</v>
      </c>
      <c r="HX244" t="e">
        <f>Stock!U144+"'E4!.vj"</f>
        <v>#VALUE!</v>
      </c>
      <c r="HY244" s="333" t="e">
        <f>Stock!V144+"'E4!.vk"</f>
        <v>#VALUE!</v>
      </c>
      <c r="HZ244" s="333" t="e">
        <f>Stock!W144+"'E4!.vl"</f>
        <v>#VALUE!</v>
      </c>
      <c r="IA244" t="e">
        <f>Stock!X144+"'E4!.vm"</f>
        <v>#VALUE!</v>
      </c>
      <c r="IB244" t="e">
        <f>Stock!Y144+"'E4!.vn"</f>
        <v>#VALUE!</v>
      </c>
      <c r="IC244" t="e">
        <f>Stock!N145+"'E4!.vo"</f>
        <v>#VALUE!</v>
      </c>
      <c r="ID244" t="e">
        <f>Stock!O145+"'E4!.vp"</f>
        <v>#VALUE!</v>
      </c>
      <c r="IE244" t="e">
        <f>Stock!P145+"'E4!.vq"</f>
        <v>#VALUE!</v>
      </c>
      <c r="IF244" t="e">
        <f>Stock!Q145+"'E4!.vr"</f>
        <v>#VALUE!</v>
      </c>
      <c r="IG244" t="e">
        <f>Stock!R145+"'E4!.vs"</f>
        <v>#VALUE!</v>
      </c>
      <c r="IH244" s="333" t="e">
        <f>Stock!S145+"'E4!.vt"</f>
        <v>#VALUE!</v>
      </c>
      <c r="II244" s="333" t="e">
        <f>Stock!T145+"'E4!.vu"</f>
        <v>#VALUE!</v>
      </c>
      <c r="IJ244" t="e">
        <f>Stock!U145+"'E4!.vv"</f>
        <v>#VALUE!</v>
      </c>
      <c r="IK244" s="333" t="e">
        <f>Stock!V145+"'E4!.vw"</f>
        <v>#VALUE!</v>
      </c>
      <c r="IL244" s="333" t="e">
        <f>Stock!W145+"'E4!.vx"</f>
        <v>#VALUE!</v>
      </c>
      <c r="IM244" t="e">
        <f>Stock!X145+"'E4!.vy"</f>
        <v>#VALUE!</v>
      </c>
      <c r="IN244" t="e">
        <f>Stock!Y145+"'E4!.vz"</f>
        <v>#VALUE!</v>
      </c>
      <c r="IO244" t="e">
        <f>Stock!N146+"'E4!.v{"</f>
        <v>#VALUE!</v>
      </c>
      <c r="IP244" t="e">
        <f>Stock!O146+"'E4!.v|"</f>
        <v>#VALUE!</v>
      </c>
      <c r="IQ244" t="e">
        <f>Stock!P146+"'E4!.v}"</f>
        <v>#VALUE!</v>
      </c>
      <c r="IR244" t="e">
        <f>Stock!Q146+"'E4!.v~"</f>
        <v>#VALUE!</v>
      </c>
      <c r="IS244" t="e">
        <f>Stock!R146+"'E4!.w#"</f>
        <v>#VALUE!</v>
      </c>
      <c r="IT244" s="333" t="e">
        <f>Stock!S146+"'E4!.w$"</f>
        <v>#VALUE!</v>
      </c>
      <c r="IU244" s="333" t="e">
        <f>Stock!T146+"'E4!.w%"</f>
        <v>#VALUE!</v>
      </c>
      <c r="IV244" t="e">
        <f>Stock!U146+"'E4!.w&amp;"</f>
        <v>#VALUE!</v>
      </c>
    </row>
    <row r="245" spans="6:256">
      <c r="F245" s="333" t="e">
        <f>Stock!V146+"'E4!.w'"</f>
        <v>#VALUE!</v>
      </c>
      <c r="G245" s="333" t="e">
        <f>Stock!W146+"'E4!.w("</f>
        <v>#VALUE!</v>
      </c>
      <c r="H245" t="e">
        <f>Stock!X146+"'E4!.w)"</f>
        <v>#VALUE!</v>
      </c>
      <c r="I245" t="e">
        <f>Stock!Y146+"'E4!.w."</f>
        <v>#VALUE!</v>
      </c>
      <c r="J245" t="e">
        <f>Stock!N147+"'E4!.w/"</f>
        <v>#VALUE!</v>
      </c>
      <c r="K245" t="e">
        <f>Stock!O147+"'E4!.w0"</f>
        <v>#VALUE!</v>
      </c>
      <c r="L245" t="e">
        <f>Stock!P147+"'E4!.w1"</f>
        <v>#VALUE!</v>
      </c>
      <c r="M245" t="e">
        <f>Stock!Q147+"'E4!.w2"</f>
        <v>#VALUE!</v>
      </c>
      <c r="N245" t="e">
        <f>Stock!R147+"'E4!.w3"</f>
        <v>#VALUE!</v>
      </c>
      <c r="O245" s="333" t="e">
        <f>Stock!S147+"'E4!.w4"</f>
        <v>#VALUE!</v>
      </c>
      <c r="P245" s="333" t="e">
        <f>Stock!T147+"'E4!.w5"</f>
        <v>#VALUE!</v>
      </c>
      <c r="Q245" t="e">
        <f>Stock!U147+"'E4!.w6"</f>
        <v>#VALUE!</v>
      </c>
      <c r="R245" s="333" t="e">
        <f>Stock!V147+"'E4!.w7"</f>
        <v>#VALUE!</v>
      </c>
      <c r="S245" s="333" t="e">
        <f>Stock!W147+"'E4!.w8"</f>
        <v>#VALUE!</v>
      </c>
      <c r="T245" t="e">
        <f>Stock!X147+"'E4!.w9"</f>
        <v>#VALUE!</v>
      </c>
      <c r="U245" t="e">
        <f>Stock!Y147+"'E4!.w:"</f>
        <v>#VALUE!</v>
      </c>
      <c r="V245" t="e">
        <f>Stock!N148+"'E4!.w;"</f>
        <v>#VALUE!</v>
      </c>
      <c r="W245" t="e">
        <f>Stock!O148+"'E4!.w&lt;"</f>
        <v>#VALUE!</v>
      </c>
      <c r="X245" t="e">
        <f>Stock!P148+"'E4!.w="</f>
        <v>#VALUE!</v>
      </c>
      <c r="Y245" t="e">
        <f>Stock!Q148+"'E4!.w&gt;"</f>
        <v>#VALUE!</v>
      </c>
      <c r="Z245" t="e">
        <f>Stock!R148+"'E4!.w?"</f>
        <v>#VALUE!</v>
      </c>
      <c r="AA245" s="333" t="e">
        <f>Stock!S148+"'E4!.w@"</f>
        <v>#VALUE!</v>
      </c>
      <c r="AB245" s="333" t="e">
        <f>Stock!T148+"'E4!.wA"</f>
        <v>#VALUE!</v>
      </c>
      <c r="AC245" t="e">
        <f>Stock!U148+"'E4!.wB"</f>
        <v>#VALUE!</v>
      </c>
      <c r="AD245" s="333" t="e">
        <f>Stock!V148+"'E4!.wC"</f>
        <v>#VALUE!</v>
      </c>
      <c r="AE245" s="333" t="e">
        <f>Stock!W148+"'E4!.wD"</f>
        <v>#VALUE!</v>
      </c>
      <c r="AF245" t="e">
        <f>Stock!X148+"'E4!.wE"</f>
        <v>#VALUE!</v>
      </c>
      <c r="AG245" t="e">
        <f>Stock!Y148+"'E4!.wF"</f>
        <v>#VALUE!</v>
      </c>
      <c r="AH245" t="e">
        <f>Stock!N149+"'E4!.wG"</f>
        <v>#VALUE!</v>
      </c>
      <c r="AI245" t="e">
        <f>Stock!O149+"'E4!.wH"</f>
        <v>#VALUE!</v>
      </c>
      <c r="AJ245" t="e">
        <f>Stock!P149+"'E4!.wI"</f>
        <v>#VALUE!</v>
      </c>
      <c r="AK245" t="e">
        <f>Stock!Q149+"'E4!.wJ"</f>
        <v>#VALUE!</v>
      </c>
      <c r="AL245" t="e">
        <f>Stock!R149+"'E4!.wK"</f>
        <v>#VALUE!</v>
      </c>
      <c r="AM245" s="333" t="e">
        <f>Stock!S149+"'E4!.wL"</f>
        <v>#VALUE!</v>
      </c>
      <c r="AN245" s="333" t="e">
        <f>Stock!T149+"'E4!.wM"</f>
        <v>#VALUE!</v>
      </c>
      <c r="AO245" t="e">
        <f>Stock!U149+"'E4!.wN"</f>
        <v>#VALUE!</v>
      </c>
      <c r="AP245" s="333" t="e">
        <f>Stock!V149+"'E4!.wO"</f>
        <v>#VALUE!</v>
      </c>
      <c r="AQ245" s="333" t="e">
        <f>Stock!W149+"'E4!.wP"</f>
        <v>#VALUE!</v>
      </c>
      <c r="AR245" t="e">
        <f>Stock!X149+"'E4!.wQ"</f>
        <v>#VALUE!</v>
      </c>
      <c r="AS245" t="e">
        <f>Stock!Y149+"'E4!.wR"</f>
        <v>#VALUE!</v>
      </c>
      <c r="AT245" t="e">
        <f>Stock!N150+"'E4!.wS"</f>
        <v>#VALUE!</v>
      </c>
      <c r="AU245" t="e">
        <f>Stock!O150+"'E4!.wT"</f>
        <v>#VALUE!</v>
      </c>
      <c r="AV245" t="e">
        <f>Stock!P150+"'E4!.wU"</f>
        <v>#VALUE!</v>
      </c>
      <c r="AW245" t="e">
        <f>Stock!Q150+"'E4!.wV"</f>
        <v>#VALUE!</v>
      </c>
      <c r="AX245" t="e">
        <f>Stock!R150+"'E4!.wW"</f>
        <v>#VALUE!</v>
      </c>
      <c r="AY245" s="333" t="e">
        <f>Stock!S150+"'E4!.wX"</f>
        <v>#VALUE!</v>
      </c>
      <c r="AZ245" s="333" t="e">
        <f>Stock!T150+"'E4!.wY"</f>
        <v>#VALUE!</v>
      </c>
      <c r="BA245" t="e">
        <f>Stock!U150+"'E4!.wZ"</f>
        <v>#VALUE!</v>
      </c>
      <c r="BB245" s="333" t="e">
        <f>Stock!V150+"'E4!.w["</f>
        <v>#VALUE!</v>
      </c>
      <c r="BC245" s="333" t="e">
        <f>Stock!W150+"'E4!.w\"</f>
        <v>#VALUE!</v>
      </c>
      <c r="BD245" t="e">
        <f>Stock!X150+"'E4!.w]"</f>
        <v>#VALUE!</v>
      </c>
      <c r="BE245" t="e">
        <f>Stock!Y150+"'E4!.w^"</f>
        <v>#VALUE!</v>
      </c>
      <c r="BF245" t="e">
        <f>Stock!N151+"'E4!.w_"</f>
        <v>#VALUE!</v>
      </c>
      <c r="BG245" t="e">
        <f>Stock!O151+"'E4!.w`"</f>
        <v>#VALUE!</v>
      </c>
      <c r="BH245" t="e">
        <f>Stock!P151+"'E4!.wa"</f>
        <v>#VALUE!</v>
      </c>
      <c r="BI245" t="e">
        <f>Stock!Q151+"'E4!.wb"</f>
        <v>#VALUE!</v>
      </c>
      <c r="BJ245" t="e">
        <f>Stock!R151+"'E4!.wc"</f>
        <v>#VALUE!</v>
      </c>
      <c r="BK245" s="333" t="e">
        <f>Stock!S151+"'E4!.wd"</f>
        <v>#VALUE!</v>
      </c>
      <c r="BL245" s="333" t="e">
        <f>Stock!T151+"'E4!.we"</f>
        <v>#VALUE!</v>
      </c>
      <c r="BM245" t="e">
        <f>Stock!U151+"'E4!.wf"</f>
        <v>#VALUE!</v>
      </c>
      <c r="BN245" s="333" t="e">
        <f>Stock!V151+"'E4!.wg"</f>
        <v>#VALUE!</v>
      </c>
      <c r="BO245" s="333" t="e">
        <f>Stock!W151+"'E4!.wh"</f>
        <v>#VALUE!</v>
      </c>
      <c r="BP245" t="e">
        <f>Stock!X151+"'E4!.wi"</f>
        <v>#VALUE!</v>
      </c>
      <c r="BQ245" t="e">
        <f>Stock!Y151+"'E4!.wj"</f>
        <v>#VALUE!</v>
      </c>
      <c r="BR245" t="e">
        <f>Stock!N152+"'E4!.wk"</f>
        <v>#VALUE!</v>
      </c>
      <c r="BS245" t="e">
        <f>Stock!O152+"'E4!.wl"</f>
        <v>#VALUE!</v>
      </c>
      <c r="BT245" t="e">
        <f>Stock!P152+"'E4!.wm"</f>
        <v>#VALUE!</v>
      </c>
      <c r="BU245" t="e">
        <f>Stock!Q152+"'E4!.wn"</f>
        <v>#VALUE!</v>
      </c>
      <c r="BV245" t="e">
        <f>Stock!R152+"'E4!.wo"</f>
        <v>#VALUE!</v>
      </c>
      <c r="BW245" s="333" t="e">
        <f>Stock!S152+"'E4!.wp"</f>
        <v>#VALUE!</v>
      </c>
      <c r="BX245" s="333" t="e">
        <f>Stock!T152+"'E4!.wq"</f>
        <v>#VALUE!</v>
      </c>
      <c r="BY245" t="e">
        <f>Stock!U152+"'E4!.wr"</f>
        <v>#VALUE!</v>
      </c>
      <c r="BZ245" s="333" t="e">
        <f>Stock!V152+"'E4!.ws"</f>
        <v>#VALUE!</v>
      </c>
      <c r="CA245" s="333" t="e">
        <f>Stock!W152+"'E4!.wt"</f>
        <v>#VALUE!</v>
      </c>
      <c r="CB245" t="e">
        <f>Stock!X152+"'E4!.wu"</f>
        <v>#VALUE!</v>
      </c>
      <c r="CC245" t="e">
        <f>Stock!Y152+"'E4!.wv"</f>
        <v>#VALUE!</v>
      </c>
      <c r="CD245" t="e">
        <f>Stock!N153+"'E4!.ww"</f>
        <v>#VALUE!</v>
      </c>
      <c r="CE245" t="e">
        <f>Stock!O153+"'E4!.wx"</f>
        <v>#VALUE!</v>
      </c>
      <c r="CF245" t="e">
        <f>Stock!P153+"'E4!.wy"</f>
        <v>#VALUE!</v>
      </c>
      <c r="CG245" t="e">
        <f>Stock!Q153+"'E4!.wz"</f>
        <v>#VALUE!</v>
      </c>
      <c r="CH245" t="e">
        <f>Stock!R153+"'E4!.w{"</f>
        <v>#VALUE!</v>
      </c>
      <c r="CI245" s="333" t="e">
        <f>Stock!S153+"'E4!.w|"</f>
        <v>#VALUE!</v>
      </c>
      <c r="CJ245" s="333" t="e">
        <f>Stock!T153+"'E4!.w}"</f>
        <v>#VALUE!</v>
      </c>
      <c r="CK245" t="e">
        <f>Stock!U153+"'E4!.w~"</f>
        <v>#VALUE!</v>
      </c>
      <c r="CL245" s="333" t="e">
        <f>Stock!V153+"'E4!.x#"</f>
        <v>#VALUE!</v>
      </c>
      <c r="CM245" s="333" t="e">
        <f>Stock!W153+"'E4!.x$"</f>
        <v>#VALUE!</v>
      </c>
      <c r="CN245" t="e">
        <f>Stock!X153+"'E4!.x%"</f>
        <v>#VALUE!</v>
      </c>
      <c r="CO245" t="e">
        <f>Stock!Y153+"'E4!.x&amp;"</f>
        <v>#VALUE!</v>
      </c>
      <c r="CP245" t="e">
        <f>Stock!N154+"'E4!.x'"</f>
        <v>#VALUE!</v>
      </c>
      <c r="CQ245" t="e">
        <f>Stock!O154+"'E4!.x("</f>
        <v>#VALUE!</v>
      </c>
      <c r="CR245" t="e">
        <f>Stock!P154+"'E4!.x)"</f>
        <v>#VALUE!</v>
      </c>
      <c r="CS245" t="e">
        <f>Stock!Q154+"'E4!.x."</f>
        <v>#VALUE!</v>
      </c>
      <c r="CT245" t="e">
        <f>Stock!R154+"'E4!.x/"</f>
        <v>#VALUE!</v>
      </c>
      <c r="CU245" s="333" t="e">
        <f>Stock!S154+"'E4!.x0"</f>
        <v>#VALUE!</v>
      </c>
      <c r="CV245" s="333" t="e">
        <f>Stock!T154+"'E4!.x1"</f>
        <v>#VALUE!</v>
      </c>
      <c r="CW245" t="e">
        <f>Stock!U154+"'E4!.x2"</f>
        <v>#VALUE!</v>
      </c>
      <c r="CX245" s="333" t="e">
        <f>Stock!V154+"'E4!.x3"</f>
        <v>#VALUE!</v>
      </c>
      <c r="CY245" s="333" t="e">
        <f>Stock!W154+"'E4!.x4"</f>
        <v>#VALUE!</v>
      </c>
      <c r="CZ245" t="e">
        <f>Stock!X154+"'E4!.x5"</f>
        <v>#VALUE!</v>
      </c>
      <c r="DA245" t="e">
        <f>Stock!Y154+"'E4!.x6"</f>
        <v>#VALUE!</v>
      </c>
      <c r="DB245" t="e">
        <f>Stock!N155+"'E4!.x7"</f>
        <v>#VALUE!</v>
      </c>
      <c r="DC245" t="e">
        <f>Stock!O155+"'E4!.x8"</f>
        <v>#VALUE!</v>
      </c>
      <c r="DD245" t="e">
        <f>Stock!P155+"'E4!.x9"</f>
        <v>#VALUE!</v>
      </c>
      <c r="DE245" t="e">
        <f>Stock!Q155+"'E4!.x:"</f>
        <v>#VALUE!</v>
      </c>
      <c r="DF245" t="e">
        <f>Stock!R155+"'E4!.x;"</f>
        <v>#VALUE!</v>
      </c>
      <c r="DG245" s="333" t="e">
        <f>Stock!S155+"'E4!.x&lt;"</f>
        <v>#VALUE!</v>
      </c>
      <c r="DH245" s="333" t="e">
        <f>Stock!T155+"'E4!.x="</f>
        <v>#VALUE!</v>
      </c>
      <c r="DI245" t="e">
        <f>Stock!U155+"'E4!.x&gt;"</f>
        <v>#VALUE!</v>
      </c>
      <c r="DJ245" s="333" t="e">
        <f>Stock!V155+"'E4!.x?"</f>
        <v>#VALUE!</v>
      </c>
      <c r="DK245" s="333" t="e">
        <f>Stock!W155+"'E4!.x@"</f>
        <v>#VALUE!</v>
      </c>
      <c r="DL245" t="e">
        <f>Stock!X155+"'E4!.xA"</f>
        <v>#VALUE!</v>
      </c>
      <c r="DM245" t="e">
        <f>Stock!Y155+"'E4!.xB"</f>
        <v>#VALUE!</v>
      </c>
      <c r="DN245" t="e">
        <f>Stock!N156+"'E4!.xC"</f>
        <v>#VALUE!</v>
      </c>
      <c r="DO245" t="e">
        <f>Stock!O156+"'E4!.xD"</f>
        <v>#VALUE!</v>
      </c>
      <c r="DP245" t="e">
        <f>Stock!P156+"'E4!.xE"</f>
        <v>#VALUE!</v>
      </c>
      <c r="DQ245" t="e">
        <f>Stock!Q156+"'E4!.xF"</f>
        <v>#VALUE!</v>
      </c>
      <c r="DR245" t="e">
        <f>Stock!R156+"'E4!.xG"</f>
        <v>#VALUE!</v>
      </c>
      <c r="DS245" s="333" t="e">
        <f>Stock!S156+"'E4!.xH"</f>
        <v>#VALUE!</v>
      </c>
      <c r="DT245" s="333" t="e">
        <f>Stock!T156+"'E4!.xI"</f>
        <v>#VALUE!</v>
      </c>
      <c r="DU245" t="e">
        <f>Stock!U156+"'E4!.xJ"</f>
        <v>#VALUE!</v>
      </c>
      <c r="DV245" s="333" t="e">
        <f>Stock!V156+"'E4!.xK"</f>
        <v>#VALUE!</v>
      </c>
      <c r="DW245" s="333" t="e">
        <f>Stock!W156+"'E4!.xL"</f>
        <v>#VALUE!</v>
      </c>
      <c r="DX245" t="e">
        <f>Stock!X156+"'E4!.xM"</f>
        <v>#VALUE!</v>
      </c>
      <c r="DY245" t="e">
        <f>Stock!Y156+"'E4!.xN"</f>
        <v>#VALUE!</v>
      </c>
      <c r="DZ245" t="e">
        <f>Stock!N157+"'E4!.xO"</f>
        <v>#VALUE!</v>
      </c>
      <c r="EA245" t="e">
        <f>Stock!O157+"'E4!.xP"</f>
        <v>#VALUE!</v>
      </c>
      <c r="EB245" t="e">
        <f>Stock!P157+"'E4!.xQ"</f>
        <v>#VALUE!</v>
      </c>
      <c r="EC245" t="e">
        <f>Stock!Q157+"'E4!.xR"</f>
        <v>#VALUE!</v>
      </c>
      <c r="ED245" t="e">
        <f>Stock!R157+"'E4!.xS"</f>
        <v>#VALUE!</v>
      </c>
      <c r="EE245" s="333" t="e">
        <f>Stock!S157+"'E4!.xT"</f>
        <v>#VALUE!</v>
      </c>
      <c r="EF245" s="333" t="e">
        <f>Stock!T157+"'E4!.xU"</f>
        <v>#VALUE!</v>
      </c>
      <c r="EG245" t="e">
        <f>Stock!U157+"'E4!.xV"</f>
        <v>#VALUE!</v>
      </c>
      <c r="EH245" t="e">
        <f>Stock!V157+"'E4!.xW"</f>
        <v>#VALUE!</v>
      </c>
      <c r="EI245" t="e">
        <f>Stock!W157+"'E4!.xX"</f>
        <v>#VALUE!</v>
      </c>
      <c r="EJ245" t="e">
        <f>Stock!X157+"'E4!.xY"</f>
        <v>#VALUE!</v>
      </c>
      <c r="EK245" t="e">
        <f>Stock!Y157+"'E4!.xZ"</f>
        <v>#VALUE!</v>
      </c>
      <c r="EL245" t="e">
        <f>Stock!N158+"'E4!.x["</f>
        <v>#VALUE!</v>
      </c>
      <c r="EM245" t="e">
        <f>Stock!O158+"'E4!.x\"</f>
        <v>#VALUE!</v>
      </c>
      <c r="EN245" t="e">
        <f>Stock!P158+"'E4!.x]"</f>
        <v>#VALUE!</v>
      </c>
      <c r="EO245" t="e">
        <f>Stock!Q158+"'E4!.x^"</f>
        <v>#VALUE!</v>
      </c>
      <c r="EP245" t="e">
        <f>Stock!R158+"'E4!.x_"</f>
        <v>#VALUE!</v>
      </c>
      <c r="EQ245" s="333" t="e">
        <f>Stock!S158+"'E4!.x`"</f>
        <v>#VALUE!</v>
      </c>
      <c r="ER245" s="333" t="e">
        <f>Stock!T158+"'E4!.xa"</f>
        <v>#VALUE!</v>
      </c>
      <c r="ES245" t="e">
        <f>Stock!U158+"'E4!.xb"</f>
        <v>#VALUE!</v>
      </c>
      <c r="ET245" t="e">
        <f>Stock!V158+"'E4!.xc"</f>
        <v>#VALUE!</v>
      </c>
      <c r="EU245" t="e">
        <f>Stock!W158+"'E4!.xd"</f>
        <v>#VALUE!</v>
      </c>
      <c r="EV245" t="e">
        <f>Stock!X158+"'E4!.xe"</f>
        <v>#VALUE!</v>
      </c>
      <c r="EW245" t="e">
        <f>Stock!Y158+"'E4!.xf"</f>
        <v>#VALUE!</v>
      </c>
      <c r="EX245" t="e">
        <f>Stock!N159+"'E4!.xg"</f>
        <v>#VALUE!</v>
      </c>
      <c r="EY245" t="e">
        <f>Stock!O159+"'E4!.xh"</f>
        <v>#VALUE!</v>
      </c>
      <c r="EZ245" t="e">
        <f>Stock!P159+"'E4!.xi"</f>
        <v>#VALUE!</v>
      </c>
      <c r="FA245" t="e">
        <f>Stock!Q159+"'E4!.xj"</f>
        <v>#VALUE!</v>
      </c>
      <c r="FB245" t="e">
        <f>Stock!R159+"'E4!.xk"</f>
        <v>#VALUE!</v>
      </c>
      <c r="FC245" s="333" t="e">
        <f>Stock!S159+"'E4!.xl"</f>
        <v>#VALUE!</v>
      </c>
      <c r="FD245" s="333" t="e">
        <f>Stock!T159+"'E4!.xm"</f>
        <v>#VALUE!</v>
      </c>
      <c r="FE245" t="e">
        <f>Stock!U159+"'E4!.xn"</f>
        <v>#VALUE!</v>
      </c>
      <c r="FF245" t="e">
        <f>Stock!V159+"'E4!.xo"</f>
        <v>#VALUE!</v>
      </c>
      <c r="FG245" t="e">
        <f>Stock!W159+"'E4!.xp"</f>
        <v>#VALUE!</v>
      </c>
      <c r="FH245" t="e">
        <f>Stock!X159+"'E4!.xq"</f>
        <v>#VALUE!</v>
      </c>
      <c r="FI245" t="e">
        <f>Stock!Y159+"'E4!.xr"</f>
        <v>#VALUE!</v>
      </c>
      <c r="FJ245" t="e">
        <f>Stock!N160+"'E4!.xs"</f>
        <v>#VALUE!</v>
      </c>
      <c r="FK245" t="e">
        <f>Stock!O160+"'E4!.xt"</f>
        <v>#VALUE!</v>
      </c>
      <c r="FL245" t="e">
        <f>Stock!P160+"'E4!.xu"</f>
        <v>#VALUE!</v>
      </c>
      <c r="FM245" t="e">
        <f>Stock!Q160+"'E4!.xv"</f>
        <v>#VALUE!</v>
      </c>
      <c r="FN245" t="e">
        <f>Stock!R160+"'E4!.xw"</f>
        <v>#VALUE!</v>
      </c>
      <c r="FO245" s="333" t="e">
        <f>Stock!S160+"'E4!.xx"</f>
        <v>#VALUE!</v>
      </c>
      <c r="FP245" s="333" t="e">
        <f>Stock!T160+"'E4!.xy"</f>
        <v>#VALUE!</v>
      </c>
      <c r="FQ245" t="e">
        <f>Stock!U160+"'E4!.xz"</f>
        <v>#VALUE!</v>
      </c>
      <c r="FR245" t="e">
        <f>Stock!V160+"'E4!.x{"</f>
        <v>#VALUE!</v>
      </c>
      <c r="FS245" t="e">
        <f>Stock!W160+"'E4!.x|"</f>
        <v>#VALUE!</v>
      </c>
      <c r="FT245" t="e">
        <f>Stock!X160+"'E4!.x}"</f>
        <v>#VALUE!</v>
      </c>
      <c r="FU245" t="e">
        <f>Stock!Y160+"'E4!.x~"</f>
        <v>#VALUE!</v>
      </c>
      <c r="FV245" t="e">
        <f>Stock!N161+"'E4!.y#"</f>
        <v>#VALUE!</v>
      </c>
      <c r="FW245" t="e">
        <f>Stock!O161+"'E4!.y$"</f>
        <v>#VALUE!</v>
      </c>
      <c r="FX245" t="e">
        <f>Stock!P161+"'E4!.y%"</f>
        <v>#VALUE!</v>
      </c>
      <c r="FY245" t="e">
        <f>Stock!Q161+"'E4!.y&amp;"</f>
        <v>#VALUE!</v>
      </c>
      <c r="FZ245" t="e">
        <f>Stock!R161+"'E4!.y'"</f>
        <v>#VALUE!</v>
      </c>
      <c r="GA245" s="333" t="e">
        <f>Stock!S161+"'E4!.y("</f>
        <v>#VALUE!</v>
      </c>
      <c r="GB245" s="333" t="e">
        <f>Stock!T161+"'E4!.y)"</f>
        <v>#VALUE!</v>
      </c>
      <c r="GC245" t="e">
        <f>Stock!U161+"'E4!.y."</f>
        <v>#VALUE!</v>
      </c>
      <c r="GD245" t="e">
        <f>Stock!V161+"'E4!.y/"</f>
        <v>#VALUE!</v>
      </c>
      <c r="GE245" t="e">
        <f>Stock!W161+"'E4!.y0"</f>
        <v>#VALUE!</v>
      </c>
      <c r="GF245" t="e">
        <f>Stock!X161+"'E4!.y1"</f>
        <v>#VALUE!</v>
      </c>
      <c r="GG245" t="e">
        <f>Stock!Y161+"'E4!.y2"</f>
        <v>#VALUE!</v>
      </c>
      <c r="GH245" t="e">
        <f>Stock!N162+"'E4!.y3"</f>
        <v>#VALUE!</v>
      </c>
      <c r="GI245" t="e">
        <f>Stock!O162+"'E4!.y4"</f>
        <v>#VALUE!</v>
      </c>
      <c r="GJ245" t="e">
        <f>Stock!P162+"'E4!.y5"</f>
        <v>#VALUE!</v>
      </c>
      <c r="GK245" t="e">
        <f>Stock!Q162+"'E4!.y6"</f>
        <v>#VALUE!</v>
      </c>
      <c r="GL245" t="e">
        <f>Stock!R162+"'E4!.y7"</f>
        <v>#VALUE!</v>
      </c>
      <c r="GM245" s="333" t="e">
        <f>Stock!S162+"'E4!.y8"</f>
        <v>#VALUE!</v>
      </c>
      <c r="GN245" s="333" t="e">
        <f>Stock!T162+"'E4!.y9"</f>
        <v>#VALUE!</v>
      </c>
      <c r="GO245" t="e">
        <f>Stock!U162+"'E4!.y:"</f>
        <v>#VALUE!</v>
      </c>
      <c r="GP245" t="e">
        <f>Stock!V162+"'E4!.y;"</f>
        <v>#VALUE!</v>
      </c>
      <c r="GQ245" t="e">
        <f>Stock!W162+"'E4!.y&lt;"</f>
        <v>#VALUE!</v>
      </c>
      <c r="GR245" t="e">
        <f>Stock!X162+"'E4!.y="</f>
        <v>#VALUE!</v>
      </c>
      <c r="GS245" t="e">
        <f>Stock!Y162+"'E4!.y&gt;"</f>
        <v>#VALUE!</v>
      </c>
      <c r="GT245" t="e">
        <f>Stock!N163+"'E4!.y?"</f>
        <v>#VALUE!</v>
      </c>
      <c r="GU245" t="e">
        <f>Stock!O163+"'E4!.y@"</f>
        <v>#VALUE!</v>
      </c>
      <c r="GV245" t="e">
        <f>Stock!P163+"'E4!.yA"</f>
        <v>#VALUE!</v>
      </c>
      <c r="GW245" t="e">
        <f>Stock!Q163+"'E4!.yB"</f>
        <v>#VALUE!</v>
      </c>
      <c r="GX245" t="e">
        <f>Stock!R163+"'E4!.yC"</f>
        <v>#VALUE!</v>
      </c>
      <c r="GY245" s="333" t="e">
        <f>Stock!S163+"'E4!.yD"</f>
        <v>#VALUE!</v>
      </c>
      <c r="GZ245" s="333" t="e">
        <f>Stock!T163+"'E4!.yE"</f>
        <v>#VALUE!</v>
      </c>
      <c r="HA245" t="e">
        <f>Stock!U163+"'E4!.yF"</f>
        <v>#VALUE!</v>
      </c>
      <c r="HB245" t="e">
        <f>Stock!V163+"'E4!.yG"</f>
        <v>#VALUE!</v>
      </c>
      <c r="HC245" t="e">
        <f>Stock!W163+"'E4!.yH"</f>
        <v>#VALUE!</v>
      </c>
      <c r="HD245" t="e">
        <f>Stock!X163+"'E4!.yI"</f>
        <v>#VALUE!</v>
      </c>
      <c r="HE245" t="e">
        <f>Stock!Y163+"'E4!.yJ"</f>
        <v>#VALUE!</v>
      </c>
      <c r="HF245" t="e">
        <f>Stock!N164+"'E4!.yK"</f>
        <v>#VALUE!</v>
      </c>
      <c r="HG245" t="e">
        <f>Stock!O164+"'E4!.yL"</f>
        <v>#VALUE!</v>
      </c>
      <c r="HH245" t="e">
        <f>Stock!P164+"'E4!.yM"</f>
        <v>#VALUE!</v>
      </c>
      <c r="HI245" t="e">
        <f>Stock!Q164+"'E4!.yN"</f>
        <v>#VALUE!</v>
      </c>
      <c r="HJ245" t="e">
        <f>Stock!R164+"'E4!.yO"</f>
        <v>#VALUE!</v>
      </c>
      <c r="HK245" s="333" t="e">
        <f>Stock!S164+"'E4!.yP"</f>
        <v>#VALUE!</v>
      </c>
      <c r="HL245" s="333" t="e">
        <f>Stock!T164+"'E4!.yQ"</f>
        <v>#VALUE!</v>
      </c>
      <c r="HM245" t="e">
        <f>Stock!U164+"'E4!.yR"</f>
        <v>#VALUE!</v>
      </c>
      <c r="HN245" t="e">
        <f>Stock!V164+"'E4!.yS"</f>
        <v>#VALUE!</v>
      </c>
      <c r="HO245" t="e">
        <f>Stock!W164+"'E4!.yT"</f>
        <v>#VALUE!</v>
      </c>
      <c r="HP245" t="e">
        <f>Stock!X164+"'E4!.yU"</f>
        <v>#VALUE!</v>
      </c>
      <c r="HQ245" t="e">
        <f>Stock!Y164+"'E4!.yV"</f>
        <v>#VALUE!</v>
      </c>
      <c r="HR245" t="e">
        <f>Stock!N165+"'E4!.yW"</f>
        <v>#VALUE!</v>
      </c>
      <c r="HS245" t="e">
        <f>Stock!O165+"'E4!.yX"</f>
        <v>#VALUE!</v>
      </c>
      <c r="HT245" t="e">
        <f>Stock!P165+"'E4!.yY"</f>
        <v>#VALUE!</v>
      </c>
      <c r="HU245" t="e">
        <f>Stock!Q165+"'E4!.yZ"</f>
        <v>#VALUE!</v>
      </c>
      <c r="HV245" t="e">
        <f>Stock!R165+"'E4!.y["</f>
        <v>#VALUE!</v>
      </c>
      <c r="HW245" s="333" t="e">
        <f>Stock!S165+"'E4!.y\"</f>
        <v>#VALUE!</v>
      </c>
      <c r="HX245" s="333" t="e">
        <f>Stock!T165+"'E4!.y]"</f>
        <v>#VALUE!</v>
      </c>
      <c r="HY245" t="e">
        <f>Stock!U165+"'E4!.y^"</f>
        <v>#VALUE!</v>
      </c>
      <c r="HZ245" t="e">
        <f>Stock!V165+"'E4!.y_"</f>
        <v>#VALUE!</v>
      </c>
      <c r="IA245" t="e">
        <f>Stock!W165+"'E4!.y`"</f>
        <v>#VALUE!</v>
      </c>
      <c r="IB245" t="e">
        <f>Stock!X165+"'E4!.ya"</f>
        <v>#VALUE!</v>
      </c>
      <c r="IC245" t="e">
        <f>Stock!Y165+"'E4!.yb"</f>
        <v>#VALUE!</v>
      </c>
      <c r="ID245" t="e">
        <f>Stock!N166+"'E4!.yc"</f>
        <v>#VALUE!</v>
      </c>
      <c r="IE245" t="e">
        <f>Stock!O166+"'E4!.yd"</f>
        <v>#VALUE!</v>
      </c>
      <c r="IF245" t="e">
        <f>Stock!P166+"'E4!.ye"</f>
        <v>#VALUE!</v>
      </c>
      <c r="IG245" t="e">
        <f>Stock!Q166+"'E4!.yf"</f>
        <v>#VALUE!</v>
      </c>
      <c r="IH245" t="e">
        <f>Stock!R166+"'E4!.yg"</f>
        <v>#VALUE!</v>
      </c>
      <c r="II245" s="333" t="e">
        <f>Stock!S166+"'E4!.yh"</f>
        <v>#VALUE!</v>
      </c>
      <c r="IJ245" s="333" t="e">
        <f>Stock!T166+"'E4!.yi"</f>
        <v>#VALUE!</v>
      </c>
      <c r="IK245" t="e">
        <f>Stock!U166+"'E4!.yj"</f>
        <v>#VALUE!</v>
      </c>
      <c r="IL245" t="e">
        <f>Stock!V166+"'E4!.yk"</f>
        <v>#VALUE!</v>
      </c>
      <c r="IM245" t="e">
        <f>Stock!W166+"'E4!.yl"</f>
        <v>#VALUE!</v>
      </c>
      <c r="IN245" t="e">
        <f>Stock!X166+"'E4!.ym"</f>
        <v>#VALUE!</v>
      </c>
      <c r="IO245" t="e">
        <f>Stock!Y166+"'E4!.yn"</f>
        <v>#VALUE!</v>
      </c>
      <c r="IP245" t="e">
        <f>Stock!N167+"'E4!.yo"</f>
        <v>#VALUE!</v>
      </c>
      <c r="IQ245" t="e">
        <f>Stock!O167+"'E4!.yp"</f>
        <v>#VALUE!</v>
      </c>
      <c r="IR245" t="e">
        <f>Stock!P167+"'E4!.yq"</f>
        <v>#VALUE!</v>
      </c>
      <c r="IS245" t="e">
        <f>Stock!Q167+"'E4!.yr"</f>
        <v>#VALUE!</v>
      </c>
      <c r="IT245" t="e">
        <f>Stock!R167+"'E4!.ys"</f>
        <v>#VALUE!</v>
      </c>
      <c r="IU245" s="333" t="e">
        <f>Stock!S167+"'E4!.yt"</f>
        <v>#VALUE!</v>
      </c>
      <c r="IV245" s="333" t="e">
        <f>Stock!T167+"'E4!.yu"</f>
        <v>#VALUE!</v>
      </c>
    </row>
    <row r="246" spans="6:256">
      <c r="F246" t="e">
        <f>Stock!U167+"'E4!.yv"</f>
        <v>#VALUE!</v>
      </c>
      <c r="G246" t="e">
        <f>Stock!V167+"'E4!.yw"</f>
        <v>#VALUE!</v>
      </c>
      <c r="H246" t="e">
        <f>Stock!W167+"'E4!.yx"</f>
        <v>#VALUE!</v>
      </c>
      <c r="I246" t="e">
        <f>Stock!X167+"'E4!.yy"</f>
        <v>#VALUE!</v>
      </c>
      <c r="J246" t="e">
        <f>Stock!Y167+"'E4!.yz"</f>
        <v>#VALUE!</v>
      </c>
      <c r="K246" t="e">
        <f>Stock!N168+"'E4!.y{"</f>
        <v>#VALUE!</v>
      </c>
      <c r="L246" t="e">
        <f>Stock!O168+"'E4!.y|"</f>
        <v>#VALUE!</v>
      </c>
      <c r="M246" t="e">
        <f>Stock!P168+"'E4!.y}"</f>
        <v>#VALUE!</v>
      </c>
      <c r="N246" t="e">
        <f>Stock!Q168+"'E4!.y~"</f>
        <v>#VALUE!</v>
      </c>
      <c r="O246" t="e">
        <f>Stock!R168+"'E4!.z#"</f>
        <v>#VALUE!</v>
      </c>
      <c r="P246" s="333" t="e">
        <f>Stock!S168+"'E4!.z$"</f>
        <v>#VALUE!</v>
      </c>
      <c r="Q246" s="333" t="e">
        <f>Stock!T168+"'E4!.z%"</f>
        <v>#VALUE!</v>
      </c>
      <c r="R246" t="e">
        <f>Stock!U168+"'E4!.z&amp;"</f>
        <v>#VALUE!</v>
      </c>
      <c r="S246" t="e">
        <f>Stock!V168+"'E4!.z'"</f>
        <v>#VALUE!</v>
      </c>
      <c r="T246" t="e">
        <f>Stock!W168+"'E4!.z("</f>
        <v>#VALUE!</v>
      </c>
      <c r="U246" t="e">
        <f>Stock!X168+"'E4!.z)"</f>
        <v>#VALUE!</v>
      </c>
      <c r="V246" t="e">
        <f>Stock!Y168+"'E4!.z."</f>
        <v>#VALUE!</v>
      </c>
      <c r="W246" t="e">
        <f>Stock!N169+"'E4!.z/"</f>
        <v>#VALUE!</v>
      </c>
      <c r="X246" t="e">
        <f>Stock!O169+"'E4!.z0"</f>
        <v>#VALUE!</v>
      </c>
      <c r="Y246" t="e">
        <f>Stock!P169+"'E4!.z1"</f>
        <v>#VALUE!</v>
      </c>
      <c r="Z246" t="e">
        <f>Stock!Q169+"'E4!.z2"</f>
        <v>#VALUE!</v>
      </c>
      <c r="AA246" t="e">
        <f>Stock!R169+"'E4!.z3"</f>
        <v>#VALUE!</v>
      </c>
      <c r="AB246" s="333" t="e">
        <f>Stock!S169+"'E4!.z4"</f>
        <v>#VALUE!</v>
      </c>
      <c r="AC246" s="333" t="e">
        <f>Stock!T169+"'E4!.z5"</f>
        <v>#VALUE!</v>
      </c>
      <c r="AD246" t="e">
        <f>Stock!U169+"'E4!.z6"</f>
        <v>#VALUE!</v>
      </c>
      <c r="AE246" t="e">
        <f>Stock!V169+"'E4!.z7"</f>
        <v>#VALUE!</v>
      </c>
      <c r="AF246" t="e">
        <f>Stock!W169+"'E4!.z8"</f>
        <v>#VALUE!</v>
      </c>
      <c r="AG246" t="e">
        <f>Stock!X169+"'E4!.z9"</f>
        <v>#VALUE!</v>
      </c>
      <c r="AH246" t="e">
        <f>Stock!Y169+"'E4!.z:"</f>
        <v>#VALUE!</v>
      </c>
      <c r="AI246" s="333" t="e">
        <f>Stock!N170+"'E4!.z;"</f>
        <v>#VALUE!</v>
      </c>
      <c r="AJ246" t="e">
        <f>Stock!O170+"'E4!.z&lt;"</f>
        <v>#VALUE!</v>
      </c>
      <c r="AK246" t="e">
        <f>Stock!P170+"'E4!.z="</f>
        <v>#VALUE!</v>
      </c>
      <c r="AL246" s="333" t="e">
        <f>Stock!Q170+"'E4!.z&gt;"</f>
        <v>#VALUE!</v>
      </c>
      <c r="AM246" s="333" t="e">
        <f>Stock!R170+"'E4!.z?"</f>
        <v>#VALUE!</v>
      </c>
      <c r="AN246" s="333" t="e">
        <f>Stock!S170+"'E4!.z@"</f>
        <v>#VALUE!</v>
      </c>
      <c r="AO246" s="333" t="e">
        <f>Stock!T170+"'E4!.zA"</f>
        <v>#VALUE!</v>
      </c>
      <c r="AP246" s="333" t="e">
        <f>Stock!U170+"'E4!.zB"</f>
        <v>#VALUE!</v>
      </c>
      <c r="AQ246" s="333" t="e">
        <f>Stock!V170+"'E4!.zC"</f>
        <v>#VALUE!</v>
      </c>
      <c r="AR246" s="333" t="e">
        <f>Stock!W170+"'E4!.zD"</f>
        <v>#VALUE!</v>
      </c>
      <c r="AS246" t="e">
        <f>Stock!X170+"'E4!.zE"</f>
        <v>#VALUE!</v>
      </c>
      <c r="AT246" t="e">
        <f>Stock!Y170+"'E4!.zF"</f>
        <v>#VALUE!</v>
      </c>
      <c r="AU246" s="333" t="e">
        <f>Stock!N171+"'E4!.zG"</f>
        <v>#VALUE!</v>
      </c>
      <c r="AV246" s="333" t="e">
        <f>Stock!O171+"'E4!.zH"</f>
        <v>#VALUE!</v>
      </c>
      <c r="AW246" t="e">
        <f>Stock!P171+"'E4!.zI"</f>
        <v>#VALUE!</v>
      </c>
      <c r="AX246" s="333" t="e">
        <f>Stock!Q171+"'E4!.zJ"</f>
        <v>#VALUE!</v>
      </c>
      <c r="AY246" s="333" t="e">
        <f>Stock!R171+"'E4!.zK"</f>
        <v>#VALUE!</v>
      </c>
      <c r="AZ246" s="333" t="e">
        <f>Stock!S171+"'E4!.zL"</f>
        <v>#VALUE!</v>
      </c>
      <c r="BA246" s="333" t="e">
        <f>Stock!T171+"'E4!.zM"</f>
        <v>#VALUE!</v>
      </c>
      <c r="BB246" s="333" t="e">
        <f>Stock!U171+"'E4!.zN"</f>
        <v>#VALUE!</v>
      </c>
      <c r="BC246" s="333" t="e">
        <f>Stock!V171+"'E4!.zO"</f>
        <v>#VALUE!</v>
      </c>
      <c r="BD246" s="333" t="e">
        <f>Stock!W171+"'E4!.zP"</f>
        <v>#VALUE!</v>
      </c>
      <c r="BE246" t="e">
        <f>Stock!X171+"'E4!.zQ"</f>
        <v>#VALUE!</v>
      </c>
      <c r="BF246" t="e">
        <f>Stock!Y171+"'E4!.zR"</f>
        <v>#VALUE!</v>
      </c>
      <c r="BG246" t="e">
        <f>Stock!N172+"'E4!.zS"</f>
        <v>#VALUE!</v>
      </c>
      <c r="BH246" t="e">
        <f>Stock!O172+"'E4!.zT"</f>
        <v>#VALUE!</v>
      </c>
      <c r="BI246" t="e">
        <f>Stock!P172+"'E4!.zU"</f>
        <v>#VALUE!</v>
      </c>
      <c r="BJ246" t="e">
        <f>Stock!Q172+"'E4!.zV"</f>
        <v>#VALUE!</v>
      </c>
      <c r="BK246" t="e">
        <f>Stock!R172+"'E4!.zW"</f>
        <v>#VALUE!</v>
      </c>
      <c r="BL246" s="333" t="e">
        <f>Stock!S172+"'E4!.zX"</f>
        <v>#VALUE!</v>
      </c>
      <c r="BM246" t="e">
        <f>Stock!T172+"'E4!.zY"</f>
        <v>#VALUE!</v>
      </c>
      <c r="BN246" t="e">
        <f>Stock!U172+"'E4!.zZ"</f>
        <v>#VALUE!</v>
      </c>
      <c r="BO246" t="e">
        <f>Stock!V172+"'E4!.z["</f>
        <v>#VALUE!</v>
      </c>
      <c r="BP246" t="e">
        <f>Stock!W172+"'E4!.z\"</f>
        <v>#VALUE!</v>
      </c>
      <c r="BQ246" t="e">
        <f>Stock!X172+"'E4!.z]"</f>
        <v>#VALUE!</v>
      </c>
      <c r="BR246" t="e">
        <f>Stock!Y172+"'E4!.z^"</f>
        <v>#VALUE!</v>
      </c>
      <c r="BS246" s="333" t="e">
        <f>Stock!N173+"'E4!.z_"</f>
        <v>#VALUE!</v>
      </c>
      <c r="BT246" s="333" t="e">
        <f>Stock!O173+"'E4!.z`"</f>
        <v>#VALUE!</v>
      </c>
      <c r="BU246" t="e">
        <f>Stock!P173+"'E4!.za"</f>
        <v>#VALUE!</v>
      </c>
      <c r="BV246" s="333" t="e">
        <f>Stock!Q173+"'E4!.zb"</f>
        <v>#VALUE!</v>
      </c>
      <c r="BW246" s="333" t="e">
        <f>Stock!R173+"'E4!.zc"</f>
        <v>#VALUE!</v>
      </c>
      <c r="BX246" s="333" t="e">
        <f>Stock!S173+"'E4!.zd"</f>
        <v>#VALUE!</v>
      </c>
      <c r="BY246" s="333" t="e">
        <f>Stock!T173+"'E4!.ze"</f>
        <v>#VALUE!</v>
      </c>
      <c r="BZ246" s="333" t="e">
        <f>Stock!U173+"'E4!.zf"</f>
        <v>#VALUE!</v>
      </c>
      <c r="CA246" s="333" t="e">
        <f>Stock!V173+"'E4!.zg"</f>
        <v>#VALUE!</v>
      </c>
      <c r="CB246" s="333" t="e">
        <f>Stock!W173+"'E4!.zh"</f>
        <v>#VALUE!</v>
      </c>
      <c r="CC246" t="e">
        <f>Stock!X173+"'E4!.zi"</f>
        <v>#VALUE!</v>
      </c>
      <c r="CD246" t="e">
        <f>Stock!Y173+"'E4!.zj"</f>
        <v>#VALUE!</v>
      </c>
      <c r="CE246" t="e">
        <f>Stock!N174+"'E4!.zk"</f>
        <v>#VALUE!</v>
      </c>
      <c r="CF246" t="e">
        <f>Stock!O174+"'E4!.zl"</f>
        <v>#VALUE!</v>
      </c>
      <c r="CG246" t="e">
        <f>Stock!P174+"'E4!.zm"</f>
        <v>#VALUE!</v>
      </c>
      <c r="CH246" t="e">
        <f>Stock!Q174+"'E4!.zn"</f>
        <v>#VALUE!</v>
      </c>
      <c r="CI246" t="e">
        <f>Stock!R174+"'E4!.zo"</f>
        <v>#VALUE!</v>
      </c>
      <c r="CJ246" s="333" t="e">
        <f>Stock!S174+"'E4!.zp"</f>
        <v>#VALUE!</v>
      </c>
      <c r="CK246" t="e">
        <f>Stock!T174+"'E4!.zq"</f>
        <v>#VALUE!</v>
      </c>
      <c r="CL246" t="e">
        <f>Stock!U174+"'E4!.zr"</f>
        <v>#VALUE!</v>
      </c>
      <c r="CM246" t="e">
        <f>Stock!V174+"'E4!.zs"</f>
        <v>#VALUE!</v>
      </c>
      <c r="CN246" t="e">
        <f>Stock!W174+"'E4!.zt"</f>
        <v>#VALUE!</v>
      </c>
      <c r="CO246" t="e">
        <f>Stock!X174+"'E4!.zu"</f>
        <v>#VALUE!</v>
      </c>
      <c r="CP246" t="e">
        <f>Stock!Y174+"'E4!.zv"</f>
        <v>#VALUE!</v>
      </c>
      <c r="CQ246" t="e">
        <f>Stock!N175+"'E4!.zw"</f>
        <v>#VALUE!</v>
      </c>
      <c r="CR246" t="e">
        <f>Stock!O175+"'E4!.zx"</f>
        <v>#VALUE!</v>
      </c>
      <c r="CS246" t="e">
        <f>Stock!P175+"'E4!.zy"</f>
        <v>#VALUE!</v>
      </c>
      <c r="CT246" t="e">
        <f>Stock!Q175+"'E4!.zz"</f>
        <v>#VALUE!</v>
      </c>
      <c r="CU246" t="e">
        <f>Stock!R175+"'E4!.z{"</f>
        <v>#VALUE!</v>
      </c>
      <c r="CV246" s="333" t="e">
        <f>Stock!S175+"'E4!.z|"</f>
        <v>#VALUE!</v>
      </c>
      <c r="CW246" s="333" t="e">
        <f>Stock!T175+"'E4!.z}"</f>
        <v>#VALUE!</v>
      </c>
      <c r="CX246" t="e">
        <f>Stock!U175+"'E4!.z~"</f>
        <v>#VALUE!</v>
      </c>
      <c r="CY246" t="e">
        <f>Stock!V175+"'E4!.{#"</f>
        <v>#VALUE!</v>
      </c>
      <c r="CZ246" t="e">
        <f>Stock!W175+"'E4!.{$"</f>
        <v>#VALUE!</v>
      </c>
      <c r="DA246" t="e">
        <f>Stock!X175+"'E4!.{%"</f>
        <v>#VALUE!</v>
      </c>
      <c r="DB246" t="e">
        <f>Stock!Y175+"'E4!.{&amp;"</f>
        <v>#VALUE!</v>
      </c>
      <c r="DC246" t="e">
        <f>Stock!N176+"'E4!.{'"</f>
        <v>#VALUE!</v>
      </c>
      <c r="DD246" t="e">
        <f>Stock!O176+"'E4!.{("</f>
        <v>#VALUE!</v>
      </c>
      <c r="DE246" t="e">
        <f>Stock!P176+"'E4!.{)"</f>
        <v>#VALUE!</v>
      </c>
      <c r="DF246" t="e">
        <f>Stock!Q176+"'E4!.{."</f>
        <v>#VALUE!</v>
      </c>
      <c r="DG246" t="e">
        <f>Stock!R176+"'E4!.{/"</f>
        <v>#VALUE!</v>
      </c>
      <c r="DH246" s="333" t="e">
        <f>Stock!S176+"'E4!.{0"</f>
        <v>#VALUE!</v>
      </c>
      <c r="DI246" s="333" t="e">
        <f>Stock!T176+"'E4!.{1"</f>
        <v>#VALUE!</v>
      </c>
      <c r="DJ246" t="e">
        <f>Stock!U176+"'E4!.{2"</f>
        <v>#VALUE!</v>
      </c>
      <c r="DK246" t="e">
        <f>Stock!V176+"'E4!.{3"</f>
        <v>#VALUE!</v>
      </c>
      <c r="DL246" t="e">
        <f>Stock!W176+"'E4!.{4"</f>
        <v>#VALUE!</v>
      </c>
      <c r="DM246" t="e">
        <f>Stock!X176+"'E4!.{5"</f>
        <v>#VALUE!</v>
      </c>
      <c r="DN246" t="e">
        <f>Stock!Y176+"'E4!.{6"</f>
        <v>#VALUE!</v>
      </c>
      <c r="DO246" t="e">
        <f>Stock!N177+"'E4!.{7"</f>
        <v>#VALUE!</v>
      </c>
      <c r="DP246" t="e">
        <f>Stock!O177+"'E4!.{8"</f>
        <v>#VALUE!</v>
      </c>
      <c r="DQ246" t="e">
        <f>Stock!P177+"'E4!.{9"</f>
        <v>#VALUE!</v>
      </c>
      <c r="DR246" t="e">
        <f>Stock!Q177+"'E4!.{:"</f>
        <v>#VALUE!</v>
      </c>
      <c r="DS246" t="e">
        <f>Stock!R177+"'E4!.{;"</f>
        <v>#VALUE!</v>
      </c>
      <c r="DT246" s="333" t="e">
        <f>Stock!S177+"'E4!.{&lt;"</f>
        <v>#VALUE!</v>
      </c>
      <c r="DU246" t="e">
        <f>Stock!T177+"'E4!.{="</f>
        <v>#VALUE!</v>
      </c>
      <c r="DV246" t="e">
        <f>Stock!U177+"'E4!.{&gt;"</f>
        <v>#VALUE!</v>
      </c>
      <c r="DW246" t="e">
        <f>Stock!V177+"'E4!.{?"</f>
        <v>#VALUE!</v>
      </c>
      <c r="DX246" t="e">
        <f>Stock!W177+"'E4!.{@"</f>
        <v>#VALUE!</v>
      </c>
      <c r="DY246" t="e">
        <f>Stock!X177+"'E4!.{A"</f>
        <v>#VALUE!</v>
      </c>
      <c r="DZ246" t="e">
        <f>Stock!Y177+"'E4!.{B"</f>
        <v>#VALUE!</v>
      </c>
      <c r="EA246" t="e">
        <f>Stock!N178+"'E4!.{C"</f>
        <v>#VALUE!</v>
      </c>
      <c r="EB246" t="e">
        <f>Stock!O178+"'E4!.{D"</f>
        <v>#VALUE!</v>
      </c>
      <c r="EC246" t="e">
        <f>Stock!P178+"'E4!.{E"</f>
        <v>#VALUE!</v>
      </c>
      <c r="ED246" t="e">
        <f>Stock!Q178+"'E4!.{F"</f>
        <v>#VALUE!</v>
      </c>
      <c r="EE246" t="e">
        <f>Stock!R178+"'E4!.{G"</f>
        <v>#VALUE!</v>
      </c>
      <c r="EF246" s="333" t="e">
        <f>Stock!S178+"'E4!.{H"</f>
        <v>#VALUE!</v>
      </c>
      <c r="EG246" s="333" t="e">
        <f>Stock!T178+"'E4!.{I"</f>
        <v>#VALUE!</v>
      </c>
      <c r="EH246" t="e">
        <f>Stock!U178+"'E4!.{J"</f>
        <v>#VALUE!</v>
      </c>
      <c r="EI246" t="e">
        <f>Stock!V178+"'E4!.{K"</f>
        <v>#VALUE!</v>
      </c>
      <c r="EJ246" t="e">
        <f>Stock!W178+"'E4!.{L"</f>
        <v>#VALUE!</v>
      </c>
      <c r="EK246" t="e">
        <f>Stock!X178+"'E4!.{M"</f>
        <v>#VALUE!</v>
      </c>
      <c r="EL246" t="e">
        <f>Stock!Y178+"'E4!.{N"</f>
        <v>#VALUE!</v>
      </c>
      <c r="EM246" t="e">
        <f>Stock!N179+"'E4!.{O"</f>
        <v>#VALUE!</v>
      </c>
      <c r="EN246" t="e">
        <f>Stock!O179+"'E4!.{P"</f>
        <v>#VALUE!</v>
      </c>
      <c r="EO246" t="e">
        <f>Stock!P179+"'E4!.{Q"</f>
        <v>#VALUE!</v>
      </c>
      <c r="EP246" t="e">
        <f>Stock!Q179+"'E4!.{R"</f>
        <v>#VALUE!</v>
      </c>
      <c r="EQ246" t="e">
        <f>Stock!R179+"'E4!.{S"</f>
        <v>#VALUE!</v>
      </c>
      <c r="ER246" s="333" t="e">
        <f>Stock!S179+"'E4!.{T"</f>
        <v>#VALUE!</v>
      </c>
      <c r="ES246" s="333" t="e">
        <f>Stock!T179+"'E4!.{U"</f>
        <v>#VALUE!</v>
      </c>
      <c r="ET246" t="e">
        <f>Stock!U179+"'E4!.{V"</f>
        <v>#VALUE!</v>
      </c>
      <c r="EU246" t="e">
        <f>Stock!V179+"'E4!.{W"</f>
        <v>#VALUE!</v>
      </c>
      <c r="EV246" t="e">
        <f>Stock!W179+"'E4!.{X"</f>
        <v>#VALUE!</v>
      </c>
      <c r="EW246" t="e">
        <f>Stock!X179+"'E4!.{Y"</f>
        <v>#VALUE!</v>
      </c>
      <c r="EX246" t="e">
        <f>Stock!Y179+"'E4!.{Z"</f>
        <v>#VALUE!</v>
      </c>
      <c r="EY246" t="e">
        <f>Stock!N180+"'E4!.{["</f>
        <v>#VALUE!</v>
      </c>
      <c r="EZ246" t="e">
        <f>Stock!O180+"'E4!.{\"</f>
        <v>#VALUE!</v>
      </c>
      <c r="FA246" t="e">
        <f>Stock!P180+"'E4!.{]"</f>
        <v>#VALUE!</v>
      </c>
      <c r="FB246" t="e">
        <f>Stock!Q180+"'E4!.{^"</f>
        <v>#VALUE!</v>
      </c>
      <c r="FC246" t="e">
        <f>Stock!R180+"'E4!.{_"</f>
        <v>#VALUE!</v>
      </c>
      <c r="FD246" s="333" t="e">
        <f>Stock!S180+"'E4!.{`"</f>
        <v>#VALUE!</v>
      </c>
      <c r="FE246" s="333" t="e">
        <f>Stock!T180+"'E4!.{a"</f>
        <v>#VALUE!</v>
      </c>
      <c r="FF246" t="e">
        <f>Stock!U180+"'E4!.{b"</f>
        <v>#VALUE!</v>
      </c>
      <c r="FG246" t="e">
        <f>Stock!V180+"'E4!.{c"</f>
        <v>#VALUE!</v>
      </c>
      <c r="FH246" t="e">
        <f>Stock!W180+"'E4!.{d"</f>
        <v>#VALUE!</v>
      </c>
      <c r="FI246" t="e">
        <f>Stock!X180+"'E4!.{e"</f>
        <v>#VALUE!</v>
      </c>
      <c r="FJ246" t="e">
        <f>Stock!Y180+"'E4!.{f"</f>
        <v>#VALUE!</v>
      </c>
      <c r="FK246" t="e">
        <f>Stock!N181+"'E4!.{g"</f>
        <v>#VALUE!</v>
      </c>
      <c r="FL246" t="e">
        <f>Stock!O181+"'E4!.{h"</f>
        <v>#VALUE!</v>
      </c>
      <c r="FM246" t="e">
        <f>Stock!P181+"'E4!.{i"</f>
        <v>#VALUE!</v>
      </c>
      <c r="FN246" t="e">
        <f>Stock!Q181+"'E4!.{j"</f>
        <v>#VALUE!</v>
      </c>
      <c r="FO246" t="e">
        <f>Stock!R181+"'E4!.{k"</f>
        <v>#VALUE!</v>
      </c>
      <c r="FP246" s="333" t="e">
        <f>Stock!S181+"'E4!.{l"</f>
        <v>#VALUE!</v>
      </c>
      <c r="FQ246" s="333" t="e">
        <f>Stock!T181+"'E4!.{m"</f>
        <v>#VALUE!</v>
      </c>
      <c r="FR246" t="e">
        <f>Stock!U181+"'E4!.{n"</f>
        <v>#VALUE!</v>
      </c>
      <c r="FS246" t="e">
        <f>Stock!V181+"'E4!.{o"</f>
        <v>#VALUE!</v>
      </c>
      <c r="FT246" t="e">
        <f>Stock!W181+"'E4!.{p"</f>
        <v>#VALUE!</v>
      </c>
      <c r="FU246" t="e">
        <f>Stock!X181+"'E4!.{q"</f>
        <v>#VALUE!</v>
      </c>
      <c r="FV246" t="e">
        <f>Stock!Y181+"'E4!.{r"</f>
        <v>#VALUE!</v>
      </c>
      <c r="FW246" t="e">
        <f>Stock!N182+"'E4!.{s"</f>
        <v>#VALUE!</v>
      </c>
      <c r="FX246" t="e">
        <f>Stock!O182+"'E4!.{t"</f>
        <v>#VALUE!</v>
      </c>
      <c r="FY246" t="e">
        <f>Stock!P182+"'E4!.{u"</f>
        <v>#VALUE!</v>
      </c>
      <c r="FZ246" t="e">
        <f>Stock!Q182+"'E4!.{v"</f>
        <v>#VALUE!</v>
      </c>
      <c r="GA246" t="e">
        <f>Stock!R182+"'E4!.{w"</f>
        <v>#VALUE!</v>
      </c>
      <c r="GB246" s="333" t="e">
        <f>Stock!S182+"'E4!.{x"</f>
        <v>#VALUE!</v>
      </c>
      <c r="GC246" s="333" t="e">
        <f>Stock!T182+"'E4!.{y"</f>
        <v>#VALUE!</v>
      </c>
      <c r="GD246" t="e">
        <f>Stock!U182+"'E4!.{z"</f>
        <v>#VALUE!</v>
      </c>
      <c r="GE246" t="e">
        <f>Stock!V182+"'E4!.{{"</f>
        <v>#VALUE!</v>
      </c>
      <c r="GF246" t="e">
        <f>Stock!W182+"'E4!.{|"</f>
        <v>#VALUE!</v>
      </c>
      <c r="GG246" t="e">
        <f>Stock!X182+"'E4!.{}"</f>
        <v>#VALUE!</v>
      </c>
      <c r="GH246" t="e">
        <f>Stock!Y182+"'E4!.{~"</f>
        <v>#VALUE!</v>
      </c>
      <c r="GI246" t="e">
        <f>Stock!N183+"'E4!.|#"</f>
        <v>#VALUE!</v>
      </c>
      <c r="GJ246" t="e">
        <f>Stock!O183+"'E4!.|$"</f>
        <v>#VALUE!</v>
      </c>
      <c r="GK246" t="e">
        <f>Stock!P183+"'E4!.|%"</f>
        <v>#VALUE!</v>
      </c>
      <c r="GL246" t="e">
        <f>Stock!Q183+"'E4!.|&amp;"</f>
        <v>#VALUE!</v>
      </c>
      <c r="GM246" t="e">
        <f>Stock!R183+"'E4!.|'"</f>
        <v>#VALUE!</v>
      </c>
      <c r="GN246" s="333" t="e">
        <f>Stock!S183+"'E4!.|("</f>
        <v>#VALUE!</v>
      </c>
      <c r="GO246" s="333" t="e">
        <f>Stock!T183+"'E4!.|)"</f>
        <v>#VALUE!</v>
      </c>
      <c r="GP246" t="e">
        <f>Stock!U183+"'E4!.|."</f>
        <v>#VALUE!</v>
      </c>
      <c r="GQ246" t="e">
        <f>Stock!V183+"'E4!.|/"</f>
        <v>#VALUE!</v>
      </c>
      <c r="GR246" t="e">
        <f>Stock!W183+"'E4!.|0"</f>
        <v>#VALUE!</v>
      </c>
      <c r="GS246" t="e">
        <f>Stock!X183+"'E4!.|1"</f>
        <v>#VALUE!</v>
      </c>
      <c r="GT246" t="e">
        <f>Stock!Y183+"'E4!.|2"</f>
        <v>#VALUE!</v>
      </c>
      <c r="GU246" t="e">
        <f>Stock!N184+"'E4!.|3"</f>
        <v>#VALUE!</v>
      </c>
      <c r="GV246" t="e">
        <f>Stock!O184+"'E4!.|4"</f>
        <v>#VALUE!</v>
      </c>
      <c r="GW246" t="e">
        <f>Stock!P184+"'E4!.|5"</f>
        <v>#VALUE!</v>
      </c>
      <c r="GX246" t="e">
        <f>Stock!Q184+"'E4!.|6"</f>
        <v>#VALUE!</v>
      </c>
      <c r="GY246" t="e">
        <f>Stock!R184+"'E4!.|7"</f>
        <v>#VALUE!</v>
      </c>
      <c r="GZ246" s="333" t="e">
        <f>Stock!S184+"'E4!.|8"</f>
        <v>#VALUE!</v>
      </c>
      <c r="HA246" s="333" t="e">
        <f>Stock!T184+"'E4!.|9"</f>
        <v>#VALUE!</v>
      </c>
      <c r="HB246" t="e">
        <f>Stock!U184+"'E4!.|:"</f>
        <v>#VALUE!</v>
      </c>
      <c r="HC246" t="e">
        <f>Stock!V184+"'E4!.|;"</f>
        <v>#VALUE!</v>
      </c>
      <c r="HD246" t="e">
        <f>Stock!W184+"'E4!.|&lt;"</f>
        <v>#VALUE!</v>
      </c>
      <c r="HE246" t="e">
        <f>Stock!X184+"'E4!.|="</f>
        <v>#VALUE!</v>
      </c>
      <c r="HF246" t="e">
        <f>Stock!Y184+"'E4!.|&gt;"</f>
        <v>#VALUE!</v>
      </c>
      <c r="HG246" t="e">
        <f>Stock!N185+"'E4!.|?"</f>
        <v>#VALUE!</v>
      </c>
      <c r="HH246" t="e">
        <f>Stock!O185+"'E4!.|@"</f>
        <v>#VALUE!</v>
      </c>
      <c r="HI246" t="e">
        <f>Stock!P185+"'E4!.|A"</f>
        <v>#VALUE!</v>
      </c>
      <c r="HJ246" t="e">
        <f>Stock!Q185+"'E4!.|B"</f>
        <v>#VALUE!</v>
      </c>
      <c r="HK246" t="e">
        <f>Stock!R185+"'E4!.|C"</f>
        <v>#VALUE!</v>
      </c>
      <c r="HL246" s="333" t="e">
        <f>Stock!S185+"'E4!.|D"</f>
        <v>#VALUE!</v>
      </c>
      <c r="HM246" s="333" t="e">
        <f>Stock!T185+"'E4!.|E"</f>
        <v>#VALUE!</v>
      </c>
      <c r="HN246" t="e">
        <f>Stock!U185+"'E4!.|F"</f>
        <v>#VALUE!</v>
      </c>
      <c r="HO246" t="e">
        <f>Stock!V185+"'E4!.|G"</f>
        <v>#VALUE!</v>
      </c>
      <c r="HP246" t="e">
        <f>Stock!W185+"'E4!.|H"</f>
        <v>#VALUE!</v>
      </c>
      <c r="HQ246" t="e">
        <f>Stock!X185+"'E4!.|I"</f>
        <v>#VALUE!</v>
      </c>
      <c r="HR246" t="e">
        <f>Stock!Y185+"'E4!.|J"</f>
        <v>#VALUE!</v>
      </c>
      <c r="HS246" t="e">
        <f>Stock!N186+"'E4!.|K"</f>
        <v>#VALUE!</v>
      </c>
      <c r="HT246" t="e">
        <f>Stock!O186+"'E4!.|L"</f>
        <v>#VALUE!</v>
      </c>
      <c r="HU246" t="e">
        <f>Stock!P186+"'E4!.|M"</f>
        <v>#VALUE!</v>
      </c>
      <c r="HV246" t="e">
        <f>Stock!Q186+"'E4!.|N"</f>
        <v>#VALUE!</v>
      </c>
      <c r="HW246" t="e">
        <f>Stock!R186+"'E4!.|O"</f>
        <v>#VALUE!</v>
      </c>
      <c r="HX246" s="333" t="e">
        <f>Stock!S186+"'E4!.|P"</f>
        <v>#VALUE!</v>
      </c>
      <c r="HY246" s="333" t="e">
        <f>Stock!T186+"'E4!.|Q"</f>
        <v>#VALUE!</v>
      </c>
      <c r="HZ246" t="e">
        <f>Stock!U186+"'E4!.|R"</f>
        <v>#VALUE!</v>
      </c>
      <c r="IA246" t="e">
        <f>Stock!V186+"'E4!.|S"</f>
        <v>#VALUE!</v>
      </c>
      <c r="IB246" t="e">
        <f>Stock!W186+"'E4!.|T"</f>
        <v>#VALUE!</v>
      </c>
      <c r="IC246" t="e">
        <f>Stock!X186+"'E4!.|U"</f>
        <v>#VALUE!</v>
      </c>
      <c r="ID246" t="e">
        <f>Stock!Y186+"'E4!.|V"</f>
        <v>#VALUE!</v>
      </c>
      <c r="IE246" t="e">
        <f>Stock!N187+"'E4!.|W"</f>
        <v>#VALUE!</v>
      </c>
      <c r="IF246" t="e">
        <f>Stock!O187+"'E4!.|X"</f>
        <v>#VALUE!</v>
      </c>
      <c r="IG246" t="e">
        <f>Stock!P187+"'E4!.|Y"</f>
        <v>#VALUE!</v>
      </c>
      <c r="IH246" t="e">
        <f>Stock!Q187+"'E4!.|Z"</f>
        <v>#VALUE!</v>
      </c>
      <c r="II246" t="e">
        <f>Stock!R187+"'E4!.|["</f>
        <v>#VALUE!</v>
      </c>
      <c r="IJ246" s="333" t="e">
        <f>Stock!S187+"'E4!.|\"</f>
        <v>#VALUE!</v>
      </c>
      <c r="IK246" s="333" t="e">
        <f>Stock!T187+"'E4!.|]"</f>
        <v>#VALUE!</v>
      </c>
      <c r="IL246" t="e">
        <f>Stock!U187+"'E4!.|^"</f>
        <v>#VALUE!</v>
      </c>
      <c r="IM246" t="e">
        <f>Stock!V187+"'E4!.|_"</f>
        <v>#VALUE!</v>
      </c>
      <c r="IN246" t="e">
        <f>Stock!W187+"'E4!.|`"</f>
        <v>#VALUE!</v>
      </c>
      <c r="IO246" t="e">
        <f>Stock!X187+"'E4!.|a"</f>
        <v>#VALUE!</v>
      </c>
      <c r="IP246" t="e">
        <f>Stock!Y187+"'E4!.|b"</f>
        <v>#VALUE!</v>
      </c>
      <c r="IQ246" t="e">
        <f>Stock!N188+"'E4!.|c"</f>
        <v>#VALUE!</v>
      </c>
      <c r="IR246" t="e">
        <f>Stock!O188+"'E4!.|d"</f>
        <v>#VALUE!</v>
      </c>
      <c r="IS246" t="e">
        <f>Stock!P188+"'E4!.|e"</f>
        <v>#VALUE!</v>
      </c>
      <c r="IT246" t="e">
        <f>Stock!Q188+"'E4!.|f"</f>
        <v>#VALUE!</v>
      </c>
      <c r="IU246" t="e">
        <f>Stock!R188+"'E4!.|g"</f>
        <v>#VALUE!</v>
      </c>
      <c r="IV246" s="333" t="e">
        <f>Stock!S188+"'E4!.|h"</f>
        <v>#VALUE!</v>
      </c>
    </row>
    <row r="247" spans="6:256">
      <c r="F247" s="333" t="e">
        <f>Stock!T188+"'E4!.|i"</f>
        <v>#VALUE!</v>
      </c>
      <c r="G247" t="e">
        <f>Stock!U188+"'E4!.|j"</f>
        <v>#VALUE!</v>
      </c>
      <c r="H247" t="e">
        <f>Stock!V188+"'E4!.|k"</f>
        <v>#VALUE!</v>
      </c>
      <c r="I247" t="e">
        <f>Stock!W188+"'E4!.|l"</f>
        <v>#VALUE!</v>
      </c>
      <c r="J247" t="e">
        <f>Stock!X188+"'E4!.|m"</f>
        <v>#VALUE!</v>
      </c>
      <c r="K247" t="e">
        <f>Stock!Y188+"'E4!.|n"</f>
        <v>#VALUE!</v>
      </c>
      <c r="L247" t="e">
        <f>Stock!N189+"'E4!.|o"</f>
        <v>#VALUE!</v>
      </c>
      <c r="M247" t="e">
        <f>Stock!O189+"'E4!.|p"</f>
        <v>#VALUE!</v>
      </c>
      <c r="N247" t="e">
        <f>Stock!P189+"'E4!.|q"</f>
        <v>#VALUE!</v>
      </c>
      <c r="O247" t="e">
        <f>Stock!Q189+"'E4!.|r"</f>
        <v>#VALUE!</v>
      </c>
      <c r="P247" t="e">
        <f>Stock!R189+"'E4!.|s"</f>
        <v>#VALUE!</v>
      </c>
      <c r="Q247" s="333" t="e">
        <f>Stock!S189+"'E4!.|t"</f>
        <v>#VALUE!</v>
      </c>
      <c r="R247" s="333" t="e">
        <f>Stock!T189+"'E4!.|u"</f>
        <v>#VALUE!</v>
      </c>
      <c r="S247" t="e">
        <f>Stock!U189+"'E4!.|v"</f>
        <v>#VALUE!</v>
      </c>
      <c r="T247" t="e">
        <f>Stock!V189+"'E4!.|w"</f>
        <v>#VALUE!</v>
      </c>
      <c r="U247" t="e">
        <f>Stock!W189+"'E4!.|x"</f>
        <v>#VALUE!</v>
      </c>
      <c r="V247" t="e">
        <f>Stock!X189+"'E4!.|y"</f>
        <v>#VALUE!</v>
      </c>
      <c r="W247" t="e">
        <f>Stock!Y189+"'E4!.|z"</f>
        <v>#VALUE!</v>
      </c>
      <c r="X247" t="e">
        <f>Stock!N190+"'E4!.|{"</f>
        <v>#VALUE!</v>
      </c>
      <c r="Y247" t="e">
        <f>Stock!O190+"'E4!.||"</f>
        <v>#VALUE!</v>
      </c>
      <c r="Z247" t="e">
        <f>Stock!P190+"'E4!.|}"</f>
        <v>#VALUE!</v>
      </c>
      <c r="AA247" t="e">
        <f>Stock!Q190+"'E4!.|~"</f>
        <v>#VALUE!</v>
      </c>
      <c r="AB247" t="e">
        <f>Stock!R190+"'E4!.}#"</f>
        <v>#VALUE!</v>
      </c>
      <c r="AC247" s="333" t="e">
        <f>Stock!S190+"'E4!.}$"</f>
        <v>#VALUE!</v>
      </c>
      <c r="AD247" s="333" t="e">
        <f>Stock!T190+"'E4!.}%"</f>
        <v>#VALUE!</v>
      </c>
      <c r="AE247" t="e">
        <f>Stock!U190+"'E4!.}&amp;"</f>
        <v>#VALUE!</v>
      </c>
      <c r="AF247" t="e">
        <f>Stock!V190+"'E4!.}'"</f>
        <v>#VALUE!</v>
      </c>
      <c r="AG247" t="e">
        <f>Stock!W190+"'E4!.}("</f>
        <v>#VALUE!</v>
      </c>
      <c r="AH247" t="e">
        <f>Stock!X190+"'E4!.})"</f>
        <v>#VALUE!</v>
      </c>
      <c r="AI247" t="e">
        <f>Stock!Y190+"'E4!.}."</f>
        <v>#VALUE!</v>
      </c>
      <c r="AJ247" t="e">
        <f>Stock!N191+"'E4!.}/"</f>
        <v>#VALUE!</v>
      </c>
      <c r="AK247" t="e">
        <f>Stock!O191+"'E4!.}0"</f>
        <v>#VALUE!</v>
      </c>
      <c r="AL247" t="e">
        <f>Stock!P191+"'E4!.}1"</f>
        <v>#VALUE!</v>
      </c>
      <c r="AM247" t="e">
        <f>Stock!Q191+"'E4!.}2"</f>
        <v>#VALUE!</v>
      </c>
      <c r="AN247" t="e">
        <f>Stock!R191+"'E4!.}3"</f>
        <v>#VALUE!</v>
      </c>
      <c r="AO247" s="333" t="e">
        <f>Stock!S191+"'E4!.}4"</f>
        <v>#VALUE!</v>
      </c>
      <c r="AP247" s="333" t="e">
        <f>Stock!T191+"'E4!.}5"</f>
        <v>#VALUE!</v>
      </c>
      <c r="AQ247" t="e">
        <f>Stock!U191+"'E4!.}6"</f>
        <v>#VALUE!</v>
      </c>
      <c r="AR247" t="e">
        <f>Stock!V191+"'E4!.}7"</f>
        <v>#VALUE!</v>
      </c>
      <c r="AS247" t="e">
        <f>Stock!W191+"'E4!.}8"</f>
        <v>#VALUE!</v>
      </c>
      <c r="AT247" t="e">
        <f>Stock!X191+"'E4!.}9"</f>
        <v>#VALUE!</v>
      </c>
      <c r="AU247" t="e">
        <f>Stock!Y191+"'E4!.}:"</f>
        <v>#VALUE!</v>
      </c>
      <c r="AV247" t="e">
        <f>Stock!N192+"'E4!.};"</f>
        <v>#VALUE!</v>
      </c>
      <c r="AW247" t="e">
        <f>Stock!O192+"'E4!.}&lt;"</f>
        <v>#VALUE!</v>
      </c>
      <c r="AX247" t="e">
        <f>Stock!P192+"'E4!.}="</f>
        <v>#VALUE!</v>
      </c>
      <c r="AY247" t="e">
        <f>Stock!Q192+"'E4!.}&gt;"</f>
        <v>#VALUE!</v>
      </c>
      <c r="AZ247" t="e">
        <f>Stock!R192+"'E4!.}?"</f>
        <v>#VALUE!</v>
      </c>
      <c r="BA247" s="333" t="e">
        <f>Stock!S192+"'E4!.}@"</f>
        <v>#VALUE!</v>
      </c>
      <c r="BB247" s="333" t="e">
        <f>Stock!T192+"'E4!.}A"</f>
        <v>#VALUE!</v>
      </c>
      <c r="BC247" t="e">
        <f>Stock!U192+"'E4!.}B"</f>
        <v>#VALUE!</v>
      </c>
      <c r="BD247" t="e">
        <f>Stock!V192+"'E4!.}C"</f>
        <v>#VALUE!</v>
      </c>
      <c r="BE247" t="e">
        <f>Stock!W192+"'E4!.}D"</f>
        <v>#VALUE!</v>
      </c>
      <c r="BF247" t="e">
        <f>Stock!X192+"'E4!.}E"</f>
        <v>#VALUE!</v>
      </c>
      <c r="BG247" t="e">
        <f>Stock!Y192+"'E4!.}F"</f>
        <v>#VALUE!</v>
      </c>
      <c r="BH247" t="e">
        <f>Stock!N193+"'E4!.}G"</f>
        <v>#VALUE!</v>
      </c>
      <c r="BI247" t="e">
        <f>Stock!O193+"'E4!.}H"</f>
        <v>#VALUE!</v>
      </c>
      <c r="BJ247" t="e">
        <f>Stock!P193+"'E4!.}I"</f>
        <v>#VALUE!</v>
      </c>
      <c r="BK247" t="e">
        <f>Stock!Q193+"'E4!.}J"</f>
        <v>#VALUE!</v>
      </c>
      <c r="BL247" t="e">
        <f>Stock!R193+"'E4!.}K"</f>
        <v>#VALUE!</v>
      </c>
      <c r="BM247" s="333" t="e">
        <f>Stock!S193+"'E4!.}L"</f>
        <v>#VALUE!</v>
      </c>
      <c r="BN247" s="333" t="e">
        <f>Stock!T193+"'E4!.}M"</f>
        <v>#VALUE!</v>
      </c>
      <c r="BO247" t="e">
        <f>Stock!U193+"'E4!.}N"</f>
        <v>#VALUE!</v>
      </c>
      <c r="BP247" t="e">
        <f>Stock!V193+"'E4!.}O"</f>
        <v>#VALUE!</v>
      </c>
      <c r="BQ247" t="e">
        <f>Stock!W193+"'E4!.}P"</f>
        <v>#VALUE!</v>
      </c>
      <c r="BR247" t="e">
        <f>Stock!X193+"'E4!.}Q"</f>
        <v>#VALUE!</v>
      </c>
      <c r="BS247" t="e">
        <f>Stock!Y193+"'E4!.}R"</f>
        <v>#VALUE!</v>
      </c>
      <c r="BT247" t="e">
        <f>Stock!N194+"'E4!.}S"</f>
        <v>#VALUE!</v>
      </c>
      <c r="BU247" t="e">
        <f>Stock!O194+"'E4!.}T"</f>
        <v>#VALUE!</v>
      </c>
      <c r="BV247" t="e">
        <f>Stock!P194+"'E4!.}U"</f>
        <v>#VALUE!</v>
      </c>
      <c r="BW247" t="e">
        <f>Stock!Q194+"'E4!.}V"</f>
        <v>#VALUE!</v>
      </c>
      <c r="BX247" t="e">
        <f>Stock!R194+"'E4!.}W"</f>
        <v>#VALUE!</v>
      </c>
      <c r="BY247" s="333" t="e">
        <f>Stock!S194+"'E4!.}X"</f>
        <v>#VALUE!</v>
      </c>
      <c r="BZ247" s="333" t="e">
        <f>Stock!T194+"'E4!.}Y"</f>
        <v>#VALUE!</v>
      </c>
      <c r="CA247" t="e">
        <f>Stock!U194+"'E4!.}Z"</f>
        <v>#VALUE!</v>
      </c>
      <c r="CB247" t="e">
        <f>Stock!V194+"'E4!.}["</f>
        <v>#VALUE!</v>
      </c>
      <c r="CC247" t="e">
        <f>Stock!W194+"'E4!.}\"</f>
        <v>#VALUE!</v>
      </c>
      <c r="CD247" t="e">
        <f>Stock!X194+"'E4!.}]"</f>
        <v>#VALUE!</v>
      </c>
      <c r="CE247" t="e">
        <f>Stock!Y194+"'E4!.}^"</f>
        <v>#VALUE!</v>
      </c>
      <c r="CF247" t="e">
        <f>Stock!N195+"'E4!.}_"</f>
        <v>#VALUE!</v>
      </c>
      <c r="CG247" t="e">
        <f>Stock!O195+"'E4!.}`"</f>
        <v>#VALUE!</v>
      </c>
      <c r="CH247" t="e">
        <f>Stock!P195+"'E4!.}a"</f>
        <v>#VALUE!</v>
      </c>
      <c r="CI247" t="e">
        <f>Stock!Q195+"'E4!.}b"</f>
        <v>#VALUE!</v>
      </c>
      <c r="CJ247" t="e">
        <f>Stock!R195+"'E4!.}c"</f>
        <v>#VALUE!</v>
      </c>
      <c r="CK247" s="333" t="e">
        <f>Stock!S195+"'E4!.}d"</f>
        <v>#VALUE!</v>
      </c>
      <c r="CL247" s="333" t="e">
        <f>Stock!T195+"'E4!.}e"</f>
        <v>#VALUE!</v>
      </c>
      <c r="CM247" t="e">
        <f>Stock!U195+"'E4!.}f"</f>
        <v>#VALUE!</v>
      </c>
      <c r="CN247" t="e">
        <f>Stock!V195+"'E4!.}g"</f>
        <v>#VALUE!</v>
      </c>
      <c r="CO247" t="e">
        <f>Stock!W195+"'E4!.}h"</f>
        <v>#VALUE!</v>
      </c>
      <c r="CP247" t="e">
        <f>Stock!X195+"'E4!.}i"</f>
        <v>#VALUE!</v>
      </c>
      <c r="CQ247" t="e">
        <f>Stock!Y195+"'E4!.}j"</f>
        <v>#VALUE!</v>
      </c>
      <c r="CR247" t="e">
        <f>Stock!N196+"'E4!.}k"</f>
        <v>#VALUE!</v>
      </c>
      <c r="CS247" t="e">
        <f>Stock!O196+"'E4!.}l"</f>
        <v>#VALUE!</v>
      </c>
      <c r="CT247" t="e">
        <f>Stock!P196+"'E4!.}m"</f>
        <v>#VALUE!</v>
      </c>
      <c r="CU247" t="e">
        <f>Stock!Q196+"'E4!.}n"</f>
        <v>#VALUE!</v>
      </c>
      <c r="CV247" t="e">
        <f>Stock!R196+"'E4!.}o"</f>
        <v>#VALUE!</v>
      </c>
      <c r="CW247" s="333" t="e">
        <f>Stock!S196+"'E4!.}p"</f>
        <v>#VALUE!</v>
      </c>
      <c r="CX247" s="333" t="e">
        <f>Stock!T196+"'E4!.}q"</f>
        <v>#VALUE!</v>
      </c>
      <c r="CY247" t="e">
        <f>Stock!U196+"'E4!.}r"</f>
        <v>#VALUE!</v>
      </c>
      <c r="CZ247" t="e">
        <f>Stock!V196+"'E4!.}s"</f>
        <v>#VALUE!</v>
      </c>
      <c r="DA247" t="e">
        <f>Stock!W196+"'E4!.}t"</f>
        <v>#VALUE!</v>
      </c>
      <c r="DB247" t="e">
        <f>Stock!X196+"'E4!.}u"</f>
        <v>#VALUE!</v>
      </c>
      <c r="DC247" t="e">
        <f>Stock!Y196+"'E4!.}v"</f>
        <v>#VALUE!</v>
      </c>
      <c r="DD247" t="e">
        <f>Stock!N197+"'E4!.}w"</f>
        <v>#VALUE!</v>
      </c>
      <c r="DE247" t="e">
        <f>Stock!O197+"'E4!.}x"</f>
        <v>#VALUE!</v>
      </c>
      <c r="DF247" t="e">
        <f>Stock!P197+"'E4!.}y"</f>
        <v>#VALUE!</v>
      </c>
      <c r="DG247" t="e">
        <f>Stock!Q197+"'E4!.}z"</f>
        <v>#VALUE!</v>
      </c>
      <c r="DH247" t="e">
        <f>Stock!R197+"'E4!.}{"</f>
        <v>#VALUE!</v>
      </c>
      <c r="DI247" s="333" t="e">
        <f>Stock!S197+"'E4!.}|"</f>
        <v>#VALUE!</v>
      </c>
      <c r="DJ247" s="333" t="e">
        <f>Stock!T197+"'E4!.}}"</f>
        <v>#VALUE!</v>
      </c>
      <c r="DK247" t="e">
        <f>Stock!U197+"'E4!.}~"</f>
        <v>#VALUE!</v>
      </c>
      <c r="DL247" t="e">
        <f>Stock!V197+"'E4!.~#"</f>
        <v>#VALUE!</v>
      </c>
      <c r="DM247" t="e">
        <f>Stock!W197+"'E4!.~$"</f>
        <v>#VALUE!</v>
      </c>
      <c r="DN247" t="e">
        <f>Stock!X197+"'E4!.~%"</f>
        <v>#VALUE!</v>
      </c>
      <c r="DO247" t="e">
        <f>Stock!Y197+"'E4!.~&amp;"</f>
        <v>#VALUE!</v>
      </c>
      <c r="DP247" t="e">
        <f>Stock!N198+"'E4!.~'"</f>
        <v>#VALUE!</v>
      </c>
      <c r="DQ247" t="e">
        <f>Stock!O198+"'E4!.~("</f>
        <v>#VALUE!</v>
      </c>
      <c r="DR247" t="e">
        <f>Stock!P198+"'E4!.~)"</f>
        <v>#VALUE!</v>
      </c>
      <c r="DS247" t="e">
        <f>Stock!Q198+"'E4!.~."</f>
        <v>#VALUE!</v>
      </c>
      <c r="DT247" t="e">
        <f>Stock!R198+"'E4!.~/"</f>
        <v>#VALUE!</v>
      </c>
      <c r="DU247" s="333" t="e">
        <f>Stock!S198+"'E4!.~0"</f>
        <v>#VALUE!</v>
      </c>
      <c r="DV247" s="333" t="e">
        <f>Stock!T198+"'E4!.~1"</f>
        <v>#VALUE!</v>
      </c>
      <c r="DW247" t="e">
        <f>Stock!U198+"'E4!.~2"</f>
        <v>#VALUE!</v>
      </c>
      <c r="DX247" t="e">
        <f>Stock!V198+"'E4!.~3"</f>
        <v>#VALUE!</v>
      </c>
      <c r="DY247" t="e">
        <f>Stock!W198+"'E4!.~4"</f>
        <v>#VALUE!</v>
      </c>
      <c r="DZ247" t="e">
        <f>Stock!X198+"'E4!.~5"</f>
        <v>#VALUE!</v>
      </c>
      <c r="EA247" t="e">
        <f>Stock!Y198+"'E4!.~6"</f>
        <v>#VALUE!</v>
      </c>
      <c r="EB247" t="e">
        <f>Stock!N199+"'E4!.~7"</f>
        <v>#VALUE!</v>
      </c>
      <c r="EC247" t="e">
        <f>Stock!O199+"'E4!.~8"</f>
        <v>#VALUE!</v>
      </c>
      <c r="ED247" t="e">
        <f>Stock!P199+"'E4!.~9"</f>
        <v>#VALUE!</v>
      </c>
      <c r="EE247" t="e">
        <f>Stock!Q199+"'E4!.~:"</f>
        <v>#VALUE!</v>
      </c>
      <c r="EF247" t="e">
        <f>Stock!R199+"'E4!.~;"</f>
        <v>#VALUE!</v>
      </c>
      <c r="EG247" s="333" t="e">
        <f>Stock!S199+"'E4!.~&lt;"</f>
        <v>#VALUE!</v>
      </c>
      <c r="EH247" s="333" t="e">
        <f>Stock!T199+"'E4!.~="</f>
        <v>#VALUE!</v>
      </c>
      <c r="EI247" t="e">
        <f>Stock!U199+"'E4!.~&gt;"</f>
        <v>#VALUE!</v>
      </c>
      <c r="EJ247" t="e">
        <f>Stock!V199+"'E4!.~?"</f>
        <v>#VALUE!</v>
      </c>
      <c r="EK247" t="e">
        <f>Stock!W199+"'E4!.~@"</f>
        <v>#VALUE!</v>
      </c>
      <c r="EL247" t="e">
        <f>Stock!X199+"'E4!.~A"</f>
        <v>#VALUE!</v>
      </c>
      <c r="EM247" t="e">
        <f>Stock!Y199+"'E4!.~B"</f>
        <v>#VALUE!</v>
      </c>
      <c r="EN247" t="e">
        <f>Stock!N200+"'E4!.~C"</f>
        <v>#VALUE!</v>
      </c>
      <c r="EO247" t="e">
        <f>Stock!O200+"'E4!.~D"</f>
        <v>#VALUE!</v>
      </c>
      <c r="EP247" t="e">
        <f>Stock!P200+"'E4!.~E"</f>
        <v>#VALUE!</v>
      </c>
      <c r="EQ247" t="e">
        <f>Stock!Q200+"'E4!.~F"</f>
        <v>#VALUE!</v>
      </c>
      <c r="ER247" t="e">
        <f>Stock!R200+"'E4!.~G"</f>
        <v>#VALUE!</v>
      </c>
      <c r="ES247" s="333" t="e">
        <f>Stock!S200+"'E4!.~H"</f>
        <v>#VALUE!</v>
      </c>
      <c r="ET247" s="333" t="e">
        <f>Stock!T200+"'E4!.~I"</f>
        <v>#VALUE!</v>
      </c>
      <c r="EU247" t="e">
        <f>Stock!U200+"'E4!.~J"</f>
        <v>#VALUE!</v>
      </c>
      <c r="EV247" t="e">
        <f>Stock!V200+"'E4!.~K"</f>
        <v>#VALUE!</v>
      </c>
      <c r="EW247" t="e">
        <f>Stock!W200+"'E4!.~L"</f>
        <v>#VALUE!</v>
      </c>
      <c r="EX247" t="e">
        <f>Stock!X200+"'E4!.~M"</f>
        <v>#VALUE!</v>
      </c>
      <c r="EY247" t="e">
        <f>Stock!Y200+"'E4!.~N"</f>
        <v>#VALUE!</v>
      </c>
      <c r="EZ247" t="e">
        <f>Stock!N201+"'E4!.~O"</f>
        <v>#VALUE!</v>
      </c>
      <c r="FA247" t="e">
        <f>Stock!O201+"'E4!.~P"</f>
        <v>#VALUE!</v>
      </c>
      <c r="FB247" t="e">
        <f>Stock!P201+"'E4!.~Q"</f>
        <v>#VALUE!</v>
      </c>
      <c r="FC247" t="e">
        <f>Stock!Q201+"'E4!.~R"</f>
        <v>#VALUE!</v>
      </c>
      <c r="FD247" t="e">
        <f>Stock!R201+"'E4!.~S"</f>
        <v>#VALUE!</v>
      </c>
      <c r="FE247" s="333" t="e">
        <f>Stock!S201+"'E4!.~T"</f>
        <v>#VALUE!</v>
      </c>
      <c r="FF247" s="333" t="e">
        <f>Stock!T201+"'E4!.~U"</f>
        <v>#VALUE!</v>
      </c>
      <c r="FG247" t="e">
        <f>Stock!U201+"'E4!.~V"</f>
        <v>#VALUE!</v>
      </c>
      <c r="FH247" t="e">
        <f>Stock!V201+"'E4!.~W"</f>
        <v>#VALUE!</v>
      </c>
      <c r="FI247" t="e">
        <f>Stock!W201+"'E4!.~X"</f>
        <v>#VALUE!</v>
      </c>
      <c r="FJ247" t="e">
        <f>Stock!X201+"'E4!.~Y"</f>
        <v>#VALUE!</v>
      </c>
      <c r="FK247" t="e">
        <f>Stock!Y201+"'E4!.~Z"</f>
        <v>#VALUE!</v>
      </c>
      <c r="FL247" t="e">
        <f>Stock!N202+"'E4!.~["</f>
        <v>#VALUE!</v>
      </c>
      <c r="FM247" t="e">
        <f>Stock!O202+"'E4!.~\"</f>
        <v>#VALUE!</v>
      </c>
      <c r="FN247" t="e">
        <f>Stock!P202+"'E4!.~]"</f>
        <v>#VALUE!</v>
      </c>
      <c r="FO247" t="e">
        <f>Stock!Q202+"'E4!.~^"</f>
        <v>#VALUE!</v>
      </c>
      <c r="FP247" t="e">
        <f>Stock!R202+"'E4!.~_"</f>
        <v>#VALUE!</v>
      </c>
      <c r="FQ247" s="333" t="e">
        <f>Stock!S202+"'E4!.~`"</f>
        <v>#VALUE!</v>
      </c>
      <c r="FR247" s="333" t="e">
        <f>Stock!T202+"'E4!.~a"</f>
        <v>#VALUE!</v>
      </c>
      <c r="FS247" t="e">
        <f>Stock!U202+"'E4!.~b"</f>
        <v>#VALUE!</v>
      </c>
      <c r="FT247" t="e">
        <f>Stock!V202+"'E4!.~c"</f>
        <v>#VALUE!</v>
      </c>
      <c r="FU247" t="e">
        <f>Stock!W202+"'E4!.~d"</f>
        <v>#VALUE!</v>
      </c>
      <c r="FV247" t="e">
        <f>Stock!X202+"'E4!.~e"</f>
        <v>#VALUE!</v>
      </c>
      <c r="FW247" t="e">
        <f>Stock!Y202+"'E4!.~f"</f>
        <v>#VALUE!</v>
      </c>
      <c r="FX247" t="e">
        <f>Stock!N203+"'E4!.~g"</f>
        <v>#VALUE!</v>
      </c>
      <c r="FY247" t="e">
        <f>Stock!O203+"'E4!.~h"</f>
        <v>#VALUE!</v>
      </c>
      <c r="FZ247" t="e">
        <f>Stock!P203+"'E4!.~i"</f>
        <v>#VALUE!</v>
      </c>
      <c r="GA247" t="e">
        <f>Stock!Q203+"'E4!.~j"</f>
        <v>#VALUE!</v>
      </c>
      <c r="GB247" t="e">
        <f>Stock!R203+"'E4!.~k"</f>
        <v>#VALUE!</v>
      </c>
      <c r="GC247" s="333" t="e">
        <f>Stock!S203+"'E4!.~l"</f>
        <v>#VALUE!</v>
      </c>
      <c r="GD247" s="333" t="e">
        <f>Stock!T203+"'E4!.~m"</f>
        <v>#VALUE!</v>
      </c>
      <c r="GE247" t="e">
        <f>Stock!U203+"'E4!.~n"</f>
        <v>#VALUE!</v>
      </c>
      <c r="GF247" t="e">
        <f>Stock!V203+"'E4!.~o"</f>
        <v>#VALUE!</v>
      </c>
      <c r="GG247" t="e">
        <f>Stock!W203+"'E4!.~p"</f>
        <v>#VALUE!</v>
      </c>
      <c r="GH247" t="e">
        <f>Stock!X203+"'E4!.~q"</f>
        <v>#VALUE!</v>
      </c>
      <c r="GI247" t="e">
        <f>Stock!Y203+"'E4!.~r"</f>
        <v>#VALUE!</v>
      </c>
      <c r="GJ247" t="e">
        <f>Stock!N204+"'E4!.~s"</f>
        <v>#VALUE!</v>
      </c>
      <c r="GK247" t="e">
        <f>Stock!O204+"'E4!.~t"</f>
        <v>#VALUE!</v>
      </c>
      <c r="GL247" t="e">
        <f>Stock!P204+"'E4!.~u"</f>
        <v>#VALUE!</v>
      </c>
      <c r="GM247" t="e">
        <f>Stock!Q204+"'E4!.~v"</f>
        <v>#VALUE!</v>
      </c>
      <c r="GN247" t="e">
        <f>Stock!R204+"'E4!.~w"</f>
        <v>#VALUE!</v>
      </c>
      <c r="GO247" s="333" t="e">
        <f>Stock!S204+"'E4!.~x"</f>
        <v>#VALUE!</v>
      </c>
      <c r="GP247" s="333" t="e">
        <f>Stock!T204+"'E4!.~y"</f>
        <v>#VALUE!</v>
      </c>
      <c r="GQ247" t="e">
        <f>Stock!U204+"'E4!.~z"</f>
        <v>#VALUE!</v>
      </c>
      <c r="GR247" t="e">
        <f>Stock!V204+"'E4!.~{"</f>
        <v>#VALUE!</v>
      </c>
      <c r="GS247" t="e">
        <f>Stock!W204+"'E4!.~|"</f>
        <v>#VALUE!</v>
      </c>
      <c r="GT247" t="e">
        <f>Stock!X204+"'E4!.~}"</f>
        <v>#VALUE!</v>
      </c>
      <c r="GU247" t="e">
        <f>Stock!Y204+"'E4!.~~"</f>
        <v>#VALUE!</v>
      </c>
      <c r="GV247" t="e">
        <f>Stock!N205+"'E4!/##"</f>
        <v>#VALUE!</v>
      </c>
      <c r="GW247" t="e">
        <f>Stock!O205+"'E4!/#$"</f>
        <v>#VALUE!</v>
      </c>
      <c r="GX247" t="e">
        <f>Stock!P205+"'E4!/#%"</f>
        <v>#VALUE!</v>
      </c>
      <c r="GY247" t="e">
        <f>Stock!Q205+"'E4!/#&amp;"</f>
        <v>#VALUE!</v>
      </c>
      <c r="GZ247" t="e">
        <f>Stock!R205+"'E4!/#'"</f>
        <v>#VALUE!</v>
      </c>
      <c r="HA247" s="333" t="e">
        <f>Stock!S205+"'E4!/#("</f>
        <v>#VALUE!</v>
      </c>
      <c r="HB247" s="333" t="e">
        <f>Stock!T205+"'E4!/#)"</f>
        <v>#VALUE!</v>
      </c>
      <c r="HC247" t="e">
        <f>Stock!U205+"'E4!/#."</f>
        <v>#VALUE!</v>
      </c>
      <c r="HD247" t="e">
        <f>Stock!V205+"'E4!/#/"</f>
        <v>#VALUE!</v>
      </c>
      <c r="HE247" t="e">
        <f>Stock!W205+"'E4!/#0"</f>
        <v>#VALUE!</v>
      </c>
      <c r="HF247" t="e">
        <f>Stock!X205+"'E4!/#1"</f>
        <v>#VALUE!</v>
      </c>
      <c r="HG247" t="e">
        <f>Stock!Y205+"'E4!/#2"</f>
        <v>#VALUE!</v>
      </c>
      <c r="HH247" t="e">
        <f>Stock!N206+"'E4!/#3"</f>
        <v>#VALUE!</v>
      </c>
      <c r="HI247" t="e">
        <f>Stock!O206+"'E4!/#4"</f>
        <v>#VALUE!</v>
      </c>
      <c r="HJ247" t="e">
        <f>Stock!P206+"'E4!/#5"</f>
        <v>#VALUE!</v>
      </c>
      <c r="HK247" t="e">
        <f>Stock!Q206+"'E4!/#6"</f>
        <v>#VALUE!</v>
      </c>
      <c r="HL247" t="e">
        <f>Stock!R206+"'E4!/#7"</f>
        <v>#VALUE!</v>
      </c>
      <c r="HM247" s="333" t="e">
        <f>Stock!S206+"'E4!/#8"</f>
        <v>#VALUE!</v>
      </c>
      <c r="HN247" s="333" t="e">
        <f>Stock!T206+"'E4!/#9"</f>
        <v>#VALUE!</v>
      </c>
      <c r="HO247" t="e">
        <f>Stock!U206+"'E4!/#:"</f>
        <v>#VALUE!</v>
      </c>
      <c r="HP247" t="e">
        <f>Stock!V206+"'E4!/#;"</f>
        <v>#VALUE!</v>
      </c>
      <c r="HQ247" t="e">
        <f>Stock!W206+"'E4!/#&lt;"</f>
        <v>#VALUE!</v>
      </c>
      <c r="HR247" t="e">
        <f>Stock!X206+"'E4!/#="</f>
        <v>#VALUE!</v>
      </c>
      <c r="HS247" t="e">
        <f>Stock!Y206+"'E4!/#&gt;"</f>
        <v>#VALUE!</v>
      </c>
      <c r="HT247" t="e">
        <f>Stock!N207+"'E4!/#?"</f>
        <v>#VALUE!</v>
      </c>
      <c r="HU247" t="e">
        <f>Stock!O207+"'E4!/#@"</f>
        <v>#VALUE!</v>
      </c>
      <c r="HV247" t="e">
        <f>Stock!P207+"'E4!/#A"</f>
        <v>#VALUE!</v>
      </c>
      <c r="HW247" t="e">
        <f>Stock!Q207+"'E4!/#B"</f>
        <v>#VALUE!</v>
      </c>
      <c r="HX247" t="e">
        <f>Stock!R207+"'E4!/#C"</f>
        <v>#VALUE!</v>
      </c>
      <c r="HY247" s="333" t="e">
        <f>Stock!S207+"'E4!/#D"</f>
        <v>#VALUE!</v>
      </c>
      <c r="HZ247" s="333" t="e">
        <f>Stock!T207+"'E4!/#E"</f>
        <v>#VALUE!</v>
      </c>
      <c r="IA247" t="e">
        <f>Stock!U207+"'E4!/#F"</f>
        <v>#VALUE!</v>
      </c>
      <c r="IB247" t="e">
        <f>Stock!V207+"'E4!/#G"</f>
        <v>#VALUE!</v>
      </c>
      <c r="IC247" t="e">
        <f>Stock!W207+"'E4!/#H"</f>
        <v>#VALUE!</v>
      </c>
      <c r="ID247" t="e">
        <f>Stock!X207+"'E4!/#I"</f>
        <v>#VALUE!</v>
      </c>
      <c r="IE247" t="e">
        <f>Stock!Y207+"'E4!/#J"</f>
        <v>#VALUE!</v>
      </c>
      <c r="IF247" t="e">
        <f>Stock!N208+"'E4!/#K"</f>
        <v>#VALUE!</v>
      </c>
      <c r="IG247" t="e">
        <f>Stock!O208+"'E4!/#L"</f>
        <v>#VALUE!</v>
      </c>
      <c r="IH247" t="e">
        <f>Stock!P208+"'E4!/#M"</f>
        <v>#VALUE!</v>
      </c>
      <c r="II247" t="e">
        <f>Stock!Q208+"'E4!/#N"</f>
        <v>#VALUE!</v>
      </c>
      <c r="IJ247" t="e">
        <f>Stock!R208+"'E4!/#O"</f>
        <v>#VALUE!</v>
      </c>
      <c r="IK247" s="333" t="e">
        <f>Stock!S208+"'E4!/#P"</f>
        <v>#VALUE!</v>
      </c>
      <c r="IL247" s="333" t="e">
        <f>Stock!T208+"'E4!/#Q"</f>
        <v>#VALUE!</v>
      </c>
      <c r="IM247" t="e">
        <f>Stock!U208+"'E4!/#R"</f>
        <v>#VALUE!</v>
      </c>
      <c r="IN247" t="e">
        <f>Stock!V208+"'E4!/#S"</f>
        <v>#VALUE!</v>
      </c>
      <c r="IO247" t="e">
        <f>Stock!W208+"'E4!/#T"</f>
        <v>#VALUE!</v>
      </c>
      <c r="IP247" t="e">
        <f>Stock!X208+"'E4!/#U"</f>
        <v>#VALUE!</v>
      </c>
      <c r="IQ247" t="e">
        <f>Stock!Y208+"'E4!/#V"</f>
        <v>#VALUE!</v>
      </c>
      <c r="IR247" t="e">
        <f>Stock!N209+"'E4!/#W"</f>
        <v>#VALUE!</v>
      </c>
      <c r="IS247" t="e">
        <f>Stock!O209+"'E4!/#X"</f>
        <v>#VALUE!</v>
      </c>
      <c r="IT247" t="e">
        <f>Stock!P209+"'E4!/#Y"</f>
        <v>#VALUE!</v>
      </c>
      <c r="IU247" t="e">
        <f>Stock!Q209+"'E4!/#Z"</f>
        <v>#VALUE!</v>
      </c>
      <c r="IV247" t="e">
        <f>Stock!R209+"'E4!/#["</f>
        <v>#VALUE!</v>
      </c>
    </row>
    <row r="248" spans="6:256">
      <c r="F248" s="333" t="e">
        <f>Stock!S209+"'E4!/#\"</f>
        <v>#VALUE!</v>
      </c>
      <c r="G248" s="333" t="e">
        <f>Stock!T209+"'E4!/#]"</f>
        <v>#VALUE!</v>
      </c>
      <c r="H248" t="e">
        <f>Stock!U209+"'E4!/#^"</f>
        <v>#VALUE!</v>
      </c>
      <c r="I248" t="e">
        <f>Stock!V209+"'E4!/#_"</f>
        <v>#VALUE!</v>
      </c>
      <c r="J248" t="e">
        <f>Stock!W209+"'E4!/#`"</f>
        <v>#VALUE!</v>
      </c>
      <c r="K248" t="e">
        <f>Stock!X209+"'E4!/#a"</f>
        <v>#VALUE!</v>
      </c>
      <c r="L248" t="e">
        <f>Stock!Y209+"'E4!/#b"</f>
        <v>#VALUE!</v>
      </c>
      <c r="M248" t="e">
        <f>Stock!N210+"'E4!/#c"</f>
        <v>#VALUE!</v>
      </c>
      <c r="N248" t="e">
        <f>Stock!O210+"'E4!/#d"</f>
        <v>#VALUE!</v>
      </c>
      <c r="O248" t="e">
        <f>Stock!P210+"'E4!/#e"</f>
        <v>#VALUE!</v>
      </c>
      <c r="P248" t="e">
        <f>Stock!Q210+"'E4!/#f"</f>
        <v>#VALUE!</v>
      </c>
      <c r="Q248" t="e">
        <f>Stock!R210+"'E4!/#g"</f>
        <v>#VALUE!</v>
      </c>
      <c r="R248" s="333" t="e">
        <f>Stock!S210+"'E4!/#h"</f>
        <v>#VALUE!</v>
      </c>
      <c r="S248" s="333" t="e">
        <f>Stock!T210+"'E4!/#i"</f>
        <v>#VALUE!</v>
      </c>
      <c r="T248" t="e">
        <f>Stock!U210+"'E4!/#j"</f>
        <v>#VALUE!</v>
      </c>
      <c r="U248" t="e">
        <f>Stock!V210+"'E4!/#k"</f>
        <v>#VALUE!</v>
      </c>
      <c r="V248" t="e">
        <f>Stock!W210+"'E4!/#l"</f>
        <v>#VALUE!</v>
      </c>
      <c r="W248" t="e">
        <f>Stock!X210+"'E4!/#m"</f>
        <v>#VALUE!</v>
      </c>
      <c r="X248" t="e">
        <f>Stock!Y210+"'E4!/#n"</f>
        <v>#VALUE!</v>
      </c>
      <c r="Y248" t="e">
        <f>Stock!N211+"'E4!/#o"</f>
        <v>#VALUE!</v>
      </c>
      <c r="Z248" t="e">
        <f>Stock!O211+"'E4!/#p"</f>
        <v>#VALUE!</v>
      </c>
      <c r="AA248" t="e">
        <f>Stock!P211+"'E4!/#q"</f>
        <v>#VALUE!</v>
      </c>
      <c r="AB248" t="e">
        <f>Stock!Q211+"'E4!/#r"</f>
        <v>#VALUE!</v>
      </c>
      <c r="AC248" t="e">
        <f>Stock!R211+"'E4!/#s"</f>
        <v>#VALUE!</v>
      </c>
      <c r="AD248" s="333" t="e">
        <f>Stock!S211+"'E4!/#t"</f>
        <v>#VALUE!</v>
      </c>
      <c r="AE248" t="e">
        <f>Stock!T211+"'E4!/#u"</f>
        <v>#VALUE!</v>
      </c>
      <c r="AF248" t="e">
        <f>Stock!U211+"'E4!/#v"</f>
        <v>#VALUE!</v>
      </c>
      <c r="AG248" t="e">
        <f>Stock!V211+"'E4!/#w"</f>
        <v>#VALUE!</v>
      </c>
      <c r="AH248" t="e">
        <f>Stock!W211+"'E4!/#x"</f>
        <v>#VALUE!</v>
      </c>
      <c r="AI248" t="e">
        <f>Stock!X211+"'E4!/#y"</f>
        <v>#VALUE!</v>
      </c>
      <c r="AJ248" t="e">
        <f>Stock!Y211+"'E4!/#z"</f>
        <v>#VALUE!</v>
      </c>
      <c r="AK248" t="e">
        <f>Stock!N212+"'E4!/#{"</f>
        <v>#VALUE!</v>
      </c>
      <c r="AL248" t="e">
        <f>Stock!O212+"'E4!/#|"</f>
        <v>#VALUE!</v>
      </c>
      <c r="AM248" t="e">
        <f>Stock!P212+"'E4!/#}"</f>
        <v>#VALUE!</v>
      </c>
      <c r="AN248" t="e">
        <f>Stock!Q212+"'E4!/#~"</f>
        <v>#VALUE!</v>
      </c>
      <c r="AO248" t="e">
        <f>Stock!R212+"'E4!/$#"</f>
        <v>#VALUE!</v>
      </c>
      <c r="AP248" s="333" t="e">
        <f>Stock!S212+"'E4!/$$"</f>
        <v>#VALUE!</v>
      </c>
      <c r="AQ248" t="e">
        <f>Stock!T212+"'E4!/$%"</f>
        <v>#VALUE!</v>
      </c>
      <c r="AR248" t="e">
        <f>Stock!U212+"'E4!/$&amp;"</f>
        <v>#VALUE!</v>
      </c>
      <c r="AS248" t="e">
        <f>Stock!V212+"'E4!/$'"</f>
        <v>#VALUE!</v>
      </c>
      <c r="AT248" t="e">
        <f>Stock!W212+"'E4!/$("</f>
        <v>#VALUE!</v>
      </c>
      <c r="AU248" t="e">
        <f>Stock!X212+"'E4!/$)"</f>
        <v>#VALUE!</v>
      </c>
      <c r="AV248" t="e">
        <f>Stock!Y212+"'E4!/$."</f>
        <v>#VALUE!</v>
      </c>
      <c r="AW248" t="e">
        <f>Stock!N213+"'E4!/$/"</f>
        <v>#VALUE!</v>
      </c>
      <c r="AX248" t="e">
        <f>Stock!O213+"'E4!/$0"</f>
        <v>#VALUE!</v>
      </c>
      <c r="AY248" t="e">
        <f>Stock!P213+"'E4!/$1"</f>
        <v>#VALUE!</v>
      </c>
      <c r="AZ248" t="e">
        <f>Stock!Q213+"'E4!/$2"</f>
        <v>#VALUE!</v>
      </c>
      <c r="BA248" t="e">
        <f>Stock!R213+"'E4!/$3"</f>
        <v>#VALUE!</v>
      </c>
      <c r="BB248" s="333" t="e">
        <f>Stock!S213+"'E4!/$4"</f>
        <v>#VALUE!</v>
      </c>
      <c r="BC248" t="e">
        <f>Stock!T213+"'E4!/$5"</f>
        <v>#VALUE!</v>
      </c>
      <c r="BD248" t="e">
        <f>Stock!U213+"'E4!/$6"</f>
        <v>#VALUE!</v>
      </c>
      <c r="BE248" t="e">
        <f>Stock!V213+"'E4!/$7"</f>
        <v>#VALUE!</v>
      </c>
      <c r="BF248" t="e">
        <f>Stock!W213+"'E4!/$8"</f>
        <v>#VALUE!</v>
      </c>
      <c r="BG248" t="e">
        <f>Stock!X213+"'E4!/$9"</f>
        <v>#VALUE!</v>
      </c>
      <c r="BH248" t="e">
        <f>Stock!Y213+"'E4!/$:"</f>
        <v>#VALUE!</v>
      </c>
      <c r="BI248" t="e">
        <f>Stock!N214+"'E4!/$;"</f>
        <v>#VALUE!</v>
      </c>
      <c r="BJ248" t="e">
        <f>Stock!O214+"'E4!/$&lt;"</f>
        <v>#VALUE!</v>
      </c>
      <c r="BK248" t="e">
        <f>Stock!P214+"'E4!/$="</f>
        <v>#VALUE!</v>
      </c>
      <c r="BL248" t="e">
        <f>Stock!Q214+"'E4!/$&gt;"</f>
        <v>#VALUE!</v>
      </c>
      <c r="BM248" t="e">
        <f>Stock!R214+"'E4!/$?"</f>
        <v>#VALUE!</v>
      </c>
      <c r="BN248" s="333" t="e">
        <f>Stock!S214+"'E4!/$@"</f>
        <v>#VALUE!</v>
      </c>
      <c r="BO248" t="e">
        <f>Stock!T214+"'E4!/$A"</f>
        <v>#VALUE!</v>
      </c>
      <c r="BP248" t="e">
        <f>Stock!U214+"'E4!/$B"</f>
        <v>#VALUE!</v>
      </c>
      <c r="BQ248" t="e">
        <f>Stock!V214+"'E4!/$C"</f>
        <v>#VALUE!</v>
      </c>
      <c r="BR248" t="e">
        <f>Stock!W214+"'E4!/$D"</f>
        <v>#VALUE!</v>
      </c>
      <c r="BS248" t="e">
        <f>Stock!X214+"'E4!/$E"</f>
        <v>#VALUE!</v>
      </c>
      <c r="BT248" t="e">
        <f>Stock!Y214+"'E4!/$F"</f>
        <v>#VALUE!</v>
      </c>
      <c r="BU248" t="e">
        <f>Stock!N215+"'E4!/$G"</f>
        <v>#VALUE!</v>
      </c>
      <c r="BV248" t="e">
        <f>Stock!O215+"'E4!/$H"</f>
        <v>#VALUE!</v>
      </c>
      <c r="BW248" t="e">
        <f>Stock!P215+"'E4!/$I"</f>
        <v>#VALUE!</v>
      </c>
      <c r="BX248" t="e">
        <f>Stock!Q215+"'E4!/$J"</f>
        <v>#VALUE!</v>
      </c>
      <c r="BY248" t="e">
        <f>Stock!R215+"'E4!/$K"</f>
        <v>#VALUE!</v>
      </c>
      <c r="BZ248" s="333" t="e">
        <f>Stock!S215+"'E4!/$L"</f>
        <v>#VALUE!</v>
      </c>
      <c r="CA248" s="333" t="e">
        <f>Stock!T215+"'E4!/$M"</f>
        <v>#VALUE!</v>
      </c>
      <c r="CB248" t="e">
        <f>Stock!U215+"'E4!/$N"</f>
        <v>#VALUE!</v>
      </c>
      <c r="CC248" t="e">
        <f>Stock!V215+"'E4!/$O"</f>
        <v>#VALUE!</v>
      </c>
      <c r="CD248" t="e">
        <f>Stock!W215+"'E4!/$P"</f>
        <v>#VALUE!</v>
      </c>
      <c r="CE248" t="e">
        <f>Stock!X215+"'E4!/$Q"</f>
        <v>#VALUE!</v>
      </c>
      <c r="CF248" t="e">
        <f>Stock!Y215+"'E4!/$R"</f>
        <v>#VALUE!</v>
      </c>
      <c r="CG248" t="e">
        <f>Stock!N216+"'E4!/$S"</f>
        <v>#VALUE!</v>
      </c>
      <c r="CH248" t="e">
        <f>Stock!O216+"'E4!/$T"</f>
        <v>#VALUE!</v>
      </c>
      <c r="CI248" t="e">
        <f>Stock!P216+"'E4!/$U"</f>
        <v>#VALUE!</v>
      </c>
      <c r="CJ248" t="e">
        <f>Stock!Q216+"'E4!/$V"</f>
        <v>#VALUE!</v>
      </c>
      <c r="CK248" t="e">
        <f>Stock!R216+"'E4!/$W"</f>
        <v>#VALUE!</v>
      </c>
      <c r="CL248" s="333" t="e">
        <f>Stock!S216+"'E4!/$X"</f>
        <v>#VALUE!</v>
      </c>
      <c r="CM248" t="e">
        <f>Stock!T216+"'E4!/$Y"</f>
        <v>#VALUE!</v>
      </c>
      <c r="CN248" t="e">
        <f>Stock!U216+"'E4!/$Z"</f>
        <v>#VALUE!</v>
      </c>
      <c r="CO248" t="e">
        <f>Stock!V216+"'E4!/$["</f>
        <v>#VALUE!</v>
      </c>
      <c r="CP248" t="e">
        <f>Stock!W216+"'E4!/$\"</f>
        <v>#VALUE!</v>
      </c>
      <c r="CQ248" t="e">
        <f>Stock!X216+"'E4!/$]"</f>
        <v>#VALUE!</v>
      </c>
      <c r="CR248" t="e">
        <f>Stock!Y216+"'E4!/$^"</f>
        <v>#VALUE!</v>
      </c>
      <c r="CS248" t="e">
        <f>Stock!N217+"'E4!/$_"</f>
        <v>#VALUE!</v>
      </c>
      <c r="CT248" t="e">
        <f>Stock!O217+"'E4!/$`"</f>
        <v>#VALUE!</v>
      </c>
      <c r="CU248" t="e">
        <f>Stock!P217+"'E4!/$a"</f>
        <v>#VALUE!</v>
      </c>
      <c r="CV248" t="e">
        <f>Stock!Q217+"'E4!/$b"</f>
        <v>#VALUE!</v>
      </c>
      <c r="CW248" t="e">
        <f>Stock!R217+"'E4!/$c"</f>
        <v>#VALUE!</v>
      </c>
      <c r="CX248" s="333" t="e">
        <f>Stock!S217+"'E4!/$d"</f>
        <v>#VALUE!</v>
      </c>
      <c r="CY248" t="e">
        <f>Stock!T217+"'E4!/$e"</f>
        <v>#VALUE!</v>
      </c>
      <c r="CZ248" t="e">
        <f>Stock!U217+"'E4!/$f"</f>
        <v>#VALUE!</v>
      </c>
      <c r="DA248" t="e">
        <f>Stock!V217+"'E4!/$g"</f>
        <v>#VALUE!</v>
      </c>
      <c r="DB248" t="e">
        <f>Stock!W217+"'E4!/$h"</f>
        <v>#VALUE!</v>
      </c>
      <c r="DC248" t="e">
        <f>Stock!X217+"'E4!/$i"</f>
        <v>#VALUE!</v>
      </c>
      <c r="DD248" t="e">
        <f>Stock!Y217+"'E4!/$j"</f>
        <v>#VALUE!</v>
      </c>
      <c r="DE248" t="e">
        <f>Stock!N218+"'E4!/$k"</f>
        <v>#VALUE!</v>
      </c>
      <c r="DF248" t="e">
        <f>Stock!O218+"'E4!/$l"</f>
        <v>#VALUE!</v>
      </c>
      <c r="DG248" t="e">
        <f>Stock!P218+"'E4!/$m"</f>
        <v>#VALUE!</v>
      </c>
      <c r="DH248" t="e">
        <f>Stock!Q218+"'E4!/$n"</f>
        <v>#VALUE!</v>
      </c>
      <c r="DI248" t="e">
        <f>Stock!R218+"'E4!/$o"</f>
        <v>#VALUE!</v>
      </c>
      <c r="DJ248" s="333" t="e">
        <f>Stock!S218+"'E4!/$p"</f>
        <v>#VALUE!</v>
      </c>
      <c r="DK248" t="e">
        <f>Stock!T218+"'E4!/$q"</f>
        <v>#VALUE!</v>
      </c>
      <c r="DL248" t="e">
        <f>Stock!U218+"'E4!/$r"</f>
        <v>#VALUE!</v>
      </c>
      <c r="DM248" t="e">
        <f>Stock!V218+"'E4!/$s"</f>
        <v>#VALUE!</v>
      </c>
      <c r="DN248" t="e">
        <f>Stock!W218+"'E4!/$t"</f>
        <v>#VALUE!</v>
      </c>
      <c r="DO248" t="e">
        <f>Stock!X218+"'E4!/$u"</f>
        <v>#VALUE!</v>
      </c>
      <c r="DP248" t="e">
        <f>Stock!Y218+"'E4!/$v"</f>
        <v>#VALUE!</v>
      </c>
      <c r="DQ248" t="e">
        <f>Stock!N219+"'E4!/$w"</f>
        <v>#VALUE!</v>
      </c>
      <c r="DR248" t="e">
        <f>Stock!O219+"'E4!/$x"</f>
        <v>#VALUE!</v>
      </c>
      <c r="DS248" t="e">
        <f>Stock!P219+"'E4!/$y"</f>
        <v>#VALUE!</v>
      </c>
      <c r="DT248" t="e">
        <f>Stock!Q219+"'E4!/$z"</f>
        <v>#VALUE!</v>
      </c>
      <c r="DU248" t="e">
        <f>Stock!R219+"'E4!/${"</f>
        <v>#VALUE!</v>
      </c>
      <c r="DV248" s="333" t="e">
        <f>Stock!S219+"'E4!/$|"</f>
        <v>#VALUE!</v>
      </c>
      <c r="DW248" t="e">
        <f>Stock!T219+"'E4!/$}"</f>
        <v>#VALUE!</v>
      </c>
      <c r="DX248" t="e">
        <f>Stock!U219+"'E4!/$~"</f>
        <v>#VALUE!</v>
      </c>
      <c r="DY248" t="e">
        <f>Stock!V219+"'E4!/%#"</f>
        <v>#VALUE!</v>
      </c>
      <c r="DZ248" t="e">
        <f>Stock!W219+"'E4!/%$"</f>
        <v>#VALUE!</v>
      </c>
      <c r="EA248" t="e">
        <f>Stock!X219+"'E4!/%%"</f>
        <v>#VALUE!</v>
      </c>
      <c r="EB248" t="e">
        <f>Stock!Y219+"'E4!/%&amp;"</f>
        <v>#VALUE!</v>
      </c>
      <c r="EC248" t="e">
        <f>Stock!N220+"'E4!/%'"</f>
        <v>#VALUE!</v>
      </c>
      <c r="ED248" t="e">
        <f>Stock!O220+"'E4!/%("</f>
        <v>#VALUE!</v>
      </c>
      <c r="EE248" t="e">
        <f>Stock!Q220+"'E4!/%)"</f>
        <v>#VALUE!</v>
      </c>
      <c r="EF248" t="e">
        <f>Stock!R220+"'E4!/%."</f>
        <v>#VALUE!</v>
      </c>
      <c r="EG248" s="333" t="e">
        <f>Stock!S220+"'E4!/%/"</f>
        <v>#VALUE!</v>
      </c>
      <c r="EH248" t="e">
        <f>Stock!U220+"'E4!/%0"</f>
        <v>#VALUE!</v>
      </c>
      <c r="EI248" t="e">
        <f>Stock!V220+"'E4!/%1"</f>
        <v>#VALUE!</v>
      </c>
      <c r="EJ248" t="e">
        <f>Stock!W220+"'E4!/%2"</f>
        <v>#VALUE!</v>
      </c>
      <c r="EK248" t="e">
        <f>Stock!X220+"'E4!/%3"</f>
        <v>#VALUE!</v>
      </c>
      <c r="EL248" t="e">
        <f>Stock!Y220+"'E4!/%4"</f>
        <v>#VALUE!</v>
      </c>
      <c r="EM248" t="e">
        <f>Stock!N221+"'E4!/%5"</f>
        <v>#VALUE!</v>
      </c>
      <c r="EN248" t="e">
        <f>Stock!O221+"'E4!/%6"</f>
        <v>#VALUE!</v>
      </c>
      <c r="EO248" t="e">
        <f>Stock!P221+"'E4!/%7"</f>
        <v>#VALUE!</v>
      </c>
      <c r="EP248" t="e">
        <f>Stock!Q221+"'E4!/%8"</f>
        <v>#VALUE!</v>
      </c>
      <c r="EQ248" t="e">
        <f>Stock!R221+"'E4!/%9"</f>
        <v>#VALUE!</v>
      </c>
      <c r="ER248" s="333" t="e">
        <f>Stock!S221+"'E4!/%:"</f>
        <v>#VALUE!</v>
      </c>
      <c r="ES248" t="e">
        <f>Stock!T221+"'E4!/%;"</f>
        <v>#VALUE!</v>
      </c>
      <c r="ET248" t="e">
        <f>Stock!U221+"'E4!/%&lt;"</f>
        <v>#VALUE!</v>
      </c>
      <c r="EU248" t="e">
        <f>Stock!V221+"'E4!/%="</f>
        <v>#VALUE!</v>
      </c>
      <c r="EV248" t="e">
        <f>Stock!W221+"'E4!/%&gt;"</f>
        <v>#VALUE!</v>
      </c>
      <c r="EW248" t="e">
        <f>Stock!X221+"'E4!/%?"</f>
        <v>#VALUE!</v>
      </c>
      <c r="EX248" t="e">
        <f>Stock!Y221+"'E4!/%@"</f>
        <v>#VALUE!</v>
      </c>
      <c r="EY248" t="e">
        <f>Stock!N222+"'E4!/%A"</f>
        <v>#VALUE!</v>
      </c>
      <c r="EZ248" t="e">
        <f>Stock!O222+"'E4!/%B"</f>
        <v>#VALUE!</v>
      </c>
      <c r="FA248" t="e">
        <f>Stock!P222+"'E4!/%C"</f>
        <v>#VALUE!</v>
      </c>
      <c r="FB248" t="e">
        <f>Stock!Q222+"'E4!/%D"</f>
        <v>#VALUE!</v>
      </c>
      <c r="FC248" t="e">
        <f>Stock!R222+"'E4!/%E"</f>
        <v>#VALUE!</v>
      </c>
      <c r="FD248" s="333" t="e">
        <f>Stock!S222+"'E4!/%F"</f>
        <v>#VALUE!</v>
      </c>
      <c r="FE248" s="333" t="e">
        <f>Stock!T222+"'E4!/%G"</f>
        <v>#VALUE!</v>
      </c>
      <c r="FF248" t="e">
        <f>Stock!U222+"'E4!/%H"</f>
        <v>#VALUE!</v>
      </c>
      <c r="FG248" t="e">
        <f>Stock!V222+"'E4!/%I"</f>
        <v>#VALUE!</v>
      </c>
      <c r="FH248" t="e">
        <f>Stock!W222+"'E4!/%J"</f>
        <v>#VALUE!</v>
      </c>
      <c r="FI248" t="e">
        <f>Stock!X222+"'E4!/%K"</f>
        <v>#VALUE!</v>
      </c>
      <c r="FJ248" t="e">
        <f>Stock!Y222+"'E4!/%L"</f>
        <v>#VALUE!</v>
      </c>
      <c r="FK248" t="e">
        <f>Stock!N223+"'E4!/%M"</f>
        <v>#VALUE!</v>
      </c>
      <c r="FL248" t="e">
        <f>Stock!O223+"'E4!/%N"</f>
        <v>#VALUE!</v>
      </c>
      <c r="FM248" t="e">
        <f>Stock!P223+"'E4!/%O"</f>
        <v>#VALUE!</v>
      </c>
      <c r="FN248" t="e">
        <f>Stock!Q223+"'E4!/%P"</f>
        <v>#VALUE!</v>
      </c>
      <c r="FO248" t="e">
        <f>Stock!R223+"'E4!/%Q"</f>
        <v>#VALUE!</v>
      </c>
      <c r="FP248" s="333" t="e">
        <f>Stock!S223+"'E4!/%R"</f>
        <v>#VALUE!</v>
      </c>
      <c r="FQ248" s="333" t="e">
        <f>Stock!T223+"'E4!/%S"</f>
        <v>#VALUE!</v>
      </c>
      <c r="FR248" t="e">
        <f>Stock!U223+"'E4!/%T"</f>
        <v>#VALUE!</v>
      </c>
      <c r="FS248" t="e">
        <f>Stock!V223+"'E4!/%U"</f>
        <v>#VALUE!</v>
      </c>
      <c r="FT248" t="e">
        <f>Stock!W223+"'E4!/%V"</f>
        <v>#VALUE!</v>
      </c>
      <c r="FU248" t="e">
        <f>Stock!X223+"'E4!/%W"</f>
        <v>#VALUE!</v>
      </c>
      <c r="FV248" t="e">
        <f>Stock!Y223+"'E4!/%X"</f>
        <v>#VALUE!</v>
      </c>
      <c r="FW248" t="e">
        <f>Stock!N224+"'E4!/%Y"</f>
        <v>#VALUE!</v>
      </c>
      <c r="FX248" t="e">
        <f>Stock!O224+"'E4!/%Z"</f>
        <v>#VALUE!</v>
      </c>
      <c r="FY248" t="e">
        <f>Stock!P224+"'E4!/%["</f>
        <v>#VALUE!</v>
      </c>
      <c r="FZ248" t="e">
        <f>Stock!Q224+"'E4!/%\"</f>
        <v>#VALUE!</v>
      </c>
      <c r="GA248" t="e">
        <f>Stock!R224+"'E4!/%]"</f>
        <v>#VALUE!</v>
      </c>
      <c r="GB248" s="333" t="e">
        <f>Stock!S224+"'E4!/%^"</f>
        <v>#VALUE!</v>
      </c>
      <c r="GC248" s="333" t="e">
        <f>Stock!T224+"'E4!/%_"</f>
        <v>#VALUE!</v>
      </c>
      <c r="GD248" t="e">
        <f>Stock!U224+"'E4!/%`"</f>
        <v>#VALUE!</v>
      </c>
      <c r="GE248" t="e">
        <f>Stock!V224+"'E4!/%a"</f>
        <v>#VALUE!</v>
      </c>
      <c r="GF248" t="e">
        <f>Stock!W224+"'E4!/%b"</f>
        <v>#VALUE!</v>
      </c>
      <c r="GG248" t="e">
        <f>Stock!X224+"'E4!/%c"</f>
        <v>#VALUE!</v>
      </c>
      <c r="GH248" t="e">
        <f>Stock!Y224+"'E4!/%d"</f>
        <v>#VALUE!</v>
      </c>
      <c r="GI248" t="e">
        <f>Stock!N225+"'E4!/%e"</f>
        <v>#VALUE!</v>
      </c>
      <c r="GJ248" t="e">
        <f>Stock!O225+"'E4!/%f"</f>
        <v>#VALUE!</v>
      </c>
      <c r="GK248" t="e">
        <f>Stock!P225+"'E4!/%g"</f>
        <v>#VALUE!</v>
      </c>
      <c r="GL248" t="e">
        <f>Stock!Q225+"'E4!/%h"</f>
        <v>#VALUE!</v>
      </c>
      <c r="GM248" t="e">
        <f>Stock!R225+"'E4!/%i"</f>
        <v>#VALUE!</v>
      </c>
      <c r="GN248" s="333" t="e">
        <f>Stock!S225+"'E4!/%j"</f>
        <v>#VALUE!</v>
      </c>
      <c r="GO248" t="e">
        <f>Stock!T225+"'E4!/%k"</f>
        <v>#VALUE!</v>
      </c>
      <c r="GP248" t="e">
        <f>Stock!U225+"'E4!/%l"</f>
        <v>#VALUE!</v>
      </c>
      <c r="GQ248" t="e">
        <f>Stock!V225+"'E4!/%m"</f>
        <v>#VALUE!</v>
      </c>
      <c r="GR248" t="e">
        <f>Stock!W225+"'E4!/%n"</f>
        <v>#VALUE!</v>
      </c>
      <c r="GS248" t="e">
        <f>Stock!X225+"'E4!/%o"</f>
        <v>#VALUE!</v>
      </c>
      <c r="GT248" t="e">
        <f>Stock!Y225+"'E4!/%p"</f>
        <v>#VALUE!</v>
      </c>
      <c r="GU248" t="e">
        <f>Stock!N226+"'E4!/%q"</f>
        <v>#VALUE!</v>
      </c>
      <c r="GV248" t="e">
        <f>Stock!O226+"'E4!/%r"</f>
        <v>#VALUE!</v>
      </c>
      <c r="GW248" t="e">
        <f>Stock!P226+"'E4!/%s"</f>
        <v>#VALUE!</v>
      </c>
      <c r="GX248" t="e">
        <f>Stock!Q226+"'E4!/%t"</f>
        <v>#VALUE!</v>
      </c>
      <c r="GY248" t="e">
        <f>Stock!R226+"'E4!/%u"</f>
        <v>#VALUE!</v>
      </c>
      <c r="GZ248" s="333" t="e">
        <f>Stock!S226+"'E4!/%v"</f>
        <v>#VALUE!</v>
      </c>
      <c r="HA248" s="333" t="e">
        <f>Stock!T226+"'E4!/%w"</f>
        <v>#VALUE!</v>
      </c>
      <c r="HB248" t="e">
        <f>Stock!U226+"'E4!/%x"</f>
        <v>#VALUE!</v>
      </c>
      <c r="HC248" t="e">
        <f>Stock!V226+"'E4!/%y"</f>
        <v>#VALUE!</v>
      </c>
      <c r="HD248" t="e">
        <f>Stock!W226+"'E4!/%z"</f>
        <v>#VALUE!</v>
      </c>
      <c r="HE248" t="e">
        <f>Stock!X226+"'E4!/%{"</f>
        <v>#VALUE!</v>
      </c>
      <c r="HF248" t="e">
        <f>Stock!Y226+"'E4!/%|"</f>
        <v>#VALUE!</v>
      </c>
      <c r="HG248" t="e">
        <f>Stock!N227+"'E4!/%}"</f>
        <v>#VALUE!</v>
      </c>
      <c r="HH248" t="e">
        <f>Stock!O227+"'E4!/%~"</f>
        <v>#VALUE!</v>
      </c>
      <c r="HI248" t="e">
        <f>Stock!P227+"'E4!/&amp;#"</f>
        <v>#VALUE!</v>
      </c>
      <c r="HJ248" t="e">
        <f>Stock!Q227+"'E4!/&amp;$"</f>
        <v>#VALUE!</v>
      </c>
      <c r="HK248" t="e">
        <f>Stock!R227+"'E4!/&amp;%"</f>
        <v>#VALUE!</v>
      </c>
      <c r="HL248" s="333" t="e">
        <f>Stock!S227+"'E4!/&amp;&amp;"</f>
        <v>#VALUE!</v>
      </c>
      <c r="HM248" s="333" t="e">
        <f>Stock!T227+"'E4!/&amp;'"</f>
        <v>#VALUE!</v>
      </c>
      <c r="HN248" t="e">
        <f>Stock!U227+"'E4!/&amp;("</f>
        <v>#VALUE!</v>
      </c>
      <c r="HO248" t="e">
        <f>Stock!V227+"'E4!/&amp;)"</f>
        <v>#VALUE!</v>
      </c>
      <c r="HP248" t="e">
        <f>Stock!W227+"'E4!/&amp;."</f>
        <v>#VALUE!</v>
      </c>
      <c r="HQ248" t="e">
        <f>Stock!X227+"'E4!/&amp;/"</f>
        <v>#VALUE!</v>
      </c>
      <c r="HR248" t="e">
        <f>Stock!Y227+"'E4!/&amp;0"</f>
        <v>#VALUE!</v>
      </c>
      <c r="HS248" t="e">
        <f>Stock!N228+"'E4!/&amp;1"</f>
        <v>#VALUE!</v>
      </c>
      <c r="HT248" t="e">
        <f>Stock!O228+"'E4!/&amp;2"</f>
        <v>#VALUE!</v>
      </c>
      <c r="HU248" t="e">
        <f>Stock!P228+"'E4!/&amp;3"</f>
        <v>#VALUE!</v>
      </c>
      <c r="HV248" t="e">
        <f>Stock!Q228+"'E4!/&amp;4"</f>
        <v>#VALUE!</v>
      </c>
      <c r="HW248" t="e">
        <f>Stock!R228+"'E4!/&amp;5"</f>
        <v>#VALUE!</v>
      </c>
      <c r="HX248" s="333" t="e">
        <f>Stock!S228+"'E4!/&amp;6"</f>
        <v>#VALUE!</v>
      </c>
      <c r="HY248" s="333" t="e">
        <f>Stock!T228+"'E4!/&amp;7"</f>
        <v>#VALUE!</v>
      </c>
      <c r="HZ248" t="e">
        <f>Stock!U228+"'E4!/&amp;8"</f>
        <v>#VALUE!</v>
      </c>
      <c r="IA248" t="e">
        <f>Stock!V228+"'E4!/&amp;9"</f>
        <v>#VALUE!</v>
      </c>
      <c r="IB248" t="e">
        <f>Stock!W228+"'E4!/&amp;:"</f>
        <v>#VALUE!</v>
      </c>
      <c r="IC248" t="e">
        <f>Stock!X228+"'E4!/&amp;;"</f>
        <v>#VALUE!</v>
      </c>
      <c r="ID248" t="e">
        <f>Stock!Y228+"'E4!/&amp;&lt;"</f>
        <v>#VALUE!</v>
      </c>
      <c r="IE248" t="e">
        <f>Stock!N229+"'E4!/&amp;="</f>
        <v>#VALUE!</v>
      </c>
      <c r="IF248" t="e">
        <f>Stock!O229+"'E4!/&amp;&gt;"</f>
        <v>#VALUE!</v>
      </c>
      <c r="IG248" t="e">
        <f>Stock!P229+"'E4!/&amp;?"</f>
        <v>#VALUE!</v>
      </c>
      <c r="IH248" t="e">
        <f>Stock!Q229+"'E4!/&amp;@"</f>
        <v>#VALUE!</v>
      </c>
      <c r="II248" t="e">
        <f>Stock!R229+"'E4!/&amp;A"</f>
        <v>#VALUE!</v>
      </c>
      <c r="IJ248" s="333" t="e">
        <f>Stock!S229+"'E4!/&amp;B"</f>
        <v>#VALUE!</v>
      </c>
      <c r="IK248" s="333" t="e">
        <f>Stock!T229+"'E4!/&amp;C"</f>
        <v>#VALUE!</v>
      </c>
      <c r="IL248" t="e">
        <f>Stock!U229+"'E4!/&amp;D"</f>
        <v>#VALUE!</v>
      </c>
      <c r="IM248" t="e">
        <f>Stock!V229+"'E4!/&amp;E"</f>
        <v>#VALUE!</v>
      </c>
      <c r="IN248" t="e">
        <f>Stock!W229+"'E4!/&amp;F"</f>
        <v>#VALUE!</v>
      </c>
      <c r="IO248" t="e">
        <f>Stock!X229+"'E4!/&amp;G"</f>
        <v>#VALUE!</v>
      </c>
      <c r="IP248" t="e">
        <f>Stock!Y229+"'E4!/&amp;H"</f>
        <v>#VALUE!</v>
      </c>
      <c r="IQ248" t="e">
        <f>Stock!N230+"'E4!/&amp;I"</f>
        <v>#VALUE!</v>
      </c>
      <c r="IR248" t="e">
        <f>Stock!O230+"'E4!/&amp;J"</f>
        <v>#VALUE!</v>
      </c>
      <c r="IS248" t="e">
        <f>Stock!P230+"'E4!/&amp;K"</f>
        <v>#VALUE!</v>
      </c>
      <c r="IT248" t="e">
        <f>Stock!Q230+"'E4!/&amp;L"</f>
        <v>#VALUE!</v>
      </c>
      <c r="IU248" t="e">
        <f>Stock!R230+"'E4!/&amp;M"</f>
        <v>#VALUE!</v>
      </c>
      <c r="IV248" s="333" t="e">
        <f>Stock!S230+"'E4!/&amp;N"</f>
        <v>#VALUE!</v>
      </c>
    </row>
    <row r="249" spans="6:256">
      <c r="F249" s="333" t="e">
        <f>Stock!T230+"'E4!/&amp;O"</f>
        <v>#VALUE!</v>
      </c>
      <c r="G249" t="e">
        <f>Stock!U230+"'E4!/&amp;P"</f>
        <v>#VALUE!</v>
      </c>
      <c r="H249" t="e">
        <f>Stock!V230+"'E4!/&amp;Q"</f>
        <v>#VALUE!</v>
      </c>
      <c r="I249" t="e">
        <f>Stock!W230+"'E4!/&amp;R"</f>
        <v>#VALUE!</v>
      </c>
      <c r="J249" t="e">
        <f>Stock!X230+"'E4!/&amp;S"</f>
        <v>#VALUE!</v>
      </c>
      <c r="K249" t="e">
        <f>Stock!Y230+"'E4!/&amp;T"</f>
        <v>#VALUE!</v>
      </c>
      <c r="L249" t="e">
        <f>Stock!N231+"'E4!/&amp;U"</f>
        <v>#VALUE!</v>
      </c>
      <c r="M249" t="e">
        <f>Stock!O231+"'E4!/&amp;V"</f>
        <v>#VALUE!</v>
      </c>
      <c r="N249" t="e">
        <f>Stock!P231+"'E4!/&amp;W"</f>
        <v>#VALUE!</v>
      </c>
      <c r="O249" t="e">
        <f>Stock!Q231+"'E4!/&amp;X"</f>
        <v>#VALUE!</v>
      </c>
      <c r="P249" t="e">
        <f>Stock!R231+"'E4!/&amp;Y"</f>
        <v>#VALUE!</v>
      </c>
      <c r="Q249" s="333" t="e">
        <f>Stock!S231+"'E4!/&amp;Z"</f>
        <v>#VALUE!</v>
      </c>
      <c r="R249" s="333" t="e">
        <f>Stock!T231+"'E4!/&amp;["</f>
        <v>#VALUE!</v>
      </c>
      <c r="S249" t="e">
        <f>Stock!U231+"'E4!/&amp;\"</f>
        <v>#VALUE!</v>
      </c>
      <c r="T249" t="e">
        <f>Stock!V231+"'E4!/&amp;]"</f>
        <v>#VALUE!</v>
      </c>
      <c r="U249" t="e">
        <f>Stock!W231+"'E4!/&amp;^"</f>
        <v>#VALUE!</v>
      </c>
      <c r="V249" t="e">
        <f>Stock!X231+"'E4!/&amp;_"</f>
        <v>#VALUE!</v>
      </c>
      <c r="W249" t="e">
        <f>Stock!Y231+"'E4!/&amp;`"</f>
        <v>#VALUE!</v>
      </c>
      <c r="X249" t="e">
        <f>Stock!N232+"'E4!/&amp;a"</f>
        <v>#VALUE!</v>
      </c>
      <c r="Y249" t="e">
        <f>Stock!O232+"'E4!/&amp;b"</f>
        <v>#VALUE!</v>
      </c>
      <c r="Z249" t="e">
        <f>Stock!P232+"'E4!/&amp;c"</f>
        <v>#VALUE!</v>
      </c>
      <c r="AA249" t="e">
        <f>Stock!Q232+"'E4!/&amp;d"</f>
        <v>#VALUE!</v>
      </c>
      <c r="AB249" t="e">
        <f>Stock!R232+"'E4!/&amp;e"</f>
        <v>#VALUE!</v>
      </c>
      <c r="AC249" s="333" t="e">
        <f>Stock!S232+"'E4!/&amp;f"</f>
        <v>#VALUE!</v>
      </c>
      <c r="AD249" s="333" t="e">
        <f>Stock!T232+"'E4!/&amp;g"</f>
        <v>#VALUE!</v>
      </c>
      <c r="AE249" t="e">
        <f>Stock!U232+"'E4!/&amp;h"</f>
        <v>#VALUE!</v>
      </c>
      <c r="AF249" t="e">
        <f>Stock!V232+"'E4!/&amp;i"</f>
        <v>#VALUE!</v>
      </c>
      <c r="AG249" t="e">
        <f>Stock!W232+"'E4!/&amp;j"</f>
        <v>#VALUE!</v>
      </c>
      <c r="AH249" t="e">
        <f>Stock!X232+"'E4!/&amp;k"</f>
        <v>#VALUE!</v>
      </c>
      <c r="AI249" t="e">
        <f>Stock!Y232+"'E4!/&amp;l"</f>
        <v>#VALUE!</v>
      </c>
      <c r="AJ249" t="e">
        <f>Stock!N233+"'E4!/&amp;m"</f>
        <v>#VALUE!</v>
      </c>
      <c r="AK249" t="e">
        <f>Stock!O233+"'E4!/&amp;n"</f>
        <v>#VALUE!</v>
      </c>
      <c r="AL249" t="e">
        <f>Stock!P233+"'E4!/&amp;o"</f>
        <v>#VALUE!</v>
      </c>
      <c r="AM249" t="e">
        <f>Stock!Q233+"'E4!/&amp;p"</f>
        <v>#VALUE!</v>
      </c>
      <c r="AN249" t="e">
        <f>Stock!R233+"'E4!/&amp;q"</f>
        <v>#VALUE!</v>
      </c>
      <c r="AO249" s="333" t="e">
        <f>Stock!S233+"'E4!/&amp;r"</f>
        <v>#VALUE!</v>
      </c>
      <c r="AP249" s="333" t="e">
        <f>Stock!T233+"'E4!/&amp;s"</f>
        <v>#VALUE!</v>
      </c>
      <c r="AQ249" t="e">
        <f>Stock!U233+"'E4!/&amp;t"</f>
        <v>#VALUE!</v>
      </c>
      <c r="AR249" t="e">
        <f>Stock!V233+"'E4!/&amp;u"</f>
        <v>#VALUE!</v>
      </c>
      <c r="AS249" t="e">
        <f>Stock!W233+"'E4!/&amp;v"</f>
        <v>#VALUE!</v>
      </c>
      <c r="AT249" t="e">
        <f>Stock!X233+"'E4!/&amp;w"</f>
        <v>#VALUE!</v>
      </c>
      <c r="AU249" t="e">
        <f>Stock!Y233+"'E4!/&amp;x"</f>
        <v>#VALUE!</v>
      </c>
      <c r="AV249" t="e">
        <f>Stock!N234+"'E4!/&amp;y"</f>
        <v>#VALUE!</v>
      </c>
      <c r="AW249" t="e">
        <f>Stock!O234+"'E4!/&amp;z"</f>
        <v>#VALUE!</v>
      </c>
      <c r="AX249" t="e">
        <f>Stock!P234+"'E4!/&amp;{"</f>
        <v>#VALUE!</v>
      </c>
      <c r="AY249" t="e">
        <f>Stock!Q234+"'E4!/&amp;|"</f>
        <v>#VALUE!</v>
      </c>
      <c r="AZ249" t="e">
        <f>Stock!R234+"'E4!/&amp;}"</f>
        <v>#VALUE!</v>
      </c>
      <c r="BA249" s="333" t="e">
        <f>Stock!S234+"'E4!/&amp;~"</f>
        <v>#VALUE!</v>
      </c>
      <c r="BB249" s="333" t="e">
        <f>Stock!T234+"'E4!/'#"</f>
        <v>#VALUE!</v>
      </c>
      <c r="BC249" t="e">
        <f>Stock!U234+"'E4!/'$"</f>
        <v>#VALUE!</v>
      </c>
      <c r="BD249" t="e">
        <f>Stock!V234+"'E4!/'%"</f>
        <v>#VALUE!</v>
      </c>
      <c r="BE249" t="e">
        <f>Stock!W234+"'E4!/'&amp;"</f>
        <v>#VALUE!</v>
      </c>
      <c r="BF249" t="e">
        <f>Stock!X234+"'E4!/''"</f>
        <v>#VALUE!</v>
      </c>
      <c r="BG249" t="e">
        <f>Stock!Y234+"'E4!/'("</f>
        <v>#VALUE!</v>
      </c>
      <c r="BH249" t="e">
        <f>Stock!N235+"'E4!/')"</f>
        <v>#VALUE!</v>
      </c>
      <c r="BI249" t="e">
        <f>Stock!O235+"'E4!/'."</f>
        <v>#VALUE!</v>
      </c>
      <c r="BJ249" t="e">
        <f>Stock!P235+"'E4!/'/"</f>
        <v>#VALUE!</v>
      </c>
      <c r="BK249" t="e">
        <f>Stock!Q235+"'E4!/'0"</f>
        <v>#VALUE!</v>
      </c>
      <c r="BL249" t="e">
        <f>Stock!R235+"'E4!/'1"</f>
        <v>#VALUE!</v>
      </c>
      <c r="BM249" s="333" t="e">
        <f>Stock!S235+"'E4!/'2"</f>
        <v>#VALUE!</v>
      </c>
      <c r="BN249" s="333" t="e">
        <f>Stock!T235+"'E4!/'3"</f>
        <v>#VALUE!</v>
      </c>
      <c r="BO249" t="e">
        <f>Stock!U235+"'E4!/'4"</f>
        <v>#VALUE!</v>
      </c>
      <c r="BP249" t="e">
        <f>Stock!V235+"'E4!/'5"</f>
        <v>#VALUE!</v>
      </c>
      <c r="BQ249" t="e">
        <f>Stock!W235+"'E4!/'6"</f>
        <v>#VALUE!</v>
      </c>
      <c r="BR249" t="e">
        <f>Stock!X235+"'E4!/'7"</f>
        <v>#VALUE!</v>
      </c>
      <c r="BS249" t="e">
        <f>Stock!Y235+"'E4!/'8"</f>
        <v>#VALUE!</v>
      </c>
      <c r="BT249" t="e">
        <f>Stock!N236+"'E4!/'9"</f>
        <v>#VALUE!</v>
      </c>
      <c r="BU249" t="e">
        <f>Stock!O236+"'E4!/':"</f>
        <v>#VALUE!</v>
      </c>
      <c r="BV249" t="e">
        <f>Stock!P236+"'E4!/';"</f>
        <v>#VALUE!</v>
      </c>
      <c r="BW249" t="e">
        <f>Stock!Q236+"'E4!/'&lt;"</f>
        <v>#VALUE!</v>
      </c>
      <c r="BX249" t="e">
        <f>Stock!R236+"'E4!/'="</f>
        <v>#VALUE!</v>
      </c>
      <c r="BY249" s="333" t="e">
        <f>Stock!S236+"'E4!/'&gt;"</f>
        <v>#VALUE!</v>
      </c>
      <c r="BZ249" s="333" t="e">
        <f>Stock!T236+"'E4!/'?"</f>
        <v>#VALUE!</v>
      </c>
      <c r="CA249" t="e">
        <f>Stock!U236+"'E4!/'@"</f>
        <v>#VALUE!</v>
      </c>
      <c r="CB249" t="e">
        <f>Stock!V236+"'E4!/'A"</f>
        <v>#VALUE!</v>
      </c>
      <c r="CC249" t="e">
        <f>Stock!W236+"'E4!/'B"</f>
        <v>#VALUE!</v>
      </c>
      <c r="CD249" t="e">
        <f>Stock!X236+"'E4!/'C"</f>
        <v>#VALUE!</v>
      </c>
      <c r="CE249" t="e">
        <f>Stock!Y236+"'E4!/'D"</f>
        <v>#VALUE!</v>
      </c>
      <c r="CF249" t="e">
        <f>Stock!N237+"'E4!/'E"</f>
        <v>#VALUE!</v>
      </c>
      <c r="CG249" t="e">
        <f>Stock!O237+"'E4!/'F"</f>
        <v>#VALUE!</v>
      </c>
      <c r="CH249" t="e">
        <f>Stock!P237+"'E4!/'G"</f>
        <v>#VALUE!</v>
      </c>
      <c r="CI249" t="e">
        <f>Stock!Q237+"'E4!/'H"</f>
        <v>#VALUE!</v>
      </c>
      <c r="CJ249" t="e">
        <f>Stock!R237+"'E4!/'I"</f>
        <v>#VALUE!</v>
      </c>
      <c r="CK249" s="333" t="e">
        <f>Stock!S237+"'E4!/'J"</f>
        <v>#VALUE!</v>
      </c>
      <c r="CL249" s="333" t="e">
        <f>Stock!T237+"'E4!/'K"</f>
        <v>#VALUE!</v>
      </c>
      <c r="CM249" t="e">
        <f>Stock!U237+"'E4!/'L"</f>
        <v>#VALUE!</v>
      </c>
      <c r="CN249" t="e">
        <f>Stock!V237+"'E4!/'M"</f>
        <v>#VALUE!</v>
      </c>
      <c r="CO249" t="e">
        <f>Stock!W237+"'E4!/'N"</f>
        <v>#VALUE!</v>
      </c>
      <c r="CP249" t="e">
        <f>Stock!X237+"'E4!/'O"</f>
        <v>#VALUE!</v>
      </c>
      <c r="CQ249" t="e">
        <f>Stock!Y237+"'E4!/'P"</f>
        <v>#VALUE!</v>
      </c>
      <c r="CR249" t="e">
        <f>Stock!N238+"'E4!/'Q"</f>
        <v>#VALUE!</v>
      </c>
      <c r="CS249" t="e">
        <f>Stock!O238+"'E4!/'R"</f>
        <v>#VALUE!</v>
      </c>
      <c r="CT249" t="e">
        <f>Stock!P238+"'E4!/'S"</f>
        <v>#VALUE!</v>
      </c>
      <c r="CU249" t="e">
        <f>Stock!Q238+"'E4!/'T"</f>
        <v>#VALUE!</v>
      </c>
      <c r="CV249" t="e">
        <f>Stock!R238+"'E4!/'U"</f>
        <v>#VALUE!</v>
      </c>
      <c r="CW249" s="333" t="e">
        <f>Stock!S238+"'E4!/'V"</f>
        <v>#VALUE!</v>
      </c>
      <c r="CX249" s="333" t="e">
        <f>Stock!T238+"'E4!/'W"</f>
        <v>#VALUE!</v>
      </c>
      <c r="CY249" t="e">
        <f>Stock!U238+"'E4!/'X"</f>
        <v>#VALUE!</v>
      </c>
      <c r="CZ249" t="e">
        <f>Stock!V238+"'E4!/'Y"</f>
        <v>#VALUE!</v>
      </c>
      <c r="DA249" t="e">
        <f>Stock!W238+"'E4!/'Z"</f>
        <v>#VALUE!</v>
      </c>
      <c r="DB249" t="e">
        <f>Stock!X238+"'E4!/'["</f>
        <v>#VALUE!</v>
      </c>
      <c r="DC249" t="e">
        <f>Stock!Y238+"'E4!/'\"</f>
        <v>#VALUE!</v>
      </c>
      <c r="DD249" t="e">
        <f>Stock!N239+"'E4!/']"</f>
        <v>#VALUE!</v>
      </c>
      <c r="DE249" t="e">
        <f>Stock!O239+"'E4!/'^"</f>
        <v>#VALUE!</v>
      </c>
      <c r="DF249" t="e">
        <f>Stock!P239+"'E4!/'_"</f>
        <v>#VALUE!</v>
      </c>
      <c r="DG249" t="e">
        <f>Stock!Q239+"'E4!/'`"</f>
        <v>#VALUE!</v>
      </c>
      <c r="DH249" t="e">
        <f>Stock!R239+"'E4!/'a"</f>
        <v>#VALUE!</v>
      </c>
      <c r="DI249" s="333" t="e">
        <f>Stock!S239+"'E4!/'b"</f>
        <v>#VALUE!</v>
      </c>
      <c r="DJ249" s="333" t="e">
        <f>Stock!T239+"'E4!/'c"</f>
        <v>#VALUE!</v>
      </c>
      <c r="DK249" t="e">
        <f>Stock!U239+"'E4!/'d"</f>
        <v>#VALUE!</v>
      </c>
      <c r="DL249" t="e">
        <f>Stock!V239+"'E4!/'e"</f>
        <v>#VALUE!</v>
      </c>
      <c r="DM249" t="e">
        <f>Stock!W239+"'E4!/'f"</f>
        <v>#VALUE!</v>
      </c>
      <c r="DN249" t="e">
        <f>Stock!X239+"'E4!/'g"</f>
        <v>#VALUE!</v>
      </c>
      <c r="DO249" t="e">
        <f>Stock!Y239+"'E4!/'h"</f>
        <v>#VALUE!</v>
      </c>
      <c r="DP249" t="e">
        <f>Stock!N240+"'E4!/'i"</f>
        <v>#VALUE!</v>
      </c>
      <c r="DQ249" t="e">
        <f>Stock!O240+"'E4!/'j"</f>
        <v>#VALUE!</v>
      </c>
      <c r="DR249" t="e">
        <f>Stock!P240+"'E4!/'k"</f>
        <v>#VALUE!</v>
      </c>
      <c r="DS249" t="e">
        <f>Stock!Q240+"'E4!/'l"</f>
        <v>#VALUE!</v>
      </c>
      <c r="DT249" t="e">
        <f>Stock!R240+"'E4!/'m"</f>
        <v>#VALUE!</v>
      </c>
      <c r="DU249" s="333" t="e">
        <f>Stock!S240+"'E4!/'n"</f>
        <v>#VALUE!</v>
      </c>
      <c r="DV249" s="333" t="e">
        <f>Stock!T240+"'E4!/'o"</f>
        <v>#VALUE!</v>
      </c>
      <c r="DW249" t="e">
        <f>Stock!U240+"'E4!/'p"</f>
        <v>#VALUE!</v>
      </c>
      <c r="DX249" t="e">
        <f>Stock!V240+"'E4!/'q"</f>
        <v>#VALUE!</v>
      </c>
      <c r="DY249" t="e">
        <f>Stock!W240+"'E4!/'r"</f>
        <v>#VALUE!</v>
      </c>
      <c r="DZ249" t="e">
        <f>Stock!X240+"'E4!/'s"</f>
        <v>#VALUE!</v>
      </c>
      <c r="EA249" t="e">
        <f>Stock!Y240+"'E4!/'t"</f>
        <v>#VALUE!</v>
      </c>
      <c r="EB249" t="e">
        <f>Stock!N241+"'E4!/'u"</f>
        <v>#VALUE!</v>
      </c>
      <c r="EC249" t="e">
        <f>Stock!O241+"'E4!/'v"</f>
        <v>#VALUE!</v>
      </c>
      <c r="ED249" t="e">
        <f>Stock!P241+"'E4!/'w"</f>
        <v>#VALUE!</v>
      </c>
      <c r="EE249" t="e">
        <f>Stock!Q241+"'E4!/'x"</f>
        <v>#VALUE!</v>
      </c>
      <c r="EF249" t="e">
        <f>Stock!R241+"'E4!/'y"</f>
        <v>#VALUE!</v>
      </c>
      <c r="EG249" s="333" t="e">
        <f>Stock!S241+"'E4!/'z"</f>
        <v>#VALUE!</v>
      </c>
      <c r="EH249" s="333" t="e">
        <f>Stock!T241+"'E4!/'{"</f>
        <v>#VALUE!</v>
      </c>
      <c r="EI249" t="e">
        <f>Stock!U241+"'E4!/'|"</f>
        <v>#VALUE!</v>
      </c>
      <c r="EJ249" t="e">
        <f>Stock!V241+"'E4!/'}"</f>
        <v>#VALUE!</v>
      </c>
      <c r="EK249" t="e">
        <f>Stock!W241+"'E4!/'~"</f>
        <v>#VALUE!</v>
      </c>
      <c r="EL249" t="e">
        <f>Stock!X241+"'E4!/(#"</f>
        <v>#VALUE!</v>
      </c>
      <c r="EM249" t="e">
        <f>Stock!Y241+"'E4!/($"</f>
        <v>#VALUE!</v>
      </c>
      <c r="EN249" t="e">
        <f>Stock!N242+"'E4!/(%"</f>
        <v>#VALUE!</v>
      </c>
      <c r="EO249" t="e">
        <f>Stock!O242+"'E4!/(&amp;"</f>
        <v>#VALUE!</v>
      </c>
      <c r="EP249" t="e">
        <f>Stock!P242+"'E4!/('"</f>
        <v>#VALUE!</v>
      </c>
      <c r="EQ249" t="e">
        <f>Stock!Q242+"'E4!/(("</f>
        <v>#VALUE!</v>
      </c>
      <c r="ER249" t="e">
        <f>Stock!R242+"'E4!/()"</f>
        <v>#VALUE!</v>
      </c>
      <c r="ES249" s="333" t="e">
        <f>Stock!S242+"'E4!/(."</f>
        <v>#VALUE!</v>
      </c>
      <c r="ET249" s="333" t="e">
        <f>Stock!T242+"'E4!/(/"</f>
        <v>#VALUE!</v>
      </c>
      <c r="EU249" t="e">
        <f>Stock!U242+"'E4!/(0"</f>
        <v>#VALUE!</v>
      </c>
      <c r="EV249" t="e">
        <f>Stock!V242+"'E4!/(1"</f>
        <v>#VALUE!</v>
      </c>
      <c r="EW249" t="e">
        <f>Stock!W242+"'E4!/(2"</f>
        <v>#VALUE!</v>
      </c>
      <c r="EX249" t="e">
        <f>Stock!X242+"'E4!/(3"</f>
        <v>#VALUE!</v>
      </c>
      <c r="EY249" t="e">
        <f>Stock!Y242+"'E4!/(4"</f>
        <v>#VALUE!</v>
      </c>
      <c r="EZ249" t="e">
        <f>Stock!N243+"'E4!/(5"</f>
        <v>#VALUE!</v>
      </c>
      <c r="FA249" t="e">
        <f>Stock!O243+"'E4!/(6"</f>
        <v>#VALUE!</v>
      </c>
      <c r="FB249" t="e">
        <f>Stock!P243+"'E4!/(7"</f>
        <v>#VALUE!</v>
      </c>
      <c r="FC249" t="e">
        <f>Stock!Q243+"'E4!/(8"</f>
        <v>#VALUE!</v>
      </c>
      <c r="FD249" t="e">
        <f>Stock!R243+"'E4!/(9"</f>
        <v>#VALUE!</v>
      </c>
      <c r="FE249" s="333" t="e">
        <f>Stock!S243+"'E4!/(:"</f>
        <v>#VALUE!</v>
      </c>
      <c r="FF249" s="333" t="e">
        <f>Stock!T243+"'E4!/(;"</f>
        <v>#VALUE!</v>
      </c>
      <c r="FG249" t="e">
        <f>Stock!U243+"'E4!/(&lt;"</f>
        <v>#VALUE!</v>
      </c>
      <c r="FH249" t="e">
        <f>Stock!V243+"'E4!/(="</f>
        <v>#VALUE!</v>
      </c>
      <c r="FI249" t="e">
        <f>Stock!W243+"'E4!/(&gt;"</f>
        <v>#VALUE!</v>
      </c>
      <c r="FJ249" t="e">
        <f>Stock!X243+"'E4!/(?"</f>
        <v>#VALUE!</v>
      </c>
      <c r="FK249" t="e">
        <f>Stock!Y243+"'E4!/(@"</f>
        <v>#VALUE!</v>
      </c>
      <c r="FL249" t="e">
        <f>Stock!N244+"'E4!/(A"</f>
        <v>#VALUE!</v>
      </c>
      <c r="FM249" t="e">
        <f>Stock!O244+"'E4!/(B"</f>
        <v>#VALUE!</v>
      </c>
      <c r="FN249" t="e">
        <f>Stock!P244+"'E4!/(C"</f>
        <v>#VALUE!</v>
      </c>
      <c r="FO249" t="e">
        <f>Stock!Q244+"'E4!/(D"</f>
        <v>#VALUE!</v>
      </c>
      <c r="FP249" t="e">
        <f>Stock!R244+"'E4!/(E"</f>
        <v>#VALUE!</v>
      </c>
      <c r="FQ249" s="333" t="e">
        <f>Stock!S244+"'E4!/(F"</f>
        <v>#VALUE!</v>
      </c>
      <c r="FR249" s="333" t="e">
        <f>Stock!T244+"'E4!/(G"</f>
        <v>#VALUE!</v>
      </c>
      <c r="FS249" t="e">
        <f>Stock!U244+"'E4!/(H"</f>
        <v>#VALUE!</v>
      </c>
      <c r="FT249" t="e">
        <f>Stock!V244+"'E4!/(I"</f>
        <v>#VALUE!</v>
      </c>
      <c r="FU249" t="e">
        <f>Stock!W244+"'E4!/(J"</f>
        <v>#VALUE!</v>
      </c>
      <c r="FV249" t="e">
        <f>Stock!X244+"'E4!/(K"</f>
        <v>#VALUE!</v>
      </c>
      <c r="FW249" t="e">
        <f>Stock!Y244+"'E4!/(L"</f>
        <v>#VALUE!</v>
      </c>
      <c r="FX249" t="e">
        <f>Stock!N245+"'E4!/(M"</f>
        <v>#VALUE!</v>
      </c>
      <c r="FY249" t="e">
        <f>Stock!O245+"'E4!/(N"</f>
        <v>#VALUE!</v>
      </c>
      <c r="FZ249" t="e">
        <f>Stock!P245+"'E4!/(O"</f>
        <v>#VALUE!</v>
      </c>
      <c r="GA249" t="e">
        <f>Stock!Q245+"'E4!/(P"</f>
        <v>#VALUE!</v>
      </c>
      <c r="GB249" t="e">
        <f>Stock!R245+"'E4!/(Q"</f>
        <v>#VALUE!</v>
      </c>
      <c r="GC249" s="333" t="e">
        <f>Stock!S245+"'E4!/(R"</f>
        <v>#VALUE!</v>
      </c>
      <c r="GD249" t="e">
        <f>Stock!T245+"'E4!/(S"</f>
        <v>#VALUE!</v>
      </c>
      <c r="GE249" t="e">
        <f>Stock!U245+"'E4!/(T"</f>
        <v>#VALUE!</v>
      </c>
      <c r="GF249" t="e">
        <f>Stock!V245+"'E4!/(U"</f>
        <v>#VALUE!</v>
      </c>
      <c r="GG249" t="e">
        <f>Stock!W245+"'E4!/(V"</f>
        <v>#VALUE!</v>
      </c>
      <c r="GH249" t="e">
        <f>Stock!X245+"'E4!/(W"</f>
        <v>#VALUE!</v>
      </c>
      <c r="GI249" t="e">
        <f>Stock!Y245+"'E4!/(X"</f>
        <v>#VALUE!</v>
      </c>
      <c r="GJ249" t="e">
        <f>Stock!N246+"'E4!/(Y"</f>
        <v>#VALUE!</v>
      </c>
      <c r="GK249" t="e">
        <f>Stock!O246+"'E4!/(Z"</f>
        <v>#VALUE!</v>
      </c>
      <c r="GL249" t="e">
        <f>Stock!P246+"'E4!/(["</f>
        <v>#VALUE!</v>
      </c>
      <c r="GM249" t="e">
        <f>Stock!Q246+"'E4!/(\"</f>
        <v>#VALUE!</v>
      </c>
      <c r="GN249" t="e">
        <f>Stock!R246+"'E4!/(]"</f>
        <v>#VALUE!</v>
      </c>
      <c r="GO249" s="333" t="e">
        <f>Stock!S246+"'E4!/(^"</f>
        <v>#VALUE!</v>
      </c>
      <c r="GP249" t="e">
        <f>Stock!T246+"'E4!/(_"</f>
        <v>#VALUE!</v>
      </c>
      <c r="GQ249" t="e">
        <f>Stock!U246+"'E4!/(`"</f>
        <v>#VALUE!</v>
      </c>
      <c r="GR249" t="e">
        <f>Stock!V246+"'E4!/(a"</f>
        <v>#VALUE!</v>
      </c>
      <c r="GS249" t="e">
        <f>Stock!W246+"'E4!/(b"</f>
        <v>#VALUE!</v>
      </c>
      <c r="GT249" t="e">
        <f>Stock!X246+"'E4!/(c"</f>
        <v>#VALUE!</v>
      </c>
      <c r="GU249" t="e">
        <f>Stock!Y246+"'E4!/(d"</f>
        <v>#VALUE!</v>
      </c>
      <c r="GV249" t="e">
        <f>Stock!N247+"'E4!/(e"</f>
        <v>#VALUE!</v>
      </c>
      <c r="GW249" t="e">
        <f>Stock!O247+"'E4!/(f"</f>
        <v>#VALUE!</v>
      </c>
      <c r="GX249" t="e">
        <f>Stock!P247+"'E4!/(g"</f>
        <v>#VALUE!</v>
      </c>
      <c r="GY249" t="e">
        <f>Stock!Q247+"'E4!/(h"</f>
        <v>#VALUE!</v>
      </c>
      <c r="GZ249" t="e">
        <f>Stock!R247+"'E4!/(i"</f>
        <v>#VALUE!</v>
      </c>
      <c r="HA249" s="333" t="e">
        <f>Stock!S247+"'E4!/(j"</f>
        <v>#VALUE!</v>
      </c>
      <c r="HB249" t="e">
        <f>Stock!T247+"'E4!/(k"</f>
        <v>#VALUE!</v>
      </c>
      <c r="HC249" t="e">
        <f>Stock!U247+"'E4!/(l"</f>
        <v>#VALUE!</v>
      </c>
      <c r="HD249" t="e">
        <f>Stock!V247+"'E4!/(m"</f>
        <v>#VALUE!</v>
      </c>
      <c r="HE249" t="e">
        <f>Stock!W247+"'E4!/(n"</f>
        <v>#VALUE!</v>
      </c>
      <c r="HF249" t="e">
        <f>Stock!X247+"'E4!/(o"</f>
        <v>#VALUE!</v>
      </c>
      <c r="HG249" t="e">
        <f>Stock!Y247+"'E4!/(p"</f>
        <v>#VALUE!</v>
      </c>
      <c r="HH249" t="e">
        <f>Stock!N248+"'E4!/(q"</f>
        <v>#VALUE!</v>
      </c>
      <c r="HI249" t="e">
        <f>Stock!O248+"'E4!/(r"</f>
        <v>#VALUE!</v>
      </c>
      <c r="HJ249" t="e">
        <f>Stock!P248+"'E4!/(s"</f>
        <v>#VALUE!</v>
      </c>
      <c r="HK249" t="e">
        <f>Stock!Q248+"'E4!/(t"</f>
        <v>#VALUE!</v>
      </c>
      <c r="HL249" t="e">
        <f>Stock!R248+"'E4!/(u"</f>
        <v>#VALUE!</v>
      </c>
      <c r="HM249" s="333" t="e">
        <f>Stock!S248+"'E4!/(v"</f>
        <v>#VALUE!</v>
      </c>
      <c r="HN249" s="333" t="e">
        <f>Stock!T248+"'E4!/(w"</f>
        <v>#VALUE!</v>
      </c>
      <c r="HO249" t="e">
        <f>Stock!U248+"'E4!/(x"</f>
        <v>#VALUE!</v>
      </c>
      <c r="HP249" t="e">
        <f>Stock!V248+"'E4!/(y"</f>
        <v>#VALUE!</v>
      </c>
      <c r="HQ249" t="e">
        <f>Stock!W248+"'E4!/(z"</f>
        <v>#VALUE!</v>
      </c>
      <c r="HR249" t="e">
        <f>Stock!X248+"'E4!/({"</f>
        <v>#VALUE!</v>
      </c>
      <c r="HS249" t="e">
        <f>Stock!Y248+"'E4!/(|"</f>
        <v>#VALUE!</v>
      </c>
      <c r="HT249" t="e">
        <f>Stock!N249+"'E4!/(}"</f>
        <v>#VALUE!</v>
      </c>
      <c r="HU249" t="e">
        <f>Stock!O249+"'E4!/(~"</f>
        <v>#VALUE!</v>
      </c>
      <c r="HV249" t="e">
        <f>Stock!P249+"'E4!/)#"</f>
        <v>#VALUE!</v>
      </c>
      <c r="HW249" t="e">
        <f>Stock!Q249+"'E4!/)$"</f>
        <v>#VALUE!</v>
      </c>
      <c r="HX249" t="e">
        <f>Stock!R249+"'E4!/)%"</f>
        <v>#VALUE!</v>
      </c>
      <c r="HY249" s="333" t="e">
        <f>Stock!S249+"'E4!/)&amp;"</f>
        <v>#VALUE!</v>
      </c>
      <c r="HZ249" s="333" t="e">
        <f>Stock!T249+"'E4!/)'"</f>
        <v>#VALUE!</v>
      </c>
      <c r="IA249" t="e">
        <f>Stock!U249+"'E4!/)("</f>
        <v>#VALUE!</v>
      </c>
      <c r="IB249" t="e">
        <f>Stock!V249+"'E4!/))"</f>
        <v>#VALUE!</v>
      </c>
      <c r="IC249" t="e">
        <f>Stock!W249+"'E4!/)."</f>
        <v>#VALUE!</v>
      </c>
      <c r="ID249" t="e">
        <f>Stock!X249+"'E4!/)/"</f>
        <v>#VALUE!</v>
      </c>
      <c r="IE249" t="e">
        <f>Stock!Y249+"'E4!/)0"</f>
        <v>#VALUE!</v>
      </c>
      <c r="IF249" t="e">
        <f>Stock!N250+"'E4!/)1"</f>
        <v>#VALUE!</v>
      </c>
      <c r="IG249" t="e">
        <f>Stock!O250+"'E4!/)2"</f>
        <v>#VALUE!</v>
      </c>
      <c r="IH249" t="e">
        <f>Stock!P250+"'E4!/)3"</f>
        <v>#VALUE!</v>
      </c>
      <c r="II249" t="e">
        <f>Stock!Q250+"'E4!/)4"</f>
        <v>#VALUE!</v>
      </c>
      <c r="IJ249" t="e">
        <f>Stock!R250+"'E4!/)5"</f>
        <v>#VALUE!</v>
      </c>
      <c r="IK249" s="333" t="e">
        <f>Stock!S250+"'E4!/)6"</f>
        <v>#VALUE!</v>
      </c>
      <c r="IL249" s="333" t="e">
        <f>Stock!T250+"'E4!/)7"</f>
        <v>#VALUE!</v>
      </c>
      <c r="IM249" t="e">
        <f>Stock!U250+"'E4!/)8"</f>
        <v>#VALUE!</v>
      </c>
      <c r="IN249" t="e">
        <f>Stock!V250+"'E4!/)9"</f>
        <v>#VALUE!</v>
      </c>
      <c r="IO249" t="e">
        <f>Stock!W250+"'E4!/):"</f>
        <v>#VALUE!</v>
      </c>
      <c r="IP249" t="e">
        <f>Stock!X250+"'E4!/);"</f>
        <v>#VALUE!</v>
      </c>
      <c r="IQ249" t="e">
        <f>Stock!Y250+"'E4!/)&lt;"</f>
        <v>#VALUE!</v>
      </c>
      <c r="IR249" t="e">
        <f>Stock!N251+"'E4!/)="</f>
        <v>#VALUE!</v>
      </c>
      <c r="IS249" t="e">
        <f>Stock!O251+"'E4!/)&gt;"</f>
        <v>#VALUE!</v>
      </c>
      <c r="IT249" t="e">
        <f>Stock!P251+"'E4!/)?"</f>
        <v>#VALUE!</v>
      </c>
      <c r="IU249" t="e">
        <f>Stock!Q251+"'E4!/)@"</f>
        <v>#VALUE!</v>
      </c>
      <c r="IV249" t="e">
        <f>Stock!R251+"'E4!/)A"</f>
        <v>#VALUE!</v>
      </c>
    </row>
    <row r="250" spans="6:256">
      <c r="F250" s="333" t="e">
        <f>Stock!S251+"'E4!/)B"</f>
        <v>#VALUE!</v>
      </c>
      <c r="G250" s="333" t="e">
        <f>Stock!T251+"'E4!/)C"</f>
        <v>#VALUE!</v>
      </c>
      <c r="H250" t="e">
        <f>Stock!U251+"'E4!/)D"</f>
        <v>#VALUE!</v>
      </c>
      <c r="I250" t="e">
        <f>Stock!V251+"'E4!/)E"</f>
        <v>#VALUE!</v>
      </c>
      <c r="J250" t="e">
        <f>Stock!W251+"'E4!/)F"</f>
        <v>#VALUE!</v>
      </c>
      <c r="K250" t="e">
        <f>Stock!X251+"'E4!/)G"</f>
        <v>#VALUE!</v>
      </c>
      <c r="L250" t="e">
        <f>Stock!Y251+"'E4!/)H"</f>
        <v>#VALUE!</v>
      </c>
      <c r="M250" t="e">
        <f>Stock!N252+"'E4!/)I"</f>
        <v>#VALUE!</v>
      </c>
      <c r="N250" t="e">
        <f>Stock!O252+"'E4!/)J"</f>
        <v>#VALUE!</v>
      </c>
      <c r="O250" t="e">
        <f>Stock!P252+"'E4!/)K"</f>
        <v>#VALUE!</v>
      </c>
      <c r="P250" t="e">
        <f>Stock!Q252+"'E4!/)L"</f>
        <v>#VALUE!</v>
      </c>
      <c r="Q250" t="e">
        <f>Stock!R252+"'E4!/)M"</f>
        <v>#VALUE!</v>
      </c>
      <c r="R250" s="333" t="e">
        <f>Stock!S252+"'E4!/)N"</f>
        <v>#VALUE!</v>
      </c>
      <c r="S250" s="333" t="e">
        <f>Stock!T252+"'E4!/)O"</f>
        <v>#VALUE!</v>
      </c>
      <c r="T250" t="e">
        <f>Stock!U252+"'E4!/)P"</f>
        <v>#VALUE!</v>
      </c>
      <c r="U250" t="e">
        <f>Stock!V252+"'E4!/)Q"</f>
        <v>#VALUE!</v>
      </c>
      <c r="V250" t="e">
        <f>Stock!W252+"'E4!/)R"</f>
        <v>#VALUE!</v>
      </c>
      <c r="W250" t="e">
        <f>Stock!X252+"'E4!/)S"</f>
        <v>#VALUE!</v>
      </c>
      <c r="X250" t="e">
        <f>Stock!Y252+"'E4!/)T"</f>
        <v>#VALUE!</v>
      </c>
      <c r="Y250" t="e">
        <f>Stock!N253+"'E4!/)U"</f>
        <v>#VALUE!</v>
      </c>
      <c r="Z250" t="e">
        <f>Stock!O253+"'E4!/)V"</f>
        <v>#VALUE!</v>
      </c>
      <c r="AA250" t="e">
        <f>Stock!P253+"'E4!/)W"</f>
        <v>#VALUE!</v>
      </c>
      <c r="AB250" t="e">
        <f>Stock!Q253+"'E4!/)X"</f>
        <v>#VALUE!</v>
      </c>
      <c r="AC250" t="e">
        <f>Stock!R253+"'E4!/)Y"</f>
        <v>#VALUE!</v>
      </c>
      <c r="AD250" s="333" t="e">
        <f>Stock!S253+"'E4!/)Z"</f>
        <v>#VALUE!</v>
      </c>
      <c r="AE250" s="333" t="e">
        <f>Stock!T253+"'E4!/)["</f>
        <v>#VALUE!</v>
      </c>
      <c r="AF250" t="e">
        <f>Stock!U253+"'E4!/)\"</f>
        <v>#VALUE!</v>
      </c>
      <c r="AG250" t="e">
        <f>Stock!V253+"'E4!/)]"</f>
        <v>#VALUE!</v>
      </c>
      <c r="AH250" t="e">
        <f>Stock!W253+"'E4!/)^"</f>
        <v>#VALUE!</v>
      </c>
      <c r="AI250" t="e">
        <f>Stock!X253+"'E4!/)_"</f>
        <v>#VALUE!</v>
      </c>
      <c r="AJ250" t="e">
        <f>Stock!Y253+"'E4!/)`"</f>
        <v>#VALUE!</v>
      </c>
      <c r="AK250" t="e">
        <f>Stock!N254+"'E4!/)a"</f>
        <v>#VALUE!</v>
      </c>
      <c r="AL250" t="e">
        <f>Stock!O254+"'E4!/)b"</f>
        <v>#VALUE!</v>
      </c>
      <c r="AM250" t="e">
        <f>Stock!P254+"'E4!/)c"</f>
        <v>#VALUE!</v>
      </c>
      <c r="AN250" t="e">
        <f>Stock!Q254+"'E4!/)d"</f>
        <v>#VALUE!</v>
      </c>
      <c r="AO250" t="e">
        <f>Stock!R254+"'E4!/)e"</f>
        <v>#VALUE!</v>
      </c>
      <c r="AP250" s="333" t="e">
        <f>Stock!S254+"'E4!/)f"</f>
        <v>#VALUE!</v>
      </c>
      <c r="AQ250" s="333" t="e">
        <f>Stock!T254+"'E4!/)g"</f>
        <v>#VALUE!</v>
      </c>
      <c r="AR250" t="e">
        <f>Stock!U254+"'E4!/)h"</f>
        <v>#VALUE!</v>
      </c>
      <c r="AS250" t="e">
        <f>Stock!V254+"'E4!/)i"</f>
        <v>#VALUE!</v>
      </c>
      <c r="AT250" t="e">
        <f>Stock!W254+"'E4!/)j"</f>
        <v>#VALUE!</v>
      </c>
      <c r="AU250" t="e">
        <f>Stock!X254+"'E4!/)k"</f>
        <v>#VALUE!</v>
      </c>
      <c r="AV250" t="e">
        <f>Stock!Y254+"'E4!/)l"</f>
        <v>#VALUE!</v>
      </c>
      <c r="AW250" t="e">
        <f>Stock!N255+"'E4!/)m"</f>
        <v>#VALUE!</v>
      </c>
      <c r="AX250" t="e">
        <f>Stock!O255+"'E4!/)n"</f>
        <v>#VALUE!</v>
      </c>
      <c r="AY250" t="e">
        <f>Stock!P255+"'E4!/)o"</f>
        <v>#VALUE!</v>
      </c>
      <c r="AZ250" t="e">
        <f>Stock!Q255+"'E4!/)p"</f>
        <v>#VALUE!</v>
      </c>
      <c r="BA250" t="e">
        <f>Stock!R255+"'E4!/)q"</f>
        <v>#VALUE!</v>
      </c>
      <c r="BB250" s="333" t="e">
        <f>Stock!S255+"'E4!/)r"</f>
        <v>#VALUE!</v>
      </c>
      <c r="BC250" s="333" t="e">
        <f>Stock!T255+"'E4!/)s"</f>
        <v>#VALUE!</v>
      </c>
      <c r="BD250" t="e">
        <f>Stock!U255+"'E4!/)t"</f>
        <v>#VALUE!</v>
      </c>
      <c r="BE250" t="e">
        <f>Stock!V255+"'E4!/)u"</f>
        <v>#VALUE!</v>
      </c>
      <c r="BF250" t="e">
        <f>Stock!W255+"'E4!/)v"</f>
        <v>#VALUE!</v>
      </c>
      <c r="BG250" t="e">
        <f>Stock!X255+"'E4!/)w"</f>
        <v>#VALUE!</v>
      </c>
      <c r="BH250" t="e">
        <f>Stock!Y255+"'E4!/)x"</f>
        <v>#VALUE!</v>
      </c>
      <c r="BI250" t="e">
        <f>Stock!N256+"'E4!/)y"</f>
        <v>#VALUE!</v>
      </c>
      <c r="BJ250" t="e">
        <f>Stock!O256+"'E4!/)z"</f>
        <v>#VALUE!</v>
      </c>
      <c r="BK250" t="e">
        <f>Stock!P256+"'E4!/){"</f>
        <v>#VALUE!</v>
      </c>
      <c r="BL250" t="e">
        <f>Stock!Q256+"'E4!/)|"</f>
        <v>#VALUE!</v>
      </c>
      <c r="BM250" s="333" t="e">
        <f>Stock!R256+"'E4!/)}"</f>
        <v>#VALUE!</v>
      </c>
      <c r="BN250" s="333" t="e">
        <f>Stock!S256+"'E4!/)~"</f>
        <v>#VALUE!</v>
      </c>
      <c r="BO250" s="333" t="e">
        <f>Stock!T256+"'E4!/.#"</f>
        <v>#VALUE!</v>
      </c>
      <c r="BP250" t="e">
        <f>Stock!U256+"'E4!/.$"</f>
        <v>#VALUE!</v>
      </c>
      <c r="BQ250" t="e">
        <f>Stock!V256+"'E4!/.%"</f>
        <v>#VALUE!</v>
      </c>
      <c r="BR250" t="e">
        <f>Stock!W256+"'E4!/.&amp;"</f>
        <v>#VALUE!</v>
      </c>
      <c r="BS250" t="e">
        <f>Stock!X256+"'E4!/.'"</f>
        <v>#VALUE!</v>
      </c>
      <c r="BT250" t="e">
        <f>Stock!Y256+"'E4!/.("</f>
        <v>#VALUE!</v>
      </c>
      <c r="BU250" t="e">
        <f>Stock!N257+"'E4!/.)"</f>
        <v>#VALUE!</v>
      </c>
      <c r="BV250" t="e">
        <f>Stock!O257+"'E4!/.."</f>
        <v>#VALUE!</v>
      </c>
      <c r="BW250" t="e">
        <f>Stock!P257+"'E4!/./"</f>
        <v>#VALUE!</v>
      </c>
      <c r="BX250" t="e">
        <f>Stock!Q257+"'E4!/.0"</f>
        <v>#VALUE!</v>
      </c>
      <c r="BY250" t="e">
        <f>Stock!R257+"'E4!/.1"</f>
        <v>#VALUE!</v>
      </c>
      <c r="BZ250" s="333" t="e">
        <f>Stock!S257+"'E4!/.2"</f>
        <v>#VALUE!</v>
      </c>
      <c r="CA250" t="e">
        <f>Stock!T257+"'E4!/.3"</f>
        <v>#VALUE!</v>
      </c>
      <c r="CB250" t="e">
        <f>Stock!U257+"'E4!/.4"</f>
        <v>#VALUE!</v>
      </c>
      <c r="CC250" t="e">
        <f>Stock!V257+"'E4!/.5"</f>
        <v>#VALUE!</v>
      </c>
      <c r="CD250" t="e">
        <f>Stock!W257+"'E4!/.6"</f>
        <v>#VALUE!</v>
      </c>
      <c r="CE250" t="e">
        <f>Stock!X257+"'E4!/.7"</f>
        <v>#VALUE!</v>
      </c>
      <c r="CF250" t="e">
        <f>Stock!Y257+"'E4!/.8"</f>
        <v>#VALUE!</v>
      </c>
      <c r="CG250" t="e">
        <f>Stock!N258+"'E4!/.9"</f>
        <v>#VALUE!</v>
      </c>
      <c r="CH250" t="e">
        <f>Stock!O258+"'E4!/.:"</f>
        <v>#VALUE!</v>
      </c>
      <c r="CI250" t="e">
        <f>Stock!P258+"'E4!/.;"</f>
        <v>#VALUE!</v>
      </c>
      <c r="CJ250" t="e">
        <f>Stock!Q258+"'E4!/.&lt;"</f>
        <v>#VALUE!</v>
      </c>
      <c r="CK250" t="e">
        <f>Stock!R258+"'E4!/.="</f>
        <v>#VALUE!</v>
      </c>
      <c r="CL250" s="333" t="e">
        <f>Stock!S258+"'E4!/.&gt;"</f>
        <v>#VALUE!</v>
      </c>
      <c r="CM250" t="e">
        <f>Stock!T258+"'E4!/.?"</f>
        <v>#VALUE!</v>
      </c>
      <c r="CN250" t="e">
        <f>Stock!U258+"'E4!/.@"</f>
        <v>#VALUE!</v>
      </c>
      <c r="CO250" t="e">
        <f>Stock!V258+"'E4!/.A"</f>
        <v>#VALUE!</v>
      </c>
      <c r="CP250" t="e">
        <f>Stock!W258+"'E4!/.B"</f>
        <v>#VALUE!</v>
      </c>
      <c r="CQ250" t="e">
        <f>Stock!X258+"'E4!/.C"</f>
        <v>#VALUE!</v>
      </c>
      <c r="CR250" t="e">
        <f>Stock!Y258+"'E4!/.D"</f>
        <v>#VALUE!</v>
      </c>
      <c r="CS250" t="e">
        <f>Stock!N259+"'E4!/.E"</f>
        <v>#VALUE!</v>
      </c>
      <c r="CT250" t="e">
        <f>Stock!O259+"'E4!/.F"</f>
        <v>#VALUE!</v>
      </c>
      <c r="CU250" t="e">
        <f>Stock!P259+"'E4!/.G"</f>
        <v>#VALUE!</v>
      </c>
      <c r="CV250" t="e">
        <f>Stock!Q259+"'E4!/.H"</f>
        <v>#VALUE!</v>
      </c>
      <c r="CW250" t="e">
        <f>Stock!R259+"'E4!/.I"</f>
        <v>#VALUE!</v>
      </c>
      <c r="CX250" s="333" t="e">
        <f>Stock!S259+"'E4!/.J"</f>
        <v>#VALUE!</v>
      </c>
      <c r="CY250" t="e">
        <f>Stock!T259+"'E4!/.K"</f>
        <v>#VALUE!</v>
      </c>
      <c r="CZ250" t="e">
        <f>Stock!U259+"'E4!/.L"</f>
        <v>#VALUE!</v>
      </c>
      <c r="DA250" t="e">
        <f>Stock!V259+"'E4!/.M"</f>
        <v>#VALUE!</v>
      </c>
      <c r="DB250" t="e">
        <f>Stock!W259+"'E4!/.N"</f>
        <v>#VALUE!</v>
      </c>
      <c r="DC250" t="e">
        <f>Stock!X259+"'E4!/.O"</f>
        <v>#VALUE!</v>
      </c>
      <c r="DD250" t="e">
        <f>Stock!Y259+"'E4!/.P"</f>
        <v>#VALUE!</v>
      </c>
      <c r="DE250" t="e">
        <f>Stock!N260+"'E4!/.Q"</f>
        <v>#VALUE!</v>
      </c>
      <c r="DF250" t="e">
        <f>Stock!O260+"'E4!/.R"</f>
        <v>#VALUE!</v>
      </c>
      <c r="DG250" t="e">
        <f>Stock!P260+"'E4!/.S"</f>
        <v>#VALUE!</v>
      </c>
      <c r="DH250" t="e">
        <f>Stock!Q260+"'E4!/.T"</f>
        <v>#VALUE!</v>
      </c>
      <c r="DI250" t="e">
        <f>Stock!R260+"'E4!/.U"</f>
        <v>#VALUE!</v>
      </c>
      <c r="DJ250" s="333" t="e">
        <f>Stock!S260+"'E4!/.V"</f>
        <v>#VALUE!</v>
      </c>
      <c r="DK250" t="e">
        <f>Stock!T260+"'E4!/.W"</f>
        <v>#VALUE!</v>
      </c>
      <c r="DL250" t="e">
        <f>Stock!U260+"'E4!/.X"</f>
        <v>#VALUE!</v>
      </c>
      <c r="DM250" t="e">
        <f>Stock!V260+"'E4!/.Y"</f>
        <v>#VALUE!</v>
      </c>
      <c r="DN250" t="e">
        <f>Stock!W260+"'E4!/.Z"</f>
        <v>#VALUE!</v>
      </c>
      <c r="DO250" t="e">
        <f>Stock!X260+"'E4!/.["</f>
        <v>#VALUE!</v>
      </c>
      <c r="DP250" t="e">
        <f>Stock!Y260+"'E4!/.\"</f>
        <v>#VALUE!</v>
      </c>
      <c r="DQ250" t="e">
        <f>Stock!N261+"'E4!/.]"</f>
        <v>#VALUE!</v>
      </c>
      <c r="DR250" t="e">
        <f>Stock!O261+"'E4!/.^"</f>
        <v>#VALUE!</v>
      </c>
      <c r="DS250" t="e">
        <f>Stock!P261+"'E4!/._"</f>
        <v>#VALUE!</v>
      </c>
      <c r="DT250" t="e">
        <f>Stock!Q261+"'E4!/.`"</f>
        <v>#VALUE!</v>
      </c>
      <c r="DU250" t="e">
        <f>Stock!R261+"'E4!/.a"</f>
        <v>#VALUE!</v>
      </c>
      <c r="DV250" s="333" t="e">
        <f>Stock!S261+"'E4!/.b"</f>
        <v>#VALUE!</v>
      </c>
      <c r="DW250" t="e">
        <f>Stock!T261+"'E4!/.c"</f>
        <v>#VALUE!</v>
      </c>
      <c r="DX250" t="e">
        <f>Stock!U261+"'E4!/.d"</f>
        <v>#VALUE!</v>
      </c>
      <c r="DY250" t="e">
        <f>Stock!V261+"'E4!/.e"</f>
        <v>#VALUE!</v>
      </c>
      <c r="DZ250" t="e">
        <f>Stock!W261+"'E4!/.f"</f>
        <v>#VALUE!</v>
      </c>
      <c r="EA250" t="e">
        <f>Stock!X261+"'E4!/.g"</f>
        <v>#VALUE!</v>
      </c>
      <c r="EB250" t="e">
        <f>Stock!Y261+"'E4!/.h"</f>
        <v>#VALUE!</v>
      </c>
      <c r="EC250" t="e">
        <f>Stock!N262+"'E4!/.i"</f>
        <v>#VALUE!</v>
      </c>
      <c r="ED250" t="e">
        <f>Stock!O262+"'E4!/.j"</f>
        <v>#VALUE!</v>
      </c>
      <c r="EE250" t="e">
        <f>Stock!P262+"'E4!/.k"</f>
        <v>#VALUE!</v>
      </c>
      <c r="EF250" t="e">
        <f>Stock!Q262+"'E4!/.l"</f>
        <v>#VALUE!</v>
      </c>
      <c r="EG250" t="e">
        <f>Stock!R262+"'E4!/.m"</f>
        <v>#VALUE!</v>
      </c>
      <c r="EH250" s="333" t="e">
        <f>Stock!S262+"'E4!/.n"</f>
        <v>#VALUE!</v>
      </c>
      <c r="EI250" s="333" t="e">
        <f>Stock!T262+"'E4!/.o"</f>
        <v>#VALUE!</v>
      </c>
      <c r="EJ250" t="e">
        <f>Stock!U262+"'E4!/.p"</f>
        <v>#VALUE!</v>
      </c>
      <c r="EK250" t="e">
        <f>Stock!V262+"'E4!/.q"</f>
        <v>#VALUE!</v>
      </c>
      <c r="EL250" t="e">
        <f>Stock!W262+"'E4!/.r"</f>
        <v>#VALUE!</v>
      </c>
      <c r="EM250" t="e">
        <f>Stock!X262+"'E4!/.s"</f>
        <v>#VALUE!</v>
      </c>
      <c r="EN250" t="e">
        <f>Stock!Y262+"'E4!/.t"</f>
        <v>#VALUE!</v>
      </c>
      <c r="EO250" t="e">
        <f>Stock!N263+"'E4!/.u"</f>
        <v>#VALUE!</v>
      </c>
      <c r="EP250" t="e">
        <f>Stock!O263+"'E4!/.v"</f>
        <v>#VALUE!</v>
      </c>
      <c r="EQ250" t="e">
        <f>Stock!P263+"'E4!/.w"</f>
        <v>#VALUE!</v>
      </c>
      <c r="ER250" t="e">
        <f>Stock!Q263+"'E4!/.x"</f>
        <v>#VALUE!</v>
      </c>
      <c r="ES250" t="e">
        <f>Stock!R263+"'E4!/.y"</f>
        <v>#VALUE!</v>
      </c>
      <c r="ET250" s="333" t="e">
        <f>Stock!S263+"'E4!/.z"</f>
        <v>#VALUE!</v>
      </c>
      <c r="EU250" s="333" t="e">
        <f>Stock!T263+"'E4!/.{"</f>
        <v>#VALUE!</v>
      </c>
      <c r="EV250" t="e">
        <f>Stock!U263+"'E4!/.|"</f>
        <v>#VALUE!</v>
      </c>
      <c r="EW250" t="e">
        <f>Stock!V263+"'E4!/.}"</f>
        <v>#VALUE!</v>
      </c>
      <c r="EX250" t="e">
        <f>Stock!W263+"'E4!/.~"</f>
        <v>#VALUE!</v>
      </c>
      <c r="EY250" t="e">
        <f>Stock!X263+"'E4!//#"</f>
        <v>#VALUE!</v>
      </c>
      <c r="EZ250" t="e">
        <f>Stock!Y263+"'E4!//$"</f>
        <v>#VALUE!</v>
      </c>
      <c r="FA250" t="e">
        <f>Stock!N264+"'E4!//%"</f>
        <v>#VALUE!</v>
      </c>
      <c r="FB250" t="e">
        <f>Stock!O264+"'E4!//&amp;"</f>
        <v>#VALUE!</v>
      </c>
      <c r="FC250" t="e">
        <f>Stock!P264+"'E4!//'"</f>
        <v>#VALUE!</v>
      </c>
      <c r="FD250" t="e">
        <f>Stock!Q264+"'E4!//("</f>
        <v>#VALUE!</v>
      </c>
      <c r="FE250" t="e">
        <f>Stock!R264+"'E4!//)"</f>
        <v>#VALUE!</v>
      </c>
      <c r="FF250" s="333" t="e">
        <f>Stock!S264+"'E4!//."</f>
        <v>#VALUE!</v>
      </c>
      <c r="FG250" s="333" t="e">
        <f>Stock!T264+"'E4!///"</f>
        <v>#VALUE!</v>
      </c>
      <c r="FH250" t="e">
        <f>Stock!U264+"'E4!//0"</f>
        <v>#VALUE!</v>
      </c>
      <c r="FI250" t="e">
        <f>Stock!V264+"'E4!//1"</f>
        <v>#VALUE!</v>
      </c>
      <c r="FJ250" t="e">
        <f>Stock!W264+"'E4!//2"</f>
        <v>#VALUE!</v>
      </c>
      <c r="FK250" t="e">
        <f>Stock!X264+"'E4!//3"</f>
        <v>#VALUE!</v>
      </c>
      <c r="FL250" t="e">
        <f>Stock!Y264+"'E4!//4"</f>
        <v>#VALUE!</v>
      </c>
      <c r="FM250" t="e">
        <f>Stock!N265+"'E4!//5"</f>
        <v>#VALUE!</v>
      </c>
      <c r="FN250" t="e">
        <f>Stock!O265+"'E4!//6"</f>
        <v>#VALUE!</v>
      </c>
      <c r="FO250" t="e">
        <f>Stock!P265+"'E4!//7"</f>
        <v>#VALUE!</v>
      </c>
      <c r="FP250" t="e">
        <f>Stock!Q265+"'E4!//8"</f>
        <v>#VALUE!</v>
      </c>
      <c r="FQ250" t="e">
        <f>Stock!R265+"'E4!//9"</f>
        <v>#VALUE!</v>
      </c>
      <c r="FR250" s="333" t="e">
        <f>Stock!S265+"'E4!//:"</f>
        <v>#VALUE!</v>
      </c>
      <c r="FS250" s="333" t="e">
        <f>Stock!T265+"'E4!//;"</f>
        <v>#VALUE!</v>
      </c>
      <c r="FT250" t="e">
        <f>Stock!U265+"'E4!//&lt;"</f>
        <v>#VALUE!</v>
      </c>
      <c r="FU250" t="e">
        <f>Stock!V265+"'E4!//="</f>
        <v>#VALUE!</v>
      </c>
      <c r="FV250" t="e">
        <f>Stock!W265+"'E4!//&gt;"</f>
        <v>#VALUE!</v>
      </c>
      <c r="FW250" t="e">
        <f>Stock!X265+"'E4!//?"</f>
        <v>#VALUE!</v>
      </c>
      <c r="FX250" t="e">
        <f>Stock!Y265+"'E4!//@"</f>
        <v>#VALUE!</v>
      </c>
      <c r="FY250" t="e">
        <f>Stock!N266+"'E4!//A"</f>
        <v>#VALUE!</v>
      </c>
      <c r="FZ250" t="e">
        <f>Stock!O266+"'E4!//B"</f>
        <v>#VALUE!</v>
      </c>
      <c r="GA250" t="e">
        <f>Stock!P266+"'E4!//C"</f>
        <v>#VALUE!</v>
      </c>
      <c r="GB250" t="e">
        <f>Stock!Q266+"'E4!//D"</f>
        <v>#VALUE!</v>
      </c>
      <c r="GC250" t="e">
        <f>Stock!R266+"'E4!//E"</f>
        <v>#VALUE!</v>
      </c>
      <c r="GD250" s="333" t="e">
        <f>Stock!S266+"'E4!//F"</f>
        <v>#VALUE!</v>
      </c>
      <c r="GE250" s="333" t="e">
        <f>Stock!T266+"'E4!//G"</f>
        <v>#VALUE!</v>
      </c>
      <c r="GF250" t="e">
        <f>Stock!U266+"'E4!//H"</f>
        <v>#VALUE!</v>
      </c>
      <c r="GG250" t="e">
        <f>Stock!V266+"'E4!//I"</f>
        <v>#VALUE!</v>
      </c>
      <c r="GH250" t="e">
        <f>Stock!W266+"'E4!//J"</f>
        <v>#VALUE!</v>
      </c>
      <c r="GI250" t="e">
        <f>Stock!X266+"'E4!//K"</f>
        <v>#VALUE!</v>
      </c>
      <c r="GJ250" t="e">
        <f>Stock!Y266+"'E4!//L"</f>
        <v>#VALUE!</v>
      </c>
      <c r="GK250" t="e">
        <f>Stock!N267+"'E4!//M"</f>
        <v>#VALUE!</v>
      </c>
      <c r="GL250" t="e">
        <f>Stock!O267+"'E4!//N"</f>
        <v>#VALUE!</v>
      </c>
      <c r="GM250" t="e">
        <f>Stock!P267+"'E4!//O"</f>
        <v>#VALUE!</v>
      </c>
      <c r="GN250" t="e">
        <f>Stock!Q267+"'E4!//P"</f>
        <v>#VALUE!</v>
      </c>
      <c r="GO250" t="e">
        <f>Stock!R267+"'E4!//Q"</f>
        <v>#VALUE!</v>
      </c>
      <c r="GP250" s="333" t="e">
        <f>Stock!S267+"'E4!//R"</f>
        <v>#VALUE!</v>
      </c>
      <c r="GQ250" s="333" t="e">
        <f>Stock!T267+"'E4!//S"</f>
        <v>#VALUE!</v>
      </c>
      <c r="GR250" t="e">
        <f>Stock!U267+"'E4!//T"</f>
        <v>#VALUE!</v>
      </c>
      <c r="GS250" t="e">
        <f>Stock!V267+"'E4!//U"</f>
        <v>#VALUE!</v>
      </c>
      <c r="GT250" t="e">
        <f>Stock!W267+"'E4!//V"</f>
        <v>#VALUE!</v>
      </c>
      <c r="GU250" t="e">
        <f>Stock!X267+"'E4!//W"</f>
        <v>#VALUE!</v>
      </c>
      <c r="GV250" t="e">
        <f>Stock!Y267+"'E4!//X"</f>
        <v>#VALUE!</v>
      </c>
      <c r="GW250" t="e">
        <f>Stock!N268+"'E4!//Y"</f>
        <v>#VALUE!</v>
      </c>
      <c r="GX250" t="e">
        <f>Stock!O268+"'E4!//Z"</f>
        <v>#VALUE!</v>
      </c>
      <c r="GY250" t="e">
        <f>Stock!P268+"'E4!//["</f>
        <v>#VALUE!</v>
      </c>
      <c r="GZ250" t="e">
        <f>Stock!Q268+"'E4!//\"</f>
        <v>#VALUE!</v>
      </c>
      <c r="HA250" t="e">
        <f>Stock!R268+"'E4!//]"</f>
        <v>#VALUE!</v>
      </c>
      <c r="HB250" s="333" t="e">
        <f>Stock!S268+"'E4!//^"</f>
        <v>#VALUE!</v>
      </c>
      <c r="HC250" s="333" t="e">
        <f>Stock!T268+"'E4!//_"</f>
        <v>#VALUE!</v>
      </c>
      <c r="HD250" t="e">
        <f>Stock!U268+"'E4!//`"</f>
        <v>#VALUE!</v>
      </c>
      <c r="HE250" t="e">
        <f>Stock!V268+"'E4!//a"</f>
        <v>#VALUE!</v>
      </c>
      <c r="HF250" t="e">
        <f>Stock!W268+"'E4!//b"</f>
        <v>#VALUE!</v>
      </c>
      <c r="HG250" t="e">
        <f>Stock!X268+"'E4!//c"</f>
        <v>#VALUE!</v>
      </c>
      <c r="HH250" t="e">
        <f>Stock!Y268+"'E4!//d"</f>
        <v>#VALUE!</v>
      </c>
      <c r="HI250" t="e">
        <f>Stock!N269+"'E4!//e"</f>
        <v>#VALUE!</v>
      </c>
      <c r="HJ250" t="e">
        <f>Stock!O269+"'E4!//f"</f>
        <v>#VALUE!</v>
      </c>
      <c r="HK250" t="e">
        <f>Stock!P269+"'E4!//g"</f>
        <v>#VALUE!</v>
      </c>
      <c r="HL250" t="e">
        <f>Stock!Q269+"'E4!//h"</f>
        <v>#VALUE!</v>
      </c>
      <c r="HM250" t="e">
        <f>Stock!R269+"'E4!//i"</f>
        <v>#VALUE!</v>
      </c>
      <c r="HN250" s="333" t="e">
        <f>Stock!S269+"'E4!//j"</f>
        <v>#VALUE!</v>
      </c>
      <c r="HO250" s="333" t="e">
        <f>Stock!T269+"'E4!//k"</f>
        <v>#VALUE!</v>
      </c>
      <c r="HP250" t="e">
        <f>Stock!U269+"'E4!//l"</f>
        <v>#VALUE!</v>
      </c>
      <c r="HQ250" t="e">
        <f>Stock!V269+"'E4!//m"</f>
        <v>#VALUE!</v>
      </c>
      <c r="HR250" t="e">
        <f>Stock!W269+"'E4!//n"</f>
        <v>#VALUE!</v>
      </c>
      <c r="HS250" t="e">
        <f>Stock!X269+"'E4!//o"</f>
        <v>#VALUE!</v>
      </c>
      <c r="HT250" t="e">
        <f>Stock!Y269+"'E4!//p"</f>
        <v>#VALUE!</v>
      </c>
      <c r="HU250" t="e">
        <f>Stock!N270+"'E4!//q"</f>
        <v>#VALUE!</v>
      </c>
      <c r="HV250" t="e">
        <f>Stock!O270+"'E4!//r"</f>
        <v>#VALUE!</v>
      </c>
      <c r="HW250" t="e">
        <f>Stock!P270+"'E4!//s"</f>
        <v>#VALUE!</v>
      </c>
      <c r="HX250" t="e">
        <f>Stock!Q270+"'E4!//t"</f>
        <v>#VALUE!</v>
      </c>
      <c r="HY250" t="e">
        <f>Stock!R270+"'E4!//u"</f>
        <v>#VALUE!</v>
      </c>
      <c r="HZ250" s="333" t="e">
        <f>Stock!S270+"'E4!//v"</f>
        <v>#VALUE!</v>
      </c>
      <c r="IA250" s="333" t="e">
        <f>Stock!T270+"'E4!//w"</f>
        <v>#VALUE!</v>
      </c>
      <c r="IB250" t="e">
        <f>Stock!U270+"'E4!//x"</f>
        <v>#VALUE!</v>
      </c>
      <c r="IC250" t="e">
        <f>Stock!V270+"'E4!//y"</f>
        <v>#VALUE!</v>
      </c>
      <c r="ID250" t="e">
        <f>Stock!W270+"'E4!//z"</f>
        <v>#VALUE!</v>
      </c>
      <c r="IE250" t="e">
        <f>Stock!X270+"'E4!//{"</f>
        <v>#VALUE!</v>
      </c>
      <c r="IF250" t="e">
        <f>Stock!Y270+"'E4!//|"</f>
        <v>#VALUE!</v>
      </c>
      <c r="IG250" t="e">
        <f>Stock!N271+"'E4!//}"</f>
        <v>#VALUE!</v>
      </c>
      <c r="IH250" t="e">
        <f>Stock!O271+"'E4!//~"</f>
        <v>#VALUE!</v>
      </c>
      <c r="II250" t="e">
        <f>Stock!P271+"'E4!/0#"</f>
        <v>#VALUE!</v>
      </c>
      <c r="IJ250" t="e">
        <f>Stock!Q271+"'E4!/0$"</f>
        <v>#VALUE!</v>
      </c>
      <c r="IK250" t="e">
        <f>Stock!R271+"'E4!/0%"</f>
        <v>#VALUE!</v>
      </c>
      <c r="IL250" s="333" t="e">
        <f>Stock!S271+"'E4!/0&amp;"</f>
        <v>#VALUE!</v>
      </c>
      <c r="IM250" s="333" t="e">
        <f>Stock!T271+"'E4!/0'"</f>
        <v>#VALUE!</v>
      </c>
      <c r="IN250" t="e">
        <f>Stock!U271+"'E4!/0("</f>
        <v>#VALUE!</v>
      </c>
      <c r="IO250" t="e">
        <f>Stock!V271+"'E4!/0)"</f>
        <v>#VALUE!</v>
      </c>
      <c r="IP250" t="e">
        <f>Stock!W271+"'E4!/0."</f>
        <v>#VALUE!</v>
      </c>
      <c r="IQ250" t="e">
        <f>Stock!X271+"'E4!/0/"</f>
        <v>#VALUE!</v>
      </c>
      <c r="IR250" t="e">
        <f>Stock!Y271+"'E4!/00"</f>
        <v>#VALUE!</v>
      </c>
      <c r="IS250" t="e">
        <f>Stock!N272+"'E4!/01"</f>
        <v>#VALUE!</v>
      </c>
      <c r="IT250" t="e">
        <f>Stock!O272+"'E4!/02"</f>
        <v>#VALUE!</v>
      </c>
      <c r="IU250" t="e">
        <f>Stock!P272+"'E4!/03"</f>
        <v>#VALUE!</v>
      </c>
      <c r="IV250" t="e">
        <f>Stock!Q272+"'E4!/04"</f>
        <v>#VALUE!</v>
      </c>
    </row>
    <row r="251" spans="6:256">
      <c r="F251" t="e">
        <f>Stock!R272+"'E4!/05"</f>
        <v>#VALUE!</v>
      </c>
      <c r="G251" s="333" t="e">
        <f>Stock!S272+"'E4!/06"</f>
        <v>#VALUE!</v>
      </c>
      <c r="H251" s="333" t="e">
        <f>Stock!T272+"'E4!/07"</f>
        <v>#VALUE!</v>
      </c>
      <c r="I251" t="e">
        <f>Stock!U272+"'E4!/08"</f>
        <v>#VALUE!</v>
      </c>
      <c r="J251" t="e">
        <f>Stock!V272+"'E4!/09"</f>
        <v>#VALUE!</v>
      </c>
      <c r="K251" t="e">
        <f>Stock!W272+"'E4!/0:"</f>
        <v>#VALUE!</v>
      </c>
      <c r="L251" t="e">
        <f>Stock!X272+"'E4!/0;"</f>
        <v>#VALUE!</v>
      </c>
      <c r="M251" t="e">
        <f>Stock!Y272+"'E4!/0&lt;"</f>
        <v>#VALUE!</v>
      </c>
      <c r="N251" t="e">
        <f>Stock!N273+"'E4!/0="</f>
        <v>#VALUE!</v>
      </c>
      <c r="O251" t="e">
        <f>Stock!O273+"'E4!/0&gt;"</f>
        <v>#VALUE!</v>
      </c>
      <c r="P251" t="e">
        <f>Stock!P273+"'E4!/0?"</f>
        <v>#VALUE!</v>
      </c>
      <c r="Q251" t="e">
        <f>Stock!Q273+"'E4!/0@"</f>
        <v>#VALUE!</v>
      </c>
      <c r="R251" t="e">
        <f>Stock!R273+"'E4!/0A"</f>
        <v>#VALUE!</v>
      </c>
      <c r="S251" s="333" t="e">
        <f>Stock!S273+"'E4!/0B"</f>
        <v>#VALUE!</v>
      </c>
      <c r="T251" s="333" t="e">
        <f>Stock!T273+"'E4!/0C"</f>
        <v>#VALUE!</v>
      </c>
      <c r="U251" t="e">
        <f>Stock!U273+"'E4!/0D"</f>
        <v>#VALUE!</v>
      </c>
      <c r="V251" t="e">
        <f>Stock!V273+"'E4!/0E"</f>
        <v>#VALUE!</v>
      </c>
      <c r="W251" t="e">
        <f>Stock!W273+"'E4!/0F"</f>
        <v>#VALUE!</v>
      </c>
      <c r="X251" t="e">
        <f>Stock!X273+"'E4!/0G"</f>
        <v>#VALUE!</v>
      </c>
      <c r="Y251" t="e">
        <f>Stock!Y273+"'E4!/0H"</f>
        <v>#VALUE!</v>
      </c>
      <c r="Z251" t="e">
        <f>Stock!N274+"'E4!/0I"</f>
        <v>#VALUE!</v>
      </c>
      <c r="AA251" t="e">
        <f>Stock!O274+"'E4!/0J"</f>
        <v>#VALUE!</v>
      </c>
      <c r="AB251" t="e">
        <f>Stock!P274+"'E4!/0K"</f>
        <v>#VALUE!</v>
      </c>
      <c r="AC251" t="e">
        <f>Stock!Q274+"'E4!/0L"</f>
        <v>#VALUE!</v>
      </c>
      <c r="AD251" t="e">
        <f>Stock!R274+"'E4!/0M"</f>
        <v>#VALUE!</v>
      </c>
      <c r="AE251" s="333" t="e">
        <f>Stock!S274+"'E4!/0N"</f>
        <v>#VALUE!</v>
      </c>
      <c r="AF251" s="333" t="e">
        <f>Stock!T274+"'E4!/0O"</f>
        <v>#VALUE!</v>
      </c>
      <c r="AG251" t="e">
        <f>Stock!U274+"'E4!/0P"</f>
        <v>#VALUE!</v>
      </c>
      <c r="AH251" t="e">
        <f>Stock!V274+"'E4!/0Q"</f>
        <v>#VALUE!</v>
      </c>
      <c r="AI251" t="e">
        <f>Stock!W274+"'E4!/0R"</f>
        <v>#VALUE!</v>
      </c>
      <c r="AJ251" t="e">
        <f>Stock!X274+"'E4!/0S"</f>
        <v>#VALUE!</v>
      </c>
      <c r="AK251" t="e">
        <f>Stock!Y274+"'E4!/0T"</f>
        <v>#VALUE!</v>
      </c>
      <c r="AL251" t="e">
        <f>Stock!N275+"'E4!/0U"</f>
        <v>#VALUE!</v>
      </c>
      <c r="AM251" t="e">
        <f>Stock!O275+"'E4!/0V"</f>
        <v>#VALUE!</v>
      </c>
      <c r="AN251" t="e">
        <f>Stock!P275+"'E4!/0W"</f>
        <v>#VALUE!</v>
      </c>
      <c r="AO251" t="e">
        <f>Stock!Q275+"'E4!/0X"</f>
        <v>#VALUE!</v>
      </c>
      <c r="AP251" t="e">
        <f>Stock!R275+"'E4!/0Y"</f>
        <v>#VALUE!</v>
      </c>
      <c r="AQ251" s="333" t="e">
        <f>Stock!S275+"'E4!/0Z"</f>
        <v>#VALUE!</v>
      </c>
      <c r="AR251" s="333" t="e">
        <f>Stock!T275+"'E4!/0["</f>
        <v>#VALUE!</v>
      </c>
      <c r="AS251" t="e">
        <f>Stock!U275+"'E4!/0\"</f>
        <v>#VALUE!</v>
      </c>
      <c r="AT251" t="e">
        <f>Stock!V275+"'E4!/0]"</f>
        <v>#VALUE!</v>
      </c>
      <c r="AU251" t="e">
        <f>Stock!X275+"'E4!/0^"</f>
        <v>#VALUE!</v>
      </c>
      <c r="AV251" t="e">
        <f>Stock!Y275+"'E4!/0_"</f>
        <v>#VALUE!</v>
      </c>
      <c r="AW251" t="e">
        <f>Stock!N276+"'E4!/0`"</f>
        <v>#VALUE!</v>
      </c>
      <c r="AX251" t="e">
        <f>Stock!O276+"'E4!/0a"</f>
        <v>#VALUE!</v>
      </c>
      <c r="AY251" t="e">
        <f>Stock!P276+"'E4!/0b"</f>
        <v>#VALUE!</v>
      </c>
      <c r="AZ251" t="e">
        <f>Stock!Q276+"'E4!/0c"</f>
        <v>#VALUE!</v>
      </c>
      <c r="BA251" t="e">
        <f>Stock!R276+"'E4!/0d"</f>
        <v>#VALUE!</v>
      </c>
      <c r="BB251" s="333" t="e">
        <f>Stock!S276+"'E4!/0e"</f>
        <v>#VALUE!</v>
      </c>
      <c r="BC251" s="333" t="e">
        <f>Stock!T276+"'E4!/0f"</f>
        <v>#VALUE!</v>
      </c>
      <c r="BD251" t="e">
        <f>Stock!U276+"'E4!/0g"</f>
        <v>#VALUE!</v>
      </c>
      <c r="BE251" t="e">
        <f>Stock!V276+"'E4!/0h"</f>
        <v>#VALUE!</v>
      </c>
      <c r="BF251" t="e">
        <f>Stock!X276+"'E4!/0i"</f>
        <v>#VALUE!</v>
      </c>
      <c r="BG251" t="e">
        <f>Stock!Y276+"'E4!/0j"</f>
        <v>#VALUE!</v>
      </c>
      <c r="BH251" t="e">
        <f>Stock!N277+"'E4!/0k"</f>
        <v>#VALUE!</v>
      </c>
      <c r="BI251" t="e">
        <f>Stock!O277+"'E4!/0l"</f>
        <v>#VALUE!</v>
      </c>
      <c r="BJ251" t="e">
        <f>Stock!P277+"'E4!/0m"</f>
        <v>#VALUE!</v>
      </c>
      <c r="BK251" t="e">
        <f>Stock!Q277+"'E4!/0n"</f>
        <v>#VALUE!</v>
      </c>
      <c r="BL251" t="e">
        <f>Stock!R277+"'E4!/0o"</f>
        <v>#VALUE!</v>
      </c>
      <c r="BM251" s="333" t="e">
        <f>Stock!S277+"'E4!/0p"</f>
        <v>#VALUE!</v>
      </c>
      <c r="BN251" s="333" t="e">
        <f>Stock!T277+"'E4!/0q"</f>
        <v>#VALUE!</v>
      </c>
      <c r="BO251" t="e">
        <f>Stock!U277+"'E4!/0r"</f>
        <v>#VALUE!</v>
      </c>
      <c r="BP251" t="e">
        <f>Stock!V277+"'E4!/0s"</f>
        <v>#VALUE!</v>
      </c>
      <c r="BQ251" t="e">
        <f>Stock!X277+"'E4!/0t"</f>
        <v>#VALUE!</v>
      </c>
      <c r="BR251" t="e">
        <f>Stock!Y277+"'E4!/0u"</f>
        <v>#VALUE!</v>
      </c>
      <c r="BS251" t="e">
        <f>Stock!N278+"'E4!/0v"</f>
        <v>#VALUE!</v>
      </c>
      <c r="BT251" t="e">
        <f>Stock!O278+"'E4!/0w"</f>
        <v>#VALUE!</v>
      </c>
      <c r="BU251" t="e">
        <f>Stock!P278+"'E4!/0x"</f>
        <v>#VALUE!</v>
      </c>
      <c r="BV251" t="e">
        <f>Stock!Q278+"'E4!/0y"</f>
        <v>#VALUE!</v>
      </c>
      <c r="BW251" t="e">
        <f>Stock!R278+"'E4!/0z"</f>
        <v>#VALUE!</v>
      </c>
      <c r="BX251" s="333" t="e">
        <f>Stock!S278+"'E4!/0{"</f>
        <v>#VALUE!</v>
      </c>
      <c r="BY251" s="333" t="e">
        <f>Stock!T278+"'E4!/0|"</f>
        <v>#VALUE!</v>
      </c>
      <c r="BZ251" t="e">
        <f>Stock!U278+"'E4!/0}"</f>
        <v>#VALUE!</v>
      </c>
      <c r="CA251" t="e">
        <f>Stock!V278+"'E4!/0~"</f>
        <v>#VALUE!</v>
      </c>
      <c r="CB251" t="e">
        <f>Stock!X278+"'E4!/1#"</f>
        <v>#VALUE!</v>
      </c>
      <c r="CC251" t="e">
        <f>Stock!Y278+"'E4!/1$"</f>
        <v>#VALUE!</v>
      </c>
      <c r="CD251" t="e">
        <f>Stock!N279+"'E4!/1%"</f>
        <v>#VALUE!</v>
      </c>
      <c r="CE251" t="e">
        <f>Stock!O279+"'E4!/1&amp;"</f>
        <v>#VALUE!</v>
      </c>
      <c r="CF251" t="e">
        <f>Stock!P279+"'E4!/1'"</f>
        <v>#VALUE!</v>
      </c>
      <c r="CG251" t="e">
        <f>Stock!Q279+"'E4!/1("</f>
        <v>#VALUE!</v>
      </c>
      <c r="CH251" t="e">
        <f>Stock!R279+"'E4!/1)"</f>
        <v>#VALUE!</v>
      </c>
      <c r="CI251" s="333" t="e">
        <f>Stock!S279+"'E4!/1."</f>
        <v>#VALUE!</v>
      </c>
      <c r="CJ251" s="333" t="e">
        <f>Stock!T279+"'E4!/1/"</f>
        <v>#VALUE!</v>
      </c>
      <c r="CK251" t="e">
        <f>Stock!U279+"'E4!/10"</f>
        <v>#VALUE!</v>
      </c>
      <c r="CL251" t="e">
        <f>Stock!V279+"'E4!/11"</f>
        <v>#VALUE!</v>
      </c>
      <c r="CM251" t="e">
        <f>Stock!X279+"'E4!/12"</f>
        <v>#VALUE!</v>
      </c>
      <c r="CN251" t="e">
        <f>Stock!Y279+"'E4!/13"</f>
        <v>#VALUE!</v>
      </c>
      <c r="CO251" t="e">
        <f>Stock!N280+"'E4!/14"</f>
        <v>#VALUE!</v>
      </c>
      <c r="CP251" t="e">
        <f>Stock!O280+"'E4!/15"</f>
        <v>#VALUE!</v>
      </c>
      <c r="CQ251" t="e">
        <f>Stock!P280+"'E4!/16"</f>
        <v>#VALUE!</v>
      </c>
      <c r="CR251" t="e">
        <f>Stock!Q280+"'E4!/17"</f>
        <v>#VALUE!</v>
      </c>
      <c r="CS251" t="e">
        <f>Stock!R280+"'E4!/18"</f>
        <v>#VALUE!</v>
      </c>
      <c r="CT251" s="333" t="e">
        <f>Stock!S280+"'E4!/19"</f>
        <v>#VALUE!</v>
      </c>
      <c r="CU251" s="333" t="e">
        <f>Stock!T280+"'E4!/1:"</f>
        <v>#VALUE!</v>
      </c>
      <c r="CV251" t="e">
        <f>Stock!U280+"'E4!/1;"</f>
        <v>#VALUE!</v>
      </c>
      <c r="CW251" t="e">
        <f>Stock!V280+"'E4!/1&lt;"</f>
        <v>#VALUE!</v>
      </c>
      <c r="CX251" t="e">
        <f>Stock!X280+"'E4!/1="</f>
        <v>#VALUE!</v>
      </c>
      <c r="CY251" t="e">
        <f>Stock!Y280+"'E4!/1&gt;"</f>
        <v>#VALUE!</v>
      </c>
      <c r="CZ251" t="e">
        <f>Stock!N281+"'E4!/1?"</f>
        <v>#VALUE!</v>
      </c>
      <c r="DA251" t="e">
        <f>Stock!O281+"'E4!/1@"</f>
        <v>#VALUE!</v>
      </c>
      <c r="DB251" t="e">
        <f>Stock!P281+"'E4!/1A"</f>
        <v>#VALUE!</v>
      </c>
      <c r="DC251" t="e">
        <f>Stock!Q281+"'E4!/1B"</f>
        <v>#VALUE!</v>
      </c>
      <c r="DD251" t="e">
        <f>Stock!R281+"'E4!/1C"</f>
        <v>#VALUE!</v>
      </c>
      <c r="DE251" s="333" t="e">
        <f>Stock!S281+"'E4!/1D"</f>
        <v>#VALUE!</v>
      </c>
      <c r="DF251" s="333" t="e">
        <f>Stock!T281+"'E4!/1E"</f>
        <v>#VALUE!</v>
      </c>
      <c r="DG251" t="e">
        <f>Stock!U281+"'E4!/1F"</f>
        <v>#VALUE!</v>
      </c>
      <c r="DH251" t="e">
        <f>Stock!V281+"'E4!/1G"</f>
        <v>#VALUE!</v>
      </c>
      <c r="DI251" t="e">
        <f>Stock!X281+"'E4!/1H"</f>
        <v>#VALUE!</v>
      </c>
      <c r="DJ251" t="e">
        <f>Stock!Y281+"'E4!/1I"</f>
        <v>#VALUE!</v>
      </c>
      <c r="DK251" t="e">
        <f>Stock!N282+"'E4!/1J"</f>
        <v>#VALUE!</v>
      </c>
      <c r="DL251" t="e">
        <f>Stock!O282+"'E4!/1K"</f>
        <v>#VALUE!</v>
      </c>
      <c r="DM251" t="e">
        <f>Stock!P282+"'E4!/1L"</f>
        <v>#VALUE!</v>
      </c>
      <c r="DN251" t="e">
        <f>Stock!Q282+"'E4!/1M"</f>
        <v>#VALUE!</v>
      </c>
      <c r="DO251" t="e">
        <f>Stock!R282+"'E4!/1N"</f>
        <v>#VALUE!</v>
      </c>
      <c r="DP251" s="333" t="e">
        <f>Stock!S282+"'E4!/1O"</f>
        <v>#VALUE!</v>
      </c>
      <c r="DQ251" s="333" t="e">
        <f>Stock!T282+"'E4!/1P"</f>
        <v>#VALUE!</v>
      </c>
      <c r="DR251" t="e">
        <f>Stock!U282+"'E4!/1Q"</f>
        <v>#VALUE!</v>
      </c>
      <c r="DS251" t="e">
        <f>Stock!V282+"'E4!/1R"</f>
        <v>#VALUE!</v>
      </c>
      <c r="DT251" t="e">
        <f>Stock!X282+"'E4!/1S"</f>
        <v>#VALUE!</v>
      </c>
      <c r="DU251" t="e">
        <f>Stock!Y282+"'E4!/1T"</f>
        <v>#VALUE!</v>
      </c>
      <c r="DV251" t="e">
        <f>Stock!N283+"'E4!/1U"</f>
        <v>#VALUE!</v>
      </c>
      <c r="DW251" t="e">
        <f>Stock!O283+"'E4!/1V"</f>
        <v>#VALUE!</v>
      </c>
      <c r="DX251" t="e">
        <f>Stock!P283+"'E4!/1W"</f>
        <v>#VALUE!</v>
      </c>
      <c r="DY251" t="e">
        <f>Stock!Q283+"'E4!/1X"</f>
        <v>#VALUE!</v>
      </c>
      <c r="DZ251" t="e">
        <f>Stock!R283+"'E4!/1Y"</f>
        <v>#VALUE!</v>
      </c>
      <c r="EA251" s="333" t="e">
        <f>Stock!S283+"'E4!/1Z"</f>
        <v>#VALUE!</v>
      </c>
      <c r="EB251" s="333" t="e">
        <f>Stock!T283+"'E4!/1["</f>
        <v>#VALUE!</v>
      </c>
      <c r="EC251" t="e">
        <f>Stock!U283+"'E4!/1\"</f>
        <v>#VALUE!</v>
      </c>
      <c r="ED251" t="e">
        <f>Stock!V283+"'E4!/1]"</f>
        <v>#VALUE!</v>
      </c>
      <c r="EE251" t="e">
        <f>Stock!X283+"'E4!/1^"</f>
        <v>#VALUE!</v>
      </c>
      <c r="EF251" t="e">
        <f>Stock!Y283+"'E4!/1_"</f>
        <v>#VALUE!</v>
      </c>
      <c r="EG251" t="e">
        <f>Stock!N284+"'E4!/1`"</f>
        <v>#VALUE!</v>
      </c>
      <c r="EH251" t="e">
        <f>Stock!O284+"'E4!/1a"</f>
        <v>#VALUE!</v>
      </c>
      <c r="EI251" t="e">
        <f>Stock!P284+"'E4!/1b"</f>
        <v>#VALUE!</v>
      </c>
      <c r="EJ251" t="e">
        <f>Stock!Q284+"'E4!/1c"</f>
        <v>#VALUE!</v>
      </c>
      <c r="EK251" t="e">
        <f>Stock!R284+"'E4!/1d"</f>
        <v>#VALUE!</v>
      </c>
      <c r="EL251" s="333" t="e">
        <f>Stock!S284+"'E4!/1e"</f>
        <v>#VALUE!</v>
      </c>
      <c r="EM251" s="333" t="e">
        <f>Stock!T284+"'E4!/1f"</f>
        <v>#VALUE!</v>
      </c>
      <c r="EN251" t="e">
        <f>Stock!U284+"'E4!/1g"</f>
        <v>#VALUE!</v>
      </c>
      <c r="EO251" t="e">
        <f>Stock!V284+"'E4!/1h"</f>
        <v>#VALUE!</v>
      </c>
      <c r="EP251" t="e">
        <f>Stock!X284+"'E4!/1i"</f>
        <v>#VALUE!</v>
      </c>
      <c r="EQ251" t="e">
        <f>Stock!Y284+"'E4!/1j"</f>
        <v>#VALUE!</v>
      </c>
      <c r="ER251" t="e">
        <f>Stock!N285+"'E4!/1k"</f>
        <v>#VALUE!</v>
      </c>
      <c r="ES251" t="e">
        <f>Stock!O285+"'E4!/1l"</f>
        <v>#VALUE!</v>
      </c>
      <c r="ET251" t="e">
        <f>Stock!P285+"'E4!/1m"</f>
        <v>#VALUE!</v>
      </c>
      <c r="EU251" t="e">
        <f>Stock!Q285+"'E4!/1n"</f>
        <v>#VALUE!</v>
      </c>
      <c r="EV251" t="e">
        <f>Stock!R285+"'E4!/1o"</f>
        <v>#VALUE!</v>
      </c>
      <c r="EW251" s="333" t="e">
        <f>Stock!S285+"'E4!/1p"</f>
        <v>#VALUE!</v>
      </c>
      <c r="EX251" s="333" t="e">
        <f>Stock!T285+"'E4!/1q"</f>
        <v>#VALUE!</v>
      </c>
      <c r="EY251" t="e">
        <f>Stock!U285+"'E4!/1r"</f>
        <v>#VALUE!</v>
      </c>
      <c r="EZ251" t="e">
        <f>Stock!V285+"'E4!/1s"</f>
        <v>#VALUE!</v>
      </c>
      <c r="FA251" t="e">
        <f>Stock!X285+"'E4!/1t"</f>
        <v>#VALUE!</v>
      </c>
      <c r="FB251" t="e">
        <f>Stock!Y285+"'E4!/1u"</f>
        <v>#VALUE!</v>
      </c>
      <c r="FC251" t="e">
        <f>Stock!N286+"'E4!/1v"</f>
        <v>#VALUE!</v>
      </c>
      <c r="FD251" t="e">
        <f>Stock!O286+"'E4!/1w"</f>
        <v>#VALUE!</v>
      </c>
      <c r="FE251" t="e">
        <f>Stock!P286+"'E4!/1x"</f>
        <v>#VALUE!</v>
      </c>
      <c r="FF251" t="e">
        <f>Stock!Q286+"'E4!/1y"</f>
        <v>#VALUE!</v>
      </c>
      <c r="FG251" t="e">
        <f>Stock!R286+"'E4!/1z"</f>
        <v>#VALUE!</v>
      </c>
      <c r="FH251" s="333" t="e">
        <f>Stock!S286+"'E4!/1{"</f>
        <v>#VALUE!</v>
      </c>
      <c r="FI251" s="333" t="e">
        <f>Stock!T286+"'E4!/1|"</f>
        <v>#VALUE!</v>
      </c>
      <c r="FJ251" t="e">
        <f>Stock!U286+"'E4!/1}"</f>
        <v>#VALUE!</v>
      </c>
      <c r="FK251" t="e">
        <f>Stock!V286+"'E4!/1~"</f>
        <v>#VALUE!</v>
      </c>
      <c r="FL251" t="e">
        <f>Stock!X286+"'E4!/2#"</f>
        <v>#VALUE!</v>
      </c>
      <c r="FM251" t="e">
        <f>Stock!Y286+"'E4!/2$"</f>
        <v>#VALUE!</v>
      </c>
      <c r="FN251" t="e">
        <f>Stock!N287+"'E4!/2%"</f>
        <v>#VALUE!</v>
      </c>
      <c r="FO251" t="e">
        <f>Stock!O287+"'E4!/2&amp;"</f>
        <v>#VALUE!</v>
      </c>
      <c r="FP251" t="e">
        <f>Stock!P287+"'E4!/2'"</f>
        <v>#VALUE!</v>
      </c>
      <c r="FQ251" t="e">
        <f>Stock!Q287+"'E4!/2("</f>
        <v>#VALUE!</v>
      </c>
      <c r="FR251" t="e">
        <f>Stock!R287+"'E4!/2)"</f>
        <v>#VALUE!</v>
      </c>
      <c r="FS251" s="333" t="e">
        <f>Stock!S287+"'E4!/2."</f>
        <v>#VALUE!</v>
      </c>
      <c r="FT251" s="333" t="e">
        <f>Stock!T287+"'E4!/2/"</f>
        <v>#VALUE!</v>
      </c>
      <c r="FU251" t="e">
        <f>Stock!U287+"'E4!/20"</f>
        <v>#VALUE!</v>
      </c>
      <c r="FV251" t="e">
        <f>Stock!V287+"'E4!/21"</f>
        <v>#VALUE!</v>
      </c>
      <c r="FW251" t="e">
        <f>Stock!X287+"'E4!/22"</f>
        <v>#VALUE!</v>
      </c>
      <c r="FX251" t="e">
        <f>Stock!Y287+"'E4!/23"</f>
        <v>#VALUE!</v>
      </c>
      <c r="FY251" t="e">
        <f>Stock!N288+"'E4!/24"</f>
        <v>#VALUE!</v>
      </c>
      <c r="FZ251" t="e">
        <f>Stock!O288+"'E4!/25"</f>
        <v>#VALUE!</v>
      </c>
      <c r="GA251" t="e">
        <f>Stock!P288+"'E4!/26"</f>
        <v>#VALUE!</v>
      </c>
      <c r="GB251" t="e">
        <f>Stock!Q288+"'E4!/27"</f>
        <v>#VALUE!</v>
      </c>
      <c r="GC251" t="e">
        <f>Stock!R288+"'E4!/28"</f>
        <v>#VALUE!</v>
      </c>
      <c r="GD251" s="333" t="e">
        <f>Stock!S288+"'E4!/29"</f>
        <v>#VALUE!</v>
      </c>
      <c r="GE251" s="333" t="e">
        <f>Stock!T288+"'E4!/2:"</f>
        <v>#VALUE!</v>
      </c>
      <c r="GF251" t="e">
        <f>Stock!U288+"'E4!/2;"</f>
        <v>#VALUE!</v>
      </c>
      <c r="GG251" t="e">
        <f>Stock!V288+"'E4!/2&lt;"</f>
        <v>#VALUE!</v>
      </c>
      <c r="GH251" t="e">
        <f>Stock!X288+"'E4!/2="</f>
        <v>#VALUE!</v>
      </c>
      <c r="GI251" t="e">
        <f>Stock!Y288+"'E4!/2&gt;"</f>
        <v>#VALUE!</v>
      </c>
      <c r="GJ251" t="e">
        <f>Stock!N289+"'E4!/2?"</f>
        <v>#VALUE!</v>
      </c>
      <c r="GK251" t="e">
        <f>Stock!O289+"'E4!/2@"</f>
        <v>#VALUE!</v>
      </c>
      <c r="GL251" t="e">
        <f>Stock!P289+"'E4!/2A"</f>
        <v>#VALUE!</v>
      </c>
      <c r="GM251" t="e">
        <f>Stock!Q289+"'E4!/2B"</f>
        <v>#VALUE!</v>
      </c>
      <c r="GN251" t="e">
        <f>Stock!R289+"'E4!/2C"</f>
        <v>#VALUE!</v>
      </c>
      <c r="GO251" s="333" t="e">
        <f>Stock!S289+"'E4!/2D"</f>
        <v>#VALUE!</v>
      </c>
      <c r="GP251" s="333" t="e">
        <f>Stock!T289+"'E4!/2E"</f>
        <v>#VALUE!</v>
      </c>
      <c r="GQ251" t="e">
        <f>Stock!U289+"'E4!/2F"</f>
        <v>#VALUE!</v>
      </c>
      <c r="GR251" t="e">
        <f>Stock!V289+"'E4!/2G"</f>
        <v>#VALUE!</v>
      </c>
      <c r="GS251" t="e">
        <f>Stock!X289+"'E4!/2H"</f>
        <v>#VALUE!</v>
      </c>
      <c r="GT251" t="e">
        <f>Stock!Y289+"'E4!/2I"</f>
        <v>#VALUE!</v>
      </c>
      <c r="GU251" t="e">
        <f>Stock!N290+"'E4!/2J"</f>
        <v>#VALUE!</v>
      </c>
      <c r="GV251" t="e">
        <f>Stock!O290+"'E4!/2K"</f>
        <v>#VALUE!</v>
      </c>
      <c r="GW251" t="e">
        <f>Stock!P290+"'E4!/2L"</f>
        <v>#VALUE!</v>
      </c>
      <c r="GX251" t="e">
        <f>Stock!Q290+"'E4!/2M"</f>
        <v>#VALUE!</v>
      </c>
      <c r="GY251" t="e">
        <f>Stock!R290+"'E4!/2N"</f>
        <v>#VALUE!</v>
      </c>
      <c r="GZ251" s="333" t="e">
        <f>Stock!S290+"'E4!/2O"</f>
        <v>#VALUE!</v>
      </c>
      <c r="HA251" s="333" t="e">
        <f>Stock!T290+"'E4!/2P"</f>
        <v>#VALUE!</v>
      </c>
      <c r="HB251" t="e">
        <f>Stock!U290+"'E4!/2Q"</f>
        <v>#VALUE!</v>
      </c>
      <c r="HC251" t="e">
        <f>Stock!V290+"'E4!/2R"</f>
        <v>#VALUE!</v>
      </c>
      <c r="HD251" t="e">
        <f>Stock!X290+"'E4!/2S"</f>
        <v>#VALUE!</v>
      </c>
      <c r="HE251" t="e">
        <f>Stock!Y290+"'E4!/2T"</f>
        <v>#VALUE!</v>
      </c>
      <c r="HF251" t="e">
        <f>Stock!N291+"'E4!/2U"</f>
        <v>#VALUE!</v>
      </c>
      <c r="HG251" t="e">
        <f>Stock!O291+"'E4!/2V"</f>
        <v>#VALUE!</v>
      </c>
      <c r="HH251" t="e">
        <f>Stock!P291+"'E4!/2W"</f>
        <v>#VALUE!</v>
      </c>
      <c r="HI251" t="e">
        <f>Stock!Q291+"'E4!/2X"</f>
        <v>#VALUE!</v>
      </c>
      <c r="HJ251" t="e">
        <f>Stock!R291+"'E4!/2Y"</f>
        <v>#VALUE!</v>
      </c>
      <c r="HK251" s="333" t="e">
        <f>Stock!S291+"'E4!/2Z"</f>
        <v>#VALUE!</v>
      </c>
      <c r="HL251" s="333" t="e">
        <f>Stock!T291+"'E4!/2["</f>
        <v>#VALUE!</v>
      </c>
      <c r="HM251" t="e">
        <f>Stock!U291+"'E4!/2\"</f>
        <v>#VALUE!</v>
      </c>
      <c r="HN251" t="e">
        <f>Stock!V291+"'E4!/2]"</f>
        <v>#VALUE!</v>
      </c>
      <c r="HO251" t="e">
        <f>Stock!X291+"'E4!/2^"</f>
        <v>#VALUE!</v>
      </c>
      <c r="HP251" t="e">
        <f>Stock!Y291+"'E4!/2_"</f>
        <v>#VALUE!</v>
      </c>
      <c r="HQ251" t="e">
        <f>Stock!N292+"'E4!/2`"</f>
        <v>#VALUE!</v>
      </c>
      <c r="HR251" t="e">
        <f>Stock!O292+"'E4!/2a"</f>
        <v>#VALUE!</v>
      </c>
      <c r="HS251" t="e">
        <f>Stock!P292+"'E4!/2b"</f>
        <v>#VALUE!</v>
      </c>
      <c r="HT251" t="e">
        <f>Stock!Q292+"'E4!/2c"</f>
        <v>#VALUE!</v>
      </c>
      <c r="HU251" t="e">
        <f>Stock!R292+"'E4!/2d"</f>
        <v>#VALUE!</v>
      </c>
      <c r="HV251" s="333" t="e">
        <f>Stock!S292+"'E4!/2e"</f>
        <v>#VALUE!</v>
      </c>
      <c r="HW251" s="333" t="e">
        <f>Stock!T292+"'E4!/2f"</f>
        <v>#VALUE!</v>
      </c>
      <c r="HX251" t="e">
        <f>Stock!U292+"'E4!/2g"</f>
        <v>#VALUE!</v>
      </c>
      <c r="HY251" t="e">
        <f>Stock!V292+"'E4!/2h"</f>
        <v>#VALUE!</v>
      </c>
      <c r="HZ251" t="e">
        <f>Stock!X292+"'E4!/2i"</f>
        <v>#VALUE!</v>
      </c>
      <c r="IA251" t="e">
        <f>Stock!Y292+"'E4!/2j"</f>
        <v>#VALUE!</v>
      </c>
      <c r="IB251" t="e">
        <f>Stock!N293+"'E4!/2k"</f>
        <v>#VALUE!</v>
      </c>
      <c r="IC251" t="e">
        <f>Stock!O293+"'E4!/2l"</f>
        <v>#VALUE!</v>
      </c>
      <c r="ID251" t="e">
        <f>Stock!P293+"'E4!/2m"</f>
        <v>#VALUE!</v>
      </c>
      <c r="IE251" t="e">
        <f>Stock!Q293+"'E4!/2n"</f>
        <v>#VALUE!</v>
      </c>
      <c r="IF251" t="e">
        <f>Stock!R293+"'E4!/2o"</f>
        <v>#VALUE!</v>
      </c>
      <c r="IG251" s="333" t="e">
        <f>Stock!S293+"'E4!/2p"</f>
        <v>#VALUE!</v>
      </c>
      <c r="IH251" s="333" t="e">
        <f>Stock!T293+"'E4!/2q"</f>
        <v>#VALUE!</v>
      </c>
      <c r="II251" t="e">
        <f>Stock!U293+"'E4!/2r"</f>
        <v>#VALUE!</v>
      </c>
      <c r="IJ251" t="e">
        <f>Stock!V293+"'E4!/2s"</f>
        <v>#VALUE!</v>
      </c>
      <c r="IK251" t="e">
        <f>Stock!X293+"'E4!/2t"</f>
        <v>#VALUE!</v>
      </c>
      <c r="IL251" t="e">
        <f>Stock!Y293+"'E4!/2u"</f>
        <v>#VALUE!</v>
      </c>
      <c r="IM251" t="e">
        <f>Stock!N294+"'E4!/2v"</f>
        <v>#VALUE!</v>
      </c>
      <c r="IN251" t="e">
        <f>Stock!O294+"'E4!/2w"</f>
        <v>#VALUE!</v>
      </c>
      <c r="IO251" t="e">
        <f>Stock!P294+"'E4!/2x"</f>
        <v>#VALUE!</v>
      </c>
      <c r="IP251" t="e">
        <f>Stock!Q294+"'E4!/2y"</f>
        <v>#VALUE!</v>
      </c>
      <c r="IQ251" t="e">
        <f>Stock!R294+"'E4!/2z"</f>
        <v>#VALUE!</v>
      </c>
      <c r="IR251" s="333" t="e">
        <f>Stock!S294+"'E4!/2{"</f>
        <v>#VALUE!</v>
      </c>
      <c r="IS251" s="333" t="e">
        <f>Stock!T294+"'E4!/2|"</f>
        <v>#VALUE!</v>
      </c>
      <c r="IT251" t="e">
        <f>Stock!U294+"'E4!/2}"</f>
        <v>#VALUE!</v>
      </c>
      <c r="IU251" t="e">
        <f>Stock!V294+"'E4!/2~"</f>
        <v>#VALUE!</v>
      </c>
      <c r="IV251" t="e">
        <f>Stock!X294+"'E4!/3#"</f>
        <v>#VALUE!</v>
      </c>
    </row>
    <row r="252" spans="6:256">
      <c r="F252" t="e">
        <f>Stock!Y294+"'E4!/3$"</f>
        <v>#VALUE!</v>
      </c>
      <c r="G252" t="e">
        <f>Stock!N295+"'E4!/3%"</f>
        <v>#VALUE!</v>
      </c>
      <c r="H252" t="e">
        <f>Stock!O295+"'E4!/3&amp;"</f>
        <v>#VALUE!</v>
      </c>
      <c r="I252" t="e">
        <f>Stock!P295+"'E4!/3'"</f>
        <v>#VALUE!</v>
      </c>
      <c r="J252" t="e">
        <f>Stock!Q295+"'E4!/3("</f>
        <v>#VALUE!</v>
      </c>
      <c r="K252" t="e">
        <f>Stock!R295+"'E4!/3)"</f>
        <v>#VALUE!</v>
      </c>
      <c r="L252" s="333" t="e">
        <f>Stock!S295+"'E4!/3."</f>
        <v>#VALUE!</v>
      </c>
      <c r="M252" s="333" t="e">
        <f>Stock!T295+"'E4!/3/"</f>
        <v>#VALUE!</v>
      </c>
      <c r="N252" t="e">
        <f>Stock!U295+"'E4!/30"</f>
        <v>#VALUE!</v>
      </c>
      <c r="O252" t="e">
        <f>Stock!V295+"'E4!/31"</f>
        <v>#VALUE!</v>
      </c>
      <c r="P252" t="e">
        <f>Stock!X295+"'E4!/32"</f>
        <v>#VALUE!</v>
      </c>
      <c r="Q252" t="e">
        <f>Stock!Y295+"'E4!/33"</f>
        <v>#VALUE!</v>
      </c>
      <c r="R252" t="e">
        <f>Stock!N296+"'E4!/34"</f>
        <v>#VALUE!</v>
      </c>
      <c r="S252" t="e">
        <f>Stock!O296+"'E4!/35"</f>
        <v>#VALUE!</v>
      </c>
      <c r="T252" t="e">
        <f>Stock!P296+"'E4!/36"</f>
        <v>#VALUE!</v>
      </c>
      <c r="U252" t="e">
        <f>Stock!Q296+"'E4!/37"</f>
        <v>#VALUE!</v>
      </c>
      <c r="V252" t="e">
        <f>Stock!R296+"'E4!/38"</f>
        <v>#VALUE!</v>
      </c>
      <c r="W252" s="333" t="e">
        <f>Stock!S296+"'E4!/39"</f>
        <v>#VALUE!</v>
      </c>
      <c r="X252" s="333" t="e">
        <f>Stock!T296+"'E4!/3:"</f>
        <v>#VALUE!</v>
      </c>
      <c r="Y252" t="e">
        <f>Stock!U296+"'E4!/3;"</f>
        <v>#VALUE!</v>
      </c>
      <c r="Z252" t="e">
        <f>Stock!V296+"'E4!/3&lt;"</f>
        <v>#VALUE!</v>
      </c>
      <c r="AA252" t="e">
        <f>Stock!X296+"'E4!/3="</f>
        <v>#VALUE!</v>
      </c>
      <c r="AB252" t="e">
        <f>Stock!Y296+"'E4!/3&gt;"</f>
        <v>#VALUE!</v>
      </c>
      <c r="AC252" t="e">
        <f>Stock!N297+"'E4!/3?"</f>
        <v>#VALUE!</v>
      </c>
      <c r="AD252" t="e">
        <f>Stock!O297+"'E4!/3@"</f>
        <v>#VALUE!</v>
      </c>
      <c r="AE252" t="e">
        <f>Stock!P297+"'E4!/3A"</f>
        <v>#VALUE!</v>
      </c>
      <c r="AF252" t="e">
        <f>Stock!Q297+"'E4!/3B"</f>
        <v>#VALUE!</v>
      </c>
      <c r="AG252" t="e">
        <f>Stock!R297+"'E4!/3C"</f>
        <v>#VALUE!</v>
      </c>
      <c r="AH252" s="333" t="e">
        <f>Stock!S297+"'E4!/3D"</f>
        <v>#VALUE!</v>
      </c>
      <c r="AI252" s="333" t="e">
        <f>Stock!T297+"'E4!/3E"</f>
        <v>#VALUE!</v>
      </c>
      <c r="AJ252" t="e">
        <f>Stock!U297+"'E4!/3F"</f>
        <v>#VALUE!</v>
      </c>
      <c r="AK252" t="e">
        <f>Stock!V297+"'E4!/3G"</f>
        <v>#VALUE!</v>
      </c>
      <c r="AL252" t="e">
        <f>Stock!X297+"'E4!/3H"</f>
        <v>#VALUE!</v>
      </c>
      <c r="AM252" t="e">
        <f>Stock!Y297+"'E4!/3I"</f>
        <v>#VALUE!</v>
      </c>
      <c r="AN252" t="e">
        <f>Stock!N298+"'E4!/3J"</f>
        <v>#VALUE!</v>
      </c>
      <c r="AO252" t="e">
        <f>Stock!O298+"'E4!/3K"</f>
        <v>#VALUE!</v>
      </c>
      <c r="AP252" t="e">
        <f>Stock!P298+"'E4!/3L"</f>
        <v>#VALUE!</v>
      </c>
      <c r="AQ252" t="e">
        <f>Stock!Q298+"'E4!/3M"</f>
        <v>#VALUE!</v>
      </c>
      <c r="AR252" t="e">
        <f>Stock!R298+"'E4!/3N"</f>
        <v>#VALUE!</v>
      </c>
      <c r="AS252" s="333" t="e">
        <f>Stock!S298+"'E4!/3O"</f>
        <v>#VALUE!</v>
      </c>
      <c r="AT252" s="333" t="e">
        <f>Stock!T298+"'E4!/3P"</f>
        <v>#VALUE!</v>
      </c>
      <c r="AU252" t="e">
        <f>Stock!U298+"'E4!/3Q"</f>
        <v>#VALUE!</v>
      </c>
      <c r="AV252" t="e">
        <f>Stock!V298+"'E4!/3R"</f>
        <v>#VALUE!</v>
      </c>
      <c r="AW252" t="e">
        <f>Stock!W298+"'E4!/3S"</f>
        <v>#VALUE!</v>
      </c>
      <c r="AX252" t="e">
        <f>Stock!X298+"'E4!/3T"</f>
        <v>#VALUE!</v>
      </c>
      <c r="AY252" t="e">
        <f>Stock!Y298+"'E4!/3U"</f>
        <v>#VALUE!</v>
      </c>
      <c r="AZ252" t="e">
        <f>Stock!N299+"'E4!/3V"</f>
        <v>#VALUE!</v>
      </c>
      <c r="BA252" t="e">
        <f>Stock!O299+"'E4!/3W"</f>
        <v>#VALUE!</v>
      </c>
      <c r="BB252" t="e">
        <f>Stock!P299+"'E4!/3X"</f>
        <v>#VALUE!</v>
      </c>
      <c r="BC252" t="e">
        <f>Stock!Q299+"'E4!/3Y"</f>
        <v>#VALUE!</v>
      </c>
      <c r="BD252" t="e">
        <f>Stock!R299+"'E4!/3Z"</f>
        <v>#VALUE!</v>
      </c>
      <c r="BE252" s="333" t="e">
        <f>Stock!S299+"'E4!/3["</f>
        <v>#VALUE!</v>
      </c>
      <c r="BF252" s="333" t="e">
        <f>Stock!T299+"'E4!/3\"</f>
        <v>#VALUE!</v>
      </c>
      <c r="BG252" t="e">
        <f>Stock!U299+"'E4!/3]"</f>
        <v>#VALUE!</v>
      </c>
      <c r="BH252" t="e">
        <f>Stock!V299+"'E4!/3^"</f>
        <v>#VALUE!</v>
      </c>
      <c r="BI252" t="e">
        <f>Stock!W299+"'E4!/3_"</f>
        <v>#VALUE!</v>
      </c>
      <c r="BJ252" t="e">
        <f>Stock!X299+"'E4!/3`"</f>
        <v>#VALUE!</v>
      </c>
      <c r="BK252" t="e">
        <f>Stock!Y299+"'E4!/3a"</f>
        <v>#VALUE!</v>
      </c>
      <c r="BL252" t="e">
        <f>Stock!N300+"'E4!/3b"</f>
        <v>#VALUE!</v>
      </c>
      <c r="BM252" t="e">
        <f>Stock!O300+"'E4!/3c"</f>
        <v>#VALUE!</v>
      </c>
      <c r="BN252" t="e">
        <f>Stock!P300+"'E4!/3d"</f>
        <v>#VALUE!</v>
      </c>
      <c r="BO252" t="e">
        <f>Stock!Q300+"'E4!/3e"</f>
        <v>#VALUE!</v>
      </c>
      <c r="BP252" t="e">
        <f>Stock!R300+"'E4!/3f"</f>
        <v>#VALUE!</v>
      </c>
      <c r="BQ252" s="333" t="e">
        <f>Stock!S300+"'E4!/3g"</f>
        <v>#VALUE!</v>
      </c>
      <c r="BR252" s="333" t="e">
        <f>Stock!T300+"'E4!/3h"</f>
        <v>#VALUE!</v>
      </c>
      <c r="BS252" t="e">
        <f>Stock!U300+"'E4!/3i"</f>
        <v>#VALUE!</v>
      </c>
      <c r="BT252" t="e">
        <f>Stock!V300+"'E4!/3j"</f>
        <v>#VALUE!</v>
      </c>
      <c r="BU252" t="e">
        <f>Stock!W300+"'E4!/3k"</f>
        <v>#VALUE!</v>
      </c>
      <c r="BV252" t="e">
        <f>Stock!X300+"'E4!/3l"</f>
        <v>#VALUE!</v>
      </c>
      <c r="BW252" t="e">
        <f>Stock!Y300+"'E4!/3m"</f>
        <v>#VALUE!</v>
      </c>
      <c r="BX252" t="e">
        <f>Stock!N301+"'E4!/3n"</f>
        <v>#VALUE!</v>
      </c>
      <c r="BY252" t="e">
        <f>Stock!O301+"'E4!/3o"</f>
        <v>#VALUE!</v>
      </c>
      <c r="BZ252" t="e">
        <f>Stock!P301+"'E4!/3p"</f>
        <v>#VALUE!</v>
      </c>
      <c r="CA252" t="e">
        <f>Stock!Q301+"'E4!/3q"</f>
        <v>#VALUE!</v>
      </c>
      <c r="CB252" t="e">
        <f>Stock!R301+"'E4!/3r"</f>
        <v>#VALUE!</v>
      </c>
      <c r="CC252" s="333" t="e">
        <f>Stock!S301+"'E4!/3s"</f>
        <v>#VALUE!</v>
      </c>
      <c r="CD252" s="333" t="e">
        <f>Stock!T301+"'E4!/3t"</f>
        <v>#VALUE!</v>
      </c>
      <c r="CE252" t="e">
        <f>Stock!U301+"'E4!/3u"</f>
        <v>#VALUE!</v>
      </c>
      <c r="CF252" t="e">
        <f>Stock!V301+"'E4!/3v"</f>
        <v>#VALUE!</v>
      </c>
      <c r="CG252" t="e">
        <f>Stock!W301+"'E4!/3w"</f>
        <v>#VALUE!</v>
      </c>
      <c r="CH252" t="e">
        <f>Stock!X301+"'E4!/3x"</f>
        <v>#VALUE!</v>
      </c>
      <c r="CI252" t="e">
        <f>Stock!Y301+"'E4!/3y"</f>
        <v>#VALUE!</v>
      </c>
      <c r="CJ252" t="e">
        <f>Stock!N302+"'E4!/3z"</f>
        <v>#VALUE!</v>
      </c>
      <c r="CK252" t="e">
        <f>Stock!O302+"'E4!/3{"</f>
        <v>#VALUE!</v>
      </c>
      <c r="CL252" t="e">
        <f>Stock!P302+"'E4!/3|"</f>
        <v>#VALUE!</v>
      </c>
      <c r="CM252" t="e">
        <f>Stock!Q302+"'E4!/3}"</f>
        <v>#VALUE!</v>
      </c>
      <c r="CN252" t="e">
        <f>Stock!R302+"'E4!/3~"</f>
        <v>#VALUE!</v>
      </c>
      <c r="CO252" s="333" t="e">
        <f>Stock!S302+"'E4!/4#"</f>
        <v>#VALUE!</v>
      </c>
      <c r="CP252" s="333" t="e">
        <f>Stock!T302+"'E4!/4$"</f>
        <v>#VALUE!</v>
      </c>
      <c r="CQ252" t="e">
        <f>Stock!U302+"'E4!/4%"</f>
        <v>#VALUE!</v>
      </c>
      <c r="CR252" t="e">
        <f>Stock!V302+"'E4!/4&amp;"</f>
        <v>#VALUE!</v>
      </c>
      <c r="CS252" t="e">
        <f>Stock!W302+"'E4!/4'"</f>
        <v>#VALUE!</v>
      </c>
      <c r="CT252" t="e">
        <f>Stock!X302+"'E4!/4("</f>
        <v>#VALUE!</v>
      </c>
      <c r="CU252" t="e">
        <f>Stock!Y302+"'E4!/4)"</f>
        <v>#VALUE!</v>
      </c>
      <c r="CV252" t="e">
        <f>Stock!N303+"'E4!/4."</f>
        <v>#VALUE!</v>
      </c>
      <c r="CW252" t="e">
        <f>Stock!O303+"'E4!/4/"</f>
        <v>#VALUE!</v>
      </c>
      <c r="CX252" t="e">
        <f>Stock!P303+"'E4!/40"</f>
        <v>#VALUE!</v>
      </c>
      <c r="CY252" t="e">
        <f>Stock!Q303+"'E4!/41"</f>
        <v>#VALUE!</v>
      </c>
      <c r="CZ252" t="e">
        <f>Stock!R303+"'E4!/42"</f>
        <v>#VALUE!</v>
      </c>
      <c r="DA252" s="333" t="e">
        <f>Stock!S303+"'E4!/43"</f>
        <v>#VALUE!</v>
      </c>
      <c r="DB252" s="333" t="e">
        <f>Stock!T303+"'E4!/44"</f>
        <v>#VALUE!</v>
      </c>
      <c r="DC252" t="e">
        <f>Stock!U303+"'E4!/45"</f>
        <v>#VALUE!</v>
      </c>
      <c r="DD252" t="e">
        <f>Stock!V303+"'E4!/46"</f>
        <v>#VALUE!</v>
      </c>
      <c r="DE252" t="e">
        <f>Stock!W303+"'E4!/47"</f>
        <v>#VALUE!</v>
      </c>
      <c r="DF252" t="e">
        <f>Stock!X303+"'E4!/48"</f>
        <v>#VALUE!</v>
      </c>
      <c r="DG252" t="e">
        <f>Stock!Y303+"'E4!/49"</f>
        <v>#VALUE!</v>
      </c>
      <c r="DH252" t="e">
        <f>Stock!N304+"'E4!/4:"</f>
        <v>#VALUE!</v>
      </c>
      <c r="DI252" t="e">
        <f>Stock!O304+"'E4!/4;"</f>
        <v>#VALUE!</v>
      </c>
      <c r="DJ252" t="e">
        <f>Stock!P304+"'E4!/4&lt;"</f>
        <v>#VALUE!</v>
      </c>
      <c r="DK252" t="e">
        <f>Stock!Q304+"'E4!/4="</f>
        <v>#VALUE!</v>
      </c>
      <c r="DL252" t="e">
        <f>Stock!R304+"'E4!/4&gt;"</f>
        <v>#VALUE!</v>
      </c>
      <c r="DM252" s="333" t="e">
        <f>Stock!S304+"'E4!/4?"</f>
        <v>#VALUE!</v>
      </c>
      <c r="DN252" s="333" t="e">
        <f>Stock!T304+"'E4!/4@"</f>
        <v>#VALUE!</v>
      </c>
      <c r="DO252" t="e">
        <f>Stock!U304+"'E4!/4A"</f>
        <v>#VALUE!</v>
      </c>
      <c r="DP252" t="e">
        <f>Stock!V304+"'E4!/4B"</f>
        <v>#VALUE!</v>
      </c>
      <c r="DQ252" t="e">
        <f>Stock!W304+"'E4!/4C"</f>
        <v>#VALUE!</v>
      </c>
      <c r="DR252" t="e">
        <f>Stock!X304+"'E4!/4D"</f>
        <v>#VALUE!</v>
      </c>
      <c r="DS252" t="e">
        <f>Stock!Y304+"'E4!/4E"</f>
        <v>#VALUE!</v>
      </c>
      <c r="DT252" t="e">
        <f>Stock!N305+"'E4!/4F"</f>
        <v>#VALUE!</v>
      </c>
      <c r="DU252" t="e">
        <f>Stock!O305+"'E4!/4G"</f>
        <v>#VALUE!</v>
      </c>
      <c r="DV252" t="e">
        <f>Stock!P305+"'E4!/4H"</f>
        <v>#VALUE!</v>
      </c>
      <c r="DW252" t="e">
        <f>Stock!Q305+"'E4!/4I"</f>
        <v>#VALUE!</v>
      </c>
      <c r="DX252" t="e">
        <f>Stock!R305+"'E4!/4J"</f>
        <v>#VALUE!</v>
      </c>
      <c r="DY252" s="333" t="e">
        <f>Stock!S305+"'E4!/4K"</f>
        <v>#VALUE!</v>
      </c>
      <c r="DZ252" s="333" t="e">
        <f>Stock!T305+"'E4!/4L"</f>
        <v>#VALUE!</v>
      </c>
      <c r="EA252" t="e">
        <f>Stock!U305+"'E4!/4M"</f>
        <v>#VALUE!</v>
      </c>
      <c r="EB252" t="e">
        <f>Stock!V305+"'E4!/4N"</f>
        <v>#VALUE!</v>
      </c>
      <c r="EC252" t="e">
        <f>Stock!W305+"'E4!/4O"</f>
        <v>#VALUE!</v>
      </c>
      <c r="ED252" t="e">
        <f>Stock!X305+"'E4!/4P"</f>
        <v>#VALUE!</v>
      </c>
      <c r="EE252" t="e">
        <f>Stock!Y305+"'E4!/4Q"</f>
        <v>#VALUE!</v>
      </c>
      <c r="EF252" t="e">
        <f>Stock!N306+"'E4!/4R"</f>
        <v>#VALUE!</v>
      </c>
      <c r="EG252" t="e">
        <f>Stock!O306+"'E4!/4S"</f>
        <v>#VALUE!</v>
      </c>
      <c r="EH252" t="e">
        <f>Stock!P306+"'E4!/4T"</f>
        <v>#VALUE!</v>
      </c>
      <c r="EI252" t="e">
        <f>Stock!Q306+"'E4!/4U"</f>
        <v>#VALUE!</v>
      </c>
      <c r="EJ252" t="e">
        <f>Stock!R306+"'E4!/4V"</f>
        <v>#VALUE!</v>
      </c>
      <c r="EK252" s="333" t="e">
        <f>Stock!S306+"'E4!/4W"</f>
        <v>#VALUE!</v>
      </c>
      <c r="EL252" s="333" t="e">
        <f>Stock!T306+"'E4!/4X"</f>
        <v>#VALUE!</v>
      </c>
      <c r="EM252" t="e">
        <f>Stock!U306+"'E4!/4Y"</f>
        <v>#VALUE!</v>
      </c>
      <c r="EN252" t="e">
        <f>Stock!V306+"'E4!/4Z"</f>
        <v>#VALUE!</v>
      </c>
      <c r="EO252" t="e">
        <f>Stock!W306+"'E4!/4["</f>
        <v>#VALUE!</v>
      </c>
      <c r="EP252" t="e">
        <f>Stock!X306+"'E4!/4\"</f>
        <v>#VALUE!</v>
      </c>
      <c r="EQ252" t="e">
        <f>Stock!Y306+"'E4!/4]"</f>
        <v>#VALUE!</v>
      </c>
      <c r="ER252" t="e">
        <f>Stock!N307+"'E4!/4^"</f>
        <v>#VALUE!</v>
      </c>
      <c r="ES252" t="e">
        <f>Stock!O307+"'E4!/4_"</f>
        <v>#VALUE!</v>
      </c>
      <c r="ET252" t="e">
        <f>Stock!P307+"'E4!/4`"</f>
        <v>#VALUE!</v>
      </c>
      <c r="EU252" t="e">
        <f>Stock!Q307+"'E4!/4a"</f>
        <v>#VALUE!</v>
      </c>
      <c r="EV252" t="e">
        <f>Stock!R307+"'E4!/4b"</f>
        <v>#VALUE!</v>
      </c>
      <c r="EW252" s="333" t="e">
        <f>Stock!S307+"'E4!/4c"</f>
        <v>#VALUE!</v>
      </c>
      <c r="EX252" s="333" t="e">
        <f>Stock!T307+"'E4!/4d"</f>
        <v>#VALUE!</v>
      </c>
      <c r="EY252" t="e">
        <f>Stock!U307+"'E4!/4e"</f>
        <v>#VALUE!</v>
      </c>
      <c r="EZ252" t="e">
        <f>Stock!V307+"'E4!/4f"</f>
        <v>#VALUE!</v>
      </c>
      <c r="FA252" t="e">
        <f>Stock!W307+"'E4!/4g"</f>
        <v>#VALUE!</v>
      </c>
      <c r="FB252" t="e">
        <f>Stock!X307+"'E4!/4h"</f>
        <v>#VALUE!</v>
      </c>
      <c r="FC252" t="e">
        <f>Stock!Y307+"'E4!/4i"</f>
        <v>#VALUE!</v>
      </c>
      <c r="FD252" t="e">
        <f>Stock!N308+"'E4!/4j"</f>
        <v>#VALUE!</v>
      </c>
      <c r="FE252" t="e">
        <f>Stock!O308+"'E4!/4k"</f>
        <v>#VALUE!</v>
      </c>
      <c r="FF252" t="e">
        <f>Stock!P308+"'E4!/4l"</f>
        <v>#VALUE!</v>
      </c>
      <c r="FG252" t="e">
        <f>Stock!Q308+"'E4!/4m"</f>
        <v>#VALUE!</v>
      </c>
      <c r="FH252" t="e">
        <f>Stock!R308+"'E4!/4n"</f>
        <v>#VALUE!</v>
      </c>
      <c r="FI252" s="333" t="e">
        <f>Stock!S308+"'E4!/4o"</f>
        <v>#VALUE!</v>
      </c>
      <c r="FJ252" s="333" t="e">
        <f>Stock!T308+"'E4!/4p"</f>
        <v>#VALUE!</v>
      </c>
      <c r="FK252" t="e">
        <f>Stock!U308+"'E4!/4q"</f>
        <v>#VALUE!</v>
      </c>
      <c r="FL252" t="e">
        <f>Stock!V308+"'E4!/4r"</f>
        <v>#VALUE!</v>
      </c>
      <c r="FM252" t="e">
        <f>Stock!W308+"'E4!/4s"</f>
        <v>#VALUE!</v>
      </c>
      <c r="FN252" t="e">
        <f>Stock!X308+"'E4!/4t"</f>
        <v>#VALUE!</v>
      </c>
      <c r="FO252" t="e">
        <f>Stock!Y308+"'E4!/4u"</f>
        <v>#VALUE!</v>
      </c>
      <c r="FP252" t="e">
        <f>Stock!N309+"'E4!/4v"</f>
        <v>#VALUE!</v>
      </c>
      <c r="FQ252" t="e">
        <f>Stock!O309+"'E4!/4w"</f>
        <v>#VALUE!</v>
      </c>
      <c r="FR252" t="e">
        <f>Stock!P309+"'E4!/4x"</f>
        <v>#VALUE!</v>
      </c>
      <c r="FS252" t="e">
        <f>Stock!Q309+"'E4!/4y"</f>
        <v>#VALUE!</v>
      </c>
      <c r="FT252" t="e">
        <f>Stock!R309+"'E4!/4z"</f>
        <v>#VALUE!</v>
      </c>
      <c r="FU252" s="333" t="e">
        <f>Stock!S309+"'E4!/4{"</f>
        <v>#VALUE!</v>
      </c>
      <c r="FV252" s="333" t="e">
        <f>Stock!T309+"'E4!/4|"</f>
        <v>#VALUE!</v>
      </c>
      <c r="FW252" t="e">
        <f>Stock!U309+"'E4!/4}"</f>
        <v>#VALUE!</v>
      </c>
      <c r="FX252" t="e">
        <f>Stock!V309+"'E4!/4~"</f>
        <v>#VALUE!</v>
      </c>
      <c r="FY252" t="e">
        <f>Stock!W309+"'E4!/5#"</f>
        <v>#VALUE!</v>
      </c>
      <c r="FZ252" t="e">
        <f>Stock!X309+"'E4!/5$"</f>
        <v>#VALUE!</v>
      </c>
      <c r="GA252" t="e">
        <f>Stock!Y309+"'E4!/5%"</f>
        <v>#VALUE!</v>
      </c>
      <c r="GB252" t="e">
        <f>Stock!N310+"'E4!/5&amp;"</f>
        <v>#VALUE!</v>
      </c>
      <c r="GC252" t="e">
        <f>Stock!O310+"'E4!/5'"</f>
        <v>#VALUE!</v>
      </c>
      <c r="GD252" t="e">
        <f>Stock!P310+"'E4!/5("</f>
        <v>#VALUE!</v>
      </c>
      <c r="GE252" t="e">
        <f>Stock!Q310+"'E4!/5)"</f>
        <v>#VALUE!</v>
      </c>
      <c r="GF252" t="e">
        <f>Stock!R310+"'E4!/5."</f>
        <v>#VALUE!</v>
      </c>
      <c r="GG252" s="333" t="e">
        <f>Stock!S310+"'E4!/5/"</f>
        <v>#VALUE!</v>
      </c>
      <c r="GH252" s="333" t="e">
        <f>Stock!T310+"'E4!/50"</f>
        <v>#VALUE!</v>
      </c>
      <c r="GI252" t="e">
        <f>Stock!U310+"'E4!/51"</f>
        <v>#VALUE!</v>
      </c>
      <c r="GJ252" t="e">
        <f>Stock!V310+"'E4!/52"</f>
        <v>#VALUE!</v>
      </c>
      <c r="GK252" t="e">
        <f>Stock!W310+"'E4!/53"</f>
        <v>#VALUE!</v>
      </c>
      <c r="GL252" t="e">
        <f>Stock!X310+"'E4!/54"</f>
        <v>#VALUE!</v>
      </c>
      <c r="GM252" t="e">
        <f>Stock!Y310+"'E4!/55"</f>
        <v>#VALUE!</v>
      </c>
      <c r="GN252" t="e">
        <f>Stock!N311+"'E4!/56"</f>
        <v>#VALUE!</v>
      </c>
      <c r="GO252" t="e">
        <f>Stock!O311+"'E4!/57"</f>
        <v>#VALUE!</v>
      </c>
      <c r="GP252" t="e">
        <f>Stock!P311+"'E4!/58"</f>
        <v>#VALUE!</v>
      </c>
      <c r="GQ252" t="e">
        <f>Stock!Q311+"'E4!/59"</f>
        <v>#VALUE!</v>
      </c>
      <c r="GR252" t="e">
        <f>Stock!R311+"'E4!/5:"</f>
        <v>#VALUE!</v>
      </c>
      <c r="GS252" s="333" t="e">
        <f>Stock!S311+"'E4!/5;"</f>
        <v>#VALUE!</v>
      </c>
      <c r="GT252" s="333" t="e">
        <f>Stock!T311+"'E4!/5&lt;"</f>
        <v>#VALUE!</v>
      </c>
      <c r="GU252" t="e">
        <f>Stock!U311+"'E4!/5="</f>
        <v>#VALUE!</v>
      </c>
      <c r="GV252" t="e">
        <f>Stock!V311+"'E4!/5&gt;"</f>
        <v>#VALUE!</v>
      </c>
      <c r="GW252" t="e">
        <f>Stock!W311+"'E4!/5?"</f>
        <v>#VALUE!</v>
      </c>
      <c r="GX252" t="e">
        <f>Stock!X311+"'E4!/5@"</f>
        <v>#VALUE!</v>
      </c>
      <c r="GY252" t="e">
        <f>Stock!Y311+"'E4!/5A"</f>
        <v>#VALUE!</v>
      </c>
      <c r="GZ252" t="e">
        <f>Stock!N312+"'E4!/5B"</f>
        <v>#VALUE!</v>
      </c>
      <c r="HA252" t="e">
        <f>Stock!O312+"'E4!/5C"</f>
        <v>#VALUE!</v>
      </c>
      <c r="HB252" t="e">
        <f>Stock!P312+"'E4!/5D"</f>
        <v>#VALUE!</v>
      </c>
      <c r="HC252" t="e">
        <f>Stock!Q312+"'E4!/5E"</f>
        <v>#VALUE!</v>
      </c>
      <c r="HD252" t="e">
        <f>Stock!R312+"'E4!/5F"</f>
        <v>#VALUE!</v>
      </c>
      <c r="HE252" s="333" t="e">
        <f>Stock!S312+"'E4!/5G"</f>
        <v>#VALUE!</v>
      </c>
      <c r="HF252" s="333" t="e">
        <f>Stock!T312+"'E4!/5H"</f>
        <v>#VALUE!</v>
      </c>
      <c r="HG252" t="e">
        <f>Stock!V312+"'E4!/5I"</f>
        <v>#VALUE!</v>
      </c>
      <c r="HH252" t="e">
        <f>Stock!X312+"'E4!/5J"</f>
        <v>#VALUE!</v>
      </c>
      <c r="HI252" t="e">
        <f>Stock!Y312+"'E4!/5K"</f>
        <v>#VALUE!</v>
      </c>
      <c r="HJ252" t="e">
        <f>Stock!N313+"'E4!/5L"</f>
        <v>#VALUE!</v>
      </c>
      <c r="HK252" t="e">
        <f>Stock!O313+"'E4!/5M"</f>
        <v>#VALUE!</v>
      </c>
      <c r="HL252" t="e">
        <f>Stock!P313+"'E4!/5N"</f>
        <v>#VALUE!</v>
      </c>
      <c r="HM252" t="e">
        <f>Stock!Q313+"'E4!/5O"</f>
        <v>#VALUE!</v>
      </c>
      <c r="HN252" t="e">
        <f>Stock!R313+"'E4!/5P"</f>
        <v>#VALUE!</v>
      </c>
      <c r="HO252" s="333" t="e">
        <f>Stock!S313+"'E4!/5Q"</f>
        <v>#VALUE!</v>
      </c>
      <c r="HP252" s="333" t="e">
        <f>Stock!T313+"'E4!/5R"</f>
        <v>#VALUE!</v>
      </c>
      <c r="HQ252" t="e">
        <f>Stock!V313+"'E4!/5S"</f>
        <v>#VALUE!</v>
      </c>
      <c r="HR252" t="e">
        <f>Stock!X313+"'E4!/5T"</f>
        <v>#VALUE!</v>
      </c>
      <c r="HS252" t="e">
        <f>Stock!Y313+"'E4!/5U"</f>
        <v>#VALUE!</v>
      </c>
      <c r="HT252" t="e">
        <f>Stock!N314+"'E4!/5V"</f>
        <v>#VALUE!</v>
      </c>
      <c r="HU252" t="e">
        <f>Stock!O314+"'E4!/5W"</f>
        <v>#VALUE!</v>
      </c>
      <c r="HV252" t="e">
        <f>Stock!P314+"'E4!/5X"</f>
        <v>#VALUE!</v>
      </c>
      <c r="HW252" t="e">
        <f>Stock!Q314+"'E4!/5Y"</f>
        <v>#VALUE!</v>
      </c>
      <c r="HX252" t="e">
        <f>Stock!R314+"'E4!/5Z"</f>
        <v>#VALUE!</v>
      </c>
      <c r="HY252" s="333" t="e">
        <f>Stock!S314+"'E4!/5["</f>
        <v>#VALUE!</v>
      </c>
      <c r="HZ252" s="333" t="e">
        <f>Stock!T314+"'E4!/5\"</f>
        <v>#VALUE!</v>
      </c>
      <c r="IA252" t="e">
        <f>Stock!U314+"'E4!/5]"</f>
        <v>#VALUE!</v>
      </c>
      <c r="IB252" t="e">
        <f>Stock!V314+"'E4!/5^"</f>
        <v>#VALUE!</v>
      </c>
      <c r="IC252" t="e">
        <f>Stock!X314+"'E4!/5_"</f>
        <v>#VALUE!</v>
      </c>
      <c r="ID252" t="e">
        <f>Stock!Y314+"'E4!/5`"</f>
        <v>#VALUE!</v>
      </c>
      <c r="IE252" t="e">
        <f>Stock!N315+"'E4!/5a"</f>
        <v>#VALUE!</v>
      </c>
      <c r="IF252" t="e">
        <f>Stock!O315+"'E4!/5b"</f>
        <v>#VALUE!</v>
      </c>
      <c r="IG252" t="e">
        <f>Stock!P315+"'E4!/5c"</f>
        <v>#VALUE!</v>
      </c>
      <c r="IH252" t="e">
        <f>Stock!Q315+"'E4!/5d"</f>
        <v>#VALUE!</v>
      </c>
      <c r="II252" t="e">
        <f>Stock!R315+"'E4!/5e"</f>
        <v>#VALUE!</v>
      </c>
      <c r="IJ252" s="333" t="e">
        <f>Stock!S315+"'E4!/5f"</f>
        <v>#VALUE!</v>
      </c>
      <c r="IK252" s="333" t="e">
        <f>Stock!T315+"'E4!/5g"</f>
        <v>#VALUE!</v>
      </c>
      <c r="IL252" t="e">
        <f>Stock!U315+"'E4!/5h"</f>
        <v>#VALUE!</v>
      </c>
      <c r="IM252" t="e">
        <f>Stock!V315+"'E4!/5i"</f>
        <v>#VALUE!</v>
      </c>
      <c r="IN252" t="e">
        <f>Stock!W315+"'E4!/5j"</f>
        <v>#VALUE!</v>
      </c>
      <c r="IO252" t="e">
        <f>Stock!X315+"'E4!/5k"</f>
        <v>#VALUE!</v>
      </c>
      <c r="IP252" t="e">
        <f>Stock!Y315+"'E4!/5l"</f>
        <v>#VALUE!</v>
      </c>
      <c r="IQ252" t="e">
        <f>Stock!N316+"'E4!/5m"</f>
        <v>#VALUE!</v>
      </c>
      <c r="IR252" t="e">
        <f>Stock!O316+"'E4!/5n"</f>
        <v>#VALUE!</v>
      </c>
      <c r="IS252" t="e">
        <f>Stock!P316+"'E4!/5o"</f>
        <v>#VALUE!</v>
      </c>
      <c r="IT252" t="e">
        <f>Stock!Q316+"'E4!/5p"</f>
        <v>#VALUE!</v>
      </c>
      <c r="IU252" t="e">
        <f>Stock!R316+"'E4!/5q"</f>
        <v>#VALUE!</v>
      </c>
      <c r="IV252" s="333" t="e">
        <f>Stock!S316+"'E4!/5r"</f>
        <v>#VALUE!</v>
      </c>
    </row>
    <row r="253" spans="6:256">
      <c r="F253" s="333" t="e">
        <f>Stock!T316+"'E4!/5s"</f>
        <v>#VALUE!</v>
      </c>
      <c r="G253" t="e">
        <f>Stock!U316+"'E4!/5t"</f>
        <v>#VALUE!</v>
      </c>
      <c r="H253" t="e">
        <f>Stock!V316+"'E4!/5u"</f>
        <v>#VALUE!</v>
      </c>
      <c r="I253" t="e">
        <f>Stock!W316+"'E4!/5v"</f>
        <v>#VALUE!</v>
      </c>
      <c r="J253" t="e">
        <f>Stock!X316+"'E4!/5w"</f>
        <v>#VALUE!</v>
      </c>
      <c r="K253" t="e">
        <f>Stock!Y316+"'E4!/5x"</f>
        <v>#VALUE!</v>
      </c>
      <c r="L253" t="e">
        <f>Stock!N317+"'E4!/5y"</f>
        <v>#VALUE!</v>
      </c>
      <c r="M253" t="e">
        <f>Stock!O317+"'E4!/5z"</f>
        <v>#VALUE!</v>
      </c>
      <c r="N253" t="e">
        <f>Stock!P317+"'E4!/5{"</f>
        <v>#VALUE!</v>
      </c>
      <c r="O253" t="e">
        <f>Stock!Q317+"'E4!/5|"</f>
        <v>#VALUE!</v>
      </c>
      <c r="P253" t="e">
        <f>Stock!R317+"'E4!/5}"</f>
        <v>#VALUE!</v>
      </c>
      <c r="Q253" s="333" t="e">
        <f>Stock!S317+"'E4!/5~"</f>
        <v>#VALUE!</v>
      </c>
      <c r="R253" s="333" t="e">
        <f>Stock!T317+"'E4!/6#"</f>
        <v>#VALUE!</v>
      </c>
      <c r="S253" t="e">
        <f>Stock!U317+"'E4!/6$"</f>
        <v>#VALUE!</v>
      </c>
      <c r="T253" t="e">
        <f>Stock!V317+"'E4!/6%"</f>
        <v>#VALUE!</v>
      </c>
      <c r="U253" t="e">
        <f>Stock!W317+"'E4!/6&amp;"</f>
        <v>#VALUE!</v>
      </c>
      <c r="V253" t="e">
        <f>Stock!X317+"'E4!/6'"</f>
        <v>#VALUE!</v>
      </c>
      <c r="W253" t="e">
        <f>Stock!Y317+"'E4!/6("</f>
        <v>#VALUE!</v>
      </c>
      <c r="X253" t="e">
        <f>Stock!N318+"'E4!/6)"</f>
        <v>#VALUE!</v>
      </c>
      <c r="Y253" t="e">
        <f>Stock!O318+"'E4!/6."</f>
        <v>#VALUE!</v>
      </c>
      <c r="Z253" t="e">
        <f>Stock!P318+"'E4!/6/"</f>
        <v>#VALUE!</v>
      </c>
      <c r="AA253" t="e">
        <f>Stock!Q318+"'E4!/60"</f>
        <v>#VALUE!</v>
      </c>
      <c r="AB253" t="e">
        <f>Stock!R318+"'E4!/61"</f>
        <v>#VALUE!</v>
      </c>
      <c r="AC253" s="333" t="e">
        <f>Stock!S318+"'E4!/62"</f>
        <v>#VALUE!</v>
      </c>
      <c r="AD253" s="333" t="e">
        <f>Stock!T318+"'E4!/63"</f>
        <v>#VALUE!</v>
      </c>
      <c r="AE253" t="e">
        <f>Stock!U318+"'E4!/64"</f>
        <v>#VALUE!</v>
      </c>
      <c r="AF253" t="e">
        <f>Stock!V318+"'E4!/65"</f>
        <v>#VALUE!</v>
      </c>
      <c r="AG253" t="e">
        <f>Stock!W318+"'E4!/66"</f>
        <v>#VALUE!</v>
      </c>
      <c r="AH253" t="e">
        <f>Stock!X318+"'E4!/67"</f>
        <v>#VALUE!</v>
      </c>
      <c r="AI253" t="e">
        <f>Stock!Y318+"'E4!/68"</f>
        <v>#VALUE!</v>
      </c>
      <c r="AJ253" t="e">
        <f>Stock!N319+"'E4!/69"</f>
        <v>#VALUE!</v>
      </c>
      <c r="AK253" t="e">
        <f>Stock!O319+"'E4!/6:"</f>
        <v>#VALUE!</v>
      </c>
      <c r="AL253" t="e">
        <f>Stock!P319+"'E4!/6;"</f>
        <v>#VALUE!</v>
      </c>
      <c r="AM253" t="e">
        <f>Stock!Q319+"'E4!/6&lt;"</f>
        <v>#VALUE!</v>
      </c>
      <c r="AN253" t="e">
        <f>Stock!R319+"'E4!/6="</f>
        <v>#VALUE!</v>
      </c>
      <c r="AO253" s="333" t="e">
        <f>Stock!S319+"'E4!/6&gt;"</f>
        <v>#VALUE!</v>
      </c>
      <c r="AP253" s="333" t="e">
        <f>Stock!T319+"'E4!/6?"</f>
        <v>#VALUE!</v>
      </c>
      <c r="AQ253" t="e">
        <f>Stock!U319+"'E4!/6@"</f>
        <v>#VALUE!</v>
      </c>
      <c r="AR253" t="e">
        <f>Stock!V319+"'E4!/6A"</f>
        <v>#VALUE!</v>
      </c>
      <c r="AS253" t="e">
        <f>Stock!W319+"'E4!/6B"</f>
        <v>#VALUE!</v>
      </c>
      <c r="AT253" t="e">
        <f>Stock!X319+"'E4!/6C"</f>
        <v>#VALUE!</v>
      </c>
      <c r="AU253" t="e">
        <f>Stock!Y319+"'E4!/6D"</f>
        <v>#VALUE!</v>
      </c>
      <c r="AV253" t="e">
        <f>Stock!N320+"'E4!/6E"</f>
        <v>#VALUE!</v>
      </c>
      <c r="AW253" t="e">
        <f>Stock!O320+"'E4!/6F"</f>
        <v>#VALUE!</v>
      </c>
      <c r="AX253" t="e">
        <f>Stock!P320+"'E4!/6G"</f>
        <v>#VALUE!</v>
      </c>
      <c r="AY253" t="e">
        <f>Stock!Q320+"'E4!/6H"</f>
        <v>#VALUE!</v>
      </c>
      <c r="AZ253" t="e">
        <f>Stock!R320+"'E4!/6I"</f>
        <v>#VALUE!</v>
      </c>
      <c r="BA253" s="333" t="e">
        <f>Stock!S320+"'E4!/6J"</f>
        <v>#VALUE!</v>
      </c>
      <c r="BB253" s="333" t="e">
        <f>Stock!T320+"'E4!/6K"</f>
        <v>#VALUE!</v>
      </c>
      <c r="BC253" t="e">
        <f>Stock!U320+"'E4!/6L"</f>
        <v>#VALUE!</v>
      </c>
      <c r="BD253" t="e">
        <f>Stock!V320+"'E4!/6M"</f>
        <v>#VALUE!</v>
      </c>
      <c r="BE253" t="e">
        <f>Stock!W320+"'E4!/6N"</f>
        <v>#VALUE!</v>
      </c>
      <c r="BF253" t="e">
        <f>Stock!X320+"'E4!/6O"</f>
        <v>#VALUE!</v>
      </c>
      <c r="BG253" t="e">
        <f>Stock!Y320+"'E4!/6P"</f>
        <v>#VALUE!</v>
      </c>
      <c r="BH253" t="e">
        <f>Stock!N321+"'E4!/6Q"</f>
        <v>#VALUE!</v>
      </c>
      <c r="BI253" t="e">
        <f>Stock!O321+"'E4!/6R"</f>
        <v>#VALUE!</v>
      </c>
      <c r="BJ253" t="e">
        <f>Stock!P321+"'E4!/6S"</f>
        <v>#VALUE!</v>
      </c>
      <c r="BK253" t="e">
        <f>Stock!Q321+"'E4!/6T"</f>
        <v>#VALUE!</v>
      </c>
      <c r="BL253" t="e">
        <f>Stock!R321+"'E4!/6U"</f>
        <v>#VALUE!</v>
      </c>
      <c r="BM253" s="333" t="e">
        <f>Stock!S321+"'E4!/6V"</f>
        <v>#VALUE!</v>
      </c>
      <c r="BN253" s="333" t="e">
        <f>Stock!T321+"'E4!/6W"</f>
        <v>#VALUE!</v>
      </c>
      <c r="BO253" t="e">
        <f>Stock!U321+"'E4!/6X"</f>
        <v>#VALUE!</v>
      </c>
      <c r="BP253" t="e">
        <f>Stock!V321+"'E4!/6Y"</f>
        <v>#VALUE!</v>
      </c>
      <c r="BQ253" t="e">
        <f>Stock!W321+"'E4!/6Z"</f>
        <v>#VALUE!</v>
      </c>
      <c r="BR253" t="e">
        <f>Stock!X321+"'E4!/6["</f>
        <v>#VALUE!</v>
      </c>
      <c r="BS253" t="e">
        <f>Stock!Y321+"'E4!/6\"</f>
        <v>#VALUE!</v>
      </c>
      <c r="BT253" t="e">
        <f>Stock!N322+"'E4!/6]"</f>
        <v>#VALUE!</v>
      </c>
      <c r="BU253" t="e">
        <f>Stock!O322+"'E4!/6^"</f>
        <v>#VALUE!</v>
      </c>
      <c r="BV253" t="e">
        <f>Stock!P322+"'E4!/6_"</f>
        <v>#VALUE!</v>
      </c>
      <c r="BW253" t="e">
        <f>Stock!Q322+"'E4!/6`"</f>
        <v>#VALUE!</v>
      </c>
      <c r="BX253" t="e">
        <f>Stock!R322+"'E4!/6a"</f>
        <v>#VALUE!</v>
      </c>
      <c r="BY253" s="333" t="e">
        <f>Stock!S322+"'E4!/6b"</f>
        <v>#VALUE!</v>
      </c>
      <c r="BZ253" s="333" t="e">
        <f>Stock!T322+"'E4!/6c"</f>
        <v>#VALUE!</v>
      </c>
      <c r="CA253" t="e">
        <f>Stock!U322+"'E4!/6d"</f>
        <v>#VALUE!</v>
      </c>
      <c r="CB253" t="e">
        <f>Stock!V322+"'E4!/6e"</f>
        <v>#VALUE!</v>
      </c>
      <c r="CC253" t="e">
        <f>Stock!W322+"'E4!/6f"</f>
        <v>#VALUE!</v>
      </c>
      <c r="CD253" t="e">
        <f>Stock!X322+"'E4!/6g"</f>
        <v>#VALUE!</v>
      </c>
      <c r="CE253" t="e">
        <f>Stock!Y322+"'E4!/6h"</f>
        <v>#VALUE!</v>
      </c>
      <c r="CF253" t="e">
        <f>Stock!N323+"'E4!/6i"</f>
        <v>#VALUE!</v>
      </c>
      <c r="CG253" t="e">
        <f>Stock!O323+"'E4!/6j"</f>
        <v>#VALUE!</v>
      </c>
      <c r="CH253" t="e">
        <f>Stock!P323+"'E4!/6k"</f>
        <v>#VALUE!</v>
      </c>
      <c r="CI253" t="e">
        <f>Stock!Q323+"'E4!/6l"</f>
        <v>#VALUE!</v>
      </c>
      <c r="CJ253" t="e">
        <f>Stock!R323+"'E4!/6m"</f>
        <v>#VALUE!</v>
      </c>
      <c r="CK253" s="333" t="e">
        <f>Stock!S323+"'E4!/6n"</f>
        <v>#VALUE!</v>
      </c>
      <c r="CL253" s="333" t="e">
        <f>Stock!T323+"'E4!/6o"</f>
        <v>#VALUE!</v>
      </c>
      <c r="CM253" t="e">
        <f>Stock!U323+"'E4!/6p"</f>
        <v>#VALUE!</v>
      </c>
      <c r="CN253" t="e">
        <f>Stock!V323+"'E4!/6q"</f>
        <v>#VALUE!</v>
      </c>
      <c r="CO253" t="e">
        <f>Stock!W323+"'E4!/6r"</f>
        <v>#VALUE!</v>
      </c>
      <c r="CP253" t="e">
        <f>Stock!X323+"'E4!/6s"</f>
        <v>#VALUE!</v>
      </c>
      <c r="CQ253" t="e">
        <f>Stock!Y323+"'E4!/6t"</f>
        <v>#VALUE!</v>
      </c>
      <c r="CR253" t="e">
        <f>Stock!N324+"'E4!/6u"</f>
        <v>#VALUE!</v>
      </c>
      <c r="CS253" t="e">
        <f>Stock!O324+"'E4!/6v"</f>
        <v>#VALUE!</v>
      </c>
      <c r="CT253" t="e">
        <f>Stock!P324+"'E4!/6w"</f>
        <v>#VALUE!</v>
      </c>
      <c r="CU253" t="e">
        <f>Stock!Q324+"'E4!/6x"</f>
        <v>#VALUE!</v>
      </c>
      <c r="CV253" t="e">
        <f>Stock!R324+"'E4!/6y"</f>
        <v>#VALUE!</v>
      </c>
      <c r="CW253" s="333" t="e">
        <f>Stock!S324+"'E4!/6z"</f>
        <v>#VALUE!</v>
      </c>
      <c r="CX253" s="333" t="e">
        <f>Stock!T324+"'E4!/6{"</f>
        <v>#VALUE!</v>
      </c>
      <c r="CY253" t="e">
        <f>Stock!U324+"'E4!/6|"</f>
        <v>#VALUE!</v>
      </c>
      <c r="CZ253" t="e">
        <f>Stock!V324+"'E4!/6}"</f>
        <v>#VALUE!</v>
      </c>
      <c r="DA253" t="e">
        <f>Stock!W324+"'E4!/6~"</f>
        <v>#VALUE!</v>
      </c>
      <c r="DB253" t="e">
        <f>Stock!X324+"'E4!/7#"</f>
        <v>#VALUE!</v>
      </c>
      <c r="DC253" t="e">
        <f>Stock!Y324+"'E4!/7$"</f>
        <v>#VALUE!</v>
      </c>
      <c r="DD253" t="e">
        <f>Stock!N325+"'E4!/7%"</f>
        <v>#VALUE!</v>
      </c>
      <c r="DE253" t="e">
        <f>Stock!O325+"'E4!/7&amp;"</f>
        <v>#VALUE!</v>
      </c>
      <c r="DF253" t="e">
        <f>Stock!P325+"'E4!/7'"</f>
        <v>#VALUE!</v>
      </c>
      <c r="DG253" t="e">
        <f>Stock!Q325+"'E4!/7("</f>
        <v>#VALUE!</v>
      </c>
      <c r="DH253" t="e">
        <f>Stock!R325+"'E4!/7)"</f>
        <v>#VALUE!</v>
      </c>
      <c r="DI253" s="333" t="e">
        <f>Stock!S325+"'E4!/7."</f>
        <v>#VALUE!</v>
      </c>
      <c r="DJ253" s="333" t="e">
        <f>Stock!T325+"'E4!/7/"</f>
        <v>#VALUE!</v>
      </c>
      <c r="DK253" t="e">
        <f>Stock!U325+"'E4!/70"</f>
        <v>#VALUE!</v>
      </c>
      <c r="DL253" t="e">
        <f>Stock!V325+"'E4!/71"</f>
        <v>#VALUE!</v>
      </c>
      <c r="DM253" t="e">
        <f>Stock!W325+"'E4!/72"</f>
        <v>#VALUE!</v>
      </c>
      <c r="DN253" t="e">
        <f>Stock!X325+"'E4!/73"</f>
        <v>#VALUE!</v>
      </c>
      <c r="DO253" t="e">
        <f>Stock!Y325+"'E4!/74"</f>
        <v>#VALUE!</v>
      </c>
      <c r="DP253" t="e">
        <f>Stock!N326+"'E4!/75"</f>
        <v>#VALUE!</v>
      </c>
      <c r="DQ253" t="e">
        <f>Stock!O326+"'E4!/76"</f>
        <v>#VALUE!</v>
      </c>
      <c r="DR253" t="e">
        <f>Stock!P326+"'E4!/77"</f>
        <v>#VALUE!</v>
      </c>
      <c r="DS253" t="e">
        <f>Stock!Q326+"'E4!/78"</f>
        <v>#VALUE!</v>
      </c>
      <c r="DT253" t="e">
        <f>Stock!R326+"'E4!/79"</f>
        <v>#VALUE!</v>
      </c>
      <c r="DU253" s="333" t="e">
        <f>Stock!S326+"'E4!/7:"</f>
        <v>#VALUE!</v>
      </c>
      <c r="DV253" s="333" t="e">
        <f>Stock!T326+"'E4!/7;"</f>
        <v>#VALUE!</v>
      </c>
      <c r="DW253" t="e">
        <f>Stock!U326+"'E4!/7&lt;"</f>
        <v>#VALUE!</v>
      </c>
      <c r="DX253" t="e">
        <f>Stock!V326+"'E4!/7="</f>
        <v>#VALUE!</v>
      </c>
      <c r="DY253" t="e">
        <f>Stock!W326+"'E4!/7&gt;"</f>
        <v>#VALUE!</v>
      </c>
      <c r="DZ253" t="e">
        <f>Stock!X326+"'E4!/7?"</f>
        <v>#VALUE!</v>
      </c>
      <c r="EA253" t="e">
        <f>Stock!Y326+"'E4!/7@"</f>
        <v>#VALUE!</v>
      </c>
      <c r="EB253" t="e">
        <f>Stock!N327+"'E4!/7A"</f>
        <v>#VALUE!</v>
      </c>
      <c r="EC253" t="e">
        <f>Stock!O327+"'E4!/7B"</f>
        <v>#VALUE!</v>
      </c>
      <c r="ED253" t="e">
        <f>Stock!P327+"'E4!/7C"</f>
        <v>#VALUE!</v>
      </c>
      <c r="EE253" t="e">
        <f>Stock!Q327+"'E4!/7D"</f>
        <v>#VALUE!</v>
      </c>
      <c r="EF253" t="e">
        <f>Stock!R327+"'E4!/7E"</f>
        <v>#VALUE!</v>
      </c>
      <c r="EG253" s="333" t="e">
        <f>Stock!S327+"'E4!/7F"</f>
        <v>#VALUE!</v>
      </c>
      <c r="EH253" s="333" t="e">
        <f>Stock!T327+"'E4!/7G"</f>
        <v>#VALUE!</v>
      </c>
      <c r="EI253" t="e">
        <f>Stock!U327+"'E4!/7H"</f>
        <v>#VALUE!</v>
      </c>
      <c r="EJ253" t="e">
        <f>Stock!V327+"'E4!/7I"</f>
        <v>#VALUE!</v>
      </c>
      <c r="EK253" t="e">
        <f>Stock!W327+"'E4!/7J"</f>
        <v>#VALUE!</v>
      </c>
      <c r="EL253" t="e">
        <f>Stock!X327+"'E4!/7K"</f>
        <v>#VALUE!</v>
      </c>
      <c r="EM253" t="e">
        <f>Stock!Y327+"'E4!/7L"</f>
        <v>#VALUE!</v>
      </c>
      <c r="EN253" t="e">
        <f>Stock!N328+"'E4!/7M"</f>
        <v>#VALUE!</v>
      </c>
      <c r="EO253" t="e">
        <f>Stock!O328+"'E4!/7N"</f>
        <v>#VALUE!</v>
      </c>
      <c r="EP253" t="e">
        <f>Stock!P328+"'E4!/7O"</f>
        <v>#VALUE!</v>
      </c>
      <c r="EQ253" t="e">
        <f>Stock!Q328+"'E4!/7P"</f>
        <v>#VALUE!</v>
      </c>
      <c r="ER253" t="e">
        <f>Stock!R328+"'E4!/7Q"</f>
        <v>#VALUE!</v>
      </c>
      <c r="ES253" s="333" t="e">
        <f>Stock!S328+"'E4!/7R"</f>
        <v>#VALUE!</v>
      </c>
      <c r="ET253" s="333" t="e">
        <f>Stock!T328+"'E4!/7S"</f>
        <v>#VALUE!</v>
      </c>
      <c r="EU253" t="e">
        <f>Stock!U328+"'E4!/7T"</f>
        <v>#VALUE!</v>
      </c>
      <c r="EV253" t="e">
        <f>Stock!V328+"'E4!/7U"</f>
        <v>#VALUE!</v>
      </c>
      <c r="EW253" t="e">
        <f>Stock!W328+"'E4!/7V"</f>
        <v>#VALUE!</v>
      </c>
      <c r="EX253" t="e">
        <f>Stock!X328+"'E4!/7W"</f>
        <v>#VALUE!</v>
      </c>
      <c r="EY253" t="e">
        <f>Stock!Y328+"'E4!/7X"</f>
        <v>#VALUE!</v>
      </c>
      <c r="EZ253" t="e">
        <f>Stock!N329+"'E4!/7Y"</f>
        <v>#VALUE!</v>
      </c>
      <c r="FA253" t="e">
        <f>Stock!O329+"'E4!/7Z"</f>
        <v>#VALUE!</v>
      </c>
      <c r="FB253" t="e">
        <f>Stock!P329+"'E4!/7["</f>
        <v>#VALUE!</v>
      </c>
      <c r="FC253" t="e">
        <f>Stock!Q329+"'E4!/7\"</f>
        <v>#VALUE!</v>
      </c>
      <c r="FD253" t="e">
        <f>Stock!R329+"'E4!/7]"</f>
        <v>#VALUE!</v>
      </c>
      <c r="FE253" s="333" t="e">
        <f>Stock!S329+"'E4!/7^"</f>
        <v>#VALUE!</v>
      </c>
      <c r="FF253" s="333" t="e">
        <f>Stock!T329+"'E4!/7_"</f>
        <v>#VALUE!</v>
      </c>
      <c r="FG253" t="e">
        <f>Stock!U329+"'E4!/7`"</f>
        <v>#VALUE!</v>
      </c>
      <c r="FH253" t="e">
        <f>Stock!V329+"'E4!/7a"</f>
        <v>#VALUE!</v>
      </c>
      <c r="FI253" t="e">
        <f>Stock!W329+"'E4!/7b"</f>
        <v>#VALUE!</v>
      </c>
      <c r="FJ253" t="e">
        <f>Stock!X329+"'E4!/7c"</f>
        <v>#VALUE!</v>
      </c>
      <c r="FK253" t="e">
        <f>Stock!Y329+"'E4!/7d"</f>
        <v>#VALUE!</v>
      </c>
      <c r="FL253" t="e">
        <f>Stock!N330+"'E4!/7e"</f>
        <v>#VALUE!</v>
      </c>
      <c r="FM253" t="e">
        <f>Stock!O330+"'E4!/7f"</f>
        <v>#VALUE!</v>
      </c>
      <c r="FN253" t="e">
        <f>Stock!P330+"'E4!/7g"</f>
        <v>#VALUE!</v>
      </c>
      <c r="FO253" t="e">
        <f>Stock!Q330+"'E4!/7h"</f>
        <v>#VALUE!</v>
      </c>
      <c r="FP253" t="e">
        <f>Stock!R330+"'E4!/7i"</f>
        <v>#VALUE!</v>
      </c>
      <c r="FQ253" s="333" t="e">
        <f>Stock!S330+"'E4!/7j"</f>
        <v>#VALUE!</v>
      </c>
      <c r="FR253" s="333" t="e">
        <f>Stock!T330+"'E4!/7k"</f>
        <v>#VALUE!</v>
      </c>
      <c r="FS253" t="e">
        <f>Stock!U330+"'E4!/7l"</f>
        <v>#VALUE!</v>
      </c>
      <c r="FT253" t="e">
        <f>Stock!V330+"'E4!/7m"</f>
        <v>#VALUE!</v>
      </c>
      <c r="FU253" t="e">
        <f>Stock!W330+"'E4!/7n"</f>
        <v>#VALUE!</v>
      </c>
      <c r="FV253" t="e">
        <f>Stock!X330+"'E4!/7o"</f>
        <v>#VALUE!</v>
      </c>
      <c r="FW253" t="e">
        <f>Stock!Y330+"'E4!/7p"</f>
        <v>#VALUE!</v>
      </c>
      <c r="FX253" t="e">
        <f>Stock!N331+"'E4!/7q"</f>
        <v>#VALUE!</v>
      </c>
      <c r="FY253" t="e">
        <f>Stock!O331+"'E4!/7r"</f>
        <v>#VALUE!</v>
      </c>
      <c r="FZ253" t="e">
        <f>Stock!P331+"'E4!/7s"</f>
        <v>#VALUE!</v>
      </c>
      <c r="GA253" t="e">
        <f>Stock!Q331+"'E4!/7t"</f>
        <v>#VALUE!</v>
      </c>
      <c r="GB253" t="e">
        <f>Stock!R331+"'E4!/7u"</f>
        <v>#VALUE!</v>
      </c>
      <c r="GC253" s="333" t="e">
        <f>Stock!S331+"'E4!/7v"</f>
        <v>#VALUE!</v>
      </c>
      <c r="GD253" s="333" t="e">
        <f>Stock!T331+"'E4!/7w"</f>
        <v>#VALUE!</v>
      </c>
      <c r="GE253" t="e">
        <f>Stock!U331+"'E4!/7x"</f>
        <v>#VALUE!</v>
      </c>
      <c r="GF253" t="e">
        <f>Stock!V331+"'E4!/7y"</f>
        <v>#VALUE!</v>
      </c>
      <c r="GG253" t="e">
        <f>Stock!W331+"'E4!/7z"</f>
        <v>#VALUE!</v>
      </c>
      <c r="GH253" t="e">
        <f>Stock!X331+"'E4!/7{"</f>
        <v>#VALUE!</v>
      </c>
      <c r="GI253" t="e">
        <f>Stock!Y331+"'E4!/7|"</f>
        <v>#VALUE!</v>
      </c>
      <c r="GJ253" t="e">
        <f>Stock!N332+"'E4!/7}"</f>
        <v>#VALUE!</v>
      </c>
      <c r="GK253" t="e">
        <f>Stock!O332+"'E4!/7~"</f>
        <v>#VALUE!</v>
      </c>
      <c r="GL253" t="e">
        <f>Stock!P332+"'E4!/8#"</f>
        <v>#VALUE!</v>
      </c>
      <c r="GM253" t="e">
        <f>Stock!Q332+"'E4!/8$"</f>
        <v>#VALUE!</v>
      </c>
      <c r="GN253" t="e">
        <f>Stock!R332+"'E4!/8%"</f>
        <v>#VALUE!</v>
      </c>
      <c r="GO253" s="333" t="e">
        <f>Stock!S332+"'E4!/8&amp;"</f>
        <v>#VALUE!</v>
      </c>
      <c r="GP253" s="333" t="e">
        <f>Stock!T332+"'E4!/8'"</f>
        <v>#VALUE!</v>
      </c>
      <c r="GQ253" t="e">
        <f>Stock!U332+"'E4!/8("</f>
        <v>#VALUE!</v>
      </c>
      <c r="GR253" t="e">
        <f>Stock!V332+"'E4!/8)"</f>
        <v>#VALUE!</v>
      </c>
      <c r="GS253" t="e">
        <f>Stock!W332+"'E4!/8."</f>
        <v>#VALUE!</v>
      </c>
      <c r="GT253" t="e">
        <f>Stock!X332+"'E4!/8/"</f>
        <v>#VALUE!</v>
      </c>
      <c r="GU253" t="e">
        <f>Stock!Y332+"'E4!/80"</f>
        <v>#VALUE!</v>
      </c>
      <c r="GV253" t="e">
        <f>Stock!N333+"'E4!/81"</f>
        <v>#VALUE!</v>
      </c>
      <c r="GW253" t="e">
        <f>Stock!O333+"'E4!/82"</f>
        <v>#VALUE!</v>
      </c>
      <c r="GX253" t="e">
        <f>Stock!P333+"'E4!/83"</f>
        <v>#VALUE!</v>
      </c>
      <c r="GY253" t="e">
        <f>Stock!Q333+"'E4!/84"</f>
        <v>#VALUE!</v>
      </c>
      <c r="GZ253" t="e">
        <f>Stock!R333+"'E4!/85"</f>
        <v>#VALUE!</v>
      </c>
      <c r="HA253" s="333" t="e">
        <f>Stock!S333+"'E4!/86"</f>
        <v>#VALUE!</v>
      </c>
      <c r="HB253" s="333" t="e">
        <f>Stock!T333+"'E4!/87"</f>
        <v>#VALUE!</v>
      </c>
      <c r="HC253" t="e">
        <f>Stock!U333+"'E4!/88"</f>
        <v>#VALUE!</v>
      </c>
      <c r="HD253" t="e">
        <f>Stock!V333+"'E4!/89"</f>
        <v>#VALUE!</v>
      </c>
      <c r="HE253" t="e">
        <f>Stock!W333+"'E4!/8:"</f>
        <v>#VALUE!</v>
      </c>
      <c r="HF253" t="e">
        <f>Stock!X333+"'E4!/8;"</f>
        <v>#VALUE!</v>
      </c>
      <c r="HG253" t="e">
        <f>Stock!Y333+"'E4!/8&lt;"</f>
        <v>#VALUE!</v>
      </c>
      <c r="HH253" t="e">
        <f>Stock!N334+"'E4!/8="</f>
        <v>#VALUE!</v>
      </c>
      <c r="HI253" t="e">
        <f>Stock!O334+"'E4!/8&gt;"</f>
        <v>#VALUE!</v>
      </c>
      <c r="HJ253" t="e">
        <f>Stock!P334+"'E4!/8?"</f>
        <v>#VALUE!</v>
      </c>
      <c r="HK253" t="e">
        <f>Stock!Q334+"'E4!/8@"</f>
        <v>#VALUE!</v>
      </c>
      <c r="HL253" t="e">
        <f>Stock!R334+"'E4!/8A"</f>
        <v>#VALUE!</v>
      </c>
      <c r="HM253" s="333" t="e">
        <f>Stock!S334+"'E4!/8B"</f>
        <v>#VALUE!</v>
      </c>
      <c r="HN253" s="333" t="e">
        <f>Stock!T334+"'E4!/8C"</f>
        <v>#VALUE!</v>
      </c>
      <c r="HO253" t="e">
        <f>Stock!U334+"'E4!/8D"</f>
        <v>#VALUE!</v>
      </c>
      <c r="HP253" t="e">
        <f>Stock!V334+"'E4!/8E"</f>
        <v>#VALUE!</v>
      </c>
      <c r="HQ253" t="e">
        <f>Stock!W334+"'E4!/8F"</f>
        <v>#VALUE!</v>
      </c>
      <c r="HR253" t="e">
        <f>Stock!X334+"'E4!/8G"</f>
        <v>#VALUE!</v>
      </c>
      <c r="HS253" t="e">
        <f>Stock!Y334+"'E4!/8H"</f>
        <v>#VALUE!</v>
      </c>
      <c r="HT253" t="e">
        <f>Stock!N335+"'E4!/8I"</f>
        <v>#VALUE!</v>
      </c>
      <c r="HU253" t="e">
        <f>Stock!O335+"'E4!/8J"</f>
        <v>#VALUE!</v>
      </c>
      <c r="HV253" t="e">
        <f>Stock!P335+"'E4!/8K"</f>
        <v>#VALUE!</v>
      </c>
      <c r="HW253" t="e">
        <f>Stock!Q335+"'E4!/8L"</f>
        <v>#VALUE!</v>
      </c>
      <c r="HX253" t="e">
        <f>Stock!R335+"'E4!/8M"</f>
        <v>#VALUE!</v>
      </c>
      <c r="HY253" s="333" t="e">
        <f>Stock!S335+"'E4!/8N"</f>
        <v>#VALUE!</v>
      </c>
      <c r="HZ253" t="e">
        <f>Stock!T335+"'E4!/8O"</f>
        <v>#VALUE!</v>
      </c>
      <c r="IA253" t="e">
        <f>Stock!U335+"'E4!/8P"</f>
        <v>#VALUE!</v>
      </c>
      <c r="IB253" t="e">
        <f>Stock!V335+"'E4!/8Q"</f>
        <v>#VALUE!</v>
      </c>
      <c r="IC253" t="e">
        <f>Stock!W335+"'E4!/8R"</f>
        <v>#VALUE!</v>
      </c>
      <c r="ID253" t="e">
        <f>Stock!X335+"'E4!/8S"</f>
        <v>#VALUE!</v>
      </c>
      <c r="IE253" t="e">
        <f>Stock!Y335+"'E4!/8T"</f>
        <v>#VALUE!</v>
      </c>
      <c r="IF253" t="e">
        <f>Stock!N336+"'E4!/8U"</f>
        <v>#VALUE!</v>
      </c>
      <c r="IG253" t="e">
        <f>Stock!O336+"'E4!/8V"</f>
        <v>#VALUE!</v>
      </c>
      <c r="IH253" t="e">
        <f>Stock!P336+"'E4!/8W"</f>
        <v>#VALUE!</v>
      </c>
      <c r="II253" t="e">
        <f>Stock!Q336+"'E4!/8X"</f>
        <v>#VALUE!</v>
      </c>
      <c r="IJ253" t="e">
        <f>Stock!R336+"'E4!/8Y"</f>
        <v>#VALUE!</v>
      </c>
      <c r="IK253" s="333" t="e">
        <f>Stock!S336+"'E4!/8Z"</f>
        <v>#VALUE!</v>
      </c>
      <c r="IL253" t="e">
        <f>Stock!T336+"'E4!/8["</f>
        <v>#VALUE!</v>
      </c>
      <c r="IM253" t="e">
        <f>Stock!U336+"'E4!/8\"</f>
        <v>#VALUE!</v>
      </c>
      <c r="IN253" t="e">
        <f>Stock!V336+"'E4!/8]"</f>
        <v>#VALUE!</v>
      </c>
      <c r="IO253" t="e">
        <f>Stock!W336+"'E4!/8^"</f>
        <v>#VALUE!</v>
      </c>
      <c r="IP253" t="e">
        <f>Stock!X336+"'E4!/8_"</f>
        <v>#VALUE!</v>
      </c>
      <c r="IQ253" t="e">
        <f>Stock!Y336+"'E4!/8`"</f>
        <v>#VALUE!</v>
      </c>
      <c r="IR253" t="e">
        <f>Stock!N337+"'E4!/8a"</f>
        <v>#VALUE!</v>
      </c>
      <c r="IS253" t="e">
        <f>Stock!O337+"'E4!/8b"</f>
        <v>#VALUE!</v>
      </c>
      <c r="IT253" t="e">
        <f>Stock!P337+"'E4!/8c"</f>
        <v>#VALUE!</v>
      </c>
      <c r="IU253" t="e">
        <f>Stock!Q337+"'E4!/8d"</f>
        <v>#VALUE!</v>
      </c>
      <c r="IV253" t="e">
        <f>Stock!R337+"'E4!/8e"</f>
        <v>#VALUE!</v>
      </c>
    </row>
    <row r="254" spans="6:256">
      <c r="F254" s="333" t="e">
        <f>Stock!S337+"'E4!/8f"</f>
        <v>#VALUE!</v>
      </c>
      <c r="G254" t="e">
        <f>Stock!T337+"'E4!/8g"</f>
        <v>#VALUE!</v>
      </c>
      <c r="H254" t="e">
        <f>Stock!U337+"'E4!/8h"</f>
        <v>#VALUE!</v>
      </c>
      <c r="I254" t="e">
        <f>Stock!V337+"'E4!/8i"</f>
        <v>#VALUE!</v>
      </c>
      <c r="J254" t="e">
        <f>Stock!W337+"'E4!/8j"</f>
        <v>#VALUE!</v>
      </c>
      <c r="K254" t="e">
        <f>Stock!X337+"'E4!/8k"</f>
        <v>#VALUE!</v>
      </c>
      <c r="L254" t="e">
        <f>Stock!Y337+"'E4!/8l"</f>
        <v>#VALUE!</v>
      </c>
      <c r="M254" t="e">
        <f>Stock!N338+"'E4!/8m"</f>
        <v>#VALUE!</v>
      </c>
      <c r="N254" t="e">
        <f>Stock!O338+"'E4!/8n"</f>
        <v>#VALUE!</v>
      </c>
      <c r="O254" t="e">
        <f>Stock!P338+"'E4!/8o"</f>
        <v>#VALUE!</v>
      </c>
      <c r="P254" t="e">
        <f>Stock!Q338+"'E4!/8p"</f>
        <v>#VALUE!</v>
      </c>
      <c r="Q254" t="e">
        <f>Stock!R338+"'E4!/8q"</f>
        <v>#VALUE!</v>
      </c>
      <c r="R254" s="333" t="e">
        <f>Stock!S338+"'E4!/8r"</f>
        <v>#VALUE!</v>
      </c>
      <c r="S254" t="e">
        <f>Stock!T338+"'E4!/8s"</f>
        <v>#VALUE!</v>
      </c>
      <c r="T254" t="e">
        <f>Stock!U338+"'E4!/8t"</f>
        <v>#VALUE!</v>
      </c>
      <c r="U254" t="e">
        <f>Stock!V338+"'E4!/8u"</f>
        <v>#VALUE!</v>
      </c>
      <c r="V254" t="e">
        <f>Stock!W338+"'E4!/8v"</f>
        <v>#VALUE!</v>
      </c>
      <c r="W254" t="e">
        <f>Stock!X338+"'E4!/8w"</f>
        <v>#VALUE!</v>
      </c>
      <c r="X254" t="e">
        <f>Stock!Y338+"'E4!/8x"</f>
        <v>#VALUE!</v>
      </c>
      <c r="Y254" t="e">
        <f>Stock!N339+"'E4!/8y"</f>
        <v>#VALUE!</v>
      </c>
      <c r="Z254" t="e">
        <f>Stock!O339+"'E4!/8z"</f>
        <v>#VALUE!</v>
      </c>
      <c r="AA254" t="e">
        <f>Stock!P339+"'E4!/8{"</f>
        <v>#VALUE!</v>
      </c>
      <c r="AB254" t="e">
        <f>Stock!Q339+"'E4!/8|"</f>
        <v>#VALUE!</v>
      </c>
      <c r="AC254" t="e">
        <f>Stock!R339+"'E4!/8}"</f>
        <v>#VALUE!</v>
      </c>
      <c r="AD254" s="333" t="e">
        <f>Stock!S339+"'E4!/8~"</f>
        <v>#VALUE!</v>
      </c>
      <c r="AE254" t="e">
        <f>Stock!T339+"'E4!/9#"</f>
        <v>#VALUE!</v>
      </c>
      <c r="AF254" t="e">
        <f>Stock!U339+"'E4!/9$"</f>
        <v>#VALUE!</v>
      </c>
      <c r="AG254" t="e">
        <f>Stock!V339+"'E4!/9%"</f>
        <v>#VALUE!</v>
      </c>
      <c r="AH254" t="e">
        <f>Stock!W339+"'E4!/9&amp;"</f>
        <v>#VALUE!</v>
      </c>
      <c r="AI254" t="e">
        <f>Stock!X339+"'E4!/9'"</f>
        <v>#VALUE!</v>
      </c>
      <c r="AJ254" t="e">
        <f>Stock!Y339+"'E4!/9("</f>
        <v>#VALUE!</v>
      </c>
      <c r="AK254" t="e">
        <f>Stock!N340+"'E4!/9)"</f>
        <v>#VALUE!</v>
      </c>
      <c r="AL254" t="e">
        <f>Stock!O340+"'E4!/9."</f>
        <v>#VALUE!</v>
      </c>
      <c r="AM254" t="e">
        <f>Stock!P340+"'E4!/9/"</f>
        <v>#VALUE!</v>
      </c>
      <c r="AN254" t="e">
        <f>Stock!Q340+"'E4!/90"</f>
        <v>#VALUE!</v>
      </c>
      <c r="AO254" t="e">
        <f>Stock!R340+"'E4!/91"</f>
        <v>#VALUE!</v>
      </c>
      <c r="AP254" s="333" t="e">
        <f>Stock!S340+"'E4!/92"</f>
        <v>#VALUE!</v>
      </c>
      <c r="AQ254" t="e">
        <f>Stock!T340+"'E4!/93"</f>
        <v>#VALUE!</v>
      </c>
      <c r="AR254" t="e">
        <f>Stock!U340+"'E4!/94"</f>
        <v>#VALUE!</v>
      </c>
      <c r="AS254" t="e">
        <f>Stock!V340+"'E4!/95"</f>
        <v>#VALUE!</v>
      </c>
      <c r="AT254" t="e">
        <f>Stock!W340+"'E4!/96"</f>
        <v>#VALUE!</v>
      </c>
      <c r="AU254" t="e">
        <f>Stock!X340+"'E4!/97"</f>
        <v>#VALUE!</v>
      </c>
      <c r="AV254" t="e">
        <f>Stock!Y340+"'E4!/98"</f>
        <v>#VALUE!</v>
      </c>
      <c r="AW254" t="e">
        <f>Stock!N341+"'E4!/99"</f>
        <v>#VALUE!</v>
      </c>
      <c r="AX254" t="e">
        <f>Stock!O341+"'E4!/9:"</f>
        <v>#VALUE!</v>
      </c>
      <c r="AY254" t="e">
        <f>Stock!P341+"'E4!/9;"</f>
        <v>#VALUE!</v>
      </c>
      <c r="AZ254" t="e">
        <f>Stock!Q341+"'E4!/9&lt;"</f>
        <v>#VALUE!</v>
      </c>
      <c r="BA254" t="e">
        <f>Stock!R341+"'E4!/9="</f>
        <v>#VALUE!</v>
      </c>
      <c r="BB254" s="333" t="e">
        <f>Stock!S341+"'E4!/9&gt;"</f>
        <v>#VALUE!</v>
      </c>
      <c r="BC254" s="333" t="e">
        <f>Stock!T341+"'E4!/9?"</f>
        <v>#VALUE!</v>
      </c>
      <c r="BD254" t="e">
        <f>Stock!U341+"'E4!/9@"</f>
        <v>#VALUE!</v>
      </c>
      <c r="BE254" t="e">
        <f>Stock!V341+"'E4!/9A"</f>
        <v>#VALUE!</v>
      </c>
      <c r="BF254" t="e">
        <f>Stock!W341+"'E4!/9B"</f>
        <v>#VALUE!</v>
      </c>
      <c r="BG254" t="e">
        <f>Stock!X341+"'E4!/9C"</f>
        <v>#VALUE!</v>
      </c>
      <c r="BH254" t="e">
        <f>Stock!Y341+"'E4!/9D"</f>
        <v>#VALUE!</v>
      </c>
      <c r="BI254" t="e">
        <f>Stock!N342+"'E4!/9E"</f>
        <v>#VALUE!</v>
      </c>
      <c r="BJ254" t="e">
        <f>Stock!O342+"'E4!/9F"</f>
        <v>#VALUE!</v>
      </c>
      <c r="BK254" t="e">
        <f>Stock!P342+"'E4!/9G"</f>
        <v>#VALUE!</v>
      </c>
      <c r="BL254" t="e">
        <f>Stock!Q342+"'E4!/9H"</f>
        <v>#VALUE!</v>
      </c>
      <c r="BM254" t="e">
        <f>Stock!R342+"'E4!/9I"</f>
        <v>#VALUE!</v>
      </c>
      <c r="BN254" s="333" t="e">
        <f>Stock!S342+"'E4!/9J"</f>
        <v>#VALUE!</v>
      </c>
      <c r="BO254" s="333" t="e">
        <f>Stock!T342+"'E4!/9K"</f>
        <v>#VALUE!</v>
      </c>
      <c r="BP254" t="e">
        <f>Stock!U342+"'E4!/9L"</f>
        <v>#VALUE!</v>
      </c>
      <c r="BQ254" t="e">
        <f>Stock!V342+"'E4!/9M"</f>
        <v>#VALUE!</v>
      </c>
      <c r="BR254" t="e">
        <f>Stock!X342+"'E4!/9N"</f>
        <v>#VALUE!</v>
      </c>
      <c r="BS254" t="e">
        <f>Stock!Y342+"'E4!/9O"</f>
        <v>#VALUE!</v>
      </c>
      <c r="BT254" t="e">
        <f>Stock!N343+"'E4!/9P"</f>
        <v>#VALUE!</v>
      </c>
      <c r="BU254" t="e">
        <f>Stock!O343+"'E4!/9Q"</f>
        <v>#VALUE!</v>
      </c>
      <c r="BV254" t="e">
        <f>Stock!P343+"'E4!/9R"</f>
        <v>#VALUE!</v>
      </c>
      <c r="BW254" t="e">
        <f>Stock!Q343+"'E4!/9S"</f>
        <v>#VALUE!</v>
      </c>
      <c r="BX254" t="e">
        <f>Stock!R343+"'E4!/9T"</f>
        <v>#VALUE!</v>
      </c>
      <c r="BY254" s="333" t="e">
        <f>Stock!S343+"'E4!/9U"</f>
        <v>#VALUE!</v>
      </c>
      <c r="BZ254" s="333" t="e">
        <f>Stock!T343+"'E4!/9V"</f>
        <v>#VALUE!</v>
      </c>
      <c r="CA254" t="e">
        <f>Stock!U343+"'E4!/9W"</f>
        <v>#VALUE!</v>
      </c>
      <c r="CB254" t="e">
        <f>Stock!V343+"'E4!/9X"</f>
        <v>#VALUE!</v>
      </c>
      <c r="CC254" t="e">
        <f>Stock!X343+"'E4!/9Y"</f>
        <v>#VALUE!</v>
      </c>
      <c r="CD254" t="e">
        <f>Stock!Y343+"'E4!/9Z"</f>
        <v>#VALUE!</v>
      </c>
      <c r="CE254" t="e">
        <f>Stock!N344+"'E4!/9["</f>
        <v>#VALUE!</v>
      </c>
      <c r="CF254" t="e">
        <f>Stock!O344+"'E4!/9\"</f>
        <v>#VALUE!</v>
      </c>
      <c r="CG254" t="e">
        <f>Stock!P344+"'E4!/9]"</f>
        <v>#VALUE!</v>
      </c>
      <c r="CH254" t="e">
        <f>Stock!Q344+"'E4!/9^"</f>
        <v>#VALUE!</v>
      </c>
      <c r="CI254" t="e">
        <f>Stock!R344+"'E4!/9_"</f>
        <v>#VALUE!</v>
      </c>
      <c r="CJ254" s="333" t="e">
        <f>Stock!S344+"'E4!/9`"</f>
        <v>#VALUE!</v>
      </c>
      <c r="CK254" s="333" t="e">
        <f>Stock!T344+"'E4!/9a"</f>
        <v>#VALUE!</v>
      </c>
      <c r="CL254" t="e">
        <f>Stock!U344+"'E4!/9b"</f>
        <v>#VALUE!</v>
      </c>
      <c r="CM254" t="e">
        <f>Stock!V344+"'E4!/9c"</f>
        <v>#VALUE!</v>
      </c>
      <c r="CN254" t="e">
        <f>Stock!X344+"'E4!/9d"</f>
        <v>#VALUE!</v>
      </c>
      <c r="CO254" t="e">
        <f>Stock!Y344+"'E4!/9e"</f>
        <v>#VALUE!</v>
      </c>
      <c r="CP254" t="e">
        <f>Stock!N345+"'E4!/9f"</f>
        <v>#VALUE!</v>
      </c>
      <c r="CQ254" t="e">
        <f>Stock!O345+"'E4!/9g"</f>
        <v>#VALUE!</v>
      </c>
      <c r="CR254" t="e">
        <f>Stock!P345+"'E4!/9h"</f>
        <v>#VALUE!</v>
      </c>
      <c r="CS254" t="e">
        <f>Stock!Q345+"'E4!/9i"</f>
        <v>#VALUE!</v>
      </c>
      <c r="CT254" t="e">
        <f>Stock!R345+"'E4!/9j"</f>
        <v>#VALUE!</v>
      </c>
      <c r="CU254" s="333" t="e">
        <f>Stock!S345+"'E4!/9k"</f>
        <v>#VALUE!</v>
      </c>
      <c r="CV254" s="333" t="e">
        <f>Stock!T345+"'E4!/9l"</f>
        <v>#VALUE!</v>
      </c>
      <c r="CW254" t="e">
        <f>Stock!U345+"'E4!/9m"</f>
        <v>#VALUE!</v>
      </c>
      <c r="CX254" t="e">
        <f>Stock!V345+"'E4!/9n"</f>
        <v>#VALUE!</v>
      </c>
      <c r="CY254" t="e">
        <f>Stock!X345+"'E4!/9o"</f>
        <v>#VALUE!</v>
      </c>
      <c r="CZ254" t="e">
        <f>Stock!Y345+"'E4!/9p"</f>
        <v>#VALUE!</v>
      </c>
      <c r="DA254" t="e">
        <f>Stock!N346+"'E4!/9q"</f>
        <v>#VALUE!</v>
      </c>
      <c r="DB254" t="e">
        <f>Stock!O346+"'E4!/9r"</f>
        <v>#VALUE!</v>
      </c>
      <c r="DC254" t="e">
        <f>Stock!P346+"'E4!/9s"</f>
        <v>#VALUE!</v>
      </c>
      <c r="DD254" t="e">
        <f>Stock!Q346+"'E4!/9t"</f>
        <v>#VALUE!</v>
      </c>
      <c r="DE254" t="e">
        <f>Stock!R346+"'E4!/9u"</f>
        <v>#VALUE!</v>
      </c>
      <c r="DF254" s="333" t="e">
        <f>Stock!S346+"'E4!/9v"</f>
        <v>#VALUE!</v>
      </c>
      <c r="DG254" s="333" t="e">
        <f>Stock!T346+"'E4!/9w"</f>
        <v>#VALUE!</v>
      </c>
      <c r="DH254" t="e">
        <f>Stock!U346+"'E4!/9x"</f>
        <v>#VALUE!</v>
      </c>
      <c r="DI254" t="e">
        <f>Stock!V346+"'E4!/9y"</f>
        <v>#VALUE!</v>
      </c>
      <c r="DJ254" t="e">
        <f>Stock!X346+"'E4!/9z"</f>
        <v>#VALUE!</v>
      </c>
      <c r="DK254" t="e">
        <f>Stock!Y346+"'E4!/9{"</f>
        <v>#VALUE!</v>
      </c>
      <c r="DL254" t="e">
        <f>Stock!N347+"'E4!/9|"</f>
        <v>#VALUE!</v>
      </c>
      <c r="DM254" t="e">
        <f>Stock!O347+"'E4!/9}"</f>
        <v>#VALUE!</v>
      </c>
      <c r="DN254" t="e">
        <f>Stock!P347+"'E4!/9~"</f>
        <v>#VALUE!</v>
      </c>
      <c r="DO254" t="e">
        <f>Stock!Q347+"'E4!/:#"</f>
        <v>#VALUE!</v>
      </c>
      <c r="DP254" t="e">
        <f>Stock!R347+"'E4!/:$"</f>
        <v>#VALUE!</v>
      </c>
      <c r="DQ254" s="333" t="e">
        <f>Stock!S347+"'E4!/:%"</f>
        <v>#VALUE!</v>
      </c>
      <c r="DR254" s="333" t="e">
        <f>Stock!T347+"'E4!/:&amp;"</f>
        <v>#VALUE!</v>
      </c>
      <c r="DS254" t="e">
        <f>Stock!U347+"'E4!/:'"</f>
        <v>#VALUE!</v>
      </c>
      <c r="DT254" t="e">
        <f>Stock!V347+"'E4!/:("</f>
        <v>#VALUE!</v>
      </c>
      <c r="DU254" t="e">
        <f>Stock!X347+"'E4!/:)"</f>
        <v>#VALUE!</v>
      </c>
      <c r="DV254" t="e">
        <f>Stock!Y347+"'E4!/:."</f>
        <v>#VALUE!</v>
      </c>
      <c r="DW254" t="e">
        <f>Stock!N348+"'E4!/:/"</f>
        <v>#VALUE!</v>
      </c>
      <c r="DX254" t="e">
        <f>Stock!O348+"'E4!/:0"</f>
        <v>#VALUE!</v>
      </c>
      <c r="DY254" t="e">
        <f>Stock!P348+"'E4!/:1"</f>
        <v>#VALUE!</v>
      </c>
      <c r="DZ254" t="e">
        <f>Stock!Q348+"'E4!/:2"</f>
        <v>#VALUE!</v>
      </c>
      <c r="EA254" t="e">
        <f>Stock!R348+"'E4!/:3"</f>
        <v>#VALUE!</v>
      </c>
      <c r="EB254" s="333" t="e">
        <f>Stock!S348+"'E4!/:4"</f>
        <v>#VALUE!</v>
      </c>
      <c r="EC254" s="333" t="e">
        <f>Stock!T348+"'E4!/:5"</f>
        <v>#VALUE!</v>
      </c>
      <c r="ED254" t="e">
        <f>Stock!U348+"'E4!/:6"</f>
        <v>#VALUE!</v>
      </c>
      <c r="EE254" t="e">
        <f>Stock!V348+"'E4!/:7"</f>
        <v>#VALUE!</v>
      </c>
      <c r="EF254" t="e">
        <f>Stock!X348+"'E4!/:8"</f>
        <v>#VALUE!</v>
      </c>
      <c r="EG254" t="e">
        <f>Stock!Y348+"'E4!/:9"</f>
        <v>#VALUE!</v>
      </c>
      <c r="EH254" t="e">
        <f>Stock!N349+"'E4!/::"</f>
        <v>#VALUE!</v>
      </c>
      <c r="EI254" t="e">
        <f>Stock!O349+"'E4!/:;"</f>
        <v>#VALUE!</v>
      </c>
      <c r="EJ254" t="e">
        <f>Stock!P349+"'E4!/:&lt;"</f>
        <v>#VALUE!</v>
      </c>
      <c r="EK254" t="e">
        <f>Stock!Q349+"'E4!/:="</f>
        <v>#VALUE!</v>
      </c>
      <c r="EL254" t="e">
        <f>Stock!R349+"'E4!/:&gt;"</f>
        <v>#VALUE!</v>
      </c>
      <c r="EM254" s="333" t="e">
        <f>Stock!S349+"'E4!/:?"</f>
        <v>#VALUE!</v>
      </c>
      <c r="EN254" s="333" t="e">
        <f>Stock!T349+"'E4!/:@"</f>
        <v>#VALUE!</v>
      </c>
      <c r="EO254" t="e">
        <f>Stock!U349+"'E4!/:A"</f>
        <v>#VALUE!</v>
      </c>
      <c r="EP254" t="e">
        <f>Stock!V349+"'E4!/:B"</f>
        <v>#VALUE!</v>
      </c>
      <c r="EQ254" t="e">
        <f>Stock!X349+"'E4!/:C"</f>
        <v>#VALUE!</v>
      </c>
      <c r="ER254" t="e">
        <f>Stock!Y349+"'E4!/:D"</f>
        <v>#VALUE!</v>
      </c>
      <c r="ES254" t="e">
        <f>Stock!N350+"'E4!/:E"</f>
        <v>#VALUE!</v>
      </c>
      <c r="ET254" t="e">
        <f>Stock!O350+"'E4!/:F"</f>
        <v>#VALUE!</v>
      </c>
      <c r="EU254" t="e">
        <f>Stock!P350+"'E4!/:G"</f>
        <v>#VALUE!</v>
      </c>
      <c r="EV254" t="e">
        <f>Stock!Q350+"'E4!/:H"</f>
        <v>#VALUE!</v>
      </c>
      <c r="EW254" t="e">
        <f>Stock!R350+"'E4!/:I"</f>
        <v>#VALUE!</v>
      </c>
      <c r="EX254" s="333" t="e">
        <f>Stock!S350+"'E4!/:J"</f>
        <v>#VALUE!</v>
      </c>
      <c r="EY254" s="333" t="e">
        <f>Stock!T350+"'E4!/:K"</f>
        <v>#VALUE!</v>
      </c>
      <c r="EZ254" t="e">
        <f>Stock!U350+"'E4!/:L"</f>
        <v>#VALUE!</v>
      </c>
      <c r="FA254" t="e">
        <f>Stock!V350+"'E4!/:M"</f>
        <v>#VALUE!</v>
      </c>
      <c r="FB254" t="e">
        <f>Stock!X350+"'E4!/:N"</f>
        <v>#VALUE!</v>
      </c>
      <c r="FC254" t="e">
        <f>Stock!Y350+"'E4!/:O"</f>
        <v>#VALUE!</v>
      </c>
      <c r="FD254" t="e">
        <f>Stock!N351+"'E4!/:P"</f>
        <v>#VALUE!</v>
      </c>
      <c r="FE254" t="e">
        <f>Stock!O351+"'E4!/:Q"</f>
        <v>#VALUE!</v>
      </c>
      <c r="FF254" t="e">
        <f>Stock!P351+"'E4!/:R"</f>
        <v>#VALUE!</v>
      </c>
      <c r="FG254" t="e">
        <f>Stock!Q351+"'E4!/:S"</f>
        <v>#VALUE!</v>
      </c>
      <c r="FH254" t="e">
        <f>Stock!R351+"'E4!/:T"</f>
        <v>#VALUE!</v>
      </c>
      <c r="FI254" s="333" t="e">
        <f>Stock!S351+"'E4!/:U"</f>
        <v>#VALUE!</v>
      </c>
      <c r="FJ254" s="333" t="e">
        <f>Stock!T351+"'E4!/:V"</f>
        <v>#VALUE!</v>
      </c>
      <c r="FK254" t="e">
        <f>Stock!U351+"'E4!/:W"</f>
        <v>#VALUE!</v>
      </c>
      <c r="FL254" t="e">
        <f>Stock!V351+"'E4!/:X"</f>
        <v>#VALUE!</v>
      </c>
      <c r="FM254" t="e">
        <f>Stock!X351+"'E4!/:Y"</f>
        <v>#VALUE!</v>
      </c>
      <c r="FN254" t="e">
        <f>Stock!Y351+"'E4!/:Z"</f>
        <v>#VALUE!</v>
      </c>
      <c r="FO254" t="e">
        <f>Stock!N352+"'E4!/:["</f>
        <v>#VALUE!</v>
      </c>
      <c r="FP254" t="e">
        <f>Stock!O352+"'E4!/:\"</f>
        <v>#VALUE!</v>
      </c>
      <c r="FQ254" t="e">
        <f>Stock!P352+"'E4!/:]"</f>
        <v>#VALUE!</v>
      </c>
      <c r="FR254" t="e">
        <f>Stock!Q352+"'E4!/:^"</f>
        <v>#VALUE!</v>
      </c>
      <c r="FS254" t="e">
        <f>Stock!R352+"'E4!/:_"</f>
        <v>#VALUE!</v>
      </c>
      <c r="FT254" s="333" t="e">
        <f>Stock!S352+"'E4!/:`"</f>
        <v>#VALUE!</v>
      </c>
      <c r="FU254" s="333" t="e">
        <f>Stock!T352+"'E4!/:a"</f>
        <v>#VALUE!</v>
      </c>
      <c r="FV254" t="e">
        <f>Stock!U352+"'E4!/:b"</f>
        <v>#VALUE!</v>
      </c>
      <c r="FW254" t="e">
        <f>Stock!V352+"'E4!/:c"</f>
        <v>#VALUE!</v>
      </c>
      <c r="FX254" t="e">
        <f>Stock!X352+"'E4!/:d"</f>
        <v>#VALUE!</v>
      </c>
      <c r="FY254" t="e">
        <f>Stock!Y352+"'E4!/:e"</f>
        <v>#VALUE!</v>
      </c>
      <c r="FZ254" t="e">
        <f>Stock!N353+"'E4!/:f"</f>
        <v>#VALUE!</v>
      </c>
      <c r="GA254" t="e">
        <f>Stock!O353+"'E4!/:g"</f>
        <v>#VALUE!</v>
      </c>
      <c r="GB254" t="e">
        <f>Stock!P353+"'E4!/:h"</f>
        <v>#VALUE!</v>
      </c>
      <c r="GC254" t="e">
        <f>Stock!Q353+"'E4!/:i"</f>
        <v>#VALUE!</v>
      </c>
      <c r="GD254" t="e">
        <f>Stock!R353+"'E4!/:j"</f>
        <v>#VALUE!</v>
      </c>
      <c r="GE254" s="333" t="e">
        <f>Stock!S353+"'E4!/:k"</f>
        <v>#VALUE!</v>
      </c>
      <c r="GF254" s="333" t="e">
        <f>Stock!T353+"'E4!/:l"</f>
        <v>#VALUE!</v>
      </c>
      <c r="GG254" t="e">
        <f>Stock!U353+"'E4!/:m"</f>
        <v>#VALUE!</v>
      </c>
      <c r="GH254" t="e">
        <f>Stock!V353+"'E4!/:n"</f>
        <v>#VALUE!</v>
      </c>
      <c r="GI254" t="e">
        <f>Stock!X353+"'E4!/:o"</f>
        <v>#VALUE!</v>
      </c>
      <c r="GJ254" t="e">
        <f>Stock!Y353+"'E4!/:p"</f>
        <v>#VALUE!</v>
      </c>
      <c r="GK254" t="e">
        <f>Stock!N354+"'E4!/:q"</f>
        <v>#VALUE!</v>
      </c>
      <c r="GL254" t="e">
        <f>Stock!O354+"'E4!/:r"</f>
        <v>#VALUE!</v>
      </c>
      <c r="GM254" t="e">
        <f>Stock!P354+"'E4!/:s"</f>
        <v>#VALUE!</v>
      </c>
      <c r="GN254" t="e">
        <f>Stock!Q354+"'E4!/:t"</f>
        <v>#VALUE!</v>
      </c>
      <c r="GO254" t="e">
        <f>Stock!R354+"'E4!/:u"</f>
        <v>#VALUE!</v>
      </c>
      <c r="GP254" s="333" t="e">
        <f>Stock!S354+"'E4!/:v"</f>
        <v>#VALUE!</v>
      </c>
      <c r="GQ254" s="333" t="e">
        <f>Stock!T354+"'E4!/:w"</f>
        <v>#VALUE!</v>
      </c>
      <c r="GR254" t="e">
        <f>Stock!U354+"'E4!/:x"</f>
        <v>#VALUE!</v>
      </c>
      <c r="GS254" t="e">
        <f>Stock!V354+"'E4!/:y"</f>
        <v>#VALUE!</v>
      </c>
      <c r="GT254" t="e">
        <f>Stock!X354+"'E4!/:z"</f>
        <v>#VALUE!</v>
      </c>
      <c r="GU254" t="e">
        <f>Stock!Y354+"'E4!/:{"</f>
        <v>#VALUE!</v>
      </c>
      <c r="GV254" t="e">
        <f>Stock!N355+"'E4!/:|"</f>
        <v>#VALUE!</v>
      </c>
      <c r="GW254" t="e">
        <f>Stock!O355+"'E4!/:}"</f>
        <v>#VALUE!</v>
      </c>
      <c r="GX254" t="e">
        <f>Stock!P355+"'E4!/:~"</f>
        <v>#VALUE!</v>
      </c>
      <c r="GY254" t="e">
        <f>Stock!Q355+"'E4!/;#"</f>
        <v>#VALUE!</v>
      </c>
      <c r="GZ254" t="e">
        <f>Stock!R355+"'E4!/;$"</f>
        <v>#VALUE!</v>
      </c>
      <c r="HA254" s="333" t="e">
        <f>Stock!S355+"'E4!/;%"</f>
        <v>#VALUE!</v>
      </c>
      <c r="HB254" s="333" t="e">
        <f>Stock!T355+"'E4!/;&amp;"</f>
        <v>#VALUE!</v>
      </c>
      <c r="HC254" t="e">
        <f>Stock!U355+"'E4!/;'"</f>
        <v>#VALUE!</v>
      </c>
      <c r="HD254" t="e">
        <f>Stock!V355+"'E4!/;("</f>
        <v>#VALUE!</v>
      </c>
      <c r="HE254" t="e">
        <f>Stock!X355+"'E4!/;)"</f>
        <v>#VALUE!</v>
      </c>
      <c r="HF254" t="e">
        <f>Stock!Y355+"'E4!/;."</f>
        <v>#VALUE!</v>
      </c>
      <c r="HG254" t="e">
        <f>Stock!N356+"'E4!/;/"</f>
        <v>#VALUE!</v>
      </c>
      <c r="HH254" t="e">
        <f>Stock!O356+"'E4!/;0"</f>
        <v>#VALUE!</v>
      </c>
      <c r="HI254" t="e">
        <f>Stock!P356+"'E4!/;1"</f>
        <v>#VALUE!</v>
      </c>
      <c r="HJ254" t="e">
        <f>Stock!Q356+"'E4!/;2"</f>
        <v>#VALUE!</v>
      </c>
      <c r="HK254" t="e">
        <f>Stock!R356+"'E4!/;3"</f>
        <v>#VALUE!</v>
      </c>
      <c r="HL254" s="333" t="e">
        <f>Stock!S356+"'E4!/;4"</f>
        <v>#VALUE!</v>
      </c>
      <c r="HM254" t="e">
        <f>Stock!T356+"'E4!/;5"</f>
        <v>#VALUE!</v>
      </c>
      <c r="HN254" t="e">
        <f>Stock!U356+"'E4!/;6"</f>
        <v>#VALUE!</v>
      </c>
      <c r="HO254" t="e">
        <f>Stock!V356+"'E4!/;7"</f>
        <v>#VALUE!</v>
      </c>
      <c r="HP254" t="e">
        <f>Stock!W356+"'E4!/;8"</f>
        <v>#VALUE!</v>
      </c>
      <c r="HQ254" t="e">
        <f>Stock!X356+"'E4!/;9"</f>
        <v>#VALUE!</v>
      </c>
      <c r="HR254" t="e">
        <f>Stock!Y356+"'E4!/;:"</f>
        <v>#VALUE!</v>
      </c>
      <c r="HS254" t="e">
        <f>Stock!N357+"'E4!/;;"</f>
        <v>#VALUE!</v>
      </c>
      <c r="HT254" t="e">
        <f>Stock!O357+"'E4!/;&lt;"</f>
        <v>#VALUE!</v>
      </c>
      <c r="HU254" t="e">
        <f>Stock!P357+"'E4!/;="</f>
        <v>#VALUE!</v>
      </c>
      <c r="HV254" t="e">
        <f>Stock!Q357+"'E4!/;&gt;"</f>
        <v>#VALUE!</v>
      </c>
      <c r="HW254" t="e">
        <f>Stock!R357+"'E4!/;?"</f>
        <v>#VALUE!</v>
      </c>
      <c r="HX254" s="333" t="e">
        <f>Stock!S357+"'E4!/;@"</f>
        <v>#VALUE!</v>
      </c>
      <c r="HY254" s="333" t="e">
        <f>Stock!T357+"'E4!/;A"</f>
        <v>#VALUE!</v>
      </c>
      <c r="HZ254" t="e">
        <f>Stock!U357+"'E4!/;B"</f>
        <v>#VALUE!</v>
      </c>
      <c r="IA254" t="e">
        <f>Stock!V357+"'E4!/;C"</f>
        <v>#VALUE!</v>
      </c>
      <c r="IB254" t="e">
        <f>Stock!X357+"'E4!/;D"</f>
        <v>#VALUE!</v>
      </c>
      <c r="IC254" t="e">
        <f>Stock!Y357+"'E4!/;E"</f>
        <v>#VALUE!</v>
      </c>
      <c r="ID254" t="e">
        <f>Stock!N358+"'E4!/;F"</f>
        <v>#VALUE!</v>
      </c>
      <c r="IE254" t="e">
        <f>Stock!O358+"'E4!/;G"</f>
        <v>#VALUE!</v>
      </c>
      <c r="IF254" t="e">
        <f>Stock!P358+"'E4!/;H"</f>
        <v>#VALUE!</v>
      </c>
      <c r="IG254" t="e">
        <f>Stock!Q358+"'E4!/;I"</f>
        <v>#VALUE!</v>
      </c>
      <c r="IH254" t="e">
        <f>Stock!R358+"'E4!/;J"</f>
        <v>#VALUE!</v>
      </c>
      <c r="II254" s="333" t="e">
        <f>Stock!S358+"'E4!/;K"</f>
        <v>#VALUE!</v>
      </c>
      <c r="IJ254" s="333" t="e">
        <f>Stock!T358+"'E4!/;L"</f>
        <v>#VALUE!</v>
      </c>
      <c r="IK254" t="e">
        <f>Stock!U358+"'E4!/;M"</f>
        <v>#VALUE!</v>
      </c>
      <c r="IL254" t="e">
        <f>Stock!V358+"'E4!/;N"</f>
        <v>#VALUE!</v>
      </c>
      <c r="IM254" t="e">
        <f>Stock!X358+"'E4!/;O"</f>
        <v>#VALUE!</v>
      </c>
      <c r="IN254" t="e">
        <f>Stock!Y358+"'E4!/;P"</f>
        <v>#VALUE!</v>
      </c>
      <c r="IO254" t="e">
        <f>Stock!N359+"'E4!/;Q"</f>
        <v>#VALUE!</v>
      </c>
      <c r="IP254" t="e">
        <f>Stock!O359+"'E4!/;R"</f>
        <v>#VALUE!</v>
      </c>
      <c r="IQ254" t="e">
        <f>Stock!P359+"'E4!/;S"</f>
        <v>#VALUE!</v>
      </c>
      <c r="IR254" t="e">
        <f>Stock!Q359+"'E4!/;T"</f>
        <v>#VALUE!</v>
      </c>
      <c r="IS254" t="e">
        <f>Stock!R359+"'E4!/;U"</f>
        <v>#VALUE!</v>
      </c>
      <c r="IT254" s="333" t="e">
        <f>Stock!S359+"'E4!/;V"</f>
        <v>#VALUE!</v>
      </c>
      <c r="IU254" s="333" t="e">
        <f>Stock!T359+"'E4!/;W"</f>
        <v>#VALUE!</v>
      </c>
      <c r="IV254" t="e">
        <f>Stock!U359+"'E4!/;X"</f>
        <v>#VALUE!</v>
      </c>
    </row>
    <row r="255" spans="6:256">
      <c r="F255" t="e">
        <f>Stock!V359+"'E4!/;Y"</f>
        <v>#VALUE!</v>
      </c>
      <c r="G255" t="e">
        <f>Stock!X359+"'E4!/;Z"</f>
        <v>#VALUE!</v>
      </c>
      <c r="H255" t="e">
        <f>Stock!Y359+"'E4!/;["</f>
        <v>#VALUE!</v>
      </c>
      <c r="I255" t="e">
        <f>Stock!N360+"'E4!/;\"</f>
        <v>#VALUE!</v>
      </c>
      <c r="J255" t="e">
        <f>Stock!O360+"'E4!/;]"</f>
        <v>#VALUE!</v>
      </c>
      <c r="K255" t="e">
        <f>Stock!P360+"'E4!/;^"</f>
        <v>#VALUE!</v>
      </c>
      <c r="L255" t="e">
        <f>Stock!Q360+"'E4!/;_"</f>
        <v>#VALUE!</v>
      </c>
      <c r="M255" t="e">
        <f>Stock!R360+"'E4!/;`"</f>
        <v>#VALUE!</v>
      </c>
      <c r="N255" s="333" t="e">
        <f>Stock!S360+"'E4!/;a"</f>
        <v>#VALUE!</v>
      </c>
      <c r="O255" s="333" t="e">
        <f>Stock!T360+"'E4!/;b"</f>
        <v>#VALUE!</v>
      </c>
      <c r="P255" t="e">
        <f>Stock!U360+"'E4!/;c"</f>
        <v>#VALUE!</v>
      </c>
      <c r="Q255" t="e">
        <f>Stock!V360+"'E4!/;d"</f>
        <v>#VALUE!</v>
      </c>
      <c r="R255" t="e">
        <f>Stock!X360+"'E4!/;e"</f>
        <v>#VALUE!</v>
      </c>
      <c r="S255" t="e">
        <f>Stock!Y360+"'E4!/;f"</f>
        <v>#VALUE!</v>
      </c>
      <c r="T255" t="e">
        <f>Stock!N361+"'E4!/;g"</f>
        <v>#VALUE!</v>
      </c>
      <c r="U255" t="e">
        <f>Stock!O361+"'E4!/;h"</f>
        <v>#VALUE!</v>
      </c>
      <c r="V255" t="e">
        <f>Stock!P361+"'E4!/;i"</f>
        <v>#VALUE!</v>
      </c>
      <c r="W255" t="e">
        <f>Stock!Q361+"'E4!/;j"</f>
        <v>#VALUE!</v>
      </c>
      <c r="X255" t="e">
        <f>Stock!R361+"'E4!/;k"</f>
        <v>#VALUE!</v>
      </c>
      <c r="Y255" s="333" t="e">
        <f>Stock!S361+"'E4!/;l"</f>
        <v>#VALUE!</v>
      </c>
      <c r="Z255" s="333" t="e">
        <f>Stock!T361+"'E4!/;m"</f>
        <v>#VALUE!</v>
      </c>
      <c r="AA255" t="e">
        <f>Stock!U361+"'E4!/;n"</f>
        <v>#VALUE!</v>
      </c>
      <c r="AB255" t="e">
        <f>Stock!V361+"'E4!/;o"</f>
        <v>#VALUE!</v>
      </c>
      <c r="AC255" t="e">
        <f>Stock!X361+"'E4!/;p"</f>
        <v>#VALUE!</v>
      </c>
      <c r="AD255" t="e">
        <f>Stock!Y361+"'E4!/;q"</f>
        <v>#VALUE!</v>
      </c>
      <c r="AE255" t="e">
        <f>Stock!N362+"'E4!/;r"</f>
        <v>#VALUE!</v>
      </c>
      <c r="AF255" t="e">
        <f>Stock!O362+"'E4!/;s"</f>
        <v>#VALUE!</v>
      </c>
      <c r="AG255" t="e">
        <f>Stock!P362+"'E4!/;t"</f>
        <v>#VALUE!</v>
      </c>
      <c r="AH255" t="e">
        <f>Stock!Q362+"'E4!/;u"</f>
        <v>#VALUE!</v>
      </c>
      <c r="AI255" t="e">
        <f>Stock!R362+"'E4!/;v"</f>
        <v>#VALUE!</v>
      </c>
      <c r="AJ255" s="333" t="e">
        <f>Stock!S362+"'E4!/;w"</f>
        <v>#VALUE!</v>
      </c>
      <c r="AK255" s="333" t="e">
        <f>Stock!T362+"'E4!/;x"</f>
        <v>#VALUE!</v>
      </c>
      <c r="AL255" t="e">
        <f>Stock!U362+"'E4!/;y"</f>
        <v>#VALUE!</v>
      </c>
      <c r="AM255" t="e">
        <f>Stock!V362+"'E4!/;z"</f>
        <v>#VALUE!</v>
      </c>
      <c r="AN255" t="e">
        <f>Stock!X362+"'E4!/;{"</f>
        <v>#VALUE!</v>
      </c>
      <c r="AO255" t="e">
        <f>Stock!Y362+"'E4!/;|"</f>
        <v>#VALUE!</v>
      </c>
      <c r="AP255" t="e">
        <f>Stock!N363+"'E4!/;}"</f>
        <v>#VALUE!</v>
      </c>
      <c r="AQ255" t="e">
        <f>Stock!O363+"'E4!/;~"</f>
        <v>#VALUE!</v>
      </c>
      <c r="AR255" t="e">
        <f>Stock!P363+"'E4!/&lt;#"</f>
        <v>#VALUE!</v>
      </c>
      <c r="AS255" t="e">
        <f>Stock!Q363+"'E4!/&lt;$"</f>
        <v>#VALUE!</v>
      </c>
      <c r="AT255" t="e">
        <f>Stock!R363+"'E4!/&lt;%"</f>
        <v>#VALUE!</v>
      </c>
      <c r="AU255" s="333" t="e">
        <f>Stock!S363+"'E4!/&lt;&amp;"</f>
        <v>#VALUE!</v>
      </c>
      <c r="AV255" s="333" t="e">
        <f>Stock!T363+"'E4!/&lt;'"</f>
        <v>#VALUE!</v>
      </c>
      <c r="AW255" t="e">
        <f>Stock!U363+"'E4!/&lt;("</f>
        <v>#VALUE!</v>
      </c>
      <c r="AX255" t="e">
        <f>Stock!V363+"'E4!/&lt;)"</f>
        <v>#VALUE!</v>
      </c>
      <c r="AY255" t="e">
        <f>Stock!X363+"'E4!/&lt;."</f>
        <v>#VALUE!</v>
      </c>
      <c r="AZ255" t="e">
        <f>Stock!Y363+"'E4!/&lt;/"</f>
        <v>#VALUE!</v>
      </c>
      <c r="BA255" t="e">
        <f>Stock!N364+"'E4!/&lt;0"</f>
        <v>#VALUE!</v>
      </c>
      <c r="BB255" t="e">
        <f>Stock!O364+"'E4!/&lt;1"</f>
        <v>#VALUE!</v>
      </c>
      <c r="BC255" t="e">
        <f>Stock!P364+"'E4!/&lt;2"</f>
        <v>#VALUE!</v>
      </c>
      <c r="BD255" t="e">
        <f>Stock!Q364+"'E4!/&lt;3"</f>
        <v>#VALUE!</v>
      </c>
      <c r="BE255" t="e">
        <f>Stock!R364+"'E4!/&lt;4"</f>
        <v>#VALUE!</v>
      </c>
      <c r="BF255" s="333" t="e">
        <f>Stock!S364+"'E4!/&lt;5"</f>
        <v>#VALUE!</v>
      </c>
      <c r="BG255" s="333" t="e">
        <f>Stock!T364+"'E4!/&lt;6"</f>
        <v>#VALUE!</v>
      </c>
      <c r="BH255" t="e">
        <f>Stock!U364+"'E4!/&lt;7"</f>
        <v>#VALUE!</v>
      </c>
      <c r="BI255" t="e">
        <f>Stock!V364+"'E4!/&lt;8"</f>
        <v>#VALUE!</v>
      </c>
      <c r="BJ255" t="e">
        <f>Stock!W364+"'E4!/&lt;9"</f>
        <v>#VALUE!</v>
      </c>
      <c r="BK255" t="e">
        <f>Stock!X364+"'E4!/&lt;:"</f>
        <v>#VALUE!</v>
      </c>
      <c r="BL255" t="e">
        <f>Stock!Y364+"'E4!/&lt;;"</f>
        <v>#VALUE!</v>
      </c>
      <c r="BM255" t="e">
        <f>Stock!N365+"'E4!/&lt;&lt;"</f>
        <v>#VALUE!</v>
      </c>
      <c r="BN255" t="e">
        <f>Stock!O365+"'E4!/&lt;="</f>
        <v>#VALUE!</v>
      </c>
      <c r="BO255" t="e">
        <f>Stock!P365+"'E4!/&lt;&gt;"</f>
        <v>#VALUE!</v>
      </c>
      <c r="BP255" t="e">
        <f>Stock!Q365+"'E4!/&lt;?"</f>
        <v>#VALUE!</v>
      </c>
      <c r="BQ255" t="e">
        <f>Stock!R365+"'E4!/&lt;@"</f>
        <v>#VALUE!</v>
      </c>
      <c r="BR255" s="333" t="e">
        <f>Stock!S365+"'E4!/&lt;A"</f>
        <v>#VALUE!</v>
      </c>
      <c r="BS255" s="333" t="e">
        <f>Stock!T365+"'E4!/&lt;B"</f>
        <v>#VALUE!</v>
      </c>
      <c r="BT255" t="e">
        <f>Stock!U365+"'E4!/&lt;C"</f>
        <v>#VALUE!</v>
      </c>
      <c r="BU255" t="e">
        <f>Stock!V365+"'E4!/&lt;D"</f>
        <v>#VALUE!</v>
      </c>
      <c r="BV255" t="e">
        <f>Stock!W365+"'E4!/&lt;E"</f>
        <v>#VALUE!</v>
      </c>
      <c r="BW255" t="e">
        <f>Stock!X365+"'E4!/&lt;F"</f>
        <v>#VALUE!</v>
      </c>
      <c r="BX255" t="e">
        <f>Stock!Y365+"'E4!/&lt;G"</f>
        <v>#VALUE!</v>
      </c>
      <c r="BY255" t="e">
        <f>Stock!N366+"'E4!/&lt;H"</f>
        <v>#VALUE!</v>
      </c>
      <c r="BZ255" t="e">
        <f>Stock!O366+"'E4!/&lt;I"</f>
        <v>#VALUE!</v>
      </c>
      <c r="CA255" t="e">
        <f>Stock!P366+"'E4!/&lt;J"</f>
        <v>#VALUE!</v>
      </c>
      <c r="CB255" t="e">
        <f>Stock!Q366+"'E4!/&lt;K"</f>
        <v>#VALUE!</v>
      </c>
      <c r="CC255" t="e">
        <f>Stock!R366+"'E4!/&lt;L"</f>
        <v>#VALUE!</v>
      </c>
      <c r="CD255" s="333" t="e">
        <f>Stock!S366+"'E4!/&lt;M"</f>
        <v>#VALUE!</v>
      </c>
      <c r="CE255" s="333" t="e">
        <f>Stock!T366+"'E4!/&lt;N"</f>
        <v>#VALUE!</v>
      </c>
      <c r="CF255" t="e">
        <f>Stock!U366+"'E4!/&lt;O"</f>
        <v>#VALUE!</v>
      </c>
      <c r="CG255" t="e">
        <f>Stock!V366+"'E4!/&lt;P"</f>
        <v>#VALUE!</v>
      </c>
      <c r="CH255" t="e">
        <f>Stock!X366+"'E4!/&lt;Q"</f>
        <v>#VALUE!</v>
      </c>
      <c r="CI255" t="e">
        <f>Stock!Y366+"'E4!/&lt;R"</f>
        <v>#VALUE!</v>
      </c>
      <c r="CJ255" t="e">
        <f>Stock!N367+"'E4!/&lt;S"</f>
        <v>#VALUE!</v>
      </c>
      <c r="CK255" t="e">
        <f>Stock!O367+"'E4!/&lt;T"</f>
        <v>#VALUE!</v>
      </c>
      <c r="CL255" t="e">
        <f>Stock!P367+"'E4!/&lt;U"</f>
        <v>#VALUE!</v>
      </c>
      <c r="CM255" t="e">
        <f>Stock!Q367+"'E4!/&lt;V"</f>
        <v>#VALUE!</v>
      </c>
      <c r="CN255" t="e">
        <f>Stock!R367+"'E4!/&lt;W"</f>
        <v>#VALUE!</v>
      </c>
      <c r="CO255" s="333" t="e">
        <f>Stock!S367+"'E4!/&lt;X"</f>
        <v>#VALUE!</v>
      </c>
      <c r="CP255" s="333" t="e">
        <f>Stock!T367+"'E4!/&lt;Y"</f>
        <v>#VALUE!</v>
      </c>
      <c r="CQ255" t="e">
        <f>Stock!U367+"'E4!/&lt;Z"</f>
        <v>#VALUE!</v>
      </c>
      <c r="CR255" t="e">
        <f>Stock!V367+"'E4!/&lt;["</f>
        <v>#VALUE!</v>
      </c>
      <c r="CS255" t="e">
        <f>Stock!X367+"'E4!/&lt;\"</f>
        <v>#VALUE!</v>
      </c>
      <c r="CT255" t="e">
        <f>Stock!Y367+"'E4!/&lt;]"</f>
        <v>#VALUE!</v>
      </c>
      <c r="CU255" t="e">
        <f>Stock!N368+"'E4!/&lt;^"</f>
        <v>#VALUE!</v>
      </c>
      <c r="CV255" t="e">
        <f>Stock!O368+"'E4!/&lt;_"</f>
        <v>#VALUE!</v>
      </c>
      <c r="CW255" t="e">
        <f>Stock!P368+"'E4!/&lt;`"</f>
        <v>#VALUE!</v>
      </c>
      <c r="CX255" t="e">
        <f>Stock!Q368+"'E4!/&lt;a"</f>
        <v>#VALUE!</v>
      </c>
      <c r="CY255" t="e">
        <f>Stock!R368+"'E4!/&lt;b"</f>
        <v>#VALUE!</v>
      </c>
      <c r="CZ255" s="333" t="e">
        <f>Stock!S368+"'E4!/&lt;c"</f>
        <v>#VALUE!</v>
      </c>
      <c r="DA255" s="333" t="e">
        <f>Stock!T368+"'E4!/&lt;d"</f>
        <v>#VALUE!</v>
      </c>
      <c r="DB255" t="e">
        <f>Stock!U368+"'E4!/&lt;e"</f>
        <v>#VALUE!</v>
      </c>
      <c r="DC255" t="e">
        <f>Stock!V368+"'E4!/&lt;f"</f>
        <v>#VALUE!</v>
      </c>
      <c r="DD255" t="e">
        <f>Stock!X368+"'E4!/&lt;g"</f>
        <v>#VALUE!</v>
      </c>
      <c r="DE255" t="e">
        <f>Stock!Y368+"'E4!/&lt;h"</f>
        <v>#VALUE!</v>
      </c>
      <c r="DF255" t="e">
        <f>Stock!N369+"'E4!/&lt;i"</f>
        <v>#VALUE!</v>
      </c>
      <c r="DG255" t="e">
        <f>Stock!O369+"'E4!/&lt;j"</f>
        <v>#VALUE!</v>
      </c>
      <c r="DH255" t="e">
        <f>Stock!P369+"'E4!/&lt;k"</f>
        <v>#VALUE!</v>
      </c>
      <c r="DI255" t="e">
        <f>Stock!Q369+"'E4!/&lt;l"</f>
        <v>#VALUE!</v>
      </c>
      <c r="DJ255" t="e">
        <f>Stock!R369+"'E4!/&lt;m"</f>
        <v>#VALUE!</v>
      </c>
      <c r="DK255" s="333" t="e">
        <f>Stock!S369+"'E4!/&lt;n"</f>
        <v>#VALUE!</v>
      </c>
      <c r="DL255" s="333" t="e">
        <f>Stock!T369+"'E4!/&lt;o"</f>
        <v>#VALUE!</v>
      </c>
      <c r="DM255" t="e">
        <f>Stock!U369+"'E4!/&lt;p"</f>
        <v>#VALUE!</v>
      </c>
      <c r="DN255" t="e">
        <f>Stock!V369+"'E4!/&lt;q"</f>
        <v>#VALUE!</v>
      </c>
      <c r="DO255" t="e">
        <f>Stock!X369+"'E4!/&lt;r"</f>
        <v>#VALUE!</v>
      </c>
      <c r="DP255" t="e">
        <f>Stock!Y369+"'E4!/&lt;s"</f>
        <v>#VALUE!</v>
      </c>
      <c r="DQ255" t="e">
        <f>Stock!N370+"'E4!/&lt;t"</f>
        <v>#VALUE!</v>
      </c>
      <c r="DR255" t="e">
        <f>Stock!O370+"'E4!/&lt;u"</f>
        <v>#VALUE!</v>
      </c>
      <c r="DS255" t="e">
        <f>Stock!P370+"'E4!/&lt;v"</f>
        <v>#VALUE!</v>
      </c>
      <c r="DT255" t="e">
        <f>Stock!Q370+"'E4!/&lt;w"</f>
        <v>#VALUE!</v>
      </c>
      <c r="DU255" t="e">
        <f>Stock!R370+"'E4!/&lt;x"</f>
        <v>#VALUE!</v>
      </c>
      <c r="DV255" s="333" t="e">
        <f>Stock!S370+"'E4!/&lt;y"</f>
        <v>#VALUE!</v>
      </c>
      <c r="DW255" s="333" t="e">
        <f>Stock!T370+"'E4!/&lt;z"</f>
        <v>#VALUE!</v>
      </c>
      <c r="DX255" t="e">
        <f>Stock!U370+"'E4!/&lt;{"</f>
        <v>#VALUE!</v>
      </c>
      <c r="DY255" t="e">
        <f>Stock!V370+"'E4!/&lt;|"</f>
        <v>#VALUE!</v>
      </c>
      <c r="DZ255" t="e">
        <f>Stock!W370+"'E4!/&lt;}"</f>
        <v>#VALUE!</v>
      </c>
      <c r="EA255" t="e">
        <f>Stock!X370+"'E4!/&lt;~"</f>
        <v>#VALUE!</v>
      </c>
      <c r="EB255" t="e">
        <f>Stock!Y370+"'E4!/=#"</f>
        <v>#VALUE!</v>
      </c>
      <c r="EC255" t="e">
        <f>Stock!N371+"'E4!/=$"</f>
        <v>#VALUE!</v>
      </c>
      <c r="ED255" t="e">
        <f>Stock!O371+"'E4!/=%"</f>
        <v>#VALUE!</v>
      </c>
      <c r="EE255" t="e">
        <f>Stock!P371+"'E4!/=&amp;"</f>
        <v>#VALUE!</v>
      </c>
      <c r="EF255" t="e">
        <f>Stock!Q371+"'E4!/='"</f>
        <v>#VALUE!</v>
      </c>
      <c r="EG255" t="e">
        <f>Stock!R371+"'E4!/=("</f>
        <v>#VALUE!</v>
      </c>
      <c r="EH255" s="333" t="e">
        <f>Stock!S371+"'E4!/=)"</f>
        <v>#VALUE!</v>
      </c>
      <c r="EI255" s="333" t="e">
        <f>Stock!T371+"'E4!/=."</f>
        <v>#VALUE!</v>
      </c>
      <c r="EJ255" t="e">
        <f>Stock!U371+"'E4!/=/"</f>
        <v>#VALUE!</v>
      </c>
      <c r="EK255" t="e">
        <f>Stock!V371+"'E4!/=0"</f>
        <v>#VALUE!</v>
      </c>
      <c r="EL255" t="e">
        <f>Stock!W371+"'E4!/=1"</f>
        <v>#VALUE!</v>
      </c>
      <c r="EM255" t="e">
        <f>Stock!X371+"'E4!/=2"</f>
        <v>#VALUE!</v>
      </c>
      <c r="EN255" t="e">
        <f>Stock!Y371+"'E4!/=3"</f>
        <v>#VALUE!</v>
      </c>
      <c r="EO255" t="e">
        <f>Stock!N372+"'E4!/=4"</f>
        <v>#VALUE!</v>
      </c>
      <c r="EP255" t="e">
        <f>Stock!O372+"'E4!/=5"</f>
        <v>#VALUE!</v>
      </c>
      <c r="EQ255" t="e">
        <f>Stock!P372+"'E4!/=6"</f>
        <v>#VALUE!</v>
      </c>
      <c r="ER255" t="e">
        <f>Stock!Q372+"'E4!/=7"</f>
        <v>#VALUE!</v>
      </c>
      <c r="ES255" t="e">
        <f>Stock!R372+"'E4!/=8"</f>
        <v>#VALUE!</v>
      </c>
      <c r="ET255" s="333" t="e">
        <f>Stock!S372+"'E4!/=9"</f>
        <v>#VALUE!</v>
      </c>
      <c r="EU255" s="333" t="e">
        <f>Stock!T372+"'E4!/=:"</f>
        <v>#VALUE!</v>
      </c>
      <c r="EV255" t="e">
        <f>Stock!U372+"'E4!/=;"</f>
        <v>#VALUE!</v>
      </c>
      <c r="EW255" t="e">
        <f>Stock!V372+"'E4!/=&lt;"</f>
        <v>#VALUE!</v>
      </c>
      <c r="EX255" t="e">
        <f>Stock!W372+"'E4!/=="</f>
        <v>#VALUE!</v>
      </c>
      <c r="EY255" t="e">
        <f>Stock!X372+"'E4!/=&gt;"</f>
        <v>#VALUE!</v>
      </c>
      <c r="EZ255" t="e">
        <f>Stock!Y372+"'E4!/=?"</f>
        <v>#VALUE!</v>
      </c>
      <c r="FA255" t="e">
        <f>Stock!N373+"'E4!/=@"</f>
        <v>#VALUE!</v>
      </c>
      <c r="FB255" t="e">
        <f>Stock!O373+"'E4!/=A"</f>
        <v>#VALUE!</v>
      </c>
      <c r="FC255" t="e">
        <f>Stock!P373+"'E4!/=B"</f>
        <v>#VALUE!</v>
      </c>
      <c r="FD255" t="e">
        <f>Stock!Q373+"'E4!/=C"</f>
        <v>#VALUE!</v>
      </c>
      <c r="FE255" t="e">
        <f>Stock!R373+"'E4!/=D"</f>
        <v>#VALUE!</v>
      </c>
      <c r="FF255" s="333" t="e">
        <f>Stock!S373+"'E4!/=E"</f>
        <v>#VALUE!</v>
      </c>
      <c r="FG255" s="333" t="e">
        <f>Stock!T373+"'E4!/=F"</f>
        <v>#VALUE!</v>
      </c>
      <c r="FH255" t="e">
        <f>Stock!U373+"'E4!/=G"</f>
        <v>#VALUE!</v>
      </c>
      <c r="FI255" t="e">
        <f>Stock!V373+"'E4!/=H"</f>
        <v>#VALUE!</v>
      </c>
      <c r="FJ255" t="e">
        <f>Stock!W373+"'E4!/=I"</f>
        <v>#VALUE!</v>
      </c>
      <c r="FK255" t="e">
        <f>Stock!X373+"'E4!/=J"</f>
        <v>#VALUE!</v>
      </c>
      <c r="FL255" t="e">
        <f>Stock!Y373+"'E4!/=K"</f>
        <v>#VALUE!</v>
      </c>
      <c r="FM255" t="e">
        <f>Stock!N374+"'E4!/=L"</f>
        <v>#VALUE!</v>
      </c>
      <c r="FN255" t="e">
        <f>Stock!O374+"'E4!/=M"</f>
        <v>#VALUE!</v>
      </c>
      <c r="FO255" t="e">
        <f>Stock!P374+"'E4!/=N"</f>
        <v>#VALUE!</v>
      </c>
      <c r="FP255" t="e">
        <f>Stock!Q374+"'E4!/=O"</f>
        <v>#VALUE!</v>
      </c>
      <c r="FQ255" t="e">
        <f>Stock!R374+"'E4!/=P"</f>
        <v>#VALUE!</v>
      </c>
      <c r="FR255" s="333" t="e">
        <f>Stock!S374+"'E4!/=Q"</f>
        <v>#VALUE!</v>
      </c>
      <c r="FS255" s="333" t="e">
        <f>Stock!T374+"'E4!/=R"</f>
        <v>#VALUE!</v>
      </c>
      <c r="FT255" t="e">
        <f>Stock!U374+"'E4!/=S"</f>
        <v>#VALUE!</v>
      </c>
      <c r="FU255" t="e">
        <f>Stock!V374+"'E4!/=T"</f>
        <v>#VALUE!</v>
      </c>
      <c r="FV255" t="e">
        <f>Stock!W374+"'E4!/=U"</f>
        <v>#VALUE!</v>
      </c>
      <c r="FW255" t="e">
        <f>Stock!X374+"'E4!/=V"</f>
        <v>#VALUE!</v>
      </c>
      <c r="FX255" t="e">
        <f>Stock!Y374+"'E4!/=W"</f>
        <v>#VALUE!</v>
      </c>
      <c r="FY255" t="e">
        <f>Stock!N375+"'E4!/=X"</f>
        <v>#VALUE!</v>
      </c>
      <c r="FZ255" t="e">
        <f>Stock!O375+"'E4!/=Y"</f>
        <v>#VALUE!</v>
      </c>
      <c r="GA255" t="e">
        <f>Stock!P375+"'E4!/=Z"</f>
        <v>#VALUE!</v>
      </c>
      <c r="GB255" t="e">
        <f>Stock!Q375+"'E4!/=["</f>
        <v>#VALUE!</v>
      </c>
      <c r="GC255" t="e">
        <f>Stock!R375+"'E4!/=\"</f>
        <v>#VALUE!</v>
      </c>
      <c r="GD255" s="333" t="e">
        <f>Stock!S375+"'E4!/=]"</f>
        <v>#VALUE!</v>
      </c>
      <c r="GE255" s="333" t="e">
        <f>Stock!T375+"'E4!/=^"</f>
        <v>#VALUE!</v>
      </c>
      <c r="GF255" t="e">
        <f>Stock!U375+"'E4!/=_"</f>
        <v>#VALUE!</v>
      </c>
      <c r="GG255" t="e">
        <f>Stock!V375+"'E4!/=`"</f>
        <v>#VALUE!</v>
      </c>
      <c r="GH255" t="e">
        <f>Stock!W375+"'E4!/=a"</f>
        <v>#VALUE!</v>
      </c>
      <c r="GI255" t="e">
        <f>Stock!X375+"'E4!/=b"</f>
        <v>#VALUE!</v>
      </c>
      <c r="GJ255" t="e">
        <f>Stock!Y375+"'E4!/=c"</f>
        <v>#VALUE!</v>
      </c>
      <c r="GK255" t="e">
        <f>Stock!N376+"'E4!/=d"</f>
        <v>#VALUE!</v>
      </c>
      <c r="GL255" t="e">
        <f>Stock!O376+"'E4!/=e"</f>
        <v>#VALUE!</v>
      </c>
      <c r="GM255" t="e">
        <f>Stock!P376+"'E4!/=f"</f>
        <v>#VALUE!</v>
      </c>
      <c r="GN255" t="e">
        <f>Stock!Q376+"'E4!/=g"</f>
        <v>#VALUE!</v>
      </c>
      <c r="GO255" t="e">
        <f>Stock!R376+"'E4!/=h"</f>
        <v>#VALUE!</v>
      </c>
      <c r="GP255" s="333" t="e">
        <f>Stock!S376+"'E4!/=i"</f>
        <v>#VALUE!</v>
      </c>
      <c r="GQ255" s="333" t="e">
        <f>Stock!T376+"'E4!/=j"</f>
        <v>#VALUE!</v>
      </c>
      <c r="GR255" t="e">
        <f>Stock!U376+"'E4!/=k"</f>
        <v>#VALUE!</v>
      </c>
      <c r="GS255" t="e">
        <f>Stock!V376+"'E4!/=l"</f>
        <v>#VALUE!</v>
      </c>
      <c r="GT255" t="e">
        <f>Stock!W376+"'E4!/=m"</f>
        <v>#VALUE!</v>
      </c>
      <c r="GU255" t="e">
        <f>Stock!X376+"'E4!/=n"</f>
        <v>#VALUE!</v>
      </c>
      <c r="GV255" t="e">
        <f>Stock!Y376+"'E4!/=o"</f>
        <v>#VALUE!</v>
      </c>
      <c r="GW255" t="e">
        <f>Stock!N377+"'E4!/=p"</f>
        <v>#VALUE!</v>
      </c>
      <c r="GX255" t="e">
        <f>Stock!O377+"'E4!/=q"</f>
        <v>#VALUE!</v>
      </c>
      <c r="GY255" t="e">
        <f>Stock!P377+"'E4!/=r"</f>
        <v>#VALUE!</v>
      </c>
      <c r="GZ255" t="e">
        <f>Stock!Q377+"'E4!/=s"</f>
        <v>#VALUE!</v>
      </c>
      <c r="HA255" t="e">
        <f>Stock!R377+"'E4!/=t"</f>
        <v>#VALUE!</v>
      </c>
      <c r="HB255" s="333" t="e">
        <f>Stock!S377+"'E4!/=u"</f>
        <v>#VALUE!</v>
      </c>
      <c r="HC255" s="333" t="e">
        <f>Stock!T377+"'E4!/=v"</f>
        <v>#VALUE!</v>
      </c>
      <c r="HD255" t="e">
        <f>Stock!U377+"'E4!/=w"</f>
        <v>#VALUE!</v>
      </c>
      <c r="HE255" t="e">
        <f>Stock!V377+"'E4!/=x"</f>
        <v>#VALUE!</v>
      </c>
      <c r="HF255" t="e">
        <f>Stock!W377+"'E4!/=y"</f>
        <v>#VALUE!</v>
      </c>
      <c r="HG255" t="e">
        <f>Stock!X377+"'E4!/=z"</f>
        <v>#VALUE!</v>
      </c>
      <c r="HH255" t="e">
        <f>Stock!Y377+"'E4!/={"</f>
        <v>#VALUE!</v>
      </c>
      <c r="HI255" t="e">
        <f>Stock!N378+"'E4!/=|"</f>
        <v>#VALUE!</v>
      </c>
      <c r="HJ255" t="e">
        <f>Stock!O378+"'E4!/=}"</f>
        <v>#VALUE!</v>
      </c>
      <c r="HK255" t="e">
        <f>Stock!P378+"'E4!/=~"</f>
        <v>#VALUE!</v>
      </c>
      <c r="HL255" t="e">
        <f>Stock!Q378+"'E4!/&gt;#"</f>
        <v>#VALUE!</v>
      </c>
      <c r="HM255" t="e">
        <f>Stock!R378+"'E4!/&gt;$"</f>
        <v>#VALUE!</v>
      </c>
      <c r="HN255" s="333" t="e">
        <f>Stock!S378+"'E4!/&gt;%"</f>
        <v>#VALUE!</v>
      </c>
      <c r="HO255" s="333" t="e">
        <f>Stock!T378+"'E4!/&gt;&amp;"</f>
        <v>#VALUE!</v>
      </c>
      <c r="HP255" t="e">
        <f>Stock!U378+"'E4!/&gt;'"</f>
        <v>#VALUE!</v>
      </c>
      <c r="HQ255" t="e">
        <f>Stock!V378+"'E4!/&gt;("</f>
        <v>#VALUE!</v>
      </c>
      <c r="HR255" t="e">
        <f>Stock!W378+"'E4!/&gt;)"</f>
        <v>#VALUE!</v>
      </c>
      <c r="HS255" t="e">
        <f>Stock!X378+"'E4!/&gt;."</f>
        <v>#VALUE!</v>
      </c>
      <c r="HT255" t="e">
        <f>Stock!Y378+"'E4!/&gt;/"</f>
        <v>#VALUE!</v>
      </c>
      <c r="HU255" t="e">
        <f>Stock!N379+"'E4!/&gt;0"</f>
        <v>#VALUE!</v>
      </c>
      <c r="HV255" t="e">
        <f>Stock!O379+"'E4!/&gt;1"</f>
        <v>#VALUE!</v>
      </c>
      <c r="HW255" t="e">
        <f>Stock!P379+"'E4!/&gt;2"</f>
        <v>#VALUE!</v>
      </c>
      <c r="HX255" t="e">
        <f>Stock!Q379+"'E4!/&gt;3"</f>
        <v>#VALUE!</v>
      </c>
      <c r="HY255" t="e">
        <f>Stock!R379+"'E4!/&gt;4"</f>
        <v>#VALUE!</v>
      </c>
      <c r="HZ255" s="333" t="e">
        <f>Stock!S379+"'E4!/&gt;5"</f>
        <v>#VALUE!</v>
      </c>
      <c r="IA255" s="333" t="e">
        <f>Stock!T379+"'E4!/&gt;6"</f>
        <v>#VALUE!</v>
      </c>
      <c r="IB255" t="e">
        <f>Stock!U379+"'E4!/&gt;7"</f>
        <v>#VALUE!</v>
      </c>
      <c r="IC255" t="e">
        <f>Stock!V379+"'E4!/&gt;8"</f>
        <v>#VALUE!</v>
      </c>
      <c r="ID255" t="e">
        <f>Stock!W379+"'E4!/&gt;9"</f>
        <v>#VALUE!</v>
      </c>
      <c r="IE255" t="e">
        <f>Stock!X379+"'E4!/&gt;:"</f>
        <v>#VALUE!</v>
      </c>
      <c r="IF255" t="e">
        <f>Stock!Y379+"'E4!/&gt;;"</f>
        <v>#VALUE!</v>
      </c>
      <c r="IG255" t="e">
        <f>Stock!N380+"'E4!/&gt;&lt;"</f>
        <v>#VALUE!</v>
      </c>
      <c r="IH255" t="e">
        <f>Stock!O380+"'E4!/&gt;="</f>
        <v>#VALUE!</v>
      </c>
      <c r="II255" t="e">
        <f>Stock!P380+"'E4!/&gt;&gt;"</f>
        <v>#VALUE!</v>
      </c>
      <c r="IJ255" t="e">
        <f>Stock!Q380+"'E4!/&gt;?"</f>
        <v>#VALUE!</v>
      </c>
      <c r="IK255" t="e">
        <f>Stock!R380+"'E4!/&gt;@"</f>
        <v>#VALUE!</v>
      </c>
      <c r="IL255" s="333" t="e">
        <f>Stock!S380+"'E4!/&gt;A"</f>
        <v>#VALUE!</v>
      </c>
      <c r="IM255" s="333" t="e">
        <f>Stock!T380+"'E4!/&gt;B"</f>
        <v>#VALUE!</v>
      </c>
      <c r="IN255" t="e">
        <f>Stock!U380+"'E4!/&gt;C"</f>
        <v>#VALUE!</v>
      </c>
      <c r="IO255" t="e">
        <f>Stock!V380+"'E4!/&gt;D"</f>
        <v>#VALUE!</v>
      </c>
      <c r="IP255" t="e">
        <f>Stock!W380+"'E4!/&gt;E"</f>
        <v>#VALUE!</v>
      </c>
      <c r="IQ255" t="e">
        <f>Stock!X380+"'E4!/&gt;F"</f>
        <v>#VALUE!</v>
      </c>
      <c r="IR255" t="e">
        <f>Stock!Y380+"'E4!/&gt;G"</f>
        <v>#VALUE!</v>
      </c>
      <c r="IS255" t="e">
        <f>Stock!N381+"'E4!/&gt;H"</f>
        <v>#VALUE!</v>
      </c>
      <c r="IT255" t="e">
        <f>Stock!O381+"'E4!/&gt;I"</f>
        <v>#VALUE!</v>
      </c>
      <c r="IU255" t="e">
        <f>Stock!P381+"'E4!/&gt;J"</f>
        <v>#VALUE!</v>
      </c>
      <c r="IV255" t="e">
        <f>Stock!Q381+"'E4!/&gt;K"</f>
        <v>#VALUE!</v>
      </c>
    </row>
    <row r="256" spans="6:256">
      <c r="F256" t="e">
        <f>Stock!R381+"'E4!/&gt;L"</f>
        <v>#VALUE!</v>
      </c>
      <c r="G256" s="333" t="e">
        <f>Stock!S381+"'E4!/&gt;M"</f>
        <v>#VALUE!</v>
      </c>
      <c r="H256" s="333" t="e">
        <f>Stock!T381+"'E4!/&gt;N"</f>
        <v>#VALUE!</v>
      </c>
      <c r="I256" t="e">
        <f>Stock!U381+"'E4!/&gt;O"</f>
        <v>#VALUE!</v>
      </c>
      <c r="J256" t="e">
        <f>Stock!V381+"'E4!/&gt;P"</f>
        <v>#VALUE!</v>
      </c>
      <c r="K256" t="e">
        <f>Stock!W381+"'E4!/&gt;Q"</f>
        <v>#VALUE!</v>
      </c>
      <c r="L256" t="e">
        <f>Stock!X381+"'E4!/&gt;R"</f>
        <v>#VALUE!</v>
      </c>
      <c r="M256" t="e">
        <f>Stock!Y381+"'E4!/&gt;S"</f>
        <v>#VALUE!</v>
      </c>
      <c r="N256" t="e">
        <f>Stock!N382+"'E4!/&gt;T"</f>
        <v>#VALUE!</v>
      </c>
      <c r="O256" t="e">
        <f>Stock!O382+"'E4!/&gt;U"</f>
        <v>#VALUE!</v>
      </c>
      <c r="P256" t="e">
        <f>Stock!P382+"'E4!/&gt;V"</f>
        <v>#VALUE!</v>
      </c>
      <c r="Q256" t="e">
        <f>Stock!Q382+"'E4!/&gt;W"</f>
        <v>#VALUE!</v>
      </c>
      <c r="R256" t="e">
        <f>Stock!R382+"'E4!/&gt;X"</f>
        <v>#VALUE!</v>
      </c>
      <c r="S256" s="333" t="e">
        <f>Stock!S382+"'E4!/&gt;Y"</f>
        <v>#VALUE!</v>
      </c>
      <c r="T256" s="333" t="e">
        <f>Stock!T382+"'E4!/&gt;Z"</f>
        <v>#VALUE!</v>
      </c>
      <c r="U256" t="e">
        <f>Stock!U382+"'E4!/&gt;["</f>
        <v>#VALUE!</v>
      </c>
      <c r="V256" t="e">
        <f>Stock!V382+"'E4!/&gt;\"</f>
        <v>#VALUE!</v>
      </c>
      <c r="W256" t="e">
        <f>Stock!W382+"'E4!/&gt;]"</f>
        <v>#VALUE!</v>
      </c>
      <c r="X256" t="e">
        <f>Stock!X382+"'E4!/&gt;^"</f>
        <v>#VALUE!</v>
      </c>
      <c r="Y256" t="e">
        <f>Stock!Y382+"'E4!/&gt;_"</f>
        <v>#VALUE!</v>
      </c>
      <c r="Z256" t="e">
        <f>Stock!N383+"'E4!/&gt;`"</f>
        <v>#VALUE!</v>
      </c>
      <c r="AA256" t="e">
        <f>Stock!O383+"'E4!/&gt;a"</f>
        <v>#VALUE!</v>
      </c>
      <c r="AB256" t="e">
        <f>Stock!P383+"'E4!/&gt;b"</f>
        <v>#VALUE!</v>
      </c>
      <c r="AC256" t="e">
        <f>Stock!Q383+"'E4!/&gt;c"</f>
        <v>#VALUE!</v>
      </c>
      <c r="AD256" t="e">
        <f>Stock!R383+"'E4!/&gt;d"</f>
        <v>#VALUE!</v>
      </c>
      <c r="AE256" s="333" t="e">
        <f>Stock!S383+"'E4!/&gt;e"</f>
        <v>#VALUE!</v>
      </c>
      <c r="AF256" t="e">
        <f>Stock!T383+"'E4!/&gt;f"</f>
        <v>#VALUE!</v>
      </c>
      <c r="AG256" t="e">
        <f>Stock!U383+"'E4!/&gt;g"</f>
        <v>#VALUE!</v>
      </c>
      <c r="AH256" t="e">
        <f>Stock!V383+"'E4!/&gt;h"</f>
        <v>#VALUE!</v>
      </c>
      <c r="AI256" t="e">
        <f>Stock!W383+"'E4!/&gt;i"</f>
        <v>#VALUE!</v>
      </c>
      <c r="AJ256" t="e">
        <f>Stock!X383+"'E4!/&gt;j"</f>
        <v>#VALUE!</v>
      </c>
      <c r="AK256" t="e">
        <f>Stock!Y383+"'E4!/&gt;k"</f>
        <v>#VALUE!</v>
      </c>
      <c r="AL256" t="e">
        <f>Stock!N384+"'E4!/&gt;l"</f>
        <v>#VALUE!</v>
      </c>
      <c r="AM256" t="e">
        <f>Stock!O384+"'E4!/&gt;m"</f>
        <v>#VALUE!</v>
      </c>
      <c r="AN256" t="e">
        <f>Stock!P384+"'E4!/&gt;n"</f>
        <v>#VALUE!</v>
      </c>
      <c r="AO256" t="e">
        <f>Stock!Q384+"'E4!/&gt;o"</f>
        <v>#VALUE!</v>
      </c>
      <c r="AP256" t="e">
        <f>Stock!R384+"'E4!/&gt;p"</f>
        <v>#VALUE!</v>
      </c>
      <c r="AQ256" s="333" t="e">
        <f>Stock!S384+"'E4!/&gt;q"</f>
        <v>#VALUE!</v>
      </c>
      <c r="AR256" t="e">
        <f>Stock!T384+"'E4!/&gt;r"</f>
        <v>#VALUE!</v>
      </c>
      <c r="AS256" t="e">
        <f>Stock!U384+"'E4!/&gt;s"</f>
        <v>#VALUE!</v>
      </c>
      <c r="AT256" t="e">
        <f>Stock!V384+"'E4!/&gt;t"</f>
        <v>#VALUE!</v>
      </c>
      <c r="AU256" t="e">
        <f>Stock!W384+"'E4!/&gt;u"</f>
        <v>#VALUE!</v>
      </c>
      <c r="AV256" t="e">
        <f>Stock!X384+"'E4!/&gt;v"</f>
        <v>#VALUE!</v>
      </c>
      <c r="AW256" t="e">
        <f>Stock!Y384+"'E4!/&gt;w"</f>
        <v>#VALUE!</v>
      </c>
      <c r="AX256" t="e">
        <f>Stock!N385+"'E4!/&gt;x"</f>
        <v>#VALUE!</v>
      </c>
      <c r="AY256" t="e">
        <f>Stock!O385+"'E4!/&gt;y"</f>
        <v>#VALUE!</v>
      </c>
      <c r="AZ256" t="e">
        <f>Stock!P385+"'E4!/&gt;z"</f>
        <v>#VALUE!</v>
      </c>
      <c r="BA256" t="e">
        <f>Stock!Q385+"'E4!/&gt;{"</f>
        <v>#VALUE!</v>
      </c>
      <c r="BB256" t="e">
        <f>Stock!R385+"'E4!/&gt;|"</f>
        <v>#VALUE!</v>
      </c>
      <c r="BC256" s="333" t="e">
        <f>Stock!S385+"'E4!/&gt;}"</f>
        <v>#VALUE!</v>
      </c>
      <c r="BD256" s="333" t="e">
        <f>Stock!T385+"'E4!/&gt;~"</f>
        <v>#VALUE!</v>
      </c>
      <c r="BE256" t="e">
        <f>Stock!U385+"'E4!/?#"</f>
        <v>#VALUE!</v>
      </c>
      <c r="BF256" t="e">
        <f>Stock!V385+"'E4!/?$"</f>
        <v>#VALUE!</v>
      </c>
      <c r="BG256" t="e">
        <f>Stock!W385+"'E4!/?%"</f>
        <v>#VALUE!</v>
      </c>
      <c r="BH256" t="e">
        <f>Stock!X385+"'E4!/?&amp;"</f>
        <v>#VALUE!</v>
      </c>
      <c r="BI256" t="e">
        <f>Stock!Y385+"'E4!/?'"</f>
        <v>#VALUE!</v>
      </c>
      <c r="BJ256" t="e">
        <f>Stock!N386+"'E4!/?("</f>
        <v>#VALUE!</v>
      </c>
      <c r="BK256" t="e">
        <f>Stock!O386+"'E4!/?)"</f>
        <v>#VALUE!</v>
      </c>
      <c r="BL256" t="e">
        <f>Stock!P386+"'E4!/?."</f>
        <v>#VALUE!</v>
      </c>
      <c r="BM256" t="e">
        <f>Stock!Q386+"'E4!/?/"</f>
        <v>#VALUE!</v>
      </c>
      <c r="BN256" t="e">
        <f>Stock!R386+"'E4!/?0"</f>
        <v>#VALUE!</v>
      </c>
      <c r="BO256" s="333" t="e">
        <f>Stock!S386+"'E4!/?1"</f>
        <v>#VALUE!</v>
      </c>
      <c r="BP256" s="333" t="e">
        <f>Stock!T386+"'E4!/?2"</f>
        <v>#VALUE!</v>
      </c>
      <c r="BQ256" t="e">
        <f>Stock!U386+"'E4!/?3"</f>
        <v>#VALUE!</v>
      </c>
      <c r="BR256" t="e">
        <f>Stock!V386+"'E4!/?4"</f>
        <v>#VALUE!</v>
      </c>
      <c r="BS256" t="e">
        <f>Stock!W386+"'E4!/?5"</f>
        <v>#VALUE!</v>
      </c>
      <c r="BT256" t="e">
        <f>Stock!X386+"'E4!/?6"</f>
        <v>#VALUE!</v>
      </c>
      <c r="BU256" t="e">
        <f>Stock!Y386+"'E4!/?7"</f>
        <v>#VALUE!</v>
      </c>
      <c r="BV256" t="e">
        <f>Stock!N387+"'E4!/?8"</f>
        <v>#VALUE!</v>
      </c>
      <c r="BW256" t="e">
        <f>Stock!O387+"'E4!/?9"</f>
        <v>#VALUE!</v>
      </c>
      <c r="BX256" t="e">
        <f>Stock!P387+"'E4!/?:"</f>
        <v>#VALUE!</v>
      </c>
      <c r="BY256" t="e">
        <f>Stock!Q387+"'E4!/?;"</f>
        <v>#VALUE!</v>
      </c>
      <c r="BZ256" t="e">
        <f>Stock!R387+"'E4!/?&lt;"</f>
        <v>#VALUE!</v>
      </c>
      <c r="CA256" s="333" t="e">
        <f>Stock!S387+"'E4!/?="</f>
        <v>#VALUE!</v>
      </c>
      <c r="CB256" s="333" t="e">
        <f>Stock!T387+"'E4!/?&gt;"</f>
        <v>#VALUE!</v>
      </c>
      <c r="CC256" t="e">
        <f>Stock!U387+"'E4!/??"</f>
        <v>#VALUE!</v>
      </c>
      <c r="CD256" t="e">
        <f>Stock!V387+"'E4!/?@"</f>
        <v>#VALUE!</v>
      </c>
      <c r="CE256" t="e">
        <f>Stock!W387+"'E4!/?A"</f>
        <v>#VALUE!</v>
      </c>
      <c r="CF256" t="e">
        <f>Stock!X387+"'E4!/?B"</f>
        <v>#VALUE!</v>
      </c>
      <c r="CG256" t="e">
        <f>Stock!Y387+"'E4!/?C"</f>
        <v>#VALUE!</v>
      </c>
      <c r="CH256" t="e">
        <f>Stock!N388+"'E4!/?D"</f>
        <v>#VALUE!</v>
      </c>
      <c r="CI256" t="e">
        <f>Stock!O388+"'E4!/?E"</f>
        <v>#VALUE!</v>
      </c>
      <c r="CJ256" t="e">
        <f>Stock!P388+"'E4!/?F"</f>
        <v>#VALUE!</v>
      </c>
      <c r="CK256" t="e">
        <f>Stock!Q388+"'E4!/?G"</f>
        <v>#VALUE!</v>
      </c>
      <c r="CL256" t="e">
        <f>Stock!R388+"'E4!/?H"</f>
        <v>#VALUE!</v>
      </c>
      <c r="CM256" s="333" t="e">
        <f>Stock!S388+"'E4!/?I"</f>
        <v>#VALUE!</v>
      </c>
      <c r="CN256" s="333" t="e">
        <f>Stock!T388+"'E4!/?J"</f>
        <v>#VALUE!</v>
      </c>
      <c r="CO256" t="e">
        <f>Stock!U388+"'E4!/?K"</f>
        <v>#VALUE!</v>
      </c>
      <c r="CP256" t="e">
        <f>Stock!V388+"'E4!/?L"</f>
        <v>#VALUE!</v>
      </c>
      <c r="CQ256" t="e">
        <f>Stock!W388+"'E4!/?M"</f>
        <v>#VALUE!</v>
      </c>
      <c r="CR256" t="e">
        <f>Stock!X388+"'E4!/?N"</f>
        <v>#VALUE!</v>
      </c>
      <c r="CS256" t="e">
        <f>Stock!Y388+"'E4!/?O"</f>
        <v>#VALUE!</v>
      </c>
      <c r="CT256" t="e">
        <f>Stock!N389+"'E4!/?P"</f>
        <v>#VALUE!</v>
      </c>
      <c r="CU256" t="e">
        <f>Stock!O389+"'E4!/?Q"</f>
        <v>#VALUE!</v>
      </c>
      <c r="CV256" t="e">
        <f>Stock!P389+"'E4!/?R"</f>
        <v>#VALUE!</v>
      </c>
      <c r="CW256" t="e">
        <f>Stock!Q389+"'E4!/?S"</f>
        <v>#VALUE!</v>
      </c>
      <c r="CX256" t="e">
        <f>Stock!R389+"'E4!/?T"</f>
        <v>#VALUE!</v>
      </c>
      <c r="CY256" s="333" t="e">
        <f>Stock!S389+"'E4!/?U"</f>
        <v>#VALUE!</v>
      </c>
      <c r="CZ256" s="333" t="e">
        <f>Stock!T389+"'E4!/?V"</f>
        <v>#VALUE!</v>
      </c>
      <c r="DA256" t="e">
        <f>Stock!U389+"'E4!/?W"</f>
        <v>#VALUE!</v>
      </c>
      <c r="DB256" t="e">
        <f>Stock!V389+"'E4!/?X"</f>
        <v>#VALUE!</v>
      </c>
      <c r="DC256" t="e">
        <f>Stock!W389+"'E4!/?Y"</f>
        <v>#VALUE!</v>
      </c>
      <c r="DD256" t="e">
        <f>Stock!X389+"'E4!/?Z"</f>
        <v>#VALUE!</v>
      </c>
      <c r="DE256" t="e">
        <f>Stock!Y389+"'E4!/?["</f>
        <v>#VALUE!</v>
      </c>
      <c r="DF256" t="e">
        <f>Stock!N390+"'E4!/?\"</f>
        <v>#VALUE!</v>
      </c>
      <c r="DG256" t="e">
        <f>Stock!O390+"'E4!/?]"</f>
        <v>#VALUE!</v>
      </c>
      <c r="DH256" t="e">
        <f>Stock!P390+"'E4!/?^"</f>
        <v>#VALUE!</v>
      </c>
      <c r="DI256" t="e">
        <f>Stock!Q390+"'E4!/?_"</f>
        <v>#VALUE!</v>
      </c>
      <c r="DJ256" t="e">
        <f>Stock!R390+"'E4!/?`"</f>
        <v>#VALUE!</v>
      </c>
      <c r="DK256" s="333" t="e">
        <f>Stock!S390+"'E4!/?a"</f>
        <v>#VALUE!</v>
      </c>
      <c r="DL256" s="333" t="e">
        <f>Stock!T390+"'E4!/?b"</f>
        <v>#VALUE!</v>
      </c>
      <c r="DM256" t="e">
        <f>Stock!U390+"'E4!/?c"</f>
        <v>#VALUE!</v>
      </c>
      <c r="DN256" t="e">
        <f>Stock!V390+"'E4!/?d"</f>
        <v>#VALUE!</v>
      </c>
      <c r="DO256" t="e">
        <f>Stock!W390+"'E4!/?e"</f>
        <v>#VALUE!</v>
      </c>
      <c r="DP256" t="e">
        <f>Stock!X390+"'E4!/?f"</f>
        <v>#VALUE!</v>
      </c>
      <c r="DQ256" t="e">
        <f>Stock!Y390+"'E4!/?g"</f>
        <v>#VALUE!</v>
      </c>
      <c r="DR256" t="e">
        <f>Stock!N391+"'E4!/?h"</f>
        <v>#VALUE!</v>
      </c>
      <c r="DS256" t="e">
        <f>Stock!O391+"'E4!/?i"</f>
        <v>#VALUE!</v>
      </c>
      <c r="DT256" t="e">
        <f>Stock!P391+"'E4!/?j"</f>
        <v>#VALUE!</v>
      </c>
      <c r="DU256" t="e">
        <f>Stock!Q391+"'E4!/?k"</f>
        <v>#VALUE!</v>
      </c>
      <c r="DV256" t="e">
        <f>Stock!R391+"'E4!/?l"</f>
        <v>#VALUE!</v>
      </c>
      <c r="DW256" s="333" t="e">
        <f>Stock!S391+"'E4!/?m"</f>
        <v>#VALUE!</v>
      </c>
      <c r="DX256" s="333" t="e">
        <f>Stock!T391+"'E4!/?n"</f>
        <v>#VALUE!</v>
      </c>
      <c r="DY256" t="e">
        <f>Stock!U391+"'E4!/?o"</f>
        <v>#VALUE!</v>
      </c>
      <c r="DZ256" t="e">
        <f>Stock!V391+"'E4!/?p"</f>
        <v>#VALUE!</v>
      </c>
      <c r="EA256" t="e">
        <f>Stock!W391+"'E4!/?q"</f>
        <v>#VALUE!</v>
      </c>
      <c r="EB256" t="e">
        <f>Stock!X391+"'E4!/?r"</f>
        <v>#VALUE!</v>
      </c>
      <c r="EC256" t="e">
        <f>Stock!Y391+"'E4!/?s"</f>
        <v>#VALUE!</v>
      </c>
      <c r="ED256" t="e">
        <f>Stock!N392+"'E4!/?t"</f>
        <v>#VALUE!</v>
      </c>
      <c r="EE256" t="e">
        <f>Stock!O392+"'E4!/?u"</f>
        <v>#VALUE!</v>
      </c>
      <c r="EF256" t="e">
        <f>Stock!P392+"'E4!/?v"</f>
        <v>#VALUE!</v>
      </c>
      <c r="EG256" t="e">
        <f>Stock!Q392+"'E4!/?w"</f>
        <v>#VALUE!</v>
      </c>
      <c r="EH256" t="e">
        <f>Stock!R392+"'E4!/?x"</f>
        <v>#VALUE!</v>
      </c>
      <c r="EI256" s="333" t="e">
        <f>Stock!S392+"'E4!/?y"</f>
        <v>#VALUE!</v>
      </c>
      <c r="EJ256" s="333" t="e">
        <f>Stock!T392+"'E4!/?z"</f>
        <v>#VALUE!</v>
      </c>
      <c r="EK256" t="e">
        <f>Stock!U392+"'E4!/?{"</f>
        <v>#VALUE!</v>
      </c>
      <c r="EL256" t="e">
        <f>Stock!V392+"'E4!/?|"</f>
        <v>#VALUE!</v>
      </c>
      <c r="EM256" t="e">
        <f>Stock!W392+"'E4!/?}"</f>
        <v>#VALUE!</v>
      </c>
      <c r="EN256" t="e">
        <f>Stock!X392+"'E4!/?~"</f>
        <v>#VALUE!</v>
      </c>
      <c r="EO256" t="e">
        <f>Stock!Y392+"'E4!/@#"</f>
        <v>#VALUE!</v>
      </c>
      <c r="EP256" t="e">
        <f>Stock!N393+"'E4!/@$"</f>
        <v>#VALUE!</v>
      </c>
      <c r="EQ256" t="e">
        <f>Stock!O393+"'E4!/@%"</f>
        <v>#VALUE!</v>
      </c>
      <c r="ER256" t="e">
        <f>Stock!P393+"'E4!/@&amp;"</f>
        <v>#VALUE!</v>
      </c>
      <c r="ES256" t="e">
        <f>Stock!Q393+"'E4!/@'"</f>
        <v>#VALUE!</v>
      </c>
      <c r="ET256" t="e">
        <f>Stock!R393+"'E4!/@("</f>
        <v>#VALUE!</v>
      </c>
      <c r="EU256" s="333" t="e">
        <f>Stock!S393+"'E4!/@)"</f>
        <v>#VALUE!</v>
      </c>
      <c r="EV256" s="333" t="e">
        <f>Stock!T393+"'E4!/@."</f>
        <v>#VALUE!</v>
      </c>
      <c r="EW256" t="e">
        <f>Stock!U393+"'E4!/@/"</f>
        <v>#VALUE!</v>
      </c>
      <c r="EX256" t="e">
        <f>Stock!V393+"'E4!/@0"</f>
        <v>#VALUE!</v>
      </c>
      <c r="EY256" t="e">
        <f>Stock!W393+"'E4!/@1"</f>
        <v>#VALUE!</v>
      </c>
      <c r="EZ256" t="e">
        <f>Stock!X393+"'E4!/@2"</f>
        <v>#VALUE!</v>
      </c>
      <c r="FA256" t="e">
        <f>Stock!Y393+"'E4!/@3"</f>
        <v>#VALUE!</v>
      </c>
      <c r="FB256" t="e">
        <f>Stock!N394+"'E4!/@4"</f>
        <v>#VALUE!</v>
      </c>
      <c r="FC256" t="e">
        <f>Stock!O394+"'E4!/@5"</f>
        <v>#VALUE!</v>
      </c>
      <c r="FD256" t="e">
        <f>Stock!P394+"'E4!/@6"</f>
        <v>#VALUE!</v>
      </c>
      <c r="FE256" t="e">
        <f>Stock!Q394+"'E4!/@7"</f>
        <v>#VALUE!</v>
      </c>
      <c r="FF256" t="e">
        <f>Stock!R394+"'E4!/@8"</f>
        <v>#VALUE!</v>
      </c>
      <c r="FG256" s="333" t="e">
        <f>Stock!S394+"'E4!/@9"</f>
        <v>#VALUE!</v>
      </c>
      <c r="FH256" s="333" t="e">
        <f>Stock!T394+"'E4!/@:"</f>
        <v>#VALUE!</v>
      </c>
      <c r="FI256" t="e">
        <f>Stock!U394+"'E4!/@;"</f>
        <v>#VALUE!</v>
      </c>
      <c r="FJ256" t="e">
        <f>Stock!V394+"'E4!/@&lt;"</f>
        <v>#VALUE!</v>
      </c>
      <c r="FK256" t="e">
        <f>Stock!W394+"'E4!/@="</f>
        <v>#VALUE!</v>
      </c>
      <c r="FL256" t="e">
        <f>Stock!X394+"'E4!/@&gt;"</f>
        <v>#VALUE!</v>
      </c>
      <c r="FM256" t="e">
        <f>Stock!Y394+"'E4!/@?"</f>
        <v>#VALUE!</v>
      </c>
      <c r="FN256" t="e">
        <f>Stock!N395+"'E4!/@@"</f>
        <v>#VALUE!</v>
      </c>
      <c r="FO256" t="e">
        <f>Stock!O395+"'E4!/@A"</f>
        <v>#VALUE!</v>
      </c>
      <c r="FP256" t="e">
        <f>Stock!P395+"'E4!/@B"</f>
        <v>#VALUE!</v>
      </c>
      <c r="FQ256" t="e">
        <f>Stock!Q395+"'E4!/@C"</f>
        <v>#VALUE!</v>
      </c>
      <c r="FR256" t="e">
        <f>Stock!R395+"'E4!/@D"</f>
        <v>#VALUE!</v>
      </c>
      <c r="FS256" s="333" t="e">
        <f>Stock!S395+"'E4!/@E"</f>
        <v>#VALUE!</v>
      </c>
      <c r="FT256" s="333" t="e">
        <f>Stock!T395+"'E4!/@F"</f>
        <v>#VALUE!</v>
      </c>
      <c r="FU256" t="e">
        <f>Stock!U395+"'E4!/@G"</f>
        <v>#VALUE!</v>
      </c>
      <c r="FV256" t="e">
        <f>Stock!V395+"'E4!/@H"</f>
        <v>#VALUE!</v>
      </c>
      <c r="FW256" t="e">
        <f>Stock!W395+"'E4!/@I"</f>
        <v>#VALUE!</v>
      </c>
      <c r="FX256" t="e">
        <f>Stock!X395+"'E4!/@J"</f>
        <v>#VALUE!</v>
      </c>
      <c r="FY256" t="e">
        <f>Stock!Y395+"'E4!/@K"</f>
        <v>#VALUE!</v>
      </c>
      <c r="FZ256" t="e">
        <f>Stock!N396+"'E4!/@L"</f>
        <v>#VALUE!</v>
      </c>
      <c r="GA256" t="e">
        <f>Stock!O396+"'E4!/@M"</f>
        <v>#VALUE!</v>
      </c>
      <c r="GB256" t="e">
        <f>Stock!P396+"'E4!/@N"</f>
        <v>#VALUE!</v>
      </c>
      <c r="GC256" t="e">
        <f>Stock!Q396+"'E4!/@O"</f>
        <v>#VALUE!</v>
      </c>
      <c r="GD256" t="e">
        <f>Stock!R396+"'E4!/@P"</f>
        <v>#VALUE!</v>
      </c>
      <c r="GE256" s="333" t="e">
        <f>Stock!S396+"'E4!/@Q"</f>
        <v>#VALUE!</v>
      </c>
      <c r="GF256" s="333" t="e">
        <f>Stock!T396+"'E4!/@R"</f>
        <v>#VALUE!</v>
      </c>
      <c r="GG256" t="e">
        <f>Stock!U396+"'E4!/@S"</f>
        <v>#VALUE!</v>
      </c>
      <c r="GH256" t="e">
        <f>Stock!V396+"'E4!/@T"</f>
        <v>#VALUE!</v>
      </c>
      <c r="GI256" t="e">
        <f>Stock!W396+"'E4!/@U"</f>
        <v>#VALUE!</v>
      </c>
      <c r="GJ256" t="e">
        <f>Stock!X396+"'E4!/@V"</f>
        <v>#VALUE!</v>
      </c>
      <c r="GK256" t="e">
        <f>Stock!Y396+"'E4!/@W"</f>
        <v>#VALUE!</v>
      </c>
      <c r="GL256" t="e">
        <f>Stock!N397+"'E4!/@X"</f>
        <v>#VALUE!</v>
      </c>
      <c r="GM256" t="e">
        <f>Stock!O397+"'E4!/@Y"</f>
        <v>#VALUE!</v>
      </c>
      <c r="GN256" t="e">
        <f>Stock!P397+"'E4!/@Z"</f>
        <v>#VALUE!</v>
      </c>
      <c r="GO256" t="e">
        <f>Stock!Q397+"'E4!/@["</f>
        <v>#VALUE!</v>
      </c>
      <c r="GP256" t="e">
        <f>Stock!R397+"'E4!/@\"</f>
        <v>#VALUE!</v>
      </c>
      <c r="GQ256" s="333" t="e">
        <f>Stock!S397+"'E4!/@]"</f>
        <v>#VALUE!</v>
      </c>
      <c r="GR256" s="333" t="e">
        <f>Stock!T397+"'E4!/@^"</f>
        <v>#VALUE!</v>
      </c>
      <c r="GS256" t="e">
        <f>Stock!U397+"'E4!/@_"</f>
        <v>#VALUE!</v>
      </c>
      <c r="GT256" t="e">
        <f>Stock!V397+"'E4!/@`"</f>
        <v>#VALUE!</v>
      </c>
      <c r="GU256" t="e">
        <f>Stock!W397+"'E4!/@a"</f>
        <v>#VALUE!</v>
      </c>
      <c r="GV256" t="e">
        <f>Stock!X397+"'E4!/@b"</f>
        <v>#VALUE!</v>
      </c>
      <c r="GW256" t="e">
        <f>Stock!Y397+"'E4!/@c"</f>
        <v>#VALUE!</v>
      </c>
      <c r="GX256" t="e">
        <f>Stock!N398+"'E4!/@d"</f>
        <v>#VALUE!</v>
      </c>
      <c r="GY256" t="e">
        <f>Stock!O398+"'E4!/@e"</f>
        <v>#VALUE!</v>
      </c>
      <c r="GZ256" t="e">
        <f>Stock!P398+"'E4!/@f"</f>
        <v>#VALUE!</v>
      </c>
      <c r="HA256" t="e">
        <f>Stock!Q398+"'E4!/@g"</f>
        <v>#VALUE!</v>
      </c>
      <c r="HB256" t="e">
        <f>Stock!R398+"'E4!/@h"</f>
        <v>#VALUE!</v>
      </c>
      <c r="HC256" s="333" t="e">
        <f>Stock!S398+"'E4!/@i"</f>
        <v>#VALUE!</v>
      </c>
      <c r="HD256" s="333" t="e">
        <f>Stock!T398+"'E4!/@j"</f>
        <v>#VALUE!</v>
      </c>
      <c r="HE256" t="e">
        <f>Stock!U398+"'E4!/@k"</f>
        <v>#VALUE!</v>
      </c>
      <c r="HF256" t="e">
        <f>Stock!V398+"'E4!/@l"</f>
        <v>#VALUE!</v>
      </c>
      <c r="HG256" t="e">
        <f>Stock!W398+"'E4!/@m"</f>
        <v>#VALUE!</v>
      </c>
      <c r="HH256" t="e">
        <f>Stock!X398+"'E4!/@n"</f>
        <v>#VALUE!</v>
      </c>
      <c r="HI256" t="e">
        <f>Stock!Y398+"'E4!/@o"</f>
        <v>#VALUE!</v>
      </c>
      <c r="HJ256" t="e">
        <f>Stock!N399+"'E4!/@p"</f>
        <v>#VALUE!</v>
      </c>
      <c r="HK256" t="e">
        <f>Stock!O399+"'E4!/@q"</f>
        <v>#VALUE!</v>
      </c>
      <c r="HL256" t="e">
        <f>Stock!P399+"'E4!/@r"</f>
        <v>#VALUE!</v>
      </c>
      <c r="HM256" t="e">
        <f>Stock!Q399+"'E4!/@s"</f>
        <v>#VALUE!</v>
      </c>
      <c r="HN256" t="e">
        <f>Stock!R399+"'E4!/@t"</f>
        <v>#VALUE!</v>
      </c>
      <c r="HO256" s="333" t="e">
        <f>Stock!S399+"'E4!/@u"</f>
        <v>#VALUE!</v>
      </c>
      <c r="HP256" s="333" t="e">
        <f>Stock!T399+"'E4!/@v"</f>
        <v>#VALUE!</v>
      </c>
      <c r="HQ256" t="e">
        <f>Stock!U399+"'E4!/@w"</f>
        <v>#VALUE!</v>
      </c>
      <c r="HR256" t="e">
        <f>Stock!V399+"'E4!/@x"</f>
        <v>#VALUE!</v>
      </c>
      <c r="HS256" t="e">
        <f>Stock!W399+"'E4!/@y"</f>
        <v>#VALUE!</v>
      </c>
      <c r="HT256" t="e">
        <f>Stock!X399+"'E4!/@z"</f>
        <v>#VALUE!</v>
      </c>
      <c r="HU256" t="e">
        <f>Stock!Y399+"'E4!/@{"</f>
        <v>#VALUE!</v>
      </c>
      <c r="HV256" t="e">
        <f>Stock!N400+"'E4!/@|"</f>
        <v>#VALUE!</v>
      </c>
      <c r="HW256" t="e">
        <f>Stock!O400+"'E4!/@}"</f>
        <v>#VALUE!</v>
      </c>
      <c r="HX256" t="e">
        <f>Stock!P400+"'E4!/@~"</f>
        <v>#VALUE!</v>
      </c>
      <c r="HY256" t="e">
        <f>Stock!Q400+"'E4!/A#"</f>
        <v>#VALUE!</v>
      </c>
      <c r="HZ256" t="e">
        <f>Stock!R400+"'E4!/A$"</f>
        <v>#VALUE!</v>
      </c>
      <c r="IA256" s="333" t="e">
        <f>Stock!S400+"'E4!/A%"</f>
        <v>#VALUE!</v>
      </c>
      <c r="IB256" s="333" t="e">
        <f>Stock!T400+"'E4!/A&amp;"</f>
        <v>#VALUE!</v>
      </c>
      <c r="IC256" t="e">
        <f>Stock!U400+"'E4!/A'"</f>
        <v>#VALUE!</v>
      </c>
      <c r="ID256" t="e">
        <f>Stock!V400+"'E4!/A("</f>
        <v>#VALUE!</v>
      </c>
      <c r="IE256" t="e">
        <f>Stock!W400+"'E4!/A)"</f>
        <v>#VALUE!</v>
      </c>
      <c r="IF256" t="e">
        <f>Stock!X400+"'E4!/A."</f>
        <v>#VALUE!</v>
      </c>
      <c r="IG256" t="e">
        <f>Stock!Y400+"'E4!/A/"</f>
        <v>#VALUE!</v>
      </c>
      <c r="IH256" t="e">
        <f>Stock!N401+"'E4!/A0"</f>
        <v>#VALUE!</v>
      </c>
      <c r="II256" t="e">
        <f>Stock!O401+"'E4!/A1"</f>
        <v>#VALUE!</v>
      </c>
      <c r="IJ256" t="e">
        <f>Stock!P401+"'E4!/A2"</f>
        <v>#VALUE!</v>
      </c>
      <c r="IK256" t="e">
        <f>Stock!Q401+"'E4!/A3"</f>
        <v>#VALUE!</v>
      </c>
      <c r="IL256" t="e">
        <f>Stock!R401+"'E4!/A4"</f>
        <v>#VALUE!</v>
      </c>
      <c r="IM256" s="333" t="e">
        <f>Stock!S401+"'E4!/A5"</f>
        <v>#VALUE!</v>
      </c>
      <c r="IN256" s="333" t="e">
        <f>Stock!T401+"'E4!/A6"</f>
        <v>#VALUE!</v>
      </c>
      <c r="IO256" t="e">
        <f>Stock!U401+"'E4!/A7"</f>
        <v>#VALUE!</v>
      </c>
      <c r="IP256" t="e">
        <f>Stock!V401+"'E4!/A8"</f>
        <v>#VALUE!</v>
      </c>
      <c r="IQ256" t="e">
        <f>Stock!W401+"'E4!/A9"</f>
        <v>#VALUE!</v>
      </c>
      <c r="IR256" t="e">
        <f>Stock!X401+"'E4!/A:"</f>
        <v>#VALUE!</v>
      </c>
      <c r="IS256" t="e">
        <f>Stock!Y401+"'E4!/A;"</f>
        <v>#VALUE!</v>
      </c>
      <c r="IT256" t="e">
        <f>Stock!N402+"'E4!/A&lt;"</f>
        <v>#VALUE!</v>
      </c>
      <c r="IU256" t="e">
        <f>Stock!O402+"'E4!/A="</f>
        <v>#VALUE!</v>
      </c>
      <c r="IV256" t="e">
        <f>Stock!P402+"'E4!/A&gt;"</f>
        <v>#VALUE!</v>
      </c>
    </row>
    <row r="257" spans="6:256">
      <c r="F257" t="e">
        <f>Stock!Q402+"'E4!/A?"</f>
        <v>#VALUE!</v>
      </c>
      <c r="G257" t="e">
        <f>Stock!R402+"'E4!/A@"</f>
        <v>#VALUE!</v>
      </c>
      <c r="H257" s="333" t="e">
        <f>Stock!S402+"'E4!/AA"</f>
        <v>#VALUE!</v>
      </c>
      <c r="I257" s="333" t="e">
        <f>Stock!T402+"'E4!/AB"</f>
        <v>#VALUE!</v>
      </c>
      <c r="J257" t="e">
        <f>Stock!U402+"'E4!/AC"</f>
        <v>#VALUE!</v>
      </c>
      <c r="K257" t="e">
        <f>Stock!V402+"'E4!/AD"</f>
        <v>#VALUE!</v>
      </c>
      <c r="L257" t="e">
        <f>Stock!X402+"'E4!/AE"</f>
        <v>#VALUE!</v>
      </c>
      <c r="M257" t="e">
        <f>Stock!Y402+"'E4!/AF"</f>
        <v>#VALUE!</v>
      </c>
      <c r="N257" t="e">
        <f>Stock!N403+"'E4!/AG"</f>
        <v>#VALUE!</v>
      </c>
      <c r="O257" t="e">
        <f>Stock!O403+"'E4!/AH"</f>
        <v>#VALUE!</v>
      </c>
      <c r="P257" t="e">
        <f>Stock!P403+"'E4!/AI"</f>
        <v>#VALUE!</v>
      </c>
      <c r="Q257" t="e">
        <f>Stock!Q403+"'E4!/AJ"</f>
        <v>#VALUE!</v>
      </c>
      <c r="R257" t="e">
        <f>Stock!R403+"'E4!/AK"</f>
        <v>#VALUE!</v>
      </c>
      <c r="S257" s="333" t="e">
        <f>Stock!S403+"'E4!/AL"</f>
        <v>#VALUE!</v>
      </c>
      <c r="T257" s="333" t="e">
        <f>Stock!T403+"'E4!/AM"</f>
        <v>#VALUE!</v>
      </c>
      <c r="U257" t="e">
        <f>Stock!U403+"'E4!/AN"</f>
        <v>#VALUE!</v>
      </c>
      <c r="V257" t="e">
        <f>Stock!V403+"'E4!/AO"</f>
        <v>#VALUE!</v>
      </c>
      <c r="W257" t="e">
        <f>Stock!X403+"'E4!/AP"</f>
        <v>#VALUE!</v>
      </c>
      <c r="X257" t="e">
        <f>Stock!Y403+"'E4!/AQ"</f>
        <v>#VALUE!</v>
      </c>
      <c r="Y257" t="e">
        <f>Stock!N404+"'E4!/AR"</f>
        <v>#VALUE!</v>
      </c>
      <c r="Z257" t="e">
        <f>Stock!O404+"'E4!/AS"</f>
        <v>#VALUE!</v>
      </c>
      <c r="AA257" t="e">
        <f>Stock!P404+"'E4!/AT"</f>
        <v>#VALUE!</v>
      </c>
      <c r="AB257" t="e">
        <f>Stock!Q404+"'E4!/AU"</f>
        <v>#VALUE!</v>
      </c>
      <c r="AC257" t="e">
        <f>Stock!R404+"'E4!/AV"</f>
        <v>#VALUE!</v>
      </c>
      <c r="AD257" s="333" t="e">
        <f>Stock!S404+"'E4!/AW"</f>
        <v>#VALUE!</v>
      </c>
      <c r="AE257" s="333" t="e">
        <f>Stock!T404+"'E4!/AX"</f>
        <v>#VALUE!</v>
      </c>
      <c r="AF257" t="e">
        <f>Stock!U404+"'E4!/AY"</f>
        <v>#VALUE!</v>
      </c>
      <c r="AG257" t="e">
        <f>Stock!V404+"'E4!/AZ"</f>
        <v>#VALUE!</v>
      </c>
      <c r="AH257" t="e">
        <f>Stock!X404+"'E4!/A["</f>
        <v>#VALUE!</v>
      </c>
      <c r="AI257" t="e">
        <f>Stock!Y404+"'E4!/A\"</f>
        <v>#VALUE!</v>
      </c>
      <c r="AJ257" t="e">
        <f>Stock!N405+"'E4!/A]"</f>
        <v>#VALUE!</v>
      </c>
      <c r="AK257" t="e">
        <f>Stock!O405+"'E4!/A^"</f>
        <v>#VALUE!</v>
      </c>
      <c r="AL257" t="e">
        <f>Stock!P405+"'E4!/A_"</f>
        <v>#VALUE!</v>
      </c>
      <c r="AM257" t="e">
        <f>Stock!Q405+"'E4!/A`"</f>
        <v>#VALUE!</v>
      </c>
      <c r="AN257" t="e">
        <f>Stock!R405+"'E4!/Aa"</f>
        <v>#VALUE!</v>
      </c>
      <c r="AO257" s="333" t="e">
        <f>Stock!S405+"'E4!/Ab"</f>
        <v>#VALUE!</v>
      </c>
      <c r="AP257" s="333" t="e">
        <f>Stock!T405+"'E4!/Ac"</f>
        <v>#VALUE!</v>
      </c>
      <c r="AQ257" t="e">
        <f>Stock!U405+"'E4!/Ad"</f>
        <v>#VALUE!</v>
      </c>
      <c r="AR257" t="e">
        <f>Stock!V405+"'E4!/Ae"</f>
        <v>#VALUE!</v>
      </c>
      <c r="AS257" t="e">
        <f>Stock!X405+"'E4!/Af"</f>
        <v>#VALUE!</v>
      </c>
      <c r="AT257" t="e">
        <f>Stock!Y405+"'E4!/Ag"</f>
        <v>#VALUE!</v>
      </c>
      <c r="AU257" t="e">
        <f>Stock!N406+"'E4!/Ah"</f>
        <v>#VALUE!</v>
      </c>
      <c r="AV257" t="e">
        <f>Stock!O406+"'E4!/Ai"</f>
        <v>#VALUE!</v>
      </c>
      <c r="AW257" t="e">
        <f>Stock!P406+"'E4!/Aj"</f>
        <v>#VALUE!</v>
      </c>
      <c r="AX257" t="e">
        <f>Stock!Q406+"'E4!/Ak"</f>
        <v>#VALUE!</v>
      </c>
      <c r="AY257" t="e">
        <f>Stock!R406+"'E4!/Al"</f>
        <v>#VALUE!</v>
      </c>
      <c r="AZ257" s="333" t="e">
        <f>Stock!S406+"'E4!/Am"</f>
        <v>#VALUE!</v>
      </c>
      <c r="BA257" s="333" t="e">
        <f>Stock!T406+"'E4!/An"</f>
        <v>#VALUE!</v>
      </c>
      <c r="BB257" t="e">
        <f>Stock!U406+"'E4!/Ao"</f>
        <v>#VALUE!</v>
      </c>
      <c r="BC257" t="e">
        <f>Stock!V406+"'E4!/Ap"</f>
        <v>#VALUE!</v>
      </c>
      <c r="BD257" t="e">
        <f>Stock!W406+"'E4!/Aq"</f>
        <v>#VALUE!</v>
      </c>
      <c r="BE257" t="e">
        <f>Stock!X406+"'E4!/Ar"</f>
        <v>#VALUE!</v>
      </c>
      <c r="BF257" t="e">
        <f>Stock!Y406+"'E4!/As"</f>
        <v>#VALUE!</v>
      </c>
      <c r="BG257" t="e">
        <f>Stock!N407+"'E4!/At"</f>
        <v>#VALUE!</v>
      </c>
      <c r="BH257" t="e">
        <f>Stock!O407+"'E4!/Au"</f>
        <v>#VALUE!</v>
      </c>
      <c r="BI257" t="e">
        <f>Stock!P407+"'E4!/Av"</f>
        <v>#VALUE!</v>
      </c>
      <c r="BJ257" t="e">
        <f>Stock!Q407+"'E4!/Aw"</f>
        <v>#VALUE!</v>
      </c>
      <c r="BK257" t="e">
        <f>Stock!R407+"'E4!/Ax"</f>
        <v>#VALUE!</v>
      </c>
      <c r="BL257" s="333" t="e">
        <f>Stock!S407+"'E4!/Ay"</f>
        <v>#VALUE!</v>
      </c>
      <c r="BM257" s="333" t="e">
        <f>Stock!T407+"'E4!/Az"</f>
        <v>#VALUE!</v>
      </c>
      <c r="BN257" t="e">
        <f>Stock!U407+"'E4!/A{"</f>
        <v>#VALUE!</v>
      </c>
      <c r="BO257" t="e">
        <f>Stock!V407+"'E4!/A|"</f>
        <v>#VALUE!</v>
      </c>
      <c r="BP257" t="e">
        <f>Stock!W407+"'E4!/A}"</f>
        <v>#VALUE!</v>
      </c>
      <c r="BQ257" t="e">
        <f>Stock!X407+"'E4!/A~"</f>
        <v>#VALUE!</v>
      </c>
      <c r="BR257" t="e">
        <f>Stock!Y407+"'E4!/B#"</f>
        <v>#VALUE!</v>
      </c>
      <c r="BS257" t="e">
        <f>Stock!N408+"'E4!/B$"</f>
        <v>#VALUE!</v>
      </c>
      <c r="BT257" t="e">
        <f>Stock!O408+"'E4!/B%"</f>
        <v>#VALUE!</v>
      </c>
      <c r="BU257" t="e">
        <f>Stock!P408+"'E4!/B&amp;"</f>
        <v>#VALUE!</v>
      </c>
      <c r="BV257" t="e">
        <f>Stock!Q408+"'E4!/B'"</f>
        <v>#VALUE!</v>
      </c>
      <c r="BW257" t="e">
        <f>Stock!R408+"'E4!/B("</f>
        <v>#VALUE!</v>
      </c>
      <c r="BX257" s="333" t="e">
        <f>Stock!S408+"'E4!/B)"</f>
        <v>#VALUE!</v>
      </c>
      <c r="BY257" s="333" t="e">
        <f>Stock!T408+"'E4!/B."</f>
        <v>#VALUE!</v>
      </c>
      <c r="BZ257" t="e">
        <f>Stock!U408+"'E4!/B/"</f>
        <v>#VALUE!</v>
      </c>
      <c r="CA257" t="e">
        <f>Stock!V408+"'E4!/B0"</f>
        <v>#VALUE!</v>
      </c>
      <c r="CB257" t="e">
        <f>Stock!W408+"'E4!/B1"</f>
        <v>#VALUE!</v>
      </c>
      <c r="CC257" t="e">
        <f>Stock!X408+"'E4!/B2"</f>
        <v>#VALUE!</v>
      </c>
      <c r="CD257" t="e">
        <f>Stock!Y408+"'E4!/B3"</f>
        <v>#VALUE!</v>
      </c>
      <c r="CE257" t="e">
        <f>Stock!N409+"'E4!/B4"</f>
        <v>#VALUE!</v>
      </c>
      <c r="CF257" t="e">
        <f>Stock!O409+"'E4!/B5"</f>
        <v>#VALUE!</v>
      </c>
      <c r="CG257" t="e">
        <f>Stock!P409+"'E4!/B6"</f>
        <v>#VALUE!</v>
      </c>
      <c r="CH257" t="e">
        <f>Stock!Q409+"'E4!/B7"</f>
        <v>#VALUE!</v>
      </c>
      <c r="CI257" t="e">
        <f>Stock!R409+"'E4!/B8"</f>
        <v>#VALUE!</v>
      </c>
      <c r="CJ257" s="333" t="e">
        <f>Stock!S409+"'E4!/B9"</f>
        <v>#VALUE!</v>
      </c>
      <c r="CK257" s="333" t="e">
        <f>Stock!T409+"'E4!/B:"</f>
        <v>#VALUE!</v>
      </c>
      <c r="CL257" t="e">
        <f>Stock!U409+"'E4!/B;"</f>
        <v>#VALUE!</v>
      </c>
      <c r="CM257" t="e">
        <f>Stock!V409+"'E4!/B&lt;"</f>
        <v>#VALUE!</v>
      </c>
      <c r="CN257" t="e">
        <f>Stock!W409+"'E4!/B="</f>
        <v>#VALUE!</v>
      </c>
      <c r="CO257" t="e">
        <f>Stock!X409+"'E4!/B&gt;"</f>
        <v>#VALUE!</v>
      </c>
      <c r="CP257" t="e">
        <f>Stock!Y409+"'E4!/B?"</f>
        <v>#VALUE!</v>
      </c>
      <c r="CQ257" t="e">
        <f>Stock!N410+"'E4!/B@"</f>
        <v>#VALUE!</v>
      </c>
      <c r="CR257" t="e">
        <f>Stock!O410+"'E4!/BA"</f>
        <v>#VALUE!</v>
      </c>
      <c r="CS257" t="e">
        <f>Stock!P410+"'E4!/BB"</f>
        <v>#VALUE!</v>
      </c>
      <c r="CT257" t="e">
        <f>Stock!Q410+"'E4!/BC"</f>
        <v>#VALUE!</v>
      </c>
      <c r="CU257" t="e">
        <f>Stock!R410+"'E4!/BD"</f>
        <v>#VALUE!</v>
      </c>
      <c r="CV257" s="333" t="e">
        <f>Stock!S410+"'E4!/BE"</f>
        <v>#VALUE!</v>
      </c>
      <c r="CW257" s="333" t="e">
        <f>Stock!T410+"'E4!/BF"</f>
        <v>#VALUE!</v>
      </c>
      <c r="CX257" t="e">
        <f>Stock!U410+"'E4!/BG"</f>
        <v>#VALUE!</v>
      </c>
      <c r="CY257" t="e">
        <f>Stock!V410+"'E4!/BH"</f>
        <v>#VALUE!</v>
      </c>
      <c r="CZ257" t="e">
        <f>Stock!W410+"'E4!/BI"</f>
        <v>#VALUE!</v>
      </c>
      <c r="DA257" t="e">
        <f>Stock!X410+"'E4!/BJ"</f>
        <v>#VALUE!</v>
      </c>
      <c r="DB257" t="e">
        <f>Stock!Y410+"'E4!/BK"</f>
        <v>#VALUE!</v>
      </c>
      <c r="DC257" t="e">
        <f>Stock!N411+"'E4!/BL"</f>
        <v>#VALUE!</v>
      </c>
      <c r="DD257" t="e">
        <f>Stock!O411+"'E4!/BM"</f>
        <v>#VALUE!</v>
      </c>
      <c r="DE257" t="e">
        <f>Stock!P411+"'E4!/BN"</f>
        <v>#VALUE!</v>
      </c>
      <c r="DF257" t="e">
        <f>Stock!Q411+"'E4!/BO"</f>
        <v>#VALUE!</v>
      </c>
      <c r="DG257" t="e">
        <f>Stock!R411+"'E4!/BP"</f>
        <v>#VALUE!</v>
      </c>
      <c r="DH257" s="333" t="e">
        <f>Stock!S411+"'E4!/BQ"</f>
        <v>#VALUE!</v>
      </c>
      <c r="DI257" s="333" t="e">
        <f>Stock!T411+"'E4!/BR"</f>
        <v>#VALUE!</v>
      </c>
      <c r="DJ257" t="e">
        <f>Stock!U411+"'E4!/BS"</f>
        <v>#VALUE!</v>
      </c>
      <c r="DK257" t="e">
        <f>Stock!V411+"'E4!/BT"</f>
        <v>#VALUE!</v>
      </c>
      <c r="DL257" t="e">
        <f>Stock!W411+"'E4!/BU"</f>
        <v>#VALUE!</v>
      </c>
      <c r="DM257" t="e">
        <f>Stock!X411+"'E4!/BV"</f>
        <v>#VALUE!</v>
      </c>
      <c r="DN257" t="e">
        <f>Stock!Y411+"'E4!/BW"</f>
        <v>#VALUE!</v>
      </c>
      <c r="DO257" t="e">
        <f>Stock!N412+"'E4!/BX"</f>
        <v>#VALUE!</v>
      </c>
      <c r="DP257" t="e">
        <f>Stock!O412+"'E4!/BY"</f>
        <v>#VALUE!</v>
      </c>
      <c r="DQ257" t="e">
        <f>Stock!P412+"'E4!/BZ"</f>
        <v>#VALUE!</v>
      </c>
      <c r="DR257" t="e">
        <f>Stock!Q412+"'E4!/B["</f>
        <v>#VALUE!</v>
      </c>
      <c r="DS257" t="e">
        <f>Stock!R412+"'E4!/B\"</f>
        <v>#VALUE!</v>
      </c>
      <c r="DT257" s="333" t="e">
        <f>Stock!S412+"'E4!/B]"</f>
        <v>#VALUE!</v>
      </c>
      <c r="DU257" s="333" t="e">
        <f>Stock!T412+"'E4!/B^"</f>
        <v>#VALUE!</v>
      </c>
      <c r="DV257" t="e">
        <f>Stock!U412+"'E4!/B_"</f>
        <v>#VALUE!</v>
      </c>
      <c r="DW257" t="e">
        <f>Stock!V412+"'E4!/B`"</f>
        <v>#VALUE!</v>
      </c>
      <c r="DX257" t="e">
        <f>Stock!W412+"'E4!/Ba"</f>
        <v>#VALUE!</v>
      </c>
      <c r="DY257" t="e">
        <f>Stock!X412+"'E4!/Bb"</f>
        <v>#VALUE!</v>
      </c>
      <c r="DZ257" t="e">
        <f>Stock!Y412+"'E4!/Bc"</f>
        <v>#VALUE!</v>
      </c>
      <c r="EA257" t="e">
        <f>Stock!N413+"'E4!/Bd"</f>
        <v>#VALUE!</v>
      </c>
      <c r="EB257" t="e">
        <f>Stock!O413+"'E4!/Be"</f>
        <v>#VALUE!</v>
      </c>
      <c r="EC257" t="e">
        <f>Stock!P413+"'E4!/Bf"</f>
        <v>#VALUE!</v>
      </c>
      <c r="ED257" t="e">
        <f>Stock!Q413+"'E4!/Bg"</f>
        <v>#VALUE!</v>
      </c>
      <c r="EE257" t="e">
        <f>Stock!R413+"'E4!/Bh"</f>
        <v>#VALUE!</v>
      </c>
      <c r="EF257" s="333" t="e">
        <f>Stock!S413+"'E4!/Bi"</f>
        <v>#VALUE!</v>
      </c>
      <c r="EG257" s="333" t="e">
        <f>Stock!T413+"'E4!/Bj"</f>
        <v>#VALUE!</v>
      </c>
      <c r="EH257" t="e">
        <f>Stock!U413+"'E4!/Bk"</f>
        <v>#VALUE!</v>
      </c>
      <c r="EI257" t="e">
        <f>Stock!V413+"'E4!/Bl"</f>
        <v>#VALUE!</v>
      </c>
      <c r="EJ257" t="e">
        <f>Stock!W413+"'E4!/Bm"</f>
        <v>#VALUE!</v>
      </c>
      <c r="EK257" t="e">
        <f>Stock!X413+"'E4!/Bn"</f>
        <v>#VALUE!</v>
      </c>
      <c r="EL257" t="e">
        <f>Stock!Y413+"'E4!/Bo"</f>
        <v>#VALUE!</v>
      </c>
      <c r="EM257" t="e">
        <f>Stock!N414+"'E4!/Bp"</f>
        <v>#VALUE!</v>
      </c>
      <c r="EN257" t="e">
        <f>Stock!O414+"'E4!/Bq"</f>
        <v>#VALUE!</v>
      </c>
      <c r="EO257" t="e">
        <f>Stock!P414+"'E4!/Br"</f>
        <v>#VALUE!</v>
      </c>
      <c r="EP257" t="e">
        <f>Stock!Q414+"'E4!/Bs"</f>
        <v>#VALUE!</v>
      </c>
      <c r="EQ257" t="e">
        <f>Stock!R414+"'E4!/Bt"</f>
        <v>#VALUE!</v>
      </c>
      <c r="ER257" s="333" t="e">
        <f>Stock!S414+"'E4!/Bu"</f>
        <v>#VALUE!</v>
      </c>
      <c r="ES257" s="333" t="e">
        <f>Stock!T414+"'E4!/Bv"</f>
        <v>#VALUE!</v>
      </c>
      <c r="ET257" t="e">
        <f>Stock!U414+"'E4!/Bw"</f>
        <v>#VALUE!</v>
      </c>
      <c r="EU257" t="e">
        <f>Stock!V414+"'E4!/Bx"</f>
        <v>#VALUE!</v>
      </c>
      <c r="EV257" t="e">
        <f>Stock!W414+"'E4!/By"</f>
        <v>#VALUE!</v>
      </c>
      <c r="EW257" t="e">
        <f>Stock!X414+"'E4!/Bz"</f>
        <v>#VALUE!</v>
      </c>
      <c r="EX257" t="e">
        <f>Stock!Y414+"'E4!/B{"</f>
        <v>#VALUE!</v>
      </c>
      <c r="EY257" t="e">
        <f>Stock!N415+"'E4!/B|"</f>
        <v>#VALUE!</v>
      </c>
      <c r="EZ257" t="e">
        <f>Stock!O415+"'E4!/B}"</f>
        <v>#VALUE!</v>
      </c>
      <c r="FA257" t="e">
        <f>Stock!P415+"'E4!/B~"</f>
        <v>#VALUE!</v>
      </c>
      <c r="FB257" t="e">
        <f>Stock!Q415+"'E4!/C#"</f>
        <v>#VALUE!</v>
      </c>
      <c r="FC257" t="e">
        <f>Stock!R415+"'E4!/C$"</f>
        <v>#VALUE!</v>
      </c>
      <c r="FD257" s="333" t="e">
        <f>Stock!S415+"'E4!/C%"</f>
        <v>#VALUE!</v>
      </c>
      <c r="FE257" s="333" t="e">
        <f>Stock!T415+"'E4!/C&amp;"</f>
        <v>#VALUE!</v>
      </c>
      <c r="FF257" t="e">
        <f>Stock!U415+"'E4!/C'"</f>
        <v>#VALUE!</v>
      </c>
      <c r="FG257" t="e">
        <f>Stock!V415+"'E4!/C("</f>
        <v>#VALUE!</v>
      </c>
      <c r="FH257" t="e">
        <f>Stock!W415+"'E4!/C)"</f>
        <v>#VALUE!</v>
      </c>
      <c r="FI257" t="e">
        <f>Stock!X415+"'E4!/C."</f>
        <v>#VALUE!</v>
      </c>
      <c r="FJ257" t="e">
        <f>Stock!Y415+"'E4!/C/"</f>
        <v>#VALUE!</v>
      </c>
      <c r="FK257" t="e">
        <f>Stock!N416+"'E4!/C0"</f>
        <v>#VALUE!</v>
      </c>
      <c r="FL257" t="e">
        <f>Stock!O416+"'E4!/C1"</f>
        <v>#VALUE!</v>
      </c>
      <c r="FM257" t="e">
        <f>Stock!P416+"'E4!/C2"</f>
        <v>#VALUE!</v>
      </c>
      <c r="FN257" t="e">
        <f>Stock!Q416+"'E4!/C3"</f>
        <v>#VALUE!</v>
      </c>
      <c r="FO257" t="e">
        <f>Stock!R416+"'E4!/C4"</f>
        <v>#VALUE!</v>
      </c>
      <c r="FP257" s="333" t="e">
        <f>Stock!S416+"'E4!/C5"</f>
        <v>#VALUE!</v>
      </c>
      <c r="FQ257" s="333" t="e">
        <f>Stock!T416+"'E4!/C6"</f>
        <v>#VALUE!</v>
      </c>
      <c r="FR257" t="e">
        <f>Stock!U416+"'E4!/C7"</f>
        <v>#VALUE!</v>
      </c>
      <c r="FS257" t="e">
        <f>Stock!V416+"'E4!/C8"</f>
        <v>#VALUE!</v>
      </c>
      <c r="FT257" t="e">
        <f>Stock!W416+"'E4!/C9"</f>
        <v>#VALUE!</v>
      </c>
      <c r="FU257" t="e">
        <f>Stock!X416+"'E4!/C:"</f>
        <v>#VALUE!</v>
      </c>
      <c r="FV257" t="e">
        <f>Stock!Y416+"'E4!/C;"</f>
        <v>#VALUE!</v>
      </c>
      <c r="FW257" t="e">
        <f>Stock!N417+"'E4!/C&lt;"</f>
        <v>#VALUE!</v>
      </c>
      <c r="FX257" t="e">
        <f>Stock!O417+"'E4!/C="</f>
        <v>#VALUE!</v>
      </c>
      <c r="FY257" t="e">
        <f>Stock!P417+"'E4!/C&gt;"</f>
        <v>#VALUE!</v>
      </c>
      <c r="FZ257" t="e">
        <f>Stock!Q417+"'E4!/C?"</f>
        <v>#VALUE!</v>
      </c>
      <c r="GA257" t="e">
        <f>Stock!R417+"'E4!/C@"</f>
        <v>#VALUE!</v>
      </c>
      <c r="GB257" s="333" t="e">
        <f>Stock!S417+"'E4!/CA"</f>
        <v>#VALUE!</v>
      </c>
      <c r="GC257" s="333" t="e">
        <f>Stock!T417+"'E4!/CB"</f>
        <v>#VALUE!</v>
      </c>
      <c r="GD257" t="e">
        <f>Stock!U417+"'E4!/CC"</f>
        <v>#VALUE!</v>
      </c>
      <c r="GE257" t="e">
        <f>Stock!V417+"'E4!/CD"</f>
        <v>#VALUE!</v>
      </c>
      <c r="GF257" t="e">
        <f>Stock!W417+"'E4!/CE"</f>
        <v>#VALUE!</v>
      </c>
      <c r="GG257" t="e">
        <f>Stock!X417+"'E4!/CF"</f>
        <v>#VALUE!</v>
      </c>
      <c r="GH257" t="e">
        <f>Stock!Y417+"'E4!/CG"</f>
        <v>#VALUE!</v>
      </c>
      <c r="GI257" t="e">
        <f>Stock!N418+"'E4!/CH"</f>
        <v>#VALUE!</v>
      </c>
      <c r="GJ257" t="e">
        <f>Stock!O418+"'E4!/CI"</f>
        <v>#VALUE!</v>
      </c>
      <c r="GK257" t="e">
        <f>Stock!P418+"'E4!/CJ"</f>
        <v>#VALUE!</v>
      </c>
      <c r="GL257" t="e">
        <f>Stock!Q418+"'E4!/CK"</f>
        <v>#VALUE!</v>
      </c>
      <c r="GM257" t="e">
        <f>Stock!R418+"'E4!/CL"</f>
        <v>#VALUE!</v>
      </c>
      <c r="GN257" s="333" t="e">
        <f>Stock!S418+"'E4!/CM"</f>
        <v>#VALUE!</v>
      </c>
      <c r="GO257" s="333" t="e">
        <f>Stock!T418+"'E4!/CN"</f>
        <v>#VALUE!</v>
      </c>
      <c r="GP257" t="e">
        <f>Stock!U418+"'E4!/CO"</f>
        <v>#VALUE!</v>
      </c>
      <c r="GQ257" t="e">
        <f>Stock!V418+"'E4!/CP"</f>
        <v>#VALUE!</v>
      </c>
      <c r="GR257" t="e">
        <f>Stock!W418+"'E4!/CQ"</f>
        <v>#VALUE!</v>
      </c>
      <c r="GS257" t="e">
        <f>Stock!X418+"'E4!/CR"</f>
        <v>#VALUE!</v>
      </c>
      <c r="GT257" t="e">
        <f>Stock!Y418+"'E4!/CS"</f>
        <v>#VALUE!</v>
      </c>
      <c r="GU257" t="e">
        <f>Stock!N419+"'E4!/CT"</f>
        <v>#VALUE!</v>
      </c>
      <c r="GV257" t="e">
        <f>Stock!O419+"'E4!/CU"</f>
        <v>#VALUE!</v>
      </c>
      <c r="GW257" t="e">
        <f>Stock!P419+"'E4!/CV"</f>
        <v>#VALUE!</v>
      </c>
      <c r="GX257" t="e">
        <f>Stock!Q419+"'E4!/CW"</f>
        <v>#VALUE!</v>
      </c>
      <c r="GY257" t="e">
        <f>Stock!R419+"'E4!/CX"</f>
        <v>#VALUE!</v>
      </c>
      <c r="GZ257" s="333" t="e">
        <f>Stock!S419+"'E4!/CY"</f>
        <v>#VALUE!</v>
      </c>
      <c r="HA257" s="333" t="e">
        <f>Stock!T419+"'E4!/CZ"</f>
        <v>#VALUE!</v>
      </c>
      <c r="HB257" t="e">
        <f>Stock!U419+"'E4!/C["</f>
        <v>#VALUE!</v>
      </c>
      <c r="HC257" t="e">
        <f>Stock!V419+"'E4!/C\"</f>
        <v>#VALUE!</v>
      </c>
      <c r="HD257" t="e">
        <f>Stock!W419+"'E4!/C]"</f>
        <v>#VALUE!</v>
      </c>
      <c r="HE257" t="e">
        <f>Stock!X419+"'E4!/C^"</f>
        <v>#VALUE!</v>
      </c>
      <c r="HF257" t="e">
        <f>Stock!Y419+"'E4!/C_"</f>
        <v>#VALUE!</v>
      </c>
      <c r="HG257" t="e">
        <f>Stock!N420+"'E4!/C`"</f>
        <v>#VALUE!</v>
      </c>
      <c r="HH257" t="e">
        <f>Stock!O420+"'E4!/Ca"</f>
        <v>#VALUE!</v>
      </c>
      <c r="HI257" t="e">
        <f>Stock!P420+"'E4!/Cb"</f>
        <v>#VALUE!</v>
      </c>
      <c r="HJ257" t="e">
        <f>Stock!Q420+"'E4!/Cc"</f>
        <v>#VALUE!</v>
      </c>
      <c r="HK257" t="e">
        <f>Stock!R420+"'E4!/Cd"</f>
        <v>#VALUE!</v>
      </c>
      <c r="HL257" s="333" t="e">
        <f>Stock!S420+"'E4!/Ce"</f>
        <v>#VALUE!</v>
      </c>
      <c r="HM257" s="333" t="e">
        <f>Stock!T420+"'E4!/Cf"</f>
        <v>#VALUE!</v>
      </c>
      <c r="HN257" t="e">
        <f>Stock!U420+"'E4!/Cg"</f>
        <v>#VALUE!</v>
      </c>
      <c r="HO257" t="e">
        <f>Stock!V420+"'E4!/Ch"</f>
        <v>#VALUE!</v>
      </c>
      <c r="HP257" t="e">
        <f>Stock!W420+"'E4!/Ci"</f>
        <v>#VALUE!</v>
      </c>
      <c r="HQ257" t="e">
        <f>Stock!X420+"'E4!/Cj"</f>
        <v>#VALUE!</v>
      </c>
      <c r="HR257" t="e">
        <f>Stock!Y420+"'E4!/Ck"</f>
        <v>#VALUE!</v>
      </c>
      <c r="HS257" t="e">
        <f>Stock!N421+"'E4!/Cl"</f>
        <v>#VALUE!</v>
      </c>
      <c r="HT257" t="e">
        <f>Stock!O421+"'E4!/Cm"</f>
        <v>#VALUE!</v>
      </c>
      <c r="HU257" t="e">
        <f>Stock!P421+"'E4!/Cn"</f>
        <v>#VALUE!</v>
      </c>
      <c r="HV257" t="e">
        <f>Stock!Q421+"'E4!/Co"</f>
        <v>#VALUE!</v>
      </c>
      <c r="HW257" t="e">
        <f>Stock!R421+"'E4!/Cp"</f>
        <v>#VALUE!</v>
      </c>
      <c r="HX257" s="333" t="e">
        <f>Stock!S421+"'E4!/Cq"</f>
        <v>#VALUE!</v>
      </c>
      <c r="HY257" s="333" t="e">
        <f>Stock!T421+"'E4!/Cr"</f>
        <v>#VALUE!</v>
      </c>
      <c r="HZ257" t="e">
        <f>Stock!U421+"'E4!/Cs"</f>
        <v>#VALUE!</v>
      </c>
      <c r="IA257" t="e">
        <f>Stock!V421+"'E4!/Ct"</f>
        <v>#VALUE!</v>
      </c>
      <c r="IB257" t="e">
        <f>Stock!W421+"'E4!/Cu"</f>
        <v>#VALUE!</v>
      </c>
      <c r="IC257" t="e">
        <f>Stock!X421+"'E4!/Cv"</f>
        <v>#VALUE!</v>
      </c>
      <c r="ID257" t="e">
        <f>Stock!Y421+"'E4!/Cw"</f>
        <v>#VALUE!</v>
      </c>
      <c r="IE257" t="e">
        <f>Stock!N422+"'E4!/Cx"</f>
        <v>#VALUE!</v>
      </c>
      <c r="IF257" t="e">
        <f>Stock!O422+"'E4!/Cy"</f>
        <v>#VALUE!</v>
      </c>
      <c r="IG257" t="e">
        <f>Stock!P422+"'E4!/Cz"</f>
        <v>#VALUE!</v>
      </c>
      <c r="IH257" t="e">
        <f>Stock!Q422+"'E4!/C{"</f>
        <v>#VALUE!</v>
      </c>
      <c r="II257" t="e">
        <f>Stock!R422+"'E4!/C|"</f>
        <v>#VALUE!</v>
      </c>
      <c r="IJ257" s="333" t="e">
        <f>Stock!S422+"'E4!/C}"</f>
        <v>#VALUE!</v>
      </c>
      <c r="IK257" s="333" t="e">
        <f>Stock!T422+"'E4!/C~"</f>
        <v>#VALUE!</v>
      </c>
      <c r="IL257" t="e">
        <f>Stock!U422+"'E4!/D#"</f>
        <v>#VALUE!</v>
      </c>
      <c r="IM257" t="e">
        <f>Stock!V422+"'E4!/D$"</f>
        <v>#VALUE!</v>
      </c>
      <c r="IN257" t="e">
        <f>Stock!W422+"'E4!/D%"</f>
        <v>#VALUE!</v>
      </c>
      <c r="IO257" t="e">
        <f>Stock!X422+"'E4!/D&amp;"</f>
        <v>#VALUE!</v>
      </c>
      <c r="IP257" t="e">
        <f>Stock!Y422+"'E4!/D'"</f>
        <v>#VALUE!</v>
      </c>
      <c r="IQ257" t="e">
        <f>Stock!N423+"'E4!/D("</f>
        <v>#VALUE!</v>
      </c>
      <c r="IR257" t="e">
        <f>Stock!O423+"'E4!/D)"</f>
        <v>#VALUE!</v>
      </c>
      <c r="IS257" t="e">
        <f>Stock!P423+"'E4!/D."</f>
        <v>#VALUE!</v>
      </c>
      <c r="IT257" t="e">
        <f>Stock!Q423+"'E4!/D/"</f>
        <v>#VALUE!</v>
      </c>
      <c r="IU257" t="e">
        <f>Stock!R423+"'E4!/D0"</f>
        <v>#VALUE!</v>
      </c>
      <c r="IV257" s="333" t="e">
        <f>Stock!S423+"'E4!/D1"</f>
        <v>#VALUE!</v>
      </c>
    </row>
    <row r="258" spans="6:256">
      <c r="F258" s="333" t="e">
        <f>Stock!T423+"'E4!/D2"</f>
        <v>#VALUE!</v>
      </c>
      <c r="G258" t="e">
        <f>Stock!U423+"'E4!/D3"</f>
        <v>#VALUE!</v>
      </c>
      <c r="H258" t="e">
        <f>Stock!V423+"'E4!/D4"</f>
        <v>#VALUE!</v>
      </c>
      <c r="I258" t="e">
        <f>Stock!W423+"'E4!/D5"</f>
        <v>#VALUE!</v>
      </c>
      <c r="J258" t="e">
        <f>Stock!X423+"'E4!/D6"</f>
        <v>#VALUE!</v>
      </c>
      <c r="K258" t="e">
        <f>Stock!Y423+"'E4!/D7"</f>
        <v>#VALUE!</v>
      </c>
      <c r="L258" t="e">
        <f>Stock!N424+"'E4!/D8"</f>
        <v>#VALUE!</v>
      </c>
      <c r="M258" t="e">
        <f>Stock!O424+"'E4!/D9"</f>
        <v>#VALUE!</v>
      </c>
      <c r="N258" t="e">
        <f>Stock!P424+"'E4!/D:"</f>
        <v>#VALUE!</v>
      </c>
      <c r="O258" t="e">
        <f>Stock!Q424+"'E4!/D;"</f>
        <v>#VALUE!</v>
      </c>
      <c r="P258" t="e">
        <f>Stock!R424+"'E4!/D&lt;"</f>
        <v>#VALUE!</v>
      </c>
      <c r="Q258" s="333" t="e">
        <f>Stock!S424+"'E4!/D="</f>
        <v>#VALUE!</v>
      </c>
      <c r="R258" s="333" t="e">
        <f>Stock!T424+"'E4!/D&gt;"</f>
        <v>#VALUE!</v>
      </c>
      <c r="S258" t="e">
        <f>Stock!U424+"'E4!/D?"</f>
        <v>#VALUE!</v>
      </c>
      <c r="T258" t="e">
        <f>Stock!V424+"'E4!/D@"</f>
        <v>#VALUE!</v>
      </c>
      <c r="U258" t="e">
        <f>Stock!W424+"'E4!/DA"</f>
        <v>#VALUE!</v>
      </c>
      <c r="V258" t="e">
        <f>Stock!X424+"'E4!/DB"</f>
        <v>#VALUE!</v>
      </c>
      <c r="W258" t="e">
        <f>Stock!Y424+"'E4!/DC"</f>
        <v>#VALUE!</v>
      </c>
      <c r="X258" t="e">
        <f>Stock!N425+"'E4!/DD"</f>
        <v>#VALUE!</v>
      </c>
      <c r="Y258" t="e">
        <f>Stock!O425+"'E4!/DE"</f>
        <v>#VALUE!</v>
      </c>
      <c r="Z258" t="e">
        <f>Stock!P425+"'E4!/DF"</f>
        <v>#VALUE!</v>
      </c>
      <c r="AA258" t="e">
        <f>Stock!Q425+"'E4!/DG"</f>
        <v>#VALUE!</v>
      </c>
      <c r="AB258" t="e">
        <f>Stock!R425+"'E4!/DH"</f>
        <v>#VALUE!</v>
      </c>
      <c r="AC258" s="333" t="e">
        <f>Stock!S425+"'E4!/DI"</f>
        <v>#VALUE!</v>
      </c>
      <c r="AD258" s="333" t="e">
        <f>Stock!T425+"'E4!/DJ"</f>
        <v>#VALUE!</v>
      </c>
      <c r="AE258" t="e">
        <f>Stock!U425+"'E4!/DK"</f>
        <v>#VALUE!</v>
      </c>
      <c r="AF258" t="e">
        <f>Stock!V425+"'E4!/DL"</f>
        <v>#VALUE!</v>
      </c>
      <c r="AG258" t="e">
        <f>Stock!W425+"'E4!/DM"</f>
        <v>#VALUE!</v>
      </c>
      <c r="AH258" t="e">
        <f>Stock!X425+"'E4!/DN"</f>
        <v>#VALUE!</v>
      </c>
      <c r="AI258" t="e">
        <f>Stock!Y425+"'E4!/DO"</f>
        <v>#VALUE!</v>
      </c>
      <c r="AJ258" t="e">
        <f>Stock!N426+"'E4!/DP"</f>
        <v>#VALUE!</v>
      </c>
      <c r="AK258" t="e">
        <f>Stock!O426+"'E4!/DQ"</f>
        <v>#VALUE!</v>
      </c>
      <c r="AL258" t="e">
        <f>Stock!P426+"'E4!/DR"</f>
        <v>#VALUE!</v>
      </c>
      <c r="AM258" t="e">
        <f>Stock!Q426+"'E4!/DS"</f>
        <v>#VALUE!</v>
      </c>
      <c r="AN258" t="e">
        <f>Stock!R426+"'E4!/DT"</f>
        <v>#VALUE!</v>
      </c>
      <c r="AO258" s="333" t="e">
        <f>Stock!S426+"'E4!/DU"</f>
        <v>#VALUE!</v>
      </c>
      <c r="AP258" s="333" t="e">
        <f>Stock!T426+"'E4!/DV"</f>
        <v>#VALUE!</v>
      </c>
      <c r="AQ258" t="e">
        <f>Stock!U426+"'E4!/DW"</f>
        <v>#VALUE!</v>
      </c>
      <c r="AR258" t="e">
        <f>Stock!V426+"'E4!/DX"</f>
        <v>#VALUE!</v>
      </c>
      <c r="AS258" t="e">
        <f>Stock!W426+"'E4!/DY"</f>
        <v>#VALUE!</v>
      </c>
      <c r="AT258" t="e">
        <f>Stock!X426+"'E4!/DZ"</f>
        <v>#VALUE!</v>
      </c>
      <c r="AU258" t="e">
        <f>Stock!Y426+"'E4!/D["</f>
        <v>#VALUE!</v>
      </c>
      <c r="AV258" t="e">
        <f>Stock!N427+"'E4!/D\"</f>
        <v>#VALUE!</v>
      </c>
      <c r="AW258" t="e">
        <f>Stock!O427+"'E4!/D]"</f>
        <v>#VALUE!</v>
      </c>
      <c r="AX258" t="e">
        <f>Stock!P427+"'E4!/D^"</f>
        <v>#VALUE!</v>
      </c>
      <c r="AY258" t="e">
        <f>Stock!Q427+"'E4!/D_"</f>
        <v>#VALUE!</v>
      </c>
      <c r="AZ258" t="e">
        <f>Stock!R427+"'E4!/D`"</f>
        <v>#VALUE!</v>
      </c>
      <c r="BA258" s="333" t="e">
        <f>Stock!S427+"'E4!/Da"</f>
        <v>#VALUE!</v>
      </c>
      <c r="BB258" s="333" t="e">
        <f>Stock!T427+"'E4!/Db"</f>
        <v>#VALUE!</v>
      </c>
      <c r="BC258" t="e">
        <f>Stock!U427+"'E4!/Dc"</f>
        <v>#VALUE!</v>
      </c>
      <c r="BD258" t="e">
        <f>Stock!V427+"'E4!/Dd"</f>
        <v>#VALUE!</v>
      </c>
      <c r="BE258" t="e">
        <f>Stock!W427+"'E4!/De"</f>
        <v>#VALUE!</v>
      </c>
      <c r="BF258" t="e">
        <f>Stock!X427+"'E4!/Df"</f>
        <v>#VALUE!</v>
      </c>
      <c r="BG258" t="e">
        <f>Stock!Y427+"'E4!/Dg"</f>
        <v>#VALUE!</v>
      </c>
      <c r="BH258" t="e">
        <f>Stock!N428+"'E4!/Dh"</f>
        <v>#VALUE!</v>
      </c>
      <c r="BI258" t="e">
        <f>Stock!O428+"'E4!/Di"</f>
        <v>#VALUE!</v>
      </c>
      <c r="BJ258" t="e">
        <f>Stock!P428+"'E4!/Dj"</f>
        <v>#VALUE!</v>
      </c>
      <c r="BK258" t="e">
        <f>Stock!Q428+"'E4!/Dk"</f>
        <v>#VALUE!</v>
      </c>
      <c r="BL258" t="e">
        <f>Stock!R428+"'E4!/Dl"</f>
        <v>#VALUE!</v>
      </c>
      <c r="BM258" s="333" t="e">
        <f>Stock!S428+"'E4!/Dm"</f>
        <v>#VALUE!</v>
      </c>
      <c r="BN258" s="333" t="e">
        <f>Stock!T428+"'E4!/Dn"</f>
        <v>#VALUE!</v>
      </c>
      <c r="BO258" t="e">
        <f>Stock!U428+"'E4!/Do"</f>
        <v>#VALUE!</v>
      </c>
      <c r="BP258" t="e">
        <f>Stock!V428+"'E4!/Dp"</f>
        <v>#VALUE!</v>
      </c>
      <c r="BQ258" t="e">
        <f>Stock!W428+"'E4!/Dq"</f>
        <v>#VALUE!</v>
      </c>
      <c r="BR258" t="e">
        <f>Stock!X428+"'E4!/Dr"</f>
        <v>#VALUE!</v>
      </c>
      <c r="BS258" t="e">
        <f>Stock!Y428+"'E4!/Ds"</f>
        <v>#VALUE!</v>
      </c>
      <c r="BT258" t="e">
        <f>Stock!N429+"'E4!/Dt"</f>
        <v>#VALUE!</v>
      </c>
      <c r="BU258" t="e">
        <f>Stock!O429+"'E4!/Du"</f>
        <v>#VALUE!</v>
      </c>
      <c r="BV258" t="e">
        <f>Stock!P429+"'E4!/Dv"</f>
        <v>#VALUE!</v>
      </c>
      <c r="BW258" t="e">
        <f>Stock!Q429+"'E4!/Dw"</f>
        <v>#VALUE!</v>
      </c>
      <c r="BX258" t="e">
        <f>Stock!R429+"'E4!/Dx"</f>
        <v>#VALUE!</v>
      </c>
      <c r="BY258" s="333" t="e">
        <f>Stock!S429+"'E4!/Dy"</f>
        <v>#VALUE!</v>
      </c>
      <c r="BZ258" s="333" t="e">
        <f>Stock!T429+"'E4!/Dz"</f>
        <v>#VALUE!</v>
      </c>
      <c r="CA258" t="e">
        <f>Stock!U429+"'E4!/D{"</f>
        <v>#VALUE!</v>
      </c>
      <c r="CB258" t="e">
        <f>Stock!V429+"'E4!/D|"</f>
        <v>#VALUE!</v>
      </c>
      <c r="CC258" t="e">
        <f>Stock!W429+"'E4!/D}"</f>
        <v>#VALUE!</v>
      </c>
      <c r="CD258" t="e">
        <f>Stock!X429+"'E4!/D~"</f>
        <v>#VALUE!</v>
      </c>
      <c r="CE258" t="e">
        <f>Stock!Y429+"'E4!/E#"</f>
        <v>#VALUE!</v>
      </c>
      <c r="CF258" t="e">
        <f>Stock!N430+"'E4!/E$"</f>
        <v>#VALUE!</v>
      </c>
      <c r="CG258" t="e">
        <f>Stock!O430+"'E4!/E%"</f>
        <v>#VALUE!</v>
      </c>
      <c r="CH258" t="e">
        <f>Stock!P430+"'E4!/E&amp;"</f>
        <v>#VALUE!</v>
      </c>
      <c r="CI258" t="e">
        <f>Stock!Q430+"'E4!/E'"</f>
        <v>#VALUE!</v>
      </c>
      <c r="CJ258" t="e">
        <f>Stock!R430+"'E4!/E("</f>
        <v>#VALUE!</v>
      </c>
      <c r="CK258" s="333" t="e">
        <f>Stock!S430+"'E4!/E)"</f>
        <v>#VALUE!</v>
      </c>
      <c r="CL258" s="333" t="e">
        <f>Stock!T430+"'E4!/E."</f>
        <v>#VALUE!</v>
      </c>
      <c r="CM258" t="e">
        <f>Stock!U430+"'E4!/E/"</f>
        <v>#VALUE!</v>
      </c>
      <c r="CN258" t="e">
        <f>Stock!V430+"'E4!/E0"</f>
        <v>#VALUE!</v>
      </c>
      <c r="CO258" t="e">
        <f>Stock!W430+"'E4!/E1"</f>
        <v>#VALUE!</v>
      </c>
      <c r="CP258" t="e">
        <f>Stock!X430+"'E4!/E2"</f>
        <v>#VALUE!</v>
      </c>
      <c r="CQ258" t="e">
        <f>Stock!Y430+"'E4!/E3"</f>
        <v>#VALUE!</v>
      </c>
      <c r="CR258" t="e">
        <f>Stock!N431+"'E4!/E4"</f>
        <v>#VALUE!</v>
      </c>
      <c r="CS258" t="e">
        <f>Stock!O431+"'E4!/E5"</f>
        <v>#VALUE!</v>
      </c>
      <c r="CT258" t="e">
        <f>Stock!P431+"'E4!/E6"</f>
        <v>#VALUE!</v>
      </c>
      <c r="CU258" t="e">
        <f>Stock!Q431+"'E4!/E7"</f>
        <v>#VALUE!</v>
      </c>
      <c r="CV258" t="e">
        <f>Stock!R431+"'E4!/E8"</f>
        <v>#VALUE!</v>
      </c>
      <c r="CW258" s="333" t="e">
        <f>Stock!S431+"'E4!/E9"</f>
        <v>#VALUE!</v>
      </c>
      <c r="CX258" s="333" t="e">
        <f>Stock!T431+"'E4!/E:"</f>
        <v>#VALUE!</v>
      </c>
      <c r="CY258" t="e">
        <f>Stock!U431+"'E4!/E;"</f>
        <v>#VALUE!</v>
      </c>
      <c r="CZ258" t="e">
        <f>Stock!V431+"'E4!/E&lt;"</f>
        <v>#VALUE!</v>
      </c>
      <c r="DA258" t="e">
        <f>Stock!W431+"'E4!/E="</f>
        <v>#VALUE!</v>
      </c>
      <c r="DB258" t="e">
        <f>Stock!X431+"'E4!/E&gt;"</f>
        <v>#VALUE!</v>
      </c>
      <c r="DC258" t="e">
        <f>Stock!Y431+"'E4!/E?"</f>
        <v>#VALUE!</v>
      </c>
      <c r="DD258" t="e">
        <f>Stock!N432+"'E4!/E@"</f>
        <v>#VALUE!</v>
      </c>
      <c r="DE258" t="e">
        <f>Stock!O432+"'E4!/EA"</f>
        <v>#VALUE!</v>
      </c>
      <c r="DF258" t="e">
        <f>Stock!P432+"'E4!/EB"</f>
        <v>#VALUE!</v>
      </c>
      <c r="DG258" t="e">
        <f>Stock!Q432+"'E4!/EC"</f>
        <v>#VALUE!</v>
      </c>
      <c r="DH258" t="e">
        <f>Stock!R432+"'E4!/ED"</f>
        <v>#VALUE!</v>
      </c>
      <c r="DI258" s="333" t="e">
        <f>Stock!S432+"'E4!/EE"</f>
        <v>#VALUE!</v>
      </c>
      <c r="DJ258" s="333" t="e">
        <f>Stock!T432+"'E4!/EF"</f>
        <v>#VALUE!</v>
      </c>
      <c r="DK258" t="e">
        <f>Stock!U432+"'E4!/EG"</f>
        <v>#VALUE!</v>
      </c>
      <c r="DL258" t="e">
        <f>Stock!V432+"'E4!/EH"</f>
        <v>#VALUE!</v>
      </c>
      <c r="DM258" t="e">
        <f>Stock!W432+"'E4!/EI"</f>
        <v>#VALUE!</v>
      </c>
      <c r="DN258" t="e">
        <f>Stock!X432+"'E4!/EJ"</f>
        <v>#VALUE!</v>
      </c>
      <c r="DO258" t="e">
        <f>Stock!Y432+"'E4!/EK"</f>
        <v>#VALUE!</v>
      </c>
      <c r="DP258" t="e">
        <f>Stock!N433+"'E4!/EL"</f>
        <v>#VALUE!</v>
      </c>
      <c r="DQ258" t="e">
        <f>Stock!O433+"'E4!/EM"</f>
        <v>#VALUE!</v>
      </c>
      <c r="DR258" t="e">
        <f>Stock!P433+"'E4!/EN"</f>
        <v>#VALUE!</v>
      </c>
      <c r="DS258" t="e">
        <f>Stock!Q433+"'E4!/EO"</f>
        <v>#VALUE!</v>
      </c>
      <c r="DT258" t="e">
        <f>Stock!R433+"'E4!/EP"</f>
        <v>#VALUE!</v>
      </c>
      <c r="DU258" s="333" t="e">
        <f>Stock!S433+"'E4!/EQ"</f>
        <v>#VALUE!</v>
      </c>
      <c r="DV258" s="333" t="e">
        <f>Stock!T433+"'E4!/ER"</f>
        <v>#VALUE!</v>
      </c>
      <c r="DW258" t="e">
        <f>Stock!U433+"'E4!/ES"</f>
        <v>#VALUE!</v>
      </c>
      <c r="DX258" t="e">
        <f>Stock!V433+"'E4!/ET"</f>
        <v>#VALUE!</v>
      </c>
      <c r="DY258" t="e">
        <f>Stock!W433+"'E4!/EU"</f>
        <v>#VALUE!</v>
      </c>
      <c r="DZ258" t="e">
        <f>Stock!X433+"'E4!/EV"</f>
        <v>#VALUE!</v>
      </c>
      <c r="EA258" t="e">
        <f>Stock!Y433+"'E4!/EW"</f>
        <v>#VALUE!</v>
      </c>
      <c r="EB258" t="e">
        <f>Stock!N434+"'E4!/EX"</f>
        <v>#VALUE!</v>
      </c>
      <c r="EC258" t="e">
        <f>Stock!O434+"'E4!/EY"</f>
        <v>#VALUE!</v>
      </c>
      <c r="ED258" t="e">
        <f>Stock!P434+"'E4!/EZ"</f>
        <v>#VALUE!</v>
      </c>
      <c r="EE258" t="e">
        <f>Stock!Q434+"'E4!/E["</f>
        <v>#VALUE!</v>
      </c>
      <c r="EF258" t="e">
        <f>Stock!R434+"'E4!/E\"</f>
        <v>#VALUE!</v>
      </c>
      <c r="EG258" s="333" t="e">
        <f>Stock!S434+"'E4!/E]"</f>
        <v>#VALUE!</v>
      </c>
      <c r="EH258" s="333" t="e">
        <f>Stock!T434+"'E4!/E^"</f>
        <v>#VALUE!</v>
      </c>
      <c r="EI258" t="e">
        <f>Stock!U434+"'E4!/E_"</f>
        <v>#VALUE!</v>
      </c>
      <c r="EJ258" t="e">
        <f>Stock!V434+"'E4!/E`"</f>
        <v>#VALUE!</v>
      </c>
      <c r="EK258" t="e">
        <f>Stock!W434+"'E4!/Ea"</f>
        <v>#VALUE!</v>
      </c>
      <c r="EL258" t="e">
        <f>Stock!X434+"'E4!/Eb"</f>
        <v>#VALUE!</v>
      </c>
      <c r="EM258" t="e">
        <f>Stock!Y434+"'E4!/Ec"</f>
        <v>#VALUE!</v>
      </c>
      <c r="EN258" t="e">
        <f>Stock!N435+"'E4!/Ed"</f>
        <v>#VALUE!</v>
      </c>
      <c r="EO258" t="e">
        <f>Stock!O435+"'E4!/Ee"</f>
        <v>#VALUE!</v>
      </c>
      <c r="EP258" t="e">
        <f>Stock!P435+"'E4!/Ef"</f>
        <v>#VALUE!</v>
      </c>
      <c r="EQ258" t="e">
        <f>Stock!Q435+"'E4!/Eg"</f>
        <v>#VALUE!</v>
      </c>
      <c r="ER258" t="e">
        <f>Stock!R435+"'E4!/Eh"</f>
        <v>#VALUE!</v>
      </c>
      <c r="ES258" s="333" t="e">
        <f>Stock!S435+"'E4!/Ei"</f>
        <v>#VALUE!</v>
      </c>
      <c r="ET258" s="333" t="e">
        <f>Stock!T435+"'E4!/Ej"</f>
        <v>#VALUE!</v>
      </c>
      <c r="EU258" t="e">
        <f>Stock!U435+"'E4!/Ek"</f>
        <v>#VALUE!</v>
      </c>
      <c r="EV258" t="e">
        <f>Stock!V435+"'E4!/El"</f>
        <v>#VALUE!</v>
      </c>
      <c r="EW258" t="e">
        <f>Stock!W435+"'E4!/Em"</f>
        <v>#VALUE!</v>
      </c>
      <c r="EX258" t="e">
        <f>Stock!X435+"'E4!/En"</f>
        <v>#VALUE!</v>
      </c>
      <c r="EY258" t="e">
        <f>Stock!Y435+"'E4!/Eo"</f>
        <v>#VALUE!</v>
      </c>
      <c r="EZ258" t="e">
        <f>Stock!N436+"'E4!/Ep"</f>
        <v>#VALUE!</v>
      </c>
      <c r="FA258" t="e">
        <f>Stock!O436+"'E4!/Eq"</f>
        <v>#VALUE!</v>
      </c>
      <c r="FB258" t="e">
        <f>Stock!P436+"'E4!/Er"</f>
        <v>#VALUE!</v>
      </c>
      <c r="FC258" t="e">
        <f>Stock!Q436+"'E4!/Es"</f>
        <v>#VALUE!</v>
      </c>
      <c r="FD258" t="e">
        <f>Stock!R436+"'E4!/Et"</f>
        <v>#VALUE!</v>
      </c>
      <c r="FE258" s="333" t="e">
        <f>Stock!S436+"'E4!/Eu"</f>
        <v>#VALUE!</v>
      </c>
      <c r="FF258" s="333" t="e">
        <f>Stock!T436+"'E4!/Ev"</f>
        <v>#VALUE!</v>
      </c>
      <c r="FG258" t="e">
        <f>Stock!U436+"'E4!/Ew"</f>
        <v>#VALUE!</v>
      </c>
      <c r="FH258" t="e">
        <f>Stock!V436+"'E4!/Ex"</f>
        <v>#VALUE!</v>
      </c>
      <c r="FI258" t="e">
        <f>Stock!W436+"'E4!/Ey"</f>
        <v>#VALUE!</v>
      </c>
      <c r="FJ258" t="e">
        <f>Stock!X436+"'E4!/Ez"</f>
        <v>#VALUE!</v>
      </c>
      <c r="FK258" t="e">
        <f>Stock!Y436+"'E4!/E{"</f>
        <v>#VALUE!</v>
      </c>
      <c r="FL258" t="e">
        <f>Stock!N437+"'E4!/E|"</f>
        <v>#VALUE!</v>
      </c>
      <c r="FM258" t="e">
        <f>Stock!O437+"'E4!/E}"</f>
        <v>#VALUE!</v>
      </c>
      <c r="FN258" t="e">
        <f>Stock!P437+"'E4!/E~"</f>
        <v>#VALUE!</v>
      </c>
      <c r="FO258" t="e">
        <f>Stock!Q437+"'E4!/F#"</f>
        <v>#VALUE!</v>
      </c>
      <c r="FP258" t="e">
        <f>Stock!R437+"'E4!/F$"</f>
        <v>#VALUE!</v>
      </c>
      <c r="FQ258" s="333" t="e">
        <f>Stock!S437+"'E4!/F%"</f>
        <v>#VALUE!</v>
      </c>
      <c r="FR258" s="333" t="e">
        <f>Stock!T437+"'E4!/F&amp;"</f>
        <v>#VALUE!</v>
      </c>
      <c r="FS258" t="e">
        <f>Stock!U437+"'E4!/F'"</f>
        <v>#VALUE!</v>
      </c>
      <c r="FT258" t="e">
        <f>Stock!V437+"'E4!/F("</f>
        <v>#VALUE!</v>
      </c>
      <c r="FU258" t="e">
        <f>Stock!W437+"'E4!/F)"</f>
        <v>#VALUE!</v>
      </c>
      <c r="FV258" t="e">
        <f>Stock!X437+"'E4!/F."</f>
        <v>#VALUE!</v>
      </c>
      <c r="FW258" t="e">
        <f>Stock!Y437+"'E4!/F/"</f>
        <v>#VALUE!</v>
      </c>
      <c r="FX258" t="e">
        <f>Stock!N438+"'E4!/F0"</f>
        <v>#VALUE!</v>
      </c>
      <c r="FY258" t="e">
        <f>Stock!O438+"'E4!/F1"</f>
        <v>#VALUE!</v>
      </c>
      <c r="FZ258" t="e">
        <f>Stock!P438+"'E4!/F2"</f>
        <v>#VALUE!</v>
      </c>
      <c r="GA258" t="e">
        <f>Stock!Q438+"'E4!/F3"</f>
        <v>#VALUE!</v>
      </c>
      <c r="GB258" t="e">
        <f>Stock!R438+"'E4!/F4"</f>
        <v>#VALUE!</v>
      </c>
      <c r="GC258" s="333" t="e">
        <f>Stock!S438+"'E4!/F5"</f>
        <v>#VALUE!</v>
      </c>
      <c r="GD258" s="333" t="e">
        <f>Stock!T438+"'E4!/F6"</f>
        <v>#VALUE!</v>
      </c>
      <c r="GE258" t="e">
        <f>Stock!U438+"'E4!/F7"</f>
        <v>#VALUE!</v>
      </c>
      <c r="GF258" t="e">
        <f>Stock!V438+"'E4!/F8"</f>
        <v>#VALUE!</v>
      </c>
      <c r="GG258" t="e">
        <f>Stock!W438+"'E4!/F9"</f>
        <v>#VALUE!</v>
      </c>
      <c r="GH258" t="e">
        <f>Stock!X438+"'E4!/F:"</f>
        <v>#VALUE!</v>
      </c>
      <c r="GI258" t="e">
        <f>Stock!Y438+"'E4!/F;"</f>
        <v>#VALUE!</v>
      </c>
      <c r="GJ258" t="e">
        <f>Stock!N439+"'E4!/F&lt;"</f>
        <v>#VALUE!</v>
      </c>
      <c r="GK258" t="e">
        <f>Stock!O439+"'E4!/F="</f>
        <v>#VALUE!</v>
      </c>
      <c r="GL258" t="e">
        <f>Stock!P439+"'E4!/F&gt;"</f>
        <v>#VALUE!</v>
      </c>
      <c r="GM258" t="e">
        <f>Stock!Q439+"'E4!/F?"</f>
        <v>#VALUE!</v>
      </c>
      <c r="GN258" t="e">
        <f>Stock!R439+"'E4!/F@"</f>
        <v>#VALUE!</v>
      </c>
      <c r="GO258" s="333" t="e">
        <f>Stock!S439+"'E4!/FA"</f>
        <v>#VALUE!</v>
      </c>
      <c r="GP258" s="333" t="e">
        <f>Stock!T439+"'E4!/FB"</f>
        <v>#VALUE!</v>
      </c>
      <c r="GQ258" t="e">
        <f>Stock!U439+"'E4!/FC"</f>
        <v>#VALUE!</v>
      </c>
      <c r="GR258" t="e">
        <f>Stock!V439+"'E4!/FD"</f>
        <v>#VALUE!</v>
      </c>
      <c r="GS258" t="e">
        <f>Stock!W439+"'E4!/FE"</f>
        <v>#VALUE!</v>
      </c>
      <c r="GT258" t="e">
        <f>Stock!X439+"'E4!/FF"</f>
        <v>#VALUE!</v>
      </c>
      <c r="GU258" t="e">
        <f>Stock!Y439+"'E4!/FG"</f>
        <v>#VALUE!</v>
      </c>
      <c r="GV258" t="e">
        <f>Stock!N440+"'E4!/FH"</f>
        <v>#VALUE!</v>
      </c>
      <c r="GW258" t="e">
        <f>Stock!O440+"'E4!/FI"</f>
        <v>#VALUE!</v>
      </c>
      <c r="GX258" t="e">
        <f>Stock!P440+"'E4!/FJ"</f>
        <v>#VALUE!</v>
      </c>
      <c r="GY258" t="e">
        <f>Stock!Q440+"'E4!/FK"</f>
        <v>#VALUE!</v>
      </c>
      <c r="GZ258" t="e">
        <f>Stock!R440+"'E4!/FL"</f>
        <v>#VALUE!</v>
      </c>
      <c r="HA258" s="333" t="e">
        <f>Stock!S440+"'E4!/FM"</f>
        <v>#VALUE!</v>
      </c>
      <c r="HB258" s="333" t="e">
        <f>Stock!T440+"'E4!/FN"</f>
        <v>#VALUE!</v>
      </c>
      <c r="HC258" t="e">
        <f>Stock!U440+"'E4!/FO"</f>
        <v>#VALUE!</v>
      </c>
      <c r="HD258" t="e">
        <f>Stock!V440+"'E4!/FP"</f>
        <v>#VALUE!</v>
      </c>
      <c r="HE258" t="e">
        <f>Stock!W440+"'E4!/FQ"</f>
        <v>#VALUE!</v>
      </c>
      <c r="HF258" t="e">
        <f>Stock!X440+"'E4!/FR"</f>
        <v>#VALUE!</v>
      </c>
      <c r="HG258" t="e">
        <f>Stock!Y440+"'E4!/FS"</f>
        <v>#VALUE!</v>
      </c>
      <c r="HH258" t="e">
        <f>Stock!N441+"'E4!/FT"</f>
        <v>#VALUE!</v>
      </c>
      <c r="HI258" t="e">
        <f>Stock!O441+"'E4!/FU"</f>
        <v>#VALUE!</v>
      </c>
      <c r="HJ258" t="e">
        <f>Stock!P441+"'E4!/FV"</f>
        <v>#VALUE!</v>
      </c>
      <c r="HK258" t="e">
        <f>Stock!Q441+"'E4!/FW"</f>
        <v>#VALUE!</v>
      </c>
      <c r="HL258" t="e">
        <f>Stock!R441+"'E4!/FX"</f>
        <v>#VALUE!</v>
      </c>
      <c r="HM258" s="333" t="e">
        <f>Stock!S441+"'E4!/FY"</f>
        <v>#VALUE!</v>
      </c>
      <c r="HN258" s="333" t="e">
        <f>Stock!T441+"'E4!/FZ"</f>
        <v>#VALUE!</v>
      </c>
      <c r="HO258" t="e">
        <f>Stock!U441+"'E4!/F["</f>
        <v>#VALUE!</v>
      </c>
      <c r="HP258" t="e">
        <f>Stock!V441+"'E4!/F\"</f>
        <v>#VALUE!</v>
      </c>
      <c r="HQ258" t="e">
        <f>Stock!W441+"'E4!/F]"</f>
        <v>#VALUE!</v>
      </c>
      <c r="HR258" t="e">
        <f>Stock!X441+"'E4!/F^"</f>
        <v>#VALUE!</v>
      </c>
      <c r="HS258" t="e">
        <f>Stock!Y441+"'E4!/F_"</f>
        <v>#VALUE!</v>
      </c>
      <c r="HT258" t="e">
        <f>Stock!N442+"'E4!/F`"</f>
        <v>#VALUE!</v>
      </c>
      <c r="HU258" t="e">
        <f>Stock!O442+"'E4!/Fa"</f>
        <v>#VALUE!</v>
      </c>
      <c r="HV258" t="e">
        <f>Stock!P442+"'E4!/Fb"</f>
        <v>#VALUE!</v>
      </c>
      <c r="HW258" t="e">
        <f>Stock!Q442+"'E4!/Fc"</f>
        <v>#VALUE!</v>
      </c>
      <c r="HX258" t="e">
        <f>Stock!R442+"'E4!/Fd"</f>
        <v>#VALUE!</v>
      </c>
      <c r="HY258" s="333" t="e">
        <f>Stock!S442+"'E4!/Fe"</f>
        <v>#VALUE!</v>
      </c>
      <c r="HZ258" s="333" t="e">
        <f>Stock!T442+"'E4!/Ff"</f>
        <v>#VALUE!</v>
      </c>
      <c r="IA258" t="e">
        <f>Stock!U442+"'E4!/Fg"</f>
        <v>#VALUE!</v>
      </c>
      <c r="IB258" t="e">
        <f>Stock!V442+"'E4!/Fh"</f>
        <v>#VALUE!</v>
      </c>
      <c r="IC258" t="e">
        <f>Stock!W442+"'E4!/Fi"</f>
        <v>#VALUE!</v>
      </c>
      <c r="ID258" t="e">
        <f>Stock!X442+"'E4!/Fj"</f>
        <v>#VALUE!</v>
      </c>
      <c r="IE258" t="e">
        <f>Stock!Y442+"'E4!/Fk"</f>
        <v>#VALUE!</v>
      </c>
      <c r="IF258" t="e">
        <f>Stock!N443+"'E4!/Fl"</f>
        <v>#VALUE!</v>
      </c>
      <c r="IG258" t="e">
        <f>Stock!O443+"'E4!/Fm"</f>
        <v>#VALUE!</v>
      </c>
      <c r="IH258" t="e">
        <f>Stock!P443+"'E4!/Fn"</f>
        <v>#VALUE!</v>
      </c>
      <c r="II258" t="e">
        <f>Stock!Q443+"'E4!/Fo"</f>
        <v>#VALUE!</v>
      </c>
      <c r="IJ258" t="e">
        <f>Stock!R443+"'E4!/Fp"</f>
        <v>#VALUE!</v>
      </c>
      <c r="IK258" s="333" t="e">
        <f>Stock!S443+"'E4!/Fq"</f>
        <v>#VALUE!</v>
      </c>
      <c r="IL258" s="333" t="e">
        <f>Stock!T443+"'E4!/Fr"</f>
        <v>#VALUE!</v>
      </c>
      <c r="IM258" t="e">
        <f>Stock!U443+"'E4!/Fs"</f>
        <v>#VALUE!</v>
      </c>
      <c r="IN258" t="e">
        <f>Stock!V443+"'E4!/Ft"</f>
        <v>#VALUE!</v>
      </c>
      <c r="IO258" t="e">
        <f>Stock!W443+"'E4!/Fu"</f>
        <v>#VALUE!</v>
      </c>
      <c r="IP258" t="e">
        <f>Stock!X443+"'E4!/Fv"</f>
        <v>#VALUE!</v>
      </c>
      <c r="IQ258" t="e">
        <f>Stock!Y443+"'E4!/Fw"</f>
        <v>#VALUE!</v>
      </c>
      <c r="IR258" t="e">
        <f>Stock!N444+"'E4!/Fx"</f>
        <v>#VALUE!</v>
      </c>
      <c r="IS258" t="e">
        <f>Stock!O444+"'E4!/Fy"</f>
        <v>#VALUE!</v>
      </c>
      <c r="IT258" t="e">
        <f>Stock!P444+"'E4!/Fz"</f>
        <v>#VALUE!</v>
      </c>
      <c r="IU258" t="e">
        <f>Stock!Q444+"'E4!/F{"</f>
        <v>#VALUE!</v>
      </c>
      <c r="IV258" t="e">
        <f>Stock!R444+"'E4!/F|"</f>
        <v>#VALUE!</v>
      </c>
    </row>
    <row r="259" spans="6:256">
      <c r="F259" s="333" t="e">
        <f>Stock!S444+"'E4!/F}"</f>
        <v>#VALUE!</v>
      </c>
      <c r="G259" s="333" t="e">
        <f>Stock!T444+"'E4!/F~"</f>
        <v>#VALUE!</v>
      </c>
      <c r="H259" t="e">
        <f>Stock!U444+"'E4!/G#"</f>
        <v>#VALUE!</v>
      </c>
      <c r="I259" t="e">
        <f>Stock!V444+"'E4!/G$"</f>
        <v>#VALUE!</v>
      </c>
      <c r="J259" t="e">
        <f>Stock!W444+"'E4!/G%"</f>
        <v>#VALUE!</v>
      </c>
      <c r="K259" t="e">
        <f>Stock!X444+"'E4!/G&amp;"</f>
        <v>#VALUE!</v>
      </c>
      <c r="L259" t="e">
        <f>Stock!Y444+"'E4!/G'"</f>
        <v>#VALUE!</v>
      </c>
      <c r="M259" t="e">
        <f>Stock!N445+"'E4!/G("</f>
        <v>#VALUE!</v>
      </c>
      <c r="N259" t="e">
        <f>Stock!O445+"'E4!/G)"</f>
        <v>#VALUE!</v>
      </c>
      <c r="O259" t="e">
        <f>Stock!P445+"'E4!/G."</f>
        <v>#VALUE!</v>
      </c>
      <c r="P259" t="e">
        <f>Stock!Q445+"'E4!/G/"</f>
        <v>#VALUE!</v>
      </c>
      <c r="Q259" t="e">
        <f>Stock!R445+"'E4!/G0"</f>
        <v>#VALUE!</v>
      </c>
      <c r="R259" s="333" t="e">
        <f>Stock!S445+"'E4!/G1"</f>
        <v>#VALUE!</v>
      </c>
      <c r="S259" s="333" t="e">
        <f>Stock!T445+"'E4!/G2"</f>
        <v>#VALUE!</v>
      </c>
      <c r="T259" t="e">
        <f>Stock!U445+"'E4!/G3"</f>
        <v>#VALUE!</v>
      </c>
      <c r="U259" t="e">
        <f>Stock!V445+"'E4!/G4"</f>
        <v>#VALUE!</v>
      </c>
      <c r="V259" t="e">
        <f>Stock!W445+"'E4!/G5"</f>
        <v>#VALUE!</v>
      </c>
      <c r="W259" t="e">
        <f>Stock!X445+"'E4!/G6"</f>
        <v>#VALUE!</v>
      </c>
      <c r="X259" t="e">
        <f>Stock!Y445+"'E4!/G7"</f>
        <v>#VALUE!</v>
      </c>
      <c r="Y259" t="e">
        <f>Stock!N446+"'E4!/G8"</f>
        <v>#VALUE!</v>
      </c>
      <c r="Z259" t="e">
        <f>Stock!O446+"'E4!/G9"</f>
        <v>#VALUE!</v>
      </c>
      <c r="AA259" t="e">
        <f>Stock!P446+"'E4!/G:"</f>
        <v>#VALUE!</v>
      </c>
      <c r="AB259" t="e">
        <f>Stock!Q446+"'E4!/G;"</f>
        <v>#VALUE!</v>
      </c>
      <c r="AC259" t="e">
        <f>Stock!R446+"'E4!/G&lt;"</f>
        <v>#VALUE!</v>
      </c>
      <c r="AD259" s="333" t="e">
        <f>Stock!S446+"'E4!/G="</f>
        <v>#VALUE!</v>
      </c>
      <c r="AE259" s="333" t="e">
        <f>Stock!T446+"'E4!/G&gt;"</f>
        <v>#VALUE!</v>
      </c>
      <c r="AF259" t="e">
        <f>Stock!U446+"'E4!/G?"</f>
        <v>#VALUE!</v>
      </c>
      <c r="AG259" t="e">
        <f>Stock!V446+"'E4!/G@"</f>
        <v>#VALUE!</v>
      </c>
      <c r="AH259" t="e">
        <f>Stock!W446+"'E4!/GA"</f>
        <v>#VALUE!</v>
      </c>
      <c r="AI259" t="e">
        <f>Stock!X446+"'E4!/GB"</f>
        <v>#VALUE!</v>
      </c>
      <c r="AJ259" t="e">
        <f>Stock!Y446+"'E4!/GC"</f>
        <v>#VALUE!</v>
      </c>
      <c r="AK259" t="e">
        <f>Stock!N447+"'E4!/GD"</f>
        <v>#VALUE!</v>
      </c>
      <c r="AL259" t="e">
        <f>Stock!O447+"'E4!/GE"</f>
        <v>#VALUE!</v>
      </c>
      <c r="AM259" t="e">
        <f>Stock!P447+"'E4!/GF"</f>
        <v>#VALUE!</v>
      </c>
      <c r="AN259" t="e">
        <f>Stock!Q447+"'E4!/GG"</f>
        <v>#VALUE!</v>
      </c>
      <c r="AO259" t="e">
        <f>Stock!R447+"'E4!/GH"</f>
        <v>#VALUE!</v>
      </c>
      <c r="AP259" s="333" t="e">
        <f>Stock!S447+"'E4!/GI"</f>
        <v>#VALUE!</v>
      </c>
      <c r="AQ259" s="333" t="e">
        <f>Stock!T447+"'E4!/GJ"</f>
        <v>#VALUE!</v>
      </c>
      <c r="AR259" t="e">
        <f>Stock!U447+"'E4!/GK"</f>
        <v>#VALUE!</v>
      </c>
      <c r="AS259" t="e">
        <f>Stock!V447+"'E4!/GL"</f>
        <v>#VALUE!</v>
      </c>
      <c r="AT259" t="e">
        <f>Stock!W447+"'E4!/GM"</f>
        <v>#VALUE!</v>
      </c>
      <c r="AU259" t="e">
        <f>Stock!X447+"'E4!/GN"</f>
        <v>#VALUE!</v>
      </c>
      <c r="AV259" t="e">
        <f>Stock!Y447+"'E4!/GO"</f>
        <v>#VALUE!</v>
      </c>
      <c r="AW259" t="e">
        <f>Stock!N448+"'E4!/GP"</f>
        <v>#VALUE!</v>
      </c>
      <c r="AX259" t="e">
        <f>Stock!O448+"'E4!/GQ"</f>
        <v>#VALUE!</v>
      </c>
      <c r="AY259" t="e">
        <f>Stock!P448+"'E4!/GR"</f>
        <v>#VALUE!</v>
      </c>
      <c r="AZ259" t="e">
        <f>Stock!Q448+"'E4!/GS"</f>
        <v>#VALUE!</v>
      </c>
      <c r="BA259" t="e">
        <f>Stock!R448+"'E4!/GT"</f>
        <v>#VALUE!</v>
      </c>
      <c r="BB259" s="333" t="e">
        <f>Stock!S448+"'E4!/GU"</f>
        <v>#VALUE!</v>
      </c>
      <c r="BC259" s="333" t="e">
        <f>Stock!T448+"'E4!/GV"</f>
        <v>#VALUE!</v>
      </c>
      <c r="BD259" t="e">
        <f>Stock!U448+"'E4!/GW"</f>
        <v>#VALUE!</v>
      </c>
      <c r="BE259" t="e">
        <f>Stock!V448+"'E4!/GX"</f>
        <v>#VALUE!</v>
      </c>
      <c r="BF259" t="e">
        <f>Stock!W448+"'E4!/GY"</f>
        <v>#VALUE!</v>
      </c>
      <c r="BG259" t="e">
        <f>Stock!X448+"'E4!/GZ"</f>
        <v>#VALUE!</v>
      </c>
      <c r="BH259" t="e">
        <f>Stock!Y448+"'E4!/G["</f>
        <v>#VALUE!</v>
      </c>
      <c r="BI259" t="e">
        <f>Stock!N449+"'E4!/G\"</f>
        <v>#VALUE!</v>
      </c>
      <c r="BJ259" t="e">
        <f>Stock!O449+"'E4!/G]"</f>
        <v>#VALUE!</v>
      </c>
      <c r="BK259" t="e">
        <f>Stock!P449+"'E4!/G^"</f>
        <v>#VALUE!</v>
      </c>
      <c r="BL259" t="e">
        <f>Stock!Q449+"'E4!/G_"</f>
        <v>#VALUE!</v>
      </c>
      <c r="BM259" t="e">
        <f>Stock!R449+"'E4!/G`"</f>
        <v>#VALUE!</v>
      </c>
      <c r="BN259" s="333" t="e">
        <f>Stock!S449+"'E4!/Ga"</f>
        <v>#VALUE!</v>
      </c>
      <c r="BO259" s="333" t="e">
        <f>Stock!T449+"'E4!/Gb"</f>
        <v>#VALUE!</v>
      </c>
      <c r="BP259" t="e">
        <f>Stock!U449+"'E4!/Gc"</f>
        <v>#VALUE!</v>
      </c>
      <c r="BQ259" t="e">
        <f>Stock!V449+"'E4!/Gd"</f>
        <v>#VALUE!</v>
      </c>
      <c r="BR259" t="e">
        <f>Stock!W449+"'E4!/Ge"</f>
        <v>#VALUE!</v>
      </c>
      <c r="BS259" t="e">
        <f>Stock!X449+"'E4!/Gf"</f>
        <v>#VALUE!</v>
      </c>
      <c r="BT259" t="e">
        <f>Stock!Y449+"'E4!/Gg"</f>
        <v>#VALUE!</v>
      </c>
      <c r="BU259" t="e">
        <f>Stock!N450+"'E4!/Gh"</f>
        <v>#VALUE!</v>
      </c>
      <c r="BV259" t="e">
        <f>Stock!O450+"'E4!/Gi"</f>
        <v>#VALUE!</v>
      </c>
      <c r="BW259" t="e">
        <f>Stock!P450+"'E4!/Gj"</f>
        <v>#VALUE!</v>
      </c>
      <c r="BX259" t="e">
        <f>Stock!Q450+"'E4!/Gk"</f>
        <v>#VALUE!</v>
      </c>
      <c r="BY259" t="e">
        <f>Stock!R450+"'E4!/Gl"</f>
        <v>#VALUE!</v>
      </c>
      <c r="BZ259" s="333" t="e">
        <f>Stock!S450+"'E4!/Gm"</f>
        <v>#VALUE!</v>
      </c>
      <c r="CA259" s="333" t="e">
        <f>Stock!T450+"'E4!/Gn"</f>
        <v>#VALUE!</v>
      </c>
      <c r="CB259" t="e">
        <f>Stock!U450+"'E4!/Go"</f>
        <v>#VALUE!</v>
      </c>
      <c r="CC259" t="e">
        <f>Stock!V450+"'E4!/Gp"</f>
        <v>#VALUE!</v>
      </c>
      <c r="CD259" t="e">
        <f>Stock!W450+"'E4!/Gq"</f>
        <v>#VALUE!</v>
      </c>
      <c r="CE259" t="e">
        <f>Stock!X450+"'E4!/Gr"</f>
        <v>#VALUE!</v>
      </c>
      <c r="CF259" t="e">
        <f>Stock!Y450+"'E4!/Gs"</f>
        <v>#VALUE!</v>
      </c>
      <c r="CG259" t="e">
        <f>Stock!N451+"'E4!/Gt"</f>
        <v>#VALUE!</v>
      </c>
      <c r="CH259" t="e">
        <f>Stock!O451+"'E4!/Gu"</f>
        <v>#VALUE!</v>
      </c>
      <c r="CI259" t="e">
        <f>Stock!P451+"'E4!/Gv"</f>
        <v>#VALUE!</v>
      </c>
      <c r="CJ259" t="e">
        <f>Stock!Q451+"'E4!/Gw"</f>
        <v>#VALUE!</v>
      </c>
      <c r="CK259" t="e">
        <f>Stock!R451+"'E4!/Gx"</f>
        <v>#VALUE!</v>
      </c>
      <c r="CL259" s="333" t="e">
        <f>Stock!S451+"'E4!/Gy"</f>
        <v>#VALUE!</v>
      </c>
      <c r="CM259" s="333" t="e">
        <f>Stock!T451+"'E4!/Gz"</f>
        <v>#VALUE!</v>
      </c>
      <c r="CN259" t="e">
        <f>Stock!U451+"'E4!/G{"</f>
        <v>#VALUE!</v>
      </c>
      <c r="CO259" t="e">
        <f>Stock!V451+"'E4!/G|"</f>
        <v>#VALUE!</v>
      </c>
      <c r="CP259" t="e">
        <f>Stock!W451+"'E4!/G}"</f>
        <v>#VALUE!</v>
      </c>
      <c r="CQ259" t="e">
        <f>Stock!X451+"'E4!/G~"</f>
        <v>#VALUE!</v>
      </c>
      <c r="CR259" t="e">
        <f>Stock!Y451+"'E4!/H#"</f>
        <v>#VALUE!</v>
      </c>
      <c r="CS259" t="e">
        <f>Stock!N452+"'E4!/H$"</f>
        <v>#VALUE!</v>
      </c>
      <c r="CT259" t="e">
        <f>Stock!O452+"'E4!/H%"</f>
        <v>#VALUE!</v>
      </c>
      <c r="CU259" t="e">
        <f>Stock!P452+"'E4!/H&amp;"</f>
        <v>#VALUE!</v>
      </c>
      <c r="CV259" t="e">
        <f>Stock!Q452+"'E4!/H'"</f>
        <v>#VALUE!</v>
      </c>
      <c r="CW259" t="e">
        <f>Stock!R452+"'E4!/H("</f>
        <v>#VALUE!</v>
      </c>
      <c r="CX259" s="333" t="e">
        <f>Stock!S452+"'E4!/H)"</f>
        <v>#VALUE!</v>
      </c>
      <c r="CY259" s="333" t="e">
        <f>Stock!T452+"'E4!/H."</f>
        <v>#VALUE!</v>
      </c>
      <c r="CZ259" t="e">
        <f>Stock!U452+"'E4!/H/"</f>
        <v>#VALUE!</v>
      </c>
      <c r="DA259" t="e">
        <f>Stock!V452+"'E4!/H0"</f>
        <v>#VALUE!</v>
      </c>
      <c r="DB259" t="e">
        <f>Stock!W452+"'E4!/H1"</f>
        <v>#VALUE!</v>
      </c>
      <c r="DC259" t="e">
        <f>Stock!X452+"'E4!/H2"</f>
        <v>#VALUE!</v>
      </c>
      <c r="DD259" t="e">
        <f>Stock!Y452+"'E4!/H3"</f>
        <v>#VALUE!</v>
      </c>
      <c r="DE259" t="e">
        <f>Stock!N453+"'E4!/H4"</f>
        <v>#VALUE!</v>
      </c>
      <c r="DF259" t="e">
        <f>Stock!O453+"'E4!/H5"</f>
        <v>#VALUE!</v>
      </c>
      <c r="DG259" t="e">
        <f>Stock!P453+"'E4!/H6"</f>
        <v>#VALUE!</v>
      </c>
      <c r="DH259" t="e">
        <f>Stock!Q453+"'E4!/H7"</f>
        <v>#VALUE!</v>
      </c>
      <c r="DI259" t="e">
        <f>Stock!R453+"'E4!/H8"</f>
        <v>#VALUE!</v>
      </c>
      <c r="DJ259" s="333" t="e">
        <f>Stock!S453+"'E4!/H9"</f>
        <v>#VALUE!</v>
      </c>
      <c r="DK259" s="333" t="e">
        <f>Stock!T453+"'E4!/H:"</f>
        <v>#VALUE!</v>
      </c>
      <c r="DL259" t="e">
        <f>Stock!U453+"'E4!/H;"</f>
        <v>#VALUE!</v>
      </c>
      <c r="DM259" t="e">
        <f>Stock!V453+"'E4!/H&lt;"</f>
        <v>#VALUE!</v>
      </c>
      <c r="DN259" t="e">
        <f>Stock!W453+"'E4!/H="</f>
        <v>#VALUE!</v>
      </c>
      <c r="DO259" t="e">
        <f>Stock!X453+"'E4!/H&gt;"</f>
        <v>#VALUE!</v>
      </c>
      <c r="DP259" t="e">
        <f>Stock!Y453+"'E4!/H?"</f>
        <v>#VALUE!</v>
      </c>
      <c r="DQ259" t="e">
        <f>Stock!N454+"'E4!/H@"</f>
        <v>#VALUE!</v>
      </c>
      <c r="DR259" t="e">
        <f>Stock!O454+"'E4!/HA"</f>
        <v>#VALUE!</v>
      </c>
      <c r="DS259" t="e">
        <f>Stock!P454+"'E4!/HB"</f>
        <v>#VALUE!</v>
      </c>
      <c r="DT259" t="e">
        <f>Stock!Q454+"'E4!/HC"</f>
        <v>#VALUE!</v>
      </c>
      <c r="DU259" t="e">
        <f>Stock!R454+"'E4!/HD"</f>
        <v>#VALUE!</v>
      </c>
      <c r="DV259" s="333" t="e">
        <f>Stock!S454+"'E4!/HE"</f>
        <v>#VALUE!</v>
      </c>
      <c r="DW259" s="333" t="e">
        <f>Stock!T454+"'E4!/HF"</f>
        <v>#VALUE!</v>
      </c>
      <c r="DX259" t="e">
        <f>Stock!U454+"'E4!/HG"</f>
        <v>#VALUE!</v>
      </c>
      <c r="DY259" t="e">
        <f>Stock!V454+"'E4!/HH"</f>
        <v>#VALUE!</v>
      </c>
      <c r="DZ259" t="e">
        <f>Stock!W454+"'E4!/HI"</f>
        <v>#VALUE!</v>
      </c>
      <c r="EA259" t="e">
        <f>Stock!X454+"'E4!/HJ"</f>
        <v>#VALUE!</v>
      </c>
      <c r="EB259" t="e">
        <f>Stock!Y454+"'E4!/HK"</f>
        <v>#VALUE!</v>
      </c>
      <c r="EC259" t="e">
        <f>Stock!N455+"'E4!/HL"</f>
        <v>#VALUE!</v>
      </c>
      <c r="ED259" t="e">
        <f>Stock!O455+"'E4!/HM"</f>
        <v>#VALUE!</v>
      </c>
      <c r="EE259" t="e">
        <f>Stock!P455+"'E4!/HN"</f>
        <v>#VALUE!</v>
      </c>
      <c r="EF259" t="e">
        <f>Stock!Q455+"'E4!/HO"</f>
        <v>#VALUE!</v>
      </c>
      <c r="EG259" t="e">
        <f>Stock!R455+"'E4!/HP"</f>
        <v>#VALUE!</v>
      </c>
      <c r="EH259" s="333" t="e">
        <f>Stock!S455+"'E4!/HQ"</f>
        <v>#VALUE!</v>
      </c>
      <c r="EI259" s="333" t="e">
        <f>Stock!T455+"'E4!/HR"</f>
        <v>#VALUE!</v>
      </c>
      <c r="EJ259" t="e">
        <f>Stock!U455+"'E4!/HS"</f>
        <v>#VALUE!</v>
      </c>
      <c r="EK259" t="e">
        <f>Stock!V455+"'E4!/HT"</f>
        <v>#VALUE!</v>
      </c>
      <c r="EL259" t="e">
        <f>Stock!W455+"'E4!/HU"</f>
        <v>#VALUE!</v>
      </c>
      <c r="EM259" t="e">
        <f>Stock!X455+"'E4!/HV"</f>
        <v>#VALUE!</v>
      </c>
      <c r="EN259" t="e">
        <f>Stock!Y455+"'E4!/HW"</f>
        <v>#VALUE!</v>
      </c>
      <c r="EO259" t="e">
        <f>Stock!N456+"'E4!/HX"</f>
        <v>#VALUE!</v>
      </c>
      <c r="EP259" t="e">
        <f>Stock!O456+"'E4!/HY"</f>
        <v>#VALUE!</v>
      </c>
      <c r="EQ259" t="e">
        <f>Stock!P456+"'E4!/HZ"</f>
        <v>#VALUE!</v>
      </c>
      <c r="ER259" t="e">
        <f>Stock!Q456+"'E4!/H["</f>
        <v>#VALUE!</v>
      </c>
      <c r="ES259" t="e">
        <f>Stock!R456+"'E4!/H\"</f>
        <v>#VALUE!</v>
      </c>
      <c r="ET259" s="333" t="e">
        <f>Stock!S456+"'E4!/H]"</f>
        <v>#VALUE!</v>
      </c>
      <c r="EU259" s="333" t="e">
        <f>Stock!T456+"'E4!/H^"</f>
        <v>#VALUE!</v>
      </c>
      <c r="EV259" t="e">
        <f>Stock!U456+"'E4!/H_"</f>
        <v>#VALUE!</v>
      </c>
      <c r="EW259" t="e">
        <f>Stock!V456+"'E4!/H`"</f>
        <v>#VALUE!</v>
      </c>
      <c r="EX259" t="e">
        <f>Stock!W456+"'E4!/Ha"</f>
        <v>#VALUE!</v>
      </c>
      <c r="EY259" t="e">
        <f>Stock!X456+"'E4!/Hb"</f>
        <v>#VALUE!</v>
      </c>
      <c r="EZ259" t="e">
        <f>Stock!Y456+"'E4!/Hc"</f>
        <v>#VALUE!</v>
      </c>
      <c r="FA259" t="e">
        <f>Stock!N457+"'E4!/Hd"</f>
        <v>#VALUE!</v>
      </c>
      <c r="FB259" t="e">
        <f>Stock!O457+"'E4!/He"</f>
        <v>#VALUE!</v>
      </c>
      <c r="FC259" t="e">
        <f>Stock!P457+"'E4!/Hf"</f>
        <v>#VALUE!</v>
      </c>
      <c r="FD259" t="e">
        <f>Stock!Q457+"'E4!/Hg"</f>
        <v>#VALUE!</v>
      </c>
      <c r="FE259" t="e">
        <f>Stock!R457+"'E4!/Hh"</f>
        <v>#VALUE!</v>
      </c>
      <c r="FF259" s="333" t="e">
        <f>Stock!S457+"'E4!/Hi"</f>
        <v>#VALUE!</v>
      </c>
      <c r="FG259" s="333" t="e">
        <f>Stock!T457+"'E4!/Hj"</f>
        <v>#VALUE!</v>
      </c>
      <c r="FH259" t="e">
        <f>Stock!U457+"'E4!/Hk"</f>
        <v>#VALUE!</v>
      </c>
      <c r="FI259" t="e">
        <f>Stock!V457+"'E4!/Hl"</f>
        <v>#VALUE!</v>
      </c>
      <c r="FJ259" t="e">
        <f>Stock!W457+"'E4!/Hm"</f>
        <v>#VALUE!</v>
      </c>
      <c r="FK259" t="e">
        <f>Stock!X457+"'E4!/Hn"</f>
        <v>#VALUE!</v>
      </c>
      <c r="FL259" t="e">
        <f>Stock!Y457+"'E4!/Ho"</f>
        <v>#VALUE!</v>
      </c>
      <c r="FM259" t="e">
        <f>Stock!N458+"'E4!/Hp"</f>
        <v>#VALUE!</v>
      </c>
      <c r="FN259" t="e">
        <f>Stock!O458+"'E4!/Hq"</f>
        <v>#VALUE!</v>
      </c>
      <c r="FO259" t="e">
        <f>Stock!P458+"'E4!/Hr"</f>
        <v>#VALUE!</v>
      </c>
      <c r="FP259" t="e">
        <f>Stock!Q458+"'E4!/Hs"</f>
        <v>#VALUE!</v>
      </c>
      <c r="FQ259" t="e">
        <f>Stock!R458+"'E4!/Ht"</f>
        <v>#VALUE!</v>
      </c>
      <c r="FR259" s="333" t="e">
        <f>Stock!S458+"'E4!/Hu"</f>
        <v>#VALUE!</v>
      </c>
      <c r="FS259" s="333" t="e">
        <f>Stock!T458+"'E4!/Hv"</f>
        <v>#VALUE!</v>
      </c>
      <c r="FT259" t="e">
        <f>Stock!U458+"'E4!/Hw"</f>
        <v>#VALUE!</v>
      </c>
      <c r="FU259" t="e">
        <f>Stock!V458+"'E4!/Hx"</f>
        <v>#VALUE!</v>
      </c>
      <c r="FV259" t="e">
        <f>Stock!W458+"'E4!/Hy"</f>
        <v>#VALUE!</v>
      </c>
      <c r="FW259" t="e">
        <f>Stock!X458+"'E4!/Hz"</f>
        <v>#VALUE!</v>
      </c>
      <c r="FX259" t="e">
        <f>Stock!Y458+"'E4!/H{"</f>
        <v>#VALUE!</v>
      </c>
      <c r="FY259" t="e">
        <f>Stock!N459+"'E4!/H|"</f>
        <v>#VALUE!</v>
      </c>
      <c r="FZ259" t="e">
        <f>Stock!O459+"'E4!/H}"</f>
        <v>#VALUE!</v>
      </c>
      <c r="GA259" t="e">
        <f>Stock!P459+"'E4!/H~"</f>
        <v>#VALUE!</v>
      </c>
      <c r="GB259" t="e">
        <f>Stock!Q459+"'E4!/I#"</f>
        <v>#VALUE!</v>
      </c>
      <c r="GC259" t="e">
        <f>Stock!R459+"'E4!/I$"</f>
        <v>#VALUE!</v>
      </c>
      <c r="GD259" s="333" t="e">
        <f>Stock!S459+"'E4!/I%"</f>
        <v>#VALUE!</v>
      </c>
      <c r="GE259" s="333" t="e">
        <f>Stock!T459+"'E4!/I&amp;"</f>
        <v>#VALUE!</v>
      </c>
      <c r="GF259" t="e">
        <f>Stock!U459+"'E4!/I'"</f>
        <v>#VALUE!</v>
      </c>
      <c r="GG259" t="e">
        <f>Stock!V459+"'E4!/I("</f>
        <v>#VALUE!</v>
      </c>
      <c r="GH259" t="e">
        <f>Stock!W459+"'E4!/I)"</f>
        <v>#VALUE!</v>
      </c>
      <c r="GI259" t="e">
        <f>Stock!X459+"'E4!/I."</f>
        <v>#VALUE!</v>
      </c>
      <c r="GJ259" t="e">
        <f>Stock!Y459+"'E4!/I/"</f>
        <v>#VALUE!</v>
      </c>
      <c r="GK259" t="e">
        <f>Stock!N460+"'E4!/I0"</f>
        <v>#VALUE!</v>
      </c>
      <c r="GL259" t="e">
        <f>Stock!O460+"'E4!/I1"</f>
        <v>#VALUE!</v>
      </c>
      <c r="GM259" t="e">
        <f>Stock!P460+"'E4!/I2"</f>
        <v>#VALUE!</v>
      </c>
      <c r="GN259" t="e">
        <f>Stock!Q460+"'E4!/I3"</f>
        <v>#VALUE!</v>
      </c>
      <c r="GO259" t="e">
        <f>Stock!R460+"'E4!/I4"</f>
        <v>#VALUE!</v>
      </c>
      <c r="GP259" s="333" t="e">
        <f>Stock!S460+"'E4!/I5"</f>
        <v>#VALUE!</v>
      </c>
      <c r="GQ259" s="333" t="e">
        <f>Stock!T460+"'E4!/I6"</f>
        <v>#VALUE!</v>
      </c>
      <c r="GR259" t="e">
        <f>Stock!U460+"'E4!/I7"</f>
        <v>#VALUE!</v>
      </c>
      <c r="GS259" t="e">
        <f>Stock!V460+"'E4!/I8"</f>
        <v>#VALUE!</v>
      </c>
      <c r="GT259" t="e">
        <f>Stock!W460+"'E4!/I9"</f>
        <v>#VALUE!</v>
      </c>
      <c r="GU259" t="e">
        <f>Stock!X460+"'E4!/I:"</f>
        <v>#VALUE!</v>
      </c>
      <c r="GV259" t="e">
        <f>Stock!Y460+"'E4!/I;"</f>
        <v>#VALUE!</v>
      </c>
      <c r="GW259" t="e">
        <f>Stock!N461+"'E4!/I&lt;"</f>
        <v>#VALUE!</v>
      </c>
      <c r="GX259" t="e">
        <f>Stock!O461+"'E4!/I="</f>
        <v>#VALUE!</v>
      </c>
      <c r="GY259" t="e">
        <f>Stock!P461+"'E4!/I&gt;"</f>
        <v>#VALUE!</v>
      </c>
      <c r="GZ259" t="e">
        <f>Stock!Q461+"'E4!/I?"</f>
        <v>#VALUE!</v>
      </c>
      <c r="HA259" t="e">
        <f>Stock!R461+"'E4!/I@"</f>
        <v>#VALUE!</v>
      </c>
      <c r="HB259" s="333" t="e">
        <f>Stock!S461+"'E4!/IA"</f>
        <v>#VALUE!</v>
      </c>
      <c r="HC259" s="333" t="e">
        <f>Stock!T461+"'E4!/IB"</f>
        <v>#VALUE!</v>
      </c>
      <c r="HD259" t="e">
        <f>Stock!U461+"'E4!/IC"</f>
        <v>#VALUE!</v>
      </c>
      <c r="HE259" t="e">
        <f>Stock!V461+"'E4!/ID"</f>
        <v>#VALUE!</v>
      </c>
      <c r="HF259" t="e">
        <f>Stock!W461+"'E4!/IE"</f>
        <v>#VALUE!</v>
      </c>
      <c r="HG259" t="e">
        <f>Stock!X461+"'E4!/IF"</f>
        <v>#VALUE!</v>
      </c>
      <c r="HH259" t="e">
        <f>Stock!Y461+"'E4!/IG"</f>
        <v>#VALUE!</v>
      </c>
      <c r="HI259" t="e">
        <f>Stock!N462+"'E4!/IH"</f>
        <v>#VALUE!</v>
      </c>
      <c r="HJ259" t="e">
        <f>Stock!O462+"'E4!/II"</f>
        <v>#VALUE!</v>
      </c>
      <c r="HK259" t="e">
        <f>Stock!P462+"'E4!/IJ"</f>
        <v>#VALUE!</v>
      </c>
      <c r="HL259" t="e">
        <f>Stock!Q462+"'E4!/IK"</f>
        <v>#VALUE!</v>
      </c>
      <c r="HM259" t="e">
        <f>Stock!R462+"'E4!/IL"</f>
        <v>#VALUE!</v>
      </c>
      <c r="HN259" s="333" t="e">
        <f>Stock!S462+"'E4!/IM"</f>
        <v>#VALUE!</v>
      </c>
      <c r="HO259" s="333" t="e">
        <f>Stock!T462+"'E4!/IN"</f>
        <v>#VALUE!</v>
      </c>
      <c r="HP259" t="e">
        <f>Stock!U462+"'E4!/IO"</f>
        <v>#VALUE!</v>
      </c>
      <c r="HQ259" t="e">
        <f>Stock!V462+"'E4!/IP"</f>
        <v>#VALUE!</v>
      </c>
      <c r="HR259" t="e">
        <f>Stock!W462+"'E4!/IQ"</f>
        <v>#VALUE!</v>
      </c>
      <c r="HS259" t="e">
        <f>Stock!X462+"'E4!/IR"</f>
        <v>#VALUE!</v>
      </c>
      <c r="HT259" t="e">
        <f>Stock!Y462+"'E4!/IS"</f>
        <v>#VALUE!</v>
      </c>
      <c r="HU259" t="e">
        <f>Stock!N463+"'E4!/IT"</f>
        <v>#VALUE!</v>
      </c>
      <c r="HV259" t="e">
        <f>Stock!O463+"'E4!/IU"</f>
        <v>#VALUE!</v>
      </c>
      <c r="HW259" t="e">
        <f>Stock!P463+"'E4!/IV"</f>
        <v>#VALUE!</v>
      </c>
      <c r="HX259" t="e">
        <f>Stock!Q463+"'E4!/IW"</f>
        <v>#VALUE!</v>
      </c>
      <c r="HY259" t="e">
        <f>Stock!R463+"'E4!/IX"</f>
        <v>#VALUE!</v>
      </c>
      <c r="HZ259" s="333" t="e">
        <f>Stock!S463+"'E4!/IY"</f>
        <v>#VALUE!</v>
      </c>
      <c r="IA259" s="333" t="e">
        <f>Stock!T463+"'E4!/IZ"</f>
        <v>#VALUE!</v>
      </c>
      <c r="IB259" t="e">
        <f>Stock!U463+"'E4!/I["</f>
        <v>#VALUE!</v>
      </c>
      <c r="IC259" t="e">
        <f>Stock!V463+"'E4!/I\"</f>
        <v>#VALUE!</v>
      </c>
      <c r="ID259" t="e">
        <f>Stock!W463+"'E4!/I]"</f>
        <v>#VALUE!</v>
      </c>
      <c r="IE259" t="e">
        <f>Stock!X463+"'E4!/I^"</f>
        <v>#VALUE!</v>
      </c>
      <c r="IF259" t="e">
        <f>Stock!Y463+"'E4!/I_"</f>
        <v>#VALUE!</v>
      </c>
      <c r="IG259" t="e">
        <f>Stock!N464+"'E4!/I`"</f>
        <v>#VALUE!</v>
      </c>
      <c r="IH259" t="e">
        <f>Stock!O464+"'E4!/Ia"</f>
        <v>#VALUE!</v>
      </c>
      <c r="II259" t="e">
        <f>Stock!P464+"'E4!/Ib"</f>
        <v>#VALUE!</v>
      </c>
      <c r="IJ259" t="e">
        <f>Stock!Q464+"'E4!/Ic"</f>
        <v>#VALUE!</v>
      </c>
      <c r="IK259" t="e">
        <f>Stock!R464+"'E4!/Id"</f>
        <v>#VALUE!</v>
      </c>
      <c r="IL259" s="333" t="e">
        <f>Stock!S464+"'E4!/Ie"</f>
        <v>#VALUE!</v>
      </c>
      <c r="IM259" s="333" t="e">
        <f>Stock!T464+"'E4!/If"</f>
        <v>#VALUE!</v>
      </c>
      <c r="IN259" t="e">
        <f>Stock!U464+"'E4!/Ig"</f>
        <v>#VALUE!</v>
      </c>
      <c r="IO259" t="e">
        <f>Stock!V464+"'E4!/Ih"</f>
        <v>#VALUE!</v>
      </c>
      <c r="IP259" t="e">
        <f>Stock!W464+"'E4!/Ii"</f>
        <v>#VALUE!</v>
      </c>
      <c r="IQ259" t="e">
        <f>Stock!X464+"'E4!/Ij"</f>
        <v>#VALUE!</v>
      </c>
      <c r="IR259" t="e">
        <f>Stock!Y464+"'E4!/Ik"</f>
        <v>#VALUE!</v>
      </c>
      <c r="IS259" t="e">
        <f>Stock!N465+"'E4!/Il"</f>
        <v>#VALUE!</v>
      </c>
      <c r="IT259" t="e">
        <f>Stock!O465+"'E4!/Im"</f>
        <v>#VALUE!</v>
      </c>
      <c r="IU259" t="e">
        <f>Stock!P465+"'E4!/In"</f>
        <v>#VALUE!</v>
      </c>
      <c r="IV259" t="e">
        <f>Stock!Q465+"'E4!/Io"</f>
        <v>#VALUE!</v>
      </c>
    </row>
    <row r="260" spans="6:256">
      <c r="F260" t="e">
        <f>Stock!R465+"'E4!/Ip"</f>
        <v>#VALUE!</v>
      </c>
      <c r="G260" s="333" t="e">
        <f>Stock!S465+"'E4!/Iq"</f>
        <v>#VALUE!</v>
      </c>
      <c r="H260" s="333" t="e">
        <f>Stock!T465+"'E4!/Ir"</f>
        <v>#VALUE!</v>
      </c>
      <c r="I260" t="e">
        <f>Stock!U465+"'E4!/Is"</f>
        <v>#VALUE!</v>
      </c>
      <c r="J260" t="e">
        <f>Stock!V465+"'E4!/It"</f>
        <v>#VALUE!</v>
      </c>
      <c r="K260" t="e">
        <f>Stock!W465+"'E4!/Iu"</f>
        <v>#VALUE!</v>
      </c>
      <c r="L260" t="e">
        <f>Stock!X465+"'E4!/Iv"</f>
        <v>#VALUE!</v>
      </c>
      <c r="M260" t="e">
        <f>Stock!Y465+"'E4!/Iw"</f>
        <v>#VALUE!</v>
      </c>
      <c r="N260" t="e">
        <f>Stock!N466+"'E4!/Ix"</f>
        <v>#VALUE!</v>
      </c>
      <c r="O260" t="e">
        <f>Stock!O466+"'E4!/Iy"</f>
        <v>#VALUE!</v>
      </c>
      <c r="P260" t="e">
        <f>Stock!P466+"'E4!/Iz"</f>
        <v>#VALUE!</v>
      </c>
      <c r="Q260" t="e">
        <f>Stock!Q466+"'E4!/I{"</f>
        <v>#VALUE!</v>
      </c>
      <c r="R260" t="e">
        <f>Stock!R466+"'E4!/I|"</f>
        <v>#VALUE!</v>
      </c>
      <c r="S260" s="333" t="e">
        <f>Stock!S466+"'E4!/I}"</f>
        <v>#VALUE!</v>
      </c>
      <c r="T260" s="333" t="e">
        <f>Stock!T466+"'E4!/I~"</f>
        <v>#VALUE!</v>
      </c>
      <c r="U260" t="e">
        <f>Stock!U466+"'E4!/J#"</f>
        <v>#VALUE!</v>
      </c>
      <c r="V260" t="e">
        <f>Stock!V466+"'E4!/J$"</f>
        <v>#VALUE!</v>
      </c>
      <c r="W260" t="e">
        <f>Stock!W466+"'E4!/J%"</f>
        <v>#VALUE!</v>
      </c>
      <c r="X260" t="e">
        <f>Stock!X466+"'E4!/J&amp;"</f>
        <v>#VALUE!</v>
      </c>
      <c r="Y260" t="e">
        <f>Stock!Y466+"'E4!/J'"</f>
        <v>#VALUE!</v>
      </c>
      <c r="Z260" t="e">
        <f>Stock!N467+"'E4!/J("</f>
        <v>#VALUE!</v>
      </c>
      <c r="AA260" t="e">
        <f>Stock!O467+"'E4!/J)"</f>
        <v>#VALUE!</v>
      </c>
      <c r="AB260" t="e">
        <f>Stock!P467+"'E4!/J."</f>
        <v>#VALUE!</v>
      </c>
      <c r="AC260" t="e">
        <f>Stock!Q467+"'E4!/J/"</f>
        <v>#VALUE!</v>
      </c>
      <c r="AD260" t="e">
        <f>Stock!R467+"'E4!/J0"</f>
        <v>#VALUE!</v>
      </c>
      <c r="AE260" s="333" t="e">
        <f>Stock!S467+"'E4!/J1"</f>
        <v>#VALUE!</v>
      </c>
      <c r="AF260" s="333" t="e">
        <f>Stock!T467+"'E4!/J2"</f>
        <v>#VALUE!</v>
      </c>
      <c r="AG260" t="e">
        <f>Stock!U467+"'E4!/J3"</f>
        <v>#VALUE!</v>
      </c>
      <c r="AH260" t="e">
        <f>Stock!V467+"'E4!/J4"</f>
        <v>#VALUE!</v>
      </c>
      <c r="AI260" t="e">
        <f>Stock!W467+"'E4!/J5"</f>
        <v>#VALUE!</v>
      </c>
      <c r="AJ260" t="e">
        <f>Stock!X467+"'E4!/J6"</f>
        <v>#VALUE!</v>
      </c>
      <c r="AK260" t="e">
        <f>Stock!Y467+"'E4!/J7"</f>
        <v>#VALUE!</v>
      </c>
      <c r="AL260" t="e">
        <f>Stock!N468+"'E4!/J8"</f>
        <v>#VALUE!</v>
      </c>
      <c r="AM260" t="e">
        <f>Stock!O468+"'E4!/J9"</f>
        <v>#VALUE!</v>
      </c>
      <c r="AN260" t="e">
        <f>Stock!P468+"'E4!/J:"</f>
        <v>#VALUE!</v>
      </c>
      <c r="AO260" t="e">
        <f>Stock!Q468+"'E4!/J;"</f>
        <v>#VALUE!</v>
      </c>
      <c r="AP260" t="e">
        <f>Stock!R468+"'E4!/J&lt;"</f>
        <v>#VALUE!</v>
      </c>
      <c r="AQ260" s="333" t="e">
        <f>Stock!S468+"'E4!/J="</f>
        <v>#VALUE!</v>
      </c>
      <c r="AR260" s="333" t="e">
        <f>Stock!T468+"'E4!/J&gt;"</f>
        <v>#VALUE!</v>
      </c>
      <c r="AS260" t="e">
        <f>Stock!U468+"'E4!/J?"</f>
        <v>#VALUE!</v>
      </c>
      <c r="AT260" t="e">
        <f>Stock!V468+"'E4!/J@"</f>
        <v>#VALUE!</v>
      </c>
      <c r="AU260" t="e">
        <f>Stock!W468+"'E4!/JA"</f>
        <v>#VALUE!</v>
      </c>
      <c r="AV260" t="e">
        <f>Stock!X468+"'E4!/JB"</f>
        <v>#VALUE!</v>
      </c>
      <c r="AW260" t="e">
        <f>Stock!Y468+"'E4!/JC"</f>
        <v>#VALUE!</v>
      </c>
      <c r="AX260" t="e">
        <f>Stock!N469+"'E4!/JD"</f>
        <v>#VALUE!</v>
      </c>
      <c r="AY260" t="e">
        <f>Stock!O469+"'E4!/JE"</f>
        <v>#VALUE!</v>
      </c>
      <c r="AZ260" t="e">
        <f>Stock!P469+"'E4!/JF"</f>
        <v>#VALUE!</v>
      </c>
      <c r="BA260" t="e">
        <f>Stock!Q469+"'E4!/JG"</f>
        <v>#VALUE!</v>
      </c>
      <c r="BB260" t="e">
        <f>Stock!R469+"'E4!/JH"</f>
        <v>#VALUE!</v>
      </c>
      <c r="BC260" s="333" t="e">
        <f>Stock!S469+"'E4!/JI"</f>
        <v>#VALUE!</v>
      </c>
      <c r="BD260" s="333" t="e">
        <f>Stock!T469+"'E4!/JJ"</f>
        <v>#VALUE!</v>
      </c>
      <c r="BE260" t="e">
        <f>Stock!U469+"'E4!/JK"</f>
        <v>#VALUE!</v>
      </c>
      <c r="BF260" t="e">
        <f>Stock!V469+"'E4!/JL"</f>
        <v>#VALUE!</v>
      </c>
      <c r="BG260" t="e">
        <f>Stock!W469+"'E4!/JM"</f>
        <v>#VALUE!</v>
      </c>
      <c r="BH260" t="e">
        <f>Stock!X469+"'E4!/JN"</f>
        <v>#VALUE!</v>
      </c>
      <c r="BI260" t="e">
        <f>Stock!Y469+"'E4!/JO"</f>
        <v>#VALUE!</v>
      </c>
      <c r="BJ260" t="e">
        <f>Stock!N470+"'E4!/JP"</f>
        <v>#VALUE!</v>
      </c>
      <c r="BK260" t="e">
        <f>Stock!O470+"'E4!/JQ"</f>
        <v>#VALUE!</v>
      </c>
      <c r="BL260" t="e">
        <f>Stock!P470+"'E4!/JR"</f>
        <v>#VALUE!</v>
      </c>
      <c r="BM260" t="e">
        <f>Stock!Q470+"'E4!/JS"</f>
        <v>#VALUE!</v>
      </c>
      <c r="BN260" t="e">
        <f>Stock!R470+"'E4!/JT"</f>
        <v>#VALUE!</v>
      </c>
      <c r="BO260" s="333" t="e">
        <f>Stock!S470+"'E4!/JU"</f>
        <v>#VALUE!</v>
      </c>
      <c r="BP260" s="333" t="e">
        <f>Stock!T470+"'E4!/JV"</f>
        <v>#VALUE!</v>
      </c>
      <c r="BQ260" t="e">
        <f>Stock!U470+"'E4!/JW"</f>
        <v>#VALUE!</v>
      </c>
      <c r="BR260" t="e">
        <f>Stock!V470+"'E4!/JX"</f>
        <v>#VALUE!</v>
      </c>
      <c r="BS260" t="e">
        <f>Stock!W470+"'E4!/JY"</f>
        <v>#VALUE!</v>
      </c>
      <c r="BT260" t="e">
        <f>Stock!X470+"'E4!/JZ"</f>
        <v>#VALUE!</v>
      </c>
      <c r="BU260" t="e">
        <f>Stock!Y470+"'E4!/J["</f>
        <v>#VALUE!</v>
      </c>
      <c r="BV260" t="e">
        <f>Stock!N471+"'E4!/J\"</f>
        <v>#VALUE!</v>
      </c>
      <c r="BW260" t="e">
        <f>Stock!O471+"'E4!/J]"</f>
        <v>#VALUE!</v>
      </c>
      <c r="BX260" t="e">
        <f>Stock!P471+"'E4!/J^"</f>
        <v>#VALUE!</v>
      </c>
      <c r="BY260" t="e">
        <f>Stock!Q471+"'E4!/J_"</f>
        <v>#VALUE!</v>
      </c>
      <c r="BZ260" t="e">
        <f>Stock!R471+"'E4!/J`"</f>
        <v>#VALUE!</v>
      </c>
      <c r="CA260" s="333" t="e">
        <f>Stock!S471+"'E4!/Ja"</f>
        <v>#VALUE!</v>
      </c>
      <c r="CB260" s="333" t="e">
        <f>Stock!T471+"'E4!/Jb"</f>
        <v>#VALUE!</v>
      </c>
      <c r="CC260" t="e">
        <f>Stock!U471+"'E4!/Jc"</f>
        <v>#VALUE!</v>
      </c>
      <c r="CD260" t="e">
        <f>Stock!V471+"'E4!/Jd"</f>
        <v>#VALUE!</v>
      </c>
      <c r="CE260" t="e">
        <f>Stock!W471+"'E4!/Je"</f>
        <v>#VALUE!</v>
      </c>
      <c r="CF260" t="e">
        <f>Stock!X471+"'E4!/Jf"</f>
        <v>#VALUE!</v>
      </c>
      <c r="CG260" t="e">
        <f>Stock!Y471+"'E4!/Jg"</f>
        <v>#VALUE!</v>
      </c>
      <c r="CH260" t="e">
        <f>Stock!N472+"'E4!/Jh"</f>
        <v>#VALUE!</v>
      </c>
      <c r="CI260" t="e">
        <f>Stock!O472+"'E4!/Ji"</f>
        <v>#VALUE!</v>
      </c>
      <c r="CJ260" t="e">
        <f>Stock!P472+"'E4!/Jj"</f>
        <v>#VALUE!</v>
      </c>
      <c r="CK260" t="e">
        <f>Stock!Q472+"'E4!/Jk"</f>
        <v>#VALUE!</v>
      </c>
      <c r="CL260" t="e">
        <f>Stock!R472+"'E4!/Jl"</f>
        <v>#VALUE!</v>
      </c>
      <c r="CM260" s="333" t="e">
        <f>Stock!S472+"'E4!/Jm"</f>
        <v>#VALUE!</v>
      </c>
      <c r="CN260" s="333" t="e">
        <f>Stock!T472+"'E4!/Jn"</f>
        <v>#VALUE!</v>
      </c>
      <c r="CO260" t="e">
        <f>Stock!U472+"'E4!/Jo"</f>
        <v>#VALUE!</v>
      </c>
      <c r="CP260" t="e">
        <f>Stock!V472+"'E4!/Jp"</f>
        <v>#VALUE!</v>
      </c>
      <c r="CQ260" t="e">
        <f>Stock!W472+"'E4!/Jq"</f>
        <v>#VALUE!</v>
      </c>
      <c r="CR260" t="e">
        <f>Stock!X472+"'E4!/Jr"</f>
        <v>#VALUE!</v>
      </c>
      <c r="CS260" t="e">
        <f>Stock!Y472+"'E4!/Js"</f>
        <v>#VALUE!</v>
      </c>
      <c r="CT260" t="e">
        <f>Stock!N473+"'E4!/Jt"</f>
        <v>#VALUE!</v>
      </c>
      <c r="CU260" t="e">
        <f>Stock!O473+"'E4!/Ju"</f>
        <v>#VALUE!</v>
      </c>
      <c r="CV260" t="e">
        <f>Stock!P473+"'E4!/Jv"</f>
        <v>#VALUE!</v>
      </c>
      <c r="CW260" t="e">
        <f>Stock!Q473+"'E4!/Jw"</f>
        <v>#VALUE!</v>
      </c>
      <c r="CX260" t="e">
        <f>Stock!R473+"'E4!/Jx"</f>
        <v>#VALUE!</v>
      </c>
      <c r="CY260" s="333" t="e">
        <f>Stock!S473+"'E4!/Jy"</f>
        <v>#VALUE!</v>
      </c>
      <c r="CZ260" s="333" t="e">
        <f>Stock!T473+"'E4!/Jz"</f>
        <v>#VALUE!</v>
      </c>
      <c r="DA260" t="e">
        <f>Stock!U473+"'E4!/J{"</f>
        <v>#VALUE!</v>
      </c>
      <c r="DB260" t="e">
        <f>Stock!V473+"'E4!/J|"</f>
        <v>#VALUE!</v>
      </c>
      <c r="DC260" t="e">
        <f>Stock!W473+"'E4!/J}"</f>
        <v>#VALUE!</v>
      </c>
      <c r="DD260" t="e">
        <f>Stock!X473+"'E4!/J~"</f>
        <v>#VALUE!</v>
      </c>
      <c r="DE260" t="e">
        <f>Stock!Y473+"'E4!/K#"</f>
        <v>#VALUE!</v>
      </c>
      <c r="DF260" t="e">
        <f>Stock!N474+"'E4!/K$"</f>
        <v>#VALUE!</v>
      </c>
      <c r="DG260" t="e">
        <f>Stock!O474+"'E4!/K%"</f>
        <v>#VALUE!</v>
      </c>
      <c r="DH260" t="e">
        <f>Stock!P474+"'E4!/K&amp;"</f>
        <v>#VALUE!</v>
      </c>
      <c r="DI260" t="e">
        <f>Stock!Q474+"'E4!/K'"</f>
        <v>#VALUE!</v>
      </c>
      <c r="DJ260" t="e">
        <f>Stock!R474+"'E4!/K("</f>
        <v>#VALUE!</v>
      </c>
      <c r="DK260" s="333" t="e">
        <f>Stock!S474+"'E4!/K)"</f>
        <v>#VALUE!</v>
      </c>
      <c r="DL260" s="333" t="e">
        <f>Stock!T474+"'E4!/K."</f>
        <v>#VALUE!</v>
      </c>
      <c r="DM260" t="e">
        <f>Stock!U474+"'E4!/K/"</f>
        <v>#VALUE!</v>
      </c>
      <c r="DN260" t="e">
        <f>Stock!V474+"'E4!/K0"</f>
        <v>#VALUE!</v>
      </c>
      <c r="DO260" t="e">
        <f>Stock!W474+"'E4!/K1"</f>
        <v>#VALUE!</v>
      </c>
      <c r="DP260" t="e">
        <f>Stock!X474+"'E4!/K2"</f>
        <v>#VALUE!</v>
      </c>
      <c r="DQ260" t="e">
        <f>Stock!Y474+"'E4!/K3"</f>
        <v>#VALUE!</v>
      </c>
      <c r="DR260" t="e">
        <f>Stock!N475+"'E4!/K4"</f>
        <v>#VALUE!</v>
      </c>
      <c r="DS260" t="e">
        <f>Stock!O475+"'E4!/K5"</f>
        <v>#VALUE!</v>
      </c>
      <c r="DT260" t="e">
        <f>Stock!P475+"'E4!/K6"</f>
        <v>#VALUE!</v>
      </c>
      <c r="DU260" t="e">
        <f>Stock!Q475+"'E4!/K7"</f>
        <v>#VALUE!</v>
      </c>
      <c r="DV260" t="e">
        <f>Stock!R475+"'E4!/K8"</f>
        <v>#VALUE!</v>
      </c>
      <c r="DW260" s="333" t="e">
        <f>Stock!S475+"'E4!/K9"</f>
        <v>#VALUE!</v>
      </c>
      <c r="DX260" s="333" t="e">
        <f>Stock!T475+"'E4!/K:"</f>
        <v>#VALUE!</v>
      </c>
      <c r="DY260" t="e">
        <f>Stock!U475+"'E4!/K;"</f>
        <v>#VALUE!</v>
      </c>
      <c r="DZ260" t="e">
        <f>Stock!V475+"'E4!/K&lt;"</f>
        <v>#VALUE!</v>
      </c>
      <c r="EA260" t="e">
        <f>Stock!W475+"'E4!/K="</f>
        <v>#VALUE!</v>
      </c>
      <c r="EB260" t="e">
        <f>Stock!X475+"'E4!/K&gt;"</f>
        <v>#VALUE!</v>
      </c>
      <c r="EC260" t="e">
        <f>Stock!Y475+"'E4!/K?"</f>
        <v>#VALUE!</v>
      </c>
      <c r="ED260" t="e">
        <f>Stock!N476+"'E4!/K@"</f>
        <v>#VALUE!</v>
      </c>
      <c r="EE260" t="e">
        <f>Stock!O476+"'E4!/KA"</f>
        <v>#VALUE!</v>
      </c>
      <c r="EF260" t="e">
        <f>Stock!P476+"'E4!/KB"</f>
        <v>#VALUE!</v>
      </c>
      <c r="EG260" t="e">
        <f>Stock!Q476+"'E4!/KC"</f>
        <v>#VALUE!</v>
      </c>
      <c r="EH260" t="e">
        <f>Stock!R476+"'E4!/KD"</f>
        <v>#VALUE!</v>
      </c>
      <c r="EI260" s="333" t="e">
        <f>Stock!S476+"'E4!/KE"</f>
        <v>#VALUE!</v>
      </c>
      <c r="EJ260" s="333" t="e">
        <f>Stock!T476+"'E4!/KF"</f>
        <v>#VALUE!</v>
      </c>
      <c r="EK260" t="e">
        <f>Stock!U476+"'E4!/KG"</f>
        <v>#VALUE!</v>
      </c>
      <c r="EL260" t="e">
        <f>Stock!V476+"'E4!/KH"</f>
        <v>#VALUE!</v>
      </c>
      <c r="EM260" t="e">
        <f>Stock!W476+"'E4!/KI"</f>
        <v>#VALUE!</v>
      </c>
      <c r="EN260" t="e">
        <f>Stock!X476+"'E4!/KJ"</f>
        <v>#VALUE!</v>
      </c>
      <c r="EO260" t="e">
        <f>Stock!Y476+"'E4!/KK"</f>
        <v>#VALUE!</v>
      </c>
      <c r="EP260" t="e">
        <f>Stock!N477+"'E4!/KL"</f>
        <v>#VALUE!</v>
      </c>
      <c r="EQ260" t="e">
        <f>Stock!O477+"'E4!/KM"</f>
        <v>#VALUE!</v>
      </c>
      <c r="ER260" t="e">
        <f>Stock!P477+"'E4!/KN"</f>
        <v>#VALUE!</v>
      </c>
      <c r="ES260" t="e">
        <f>Stock!Q477+"'E4!/KO"</f>
        <v>#VALUE!</v>
      </c>
      <c r="ET260" t="e">
        <f>Stock!R477+"'E4!/KP"</f>
        <v>#VALUE!</v>
      </c>
      <c r="EU260" s="333" t="e">
        <f>Stock!S477+"'E4!/KQ"</f>
        <v>#VALUE!</v>
      </c>
      <c r="EV260" s="333" t="e">
        <f>Stock!T477+"'E4!/KR"</f>
        <v>#VALUE!</v>
      </c>
      <c r="EW260" t="e">
        <f>Stock!U477+"'E4!/KS"</f>
        <v>#VALUE!</v>
      </c>
      <c r="EX260" t="e">
        <f>Stock!V477+"'E4!/KT"</f>
        <v>#VALUE!</v>
      </c>
      <c r="EY260" t="e">
        <f>Stock!W477+"'E4!/KU"</f>
        <v>#VALUE!</v>
      </c>
      <c r="EZ260" t="e">
        <f>Stock!X477+"'E4!/KV"</f>
        <v>#VALUE!</v>
      </c>
      <c r="FA260" t="e">
        <f>Stock!Y477+"'E4!/KW"</f>
        <v>#VALUE!</v>
      </c>
      <c r="FB260" t="e">
        <f>Stock!N478+"'E4!/KX"</f>
        <v>#VALUE!</v>
      </c>
      <c r="FC260" t="e">
        <f>Stock!O478+"'E4!/KY"</f>
        <v>#VALUE!</v>
      </c>
      <c r="FD260" t="e">
        <f>Stock!P478+"'E4!/KZ"</f>
        <v>#VALUE!</v>
      </c>
      <c r="FE260" t="e">
        <f>Stock!Q478+"'E4!/K["</f>
        <v>#VALUE!</v>
      </c>
      <c r="FF260" t="e">
        <f>Stock!R478+"'E4!/K\"</f>
        <v>#VALUE!</v>
      </c>
      <c r="FG260" s="333" t="e">
        <f>Stock!S478+"'E4!/K]"</f>
        <v>#VALUE!</v>
      </c>
      <c r="FH260" s="333" t="e">
        <f>Stock!T478+"'E4!/K^"</f>
        <v>#VALUE!</v>
      </c>
      <c r="FI260" t="e">
        <f>Stock!U478+"'E4!/K_"</f>
        <v>#VALUE!</v>
      </c>
      <c r="FJ260" t="e">
        <f>Stock!V478+"'E4!/K`"</f>
        <v>#VALUE!</v>
      </c>
      <c r="FK260" t="e">
        <f>Stock!W478+"'E4!/Ka"</f>
        <v>#VALUE!</v>
      </c>
      <c r="FL260" t="e">
        <f>Stock!X478+"'E4!/Kb"</f>
        <v>#VALUE!</v>
      </c>
      <c r="FM260" t="e">
        <f>Stock!Y478+"'E4!/Kc"</f>
        <v>#VALUE!</v>
      </c>
      <c r="FN260" t="e">
        <f>Stock!N479+"'E4!/Kd"</f>
        <v>#VALUE!</v>
      </c>
      <c r="FO260" t="e">
        <f>Stock!O479+"'E4!/Ke"</f>
        <v>#VALUE!</v>
      </c>
      <c r="FP260" t="e">
        <f>Stock!P479+"'E4!/Kf"</f>
        <v>#VALUE!</v>
      </c>
      <c r="FQ260" t="e">
        <f>Stock!Q479+"'E4!/Kg"</f>
        <v>#VALUE!</v>
      </c>
      <c r="FR260" t="e">
        <f>Stock!R479+"'E4!/Kh"</f>
        <v>#VALUE!</v>
      </c>
      <c r="FS260" s="333" t="e">
        <f>Stock!S479+"'E4!/Ki"</f>
        <v>#VALUE!</v>
      </c>
      <c r="FT260" s="333" t="e">
        <f>Stock!T479+"'E4!/Kj"</f>
        <v>#VALUE!</v>
      </c>
      <c r="FU260" t="e">
        <f>Stock!U479+"'E4!/Kk"</f>
        <v>#VALUE!</v>
      </c>
      <c r="FV260" t="e">
        <f>Stock!V479+"'E4!/Kl"</f>
        <v>#VALUE!</v>
      </c>
      <c r="FW260" t="e">
        <f>Stock!W479+"'E4!/Km"</f>
        <v>#VALUE!</v>
      </c>
      <c r="FX260" t="e">
        <f>Stock!X479+"'E4!/Kn"</f>
        <v>#VALUE!</v>
      </c>
      <c r="FY260" t="e">
        <f>Stock!Y479+"'E4!/Ko"</f>
        <v>#VALUE!</v>
      </c>
      <c r="FZ260" t="e">
        <f>Stock!N480+"'E4!/Kp"</f>
        <v>#VALUE!</v>
      </c>
      <c r="GA260" t="e">
        <f>Stock!O480+"'E4!/Kq"</f>
        <v>#VALUE!</v>
      </c>
      <c r="GB260" t="e">
        <f>Stock!P480+"'E4!/Kr"</f>
        <v>#VALUE!</v>
      </c>
      <c r="GC260" t="e">
        <f>Stock!Q480+"'E4!/Ks"</f>
        <v>#VALUE!</v>
      </c>
      <c r="GD260" t="e">
        <f>Stock!R480+"'E4!/Kt"</f>
        <v>#VALUE!</v>
      </c>
      <c r="GE260" s="333" t="e">
        <f>Stock!S480+"'E4!/Ku"</f>
        <v>#VALUE!</v>
      </c>
      <c r="GF260" s="333" t="e">
        <f>Stock!T480+"'E4!/Kv"</f>
        <v>#VALUE!</v>
      </c>
      <c r="GG260" t="e">
        <f>Stock!U480+"'E4!/Kw"</f>
        <v>#VALUE!</v>
      </c>
      <c r="GH260" t="e">
        <f>Stock!V480+"'E4!/Kx"</f>
        <v>#VALUE!</v>
      </c>
      <c r="GI260" t="e">
        <f>Stock!W480+"'E4!/Ky"</f>
        <v>#VALUE!</v>
      </c>
      <c r="GJ260" t="e">
        <f>Stock!X480+"'E4!/Kz"</f>
        <v>#VALUE!</v>
      </c>
      <c r="GK260" t="e">
        <f>Stock!Y480+"'E4!/K{"</f>
        <v>#VALUE!</v>
      </c>
      <c r="GL260" t="e">
        <f>Stock!N481+"'E4!/K|"</f>
        <v>#VALUE!</v>
      </c>
      <c r="GM260" t="e">
        <f>Stock!O481+"'E4!/K}"</f>
        <v>#VALUE!</v>
      </c>
      <c r="GN260" t="e">
        <f>Stock!P481+"'E4!/K~"</f>
        <v>#VALUE!</v>
      </c>
      <c r="GO260" t="e">
        <f>Stock!Q481+"'E4!/L#"</f>
        <v>#VALUE!</v>
      </c>
      <c r="GP260" t="e">
        <f>Stock!R481+"'E4!/L$"</f>
        <v>#VALUE!</v>
      </c>
      <c r="GQ260" s="333" t="e">
        <f>Stock!S481+"'E4!/L%"</f>
        <v>#VALUE!</v>
      </c>
      <c r="GR260" s="333" t="e">
        <f>Stock!T481+"'E4!/L&amp;"</f>
        <v>#VALUE!</v>
      </c>
      <c r="GS260" t="e">
        <f>Stock!U481+"'E4!/L'"</f>
        <v>#VALUE!</v>
      </c>
      <c r="GT260" t="e">
        <f>Stock!V481+"'E4!/L("</f>
        <v>#VALUE!</v>
      </c>
      <c r="GU260" t="e">
        <f>Stock!W481+"'E4!/L)"</f>
        <v>#VALUE!</v>
      </c>
      <c r="GV260" t="e">
        <f>Stock!X481+"'E4!/L."</f>
        <v>#VALUE!</v>
      </c>
      <c r="GW260" t="e">
        <f>Stock!Y481+"'E4!/L/"</f>
        <v>#VALUE!</v>
      </c>
      <c r="GX260" t="e">
        <f>Stock!N482+"'E4!/L0"</f>
        <v>#VALUE!</v>
      </c>
      <c r="GY260" t="e">
        <f>Stock!O482+"'E4!/L1"</f>
        <v>#VALUE!</v>
      </c>
      <c r="GZ260" t="e">
        <f>Stock!P482+"'E4!/L2"</f>
        <v>#VALUE!</v>
      </c>
      <c r="HA260" t="e">
        <f>Stock!Q482+"'E4!/L3"</f>
        <v>#VALUE!</v>
      </c>
      <c r="HB260" t="e">
        <f>Stock!R482+"'E4!/L4"</f>
        <v>#VALUE!</v>
      </c>
      <c r="HC260" s="333" t="e">
        <f>Stock!S482+"'E4!/L5"</f>
        <v>#VALUE!</v>
      </c>
      <c r="HD260" s="333" t="e">
        <f>Stock!T482+"'E4!/L6"</f>
        <v>#VALUE!</v>
      </c>
      <c r="HE260" t="e">
        <f>Stock!U482+"'E4!/L7"</f>
        <v>#VALUE!</v>
      </c>
      <c r="HF260" t="e">
        <f>Stock!V482+"'E4!/L8"</f>
        <v>#VALUE!</v>
      </c>
      <c r="HG260" t="e">
        <f>Stock!W482+"'E4!/L9"</f>
        <v>#VALUE!</v>
      </c>
      <c r="HH260" t="e">
        <f>Stock!X482+"'E4!/L:"</f>
        <v>#VALUE!</v>
      </c>
      <c r="HI260" t="e">
        <f>Stock!Y482+"'E4!/L;"</f>
        <v>#VALUE!</v>
      </c>
      <c r="HJ260" t="e">
        <f>Stock!N483+"'E4!/L&lt;"</f>
        <v>#VALUE!</v>
      </c>
      <c r="HK260" t="e">
        <f>Stock!O483+"'E4!/L="</f>
        <v>#VALUE!</v>
      </c>
      <c r="HL260" t="e">
        <f>Stock!P483+"'E4!/L&gt;"</f>
        <v>#VALUE!</v>
      </c>
      <c r="HM260" t="e">
        <f>Stock!Q483+"'E4!/L?"</f>
        <v>#VALUE!</v>
      </c>
      <c r="HN260" t="e">
        <f>Stock!R483+"'E4!/L@"</f>
        <v>#VALUE!</v>
      </c>
      <c r="HO260" s="333" t="e">
        <f>Stock!S483+"'E4!/LA"</f>
        <v>#VALUE!</v>
      </c>
      <c r="HP260" s="333" t="e">
        <f>Stock!T483+"'E4!/LB"</f>
        <v>#VALUE!</v>
      </c>
      <c r="HQ260" t="e">
        <f>Stock!U483+"'E4!/LC"</f>
        <v>#VALUE!</v>
      </c>
      <c r="HR260" t="e">
        <f>Stock!V483+"'E4!/LD"</f>
        <v>#VALUE!</v>
      </c>
      <c r="HS260" t="e">
        <f>Stock!W483+"'E4!/LE"</f>
        <v>#VALUE!</v>
      </c>
      <c r="HT260" t="e">
        <f>Stock!X483+"'E4!/LF"</f>
        <v>#VALUE!</v>
      </c>
      <c r="HU260" t="e">
        <f>Stock!Y483+"'E4!/LG"</f>
        <v>#VALUE!</v>
      </c>
      <c r="HV260" t="e">
        <f>Stock!N484+"'E4!/LH"</f>
        <v>#VALUE!</v>
      </c>
      <c r="HW260" t="e">
        <f>Stock!O484+"'E4!/LI"</f>
        <v>#VALUE!</v>
      </c>
      <c r="HX260" t="e">
        <f>Stock!P484+"'E4!/LJ"</f>
        <v>#VALUE!</v>
      </c>
      <c r="HY260" t="e">
        <f>Stock!Q484+"'E4!/LK"</f>
        <v>#VALUE!</v>
      </c>
      <c r="HZ260" t="e">
        <f>Stock!R484+"'E4!/LL"</f>
        <v>#VALUE!</v>
      </c>
      <c r="IA260" s="333" t="e">
        <f>Stock!S484+"'E4!/LM"</f>
        <v>#VALUE!</v>
      </c>
      <c r="IB260" s="333" t="e">
        <f>Stock!T484+"'E4!/LN"</f>
        <v>#VALUE!</v>
      </c>
      <c r="IC260" t="e">
        <f>Stock!U484+"'E4!/LO"</f>
        <v>#VALUE!</v>
      </c>
      <c r="ID260" t="e">
        <f>Stock!V484+"'E4!/LP"</f>
        <v>#VALUE!</v>
      </c>
      <c r="IE260" t="e">
        <f>Stock!W484+"'E4!/LQ"</f>
        <v>#VALUE!</v>
      </c>
      <c r="IF260" t="e">
        <f>Stock!X484+"'E4!/LR"</f>
        <v>#VALUE!</v>
      </c>
      <c r="IG260" t="e">
        <f>Stock!Y484+"'E4!/LS"</f>
        <v>#VALUE!</v>
      </c>
      <c r="IH260" t="e">
        <f>Stock!N485+"'E4!/LT"</f>
        <v>#VALUE!</v>
      </c>
      <c r="II260" t="e">
        <f>Stock!O485+"'E4!/LU"</f>
        <v>#VALUE!</v>
      </c>
      <c r="IJ260" t="e">
        <f>Stock!P485+"'E4!/LV"</f>
        <v>#VALUE!</v>
      </c>
      <c r="IK260" t="e">
        <f>Stock!Q485+"'E4!/LW"</f>
        <v>#VALUE!</v>
      </c>
      <c r="IL260" t="e">
        <f>Stock!R485+"'E4!/LX"</f>
        <v>#VALUE!</v>
      </c>
      <c r="IM260" s="333" t="e">
        <f>Stock!S485+"'E4!/LY"</f>
        <v>#VALUE!</v>
      </c>
      <c r="IN260" s="333" t="e">
        <f>Stock!T485+"'E4!/LZ"</f>
        <v>#VALUE!</v>
      </c>
      <c r="IO260" t="e">
        <f>Stock!U485+"'E4!/L["</f>
        <v>#VALUE!</v>
      </c>
      <c r="IP260" t="e">
        <f>Stock!V485+"'E4!/L\"</f>
        <v>#VALUE!</v>
      </c>
      <c r="IQ260" t="e">
        <f>Stock!W485+"'E4!/L]"</f>
        <v>#VALUE!</v>
      </c>
      <c r="IR260" t="e">
        <f>Stock!X485+"'E4!/L^"</f>
        <v>#VALUE!</v>
      </c>
      <c r="IS260" t="e">
        <f>Stock!Y485+"'E4!/L_"</f>
        <v>#VALUE!</v>
      </c>
      <c r="IT260" t="e">
        <f>Stock!N486+"'E4!/L`"</f>
        <v>#VALUE!</v>
      </c>
      <c r="IU260" t="e">
        <f>Stock!O486+"'E4!/La"</f>
        <v>#VALUE!</v>
      </c>
      <c r="IV260" t="e">
        <f>Stock!P486+"'E4!/Lb"</f>
        <v>#VALUE!</v>
      </c>
    </row>
    <row r="261" spans="6:256">
      <c r="F261" t="e">
        <f>Stock!Q486+"'E4!/Lc"</f>
        <v>#VALUE!</v>
      </c>
      <c r="G261" t="e">
        <f>Stock!R486+"'E4!/Ld"</f>
        <v>#VALUE!</v>
      </c>
      <c r="H261" s="333" t="e">
        <f>Stock!S486+"'E4!/Le"</f>
        <v>#VALUE!</v>
      </c>
      <c r="I261" s="333" t="e">
        <f>Stock!T486+"'E4!/Lf"</f>
        <v>#VALUE!</v>
      </c>
      <c r="J261" t="e">
        <f>Stock!U486+"'E4!/Lg"</f>
        <v>#VALUE!</v>
      </c>
      <c r="K261" t="e">
        <f>Stock!V486+"'E4!/Lh"</f>
        <v>#VALUE!</v>
      </c>
      <c r="L261" t="e">
        <f>Stock!W486+"'E4!/Li"</f>
        <v>#VALUE!</v>
      </c>
      <c r="M261" t="e">
        <f>Stock!X486+"'E4!/Lj"</f>
        <v>#VALUE!</v>
      </c>
      <c r="N261" t="e">
        <f>Stock!Y486+"'E4!/Lk"</f>
        <v>#VALUE!</v>
      </c>
      <c r="O261" t="e">
        <f>Stock!N487+"'E4!/Ll"</f>
        <v>#VALUE!</v>
      </c>
      <c r="P261" t="e">
        <f>Stock!O487+"'E4!/Lm"</f>
        <v>#VALUE!</v>
      </c>
      <c r="Q261" t="e">
        <f>Stock!P487+"'E4!/Ln"</f>
        <v>#VALUE!</v>
      </c>
      <c r="R261" t="e">
        <f>Stock!Q487+"'E4!/Lo"</f>
        <v>#VALUE!</v>
      </c>
      <c r="S261" t="e">
        <f>Stock!R487+"'E4!/Lp"</f>
        <v>#VALUE!</v>
      </c>
      <c r="T261" s="333" t="e">
        <f>Stock!S487+"'E4!/Lq"</f>
        <v>#VALUE!</v>
      </c>
      <c r="U261" s="333" t="e">
        <f>Stock!T487+"'E4!/Lr"</f>
        <v>#VALUE!</v>
      </c>
      <c r="V261" t="e">
        <f>Stock!U487+"'E4!/Ls"</f>
        <v>#VALUE!</v>
      </c>
      <c r="W261" t="e">
        <f>Stock!V487+"'E4!/Lt"</f>
        <v>#VALUE!</v>
      </c>
      <c r="X261" t="e">
        <f>Stock!W487+"'E4!/Lu"</f>
        <v>#VALUE!</v>
      </c>
      <c r="Y261" t="e">
        <f>Stock!X487+"'E4!/Lv"</f>
        <v>#VALUE!</v>
      </c>
      <c r="Z261" t="e">
        <f>Stock!Y487+"'E4!/Lw"</f>
        <v>#VALUE!</v>
      </c>
      <c r="AA261" t="e">
        <f>Stock!N488+"'E4!/Lx"</f>
        <v>#VALUE!</v>
      </c>
      <c r="AB261" t="e">
        <f>Stock!O488+"'E4!/Ly"</f>
        <v>#VALUE!</v>
      </c>
      <c r="AC261" t="e">
        <f>Stock!P488+"'E4!/Lz"</f>
        <v>#VALUE!</v>
      </c>
      <c r="AD261" t="e">
        <f>Stock!Q488+"'E4!/L{"</f>
        <v>#VALUE!</v>
      </c>
      <c r="AE261" t="e">
        <f>Stock!R488+"'E4!/L|"</f>
        <v>#VALUE!</v>
      </c>
      <c r="AF261" s="333" t="e">
        <f>Stock!S488+"'E4!/L}"</f>
        <v>#VALUE!</v>
      </c>
      <c r="AG261" s="333" t="e">
        <f>Stock!T488+"'E4!/L~"</f>
        <v>#VALUE!</v>
      </c>
      <c r="AH261" t="e">
        <f>Stock!U488+"'E4!/M#"</f>
        <v>#VALUE!</v>
      </c>
      <c r="AI261" t="e">
        <f>Stock!V488+"'E4!/M$"</f>
        <v>#VALUE!</v>
      </c>
      <c r="AJ261" t="e">
        <f>Stock!W488+"'E4!/M%"</f>
        <v>#VALUE!</v>
      </c>
      <c r="AK261" t="e">
        <f>Stock!X488+"'E4!/M&amp;"</f>
        <v>#VALUE!</v>
      </c>
      <c r="AL261" t="e">
        <f>Stock!Y488+"'E4!/M'"</f>
        <v>#VALUE!</v>
      </c>
      <c r="AM261" t="e">
        <f>Stock!N489+"'E4!/M("</f>
        <v>#VALUE!</v>
      </c>
      <c r="AN261" t="e">
        <f>Stock!O489+"'E4!/M)"</f>
        <v>#VALUE!</v>
      </c>
      <c r="AO261" t="e">
        <f>Stock!P489+"'E4!/M."</f>
        <v>#VALUE!</v>
      </c>
      <c r="AP261" t="e">
        <f>Stock!Q489+"'E4!/M/"</f>
        <v>#VALUE!</v>
      </c>
      <c r="AQ261" t="e">
        <f>Stock!R489+"'E4!/M0"</f>
        <v>#VALUE!</v>
      </c>
      <c r="AR261" s="333" t="e">
        <f>Stock!S489+"'E4!/M1"</f>
        <v>#VALUE!</v>
      </c>
      <c r="AS261" s="333" t="e">
        <f>Stock!T489+"'E4!/M2"</f>
        <v>#VALUE!</v>
      </c>
      <c r="AT261" t="e">
        <f>Stock!U489+"'E4!/M3"</f>
        <v>#VALUE!</v>
      </c>
      <c r="AU261" t="e">
        <f>Stock!V489+"'E4!/M4"</f>
        <v>#VALUE!</v>
      </c>
      <c r="AV261" t="e">
        <f>Stock!W489+"'E4!/M5"</f>
        <v>#VALUE!</v>
      </c>
      <c r="AW261" t="e">
        <f>Stock!X489+"'E4!/M6"</f>
        <v>#VALUE!</v>
      </c>
      <c r="AX261" t="e">
        <f>Stock!Y489+"'E4!/M7"</f>
        <v>#VALUE!</v>
      </c>
      <c r="AY261" t="e">
        <f>Stock!N490+"'E4!/M8"</f>
        <v>#VALUE!</v>
      </c>
      <c r="AZ261" t="e">
        <f>Stock!O490+"'E4!/M9"</f>
        <v>#VALUE!</v>
      </c>
      <c r="BA261" t="e">
        <f>Stock!P490+"'E4!/M:"</f>
        <v>#VALUE!</v>
      </c>
      <c r="BB261" t="e">
        <f>Stock!Q490+"'E4!/M;"</f>
        <v>#VALUE!</v>
      </c>
      <c r="BC261" t="e">
        <f>Stock!R490+"'E4!/M&lt;"</f>
        <v>#VALUE!</v>
      </c>
      <c r="BD261" s="333" t="e">
        <f>Stock!S490+"'E4!/M="</f>
        <v>#VALUE!</v>
      </c>
      <c r="BE261" s="333" t="e">
        <f>Stock!T490+"'E4!/M&gt;"</f>
        <v>#VALUE!</v>
      </c>
      <c r="BF261" t="e">
        <f>Stock!U490+"'E4!/M?"</f>
        <v>#VALUE!</v>
      </c>
      <c r="BG261" t="e">
        <f>Stock!V490+"'E4!/M@"</f>
        <v>#VALUE!</v>
      </c>
      <c r="BH261" t="e">
        <f>Stock!W490+"'E4!/MA"</f>
        <v>#VALUE!</v>
      </c>
      <c r="BI261" t="e">
        <f>Stock!X490+"'E4!/MB"</f>
        <v>#VALUE!</v>
      </c>
      <c r="BJ261" t="e">
        <f>Stock!Y490+"'E4!/MC"</f>
        <v>#VALUE!</v>
      </c>
      <c r="BK261" t="e">
        <f>Stock!N491+"'E4!/MD"</f>
        <v>#VALUE!</v>
      </c>
      <c r="BL261" t="e">
        <f>Stock!O491+"'E4!/ME"</f>
        <v>#VALUE!</v>
      </c>
      <c r="BM261" t="e">
        <f>Stock!P491+"'E4!/MF"</f>
        <v>#VALUE!</v>
      </c>
      <c r="BN261" t="e">
        <f>Stock!Q491+"'E4!/MG"</f>
        <v>#VALUE!</v>
      </c>
      <c r="BO261" t="e">
        <f>Stock!R491+"'E4!/MH"</f>
        <v>#VALUE!</v>
      </c>
      <c r="BP261" s="333" t="e">
        <f>Stock!S491+"'E4!/MI"</f>
        <v>#VALUE!</v>
      </c>
      <c r="BQ261" s="333" t="e">
        <f>Stock!T491+"'E4!/MJ"</f>
        <v>#VALUE!</v>
      </c>
      <c r="BR261" t="e">
        <f>Stock!U491+"'E4!/MK"</f>
        <v>#VALUE!</v>
      </c>
      <c r="BS261" t="e">
        <f>Stock!V491+"'E4!/ML"</f>
        <v>#VALUE!</v>
      </c>
      <c r="BT261" t="e">
        <f>Stock!W491+"'E4!/MM"</f>
        <v>#VALUE!</v>
      </c>
      <c r="BU261" t="e">
        <f>Stock!X491+"'E4!/MN"</f>
        <v>#VALUE!</v>
      </c>
      <c r="BV261" t="e">
        <f>Stock!Y491+"'E4!/MO"</f>
        <v>#VALUE!</v>
      </c>
      <c r="BW261" t="e">
        <f>Stock!N492+"'E4!/MP"</f>
        <v>#VALUE!</v>
      </c>
      <c r="BX261" t="e">
        <f>Stock!O492+"'E4!/MQ"</f>
        <v>#VALUE!</v>
      </c>
      <c r="BY261" t="e">
        <f>Stock!P492+"'E4!/MR"</f>
        <v>#VALUE!</v>
      </c>
      <c r="BZ261" t="e">
        <f>Stock!Q492+"'E4!/MS"</f>
        <v>#VALUE!</v>
      </c>
      <c r="CA261" s="333" t="e">
        <f>Stock!R492+"'E4!/MT"</f>
        <v>#VALUE!</v>
      </c>
      <c r="CB261" s="333" t="e">
        <f>Stock!S492+"'E4!/MU"</f>
        <v>#VALUE!</v>
      </c>
      <c r="CC261" s="333" t="e">
        <f>Stock!T492+"'E4!/MV"</f>
        <v>#VALUE!</v>
      </c>
      <c r="CD261" t="e">
        <f>Stock!U492+"'E4!/MW"</f>
        <v>#VALUE!</v>
      </c>
      <c r="CE261" t="e">
        <f>Stock!V492+"'E4!/MX"</f>
        <v>#VALUE!</v>
      </c>
      <c r="CF261" t="e">
        <f>Stock!X492+"'E4!/MY"</f>
        <v>#VALUE!</v>
      </c>
      <c r="CG261" t="e">
        <f>Stock!Y492+"'E4!/MZ"</f>
        <v>#VALUE!</v>
      </c>
      <c r="CH261" t="e">
        <f>Stock!N493+"'E4!/M["</f>
        <v>#VALUE!</v>
      </c>
      <c r="CI261" t="e">
        <f>Stock!O493+"'E4!/M\"</f>
        <v>#VALUE!</v>
      </c>
      <c r="CJ261" t="e">
        <f>Stock!P493+"'E4!/M]"</f>
        <v>#VALUE!</v>
      </c>
      <c r="CK261" t="e">
        <f>Stock!Q493+"'E4!/M^"</f>
        <v>#VALUE!</v>
      </c>
      <c r="CL261" s="333" t="e">
        <f>Stock!R493+"'E4!/M_"</f>
        <v>#VALUE!</v>
      </c>
      <c r="CM261" s="333" t="e">
        <f>Stock!S493+"'E4!/M`"</f>
        <v>#VALUE!</v>
      </c>
      <c r="CN261" s="333" t="e">
        <f>Stock!T493+"'E4!/Ma"</f>
        <v>#VALUE!</v>
      </c>
      <c r="CO261" t="e">
        <f>Stock!U493+"'E4!/Mb"</f>
        <v>#VALUE!</v>
      </c>
      <c r="CP261" t="e">
        <f>Stock!V493+"'E4!/Mc"</f>
        <v>#VALUE!</v>
      </c>
      <c r="CQ261" t="e">
        <f>Stock!X493+"'E4!/Md"</f>
        <v>#VALUE!</v>
      </c>
      <c r="CR261" t="e">
        <f>Stock!Y493+"'E4!/Me"</f>
        <v>#VALUE!</v>
      </c>
      <c r="CS261" t="e">
        <f>Stock!N494+"'E4!/Mf"</f>
        <v>#VALUE!</v>
      </c>
      <c r="CT261" t="e">
        <f>Stock!O494+"'E4!/Mg"</f>
        <v>#VALUE!</v>
      </c>
      <c r="CU261" t="e">
        <f>Stock!P494+"'E4!/Mh"</f>
        <v>#VALUE!</v>
      </c>
      <c r="CV261" t="e">
        <f>Stock!Q494+"'E4!/Mi"</f>
        <v>#VALUE!</v>
      </c>
      <c r="CW261" t="e">
        <f>Stock!R494+"'E4!/Mj"</f>
        <v>#VALUE!</v>
      </c>
      <c r="CX261" s="333" t="e">
        <f>Stock!S494+"'E4!/Mk"</f>
        <v>#VALUE!</v>
      </c>
      <c r="CY261" s="333" t="e">
        <f>Stock!T494+"'E4!/Ml"</f>
        <v>#VALUE!</v>
      </c>
      <c r="CZ261" t="e">
        <f>Stock!U494+"'E4!/Mm"</f>
        <v>#VALUE!</v>
      </c>
      <c r="DA261" t="e">
        <f>Stock!V494+"'E4!/Mn"</f>
        <v>#VALUE!</v>
      </c>
      <c r="DB261" t="e">
        <f>Stock!X494+"'E4!/Mo"</f>
        <v>#VALUE!</v>
      </c>
      <c r="DC261" t="e">
        <f>Stock!Y494+"'E4!/Mp"</f>
        <v>#VALUE!</v>
      </c>
      <c r="DD261" t="e">
        <f>Stock!N495+"'E4!/Mq"</f>
        <v>#VALUE!</v>
      </c>
      <c r="DE261" t="e">
        <f>Stock!O495+"'E4!/Mr"</f>
        <v>#VALUE!</v>
      </c>
      <c r="DF261" t="e">
        <f>Stock!P495+"'E4!/Ms"</f>
        <v>#VALUE!</v>
      </c>
      <c r="DG261" t="e">
        <f>Stock!Q495+"'E4!/Mt"</f>
        <v>#VALUE!</v>
      </c>
      <c r="DH261" t="e">
        <f>Stock!R495+"'E4!/Mu"</f>
        <v>#VALUE!</v>
      </c>
      <c r="DI261" s="333" t="e">
        <f>Stock!S495+"'E4!/Mv"</f>
        <v>#VALUE!</v>
      </c>
      <c r="DJ261" s="333" t="e">
        <f>Stock!T495+"'E4!/Mw"</f>
        <v>#VALUE!</v>
      </c>
      <c r="DK261" t="e">
        <f>Stock!U495+"'E4!/Mx"</f>
        <v>#VALUE!</v>
      </c>
      <c r="DL261" t="e">
        <f>Stock!V495+"'E4!/My"</f>
        <v>#VALUE!</v>
      </c>
      <c r="DM261" t="e">
        <f>Stock!W495+"'E4!/Mz"</f>
        <v>#VALUE!</v>
      </c>
      <c r="DN261" t="e">
        <f>Stock!X495+"'E4!/M{"</f>
        <v>#VALUE!</v>
      </c>
      <c r="DO261" t="e">
        <f>Stock!Y495+"'E4!/M|"</f>
        <v>#VALUE!</v>
      </c>
      <c r="DP261" t="e">
        <f>Stock!N496+"'E4!/M}"</f>
        <v>#VALUE!</v>
      </c>
      <c r="DQ261" t="e">
        <f>Stock!O496+"'E4!/M~"</f>
        <v>#VALUE!</v>
      </c>
      <c r="DR261" t="e">
        <f>Stock!P496+"'E4!/N#"</f>
        <v>#VALUE!</v>
      </c>
      <c r="DS261" t="e">
        <f>Stock!Q496+"'E4!/N$"</f>
        <v>#VALUE!</v>
      </c>
      <c r="DT261" t="e">
        <f>Stock!R496+"'E4!/N%"</f>
        <v>#VALUE!</v>
      </c>
      <c r="DU261" s="333" t="e">
        <f>Stock!S496+"'E4!/N&amp;"</f>
        <v>#VALUE!</v>
      </c>
      <c r="DV261" s="333" t="e">
        <f>Stock!T496+"'E4!/N'"</f>
        <v>#VALUE!</v>
      </c>
      <c r="DW261" t="e">
        <f>Stock!U496+"'E4!/N("</f>
        <v>#VALUE!</v>
      </c>
      <c r="DX261" t="e">
        <f>Stock!V496+"'E4!/N)"</f>
        <v>#VALUE!</v>
      </c>
      <c r="DY261" t="e">
        <f>Stock!W496+"'E4!/N."</f>
        <v>#VALUE!</v>
      </c>
      <c r="DZ261" t="e">
        <f>Stock!X496+"'E4!/N/"</f>
        <v>#VALUE!</v>
      </c>
      <c r="EA261" t="e">
        <f>Stock!Y496+"'E4!/N0"</f>
        <v>#VALUE!</v>
      </c>
      <c r="EB261" t="e">
        <f>Stock!N497+"'E4!/N1"</f>
        <v>#VALUE!</v>
      </c>
      <c r="EC261" t="e">
        <f>Stock!O497+"'E4!/N2"</f>
        <v>#VALUE!</v>
      </c>
      <c r="ED261" t="e">
        <f>Stock!P497+"'E4!/N3"</f>
        <v>#VALUE!</v>
      </c>
      <c r="EE261" t="e">
        <f>Stock!Q497+"'E4!/N4"</f>
        <v>#VALUE!</v>
      </c>
      <c r="EF261" t="e">
        <f>Stock!R497+"'E4!/N5"</f>
        <v>#VALUE!</v>
      </c>
      <c r="EG261" s="333" t="e">
        <f>Stock!S497+"'E4!/N6"</f>
        <v>#VALUE!</v>
      </c>
      <c r="EH261" s="333" t="e">
        <f>Stock!T497+"'E4!/N7"</f>
        <v>#VALUE!</v>
      </c>
      <c r="EI261" t="e">
        <f>Stock!U497+"'E4!/N8"</f>
        <v>#VALUE!</v>
      </c>
      <c r="EJ261" t="e">
        <f>Stock!V497+"'E4!/N9"</f>
        <v>#VALUE!</v>
      </c>
      <c r="EK261" t="e">
        <f>Stock!X497+"'E4!/N:"</f>
        <v>#VALUE!</v>
      </c>
      <c r="EL261" t="e">
        <f>Stock!Y497+"'E4!/N;"</f>
        <v>#VALUE!</v>
      </c>
      <c r="EM261" t="e">
        <f>Stock!N498+"'E4!/N&lt;"</f>
        <v>#VALUE!</v>
      </c>
      <c r="EN261" t="e">
        <f>Stock!O498+"'E4!/N="</f>
        <v>#VALUE!</v>
      </c>
      <c r="EO261" t="e">
        <f>Stock!P498+"'E4!/N&gt;"</f>
        <v>#VALUE!</v>
      </c>
      <c r="EP261" t="e">
        <f>Stock!Q498+"'E4!/N?"</f>
        <v>#VALUE!</v>
      </c>
      <c r="EQ261" t="e">
        <f>Stock!R498+"'E4!/N@"</f>
        <v>#VALUE!</v>
      </c>
      <c r="ER261" s="333" t="e">
        <f>Stock!S498+"'E4!/NA"</f>
        <v>#VALUE!</v>
      </c>
      <c r="ES261" s="333" t="e">
        <f>Stock!T498+"'E4!/NB"</f>
        <v>#VALUE!</v>
      </c>
      <c r="ET261" t="e">
        <f>Stock!U498+"'E4!/NC"</f>
        <v>#VALUE!</v>
      </c>
      <c r="EU261" t="e">
        <f>Stock!V498+"'E4!/ND"</f>
        <v>#VALUE!</v>
      </c>
      <c r="EV261" t="e">
        <f>Stock!X498+"'E4!/NE"</f>
        <v>#VALUE!</v>
      </c>
      <c r="EW261" t="e">
        <f>Stock!Y498+"'E4!/NF"</f>
        <v>#VALUE!</v>
      </c>
      <c r="EX261" t="e">
        <f>Stock!N499+"'E4!/NG"</f>
        <v>#VALUE!</v>
      </c>
      <c r="EY261" t="e">
        <f>Stock!O499+"'E4!/NH"</f>
        <v>#VALUE!</v>
      </c>
      <c r="EZ261" t="e">
        <f>Stock!P499+"'E4!/NI"</f>
        <v>#VALUE!</v>
      </c>
      <c r="FA261" t="e">
        <f>Stock!Q499+"'E4!/NJ"</f>
        <v>#VALUE!</v>
      </c>
      <c r="FB261" t="e">
        <f>Stock!R499+"'E4!/NK"</f>
        <v>#VALUE!</v>
      </c>
      <c r="FC261" s="333" t="e">
        <f>Stock!S499+"'E4!/NL"</f>
        <v>#VALUE!</v>
      </c>
      <c r="FD261" s="333" t="e">
        <f>Stock!T499+"'E4!/NM"</f>
        <v>#VALUE!</v>
      </c>
      <c r="FE261" t="e">
        <f>Stock!U499+"'E4!/NN"</f>
        <v>#VALUE!</v>
      </c>
      <c r="FF261" t="e">
        <f>Stock!V499+"'E4!/NO"</f>
        <v>#VALUE!</v>
      </c>
      <c r="FG261" t="e">
        <f>Stock!X499+"'E4!/NP"</f>
        <v>#VALUE!</v>
      </c>
      <c r="FH261" t="e">
        <f>Stock!Y499+"'E4!/NQ"</f>
        <v>#VALUE!</v>
      </c>
      <c r="FI261" t="e">
        <f>Stock!N500+"'E4!/NR"</f>
        <v>#VALUE!</v>
      </c>
      <c r="FJ261" t="e">
        <f>Stock!O500+"'E4!/NS"</f>
        <v>#VALUE!</v>
      </c>
      <c r="FK261" t="e">
        <f>Stock!P500+"'E4!/NT"</f>
        <v>#VALUE!</v>
      </c>
      <c r="FL261" t="e">
        <f>Stock!Q500+"'E4!/NU"</f>
        <v>#VALUE!</v>
      </c>
      <c r="FM261" t="e">
        <f>Stock!R500+"'E4!/NV"</f>
        <v>#VALUE!</v>
      </c>
      <c r="FN261" s="333" t="e">
        <f>Stock!S500+"'E4!/NW"</f>
        <v>#VALUE!</v>
      </c>
      <c r="FO261" s="333" t="e">
        <f>Stock!T500+"'E4!/NX"</f>
        <v>#VALUE!</v>
      </c>
      <c r="FP261" t="e">
        <f>Stock!U500+"'E4!/NY"</f>
        <v>#VALUE!</v>
      </c>
      <c r="FQ261" t="e">
        <f>Stock!V500+"'E4!/NZ"</f>
        <v>#VALUE!</v>
      </c>
      <c r="FR261" t="e">
        <f>Stock!X500+"'E4!/N["</f>
        <v>#VALUE!</v>
      </c>
      <c r="FS261" t="e">
        <f>Stock!Y500+"'E4!/N\"</f>
        <v>#VALUE!</v>
      </c>
      <c r="FT261" t="e">
        <f>Stock!N501+"'E4!/N]"</f>
        <v>#VALUE!</v>
      </c>
      <c r="FU261" t="e">
        <f>Stock!O501+"'E4!/N^"</f>
        <v>#VALUE!</v>
      </c>
      <c r="FV261" t="e">
        <f>Stock!P501+"'E4!/N_"</f>
        <v>#VALUE!</v>
      </c>
      <c r="FW261" t="e">
        <f>Stock!Q501+"'E4!/N`"</f>
        <v>#VALUE!</v>
      </c>
      <c r="FX261" t="e">
        <f>Stock!R501+"'E4!/Na"</f>
        <v>#VALUE!</v>
      </c>
      <c r="FY261" s="333" t="e">
        <f>Stock!S501+"'E4!/Nb"</f>
        <v>#VALUE!</v>
      </c>
      <c r="FZ261" s="333" t="e">
        <f>Stock!T501+"'E4!/Nc"</f>
        <v>#VALUE!</v>
      </c>
      <c r="GA261" t="e">
        <f>Stock!U501+"'E4!/Nd"</f>
        <v>#VALUE!</v>
      </c>
      <c r="GB261" t="e">
        <f>Stock!V501+"'E4!/Ne"</f>
        <v>#VALUE!</v>
      </c>
      <c r="GC261" t="e">
        <f>Stock!X501+"'E4!/Nf"</f>
        <v>#VALUE!</v>
      </c>
      <c r="GD261" t="e">
        <f>Stock!Y501+"'E4!/Ng"</f>
        <v>#VALUE!</v>
      </c>
      <c r="GE261" t="e">
        <f>Stock!N502+"'E4!/Nh"</f>
        <v>#VALUE!</v>
      </c>
      <c r="GF261" t="e">
        <f>Stock!O502+"'E4!/Ni"</f>
        <v>#VALUE!</v>
      </c>
      <c r="GG261" t="e">
        <f>Stock!P502+"'E4!/Nj"</f>
        <v>#VALUE!</v>
      </c>
      <c r="GH261" t="e">
        <f>Stock!Q502+"'E4!/Nk"</f>
        <v>#VALUE!</v>
      </c>
      <c r="GI261" t="e">
        <f>Stock!R502+"'E4!/Nl"</f>
        <v>#VALUE!</v>
      </c>
      <c r="GJ261" s="333" t="e">
        <f>Stock!S502+"'E4!/Nm"</f>
        <v>#VALUE!</v>
      </c>
      <c r="GK261" s="333" t="e">
        <f>Stock!T502+"'E4!/Nn"</f>
        <v>#VALUE!</v>
      </c>
      <c r="GL261" t="e">
        <f>Stock!U502+"'E4!/No"</f>
        <v>#VALUE!</v>
      </c>
      <c r="GM261" t="e">
        <f>Stock!V502+"'E4!/Np"</f>
        <v>#VALUE!</v>
      </c>
      <c r="GN261" t="e">
        <f>Stock!X502+"'E4!/Nq"</f>
        <v>#VALUE!</v>
      </c>
      <c r="GO261" t="e">
        <f>Stock!Y502+"'E4!/Nr"</f>
        <v>#VALUE!</v>
      </c>
      <c r="GP261" t="e">
        <f>Stock!N503+"'E4!/Ns"</f>
        <v>#VALUE!</v>
      </c>
      <c r="GQ261" t="e">
        <f>Stock!O503+"'E4!/Nt"</f>
        <v>#VALUE!</v>
      </c>
      <c r="GR261" t="e">
        <f>Stock!P503+"'E4!/Nu"</f>
        <v>#VALUE!</v>
      </c>
      <c r="GS261" t="e">
        <f>Stock!Q503+"'E4!/Nv"</f>
        <v>#VALUE!</v>
      </c>
      <c r="GT261" t="e">
        <f>Stock!R503+"'E4!/Nw"</f>
        <v>#VALUE!</v>
      </c>
      <c r="GU261" s="333" t="e">
        <f>Stock!S503+"'E4!/Nx"</f>
        <v>#VALUE!</v>
      </c>
      <c r="GV261" s="333" t="e">
        <f>Stock!T503+"'E4!/Ny"</f>
        <v>#VALUE!</v>
      </c>
      <c r="GW261" t="e">
        <f>Stock!U503+"'E4!/Nz"</f>
        <v>#VALUE!</v>
      </c>
      <c r="GX261" t="e">
        <f>Stock!V503+"'E4!/N{"</f>
        <v>#VALUE!</v>
      </c>
      <c r="GY261" t="e">
        <f>Stock!X503+"'E4!/N|"</f>
        <v>#VALUE!</v>
      </c>
      <c r="GZ261" t="e">
        <f>Stock!Y503+"'E4!/N}"</f>
        <v>#VALUE!</v>
      </c>
      <c r="HA261" t="e">
        <f>Stock!N504+"'E4!/N~"</f>
        <v>#VALUE!</v>
      </c>
      <c r="HB261" t="e">
        <f>Stock!O504+"'E4!/O#"</f>
        <v>#VALUE!</v>
      </c>
      <c r="HC261" t="e">
        <f>Stock!P504+"'E4!/O$"</f>
        <v>#VALUE!</v>
      </c>
      <c r="HD261" t="e">
        <f>Stock!Q504+"'E4!/O%"</f>
        <v>#VALUE!</v>
      </c>
      <c r="HE261" t="e">
        <f>Stock!R504+"'E4!/O&amp;"</f>
        <v>#VALUE!</v>
      </c>
      <c r="HF261" s="333" t="e">
        <f>Stock!S504+"'E4!/O'"</f>
        <v>#VALUE!</v>
      </c>
      <c r="HG261" s="333" t="e">
        <f>Stock!T504+"'E4!/O("</f>
        <v>#VALUE!</v>
      </c>
      <c r="HH261" t="e">
        <f>Stock!U504+"'E4!/O)"</f>
        <v>#VALUE!</v>
      </c>
      <c r="HI261" t="e">
        <f>Stock!V504+"'E4!/O."</f>
        <v>#VALUE!</v>
      </c>
      <c r="HJ261" t="e">
        <f>Stock!X504+"'E4!/O/"</f>
        <v>#VALUE!</v>
      </c>
      <c r="HK261" t="e">
        <f>Stock!Y504+"'E4!/O0"</f>
        <v>#VALUE!</v>
      </c>
      <c r="HL261" t="e">
        <f>Stock!N505+"'E4!/O1"</f>
        <v>#VALUE!</v>
      </c>
      <c r="HM261" t="e">
        <f>Stock!O505+"'E4!/O2"</f>
        <v>#VALUE!</v>
      </c>
      <c r="HN261" t="e">
        <f>Stock!P505+"'E4!/O3"</f>
        <v>#VALUE!</v>
      </c>
      <c r="HO261" t="e">
        <f>Stock!Q505+"'E4!/O4"</f>
        <v>#VALUE!</v>
      </c>
      <c r="HP261" t="e">
        <f>Stock!R505+"'E4!/O5"</f>
        <v>#VALUE!</v>
      </c>
      <c r="HQ261" s="333" t="e">
        <f>Stock!S505+"'E4!/O6"</f>
        <v>#VALUE!</v>
      </c>
      <c r="HR261" s="333" t="e">
        <f>Stock!T505+"'E4!/O7"</f>
        <v>#VALUE!</v>
      </c>
      <c r="HS261" t="e">
        <f>Stock!U505+"'E4!/O8"</f>
        <v>#VALUE!</v>
      </c>
      <c r="HT261" t="e">
        <f>Stock!V505+"'E4!/O9"</f>
        <v>#VALUE!</v>
      </c>
      <c r="HU261" t="e">
        <f>Stock!X505+"'E4!/O:"</f>
        <v>#VALUE!</v>
      </c>
      <c r="HV261" t="e">
        <f>Stock!Y505+"'E4!/O;"</f>
        <v>#VALUE!</v>
      </c>
      <c r="HW261" t="e">
        <f>Stock!N506+"'E4!/O&lt;"</f>
        <v>#VALUE!</v>
      </c>
      <c r="HX261" t="e">
        <f>Stock!O506+"'E4!/O="</f>
        <v>#VALUE!</v>
      </c>
      <c r="HY261" t="e">
        <f>Stock!P506+"'E4!/O&gt;"</f>
        <v>#VALUE!</v>
      </c>
      <c r="HZ261" t="e">
        <f>Stock!Q506+"'E4!/O?"</f>
        <v>#VALUE!</v>
      </c>
      <c r="IA261" t="e">
        <f>Stock!R506+"'E4!/O@"</f>
        <v>#VALUE!</v>
      </c>
      <c r="IB261" s="333" t="e">
        <f>Stock!S506+"'E4!/OA"</f>
        <v>#VALUE!</v>
      </c>
      <c r="IC261" s="333" t="e">
        <f>Stock!T506+"'E4!/OB"</f>
        <v>#VALUE!</v>
      </c>
      <c r="ID261" t="e">
        <f>Stock!U506+"'E4!/OC"</f>
        <v>#VALUE!</v>
      </c>
      <c r="IE261" t="e">
        <f>Stock!V506+"'E4!/OD"</f>
        <v>#VALUE!</v>
      </c>
      <c r="IF261" t="e">
        <f>Stock!X506+"'E4!/OE"</f>
        <v>#VALUE!</v>
      </c>
      <c r="IG261" t="e">
        <f>Stock!Y506+"'E4!/OF"</f>
        <v>#VALUE!</v>
      </c>
      <c r="IH261" t="e">
        <f>Stock!N507+"'E4!/OG"</f>
        <v>#VALUE!</v>
      </c>
      <c r="II261" t="e">
        <f>Stock!O507+"'E4!/OH"</f>
        <v>#VALUE!</v>
      </c>
      <c r="IJ261" t="e">
        <f>Stock!P507+"'E4!/OI"</f>
        <v>#VALUE!</v>
      </c>
      <c r="IK261" t="e">
        <f>Stock!Q507+"'E4!/OJ"</f>
        <v>#VALUE!</v>
      </c>
      <c r="IL261" t="e">
        <f>Stock!R507+"'E4!/OK"</f>
        <v>#VALUE!</v>
      </c>
      <c r="IM261" s="333" t="e">
        <f>Stock!S507+"'E4!/OL"</f>
        <v>#VALUE!</v>
      </c>
      <c r="IN261" s="333" t="e">
        <f>Stock!T507+"'E4!/OM"</f>
        <v>#VALUE!</v>
      </c>
      <c r="IO261" t="e">
        <f>Stock!U507+"'E4!/ON"</f>
        <v>#VALUE!</v>
      </c>
      <c r="IP261" t="e">
        <f>Stock!V507+"'E4!/OO"</f>
        <v>#VALUE!</v>
      </c>
      <c r="IQ261" t="e">
        <f>Stock!X507+"'E4!/OP"</f>
        <v>#VALUE!</v>
      </c>
      <c r="IR261" t="e">
        <f>Stock!Y507+"'E4!/OQ"</f>
        <v>#VALUE!</v>
      </c>
      <c r="IS261" t="e">
        <f>Stock!N508+"'E4!/OR"</f>
        <v>#VALUE!</v>
      </c>
      <c r="IT261" t="e">
        <f>Stock!O508+"'E4!/OS"</f>
        <v>#VALUE!</v>
      </c>
      <c r="IU261" t="e">
        <f>Stock!P508+"'E4!/OT"</f>
        <v>#VALUE!</v>
      </c>
      <c r="IV261" t="e">
        <f>Stock!Q508+"'E4!/OU"</f>
        <v>#VALUE!</v>
      </c>
    </row>
    <row r="262" spans="6:256">
      <c r="F262" t="e">
        <f>Stock!R508+"'E4!/OV"</f>
        <v>#VALUE!</v>
      </c>
      <c r="G262" s="333" t="e">
        <f>Stock!S508+"'E4!/OW"</f>
        <v>#VALUE!</v>
      </c>
      <c r="H262" s="333" t="e">
        <f>Stock!T508+"'E4!/OX"</f>
        <v>#VALUE!</v>
      </c>
      <c r="I262" t="e">
        <f>Stock!U508+"'E4!/OY"</f>
        <v>#VALUE!</v>
      </c>
      <c r="J262" t="e">
        <f>Stock!V508+"'E4!/OZ"</f>
        <v>#VALUE!</v>
      </c>
      <c r="K262" t="e">
        <f>Stock!X508+"'E4!/O["</f>
        <v>#VALUE!</v>
      </c>
      <c r="L262" t="e">
        <f>Stock!Y508+"'E4!/O\"</f>
        <v>#VALUE!</v>
      </c>
      <c r="M262" t="e">
        <f>Stock!N509+"'E4!/O]"</f>
        <v>#VALUE!</v>
      </c>
      <c r="N262" t="e">
        <f>Stock!O509+"'E4!/O^"</f>
        <v>#VALUE!</v>
      </c>
      <c r="O262" t="e">
        <f>Stock!P509+"'E4!/O_"</f>
        <v>#VALUE!</v>
      </c>
      <c r="P262" t="e">
        <f>Stock!Q509+"'E4!/O`"</f>
        <v>#VALUE!</v>
      </c>
      <c r="Q262" t="e">
        <f>Stock!R509+"'E4!/Oa"</f>
        <v>#VALUE!</v>
      </c>
      <c r="R262" s="333" t="e">
        <f>Stock!S509+"'E4!/Ob"</f>
        <v>#VALUE!</v>
      </c>
      <c r="S262" s="333" t="e">
        <f>Stock!T509+"'E4!/Oc"</f>
        <v>#VALUE!</v>
      </c>
      <c r="T262" t="e">
        <f>Stock!U509+"'E4!/Od"</f>
        <v>#VALUE!</v>
      </c>
      <c r="U262" t="e">
        <f>Stock!V509+"'E4!/Oe"</f>
        <v>#VALUE!</v>
      </c>
      <c r="V262" t="e">
        <f>Stock!X509+"'E4!/Of"</f>
        <v>#VALUE!</v>
      </c>
      <c r="W262" t="e">
        <f>Stock!Y509+"'E4!/Og"</f>
        <v>#VALUE!</v>
      </c>
      <c r="X262" t="e">
        <f>Stock!N510+"'E4!/Oh"</f>
        <v>#VALUE!</v>
      </c>
      <c r="Y262" t="e">
        <f>Stock!O510+"'E4!/Oi"</f>
        <v>#VALUE!</v>
      </c>
      <c r="Z262" t="e">
        <f>Stock!P510+"'E4!/Oj"</f>
        <v>#VALUE!</v>
      </c>
      <c r="AA262" t="e">
        <f>Stock!Q510+"'E4!/Ok"</f>
        <v>#VALUE!</v>
      </c>
      <c r="AB262" t="e">
        <f>Stock!R510+"'E4!/Ol"</f>
        <v>#VALUE!</v>
      </c>
      <c r="AC262" s="333" t="e">
        <f>Stock!S510+"'E4!/Om"</f>
        <v>#VALUE!</v>
      </c>
      <c r="AD262" s="333" t="e">
        <f>Stock!T510+"'E4!/On"</f>
        <v>#VALUE!</v>
      </c>
      <c r="AE262" t="e">
        <f>Stock!U510+"'E4!/Oo"</f>
        <v>#VALUE!</v>
      </c>
      <c r="AF262" t="e">
        <f>Stock!V510+"'E4!/Op"</f>
        <v>#VALUE!</v>
      </c>
      <c r="AG262" t="e">
        <f>Stock!X510+"'E4!/Oq"</f>
        <v>#VALUE!</v>
      </c>
      <c r="AH262" t="e">
        <f>Stock!Y510+"'E4!/Or"</f>
        <v>#VALUE!</v>
      </c>
      <c r="AI262" t="e">
        <f>Stock!N511+"'E4!/Os"</f>
        <v>#VALUE!</v>
      </c>
      <c r="AJ262" t="e">
        <f>Stock!O511+"'E4!/Ot"</f>
        <v>#VALUE!</v>
      </c>
      <c r="AK262" t="e">
        <f>Stock!P511+"'E4!/Ou"</f>
        <v>#VALUE!</v>
      </c>
      <c r="AL262" t="e">
        <f>Stock!Q511+"'E4!/Ov"</f>
        <v>#VALUE!</v>
      </c>
      <c r="AM262" t="e">
        <f>Stock!R511+"'E4!/Ow"</f>
        <v>#VALUE!</v>
      </c>
      <c r="AN262" s="333" t="e">
        <f>Stock!S511+"'E4!/Ox"</f>
        <v>#VALUE!</v>
      </c>
      <c r="AO262" s="333" t="e">
        <f>Stock!T511+"'E4!/Oy"</f>
        <v>#VALUE!</v>
      </c>
      <c r="AP262" t="e">
        <f>Stock!U511+"'E4!/Oz"</f>
        <v>#VALUE!</v>
      </c>
      <c r="AQ262" t="e">
        <f>Stock!V511+"'E4!/O{"</f>
        <v>#VALUE!</v>
      </c>
      <c r="AR262" t="e">
        <f>Stock!W511+"'E4!/O|"</f>
        <v>#VALUE!</v>
      </c>
      <c r="AS262" t="e">
        <f>Stock!X511+"'E4!/O}"</f>
        <v>#VALUE!</v>
      </c>
      <c r="AT262" t="e">
        <f>Stock!Y511+"'E4!/O~"</f>
        <v>#VALUE!</v>
      </c>
      <c r="AU262" t="e">
        <f>Stock!N512+"'E4!/P#"</f>
        <v>#VALUE!</v>
      </c>
      <c r="AV262" t="e">
        <f>Stock!O512+"'E4!/P$"</f>
        <v>#VALUE!</v>
      </c>
      <c r="AW262" t="e">
        <f>Stock!P512+"'E4!/P%"</f>
        <v>#VALUE!</v>
      </c>
      <c r="AX262" t="e">
        <f>Stock!Q512+"'E4!/P&amp;"</f>
        <v>#VALUE!</v>
      </c>
      <c r="AY262" t="e">
        <f>Stock!R512+"'E4!/P'"</f>
        <v>#VALUE!</v>
      </c>
      <c r="AZ262" s="333" t="e">
        <f>Stock!S512+"'E4!/P("</f>
        <v>#VALUE!</v>
      </c>
      <c r="BA262" s="333" t="e">
        <f>Stock!T512+"'E4!/P)"</f>
        <v>#VALUE!</v>
      </c>
      <c r="BB262" t="e">
        <f>Stock!U512+"'E4!/P."</f>
        <v>#VALUE!</v>
      </c>
      <c r="BC262" t="e">
        <f>Stock!V512+"'E4!/P/"</f>
        <v>#VALUE!</v>
      </c>
      <c r="BD262" t="e">
        <f>Stock!W512+"'E4!/P0"</f>
        <v>#VALUE!</v>
      </c>
      <c r="BE262" t="e">
        <f>Stock!X512+"'E4!/P1"</f>
        <v>#VALUE!</v>
      </c>
      <c r="BF262" t="e">
        <f>Stock!Y512+"'E4!/P2"</f>
        <v>#VALUE!</v>
      </c>
      <c r="BG262" t="e">
        <f>Stock!N513+"'E4!/P3"</f>
        <v>#VALUE!</v>
      </c>
      <c r="BH262" t="e">
        <f>Stock!O513+"'E4!/P4"</f>
        <v>#VALUE!</v>
      </c>
      <c r="BI262" t="e">
        <f>Stock!P513+"'E4!/P5"</f>
        <v>#VALUE!</v>
      </c>
      <c r="BJ262" t="e">
        <f>Stock!Q513+"'E4!/P6"</f>
        <v>#VALUE!</v>
      </c>
      <c r="BK262" t="e">
        <f>Stock!R513+"'E4!/P7"</f>
        <v>#VALUE!</v>
      </c>
      <c r="BL262" s="333" t="e">
        <f>Stock!S513+"'E4!/P8"</f>
        <v>#VALUE!</v>
      </c>
      <c r="BM262" s="333" t="e">
        <f>Stock!T513+"'E4!/P9"</f>
        <v>#VALUE!</v>
      </c>
      <c r="BN262" t="e">
        <f>Stock!U513+"'E4!/P:"</f>
        <v>#VALUE!</v>
      </c>
      <c r="BO262" t="e">
        <f>Stock!V513+"'E4!/P;"</f>
        <v>#VALUE!</v>
      </c>
      <c r="BP262" t="e">
        <f>Stock!W513+"'E4!/P&lt;"</f>
        <v>#VALUE!</v>
      </c>
      <c r="BQ262" t="e">
        <f>Stock!X513+"'E4!/P="</f>
        <v>#VALUE!</v>
      </c>
      <c r="BR262" t="e">
        <f>Stock!Y513+"'E4!/P&gt;"</f>
        <v>#VALUE!</v>
      </c>
      <c r="BS262" t="e">
        <f>Stock!N514+"'E4!/P?"</f>
        <v>#VALUE!</v>
      </c>
      <c r="BT262" t="e">
        <f>Stock!O514+"'E4!/P@"</f>
        <v>#VALUE!</v>
      </c>
      <c r="BU262" t="e">
        <f>Stock!P514+"'E4!/PA"</f>
        <v>#VALUE!</v>
      </c>
      <c r="BV262" t="e">
        <f>Stock!Q514+"'E4!/PB"</f>
        <v>#VALUE!</v>
      </c>
      <c r="BW262" t="e">
        <f>Stock!R514+"'E4!/PC"</f>
        <v>#VALUE!</v>
      </c>
      <c r="BX262" s="333" t="e">
        <f>Stock!S514+"'E4!/PD"</f>
        <v>#VALUE!</v>
      </c>
      <c r="BY262" s="333" t="e">
        <f>Stock!T514+"'E4!/PE"</f>
        <v>#VALUE!</v>
      </c>
      <c r="BZ262" t="e">
        <f>Stock!U514+"'E4!/PF"</f>
        <v>#VALUE!</v>
      </c>
      <c r="CA262" t="e">
        <f>Stock!V514+"'E4!/PG"</f>
        <v>#VALUE!</v>
      </c>
      <c r="CB262" t="e">
        <f>Stock!W514+"'E4!/PH"</f>
        <v>#VALUE!</v>
      </c>
      <c r="CC262" t="e">
        <f>Stock!X514+"'E4!/PI"</f>
        <v>#VALUE!</v>
      </c>
      <c r="CD262" t="e">
        <f>Stock!Y514+"'E4!/PJ"</f>
        <v>#VALUE!</v>
      </c>
      <c r="CE262" t="e">
        <f>Stock!N515+"'E4!/PK"</f>
        <v>#VALUE!</v>
      </c>
      <c r="CF262" t="e">
        <f>Stock!O515+"'E4!/PL"</f>
        <v>#VALUE!</v>
      </c>
      <c r="CG262" t="e">
        <f>Stock!P515+"'E4!/PM"</f>
        <v>#VALUE!</v>
      </c>
      <c r="CH262" t="e">
        <f>Stock!Q515+"'E4!/PN"</f>
        <v>#VALUE!</v>
      </c>
      <c r="CI262" t="e">
        <f>Stock!R515+"'E4!/PO"</f>
        <v>#VALUE!</v>
      </c>
      <c r="CJ262" s="333" t="e">
        <f>Stock!S515+"'E4!/PP"</f>
        <v>#VALUE!</v>
      </c>
      <c r="CK262" s="333" t="e">
        <f>Stock!T515+"'E4!/PQ"</f>
        <v>#VALUE!</v>
      </c>
      <c r="CL262" t="e">
        <f>Stock!U515+"'E4!/PR"</f>
        <v>#VALUE!</v>
      </c>
      <c r="CM262" t="e">
        <f>Stock!V515+"'E4!/PS"</f>
        <v>#VALUE!</v>
      </c>
      <c r="CN262" t="e">
        <f>Stock!W515+"'E4!/PT"</f>
        <v>#VALUE!</v>
      </c>
      <c r="CO262" t="e">
        <f>Stock!X515+"'E4!/PU"</f>
        <v>#VALUE!</v>
      </c>
      <c r="CP262" t="e">
        <f>Stock!Y515+"'E4!/PV"</f>
        <v>#VALUE!</v>
      </c>
      <c r="CQ262" t="e">
        <f>Stock!N516+"'E4!/PW"</f>
        <v>#VALUE!</v>
      </c>
      <c r="CR262" t="e">
        <f>Stock!O516+"'E4!/PX"</f>
        <v>#VALUE!</v>
      </c>
      <c r="CS262" t="e">
        <f>Stock!P516+"'E4!/PY"</f>
        <v>#VALUE!</v>
      </c>
      <c r="CT262" t="e">
        <f>Stock!Q516+"'E4!/PZ"</f>
        <v>#VALUE!</v>
      </c>
      <c r="CU262" t="e">
        <f>Stock!R516+"'E4!/P["</f>
        <v>#VALUE!</v>
      </c>
      <c r="CV262" s="333" t="e">
        <f>Stock!S516+"'E4!/P\"</f>
        <v>#VALUE!</v>
      </c>
      <c r="CW262" s="333" t="e">
        <f>Stock!T516+"'E4!/P]"</f>
        <v>#VALUE!</v>
      </c>
      <c r="CX262" t="e">
        <f>Stock!U516+"'E4!/P^"</f>
        <v>#VALUE!</v>
      </c>
      <c r="CY262" t="e">
        <f>Stock!V516+"'E4!/P_"</f>
        <v>#VALUE!</v>
      </c>
      <c r="CZ262" t="e">
        <f>Stock!W516+"'E4!/P`"</f>
        <v>#VALUE!</v>
      </c>
      <c r="DA262" t="e">
        <f>Stock!X516+"'E4!/Pa"</f>
        <v>#VALUE!</v>
      </c>
      <c r="DB262" t="e">
        <f>Stock!Y516+"'E4!/Pb"</f>
        <v>#VALUE!</v>
      </c>
      <c r="DC262" t="e">
        <f>Stock!N517+"'E4!/Pc"</f>
        <v>#VALUE!</v>
      </c>
      <c r="DD262" t="e">
        <f>Stock!O517+"'E4!/Pd"</f>
        <v>#VALUE!</v>
      </c>
      <c r="DE262" t="e">
        <f>Stock!P517+"'E4!/Pe"</f>
        <v>#VALUE!</v>
      </c>
      <c r="DF262" t="e">
        <f>Stock!Q517+"'E4!/Pf"</f>
        <v>#VALUE!</v>
      </c>
      <c r="DG262" t="e">
        <f>Stock!R517+"'E4!/Pg"</f>
        <v>#VALUE!</v>
      </c>
      <c r="DH262" s="333" t="e">
        <f>Stock!S517+"'E4!/Ph"</f>
        <v>#VALUE!</v>
      </c>
      <c r="DI262" s="333" t="e">
        <f>Stock!T517+"'E4!/Pi"</f>
        <v>#VALUE!</v>
      </c>
      <c r="DJ262" t="e">
        <f>Stock!U517+"'E4!/Pj"</f>
        <v>#VALUE!</v>
      </c>
      <c r="DK262" t="e">
        <f>Stock!V517+"'E4!/Pk"</f>
        <v>#VALUE!</v>
      </c>
      <c r="DL262" t="e">
        <f>Stock!X517+"'E4!/Pl"</f>
        <v>#VALUE!</v>
      </c>
      <c r="DM262" t="e">
        <f>Stock!Y517+"'E4!/Pm"</f>
        <v>#VALUE!</v>
      </c>
      <c r="DN262" t="e">
        <f>Stock!N518+"'E4!/Pn"</f>
        <v>#VALUE!</v>
      </c>
      <c r="DO262" t="e">
        <f>Stock!O518+"'E4!/Po"</f>
        <v>#VALUE!</v>
      </c>
      <c r="DP262" t="e">
        <f>Stock!P518+"'E4!/Pp"</f>
        <v>#VALUE!</v>
      </c>
      <c r="DQ262" t="e">
        <f>Stock!Q518+"'E4!/Pq"</f>
        <v>#VALUE!</v>
      </c>
      <c r="DR262" t="e">
        <f>Stock!R518+"'E4!/Pr"</f>
        <v>#VALUE!</v>
      </c>
      <c r="DS262" s="333" t="e">
        <f>Stock!S518+"'E4!/Ps"</f>
        <v>#VALUE!</v>
      </c>
      <c r="DT262" s="333" t="e">
        <f>Stock!T518+"'E4!/Pt"</f>
        <v>#VALUE!</v>
      </c>
      <c r="DU262" t="e">
        <f>Stock!U518+"'E4!/Pu"</f>
        <v>#VALUE!</v>
      </c>
      <c r="DV262" t="e">
        <f>Stock!V518+"'E4!/Pv"</f>
        <v>#VALUE!</v>
      </c>
      <c r="DW262" t="e">
        <f>Stock!X518+"'E4!/Pw"</f>
        <v>#VALUE!</v>
      </c>
      <c r="DX262" t="e">
        <f>Stock!Y518+"'E4!/Px"</f>
        <v>#VALUE!</v>
      </c>
      <c r="DY262" t="e">
        <f>Stock!N519+"'E4!/Py"</f>
        <v>#VALUE!</v>
      </c>
      <c r="DZ262" t="e">
        <f>Stock!O519+"'E4!/Pz"</f>
        <v>#VALUE!</v>
      </c>
      <c r="EA262" t="e">
        <f>Stock!P519+"'E4!/P{"</f>
        <v>#VALUE!</v>
      </c>
      <c r="EB262" t="e">
        <f>Stock!Q519+"'E4!/P|"</f>
        <v>#VALUE!</v>
      </c>
      <c r="EC262" t="e">
        <f>Stock!R519+"'E4!/P}"</f>
        <v>#VALUE!</v>
      </c>
      <c r="ED262" s="333" t="e">
        <f>Stock!S519+"'E4!/P~"</f>
        <v>#VALUE!</v>
      </c>
      <c r="EE262" s="333" t="e">
        <f>Stock!T519+"'E4!/Q#"</f>
        <v>#VALUE!</v>
      </c>
      <c r="EF262" t="e">
        <f>Stock!U519+"'E4!/Q$"</f>
        <v>#VALUE!</v>
      </c>
      <c r="EG262" t="e">
        <f>Stock!V519+"'E4!/Q%"</f>
        <v>#VALUE!</v>
      </c>
      <c r="EH262" t="e">
        <f>Stock!X519+"'E4!/Q&amp;"</f>
        <v>#VALUE!</v>
      </c>
      <c r="EI262" t="e">
        <f>Stock!Y519+"'E4!/Q'"</f>
        <v>#VALUE!</v>
      </c>
      <c r="EJ262" t="e">
        <f>Stock!N520+"'E4!/Q("</f>
        <v>#VALUE!</v>
      </c>
      <c r="EK262" t="e">
        <f>Stock!O520+"'E4!/Q)"</f>
        <v>#VALUE!</v>
      </c>
      <c r="EL262" t="e">
        <f>Stock!P520+"'E4!/Q."</f>
        <v>#VALUE!</v>
      </c>
      <c r="EM262" t="e">
        <f>Stock!Q520+"'E4!/Q/"</f>
        <v>#VALUE!</v>
      </c>
      <c r="EN262" t="e">
        <f>Stock!R520+"'E4!/Q0"</f>
        <v>#VALUE!</v>
      </c>
      <c r="EO262" s="333" t="e">
        <f>Stock!S520+"'E4!/Q1"</f>
        <v>#VALUE!</v>
      </c>
      <c r="EP262" s="333" t="e">
        <f>Stock!T520+"'E4!/Q2"</f>
        <v>#VALUE!</v>
      </c>
      <c r="EQ262" t="e">
        <f>Stock!U520+"'E4!/Q3"</f>
        <v>#VALUE!</v>
      </c>
      <c r="ER262" t="e">
        <f>Stock!V520+"'E4!/Q4"</f>
        <v>#VALUE!</v>
      </c>
      <c r="ES262" t="e">
        <f>Stock!X520+"'E4!/Q5"</f>
        <v>#VALUE!</v>
      </c>
      <c r="ET262" t="e">
        <f>Stock!Y520+"'E4!/Q6"</f>
        <v>#VALUE!</v>
      </c>
      <c r="EU262" t="e">
        <f>Stock!N521+"'E4!/Q7"</f>
        <v>#VALUE!</v>
      </c>
      <c r="EV262" t="e">
        <f>Stock!O521+"'E4!/Q8"</f>
        <v>#VALUE!</v>
      </c>
      <c r="EW262" t="e">
        <f>Stock!P521+"'E4!/Q9"</f>
        <v>#VALUE!</v>
      </c>
      <c r="EX262" t="e">
        <f>Stock!Q521+"'E4!/Q:"</f>
        <v>#VALUE!</v>
      </c>
      <c r="EY262" t="e">
        <f>Stock!R521+"'E4!/Q;"</f>
        <v>#VALUE!</v>
      </c>
      <c r="EZ262" s="333" t="e">
        <f>Stock!S521+"'E4!/Q&lt;"</f>
        <v>#VALUE!</v>
      </c>
      <c r="FA262" s="333" t="e">
        <f>Stock!T521+"'E4!/Q="</f>
        <v>#VALUE!</v>
      </c>
      <c r="FB262" t="e">
        <f>Stock!U521+"'E4!/Q&gt;"</f>
        <v>#VALUE!</v>
      </c>
      <c r="FC262" t="e">
        <f>Stock!V521+"'E4!/Q?"</f>
        <v>#VALUE!</v>
      </c>
      <c r="FD262" t="e">
        <f>Stock!X521+"'E4!/Q@"</f>
        <v>#VALUE!</v>
      </c>
      <c r="FE262" t="e">
        <f>Stock!Y521+"'E4!/QA"</f>
        <v>#VALUE!</v>
      </c>
      <c r="FF262" t="e">
        <f>Stock!N522+"'E4!/QB"</f>
        <v>#VALUE!</v>
      </c>
      <c r="FG262" t="e">
        <f>Stock!O522+"'E4!/QC"</f>
        <v>#VALUE!</v>
      </c>
      <c r="FH262" t="e">
        <f>Stock!P522+"'E4!/QD"</f>
        <v>#VALUE!</v>
      </c>
      <c r="FI262" t="e">
        <f>Stock!Q522+"'E4!/QE"</f>
        <v>#VALUE!</v>
      </c>
      <c r="FJ262" t="e">
        <f>Stock!R522+"'E4!/QF"</f>
        <v>#VALUE!</v>
      </c>
      <c r="FK262" s="333" t="e">
        <f>Stock!S522+"'E4!/QG"</f>
        <v>#VALUE!</v>
      </c>
      <c r="FL262" s="333" t="e">
        <f>Stock!T522+"'E4!/QH"</f>
        <v>#VALUE!</v>
      </c>
      <c r="FM262" t="e">
        <f>Stock!U522+"'E4!/QI"</f>
        <v>#VALUE!</v>
      </c>
      <c r="FN262" t="e">
        <f>Stock!V522+"'E4!/QJ"</f>
        <v>#VALUE!</v>
      </c>
      <c r="FO262" t="e">
        <f>Stock!X522+"'E4!/QK"</f>
        <v>#VALUE!</v>
      </c>
      <c r="FP262" t="e">
        <f>Stock!Y522+"'E4!/QL"</f>
        <v>#VALUE!</v>
      </c>
      <c r="FQ262" t="e">
        <f>Stock!N523+"'E4!/QM"</f>
        <v>#VALUE!</v>
      </c>
      <c r="FR262" t="e">
        <f>Stock!O523+"'E4!/QN"</f>
        <v>#VALUE!</v>
      </c>
      <c r="FS262" t="e">
        <f>Stock!P523+"'E4!/QO"</f>
        <v>#VALUE!</v>
      </c>
      <c r="FT262" t="e">
        <f>Stock!Q523+"'E4!/QP"</f>
        <v>#VALUE!</v>
      </c>
      <c r="FU262" t="e">
        <f>Stock!R523+"'E4!/QQ"</f>
        <v>#VALUE!</v>
      </c>
      <c r="FV262" s="333" t="e">
        <f>Stock!S523+"'E4!/QR"</f>
        <v>#VALUE!</v>
      </c>
      <c r="FW262" s="333" t="e">
        <f>Stock!T523+"'E4!/QS"</f>
        <v>#VALUE!</v>
      </c>
      <c r="FX262" t="e">
        <f>Stock!U523+"'E4!/QT"</f>
        <v>#VALUE!</v>
      </c>
      <c r="FY262" t="e">
        <f>Stock!V523+"'E4!/QU"</f>
        <v>#VALUE!</v>
      </c>
      <c r="FZ262" t="e">
        <f>Stock!X523+"'E4!/QV"</f>
        <v>#VALUE!</v>
      </c>
      <c r="GA262" t="e">
        <f>Stock!Y523+"'E4!/QW"</f>
        <v>#VALUE!</v>
      </c>
      <c r="GB262" t="e">
        <f>Stock!N524+"'E4!/QX"</f>
        <v>#VALUE!</v>
      </c>
      <c r="GC262" t="e">
        <f>Stock!O524+"'E4!/QY"</f>
        <v>#VALUE!</v>
      </c>
      <c r="GD262" t="e">
        <f>Stock!P524+"'E4!/QZ"</f>
        <v>#VALUE!</v>
      </c>
      <c r="GE262" t="e">
        <f>Stock!Q524+"'E4!/Q["</f>
        <v>#VALUE!</v>
      </c>
      <c r="GF262" t="e">
        <f>Stock!R524+"'E4!/Q\"</f>
        <v>#VALUE!</v>
      </c>
      <c r="GG262" s="333" t="e">
        <f>Stock!S524+"'E4!/Q]"</f>
        <v>#VALUE!</v>
      </c>
      <c r="GH262" s="333" t="e">
        <f>Stock!T524+"'E4!/Q^"</f>
        <v>#VALUE!</v>
      </c>
      <c r="GI262" t="e">
        <f>Stock!U524+"'E4!/Q_"</f>
        <v>#VALUE!</v>
      </c>
      <c r="GJ262" t="e">
        <f>Stock!V524+"'E4!/Q`"</f>
        <v>#VALUE!</v>
      </c>
      <c r="GK262" t="e">
        <f>Stock!X524+"'E4!/Qa"</f>
        <v>#VALUE!</v>
      </c>
      <c r="GL262" t="e">
        <f>Stock!Y524+"'E4!/Qb"</f>
        <v>#VALUE!</v>
      </c>
      <c r="GM262" t="e">
        <f>Stock!N525+"'E4!/Qc"</f>
        <v>#VALUE!</v>
      </c>
      <c r="GN262" t="e">
        <f>Stock!O525+"'E4!/Qd"</f>
        <v>#VALUE!</v>
      </c>
      <c r="GO262" t="e">
        <f>Stock!P525+"'E4!/Qe"</f>
        <v>#VALUE!</v>
      </c>
      <c r="GP262" t="e">
        <f>Stock!Q525+"'E4!/Qf"</f>
        <v>#VALUE!</v>
      </c>
      <c r="GQ262" t="e">
        <f>Stock!R525+"'E4!/Qg"</f>
        <v>#VALUE!</v>
      </c>
      <c r="GR262" s="333" t="e">
        <f>Stock!S525+"'E4!/Qh"</f>
        <v>#VALUE!</v>
      </c>
      <c r="GS262" s="333" t="e">
        <f>Stock!T525+"'E4!/Qi"</f>
        <v>#VALUE!</v>
      </c>
      <c r="GT262" t="e">
        <f>Stock!U525+"'E4!/Qj"</f>
        <v>#VALUE!</v>
      </c>
      <c r="GU262" t="e">
        <f>Stock!V525+"'E4!/Qk"</f>
        <v>#VALUE!</v>
      </c>
      <c r="GV262" t="e">
        <f>Stock!X525+"'E4!/Ql"</f>
        <v>#VALUE!</v>
      </c>
      <c r="GW262" t="e">
        <f>Stock!Y525+"'E4!/Qm"</f>
        <v>#VALUE!</v>
      </c>
      <c r="GX262" t="e">
        <f>Stock!N526+"'E4!/Qn"</f>
        <v>#VALUE!</v>
      </c>
      <c r="GY262" t="e">
        <f>Stock!O526+"'E4!/Qo"</f>
        <v>#VALUE!</v>
      </c>
      <c r="GZ262" t="e">
        <f>Stock!P526+"'E4!/Qp"</f>
        <v>#VALUE!</v>
      </c>
      <c r="HA262" t="e">
        <f>Stock!Q526+"'E4!/Qq"</f>
        <v>#VALUE!</v>
      </c>
      <c r="HB262" t="e">
        <f>Stock!R526+"'E4!/Qr"</f>
        <v>#VALUE!</v>
      </c>
      <c r="HC262" s="333" t="e">
        <f>Stock!S526+"'E4!/Qs"</f>
        <v>#VALUE!</v>
      </c>
      <c r="HD262" s="333" t="e">
        <f>Stock!T526+"'E4!/Qt"</f>
        <v>#VALUE!</v>
      </c>
      <c r="HE262" t="e">
        <f>Stock!U526+"'E4!/Qu"</f>
        <v>#VALUE!</v>
      </c>
      <c r="HF262" t="e">
        <f>Stock!V526+"'E4!/Qv"</f>
        <v>#VALUE!</v>
      </c>
      <c r="HG262" t="e">
        <f>Stock!X526+"'E4!/Qw"</f>
        <v>#VALUE!</v>
      </c>
      <c r="HH262" t="e">
        <f>Stock!Y526+"'E4!/Qx"</f>
        <v>#VALUE!</v>
      </c>
      <c r="HI262" t="e">
        <f>Stock!N527+"'E4!/Qy"</f>
        <v>#VALUE!</v>
      </c>
      <c r="HJ262" t="e">
        <f>Stock!O527+"'E4!/Qz"</f>
        <v>#VALUE!</v>
      </c>
      <c r="HK262" t="e">
        <f>Stock!P527+"'E4!/Q{"</f>
        <v>#VALUE!</v>
      </c>
      <c r="HL262" t="e">
        <f>Stock!Q527+"'E4!/Q|"</f>
        <v>#VALUE!</v>
      </c>
      <c r="HM262" t="e">
        <f>Stock!R527+"'E4!/Q}"</f>
        <v>#VALUE!</v>
      </c>
      <c r="HN262" s="333" t="e">
        <f>Stock!S527+"'E4!/Q~"</f>
        <v>#VALUE!</v>
      </c>
      <c r="HO262" s="333" t="e">
        <f>Stock!T527+"'E4!/R#"</f>
        <v>#VALUE!</v>
      </c>
      <c r="HP262" t="e">
        <f>Stock!U527+"'E4!/R$"</f>
        <v>#VALUE!</v>
      </c>
      <c r="HQ262" t="e">
        <f>Stock!V527+"'E4!/R%"</f>
        <v>#VALUE!</v>
      </c>
      <c r="HR262" t="e">
        <f>Stock!X527+"'E4!/R&amp;"</f>
        <v>#VALUE!</v>
      </c>
      <c r="HS262" t="e">
        <f>Stock!Y527+"'E4!/R'"</f>
        <v>#VALUE!</v>
      </c>
      <c r="HT262" t="e">
        <f>Stock!N528+"'E4!/R("</f>
        <v>#VALUE!</v>
      </c>
      <c r="HU262" t="e">
        <f>Stock!O528+"'E4!/R)"</f>
        <v>#VALUE!</v>
      </c>
      <c r="HV262" t="e">
        <f>Stock!P528+"'E4!/R."</f>
        <v>#VALUE!</v>
      </c>
      <c r="HW262" t="e">
        <f>Stock!Q528+"'E4!/R/"</f>
        <v>#VALUE!</v>
      </c>
      <c r="HX262" t="e">
        <f>Stock!R528+"'E4!/R0"</f>
        <v>#VALUE!</v>
      </c>
      <c r="HY262" s="333" t="e">
        <f>Stock!S528+"'E4!/R1"</f>
        <v>#VALUE!</v>
      </c>
      <c r="HZ262" s="333" t="e">
        <f>Stock!T528+"'E4!/R2"</f>
        <v>#VALUE!</v>
      </c>
      <c r="IA262" t="e">
        <f>Stock!U528+"'E4!/R3"</f>
        <v>#VALUE!</v>
      </c>
      <c r="IB262" t="e">
        <f>Stock!V528+"'E4!/R4"</f>
        <v>#VALUE!</v>
      </c>
      <c r="IC262" t="e">
        <f>Stock!X528+"'E4!/R5"</f>
        <v>#VALUE!</v>
      </c>
      <c r="ID262" t="e">
        <f>Stock!Y528+"'E4!/R6"</f>
        <v>#VALUE!</v>
      </c>
      <c r="IE262" t="e">
        <f>Stock!N529+"'E4!/R7"</f>
        <v>#VALUE!</v>
      </c>
      <c r="IF262" t="e">
        <f>Stock!O529+"'E4!/R8"</f>
        <v>#VALUE!</v>
      </c>
      <c r="IG262" t="e">
        <f>Stock!P529+"'E4!/R9"</f>
        <v>#VALUE!</v>
      </c>
      <c r="IH262" t="e">
        <f>Stock!Q529+"'E4!/R:"</f>
        <v>#VALUE!</v>
      </c>
      <c r="II262" t="e">
        <f>Stock!R529+"'E4!/R;"</f>
        <v>#VALUE!</v>
      </c>
      <c r="IJ262" s="333" t="e">
        <f>Stock!S529+"'E4!/R&lt;"</f>
        <v>#VALUE!</v>
      </c>
      <c r="IK262" s="333" t="e">
        <f>Stock!T529+"'E4!/R="</f>
        <v>#VALUE!</v>
      </c>
      <c r="IL262" t="e">
        <f>Stock!U529+"'E4!/R&gt;"</f>
        <v>#VALUE!</v>
      </c>
      <c r="IM262" t="e">
        <f>Stock!V529+"'E4!/R?"</f>
        <v>#VALUE!</v>
      </c>
      <c r="IN262" t="e">
        <f>Stock!X529+"'E4!/R@"</f>
        <v>#VALUE!</v>
      </c>
      <c r="IO262" t="e">
        <f>Stock!Y529+"'E4!/RA"</f>
        <v>#VALUE!</v>
      </c>
      <c r="IP262" t="e">
        <f>Stock!N530+"'E4!/RB"</f>
        <v>#VALUE!</v>
      </c>
      <c r="IQ262" t="e">
        <f>Stock!O530+"'E4!/RC"</f>
        <v>#VALUE!</v>
      </c>
      <c r="IR262" t="e">
        <f>Stock!P530+"'E4!/RD"</f>
        <v>#VALUE!</v>
      </c>
      <c r="IS262" t="e">
        <f>Stock!Q530+"'E4!/RE"</f>
        <v>#VALUE!</v>
      </c>
      <c r="IT262" t="e">
        <f>Stock!R530+"'E4!/RF"</f>
        <v>#VALUE!</v>
      </c>
      <c r="IU262" s="333" t="e">
        <f>Stock!S530+"'E4!/RG"</f>
        <v>#VALUE!</v>
      </c>
      <c r="IV262" s="333" t="e">
        <f>Stock!T530+"'E4!/RH"</f>
        <v>#VALUE!</v>
      </c>
    </row>
    <row r="263" spans="6:256">
      <c r="F263" t="e">
        <f>Stock!U530+"'E4!/RI"</f>
        <v>#VALUE!</v>
      </c>
      <c r="G263" t="e">
        <f>Stock!V530+"'E4!/RJ"</f>
        <v>#VALUE!</v>
      </c>
      <c r="H263" t="e">
        <f>Stock!X530+"'E4!/RK"</f>
        <v>#VALUE!</v>
      </c>
      <c r="I263" t="e">
        <f>Stock!Y530+"'E4!/RL"</f>
        <v>#VALUE!</v>
      </c>
      <c r="J263" t="e">
        <f>Stock!N531+"'E4!/RM"</f>
        <v>#VALUE!</v>
      </c>
      <c r="K263" t="e">
        <f>Stock!O531+"'E4!/RN"</f>
        <v>#VALUE!</v>
      </c>
      <c r="L263" t="e">
        <f>Stock!P531+"'E4!/RO"</f>
        <v>#VALUE!</v>
      </c>
      <c r="M263" t="e">
        <f>Stock!Q531+"'E4!/RP"</f>
        <v>#VALUE!</v>
      </c>
      <c r="N263" t="e">
        <f>Stock!R531+"'E4!/RQ"</f>
        <v>#VALUE!</v>
      </c>
      <c r="O263" s="333" t="e">
        <f>Stock!S531+"'E4!/RR"</f>
        <v>#VALUE!</v>
      </c>
      <c r="P263" s="333" t="e">
        <f>Stock!T531+"'E4!/RS"</f>
        <v>#VALUE!</v>
      </c>
      <c r="Q263" t="e">
        <f>Stock!U531+"'E4!/RT"</f>
        <v>#VALUE!</v>
      </c>
      <c r="R263" t="e">
        <f>Stock!V531+"'E4!/RU"</f>
        <v>#VALUE!</v>
      </c>
      <c r="S263" t="e">
        <f>Stock!X531+"'E4!/RV"</f>
        <v>#VALUE!</v>
      </c>
      <c r="T263" t="e">
        <f>Stock!Y531+"'E4!/RW"</f>
        <v>#VALUE!</v>
      </c>
      <c r="U263" t="e">
        <f>Stock!N532+"'E4!/RX"</f>
        <v>#VALUE!</v>
      </c>
      <c r="V263" t="e">
        <f>Stock!O532+"'E4!/RY"</f>
        <v>#VALUE!</v>
      </c>
      <c r="W263" t="e">
        <f>Stock!P532+"'E4!/RZ"</f>
        <v>#VALUE!</v>
      </c>
      <c r="X263" t="e">
        <f>Stock!Q532+"'E4!/R["</f>
        <v>#VALUE!</v>
      </c>
      <c r="Y263" t="e">
        <f>Stock!R532+"'E4!/R\"</f>
        <v>#VALUE!</v>
      </c>
      <c r="Z263" s="333" t="e">
        <f>Stock!S532+"'E4!/R]"</f>
        <v>#VALUE!</v>
      </c>
      <c r="AA263" s="333" t="e">
        <f>Stock!T532+"'E4!/R^"</f>
        <v>#VALUE!</v>
      </c>
      <c r="AB263" t="e">
        <f>Stock!U532+"'E4!/R_"</f>
        <v>#VALUE!</v>
      </c>
      <c r="AC263" t="e">
        <f>Stock!V532+"'E4!/R`"</f>
        <v>#VALUE!</v>
      </c>
      <c r="AD263" t="e">
        <f>Stock!X532+"'E4!/Ra"</f>
        <v>#VALUE!</v>
      </c>
      <c r="AE263" t="e">
        <f>Stock!Y532+"'E4!/Rb"</f>
        <v>#VALUE!</v>
      </c>
      <c r="AF263" t="e">
        <f>Stock!N533+"'E4!/Rc"</f>
        <v>#VALUE!</v>
      </c>
      <c r="AG263" t="e">
        <f>Stock!O533+"'E4!/Rd"</f>
        <v>#VALUE!</v>
      </c>
      <c r="AH263" t="e">
        <f>Stock!P533+"'E4!/Re"</f>
        <v>#VALUE!</v>
      </c>
      <c r="AI263" t="e">
        <f>Stock!Q533+"'E4!/Rf"</f>
        <v>#VALUE!</v>
      </c>
      <c r="AJ263" t="e">
        <f>Stock!R533+"'E4!/Rg"</f>
        <v>#VALUE!</v>
      </c>
      <c r="AK263" s="333" t="e">
        <f>Stock!S533+"'E4!/Rh"</f>
        <v>#VALUE!</v>
      </c>
      <c r="AL263" s="333" t="e">
        <f>Stock!T533+"'E4!/Ri"</f>
        <v>#VALUE!</v>
      </c>
      <c r="AM263" t="e">
        <f>Stock!U533+"'E4!/Rj"</f>
        <v>#VALUE!</v>
      </c>
      <c r="AN263" t="e">
        <f>Stock!V533+"'E4!/Rk"</f>
        <v>#VALUE!</v>
      </c>
      <c r="AO263" t="e">
        <f>Stock!X533+"'E4!/Rl"</f>
        <v>#VALUE!</v>
      </c>
      <c r="AP263" t="e">
        <f>Stock!Y533+"'E4!/Rm"</f>
        <v>#VALUE!</v>
      </c>
      <c r="AQ263" t="e">
        <f>Stock!N534+"'E4!/Rn"</f>
        <v>#VALUE!</v>
      </c>
      <c r="AR263" t="e">
        <f>Stock!O534+"'E4!/Ro"</f>
        <v>#VALUE!</v>
      </c>
      <c r="AS263" t="e">
        <f>Stock!P534+"'E4!/Rp"</f>
        <v>#VALUE!</v>
      </c>
      <c r="AT263" t="e">
        <f>Stock!Q534+"'E4!/Rq"</f>
        <v>#VALUE!</v>
      </c>
      <c r="AU263" t="e">
        <f>Stock!R534+"'E4!/Rr"</f>
        <v>#VALUE!</v>
      </c>
      <c r="AV263" s="333" t="e">
        <f>Stock!S534+"'E4!/Rs"</f>
        <v>#VALUE!</v>
      </c>
      <c r="AW263" s="333" t="e">
        <f>Stock!T534+"'E4!/Rt"</f>
        <v>#VALUE!</v>
      </c>
      <c r="AX263" t="e">
        <f>Stock!U534+"'E4!/Ru"</f>
        <v>#VALUE!</v>
      </c>
      <c r="AY263" t="e">
        <f>Stock!V534+"'E4!/Rv"</f>
        <v>#VALUE!</v>
      </c>
      <c r="AZ263" t="e">
        <f>Stock!X534+"'E4!/Rw"</f>
        <v>#VALUE!</v>
      </c>
      <c r="BA263" t="e">
        <f>Stock!Y534+"'E4!/Rx"</f>
        <v>#VALUE!</v>
      </c>
      <c r="BB263" t="e">
        <f>Stock!N535+"'E4!/Ry"</f>
        <v>#VALUE!</v>
      </c>
      <c r="BC263" t="e">
        <f>Stock!O535+"'E4!/Rz"</f>
        <v>#VALUE!</v>
      </c>
      <c r="BD263" t="e">
        <f>Stock!P535+"'E4!/R{"</f>
        <v>#VALUE!</v>
      </c>
      <c r="BE263" t="e">
        <f>Stock!Q535+"'E4!/R|"</f>
        <v>#VALUE!</v>
      </c>
      <c r="BF263" t="e">
        <f>Stock!R535+"'E4!/R}"</f>
        <v>#VALUE!</v>
      </c>
      <c r="BG263" s="333" t="e">
        <f>Stock!S535+"'E4!/R~"</f>
        <v>#VALUE!</v>
      </c>
      <c r="BH263" s="333" t="e">
        <f>Stock!T535+"'E4!/S#"</f>
        <v>#VALUE!</v>
      </c>
      <c r="BI263" t="e">
        <f>Stock!U535+"'E4!/S$"</f>
        <v>#VALUE!</v>
      </c>
      <c r="BJ263" t="e">
        <f>Stock!V535+"'E4!/S%"</f>
        <v>#VALUE!</v>
      </c>
      <c r="BK263" t="e">
        <f>Stock!X535+"'E4!/S&amp;"</f>
        <v>#VALUE!</v>
      </c>
      <c r="BL263" t="e">
        <f>Stock!Y535+"'E4!/S'"</f>
        <v>#VALUE!</v>
      </c>
      <c r="BM263" t="e">
        <f>Stock!N536+"'E4!/S("</f>
        <v>#VALUE!</v>
      </c>
      <c r="BN263" t="e">
        <f>Stock!O536+"'E4!/S)"</f>
        <v>#VALUE!</v>
      </c>
      <c r="BO263" t="e">
        <f>Stock!P536+"'E4!/S."</f>
        <v>#VALUE!</v>
      </c>
      <c r="BP263" t="e">
        <f>Stock!Q536+"'E4!/S/"</f>
        <v>#VALUE!</v>
      </c>
      <c r="BQ263" t="e">
        <f>Stock!R536+"'E4!/S0"</f>
        <v>#VALUE!</v>
      </c>
      <c r="BR263" s="333" t="e">
        <f>Stock!S536+"'E4!/S1"</f>
        <v>#VALUE!</v>
      </c>
      <c r="BS263" s="333" t="e">
        <f>Stock!T536+"'E4!/S2"</f>
        <v>#VALUE!</v>
      </c>
      <c r="BT263" t="e">
        <f>Stock!U536+"'E4!/S3"</f>
        <v>#VALUE!</v>
      </c>
      <c r="BU263" t="e">
        <f>Stock!V536+"'E4!/S4"</f>
        <v>#VALUE!</v>
      </c>
      <c r="BV263" t="e">
        <f>Stock!X536+"'E4!/S5"</f>
        <v>#VALUE!</v>
      </c>
      <c r="BW263" t="e">
        <f>Stock!Y536+"'E4!/S6"</f>
        <v>#VALUE!</v>
      </c>
      <c r="BX263" t="e">
        <f>Stock!N537+"'E4!/S7"</f>
        <v>#VALUE!</v>
      </c>
      <c r="BY263" t="e">
        <f>Stock!O537+"'E4!/S8"</f>
        <v>#VALUE!</v>
      </c>
      <c r="BZ263" t="e">
        <f>Stock!P537+"'E4!/S9"</f>
        <v>#VALUE!</v>
      </c>
      <c r="CA263" t="e">
        <f>Stock!Q537+"'E4!/S:"</f>
        <v>#VALUE!</v>
      </c>
      <c r="CB263" t="e">
        <f>Stock!R537+"'E4!/S;"</f>
        <v>#VALUE!</v>
      </c>
      <c r="CC263" s="333" t="e">
        <f>Stock!S537+"'E4!/S&lt;"</f>
        <v>#VALUE!</v>
      </c>
      <c r="CD263" s="333" t="e">
        <f>Stock!T537+"'E4!/S="</f>
        <v>#VALUE!</v>
      </c>
      <c r="CE263" t="e">
        <f>Stock!U537+"'E4!/S&gt;"</f>
        <v>#VALUE!</v>
      </c>
      <c r="CF263" t="e">
        <f>Stock!V537+"'E4!/S?"</f>
        <v>#VALUE!</v>
      </c>
      <c r="CG263" t="e">
        <f>Stock!X537+"'E4!/S@"</f>
        <v>#VALUE!</v>
      </c>
      <c r="CH263" t="e">
        <f>Stock!Y537+"'E4!/SA"</f>
        <v>#VALUE!</v>
      </c>
      <c r="CI263" t="e">
        <f>Stock!N538+"'E4!/SB"</f>
        <v>#VALUE!</v>
      </c>
      <c r="CJ263" t="e">
        <f>Stock!O538+"'E4!/SC"</f>
        <v>#VALUE!</v>
      </c>
      <c r="CK263" t="e">
        <f>Stock!P538+"'E4!/SD"</f>
        <v>#VALUE!</v>
      </c>
      <c r="CL263" t="e">
        <f>Stock!Q538+"'E4!/SE"</f>
        <v>#VALUE!</v>
      </c>
      <c r="CM263" t="e">
        <f>Stock!R538+"'E4!/SF"</f>
        <v>#VALUE!</v>
      </c>
      <c r="CN263" s="333" t="e">
        <f>Stock!S538+"'E4!/SG"</f>
        <v>#VALUE!</v>
      </c>
      <c r="CO263" s="333" t="e">
        <f>Stock!T538+"'E4!/SH"</f>
        <v>#VALUE!</v>
      </c>
      <c r="CP263" t="e">
        <f>Stock!U538+"'E4!/SI"</f>
        <v>#VALUE!</v>
      </c>
      <c r="CQ263" t="e">
        <f>Stock!V538+"'E4!/SJ"</f>
        <v>#VALUE!</v>
      </c>
      <c r="CR263" t="e">
        <f>Stock!X538+"'E4!/SK"</f>
        <v>#VALUE!</v>
      </c>
      <c r="CS263" t="e">
        <f>Stock!Y538+"'E4!/SL"</f>
        <v>#VALUE!</v>
      </c>
      <c r="CT263" t="e">
        <f>Stock!N539+"'E4!/SM"</f>
        <v>#VALUE!</v>
      </c>
      <c r="CU263" t="e">
        <f>Stock!O539+"'E4!/SN"</f>
        <v>#VALUE!</v>
      </c>
      <c r="CV263" t="e">
        <f>Stock!P539+"'E4!/SO"</f>
        <v>#VALUE!</v>
      </c>
      <c r="CW263" t="e">
        <f>Stock!Q539+"'E4!/SP"</f>
        <v>#VALUE!</v>
      </c>
      <c r="CX263" t="e">
        <f>Stock!R539+"'E4!/SQ"</f>
        <v>#VALUE!</v>
      </c>
      <c r="CY263" s="333" t="e">
        <f>Stock!S539+"'E4!/SR"</f>
        <v>#VALUE!</v>
      </c>
      <c r="CZ263" s="333" t="e">
        <f>Stock!T539+"'E4!/SS"</f>
        <v>#VALUE!</v>
      </c>
      <c r="DA263" t="e">
        <f>Stock!U539+"'E4!/ST"</f>
        <v>#VALUE!</v>
      </c>
      <c r="DB263" t="e">
        <f>Stock!V539+"'E4!/SU"</f>
        <v>#VALUE!</v>
      </c>
      <c r="DC263" t="e">
        <f>Stock!X539+"'E4!/SV"</f>
        <v>#VALUE!</v>
      </c>
      <c r="DD263" t="e">
        <f>Stock!Y539+"'E4!/SW"</f>
        <v>#VALUE!</v>
      </c>
      <c r="DE263" t="e">
        <f>Stock!N540+"'E4!/SX"</f>
        <v>#VALUE!</v>
      </c>
      <c r="DF263" t="e">
        <f>Stock!O540+"'E4!/SY"</f>
        <v>#VALUE!</v>
      </c>
      <c r="DG263" t="e">
        <f>Stock!P540+"'E4!/SZ"</f>
        <v>#VALUE!</v>
      </c>
      <c r="DH263" t="e">
        <f>Stock!Q540+"'E4!/S["</f>
        <v>#VALUE!</v>
      </c>
      <c r="DI263" t="e">
        <f>Stock!R540+"'E4!/S\"</f>
        <v>#VALUE!</v>
      </c>
      <c r="DJ263" s="333" t="e">
        <f>Stock!S540+"'E4!/S]"</f>
        <v>#VALUE!</v>
      </c>
      <c r="DK263" s="333" t="e">
        <f>Stock!T540+"'E4!/S^"</f>
        <v>#VALUE!</v>
      </c>
      <c r="DL263" t="e">
        <f>Stock!U540+"'E4!/S_"</f>
        <v>#VALUE!</v>
      </c>
      <c r="DM263" t="e">
        <f>Stock!V540+"'E4!/S`"</f>
        <v>#VALUE!</v>
      </c>
      <c r="DN263" t="e">
        <f>Stock!X540+"'E4!/Sa"</f>
        <v>#VALUE!</v>
      </c>
      <c r="DO263" t="e">
        <f>Stock!Y540+"'E4!/Sb"</f>
        <v>#VALUE!</v>
      </c>
      <c r="DP263" t="e">
        <f>Stock!N541+"'E4!/Sc"</f>
        <v>#VALUE!</v>
      </c>
      <c r="DQ263" t="e">
        <f>Stock!O541+"'E4!/Sd"</f>
        <v>#VALUE!</v>
      </c>
      <c r="DR263" t="e">
        <f>Stock!P541+"'E4!/Se"</f>
        <v>#VALUE!</v>
      </c>
      <c r="DS263" t="e">
        <f>Stock!Q541+"'E4!/Sf"</f>
        <v>#VALUE!</v>
      </c>
      <c r="DT263" t="e">
        <f>Stock!R541+"'E4!/Sg"</f>
        <v>#VALUE!</v>
      </c>
      <c r="DU263" s="333" t="e">
        <f>Stock!S541+"'E4!/Sh"</f>
        <v>#VALUE!</v>
      </c>
      <c r="DV263" s="333" t="e">
        <f>Stock!T541+"'E4!/Si"</f>
        <v>#VALUE!</v>
      </c>
      <c r="DW263" t="e">
        <f>Stock!U541+"'E4!/Sj"</f>
        <v>#VALUE!</v>
      </c>
      <c r="DX263" t="e">
        <f>Stock!V541+"'E4!/Sk"</f>
        <v>#VALUE!</v>
      </c>
      <c r="DY263" t="e">
        <f>Stock!X541+"'E4!/Sl"</f>
        <v>#VALUE!</v>
      </c>
      <c r="DZ263" t="e">
        <f>Stock!Y541+"'E4!/Sm"</f>
        <v>#VALUE!</v>
      </c>
      <c r="EA263" t="e">
        <f>Stock!N542+"'E4!/Sn"</f>
        <v>#VALUE!</v>
      </c>
      <c r="EB263" t="e">
        <f>Stock!O542+"'E4!/So"</f>
        <v>#VALUE!</v>
      </c>
      <c r="EC263" t="e">
        <f>Stock!P542+"'E4!/Sp"</f>
        <v>#VALUE!</v>
      </c>
      <c r="ED263" t="e">
        <f>Stock!Q542+"'E4!/Sq"</f>
        <v>#VALUE!</v>
      </c>
      <c r="EE263" t="e">
        <f>Stock!R542+"'E4!/Sr"</f>
        <v>#VALUE!</v>
      </c>
      <c r="EF263" s="333" t="e">
        <f>Stock!S542+"'E4!/Ss"</f>
        <v>#VALUE!</v>
      </c>
      <c r="EG263" s="333" t="e">
        <f>Stock!T542+"'E4!/St"</f>
        <v>#VALUE!</v>
      </c>
      <c r="EH263" t="e">
        <f>Stock!U542+"'E4!/Su"</f>
        <v>#VALUE!</v>
      </c>
      <c r="EI263" t="e">
        <f>Stock!V542+"'E4!/Sv"</f>
        <v>#VALUE!</v>
      </c>
      <c r="EJ263" t="e">
        <f>Stock!X542+"'E4!/Sw"</f>
        <v>#VALUE!</v>
      </c>
      <c r="EK263" t="e">
        <f>Stock!Y542+"'E4!/Sx"</f>
        <v>#VALUE!</v>
      </c>
      <c r="EL263" t="e">
        <f>Stock!N543+"'E4!/Sy"</f>
        <v>#VALUE!</v>
      </c>
      <c r="EM263" t="e">
        <f>Stock!O543+"'E4!/Sz"</f>
        <v>#VALUE!</v>
      </c>
      <c r="EN263" t="e">
        <f>Stock!P543+"'E4!/S{"</f>
        <v>#VALUE!</v>
      </c>
      <c r="EO263" t="e">
        <f>Stock!Q543+"'E4!/S|"</f>
        <v>#VALUE!</v>
      </c>
      <c r="EP263" t="e">
        <f>Stock!R543+"'E4!/S}"</f>
        <v>#VALUE!</v>
      </c>
      <c r="EQ263" s="333" t="e">
        <f>Stock!S543+"'E4!/S~"</f>
        <v>#VALUE!</v>
      </c>
      <c r="ER263" s="333" t="e">
        <f>Stock!T543+"'E4!/T#"</f>
        <v>#VALUE!</v>
      </c>
      <c r="ES263" t="e">
        <f>Stock!U543+"'E4!/T$"</f>
        <v>#VALUE!</v>
      </c>
      <c r="ET263" t="e">
        <f>Stock!V543+"'E4!/T%"</f>
        <v>#VALUE!</v>
      </c>
      <c r="EU263" t="e">
        <f>Stock!X543+"'E4!/T&amp;"</f>
        <v>#VALUE!</v>
      </c>
      <c r="EV263" t="e">
        <f>Stock!Y543+"'E4!/T'"</f>
        <v>#VALUE!</v>
      </c>
      <c r="EW263" t="e">
        <f>Stock!N544+"'E4!/T("</f>
        <v>#VALUE!</v>
      </c>
      <c r="EX263" t="e">
        <f>Stock!O544+"'E4!/T)"</f>
        <v>#VALUE!</v>
      </c>
      <c r="EY263" t="e">
        <f>Stock!P544+"'E4!/T."</f>
        <v>#VALUE!</v>
      </c>
      <c r="EZ263" t="e">
        <f>Stock!Q544+"'E4!/T/"</f>
        <v>#VALUE!</v>
      </c>
      <c r="FA263" t="e">
        <f>Stock!R544+"'E4!/T0"</f>
        <v>#VALUE!</v>
      </c>
      <c r="FB263" s="333" t="e">
        <f>Stock!S544+"'E4!/T1"</f>
        <v>#VALUE!</v>
      </c>
      <c r="FC263" s="333" t="e">
        <f>Stock!T544+"'E4!/T2"</f>
        <v>#VALUE!</v>
      </c>
      <c r="FD263" t="e">
        <f>Stock!U544+"'E4!/T3"</f>
        <v>#VALUE!</v>
      </c>
      <c r="FE263" t="e">
        <f>Stock!V544+"'E4!/T4"</f>
        <v>#VALUE!</v>
      </c>
      <c r="FF263" t="e">
        <f>Stock!X544+"'E4!/T5"</f>
        <v>#VALUE!</v>
      </c>
      <c r="FG263" t="e">
        <f>Stock!Y544+"'E4!/T6"</f>
        <v>#VALUE!</v>
      </c>
      <c r="FH263" t="e">
        <f>Stock!N545+"'E4!/T7"</f>
        <v>#VALUE!</v>
      </c>
      <c r="FI263" t="e">
        <f>Stock!O545+"'E4!/T8"</f>
        <v>#VALUE!</v>
      </c>
      <c r="FJ263" t="e">
        <f>Stock!P545+"'E4!/T9"</f>
        <v>#VALUE!</v>
      </c>
      <c r="FK263" t="e">
        <f>Stock!Q545+"'E4!/T:"</f>
        <v>#VALUE!</v>
      </c>
      <c r="FL263" t="e">
        <f>Stock!R545+"'E4!/T;"</f>
        <v>#VALUE!</v>
      </c>
      <c r="FM263" s="333" t="e">
        <f>Stock!S545+"'E4!/T&lt;"</f>
        <v>#VALUE!</v>
      </c>
      <c r="FN263" s="333" t="e">
        <f>Stock!T545+"'E4!/T="</f>
        <v>#VALUE!</v>
      </c>
      <c r="FO263" t="e">
        <f>Stock!U545+"'E4!/T&gt;"</f>
        <v>#VALUE!</v>
      </c>
      <c r="FP263" t="e">
        <f>Stock!V545+"'E4!/T?"</f>
        <v>#VALUE!</v>
      </c>
      <c r="FQ263" t="e">
        <f>Stock!X545+"'E4!/T@"</f>
        <v>#VALUE!</v>
      </c>
      <c r="FR263" t="e">
        <f>Stock!Y545+"'E4!/TA"</f>
        <v>#VALUE!</v>
      </c>
      <c r="FS263" t="e">
        <f>Stock!N546+"'E4!/TB"</f>
        <v>#VALUE!</v>
      </c>
      <c r="FT263" t="e">
        <f>Stock!O546+"'E4!/TC"</f>
        <v>#VALUE!</v>
      </c>
      <c r="FU263" t="e">
        <f>Stock!P546+"'E4!/TD"</f>
        <v>#VALUE!</v>
      </c>
      <c r="FV263" t="e">
        <f>Stock!Q546+"'E4!/TE"</f>
        <v>#VALUE!</v>
      </c>
      <c r="FW263" t="e">
        <f>Stock!R546+"'E4!/TF"</f>
        <v>#VALUE!</v>
      </c>
      <c r="FX263" s="333" t="e">
        <f>Stock!S546+"'E4!/TG"</f>
        <v>#VALUE!</v>
      </c>
      <c r="FY263" s="333" t="e">
        <f>Stock!T546+"'E4!/TH"</f>
        <v>#VALUE!</v>
      </c>
      <c r="FZ263" t="e">
        <f>Stock!U546+"'E4!/TI"</f>
        <v>#VALUE!</v>
      </c>
      <c r="GA263" t="e">
        <f>Stock!V546+"'E4!/TJ"</f>
        <v>#VALUE!</v>
      </c>
      <c r="GB263" t="e">
        <f>Stock!X546+"'E4!/TK"</f>
        <v>#VALUE!</v>
      </c>
      <c r="GC263" t="e">
        <f>Stock!Y546+"'E4!/TL"</f>
        <v>#VALUE!</v>
      </c>
      <c r="GD263" t="e">
        <f>Stock!N547+"'E4!/TM"</f>
        <v>#VALUE!</v>
      </c>
      <c r="GE263" t="e">
        <f>Stock!O547+"'E4!/TN"</f>
        <v>#VALUE!</v>
      </c>
      <c r="GF263" t="e">
        <f>Stock!P547+"'E4!/TO"</f>
        <v>#VALUE!</v>
      </c>
      <c r="GG263" t="e">
        <f>Stock!Q547+"'E4!/TP"</f>
        <v>#VALUE!</v>
      </c>
      <c r="GH263" s="333" t="e">
        <f>Stock!S547+"'E4!/TQ"</f>
        <v>#VALUE!</v>
      </c>
      <c r="GI263" s="333" t="e">
        <f>Stock!T547+"'E4!/TR"</f>
        <v>#VALUE!</v>
      </c>
      <c r="GJ263" t="e">
        <f>Stock!U547+"'E4!/TS"</f>
        <v>#VALUE!</v>
      </c>
      <c r="GK263" t="e">
        <f>Stock!V547+"'E4!/TT"</f>
        <v>#VALUE!</v>
      </c>
      <c r="GL263" t="e">
        <f>Stock!X547+"'E4!/TU"</f>
        <v>#VALUE!</v>
      </c>
      <c r="GM263" t="e">
        <f>Stock!Y547+"'E4!/TV"</f>
        <v>#VALUE!</v>
      </c>
      <c r="GN263" t="e">
        <f>Stock!N548+"'E4!/TW"</f>
        <v>#VALUE!</v>
      </c>
      <c r="GO263" t="e">
        <f>Stock!O548+"'E4!/TX"</f>
        <v>#VALUE!</v>
      </c>
      <c r="GP263" t="e">
        <f>Stock!P548+"'E4!/TY"</f>
        <v>#VALUE!</v>
      </c>
      <c r="GQ263" t="e">
        <f>Stock!Q548+"'E4!/TZ"</f>
        <v>#VALUE!</v>
      </c>
      <c r="GR263" t="e">
        <f>Stock!R548+"'E4!/T["</f>
        <v>#VALUE!</v>
      </c>
      <c r="GS263" s="333" t="e">
        <f>Stock!S548+"'E4!/T\"</f>
        <v>#VALUE!</v>
      </c>
      <c r="GT263" s="333" t="e">
        <f>Stock!T548+"'E4!/T]"</f>
        <v>#VALUE!</v>
      </c>
      <c r="GU263" t="e">
        <f>Stock!U548+"'E4!/T^"</f>
        <v>#VALUE!</v>
      </c>
      <c r="GV263" t="e">
        <f>Stock!V548+"'E4!/T_"</f>
        <v>#VALUE!</v>
      </c>
      <c r="GW263" t="e">
        <f>Stock!X548+"'E4!/T`"</f>
        <v>#VALUE!</v>
      </c>
      <c r="GX263" t="e">
        <f>Stock!Y548+"'E4!/Ta"</f>
        <v>#VALUE!</v>
      </c>
      <c r="GY263" t="e">
        <f>Stock!N549+"'E4!/Tb"</f>
        <v>#VALUE!</v>
      </c>
      <c r="GZ263" t="e">
        <f>Stock!O549+"'E4!/Tc"</f>
        <v>#VALUE!</v>
      </c>
      <c r="HA263" t="e">
        <f>Stock!P549+"'E4!/Td"</f>
        <v>#VALUE!</v>
      </c>
      <c r="HB263" t="e">
        <f>Stock!Q549+"'E4!/Te"</f>
        <v>#VALUE!</v>
      </c>
      <c r="HC263" t="e">
        <f>Stock!R549+"'E4!/Tf"</f>
        <v>#VALUE!</v>
      </c>
      <c r="HD263" s="333" t="e">
        <f>Stock!S549+"'E4!/Tg"</f>
        <v>#VALUE!</v>
      </c>
      <c r="HE263" s="333" t="e">
        <f>Stock!T549+"'E4!/Th"</f>
        <v>#VALUE!</v>
      </c>
      <c r="HF263" t="e">
        <f>Stock!V549+"'E4!/Ti"</f>
        <v>#VALUE!</v>
      </c>
      <c r="HG263" t="e">
        <f>Stock!X549+"'E4!/Tj"</f>
        <v>#VALUE!</v>
      </c>
      <c r="HH263" t="e">
        <f>Stock!Y549+"'E4!/Tk"</f>
        <v>#VALUE!</v>
      </c>
      <c r="HI263" t="e">
        <f>Stock!N550+"'E4!/Tl"</f>
        <v>#VALUE!</v>
      </c>
      <c r="HJ263" t="e">
        <f>Stock!O550+"'E4!/Tm"</f>
        <v>#VALUE!</v>
      </c>
      <c r="HK263" t="e">
        <f>Stock!P550+"'E4!/Tn"</f>
        <v>#VALUE!</v>
      </c>
      <c r="HL263" t="e">
        <f>Stock!Q550+"'E4!/To"</f>
        <v>#VALUE!</v>
      </c>
      <c r="HM263" t="e">
        <f>Stock!R550+"'E4!/Tp"</f>
        <v>#VALUE!</v>
      </c>
      <c r="HN263" s="333" t="e">
        <f>Stock!S550+"'E4!/Tq"</f>
        <v>#VALUE!</v>
      </c>
      <c r="HO263" s="333" t="e">
        <f>Stock!T550+"'E4!/Tr"</f>
        <v>#VALUE!</v>
      </c>
      <c r="HP263" t="e">
        <f>Stock!U550+"'E4!/Ts"</f>
        <v>#VALUE!</v>
      </c>
      <c r="HQ263" t="e">
        <f>Stock!V550+"'E4!/Tt"</f>
        <v>#VALUE!</v>
      </c>
      <c r="HR263" t="e">
        <f>Stock!X550+"'E4!/Tu"</f>
        <v>#VALUE!</v>
      </c>
      <c r="HS263" t="e">
        <f>Stock!Y550+"'E4!/Tv"</f>
        <v>#VALUE!</v>
      </c>
      <c r="HT263" t="e">
        <f>Stock!N551+"'E4!/Tw"</f>
        <v>#VALUE!</v>
      </c>
      <c r="HU263" t="e">
        <f>Stock!O551+"'E4!/Tx"</f>
        <v>#VALUE!</v>
      </c>
      <c r="HV263" t="e">
        <f>Stock!P551+"'E4!/Ty"</f>
        <v>#VALUE!</v>
      </c>
      <c r="HW263" t="e">
        <f>Stock!Q551+"'E4!/Tz"</f>
        <v>#VALUE!</v>
      </c>
      <c r="HX263" t="e">
        <f>Stock!R551+"'E4!/T{"</f>
        <v>#VALUE!</v>
      </c>
      <c r="HY263" s="333" t="e">
        <f>Stock!S551+"'E4!/T|"</f>
        <v>#VALUE!</v>
      </c>
      <c r="HZ263" s="333" t="e">
        <f>Stock!T551+"'E4!/T}"</f>
        <v>#VALUE!</v>
      </c>
      <c r="IA263" t="e">
        <f>Stock!U551+"'E4!/T~"</f>
        <v>#VALUE!</v>
      </c>
      <c r="IB263" t="e">
        <f>Stock!V551+"'E4!/U#"</f>
        <v>#VALUE!</v>
      </c>
      <c r="IC263" t="e">
        <f>Stock!X551+"'E4!/U$"</f>
        <v>#VALUE!</v>
      </c>
      <c r="ID263" t="e">
        <f>Stock!Y551+"'E4!/U%"</f>
        <v>#VALUE!</v>
      </c>
      <c r="IE263" t="e">
        <f>Stock!N552+"'E4!/U&amp;"</f>
        <v>#VALUE!</v>
      </c>
      <c r="IF263" t="e">
        <f>Stock!O552+"'E4!/U'"</f>
        <v>#VALUE!</v>
      </c>
      <c r="IG263" t="e">
        <f>Stock!P552+"'E4!/U("</f>
        <v>#VALUE!</v>
      </c>
      <c r="IH263" t="e">
        <f>Stock!Q552+"'E4!/U)"</f>
        <v>#VALUE!</v>
      </c>
      <c r="II263" t="e">
        <f>Stock!R552+"'E4!/U."</f>
        <v>#VALUE!</v>
      </c>
      <c r="IJ263" s="333" t="e">
        <f>Stock!S552+"'E4!/U/"</f>
        <v>#VALUE!</v>
      </c>
      <c r="IK263" s="333" t="e">
        <f>Stock!T552+"'E4!/U0"</f>
        <v>#VALUE!</v>
      </c>
      <c r="IL263" t="e">
        <f>Stock!U552+"'E4!/U1"</f>
        <v>#VALUE!</v>
      </c>
      <c r="IM263" t="e">
        <f>Stock!V552+"'E4!/U2"</f>
        <v>#VALUE!</v>
      </c>
      <c r="IN263" t="e">
        <f>Stock!X552+"'E4!/U3"</f>
        <v>#VALUE!</v>
      </c>
      <c r="IO263" t="e">
        <f>Stock!Y552+"'E4!/U4"</f>
        <v>#VALUE!</v>
      </c>
      <c r="IP263" t="e">
        <f>Stock!N553+"'E4!/U5"</f>
        <v>#VALUE!</v>
      </c>
      <c r="IQ263" t="e">
        <f>Stock!O553+"'E4!/U6"</f>
        <v>#VALUE!</v>
      </c>
      <c r="IR263" t="e">
        <f>Stock!P553+"'E4!/U7"</f>
        <v>#VALUE!</v>
      </c>
      <c r="IS263" t="e">
        <f>Stock!Q553+"'E4!/U8"</f>
        <v>#VALUE!</v>
      </c>
      <c r="IT263" t="e">
        <f>Stock!R553+"'E4!/U9"</f>
        <v>#VALUE!</v>
      </c>
      <c r="IU263" s="333" t="e">
        <f>Stock!S553+"'E4!/U:"</f>
        <v>#VALUE!</v>
      </c>
      <c r="IV263" s="333" t="e">
        <f>Stock!T553+"'E4!/U;"</f>
        <v>#VALUE!</v>
      </c>
    </row>
    <row r="264" spans="6:256">
      <c r="F264" t="e">
        <f>Stock!U553+"'E4!/U&lt;"</f>
        <v>#VALUE!</v>
      </c>
      <c r="G264" t="e">
        <f>Stock!V553+"'E4!/U="</f>
        <v>#VALUE!</v>
      </c>
      <c r="H264" t="e">
        <f>Stock!X553+"'E4!/U&gt;"</f>
        <v>#VALUE!</v>
      </c>
      <c r="I264" t="e">
        <f>Stock!Y553+"'E4!/U?"</f>
        <v>#VALUE!</v>
      </c>
      <c r="J264" t="e">
        <f>Stock!N554+"'E4!/U@"</f>
        <v>#VALUE!</v>
      </c>
      <c r="K264" t="e">
        <f>Stock!O554+"'E4!/UA"</f>
        <v>#VALUE!</v>
      </c>
      <c r="L264" t="e">
        <f>Stock!P554+"'E4!/UB"</f>
        <v>#VALUE!</v>
      </c>
      <c r="M264" t="e">
        <f>Stock!Q554+"'E4!/UC"</f>
        <v>#VALUE!</v>
      </c>
      <c r="N264" t="e">
        <f>Stock!R554+"'E4!/UD"</f>
        <v>#VALUE!</v>
      </c>
      <c r="O264" s="333" t="e">
        <f>Stock!S554+"'E4!/UE"</f>
        <v>#VALUE!</v>
      </c>
      <c r="P264" s="333" t="e">
        <f>Stock!T554+"'E4!/UF"</f>
        <v>#VALUE!</v>
      </c>
      <c r="Q264" t="e">
        <f>Stock!U554+"'E4!/UG"</f>
        <v>#VALUE!</v>
      </c>
      <c r="R264" t="e">
        <f>Stock!V554+"'E4!/UH"</f>
        <v>#VALUE!</v>
      </c>
      <c r="S264" t="e">
        <f>Stock!X554+"'E4!/UI"</f>
        <v>#VALUE!</v>
      </c>
      <c r="T264" t="e">
        <f>Stock!Y554+"'E4!/UJ"</f>
        <v>#VALUE!</v>
      </c>
      <c r="U264" t="e">
        <f>Stock!N555+"'E4!/UK"</f>
        <v>#VALUE!</v>
      </c>
      <c r="V264" t="e">
        <f>Stock!O555+"'E4!/UL"</f>
        <v>#VALUE!</v>
      </c>
      <c r="W264" t="e">
        <f>Stock!P555+"'E4!/UM"</f>
        <v>#VALUE!</v>
      </c>
      <c r="X264" t="e">
        <f>Stock!Q555+"'E4!/UN"</f>
        <v>#VALUE!</v>
      </c>
      <c r="Y264" t="e">
        <f>Stock!R555+"'E4!/UO"</f>
        <v>#VALUE!</v>
      </c>
      <c r="Z264" s="333" t="e">
        <f>Stock!S555+"'E4!/UP"</f>
        <v>#VALUE!</v>
      </c>
      <c r="AA264" s="333" t="e">
        <f>Stock!T555+"'E4!/UQ"</f>
        <v>#VALUE!</v>
      </c>
      <c r="AB264" t="e">
        <f>Stock!U555+"'E4!/UR"</f>
        <v>#VALUE!</v>
      </c>
      <c r="AC264" t="e">
        <f>Stock!V555+"'E4!/US"</f>
        <v>#VALUE!</v>
      </c>
      <c r="AD264" t="e">
        <f>Stock!W555+"'E4!/UT"</f>
        <v>#VALUE!</v>
      </c>
      <c r="AE264" t="e">
        <f>Stock!X555+"'E4!/UU"</f>
        <v>#VALUE!</v>
      </c>
      <c r="AF264" t="e">
        <f>Stock!Y555+"'E4!/UV"</f>
        <v>#VALUE!</v>
      </c>
      <c r="AG264" t="e">
        <f>Stock!N556+"'E4!/UW"</f>
        <v>#VALUE!</v>
      </c>
      <c r="AH264" t="e">
        <f>Stock!O556+"'E4!/UX"</f>
        <v>#VALUE!</v>
      </c>
      <c r="AI264" t="e">
        <f>Stock!P556+"'E4!/UY"</f>
        <v>#VALUE!</v>
      </c>
      <c r="AJ264" t="e">
        <f>Stock!Q556+"'E4!/UZ"</f>
        <v>#VALUE!</v>
      </c>
      <c r="AK264" t="e">
        <f>Stock!R556+"'E4!/U["</f>
        <v>#VALUE!</v>
      </c>
      <c r="AL264" s="333" t="e">
        <f>Stock!S556+"'E4!/U\"</f>
        <v>#VALUE!</v>
      </c>
      <c r="AM264" s="333" t="e">
        <f>Stock!T556+"'E4!/U]"</f>
        <v>#VALUE!</v>
      </c>
      <c r="AN264" t="e">
        <f>Stock!U556+"'E4!/U^"</f>
        <v>#VALUE!</v>
      </c>
      <c r="AO264" t="e">
        <f>Stock!V556+"'E4!/U_"</f>
        <v>#VALUE!</v>
      </c>
      <c r="AP264" t="e">
        <f>Stock!W556+"'E4!/U`"</f>
        <v>#VALUE!</v>
      </c>
      <c r="AQ264" t="e">
        <f>Stock!X556+"'E4!/Ua"</f>
        <v>#VALUE!</v>
      </c>
      <c r="AR264" t="e">
        <f>Stock!Y556+"'E4!/Ub"</f>
        <v>#VALUE!</v>
      </c>
      <c r="AS264" t="e">
        <f>Stock!N557+"'E4!/Uc"</f>
        <v>#VALUE!</v>
      </c>
      <c r="AT264" t="e">
        <f>Stock!O557+"'E4!/Ud"</f>
        <v>#VALUE!</v>
      </c>
      <c r="AU264" t="e">
        <f>Stock!P557+"'E4!/Ue"</f>
        <v>#VALUE!</v>
      </c>
      <c r="AV264" t="e">
        <f>Stock!Q557+"'E4!/Uf"</f>
        <v>#VALUE!</v>
      </c>
      <c r="AW264" t="e">
        <f>Stock!R557+"'E4!/Ug"</f>
        <v>#VALUE!</v>
      </c>
      <c r="AX264" s="333" t="e">
        <f>Stock!S557+"'E4!/Uh"</f>
        <v>#VALUE!</v>
      </c>
      <c r="AY264" s="333" t="e">
        <f>Stock!T557+"'E4!/Ui"</f>
        <v>#VALUE!</v>
      </c>
      <c r="AZ264" t="e">
        <f>Stock!U557+"'E4!/Uj"</f>
        <v>#VALUE!</v>
      </c>
      <c r="BA264" t="e">
        <f>Stock!V557+"'E4!/Uk"</f>
        <v>#VALUE!</v>
      </c>
      <c r="BB264" t="e">
        <f>Stock!W557+"'E4!/Ul"</f>
        <v>#VALUE!</v>
      </c>
      <c r="BC264" t="e">
        <f>Stock!X557+"'E4!/Um"</f>
        <v>#VALUE!</v>
      </c>
      <c r="BD264" t="e">
        <f>Stock!Y557+"'E4!/Un"</f>
        <v>#VALUE!</v>
      </c>
      <c r="BE264" t="e">
        <f>Stock!N558+"'E4!/Uo"</f>
        <v>#VALUE!</v>
      </c>
      <c r="BF264" t="e">
        <f>Stock!O558+"'E4!/Up"</f>
        <v>#VALUE!</v>
      </c>
      <c r="BG264" t="e">
        <f>Stock!P558+"'E4!/Uq"</f>
        <v>#VALUE!</v>
      </c>
      <c r="BH264" t="e">
        <f>Stock!Q558+"'E4!/Ur"</f>
        <v>#VALUE!</v>
      </c>
      <c r="BI264" t="e">
        <f>Stock!R558+"'E4!/Us"</f>
        <v>#VALUE!</v>
      </c>
      <c r="BJ264" s="333" t="e">
        <f>Stock!S558+"'E4!/Ut"</f>
        <v>#VALUE!</v>
      </c>
      <c r="BK264" s="333" t="e">
        <f>Stock!T558+"'E4!/Uu"</f>
        <v>#VALUE!</v>
      </c>
      <c r="BL264" t="e">
        <f>Stock!U558+"'E4!/Uv"</f>
        <v>#VALUE!</v>
      </c>
      <c r="BM264" t="e">
        <f>Stock!V558+"'E4!/Uw"</f>
        <v>#VALUE!</v>
      </c>
      <c r="BN264" t="e">
        <f>Stock!W558+"'E4!/Ux"</f>
        <v>#VALUE!</v>
      </c>
      <c r="BO264" t="e">
        <f>Stock!X558+"'E4!/Uy"</f>
        <v>#VALUE!</v>
      </c>
      <c r="BP264" t="e">
        <f>Stock!Y558+"'E4!/Uz"</f>
        <v>#VALUE!</v>
      </c>
      <c r="BQ264" t="e">
        <f>Stock!N559+"'E4!/U{"</f>
        <v>#VALUE!</v>
      </c>
      <c r="BR264" t="e">
        <f>Stock!O559+"'E4!/U|"</f>
        <v>#VALUE!</v>
      </c>
      <c r="BS264" t="e">
        <f>Stock!P559+"'E4!/U}"</f>
        <v>#VALUE!</v>
      </c>
      <c r="BT264" t="e">
        <f>Stock!Q559+"'E4!/U~"</f>
        <v>#VALUE!</v>
      </c>
      <c r="BU264" t="e">
        <f>Stock!R559+"'E4!/V#"</f>
        <v>#VALUE!</v>
      </c>
      <c r="BV264" s="333" t="e">
        <f>Stock!S559+"'E4!/V$"</f>
        <v>#VALUE!</v>
      </c>
      <c r="BW264" s="333" t="e">
        <f>Stock!T559+"'E4!/V%"</f>
        <v>#VALUE!</v>
      </c>
      <c r="BX264" t="e">
        <f>Stock!U559+"'E4!/V&amp;"</f>
        <v>#VALUE!</v>
      </c>
      <c r="BY264" t="e">
        <f>Stock!V559+"'E4!/V'"</f>
        <v>#VALUE!</v>
      </c>
      <c r="BZ264" t="e">
        <f>Stock!W559+"'E4!/V("</f>
        <v>#VALUE!</v>
      </c>
      <c r="CA264" t="e">
        <f>Stock!X559+"'E4!/V)"</f>
        <v>#VALUE!</v>
      </c>
      <c r="CB264" t="e">
        <f>Stock!Y559+"'E4!/V."</f>
        <v>#VALUE!</v>
      </c>
      <c r="CC264" t="e">
        <f>Stock!N560+"'E4!/V/"</f>
        <v>#VALUE!</v>
      </c>
      <c r="CD264" t="e">
        <f>Stock!O560+"'E4!/V0"</f>
        <v>#VALUE!</v>
      </c>
      <c r="CE264" t="e">
        <f>Stock!P560+"'E4!/V1"</f>
        <v>#VALUE!</v>
      </c>
      <c r="CF264" t="e">
        <f>Stock!Q560+"'E4!/V2"</f>
        <v>#VALUE!</v>
      </c>
      <c r="CG264" t="e">
        <f>Stock!R560+"'E4!/V3"</f>
        <v>#VALUE!</v>
      </c>
      <c r="CH264" s="333" t="e">
        <f>Stock!S560+"'E4!/V4"</f>
        <v>#VALUE!</v>
      </c>
      <c r="CI264" s="333" t="e">
        <f>Stock!T560+"'E4!/V5"</f>
        <v>#VALUE!</v>
      </c>
      <c r="CJ264" t="e">
        <f>Stock!U560+"'E4!/V6"</f>
        <v>#VALUE!</v>
      </c>
      <c r="CK264" t="e">
        <f>Stock!V560+"'E4!/V7"</f>
        <v>#VALUE!</v>
      </c>
      <c r="CL264" t="e">
        <f>Stock!W560+"'E4!/V8"</f>
        <v>#VALUE!</v>
      </c>
      <c r="CM264" t="e">
        <f>Stock!X560+"'E4!/V9"</f>
        <v>#VALUE!</v>
      </c>
      <c r="CN264" t="e">
        <f>Stock!Y560+"'E4!/V:"</f>
        <v>#VALUE!</v>
      </c>
      <c r="CO264" t="e">
        <f>Stock!N561+"'E4!/V;"</f>
        <v>#VALUE!</v>
      </c>
      <c r="CP264" t="e">
        <f>Stock!O561+"'E4!/V&lt;"</f>
        <v>#VALUE!</v>
      </c>
      <c r="CQ264" t="e">
        <f>Stock!P561+"'E4!/V="</f>
        <v>#VALUE!</v>
      </c>
      <c r="CR264" t="e">
        <f>Stock!Q561+"'E4!/V&gt;"</f>
        <v>#VALUE!</v>
      </c>
      <c r="CS264" t="e">
        <f>Stock!R561+"'E4!/V?"</f>
        <v>#VALUE!</v>
      </c>
      <c r="CT264" s="333" t="e">
        <f>Stock!S561+"'E4!/V@"</f>
        <v>#VALUE!</v>
      </c>
      <c r="CU264" s="333" t="e">
        <f>Stock!T561+"'E4!/VA"</f>
        <v>#VALUE!</v>
      </c>
      <c r="CV264" t="e">
        <f>Stock!U561+"'E4!/VB"</f>
        <v>#VALUE!</v>
      </c>
      <c r="CW264" t="e">
        <f>Stock!V561+"'E4!/VC"</f>
        <v>#VALUE!</v>
      </c>
      <c r="CX264" t="e">
        <f>Stock!W561+"'E4!/VD"</f>
        <v>#VALUE!</v>
      </c>
      <c r="CY264" t="e">
        <f>Stock!X561+"'E4!/VE"</f>
        <v>#VALUE!</v>
      </c>
      <c r="CZ264" t="e">
        <f>Stock!Y561+"'E4!/VF"</f>
        <v>#VALUE!</v>
      </c>
      <c r="DA264" t="e">
        <f>Stock!N562+"'E4!/VG"</f>
        <v>#VALUE!</v>
      </c>
      <c r="DB264" t="e">
        <f>Stock!O562+"'E4!/VH"</f>
        <v>#VALUE!</v>
      </c>
      <c r="DC264" t="e">
        <f>Stock!P562+"'E4!/VI"</f>
        <v>#VALUE!</v>
      </c>
      <c r="DD264" t="e">
        <f>Stock!Q562+"'E4!/VJ"</f>
        <v>#VALUE!</v>
      </c>
      <c r="DE264" t="e">
        <f>Stock!R562+"'E4!/VK"</f>
        <v>#VALUE!</v>
      </c>
      <c r="DF264" s="333" t="e">
        <f>Stock!S562+"'E4!/VL"</f>
        <v>#VALUE!</v>
      </c>
      <c r="DG264" s="333" t="e">
        <f>Stock!T562+"'E4!/VM"</f>
        <v>#VALUE!</v>
      </c>
      <c r="DH264" t="e">
        <f>Stock!U562+"'E4!/VN"</f>
        <v>#VALUE!</v>
      </c>
      <c r="DI264" t="e">
        <f>Stock!V562+"'E4!/VO"</f>
        <v>#VALUE!</v>
      </c>
      <c r="DJ264" t="e">
        <f>Stock!W562+"'E4!/VP"</f>
        <v>#VALUE!</v>
      </c>
      <c r="DK264" t="e">
        <f>Stock!X562+"'E4!/VQ"</f>
        <v>#VALUE!</v>
      </c>
      <c r="DL264" t="e">
        <f>Stock!Y562+"'E4!/VR"</f>
        <v>#VALUE!</v>
      </c>
      <c r="DM264" t="e">
        <f>Stock!N563+"'E4!/VS"</f>
        <v>#VALUE!</v>
      </c>
      <c r="DN264" t="e">
        <f>Stock!O563+"'E4!/VT"</f>
        <v>#VALUE!</v>
      </c>
      <c r="DO264" t="e">
        <f>Stock!P563+"'E4!/VU"</f>
        <v>#VALUE!</v>
      </c>
      <c r="DP264" t="e">
        <f>Stock!Q563+"'E4!/VV"</f>
        <v>#VALUE!</v>
      </c>
      <c r="DQ264" t="e">
        <f>Stock!R563+"'E4!/VW"</f>
        <v>#VALUE!</v>
      </c>
      <c r="DR264" s="333" t="e">
        <f>Stock!S563+"'E4!/VX"</f>
        <v>#VALUE!</v>
      </c>
      <c r="DS264" s="333" t="e">
        <f>Stock!T563+"'E4!/VY"</f>
        <v>#VALUE!</v>
      </c>
      <c r="DT264" t="e">
        <f>Stock!U563+"'E4!/VZ"</f>
        <v>#VALUE!</v>
      </c>
      <c r="DU264" t="e">
        <f>Stock!V563+"'E4!/V["</f>
        <v>#VALUE!</v>
      </c>
      <c r="DV264" t="e">
        <f>Stock!W563+"'E4!/V\"</f>
        <v>#VALUE!</v>
      </c>
      <c r="DW264" t="e">
        <f>Stock!X563+"'E4!/V]"</f>
        <v>#VALUE!</v>
      </c>
      <c r="DX264" t="e">
        <f>Stock!Y563+"'E4!/V^"</f>
        <v>#VALUE!</v>
      </c>
      <c r="DY264" t="e">
        <f>Stock!N564+"'E4!/V_"</f>
        <v>#VALUE!</v>
      </c>
      <c r="DZ264" t="e">
        <f>Stock!O564+"'E4!/V`"</f>
        <v>#VALUE!</v>
      </c>
      <c r="EA264" t="e">
        <f>Stock!P564+"'E4!/Va"</f>
        <v>#VALUE!</v>
      </c>
      <c r="EB264" t="e">
        <f>Stock!Q564+"'E4!/Vb"</f>
        <v>#VALUE!</v>
      </c>
      <c r="EC264" t="e">
        <f>Stock!R564+"'E4!/Vc"</f>
        <v>#VALUE!</v>
      </c>
      <c r="ED264" s="333" t="e">
        <f>Stock!S564+"'E4!/Vd"</f>
        <v>#VALUE!</v>
      </c>
      <c r="EE264" s="333" t="e">
        <f>Stock!T564+"'E4!/Ve"</f>
        <v>#VALUE!</v>
      </c>
      <c r="EF264" t="e">
        <f>Stock!U564+"'E4!/Vf"</f>
        <v>#VALUE!</v>
      </c>
      <c r="EG264" t="e">
        <f>Stock!V564+"'E4!/Vg"</f>
        <v>#VALUE!</v>
      </c>
      <c r="EH264" t="e">
        <f>Stock!X564+"'E4!/Vh"</f>
        <v>#VALUE!</v>
      </c>
      <c r="EI264" t="e">
        <f>Stock!Y564+"'E4!/Vi"</f>
        <v>#VALUE!</v>
      </c>
      <c r="EJ264" t="e">
        <f>Stock!N565+"'E4!/Vj"</f>
        <v>#VALUE!</v>
      </c>
      <c r="EK264" t="e">
        <f>Stock!O565+"'E4!/Vk"</f>
        <v>#VALUE!</v>
      </c>
      <c r="EL264" t="e">
        <f>Stock!P565+"'E4!/Vl"</f>
        <v>#VALUE!</v>
      </c>
      <c r="EM264" t="e">
        <f>Stock!Q565+"'E4!/Vm"</f>
        <v>#VALUE!</v>
      </c>
      <c r="EN264" t="e">
        <f>Stock!R565+"'E4!/Vn"</f>
        <v>#VALUE!</v>
      </c>
      <c r="EO264" s="333" t="e">
        <f>Stock!S565+"'E4!/Vo"</f>
        <v>#VALUE!</v>
      </c>
      <c r="EP264" s="333" t="e">
        <f>Stock!T565+"'E4!/Vp"</f>
        <v>#VALUE!</v>
      </c>
      <c r="EQ264" t="e">
        <f>Stock!U565+"'E4!/Vq"</f>
        <v>#VALUE!</v>
      </c>
      <c r="ER264" t="e">
        <f>Stock!V565+"'E4!/Vr"</f>
        <v>#VALUE!</v>
      </c>
      <c r="ES264" t="e">
        <f>Stock!X565+"'E4!/Vs"</f>
        <v>#VALUE!</v>
      </c>
      <c r="ET264" t="e">
        <f>Stock!Y565+"'E4!/Vt"</f>
        <v>#VALUE!</v>
      </c>
      <c r="EU264" t="e">
        <f>Stock!N566+"'E4!/Vu"</f>
        <v>#VALUE!</v>
      </c>
      <c r="EV264" t="e">
        <f>Stock!O566+"'E4!/Vv"</f>
        <v>#VALUE!</v>
      </c>
      <c r="EW264" t="e">
        <f>Stock!P566+"'E4!/Vw"</f>
        <v>#VALUE!</v>
      </c>
      <c r="EX264" t="e">
        <f>Stock!Q566+"'E4!/Vx"</f>
        <v>#VALUE!</v>
      </c>
      <c r="EY264" t="e">
        <f>Stock!R566+"'E4!/Vy"</f>
        <v>#VALUE!</v>
      </c>
      <c r="EZ264" s="333" t="e">
        <f>Stock!S566+"'E4!/Vz"</f>
        <v>#VALUE!</v>
      </c>
      <c r="FA264" s="333" t="e">
        <f>Stock!T566+"'E4!/V{"</f>
        <v>#VALUE!</v>
      </c>
      <c r="FB264" t="e">
        <f>Stock!U566+"'E4!/V|"</f>
        <v>#VALUE!</v>
      </c>
      <c r="FC264" t="e">
        <f>Stock!V566+"'E4!/V}"</f>
        <v>#VALUE!</v>
      </c>
      <c r="FD264" t="e">
        <f>Stock!X566+"'E4!/V~"</f>
        <v>#VALUE!</v>
      </c>
      <c r="FE264" t="e">
        <f>Stock!Y566+"'E4!/W#"</f>
        <v>#VALUE!</v>
      </c>
      <c r="FF264" t="e">
        <f>Stock!N567+"'E4!/W$"</f>
        <v>#VALUE!</v>
      </c>
      <c r="FG264" t="e">
        <f>Stock!O567+"'E4!/W%"</f>
        <v>#VALUE!</v>
      </c>
      <c r="FH264" t="e">
        <f>Stock!P567+"'E4!/W&amp;"</f>
        <v>#VALUE!</v>
      </c>
      <c r="FI264" t="e">
        <f>Stock!Q567+"'E4!/W'"</f>
        <v>#VALUE!</v>
      </c>
      <c r="FJ264" t="e">
        <f>Stock!R567+"'E4!/W("</f>
        <v>#VALUE!</v>
      </c>
      <c r="FK264" s="333" t="e">
        <f>Stock!S567+"'E4!/W)"</f>
        <v>#VALUE!</v>
      </c>
      <c r="FL264" s="333" t="e">
        <f>Stock!T567+"'E4!/W."</f>
        <v>#VALUE!</v>
      </c>
      <c r="FM264" t="e">
        <f>Stock!U567+"'E4!/W/"</f>
        <v>#VALUE!</v>
      </c>
      <c r="FN264" t="e">
        <f>Stock!V567+"'E4!/W0"</f>
        <v>#VALUE!</v>
      </c>
      <c r="FO264" t="e">
        <f>Stock!W567+"'E4!/W1"</f>
        <v>#VALUE!</v>
      </c>
      <c r="FP264" t="e">
        <f>Stock!X567+"'E4!/W2"</f>
        <v>#VALUE!</v>
      </c>
      <c r="FQ264" t="e">
        <f>Stock!Y567+"'E4!/W3"</f>
        <v>#VALUE!</v>
      </c>
      <c r="FR264" t="e">
        <f>Stock!N568+"'E4!/W4"</f>
        <v>#VALUE!</v>
      </c>
      <c r="FS264" t="e">
        <f>Stock!O568+"'E4!/W5"</f>
        <v>#VALUE!</v>
      </c>
      <c r="FT264" t="e">
        <f>Stock!P568+"'E4!/W6"</f>
        <v>#VALUE!</v>
      </c>
      <c r="FU264" t="e">
        <f>Stock!Q568+"'E4!/W7"</f>
        <v>#VALUE!</v>
      </c>
      <c r="FV264" t="e">
        <f>Stock!R568+"'E4!/W8"</f>
        <v>#VALUE!</v>
      </c>
      <c r="FW264" s="333" t="e">
        <f>Stock!S568+"'E4!/W9"</f>
        <v>#VALUE!</v>
      </c>
      <c r="FX264" s="333" t="e">
        <f>Stock!T568+"'E4!/W:"</f>
        <v>#VALUE!</v>
      </c>
      <c r="FY264" t="e">
        <f>Stock!U568+"'E4!/W;"</f>
        <v>#VALUE!</v>
      </c>
      <c r="FZ264" t="e">
        <f>Stock!V568+"'E4!/W&lt;"</f>
        <v>#VALUE!</v>
      </c>
      <c r="GA264" t="e">
        <f>Stock!W568+"'E4!/W="</f>
        <v>#VALUE!</v>
      </c>
      <c r="GB264" t="e">
        <f>Stock!X568+"'E4!/W&gt;"</f>
        <v>#VALUE!</v>
      </c>
      <c r="GC264" t="e">
        <f>Stock!Y568+"'E4!/W?"</f>
        <v>#VALUE!</v>
      </c>
      <c r="GD264" t="e">
        <f>Stock!N569+"'E4!/W@"</f>
        <v>#VALUE!</v>
      </c>
      <c r="GE264" t="e">
        <f>Stock!O569+"'E4!/WA"</f>
        <v>#VALUE!</v>
      </c>
      <c r="GF264" t="e">
        <f>Stock!P569+"'E4!/WB"</f>
        <v>#VALUE!</v>
      </c>
      <c r="GG264" t="e">
        <f>Stock!Q569+"'E4!/WC"</f>
        <v>#VALUE!</v>
      </c>
      <c r="GH264" t="e">
        <f>Stock!R569+"'E4!/WD"</f>
        <v>#VALUE!</v>
      </c>
      <c r="GI264" s="333" t="e">
        <f>Stock!S569+"'E4!/WE"</f>
        <v>#VALUE!</v>
      </c>
      <c r="GJ264" s="333" t="e">
        <f>Stock!T569+"'E4!/WF"</f>
        <v>#VALUE!</v>
      </c>
      <c r="GK264" t="e">
        <f>Stock!U569+"'E4!/WG"</f>
        <v>#VALUE!</v>
      </c>
      <c r="GL264" t="e">
        <f>Stock!V569+"'E4!/WH"</f>
        <v>#VALUE!</v>
      </c>
      <c r="GM264" t="e">
        <f>Stock!W569+"'E4!/WI"</f>
        <v>#VALUE!</v>
      </c>
      <c r="GN264" t="e">
        <f>Stock!X569+"'E4!/WJ"</f>
        <v>#VALUE!</v>
      </c>
      <c r="GO264" t="e">
        <f>Stock!Y569+"'E4!/WK"</f>
        <v>#VALUE!</v>
      </c>
      <c r="GP264" t="e">
        <f>Stock!N570+"'E4!/WL"</f>
        <v>#VALUE!</v>
      </c>
      <c r="GQ264" t="e">
        <f>Stock!O570+"'E4!/WM"</f>
        <v>#VALUE!</v>
      </c>
      <c r="GR264" t="e">
        <f>Stock!P570+"'E4!/WN"</f>
        <v>#VALUE!</v>
      </c>
      <c r="GS264" t="e">
        <f>Stock!Q570+"'E4!/WO"</f>
        <v>#VALUE!</v>
      </c>
      <c r="GT264" t="e">
        <f>Stock!R570+"'E4!/WP"</f>
        <v>#VALUE!</v>
      </c>
      <c r="GU264" s="333" t="e">
        <f>Stock!S570+"'E4!/WQ"</f>
        <v>#VALUE!</v>
      </c>
      <c r="GV264" s="333" t="e">
        <f>Stock!T570+"'E4!/WR"</f>
        <v>#VALUE!</v>
      </c>
      <c r="GW264" t="e">
        <f>Stock!U570+"'E4!/WS"</f>
        <v>#VALUE!</v>
      </c>
      <c r="GX264" t="e">
        <f>Stock!V570+"'E4!/WT"</f>
        <v>#VALUE!</v>
      </c>
      <c r="GY264" t="e">
        <f>Stock!X570+"'E4!/WU"</f>
        <v>#VALUE!</v>
      </c>
      <c r="GZ264" t="e">
        <f>Stock!Y570+"'E4!/WV"</f>
        <v>#VALUE!</v>
      </c>
      <c r="HA264" t="e">
        <f>Stock!N571+"'E4!/WW"</f>
        <v>#VALUE!</v>
      </c>
      <c r="HB264" t="e">
        <f>Stock!O571+"'E4!/WX"</f>
        <v>#VALUE!</v>
      </c>
      <c r="HC264" t="e">
        <f>Stock!P571+"'E4!/WY"</f>
        <v>#VALUE!</v>
      </c>
      <c r="HD264" t="e">
        <f>Stock!Q571+"'E4!/WZ"</f>
        <v>#VALUE!</v>
      </c>
      <c r="HE264" t="e">
        <f>Stock!R571+"'E4!/W["</f>
        <v>#VALUE!</v>
      </c>
      <c r="HF264" s="333" t="e">
        <f>Stock!S571+"'E4!/W\"</f>
        <v>#VALUE!</v>
      </c>
      <c r="HG264" s="333" t="e">
        <f>Stock!T571+"'E4!/W]"</f>
        <v>#VALUE!</v>
      </c>
      <c r="HH264" t="e">
        <f>Stock!U571+"'E4!/W^"</f>
        <v>#VALUE!</v>
      </c>
      <c r="HI264" t="e">
        <f>Stock!V571+"'E4!/W_"</f>
        <v>#VALUE!</v>
      </c>
      <c r="HJ264" t="e">
        <f>Stock!X571+"'E4!/W`"</f>
        <v>#VALUE!</v>
      </c>
      <c r="HK264" t="e">
        <f>Stock!Y571+"'E4!/Wa"</f>
        <v>#VALUE!</v>
      </c>
      <c r="HL264" t="e">
        <f>Stock!N572+"'E4!/Wb"</f>
        <v>#VALUE!</v>
      </c>
      <c r="HM264" t="e">
        <f>Stock!O572+"'E4!/Wc"</f>
        <v>#VALUE!</v>
      </c>
      <c r="HN264" t="e">
        <f>Stock!P572+"'E4!/Wd"</f>
        <v>#VALUE!</v>
      </c>
      <c r="HO264" t="e">
        <f>Stock!Q572+"'E4!/We"</f>
        <v>#VALUE!</v>
      </c>
      <c r="HP264" t="e">
        <f>Stock!R572+"'E4!/Wf"</f>
        <v>#VALUE!</v>
      </c>
      <c r="HQ264" s="333" t="e">
        <f>Stock!S572+"'E4!/Wg"</f>
        <v>#VALUE!</v>
      </c>
      <c r="HR264" s="333" t="e">
        <f>Stock!T572+"'E4!/Wh"</f>
        <v>#VALUE!</v>
      </c>
      <c r="HS264" t="e">
        <f>Stock!U572+"'E4!/Wi"</f>
        <v>#VALUE!</v>
      </c>
      <c r="HT264" t="e">
        <f>Stock!V572+"'E4!/Wj"</f>
        <v>#VALUE!</v>
      </c>
      <c r="HU264" t="e">
        <f>Stock!X572+"'E4!/Wk"</f>
        <v>#VALUE!</v>
      </c>
      <c r="HV264" t="e">
        <f>Stock!Y572+"'E4!/Wl"</f>
        <v>#VALUE!</v>
      </c>
      <c r="HW264" t="e">
        <f>Stock!N573+"'E4!/Wm"</f>
        <v>#VALUE!</v>
      </c>
      <c r="HX264" t="e">
        <f>Stock!O573+"'E4!/Wn"</f>
        <v>#VALUE!</v>
      </c>
      <c r="HY264" t="e">
        <f>Stock!P573+"'E4!/Wo"</f>
        <v>#VALUE!</v>
      </c>
      <c r="HZ264" t="e">
        <f>Stock!Q573+"'E4!/Wp"</f>
        <v>#VALUE!</v>
      </c>
      <c r="IA264" t="e">
        <f>Stock!R573+"'E4!/Wq"</f>
        <v>#VALUE!</v>
      </c>
      <c r="IB264" s="333" t="e">
        <f>Stock!S573+"'E4!/Wr"</f>
        <v>#VALUE!</v>
      </c>
      <c r="IC264" s="333" t="e">
        <f>Stock!T573+"'E4!/Ws"</f>
        <v>#VALUE!</v>
      </c>
      <c r="ID264" t="e">
        <f>Stock!U573+"'E4!/Wt"</f>
        <v>#VALUE!</v>
      </c>
      <c r="IE264" t="e">
        <f>Stock!V573+"'E4!/Wu"</f>
        <v>#VALUE!</v>
      </c>
      <c r="IF264" t="e">
        <f>Stock!X573+"'E4!/Wv"</f>
        <v>#VALUE!</v>
      </c>
      <c r="IG264" t="e">
        <f>Stock!Y573+"'E4!/Ww"</f>
        <v>#VALUE!</v>
      </c>
      <c r="IH264" t="e">
        <f>Stock!N574+"'E4!/Wx"</f>
        <v>#VALUE!</v>
      </c>
      <c r="II264" t="e">
        <f>Stock!O574+"'E4!/Wy"</f>
        <v>#VALUE!</v>
      </c>
      <c r="IJ264" t="e">
        <f>Stock!P574+"'E4!/Wz"</f>
        <v>#VALUE!</v>
      </c>
      <c r="IK264" t="e">
        <f>Stock!Q574+"'E4!/W{"</f>
        <v>#VALUE!</v>
      </c>
      <c r="IL264" t="e">
        <f>Stock!R574+"'E4!/W|"</f>
        <v>#VALUE!</v>
      </c>
      <c r="IM264" s="333" t="e">
        <f>Stock!S574+"'E4!/W}"</f>
        <v>#VALUE!</v>
      </c>
      <c r="IN264" s="333" t="e">
        <f>Stock!T574+"'E4!/W~"</f>
        <v>#VALUE!</v>
      </c>
      <c r="IO264" t="e">
        <f>Stock!U574+"'E4!/X#"</f>
        <v>#VALUE!</v>
      </c>
      <c r="IP264" t="e">
        <f>Stock!V574+"'E4!/X$"</f>
        <v>#VALUE!</v>
      </c>
      <c r="IQ264" t="e">
        <f>Stock!X574+"'E4!/X%"</f>
        <v>#VALUE!</v>
      </c>
      <c r="IR264" t="e">
        <f>Stock!Y574+"'E4!/X&amp;"</f>
        <v>#VALUE!</v>
      </c>
      <c r="IS264" t="e">
        <f>Stock!N575+"'E4!/X'"</f>
        <v>#VALUE!</v>
      </c>
      <c r="IT264" t="e">
        <f>Stock!O575+"'E4!/X("</f>
        <v>#VALUE!</v>
      </c>
      <c r="IU264" t="e">
        <f>Stock!P575+"'E4!/X)"</f>
        <v>#VALUE!</v>
      </c>
      <c r="IV264" t="e">
        <f>Stock!Q575+"'E4!/X."</f>
        <v>#VALUE!</v>
      </c>
    </row>
    <row r="265" spans="6:256">
      <c r="F265" t="e">
        <f>Stock!R575+"'E4!/X/"</f>
        <v>#VALUE!</v>
      </c>
      <c r="G265" s="333" t="e">
        <f>Stock!S575+"'E4!/X0"</f>
        <v>#VALUE!</v>
      </c>
      <c r="H265" s="333" t="e">
        <f>Stock!T575+"'E4!/X1"</f>
        <v>#VALUE!</v>
      </c>
      <c r="I265" t="e">
        <f>Stock!U575+"'E4!/X2"</f>
        <v>#VALUE!</v>
      </c>
      <c r="J265" t="e">
        <f>Stock!V575+"'E4!/X3"</f>
        <v>#VALUE!</v>
      </c>
      <c r="K265" t="e">
        <f>Stock!X575+"'E4!/X4"</f>
        <v>#VALUE!</v>
      </c>
      <c r="L265" t="e">
        <f>Stock!Y575+"'E4!/X5"</f>
        <v>#VALUE!</v>
      </c>
      <c r="M265" t="e">
        <f>Stock!N576+"'E4!/X6"</f>
        <v>#VALUE!</v>
      </c>
      <c r="N265" t="e">
        <f>Stock!O576+"'E4!/X7"</f>
        <v>#VALUE!</v>
      </c>
      <c r="O265" t="e">
        <f>Stock!P576+"'E4!/X8"</f>
        <v>#VALUE!</v>
      </c>
      <c r="P265" t="e">
        <f>Stock!Q576+"'E4!/X9"</f>
        <v>#VALUE!</v>
      </c>
      <c r="Q265" t="e">
        <f>Stock!R576+"'E4!/X:"</f>
        <v>#VALUE!</v>
      </c>
      <c r="R265" s="333" t="e">
        <f>Stock!S576+"'E4!/X;"</f>
        <v>#VALUE!</v>
      </c>
      <c r="S265" s="333" t="e">
        <f>Stock!T576+"'E4!/X&lt;"</f>
        <v>#VALUE!</v>
      </c>
      <c r="T265" t="e">
        <f>Stock!U576+"'E4!/X="</f>
        <v>#VALUE!</v>
      </c>
      <c r="U265" t="e">
        <f>Stock!V576+"'E4!/X&gt;"</f>
        <v>#VALUE!</v>
      </c>
      <c r="V265" t="e">
        <f>Stock!X576+"'E4!/X?"</f>
        <v>#VALUE!</v>
      </c>
      <c r="W265" t="e">
        <f>Stock!Y576+"'E4!/X@"</f>
        <v>#VALUE!</v>
      </c>
      <c r="X265" t="e">
        <f>Stock!N577+"'E4!/XA"</f>
        <v>#VALUE!</v>
      </c>
      <c r="Y265" t="e">
        <f>Stock!O577+"'E4!/XB"</f>
        <v>#VALUE!</v>
      </c>
      <c r="Z265" t="e">
        <f>Stock!P577+"'E4!/XC"</f>
        <v>#VALUE!</v>
      </c>
      <c r="AA265" t="e">
        <f>Stock!Q577+"'E4!/XD"</f>
        <v>#VALUE!</v>
      </c>
      <c r="AB265" t="e">
        <f>Stock!R577+"'E4!/XE"</f>
        <v>#VALUE!</v>
      </c>
      <c r="AC265" s="333" t="e">
        <f>Stock!S577+"'E4!/XF"</f>
        <v>#VALUE!</v>
      </c>
      <c r="AD265" s="333" t="e">
        <f>Stock!T577+"'E4!/XG"</f>
        <v>#VALUE!</v>
      </c>
      <c r="AE265" t="e">
        <f>Stock!U577+"'E4!/XH"</f>
        <v>#VALUE!</v>
      </c>
      <c r="AF265" t="e">
        <f>Stock!V577+"'E4!/XI"</f>
        <v>#VALUE!</v>
      </c>
      <c r="AG265" t="e">
        <f>Stock!X577+"'E4!/XJ"</f>
        <v>#VALUE!</v>
      </c>
      <c r="AH265" t="e">
        <f>Stock!Y577+"'E4!/XK"</f>
        <v>#VALUE!</v>
      </c>
      <c r="AI265" t="e">
        <f>Stock!N578+"'E4!/XL"</f>
        <v>#VALUE!</v>
      </c>
      <c r="AJ265" t="e">
        <f>Stock!O578+"'E4!/XM"</f>
        <v>#VALUE!</v>
      </c>
      <c r="AK265" t="e">
        <f>Stock!P578+"'E4!/XN"</f>
        <v>#VALUE!</v>
      </c>
      <c r="AL265" t="e">
        <f>Stock!Q578+"'E4!/XO"</f>
        <v>#VALUE!</v>
      </c>
      <c r="AM265" t="e">
        <f>Stock!R578+"'E4!/XP"</f>
        <v>#VALUE!</v>
      </c>
      <c r="AN265" s="333" t="e">
        <f>Stock!S578+"'E4!/XQ"</f>
        <v>#VALUE!</v>
      </c>
      <c r="AO265" s="333" t="e">
        <f>Stock!T578+"'E4!/XR"</f>
        <v>#VALUE!</v>
      </c>
      <c r="AP265" t="e">
        <f>Stock!U578+"'E4!/XS"</f>
        <v>#VALUE!</v>
      </c>
      <c r="AQ265" t="e">
        <f>Stock!V578+"'E4!/XT"</f>
        <v>#VALUE!</v>
      </c>
      <c r="AR265" t="e">
        <f>Stock!X578+"'E4!/XU"</f>
        <v>#VALUE!</v>
      </c>
      <c r="AS265" t="e">
        <f>Stock!Y578+"'E4!/XV"</f>
        <v>#VALUE!</v>
      </c>
      <c r="AT265" t="e">
        <f>Stock!N579+"'E4!/XW"</f>
        <v>#VALUE!</v>
      </c>
      <c r="AU265" t="e">
        <f>Stock!O579+"'E4!/XX"</f>
        <v>#VALUE!</v>
      </c>
      <c r="AV265" t="e">
        <f>Stock!P579+"'E4!/XY"</f>
        <v>#VALUE!</v>
      </c>
      <c r="AW265" t="e">
        <f>Stock!Q579+"'E4!/XZ"</f>
        <v>#VALUE!</v>
      </c>
      <c r="AX265" t="e">
        <f>Stock!R579+"'E4!/X["</f>
        <v>#VALUE!</v>
      </c>
      <c r="AY265" s="333" t="e">
        <f>Stock!S579+"'E4!/X\"</f>
        <v>#VALUE!</v>
      </c>
      <c r="AZ265" s="333" t="e">
        <f>Stock!T579+"'E4!/X]"</f>
        <v>#VALUE!</v>
      </c>
      <c r="BA265" t="e">
        <f>Stock!U579+"'E4!/X^"</f>
        <v>#VALUE!</v>
      </c>
      <c r="BB265" t="e">
        <f>Stock!V579+"'E4!/X_"</f>
        <v>#VALUE!</v>
      </c>
      <c r="BC265" t="e">
        <f>Stock!X579+"'E4!/X`"</f>
        <v>#VALUE!</v>
      </c>
      <c r="BD265" t="e">
        <f>Stock!Y579+"'E4!/Xa"</f>
        <v>#VALUE!</v>
      </c>
      <c r="BE265" t="e">
        <f>Stock!N580+"'E4!/Xb"</f>
        <v>#VALUE!</v>
      </c>
      <c r="BF265" t="e">
        <f>Stock!O580+"'E4!/Xc"</f>
        <v>#VALUE!</v>
      </c>
      <c r="BG265" t="e">
        <f>Stock!P580+"'E4!/Xd"</f>
        <v>#VALUE!</v>
      </c>
      <c r="BH265" t="e">
        <f>Stock!Q580+"'E4!/Xe"</f>
        <v>#VALUE!</v>
      </c>
      <c r="BI265" t="e">
        <f>Stock!R580+"'E4!/Xf"</f>
        <v>#VALUE!</v>
      </c>
      <c r="BJ265" s="333" t="e">
        <f>Stock!S580+"'E4!/Xg"</f>
        <v>#VALUE!</v>
      </c>
      <c r="BK265" s="333" t="e">
        <f>Stock!T580+"'E4!/Xh"</f>
        <v>#VALUE!</v>
      </c>
      <c r="BL265" t="e">
        <f>Stock!U580+"'E4!/Xi"</f>
        <v>#VALUE!</v>
      </c>
      <c r="BM265" t="e">
        <f>Stock!V580+"'E4!/Xj"</f>
        <v>#VALUE!</v>
      </c>
      <c r="BN265" t="e">
        <f>Stock!X580+"'E4!/Xk"</f>
        <v>#VALUE!</v>
      </c>
      <c r="BO265" t="e">
        <f>Stock!Y580+"'E4!/Xl"</f>
        <v>#VALUE!</v>
      </c>
      <c r="BP265" t="e">
        <f>Stock!N581+"'E4!/Xm"</f>
        <v>#VALUE!</v>
      </c>
      <c r="BQ265" t="e">
        <f>Stock!O581+"'E4!/Xn"</f>
        <v>#VALUE!</v>
      </c>
      <c r="BR265" t="e">
        <f>Stock!P581+"'E4!/Xo"</f>
        <v>#VALUE!</v>
      </c>
      <c r="BS265" t="e">
        <f>Stock!Q581+"'E4!/Xp"</f>
        <v>#VALUE!</v>
      </c>
      <c r="BT265" t="e">
        <f>Stock!R581+"'E4!/Xq"</f>
        <v>#VALUE!</v>
      </c>
      <c r="BU265" s="333" t="e">
        <f>Stock!S581+"'E4!/Xr"</f>
        <v>#VALUE!</v>
      </c>
      <c r="BV265" s="333" t="e">
        <f>Stock!T581+"'E4!/Xs"</f>
        <v>#VALUE!</v>
      </c>
      <c r="BW265" t="e">
        <f>Stock!U581+"'E4!/Xt"</f>
        <v>#VALUE!</v>
      </c>
      <c r="BX265" t="e">
        <f>Stock!V581+"'E4!/Xu"</f>
        <v>#VALUE!</v>
      </c>
      <c r="BY265" t="e">
        <f>Stock!X581+"'E4!/Xv"</f>
        <v>#VALUE!</v>
      </c>
      <c r="BZ265" t="e">
        <f>Stock!Y581+"'E4!/Xw"</f>
        <v>#VALUE!</v>
      </c>
      <c r="CA265" t="e">
        <f>Stock!N582+"'E4!/Xx"</f>
        <v>#VALUE!</v>
      </c>
      <c r="CB265" t="e">
        <f>Stock!O582+"'E4!/Xy"</f>
        <v>#VALUE!</v>
      </c>
      <c r="CC265" t="e">
        <f>Stock!P582+"'E4!/Xz"</f>
        <v>#VALUE!</v>
      </c>
      <c r="CD265" t="e">
        <f>Stock!Q582+"'E4!/X{"</f>
        <v>#VALUE!</v>
      </c>
      <c r="CE265" t="e">
        <f>Stock!R582+"'E4!/X|"</f>
        <v>#VALUE!</v>
      </c>
      <c r="CF265" s="333" t="e">
        <f>Stock!S582+"'E4!/X}"</f>
        <v>#VALUE!</v>
      </c>
      <c r="CG265" s="333" t="e">
        <f>Stock!T582+"'E4!/X~"</f>
        <v>#VALUE!</v>
      </c>
      <c r="CH265" t="e">
        <f>Stock!U582+"'E4!/Y#"</f>
        <v>#VALUE!</v>
      </c>
      <c r="CI265" t="e">
        <f>Stock!V582+"'E4!/Y$"</f>
        <v>#VALUE!</v>
      </c>
      <c r="CJ265" t="e">
        <f>Stock!X582+"'E4!/Y%"</f>
        <v>#VALUE!</v>
      </c>
      <c r="CK265" t="e">
        <f>Stock!Y582+"'E4!/Y&amp;"</f>
        <v>#VALUE!</v>
      </c>
      <c r="CL265" t="e">
        <f>Stock!N583+"'E4!/Y'"</f>
        <v>#VALUE!</v>
      </c>
      <c r="CM265" t="e">
        <f>Stock!O583+"'E4!/Y("</f>
        <v>#VALUE!</v>
      </c>
      <c r="CN265" t="e">
        <f>Stock!P583+"'E4!/Y)"</f>
        <v>#VALUE!</v>
      </c>
      <c r="CO265" t="e">
        <f>Stock!Q583+"'E4!/Y."</f>
        <v>#VALUE!</v>
      </c>
      <c r="CP265" t="e">
        <f>Stock!R583+"'E4!/Y/"</f>
        <v>#VALUE!</v>
      </c>
      <c r="CQ265" s="333" t="e">
        <f>Stock!S583+"'E4!/Y0"</f>
        <v>#VALUE!</v>
      </c>
      <c r="CR265" s="333" t="e">
        <f>Stock!T583+"'E4!/Y1"</f>
        <v>#VALUE!</v>
      </c>
      <c r="CS265" t="e">
        <f>Stock!U583+"'E4!/Y2"</f>
        <v>#VALUE!</v>
      </c>
      <c r="CT265" t="e">
        <f>Stock!V583+"'E4!/Y3"</f>
        <v>#VALUE!</v>
      </c>
      <c r="CU265" t="e">
        <f>Stock!X583+"'E4!/Y4"</f>
        <v>#VALUE!</v>
      </c>
      <c r="CV265" t="e">
        <f>Stock!Y583+"'E4!/Y5"</f>
        <v>#VALUE!</v>
      </c>
      <c r="CW265" t="e">
        <f>Stock!N584+"'E4!/Y6"</f>
        <v>#VALUE!</v>
      </c>
      <c r="CX265" t="e">
        <f>Stock!O584+"'E4!/Y7"</f>
        <v>#VALUE!</v>
      </c>
      <c r="CY265" t="e">
        <f>Stock!P584+"'E4!/Y8"</f>
        <v>#VALUE!</v>
      </c>
      <c r="CZ265" t="e">
        <f>Stock!Q584+"'E4!/Y9"</f>
        <v>#VALUE!</v>
      </c>
      <c r="DA265" t="e">
        <f>Stock!R584+"'E4!/Y:"</f>
        <v>#VALUE!</v>
      </c>
      <c r="DB265" s="333" t="e">
        <f>Stock!S584+"'E4!/Y;"</f>
        <v>#VALUE!</v>
      </c>
      <c r="DC265" s="333" t="e">
        <f>Stock!T584+"'E4!/Y&lt;"</f>
        <v>#VALUE!</v>
      </c>
      <c r="DD265" t="e">
        <f>Stock!U584+"'E4!/Y="</f>
        <v>#VALUE!</v>
      </c>
      <c r="DE265" t="e">
        <f>Stock!V584+"'E4!/Y&gt;"</f>
        <v>#VALUE!</v>
      </c>
      <c r="DF265" t="e">
        <f>Stock!X584+"'E4!/Y?"</f>
        <v>#VALUE!</v>
      </c>
      <c r="DG265" t="e">
        <f>Stock!Y584+"'E4!/Y@"</f>
        <v>#VALUE!</v>
      </c>
      <c r="DH265" t="e">
        <f>Stock!N585+"'E4!/YA"</f>
        <v>#VALUE!</v>
      </c>
      <c r="DI265" t="e">
        <f>Stock!O585+"'E4!/YB"</f>
        <v>#VALUE!</v>
      </c>
      <c r="DJ265" t="e">
        <f>Stock!P585+"'E4!/YC"</f>
        <v>#VALUE!</v>
      </c>
      <c r="DK265" t="e">
        <f>Stock!Q585+"'E4!/YD"</f>
        <v>#VALUE!</v>
      </c>
      <c r="DL265" t="e">
        <f>Stock!R585+"'E4!/YE"</f>
        <v>#VALUE!</v>
      </c>
      <c r="DM265" s="333" t="e">
        <f>Stock!S585+"'E4!/YF"</f>
        <v>#VALUE!</v>
      </c>
      <c r="DN265" s="333" t="e">
        <f>Stock!T585+"'E4!/YG"</f>
        <v>#VALUE!</v>
      </c>
      <c r="DO265" t="e">
        <f>Stock!U585+"'E4!/YH"</f>
        <v>#VALUE!</v>
      </c>
      <c r="DP265" t="e">
        <f>Stock!V585+"'E4!/YI"</f>
        <v>#VALUE!</v>
      </c>
      <c r="DQ265" t="e">
        <f>Stock!X585+"'E4!/YJ"</f>
        <v>#VALUE!</v>
      </c>
      <c r="DR265" t="e">
        <f>Stock!Y585+"'E4!/YK"</f>
        <v>#VALUE!</v>
      </c>
      <c r="DS265" t="e">
        <f>Stock!N586+"'E4!/YL"</f>
        <v>#VALUE!</v>
      </c>
      <c r="DT265" t="e">
        <f>Stock!O586+"'E4!/YM"</f>
        <v>#VALUE!</v>
      </c>
      <c r="DU265" t="e">
        <f>Stock!P586+"'E4!/YN"</f>
        <v>#VALUE!</v>
      </c>
      <c r="DV265" t="e">
        <f>Stock!Q586+"'E4!/YO"</f>
        <v>#VALUE!</v>
      </c>
      <c r="DW265" t="e">
        <f>Stock!R586+"'E4!/YP"</f>
        <v>#VALUE!</v>
      </c>
      <c r="DX265" s="333" t="e">
        <f>Stock!S586+"'E4!/YQ"</f>
        <v>#VALUE!</v>
      </c>
      <c r="DY265" s="333" t="e">
        <f>Stock!T586+"'E4!/YR"</f>
        <v>#VALUE!</v>
      </c>
      <c r="DZ265" t="e">
        <f>Stock!U586+"'E4!/YS"</f>
        <v>#VALUE!</v>
      </c>
      <c r="EA265" t="e">
        <f>Stock!V586+"'E4!/YT"</f>
        <v>#VALUE!</v>
      </c>
      <c r="EB265" t="e">
        <f>Stock!X586+"'E4!/YU"</f>
        <v>#VALUE!</v>
      </c>
      <c r="EC265" t="e">
        <f>Stock!Y586+"'E4!/YV"</f>
        <v>#VALUE!</v>
      </c>
      <c r="ED265" t="e">
        <f>Stock!N587+"'E4!/YW"</f>
        <v>#VALUE!</v>
      </c>
      <c r="EE265" t="e">
        <f>Stock!O587+"'E4!/YX"</f>
        <v>#VALUE!</v>
      </c>
      <c r="EF265" t="e">
        <f>Stock!P587+"'E4!/YY"</f>
        <v>#VALUE!</v>
      </c>
      <c r="EG265" t="e">
        <f>Stock!Q587+"'E4!/YZ"</f>
        <v>#VALUE!</v>
      </c>
      <c r="EH265" t="e">
        <f>Stock!R587+"'E4!/Y["</f>
        <v>#VALUE!</v>
      </c>
      <c r="EI265" s="333" t="e">
        <f>Stock!S587+"'E4!/Y\"</f>
        <v>#VALUE!</v>
      </c>
      <c r="EJ265" s="333" t="e">
        <f>Stock!T587+"'E4!/Y]"</f>
        <v>#VALUE!</v>
      </c>
      <c r="EK265" t="e">
        <f>Stock!U587+"'E4!/Y^"</f>
        <v>#VALUE!</v>
      </c>
      <c r="EL265" t="e">
        <f>Stock!V587+"'E4!/Y_"</f>
        <v>#VALUE!</v>
      </c>
      <c r="EM265" t="e">
        <f>Stock!X587+"'E4!/Y`"</f>
        <v>#VALUE!</v>
      </c>
      <c r="EN265" t="e">
        <f>Stock!Y587+"'E4!/Ya"</f>
        <v>#VALUE!</v>
      </c>
      <c r="EO265" t="e">
        <f>Stock!N588+"'E4!/Yb"</f>
        <v>#VALUE!</v>
      </c>
      <c r="EP265" t="e">
        <f>Stock!O588+"'E4!/Yc"</f>
        <v>#VALUE!</v>
      </c>
      <c r="EQ265" t="e">
        <f>Stock!P588+"'E4!/Yd"</f>
        <v>#VALUE!</v>
      </c>
      <c r="ER265" t="e">
        <f>Stock!Q588+"'E4!/Ye"</f>
        <v>#VALUE!</v>
      </c>
      <c r="ES265" t="e">
        <f>Stock!R588+"'E4!/Yf"</f>
        <v>#VALUE!</v>
      </c>
      <c r="ET265" s="333" t="e">
        <f>Stock!S588+"'E4!/Yg"</f>
        <v>#VALUE!</v>
      </c>
      <c r="EU265" s="333" t="e">
        <f>Stock!T588+"'E4!/Yh"</f>
        <v>#VALUE!</v>
      </c>
      <c r="EV265" t="e">
        <f>Stock!U588+"'E4!/Yi"</f>
        <v>#VALUE!</v>
      </c>
      <c r="EW265" t="e">
        <f>Stock!V588+"'E4!/Yj"</f>
        <v>#VALUE!</v>
      </c>
      <c r="EX265" t="e">
        <f>Stock!X588+"'E4!/Yk"</f>
        <v>#VALUE!</v>
      </c>
      <c r="EY265" t="e">
        <f>Stock!Y588+"'E4!/Yl"</f>
        <v>#VALUE!</v>
      </c>
      <c r="EZ265" t="e">
        <f>Stock!N589+"'E4!/Ym"</f>
        <v>#VALUE!</v>
      </c>
      <c r="FA265" t="e">
        <f>Stock!O589+"'E4!/Yn"</f>
        <v>#VALUE!</v>
      </c>
      <c r="FB265" t="e">
        <f>Stock!P589+"'E4!/Yo"</f>
        <v>#VALUE!</v>
      </c>
      <c r="FC265" t="e">
        <f>Stock!Q589+"'E4!/Yp"</f>
        <v>#VALUE!</v>
      </c>
      <c r="FD265" t="e">
        <f>Stock!R589+"'E4!/Yq"</f>
        <v>#VALUE!</v>
      </c>
      <c r="FE265" s="333" t="e">
        <f>Stock!S589+"'E4!/Yr"</f>
        <v>#VALUE!</v>
      </c>
      <c r="FF265" s="333" t="e">
        <f>Stock!T589+"'E4!/Ys"</f>
        <v>#VALUE!</v>
      </c>
      <c r="FG265" t="e">
        <f>Stock!U589+"'E4!/Yt"</f>
        <v>#VALUE!</v>
      </c>
      <c r="FH265" t="e">
        <f>Stock!V589+"'E4!/Yu"</f>
        <v>#VALUE!</v>
      </c>
      <c r="FI265" t="e">
        <f>Stock!X589+"'E4!/Yv"</f>
        <v>#VALUE!</v>
      </c>
      <c r="FJ265" t="e">
        <f>Stock!Y589+"'E4!/Yw"</f>
        <v>#VALUE!</v>
      </c>
      <c r="FK265" t="e">
        <f>Stock!N590+"'E4!/Yx"</f>
        <v>#VALUE!</v>
      </c>
      <c r="FL265" t="e">
        <f>Stock!O590+"'E4!/Yy"</f>
        <v>#VALUE!</v>
      </c>
      <c r="FM265" t="e">
        <f>Stock!P590+"'E4!/Yz"</f>
        <v>#VALUE!</v>
      </c>
      <c r="FN265" t="e">
        <f>Stock!Q590+"'E4!/Y{"</f>
        <v>#VALUE!</v>
      </c>
      <c r="FO265" t="e">
        <f>Stock!R590+"'E4!/Y|"</f>
        <v>#VALUE!</v>
      </c>
      <c r="FP265" s="333" t="e">
        <f>Stock!S590+"'E4!/Y}"</f>
        <v>#VALUE!</v>
      </c>
      <c r="FQ265" s="333" t="e">
        <f>Stock!T590+"'E4!/Y~"</f>
        <v>#VALUE!</v>
      </c>
      <c r="FR265" t="e">
        <f>Stock!U590+"'E4!/Z#"</f>
        <v>#VALUE!</v>
      </c>
      <c r="FS265" t="e">
        <f>Stock!V590+"'E4!/Z$"</f>
        <v>#VALUE!</v>
      </c>
      <c r="FT265" t="e">
        <f>Stock!X590+"'E4!/Z%"</f>
        <v>#VALUE!</v>
      </c>
      <c r="FU265" t="e">
        <f>Stock!Y590+"'E4!/Z&amp;"</f>
        <v>#VALUE!</v>
      </c>
      <c r="FV265" t="e">
        <f>Stock!N591+"'E4!/Z'"</f>
        <v>#VALUE!</v>
      </c>
      <c r="FW265" t="e">
        <f>Stock!O591+"'E4!/Z("</f>
        <v>#VALUE!</v>
      </c>
      <c r="FX265" t="e">
        <f>Stock!P591+"'E4!/Z)"</f>
        <v>#VALUE!</v>
      </c>
      <c r="FY265" t="e">
        <f>Stock!Q591+"'E4!/Z."</f>
        <v>#VALUE!</v>
      </c>
      <c r="FZ265" t="e">
        <f>Stock!R591+"'E4!/Z/"</f>
        <v>#VALUE!</v>
      </c>
      <c r="GA265" s="333" t="e">
        <f>Stock!S591+"'E4!/Z0"</f>
        <v>#VALUE!</v>
      </c>
      <c r="GB265" s="333" t="e">
        <f>Stock!T591+"'E4!/Z1"</f>
        <v>#VALUE!</v>
      </c>
      <c r="GC265" t="e">
        <f>Stock!U591+"'E4!/Z2"</f>
        <v>#VALUE!</v>
      </c>
      <c r="GD265" t="e">
        <f>Stock!V591+"'E4!/Z3"</f>
        <v>#VALUE!</v>
      </c>
      <c r="GE265" t="e">
        <f>Stock!X591+"'E4!/Z4"</f>
        <v>#VALUE!</v>
      </c>
      <c r="GF265" t="e">
        <f>Stock!Y591+"'E4!/Z5"</f>
        <v>#VALUE!</v>
      </c>
      <c r="GG265" t="e">
        <f>Stock!N592+"'E4!/Z6"</f>
        <v>#VALUE!</v>
      </c>
      <c r="GH265" t="e">
        <f>Stock!O592+"'E4!/Z7"</f>
        <v>#VALUE!</v>
      </c>
      <c r="GI265" t="e">
        <f>Stock!P592+"'E4!/Z8"</f>
        <v>#VALUE!</v>
      </c>
      <c r="GJ265" t="e">
        <f>Stock!Q592+"'E4!/Z9"</f>
        <v>#VALUE!</v>
      </c>
      <c r="GK265" t="e">
        <f>Stock!R592+"'E4!/Z:"</f>
        <v>#VALUE!</v>
      </c>
      <c r="GL265" s="333" t="e">
        <f>Stock!S592+"'E4!/Z;"</f>
        <v>#VALUE!</v>
      </c>
      <c r="GM265" s="333" t="e">
        <f>Stock!T592+"'E4!/Z&lt;"</f>
        <v>#VALUE!</v>
      </c>
      <c r="GN265" t="e">
        <f>Stock!U592+"'E4!/Z="</f>
        <v>#VALUE!</v>
      </c>
      <c r="GO265" t="e">
        <f>Stock!V592+"'E4!/Z&gt;"</f>
        <v>#VALUE!</v>
      </c>
      <c r="GP265" t="e">
        <f>Stock!X592+"'E4!/Z?"</f>
        <v>#VALUE!</v>
      </c>
      <c r="GQ265" t="e">
        <f>Stock!Y592+"'E4!/Z@"</f>
        <v>#VALUE!</v>
      </c>
      <c r="GR265" t="e">
        <f>Stock!N593+"'E4!/ZA"</f>
        <v>#VALUE!</v>
      </c>
      <c r="GS265" t="e">
        <f>Stock!O593+"'E4!/ZB"</f>
        <v>#VALUE!</v>
      </c>
      <c r="GT265" t="e">
        <f>Stock!P593+"'E4!/ZC"</f>
        <v>#VALUE!</v>
      </c>
      <c r="GU265" t="e">
        <f>Stock!Q593+"'E4!/ZD"</f>
        <v>#VALUE!</v>
      </c>
      <c r="GV265" t="e">
        <f>Stock!R593+"'E4!/ZE"</f>
        <v>#VALUE!</v>
      </c>
      <c r="GW265" s="333" t="e">
        <f>Stock!S593+"'E4!/ZF"</f>
        <v>#VALUE!</v>
      </c>
      <c r="GX265" s="333" t="e">
        <f>Stock!T593+"'E4!/ZG"</f>
        <v>#VALUE!</v>
      </c>
      <c r="GY265" t="e">
        <f>Stock!U593+"'E4!/ZH"</f>
        <v>#VALUE!</v>
      </c>
      <c r="GZ265" t="e">
        <f>Stock!V593+"'E4!/ZI"</f>
        <v>#VALUE!</v>
      </c>
      <c r="HA265" t="e">
        <f>Stock!X593+"'E4!/ZJ"</f>
        <v>#VALUE!</v>
      </c>
      <c r="HB265" t="e">
        <f>Stock!Y593+"'E4!/ZK"</f>
        <v>#VALUE!</v>
      </c>
      <c r="HC265" t="e">
        <f>Stock!N594+"'E4!/ZL"</f>
        <v>#VALUE!</v>
      </c>
      <c r="HD265" t="e">
        <f>Stock!O594+"'E4!/ZM"</f>
        <v>#VALUE!</v>
      </c>
      <c r="HE265" t="e">
        <f>Stock!P594+"'E4!/ZN"</f>
        <v>#VALUE!</v>
      </c>
      <c r="HF265" t="e">
        <f>Stock!Q594+"'E4!/ZO"</f>
        <v>#VALUE!</v>
      </c>
      <c r="HG265" t="e">
        <f>Stock!R594+"'E4!/ZP"</f>
        <v>#VALUE!</v>
      </c>
      <c r="HH265" s="333" t="e">
        <f>Stock!S594+"'E4!/ZQ"</f>
        <v>#VALUE!</v>
      </c>
      <c r="HI265" s="333" t="e">
        <f>Stock!T594+"'E4!/ZR"</f>
        <v>#VALUE!</v>
      </c>
      <c r="HJ265" t="e">
        <f>Stock!U594+"'E4!/ZS"</f>
        <v>#VALUE!</v>
      </c>
      <c r="HK265" t="e">
        <f>Stock!V594+"'E4!/ZT"</f>
        <v>#VALUE!</v>
      </c>
      <c r="HL265" t="e">
        <f>Stock!X594+"'E4!/ZU"</f>
        <v>#VALUE!</v>
      </c>
      <c r="HM265" t="e">
        <f>Stock!Y594+"'E4!/ZV"</f>
        <v>#VALUE!</v>
      </c>
      <c r="HN265" t="e">
        <f>Stock!N595+"'E4!/ZW"</f>
        <v>#VALUE!</v>
      </c>
      <c r="HO265" t="e">
        <f>Stock!O595+"'E4!/ZX"</f>
        <v>#VALUE!</v>
      </c>
      <c r="HP265" t="e">
        <f>Stock!P595+"'E4!/ZY"</f>
        <v>#VALUE!</v>
      </c>
      <c r="HQ265" t="e">
        <f>Stock!Q595+"'E4!/ZZ"</f>
        <v>#VALUE!</v>
      </c>
      <c r="HR265" t="e">
        <f>Stock!R595+"'E4!/Z["</f>
        <v>#VALUE!</v>
      </c>
      <c r="HS265" s="333" t="e">
        <f>Stock!S595+"'E4!/Z\"</f>
        <v>#VALUE!</v>
      </c>
      <c r="HT265" s="333" t="e">
        <f>Stock!T595+"'E4!/Z]"</f>
        <v>#VALUE!</v>
      </c>
      <c r="HU265" t="e">
        <f>Stock!U595+"'E4!/Z^"</f>
        <v>#VALUE!</v>
      </c>
      <c r="HV265" t="e">
        <f>Stock!V595+"'E4!/Z_"</f>
        <v>#VALUE!</v>
      </c>
      <c r="HW265" t="e">
        <f>Stock!X595+"'E4!/Z`"</f>
        <v>#VALUE!</v>
      </c>
      <c r="HX265" t="e">
        <f>Stock!Y595+"'E4!/Za"</f>
        <v>#VALUE!</v>
      </c>
      <c r="HY265" t="e">
        <f>Stock!N596+"'E4!/Zb"</f>
        <v>#VALUE!</v>
      </c>
      <c r="HZ265" t="e">
        <f>Stock!O596+"'E4!/Zc"</f>
        <v>#VALUE!</v>
      </c>
      <c r="IA265" t="e">
        <f>Stock!P596+"'E4!/Zd"</f>
        <v>#VALUE!</v>
      </c>
      <c r="IB265" t="e">
        <f>Stock!Q596+"'E4!/Ze"</f>
        <v>#VALUE!</v>
      </c>
      <c r="IC265" t="e">
        <f>Stock!R596+"'E4!/Zf"</f>
        <v>#VALUE!</v>
      </c>
      <c r="ID265" s="333" t="e">
        <f>Stock!S596+"'E4!/Zg"</f>
        <v>#VALUE!</v>
      </c>
      <c r="IE265" s="333" t="e">
        <f>Stock!T596+"'E4!/Zh"</f>
        <v>#VALUE!</v>
      </c>
      <c r="IF265" t="e">
        <f>Stock!U596+"'E4!/Zi"</f>
        <v>#VALUE!</v>
      </c>
      <c r="IG265" t="e">
        <f>Stock!V596+"'E4!/Zj"</f>
        <v>#VALUE!</v>
      </c>
      <c r="IH265" t="e">
        <f>Stock!X596+"'E4!/Zk"</f>
        <v>#VALUE!</v>
      </c>
      <c r="II265" t="e">
        <f>Stock!Y596+"'E4!/Zl"</f>
        <v>#VALUE!</v>
      </c>
      <c r="IJ265" t="e">
        <f>Stock!N597+"'E4!/Zm"</f>
        <v>#VALUE!</v>
      </c>
      <c r="IK265" t="e">
        <f>Stock!O597+"'E4!/Zn"</f>
        <v>#VALUE!</v>
      </c>
      <c r="IL265" t="e">
        <f>Stock!P597+"'E4!/Zo"</f>
        <v>#VALUE!</v>
      </c>
      <c r="IM265" t="e">
        <f>Stock!Q597+"'E4!/Zp"</f>
        <v>#VALUE!</v>
      </c>
      <c r="IN265" t="e">
        <f>Stock!R597+"'E4!/Zq"</f>
        <v>#VALUE!</v>
      </c>
      <c r="IO265" s="333" t="e">
        <f>Stock!S597+"'E4!/Zr"</f>
        <v>#VALUE!</v>
      </c>
      <c r="IP265" s="333" t="e">
        <f>Stock!T597+"'E4!/Zs"</f>
        <v>#VALUE!</v>
      </c>
      <c r="IQ265" t="e">
        <f>Stock!U597+"'E4!/Zt"</f>
        <v>#VALUE!</v>
      </c>
      <c r="IR265" t="e">
        <f>Stock!V597+"'E4!/Zu"</f>
        <v>#VALUE!</v>
      </c>
      <c r="IS265" t="e">
        <f>Stock!X597+"'E4!/Zv"</f>
        <v>#VALUE!</v>
      </c>
      <c r="IT265" t="e">
        <f>Stock!Y597+"'E4!/Zw"</f>
        <v>#VALUE!</v>
      </c>
      <c r="IU265" t="e">
        <f>Stock!N598+"'E4!/Zx"</f>
        <v>#VALUE!</v>
      </c>
      <c r="IV265" t="e">
        <f>Stock!O598+"'E4!/Zy"</f>
        <v>#VALUE!</v>
      </c>
    </row>
    <row r="266" spans="6:256">
      <c r="F266" t="e">
        <f>Stock!P598+"'E4!/Zz"</f>
        <v>#VALUE!</v>
      </c>
      <c r="G266" t="e">
        <f>Stock!Q598+"'E4!/Z{"</f>
        <v>#VALUE!</v>
      </c>
      <c r="H266" t="e">
        <f>Stock!R598+"'E4!/Z|"</f>
        <v>#VALUE!</v>
      </c>
      <c r="I266" s="333" t="e">
        <f>Stock!S598+"'E4!/Z}"</f>
        <v>#VALUE!</v>
      </c>
      <c r="J266" s="333" t="e">
        <f>Stock!T598+"'E4!/Z~"</f>
        <v>#VALUE!</v>
      </c>
      <c r="K266" t="e">
        <f>Stock!U598+"'E4!/[#"</f>
        <v>#VALUE!</v>
      </c>
      <c r="L266" t="e">
        <f>Stock!V598+"'E4!/[$"</f>
        <v>#VALUE!</v>
      </c>
      <c r="M266" t="e">
        <f>Stock!X598+"'E4!/[%"</f>
        <v>#VALUE!</v>
      </c>
      <c r="N266" t="e">
        <f>Stock!Y598+"'E4!/[&amp;"</f>
        <v>#VALUE!</v>
      </c>
      <c r="O266" t="e">
        <f>Stock!N599+"'E4!/['"</f>
        <v>#VALUE!</v>
      </c>
      <c r="P266" t="e">
        <f>Stock!O599+"'E4!/[("</f>
        <v>#VALUE!</v>
      </c>
      <c r="Q266" t="e">
        <f>Stock!P599+"'E4!/[)"</f>
        <v>#VALUE!</v>
      </c>
      <c r="R266" t="e">
        <f>Stock!Q599+"'E4!/[."</f>
        <v>#VALUE!</v>
      </c>
      <c r="S266" t="e">
        <f>Stock!R599+"'E4!/[/"</f>
        <v>#VALUE!</v>
      </c>
      <c r="T266" s="333" t="e">
        <f>Stock!S599+"'E4!/[0"</f>
        <v>#VALUE!</v>
      </c>
      <c r="U266" s="333" t="e">
        <f>Stock!T599+"'E4!/[1"</f>
        <v>#VALUE!</v>
      </c>
      <c r="V266" t="e">
        <f>Stock!U599+"'E4!/[2"</f>
        <v>#VALUE!</v>
      </c>
      <c r="W266" t="e">
        <f>Stock!V599+"'E4!/[3"</f>
        <v>#VALUE!</v>
      </c>
      <c r="X266" t="e">
        <f>Stock!X599+"'E4!/[4"</f>
        <v>#VALUE!</v>
      </c>
      <c r="Y266" t="e">
        <f>Stock!Y599+"'E4!/[5"</f>
        <v>#VALUE!</v>
      </c>
      <c r="Z266" t="e">
        <f>Stock!N600+"'E4!/[6"</f>
        <v>#VALUE!</v>
      </c>
      <c r="AA266" t="e">
        <f>Stock!O600+"'E4!/[7"</f>
        <v>#VALUE!</v>
      </c>
      <c r="AB266" t="e">
        <f>Stock!P600+"'E4!/[8"</f>
        <v>#VALUE!</v>
      </c>
      <c r="AC266" t="e">
        <f>Stock!Q600+"'E4!/[9"</f>
        <v>#VALUE!</v>
      </c>
      <c r="AD266" t="e">
        <f>Stock!R600+"'E4!/[:"</f>
        <v>#VALUE!</v>
      </c>
      <c r="AE266" s="333" t="e">
        <f>Stock!S600+"'E4!/[;"</f>
        <v>#VALUE!</v>
      </c>
      <c r="AF266" s="333" t="e">
        <f>Stock!T600+"'E4!/[&lt;"</f>
        <v>#VALUE!</v>
      </c>
      <c r="AG266" t="e">
        <f>Stock!U600+"'E4!/[="</f>
        <v>#VALUE!</v>
      </c>
      <c r="AH266" t="e">
        <f>Stock!V600+"'E4!/[&gt;"</f>
        <v>#VALUE!</v>
      </c>
      <c r="AI266" t="e">
        <f>Stock!W600+"'E4!/[?"</f>
        <v>#VALUE!</v>
      </c>
      <c r="AJ266" t="e">
        <f>Stock!X600+"'E4!/[@"</f>
        <v>#VALUE!</v>
      </c>
      <c r="AK266" t="e">
        <f>Stock!Y600+"'E4!/[A"</f>
        <v>#VALUE!</v>
      </c>
      <c r="AL266" t="e">
        <f>Stock!N601+"'E4!/[B"</f>
        <v>#VALUE!</v>
      </c>
      <c r="AM266" t="e">
        <f>Stock!O601+"'E4!/[C"</f>
        <v>#VALUE!</v>
      </c>
      <c r="AN266" t="e">
        <f>Stock!P601+"'E4!/[D"</f>
        <v>#VALUE!</v>
      </c>
      <c r="AO266" t="e">
        <f>Stock!Q601+"'E4!/[E"</f>
        <v>#VALUE!</v>
      </c>
      <c r="AP266" t="e">
        <f>Stock!R601+"'E4!/[F"</f>
        <v>#VALUE!</v>
      </c>
      <c r="AQ266" s="333" t="e">
        <f>Stock!S601+"'E4!/[G"</f>
        <v>#VALUE!</v>
      </c>
      <c r="AR266" s="333" t="e">
        <f>Stock!T601+"'E4!/[H"</f>
        <v>#VALUE!</v>
      </c>
      <c r="AS266" t="e">
        <f>Stock!U601+"'E4!/[I"</f>
        <v>#VALUE!</v>
      </c>
      <c r="AT266" t="e">
        <f>Stock!V601+"'E4!/[J"</f>
        <v>#VALUE!</v>
      </c>
      <c r="AU266" t="e">
        <f>Stock!W601+"'E4!/[K"</f>
        <v>#VALUE!</v>
      </c>
      <c r="AV266" t="e">
        <f>Stock!X601+"'E4!/[L"</f>
        <v>#VALUE!</v>
      </c>
      <c r="AW266" t="e">
        <f>Stock!Y601+"'E4!/[M"</f>
        <v>#VALUE!</v>
      </c>
      <c r="AX266" t="e">
        <f>Stock!N602+"'E4!/[N"</f>
        <v>#VALUE!</v>
      </c>
      <c r="AY266" t="e">
        <f>Stock!O602+"'E4!/[O"</f>
        <v>#VALUE!</v>
      </c>
      <c r="AZ266" t="e">
        <f>Stock!P602+"'E4!/[P"</f>
        <v>#VALUE!</v>
      </c>
      <c r="BA266" t="e">
        <f>Stock!Q602+"'E4!/[Q"</f>
        <v>#VALUE!</v>
      </c>
      <c r="BB266" t="e">
        <f>Stock!R602+"'E4!/[R"</f>
        <v>#VALUE!</v>
      </c>
      <c r="BC266" s="333" t="e">
        <f>Stock!S602+"'E4!/[S"</f>
        <v>#VALUE!</v>
      </c>
      <c r="BD266" s="333" t="e">
        <f>Stock!T602+"'E4!/[T"</f>
        <v>#VALUE!</v>
      </c>
      <c r="BE266" t="e">
        <f>Stock!U602+"'E4!/[U"</f>
        <v>#VALUE!</v>
      </c>
      <c r="BF266" t="e">
        <f>Stock!V602+"'E4!/[V"</f>
        <v>#VALUE!</v>
      </c>
      <c r="BG266" t="e">
        <f>Stock!X602+"'E4!/[W"</f>
        <v>#VALUE!</v>
      </c>
      <c r="BH266" t="e">
        <f>Stock!Y602+"'E4!/[X"</f>
        <v>#VALUE!</v>
      </c>
      <c r="BI266" t="e">
        <f>Stock!N603+"'E4!/[Y"</f>
        <v>#VALUE!</v>
      </c>
      <c r="BJ266" t="e">
        <f>Stock!O603+"'E4!/[Z"</f>
        <v>#VALUE!</v>
      </c>
      <c r="BK266" t="e">
        <f>Stock!P603+"'E4!/[["</f>
        <v>#VALUE!</v>
      </c>
      <c r="BL266" t="e">
        <f>Stock!Q603+"'E4!/[\"</f>
        <v>#VALUE!</v>
      </c>
      <c r="BM266" t="e">
        <f>Stock!R603+"'E4!/[]"</f>
        <v>#VALUE!</v>
      </c>
      <c r="BN266" s="333" t="e">
        <f>Stock!S603+"'E4!/[^"</f>
        <v>#VALUE!</v>
      </c>
      <c r="BO266" s="333" t="e">
        <f>Stock!T603+"'E4!/[_"</f>
        <v>#VALUE!</v>
      </c>
      <c r="BP266" t="e">
        <f>Stock!U603+"'E4!/[`"</f>
        <v>#VALUE!</v>
      </c>
      <c r="BQ266" t="e">
        <f>Stock!V603+"'E4!/[a"</f>
        <v>#VALUE!</v>
      </c>
      <c r="BR266" t="e">
        <f>Stock!X603+"'E4!/[b"</f>
        <v>#VALUE!</v>
      </c>
      <c r="BS266" t="e">
        <f>Stock!Y603+"'E4!/[c"</f>
        <v>#VALUE!</v>
      </c>
      <c r="BT266" t="e">
        <f>Stock!N604+"'E4!/[d"</f>
        <v>#VALUE!</v>
      </c>
      <c r="BU266" t="e">
        <f>Stock!O604+"'E4!/[e"</f>
        <v>#VALUE!</v>
      </c>
      <c r="BV266" t="e">
        <f>Stock!P604+"'E4!/[f"</f>
        <v>#VALUE!</v>
      </c>
      <c r="BW266" t="e">
        <f>Stock!Q604+"'E4!/[g"</f>
        <v>#VALUE!</v>
      </c>
      <c r="BX266" t="e">
        <f>Stock!R604+"'E4!/[h"</f>
        <v>#VALUE!</v>
      </c>
      <c r="BY266" s="333" t="e">
        <f>Stock!S604+"'E4!/[i"</f>
        <v>#VALUE!</v>
      </c>
      <c r="BZ266" s="333" t="e">
        <f>Stock!T604+"'E4!/[j"</f>
        <v>#VALUE!</v>
      </c>
      <c r="CA266" t="e">
        <f>Stock!U604+"'E4!/[k"</f>
        <v>#VALUE!</v>
      </c>
      <c r="CB266" t="e">
        <f>Stock!V604+"'E4!/[l"</f>
        <v>#VALUE!</v>
      </c>
      <c r="CC266" t="e">
        <f>Stock!X604+"'E4!/[m"</f>
        <v>#VALUE!</v>
      </c>
      <c r="CD266" t="e">
        <f>Stock!Y604+"'E4!/[n"</f>
        <v>#VALUE!</v>
      </c>
      <c r="CE266" t="e">
        <f>Stock!N605+"'E4!/[o"</f>
        <v>#VALUE!</v>
      </c>
      <c r="CF266" t="e">
        <f>Stock!O605+"'E4!/[p"</f>
        <v>#VALUE!</v>
      </c>
      <c r="CG266" t="e">
        <f>Stock!P605+"'E4!/[q"</f>
        <v>#VALUE!</v>
      </c>
      <c r="CH266" t="e">
        <f>Stock!Q605+"'E4!/[r"</f>
        <v>#VALUE!</v>
      </c>
      <c r="CI266" t="e">
        <f>Stock!R605+"'E4!/[s"</f>
        <v>#VALUE!</v>
      </c>
      <c r="CJ266" s="333" t="e">
        <f>Stock!S605+"'E4!/[t"</f>
        <v>#VALUE!</v>
      </c>
      <c r="CK266" s="333" t="e">
        <f>Stock!T605+"'E4!/[u"</f>
        <v>#VALUE!</v>
      </c>
      <c r="CL266" t="e">
        <f>Stock!U605+"'E4!/[v"</f>
        <v>#VALUE!</v>
      </c>
      <c r="CM266" t="e">
        <f>Stock!V605+"'E4!/[w"</f>
        <v>#VALUE!</v>
      </c>
      <c r="CN266" t="e">
        <f>Stock!X605+"'E4!/[x"</f>
        <v>#VALUE!</v>
      </c>
      <c r="CO266" t="e">
        <f>Stock!Y605+"'E4!/[y"</f>
        <v>#VALUE!</v>
      </c>
      <c r="CP266" t="e">
        <f>Stock!N606+"'E4!/[z"</f>
        <v>#VALUE!</v>
      </c>
      <c r="CQ266" t="e">
        <f>Stock!O606+"'E4!/[{"</f>
        <v>#VALUE!</v>
      </c>
      <c r="CR266" t="e">
        <f>Stock!P606+"'E4!/[|"</f>
        <v>#VALUE!</v>
      </c>
      <c r="CS266" t="e">
        <f>Stock!Q606+"'E4!/[}"</f>
        <v>#VALUE!</v>
      </c>
      <c r="CT266" t="e">
        <f>Stock!R606+"'E4!/[~"</f>
        <v>#VALUE!</v>
      </c>
      <c r="CU266" s="333" t="e">
        <f>Stock!S606+"'E4!/\#"</f>
        <v>#VALUE!</v>
      </c>
      <c r="CV266" s="333" t="e">
        <f>Stock!T606+"'E4!/\$"</f>
        <v>#VALUE!</v>
      </c>
      <c r="CW266" t="e">
        <f>Stock!U606+"'E4!/\%"</f>
        <v>#VALUE!</v>
      </c>
      <c r="CX266" t="e">
        <f>Stock!V606+"'E4!/\&amp;"</f>
        <v>#VALUE!</v>
      </c>
      <c r="CY266" t="e">
        <f>Stock!X606+"'E4!/\'"</f>
        <v>#VALUE!</v>
      </c>
      <c r="CZ266" t="e">
        <f>Stock!Y606+"'E4!/\("</f>
        <v>#VALUE!</v>
      </c>
      <c r="DA266" t="e">
        <f>Stock!N607+"'E4!/\)"</f>
        <v>#VALUE!</v>
      </c>
      <c r="DB266" t="e">
        <f>Stock!O607+"'E4!/\."</f>
        <v>#VALUE!</v>
      </c>
      <c r="DC266" t="e">
        <f>Stock!P607+"'E4!/\/"</f>
        <v>#VALUE!</v>
      </c>
      <c r="DD266" t="e">
        <f>Stock!Q607+"'E4!/\0"</f>
        <v>#VALUE!</v>
      </c>
      <c r="DE266" t="e">
        <f>Stock!R607+"'E4!/\1"</f>
        <v>#VALUE!</v>
      </c>
      <c r="DF266" s="333" t="e">
        <f>Stock!S607+"'E4!/\2"</f>
        <v>#VALUE!</v>
      </c>
      <c r="DG266" s="333" t="e">
        <f>Stock!T607+"'E4!/\3"</f>
        <v>#VALUE!</v>
      </c>
      <c r="DH266" t="e">
        <f>Stock!U607+"'E4!/\4"</f>
        <v>#VALUE!</v>
      </c>
      <c r="DI266" t="e">
        <f>Stock!V607+"'E4!/\5"</f>
        <v>#VALUE!</v>
      </c>
      <c r="DJ266" t="e">
        <f>Stock!X607+"'E4!/\6"</f>
        <v>#VALUE!</v>
      </c>
      <c r="DK266" t="e">
        <f>Stock!Y607+"'E4!/\7"</f>
        <v>#VALUE!</v>
      </c>
      <c r="DL266" t="e">
        <f>Stock!N608+"'E4!/\8"</f>
        <v>#VALUE!</v>
      </c>
      <c r="DM266" t="e">
        <f>Stock!O608+"'E4!/\9"</f>
        <v>#VALUE!</v>
      </c>
      <c r="DN266" t="e">
        <f>Stock!P608+"'E4!/\:"</f>
        <v>#VALUE!</v>
      </c>
      <c r="DO266" t="e">
        <f>Stock!Q608+"'E4!/\;"</f>
        <v>#VALUE!</v>
      </c>
      <c r="DP266" t="e">
        <f>Stock!R608+"'E4!/\&lt;"</f>
        <v>#VALUE!</v>
      </c>
      <c r="DQ266" s="333" t="e">
        <f>Stock!S608+"'E4!/\="</f>
        <v>#VALUE!</v>
      </c>
      <c r="DR266" s="333" t="e">
        <f>Stock!T608+"'E4!/\&gt;"</f>
        <v>#VALUE!</v>
      </c>
      <c r="DS266" t="e">
        <f>Stock!U608+"'E4!/\?"</f>
        <v>#VALUE!</v>
      </c>
      <c r="DT266" t="e">
        <f>Stock!V608+"'E4!/\@"</f>
        <v>#VALUE!</v>
      </c>
      <c r="DU266" t="e">
        <f>Stock!X608+"'E4!/\A"</f>
        <v>#VALUE!</v>
      </c>
      <c r="DV266" t="e">
        <f>Stock!Y608+"'E4!/\B"</f>
        <v>#VALUE!</v>
      </c>
      <c r="DW266" t="e">
        <f>Stock!N609+"'E4!/\C"</f>
        <v>#VALUE!</v>
      </c>
      <c r="DX266" t="e">
        <f>Stock!O609+"'E4!/\D"</f>
        <v>#VALUE!</v>
      </c>
      <c r="DY266" t="e">
        <f>Stock!P609+"'E4!/\E"</f>
        <v>#VALUE!</v>
      </c>
      <c r="DZ266" t="e">
        <f>Stock!Q609+"'E4!/\F"</f>
        <v>#VALUE!</v>
      </c>
      <c r="EA266" t="e">
        <f>Stock!R609+"'E4!/\G"</f>
        <v>#VALUE!</v>
      </c>
      <c r="EB266" s="333" t="e">
        <f>Stock!S609+"'E4!/\H"</f>
        <v>#VALUE!</v>
      </c>
      <c r="EC266" s="333" t="e">
        <f>Stock!T609+"'E4!/\I"</f>
        <v>#VALUE!</v>
      </c>
      <c r="ED266" t="e">
        <f>Stock!U609+"'E4!/\J"</f>
        <v>#VALUE!</v>
      </c>
      <c r="EE266" t="e">
        <f>Stock!V609+"'E4!/\K"</f>
        <v>#VALUE!</v>
      </c>
      <c r="EF266" t="e">
        <f>Stock!X609+"'E4!/\L"</f>
        <v>#VALUE!</v>
      </c>
      <c r="EG266" t="e">
        <f>Stock!Y609+"'E4!/\M"</f>
        <v>#VALUE!</v>
      </c>
      <c r="EH266" t="e">
        <f>Stock!N610+"'E4!/\N"</f>
        <v>#VALUE!</v>
      </c>
      <c r="EI266" t="e">
        <f>Stock!O610+"'E4!/\O"</f>
        <v>#VALUE!</v>
      </c>
      <c r="EJ266" t="e">
        <f>Stock!P610+"'E4!/\P"</f>
        <v>#VALUE!</v>
      </c>
      <c r="EK266" t="e">
        <f>Stock!Q610+"'E4!/\Q"</f>
        <v>#VALUE!</v>
      </c>
      <c r="EL266" t="e">
        <f>Stock!R610+"'E4!/\R"</f>
        <v>#VALUE!</v>
      </c>
      <c r="EM266" s="333" t="e">
        <f>Stock!S610+"'E4!/\S"</f>
        <v>#VALUE!</v>
      </c>
      <c r="EN266" s="333" t="e">
        <f>Stock!T610+"'E4!/\T"</f>
        <v>#VALUE!</v>
      </c>
      <c r="EO266" t="e">
        <f>Stock!U610+"'E4!/\U"</f>
        <v>#VALUE!</v>
      </c>
      <c r="EP266" t="e">
        <f>Stock!V610+"'E4!/\V"</f>
        <v>#VALUE!</v>
      </c>
      <c r="EQ266" t="e">
        <f>Stock!X610+"'E4!/\W"</f>
        <v>#VALUE!</v>
      </c>
      <c r="ER266" t="e">
        <f>Stock!Y610+"'E4!/\X"</f>
        <v>#VALUE!</v>
      </c>
      <c r="ES266" t="e">
        <f>Stock!N611+"'E4!/\Y"</f>
        <v>#VALUE!</v>
      </c>
      <c r="ET266" t="e">
        <f>Stock!O611+"'E4!/\Z"</f>
        <v>#VALUE!</v>
      </c>
      <c r="EU266" t="e">
        <f>Stock!P611+"'E4!/\["</f>
        <v>#VALUE!</v>
      </c>
      <c r="EV266" t="e">
        <f>Stock!Q611+"'E4!/\\"</f>
        <v>#VALUE!</v>
      </c>
      <c r="EW266" t="e">
        <f>Stock!R611+"'E4!/\]"</f>
        <v>#VALUE!</v>
      </c>
      <c r="EX266" s="333" t="e">
        <f>Stock!S611+"'E4!/\^"</f>
        <v>#VALUE!</v>
      </c>
      <c r="EY266" s="333" t="e">
        <f>Stock!T611+"'E4!/\_"</f>
        <v>#VALUE!</v>
      </c>
      <c r="EZ266" t="e">
        <f>Stock!U611+"'E4!/\`"</f>
        <v>#VALUE!</v>
      </c>
      <c r="FA266" t="e">
        <f>Stock!V611+"'E4!/\a"</f>
        <v>#VALUE!</v>
      </c>
      <c r="FB266" t="e">
        <f>Stock!X611+"'E4!/\b"</f>
        <v>#VALUE!</v>
      </c>
      <c r="FC266" t="e">
        <f>Stock!Y611+"'E4!/\c"</f>
        <v>#VALUE!</v>
      </c>
      <c r="FD266" t="e">
        <f>Stock!N612+"'E4!/\d"</f>
        <v>#VALUE!</v>
      </c>
      <c r="FE266" t="e">
        <f>Stock!O612+"'E4!/\e"</f>
        <v>#VALUE!</v>
      </c>
      <c r="FF266" t="e">
        <f>Stock!P612+"'E4!/\f"</f>
        <v>#VALUE!</v>
      </c>
      <c r="FG266" t="e">
        <f>Stock!Q612+"'E4!/\g"</f>
        <v>#VALUE!</v>
      </c>
      <c r="FH266" t="e">
        <f>Stock!R612+"'E4!/\h"</f>
        <v>#VALUE!</v>
      </c>
      <c r="FI266" s="333" t="e">
        <f>Stock!S612+"'E4!/\i"</f>
        <v>#VALUE!</v>
      </c>
      <c r="FJ266" s="333" t="e">
        <f>Stock!T612+"'E4!/\j"</f>
        <v>#VALUE!</v>
      </c>
      <c r="FK266" t="e">
        <f>Stock!V612+"'E4!/\k"</f>
        <v>#VALUE!</v>
      </c>
      <c r="FL266" t="e">
        <f>Stock!X612+"'E4!/\l"</f>
        <v>#VALUE!</v>
      </c>
      <c r="FM266" t="e">
        <f>Stock!Y612+"'E4!/\m"</f>
        <v>#VALUE!</v>
      </c>
      <c r="FN266" t="e">
        <f>Stock!N613+"'E4!/\n"</f>
        <v>#VALUE!</v>
      </c>
      <c r="FO266" t="e">
        <f>Stock!O613+"'E4!/\o"</f>
        <v>#VALUE!</v>
      </c>
      <c r="FP266" t="e">
        <f>Stock!P613+"'E4!/\p"</f>
        <v>#VALUE!</v>
      </c>
      <c r="FQ266" t="e">
        <f>Stock!Q613+"'E4!/\q"</f>
        <v>#VALUE!</v>
      </c>
      <c r="FR266" t="e">
        <f>Stock!R613+"'E4!/\r"</f>
        <v>#VALUE!</v>
      </c>
      <c r="FS266" s="333" t="e">
        <f>Stock!S613+"'E4!/\s"</f>
        <v>#VALUE!</v>
      </c>
      <c r="FT266" s="333" t="e">
        <f>Stock!T613+"'E4!/\t"</f>
        <v>#VALUE!</v>
      </c>
      <c r="FU266" t="e">
        <f>Stock!V613+"'E4!/\u"</f>
        <v>#VALUE!</v>
      </c>
      <c r="FV266" t="e">
        <f>Stock!X613+"'E4!/\v"</f>
        <v>#VALUE!</v>
      </c>
      <c r="FW266" t="e">
        <f>Stock!Y613+"'E4!/\w"</f>
        <v>#VALUE!</v>
      </c>
      <c r="FX266" t="e">
        <f>Stock!N614+"'E4!/\x"</f>
        <v>#VALUE!</v>
      </c>
      <c r="FY266" t="e">
        <f>Stock!O614+"'E4!/\y"</f>
        <v>#VALUE!</v>
      </c>
      <c r="FZ266" t="e">
        <f>Stock!P614+"'E4!/\z"</f>
        <v>#VALUE!</v>
      </c>
      <c r="GA266" t="e">
        <f>Stock!Q614+"'E4!/\{"</f>
        <v>#VALUE!</v>
      </c>
      <c r="GB266" t="e">
        <f>Stock!R614+"'E4!/\|"</f>
        <v>#VALUE!</v>
      </c>
      <c r="GC266" s="333" t="e">
        <f>Stock!S614+"'E4!/\}"</f>
        <v>#VALUE!</v>
      </c>
      <c r="GD266" s="333" t="e">
        <f>Stock!T614+"'E4!/\~"</f>
        <v>#VALUE!</v>
      </c>
      <c r="GE266" t="e">
        <f>Stock!V614+"'E4!/]#"</f>
        <v>#VALUE!</v>
      </c>
      <c r="GF266" t="e">
        <f>Stock!X614+"'E4!/]$"</f>
        <v>#VALUE!</v>
      </c>
      <c r="GG266" t="e">
        <f>Stock!Y614+"'E4!/]%"</f>
        <v>#VALUE!</v>
      </c>
      <c r="GH266" t="e">
        <f>Stock!N615+"'E4!/]&amp;"</f>
        <v>#VALUE!</v>
      </c>
      <c r="GI266" t="e">
        <f>Stock!O615+"'E4!/]'"</f>
        <v>#VALUE!</v>
      </c>
      <c r="GJ266" t="e">
        <f>Stock!P615+"'E4!/]("</f>
        <v>#VALUE!</v>
      </c>
      <c r="GK266" t="e">
        <f>Stock!Q615+"'E4!/])"</f>
        <v>#VALUE!</v>
      </c>
      <c r="GL266" t="e">
        <f>Stock!R615+"'E4!/]."</f>
        <v>#VALUE!</v>
      </c>
      <c r="GM266" s="333" t="e">
        <f>Stock!S615+"'E4!/]/"</f>
        <v>#VALUE!</v>
      </c>
      <c r="GN266" s="333" t="e">
        <f>Stock!T615+"'E4!/]0"</f>
        <v>#VALUE!</v>
      </c>
      <c r="GO266" t="e">
        <f>Stock!V615+"'E4!/]1"</f>
        <v>#VALUE!</v>
      </c>
      <c r="GP266" t="e">
        <f>Stock!X615+"'E4!/]2"</f>
        <v>#VALUE!</v>
      </c>
      <c r="GQ266" t="e">
        <f>Stock!Y615+"'E4!/]3"</f>
        <v>#VALUE!</v>
      </c>
      <c r="GR266" t="e">
        <f>Stock!N616+"'E4!/]4"</f>
        <v>#VALUE!</v>
      </c>
      <c r="GS266" t="e">
        <f>Stock!O616+"'E4!/]5"</f>
        <v>#VALUE!</v>
      </c>
      <c r="GT266" t="e">
        <f>Stock!P616+"'E4!/]6"</f>
        <v>#VALUE!</v>
      </c>
      <c r="GU266" t="e">
        <f>Stock!Q616+"'E4!/]7"</f>
        <v>#VALUE!</v>
      </c>
      <c r="GV266" t="e">
        <f>Stock!R616+"'E4!/]8"</f>
        <v>#VALUE!</v>
      </c>
      <c r="GW266" s="333" t="e">
        <f>Stock!S616+"'E4!/]9"</f>
        <v>#VALUE!</v>
      </c>
      <c r="GX266" s="333" t="e">
        <f>Stock!T616+"'E4!/]:"</f>
        <v>#VALUE!</v>
      </c>
      <c r="GY266" t="e">
        <f>Stock!V616+"'E4!/];"</f>
        <v>#VALUE!</v>
      </c>
      <c r="GZ266" t="e">
        <f>Stock!X616+"'E4!/]&lt;"</f>
        <v>#VALUE!</v>
      </c>
      <c r="HA266" t="e">
        <f>Stock!Y616+"'E4!/]="</f>
        <v>#VALUE!</v>
      </c>
      <c r="HB266" t="e">
        <f>Stock!N617+"'E4!/]&gt;"</f>
        <v>#VALUE!</v>
      </c>
      <c r="HC266" t="e">
        <f>Stock!O617+"'E4!/]?"</f>
        <v>#VALUE!</v>
      </c>
      <c r="HD266" t="e">
        <f>Stock!P617+"'E4!/]@"</f>
        <v>#VALUE!</v>
      </c>
      <c r="HE266" t="e">
        <f>Stock!Q617+"'E4!/]A"</f>
        <v>#VALUE!</v>
      </c>
      <c r="HF266" t="e">
        <f>Stock!R617+"'E4!/]B"</f>
        <v>#VALUE!</v>
      </c>
      <c r="HG266" s="333" t="e">
        <f>Stock!S617+"'E4!/]C"</f>
        <v>#VALUE!</v>
      </c>
      <c r="HH266" s="333" t="e">
        <f>Stock!T617+"'E4!/]D"</f>
        <v>#VALUE!</v>
      </c>
      <c r="HI266" t="e">
        <f>Stock!V617+"'E4!/]E"</f>
        <v>#VALUE!</v>
      </c>
      <c r="HJ266" t="e">
        <f>Stock!X617+"'E4!/]F"</f>
        <v>#VALUE!</v>
      </c>
      <c r="HK266" t="e">
        <f>Stock!Y617+"'E4!/]G"</f>
        <v>#VALUE!</v>
      </c>
      <c r="HL266" t="e">
        <f>Stock!N618+"'E4!/]H"</f>
        <v>#VALUE!</v>
      </c>
      <c r="HM266" t="e">
        <f>Stock!O618+"'E4!/]I"</f>
        <v>#VALUE!</v>
      </c>
      <c r="HN266" t="e">
        <f>Stock!P618+"'E4!/]J"</f>
        <v>#VALUE!</v>
      </c>
      <c r="HO266" t="e">
        <f>Stock!Q618+"'E4!/]K"</f>
        <v>#VALUE!</v>
      </c>
      <c r="HP266" t="e">
        <f>Stock!R618+"'E4!/]L"</f>
        <v>#VALUE!</v>
      </c>
      <c r="HQ266" s="333" t="e">
        <f>Stock!S618+"'E4!/]M"</f>
        <v>#VALUE!</v>
      </c>
      <c r="HR266" s="333" t="e">
        <f>Stock!T618+"'E4!/]N"</f>
        <v>#VALUE!</v>
      </c>
      <c r="HS266" t="e">
        <f>Stock!V618+"'E4!/]O"</f>
        <v>#VALUE!</v>
      </c>
      <c r="HT266" t="e">
        <f>Stock!X618+"'E4!/]P"</f>
        <v>#VALUE!</v>
      </c>
      <c r="HU266" t="e">
        <f>Stock!Y618+"'E4!/]Q"</f>
        <v>#VALUE!</v>
      </c>
      <c r="HV266" t="e">
        <f>Stock!N619+"'E4!/]R"</f>
        <v>#VALUE!</v>
      </c>
      <c r="HW266" t="e">
        <f>Stock!O619+"'E4!/]S"</f>
        <v>#VALUE!</v>
      </c>
      <c r="HX266" t="e">
        <f>Stock!P619+"'E4!/]T"</f>
        <v>#VALUE!</v>
      </c>
      <c r="HY266" t="e">
        <f>Stock!Q619+"'E4!/]U"</f>
        <v>#VALUE!</v>
      </c>
      <c r="HZ266" t="e">
        <f>Stock!R619+"'E4!/]V"</f>
        <v>#VALUE!</v>
      </c>
      <c r="IA266" s="333" t="e">
        <f>Stock!S619+"'E4!/]W"</f>
        <v>#VALUE!</v>
      </c>
      <c r="IB266" s="333" t="e">
        <f>Stock!T619+"'E4!/]X"</f>
        <v>#VALUE!</v>
      </c>
      <c r="IC266" t="e">
        <f>Stock!V619+"'E4!/]Y"</f>
        <v>#VALUE!</v>
      </c>
      <c r="ID266" t="e">
        <f>Stock!X619+"'E4!/]Z"</f>
        <v>#VALUE!</v>
      </c>
      <c r="IE266" t="e">
        <f>Stock!Y619+"'E4!/]["</f>
        <v>#VALUE!</v>
      </c>
      <c r="IF266" t="e">
        <f>Stock!N620+"'E4!/]\"</f>
        <v>#VALUE!</v>
      </c>
      <c r="IG266" t="e">
        <f>Stock!O620+"'E4!/]]"</f>
        <v>#VALUE!</v>
      </c>
      <c r="IH266" t="e">
        <f>Stock!P620+"'E4!/]^"</f>
        <v>#VALUE!</v>
      </c>
      <c r="II266" t="e">
        <f>Stock!Q620+"'E4!/]_"</f>
        <v>#VALUE!</v>
      </c>
      <c r="IJ266" t="e">
        <f>Stock!R620+"'E4!/]`"</f>
        <v>#VALUE!</v>
      </c>
      <c r="IK266" s="333" t="e">
        <f>Stock!S620+"'E4!/]a"</f>
        <v>#VALUE!</v>
      </c>
      <c r="IL266" s="333" t="e">
        <f>Stock!T620+"'E4!/]b"</f>
        <v>#VALUE!</v>
      </c>
      <c r="IM266" t="e">
        <f>Stock!X620+"'E4!/]c"</f>
        <v>#VALUE!</v>
      </c>
      <c r="IN266" t="e">
        <f>Stock!Y620+"'E4!/]d"</f>
        <v>#VALUE!</v>
      </c>
      <c r="IO266" t="e">
        <f>Stock!N621+"'E4!/]e"</f>
        <v>#VALUE!</v>
      </c>
      <c r="IP266" t="e">
        <f>Stock!O621+"'E4!/]f"</f>
        <v>#VALUE!</v>
      </c>
      <c r="IQ266" t="e">
        <f>Stock!P621+"'E4!/]g"</f>
        <v>#VALUE!</v>
      </c>
      <c r="IR266" t="e">
        <f>Stock!Q621+"'E4!/]h"</f>
        <v>#VALUE!</v>
      </c>
      <c r="IS266" t="e">
        <f>Stock!R621+"'E4!/]i"</f>
        <v>#VALUE!</v>
      </c>
      <c r="IT266" s="333" t="e">
        <f>Stock!S621+"'E4!/]j"</f>
        <v>#VALUE!</v>
      </c>
      <c r="IU266" s="333" t="e">
        <f>Stock!T621+"'E4!/]k"</f>
        <v>#VALUE!</v>
      </c>
      <c r="IV266" t="e">
        <f>Stock!V621+"'E4!/]l"</f>
        <v>#VALUE!</v>
      </c>
    </row>
    <row r="267" spans="6:256">
      <c r="F267" t="e">
        <f>Stock!X621+"'E4!/]m"</f>
        <v>#VALUE!</v>
      </c>
      <c r="G267" t="e">
        <f>Stock!Y621+"'E4!/]n"</f>
        <v>#VALUE!</v>
      </c>
      <c r="H267" t="e">
        <f>Stock!N622+"'E4!/]o"</f>
        <v>#VALUE!</v>
      </c>
      <c r="I267" t="e">
        <f>Stock!O622+"'E4!/]p"</f>
        <v>#VALUE!</v>
      </c>
      <c r="J267" t="e">
        <f>Stock!P622+"'E4!/]q"</f>
        <v>#VALUE!</v>
      </c>
      <c r="K267" t="e">
        <f>Stock!Q622+"'E4!/]r"</f>
        <v>#VALUE!</v>
      </c>
      <c r="L267" t="e">
        <f>Stock!R622+"'E4!/]s"</f>
        <v>#VALUE!</v>
      </c>
      <c r="M267" s="333" t="e">
        <f>Stock!S622+"'E4!/]t"</f>
        <v>#VALUE!</v>
      </c>
      <c r="N267" s="333" t="e">
        <f>Stock!T622+"'E4!/]u"</f>
        <v>#VALUE!</v>
      </c>
      <c r="O267" t="e">
        <f>Stock!V622+"'E4!/]v"</f>
        <v>#VALUE!</v>
      </c>
      <c r="P267" t="e">
        <f>Stock!X622+"'E4!/]w"</f>
        <v>#VALUE!</v>
      </c>
      <c r="Q267" t="e">
        <f>Stock!Y622+"'E4!/]x"</f>
        <v>#VALUE!</v>
      </c>
      <c r="R267" t="e">
        <f>Stock!N623+"'E4!/]y"</f>
        <v>#VALUE!</v>
      </c>
      <c r="S267" t="e">
        <f>Stock!O623+"'E4!/]z"</f>
        <v>#VALUE!</v>
      </c>
      <c r="T267" t="e">
        <f>Stock!P623+"'E4!/]{"</f>
        <v>#VALUE!</v>
      </c>
      <c r="U267" t="e">
        <f>Stock!Q623+"'E4!/]|"</f>
        <v>#VALUE!</v>
      </c>
      <c r="V267" t="e">
        <f>Stock!R623+"'E4!/]}"</f>
        <v>#VALUE!</v>
      </c>
      <c r="W267" s="333" t="e">
        <f>Stock!S623+"'E4!/]~"</f>
        <v>#VALUE!</v>
      </c>
      <c r="X267" s="333" t="e">
        <f>Stock!T623+"'E4!/^#"</f>
        <v>#VALUE!</v>
      </c>
      <c r="Y267" t="e">
        <f>Stock!V623+"'E4!/^$"</f>
        <v>#VALUE!</v>
      </c>
      <c r="Z267" t="e">
        <f>Stock!X623+"'E4!/^%"</f>
        <v>#VALUE!</v>
      </c>
      <c r="AA267" t="e">
        <f>Stock!Y623+"'E4!/^&amp;"</f>
        <v>#VALUE!</v>
      </c>
      <c r="AB267" t="e">
        <f>Stock!N624+"'E4!/^'"</f>
        <v>#VALUE!</v>
      </c>
      <c r="AC267" t="e">
        <f>Stock!O624+"'E4!/^("</f>
        <v>#VALUE!</v>
      </c>
      <c r="AD267" t="e">
        <f>Stock!P624+"'E4!/^)"</f>
        <v>#VALUE!</v>
      </c>
      <c r="AE267" t="e">
        <f>Stock!Q624+"'E4!/^."</f>
        <v>#VALUE!</v>
      </c>
      <c r="AF267" t="e">
        <f>Stock!R624+"'E4!/^/"</f>
        <v>#VALUE!</v>
      </c>
      <c r="AG267" s="333" t="e">
        <f>Stock!S624+"'E4!/^0"</f>
        <v>#VALUE!</v>
      </c>
      <c r="AH267" s="333" t="e">
        <f>Stock!T624+"'E4!/^1"</f>
        <v>#VALUE!</v>
      </c>
      <c r="AI267" t="e">
        <f>Stock!V624+"'E4!/^2"</f>
        <v>#VALUE!</v>
      </c>
      <c r="AJ267" t="e">
        <f>Stock!X624+"'E4!/^3"</f>
        <v>#VALUE!</v>
      </c>
      <c r="AK267" t="e">
        <f>Stock!Y624+"'E4!/^4"</f>
        <v>#VALUE!</v>
      </c>
      <c r="AL267" t="e">
        <f>Stock!N625+"'E4!/^5"</f>
        <v>#VALUE!</v>
      </c>
      <c r="AM267" t="e">
        <f>Stock!O625+"'E4!/^6"</f>
        <v>#VALUE!</v>
      </c>
      <c r="AN267" t="e">
        <f>Stock!P625+"'E4!/^7"</f>
        <v>#VALUE!</v>
      </c>
      <c r="AO267" t="e">
        <f>Stock!Q625+"'E4!/^8"</f>
        <v>#VALUE!</v>
      </c>
      <c r="AP267" t="e">
        <f>Stock!R625+"'E4!/^9"</f>
        <v>#VALUE!</v>
      </c>
      <c r="AQ267" s="333" t="e">
        <f>Stock!S625+"'E4!/^:"</f>
        <v>#VALUE!</v>
      </c>
      <c r="AR267" s="333" t="e">
        <f>Stock!T625+"'E4!/^;"</f>
        <v>#VALUE!</v>
      </c>
      <c r="AS267" t="e">
        <f>Stock!V625+"'E4!/^&lt;"</f>
        <v>#VALUE!</v>
      </c>
      <c r="AT267" t="e">
        <f>Stock!X625+"'E4!/^="</f>
        <v>#VALUE!</v>
      </c>
      <c r="AU267" t="e">
        <f>Stock!Y625+"'E4!/^&gt;"</f>
        <v>#VALUE!</v>
      </c>
      <c r="AV267" t="e">
        <f>Stock!N626+"'E4!/^?"</f>
        <v>#VALUE!</v>
      </c>
      <c r="AW267" t="e">
        <f>Stock!O626+"'E4!/^@"</f>
        <v>#VALUE!</v>
      </c>
      <c r="AX267" t="e">
        <f>Stock!P626+"'E4!/^A"</f>
        <v>#VALUE!</v>
      </c>
      <c r="AY267" t="e">
        <f>Stock!Q626+"'E4!/^B"</f>
        <v>#VALUE!</v>
      </c>
      <c r="AZ267" t="e">
        <f>Stock!R626+"'E4!/^C"</f>
        <v>#VALUE!</v>
      </c>
      <c r="BA267" s="333" t="e">
        <f>Stock!S626+"'E4!/^D"</f>
        <v>#VALUE!</v>
      </c>
      <c r="BB267" s="333" t="e">
        <f>Stock!T626+"'E4!/^E"</f>
        <v>#VALUE!</v>
      </c>
      <c r="BC267" t="e">
        <f>Stock!V626+"'E4!/^F"</f>
        <v>#VALUE!</v>
      </c>
      <c r="BD267" t="e">
        <f>Stock!X626+"'E4!/^G"</f>
        <v>#VALUE!</v>
      </c>
      <c r="BE267" t="e">
        <f>Stock!Y626+"'E4!/^H"</f>
        <v>#VALUE!</v>
      </c>
      <c r="BF267" t="e">
        <f>Stock!N627+"'E4!/^I"</f>
        <v>#VALUE!</v>
      </c>
      <c r="BG267" t="e">
        <f>Stock!O627+"'E4!/^J"</f>
        <v>#VALUE!</v>
      </c>
      <c r="BH267" t="e">
        <f>Stock!P627+"'E4!/^K"</f>
        <v>#VALUE!</v>
      </c>
      <c r="BI267" t="e">
        <f>Stock!Q627+"'E4!/^L"</f>
        <v>#VALUE!</v>
      </c>
      <c r="BJ267" t="e">
        <f>Stock!R627+"'E4!/^M"</f>
        <v>#VALUE!</v>
      </c>
      <c r="BK267" s="333" t="e">
        <f>Stock!S627+"'E4!/^N"</f>
        <v>#VALUE!</v>
      </c>
      <c r="BL267" s="333" t="e">
        <f>Stock!T627+"'E4!/^O"</f>
        <v>#VALUE!</v>
      </c>
      <c r="BM267" t="e">
        <f>Stock!V627+"'E4!/^P"</f>
        <v>#VALUE!</v>
      </c>
      <c r="BN267" t="e">
        <f>Stock!X627+"'E4!/^Q"</f>
        <v>#VALUE!</v>
      </c>
      <c r="BO267" t="e">
        <f>Stock!Y627+"'E4!/^R"</f>
        <v>#VALUE!</v>
      </c>
      <c r="BP267" t="e">
        <f>Stock!N628+"'E4!/^S"</f>
        <v>#VALUE!</v>
      </c>
      <c r="BQ267" t="e">
        <f>Stock!O628+"'E4!/^T"</f>
        <v>#VALUE!</v>
      </c>
      <c r="BR267" t="e">
        <f>Stock!P628+"'E4!/^U"</f>
        <v>#VALUE!</v>
      </c>
      <c r="BS267" t="e">
        <f>Stock!Q628+"'E4!/^V"</f>
        <v>#VALUE!</v>
      </c>
      <c r="BT267" t="e">
        <f>Stock!R628+"'E4!/^W"</f>
        <v>#VALUE!</v>
      </c>
      <c r="BU267" s="333" t="e">
        <f>Stock!S628+"'E4!/^X"</f>
        <v>#VALUE!</v>
      </c>
      <c r="BV267" s="333" t="e">
        <f>Stock!T628+"'E4!/^Y"</f>
        <v>#VALUE!</v>
      </c>
      <c r="BW267" t="e">
        <f>Stock!V628+"'E4!/^Z"</f>
        <v>#VALUE!</v>
      </c>
      <c r="BX267" t="e">
        <f>Stock!X628+"'E4!/^["</f>
        <v>#VALUE!</v>
      </c>
      <c r="BY267" t="e">
        <f>Stock!Y628+"'E4!/^\"</f>
        <v>#VALUE!</v>
      </c>
      <c r="BZ267" t="e">
        <f>Stock!N629+"'E4!/^]"</f>
        <v>#VALUE!</v>
      </c>
      <c r="CA267" t="e">
        <f>Stock!O629+"'E4!/^^"</f>
        <v>#VALUE!</v>
      </c>
      <c r="CB267" t="e">
        <f>Stock!P629+"'E4!/^_"</f>
        <v>#VALUE!</v>
      </c>
      <c r="CC267" t="e">
        <f>Stock!Q629+"'E4!/^`"</f>
        <v>#VALUE!</v>
      </c>
      <c r="CD267" t="e">
        <f>Stock!R629+"'E4!/^a"</f>
        <v>#VALUE!</v>
      </c>
      <c r="CE267" s="333" t="e">
        <f>Stock!S629+"'E4!/^b"</f>
        <v>#VALUE!</v>
      </c>
      <c r="CF267" s="333" t="e">
        <f>Stock!T629+"'E4!/^c"</f>
        <v>#VALUE!</v>
      </c>
      <c r="CG267" t="e">
        <f>Stock!V629+"'E4!/^d"</f>
        <v>#VALUE!</v>
      </c>
      <c r="CH267" t="e">
        <f>Stock!X629+"'E4!/^e"</f>
        <v>#VALUE!</v>
      </c>
      <c r="CI267" t="e">
        <f>Stock!Y629+"'E4!/^f"</f>
        <v>#VALUE!</v>
      </c>
      <c r="CJ267" t="e">
        <f>Stock!N630+"'E4!/^g"</f>
        <v>#VALUE!</v>
      </c>
      <c r="CK267" t="e">
        <f>Stock!O630+"'E4!/^h"</f>
        <v>#VALUE!</v>
      </c>
      <c r="CL267" t="e">
        <f>Stock!P630+"'E4!/^i"</f>
        <v>#VALUE!</v>
      </c>
      <c r="CM267" t="e">
        <f>Stock!Q630+"'E4!/^j"</f>
        <v>#VALUE!</v>
      </c>
      <c r="CN267" t="e">
        <f>Stock!R630+"'E4!/^k"</f>
        <v>#VALUE!</v>
      </c>
      <c r="CO267" s="333" t="e">
        <f>Stock!S630+"'E4!/^l"</f>
        <v>#VALUE!</v>
      </c>
      <c r="CP267" s="333" t="e">
        <f>Stock!T630+"'E4!/^m"</f>
        <v>#VALUE!</v>
      </c>
      <c r="CQ267" t="e">
        <f>Stock!V630+"'E4!/^n"</f>
        <v>#VALUE!</v>
      </c>
      <c r="CR267" t="e">
        <f>Stock!X630+"'E4!/^o"</f>
        <v>#VALUE!</v>
      </c>
      <c r="CS267" t="e">
        <f>Stock!Y630+"'E4!/^p"</f>
        <v>#VALUE!</v>
      </c>
      <c r="CT267" t="e">
        <f>Stock!N631+"'E4!/^q"</f>
        <v>#VALUE!</v>
      </c>
      <c r="CU267" t="e">
        <f>Stock!O631+"'E4!/^r"</f>
        <v>#VALUE!</v>
      </c>
      <c r="CV267" t="e">
        <f>Stock!P631+"'E4!/^s"</f>
        <v>#VALUE!</v>
      </c>
      <c r="CW267" t="e">
        <f>Stock!Q631+"'E4!/^t"</f>
        <v>#VALUE!</v>
      </c>
      <c r="CX267" t="e">
        <f>Stock!R631+"'E4!/^u"</f>
        <v>#VALUE!</v>
      </c>
      <c r="CY267" s="333" t="e">
        <f>Stock!S631+"'E4!/^v"</f>
        <v>#VALUE!</v>
      </c>
      <c r="CZ267" s="333" t="e">
        <f>Stock!T631+"'E4!/^w"</f>
        <v>#VALUE!</v>
      </c>
      <c r="DA267" t="e">
        <f>Stock!V631+"'E4!/^x"</f>
        <v>#VALUE!</v>
      </c>
      <c r="DB267" t="e">
        <f>Stock!X631+"'E4!/^y"</f>
        <v>#VALUE!</v>
      </c>
      <c r="DC267" t="e">
        <f>Stock!Y631+"'E4!/^z"</f>
        <v>#VALUE!</v>
      </c>
      <c r="DD267" t="e">
        <f>Stock!N632+"'E4!/^{"</f>
        <v>#VALUE!</v>
      </c>
      <c r="DE267" t="e">
        <f>Stock!O632+"'E4!/^|"</f>
        <v>#VALUE!</v>
      </c>
      <c r="DF267" t="e">
        <f>Stock!P632+"'E4!/^}"</f>
        <v>#VALUE!</v>
      </c>
      <c r="DG267" t="e">
        <f>Stock!Q632+"'E4!/^~"</f>
        <v>#VALUE!</v>
      </c>
      <c r="DH267" t="e">
        <f>Stock!R632+"'E4!/_#"</f>
        <v>#VALUE!</v>
      </c>
      <c r="DI267" s="333" t="e">
        <f>Stock!S632+"'E4!/_$"</f>
        <v>#VALUE!</v>
      </c>
      <c r="DJ267" s="333" t="e">
        <f>Stock!T632+"'E4!/_%"</f>
        <v>#VALUE!</v>
      </c>
      <c r="DK267" t="e">
        <f>Stock!V632+"'E4!/_&amp;"</f>
        <v>#VALUE!</v>
      </c>
      <c r="DL267" t="e">
        <f>Stock!X632+"'E4!/_'"</f>
        <v>#VALUE!</v>
      </c>
      <c r="DM267" t="e">
        <f>Stock!Y632+"'E4!/_("</f>
        <v>#VALUE!</v>
      </c>
      <c r="DN267" t="e">
        <f>Stock!N633+"'E4!/_)"</f>
        <v>#VALUE!</v>
      </c>
      <c r="DO267" t="e">
        <f>Stock!O633+"'E4!/_."</f>
        <v>#VALUE!</v>
      </c>
      <c r="DP267" t="e">
        <f>Stock!P633+"'E4!/_/"</f>
        <v>#VALUE!</v>
      </c>
      <c r="DQ267" t="e">
        <f>Stock!Q633+"'E4!/_0"</f>
        <v>#VALUE!</v>
      </c>
      <c r="DR267" t="e">
        <f>Stock!R633+"'E4!/_1"</f>
        <v>#VALUE!</v>
      </c>
      <c r="DS267" s="333" t="e">
        <f>Stock!S633+"'E4!/_2"</f>
        <v>#VALUE!</v>
      </c>
      <c r="DT267" s="333" t="e">
        <f>Stock!T633+"'E4!/_3"</f>
        <v>#VALUE!</v>
      </c>
      <c r="DU267" t="e">
        <f>Stock!U633+"'E4!/_4"</f>
        <v>#VALUE!</v>
      </c>
      <c r="DV267" t="e">
        <f>Stock!V633+"'E4!/_5"</f>
        <v>#VALUE!</v>
      </c>
      <c r="DW267" t="e">
        <f>Stock!X633+"'E4!/_6"</f>
        <v>#VALUE!</v>
      </c>
      <c r="DX267" t="e">
        <f>Stock!Y633+"'E4!/_7"</f>
        <v>#VALUE!</v>
      </c>
      <c r="DY267" t="e">
        <f>Stock!N634+"'E4!/_8"</f>
        <v>#VALUE!</v>
      </c>
      <c r="DZ267" t="e">
        <f>Stock!O634+"'E4!/_9"</f>
        <v>#VALUE!</v>
      </c>
      <c r="EA267" t="e">
        <f>Stock!P634+"'E4!/_:"</f>
        <v>#VALUE!</v>
      </c>
      <c r="EB267" t="e">
        <f>Stock!Q634+"'E4!/_;"</f>
        <v>#VALUE!</v>
      </c>
      <c r="EC267" t="e">
        <f>Stock!R634+"'E4!/_&lt;"</f>
        <v>#VALUE!</v>
      </c>
      <c r="ED267" s="333" t="e">
        <f>Stock!S634+"'E4!/_="</f>
        <v>#VALUE!</v>
      </c>
      <c r="EE267" s="333" t="e">
        <f>Stock!T634+"'E4!/_&gt;"</f>
        <v>#VALUE!</v>
      </c>
      <c r="EF267" t="e">
        <f>Stock!U634+"'E4!/_?"</f>
        <v>#VALUE!</v>
      </c>
      <c r="EG267" t="e">
        <f>Stock!V634+"'E4!/_@"</f>
        <v>#VALUE!</v>
      </c>
      <c r="EH267" t="e">
        <f>Stock!X634+"'E4!/_A"</f>
        <v>#VALUE!</v>
      </c>
      <c r="EI267" t="e">
        <f>Stock!Y634+"'E4!/_B"</f>
        <v>#VALUE!</v>
      </c>
      <c r="EJ267" t="e">
        <f>Stock!N635+"'E4!/_C"</f>
        <v>#VALUE!</v>
      </c>
      <c r="EK267" t="e">
        <f>Stock!O635+"'E4!/_D"</f>
        <v>#VALUE!</v>
      </c>
      <c r="EL267" t="e">
        <f>Stock!P635+"'E4!/_E"</f>
        <v>#VALUE!</v>
      </c>
      <c r="EM267" t="e">
        <f>Stock!Q635+"'E4!/_F"</f>
        <v>#VALUE!</v>
      </c>
      <c r="EN267" t="e">
        <f>Stock!R635+"'E4!/_G"</f>
        <v>#VALUE!</v>
      </c>
      <c r="EO267" s="333" t="e">
        <f>Stock!S635+"'E4!/_H"</f>
        <v>#VALUE!</v>
      </c>
      <c r="EP267" s="333" t="e">
        <f>Stock!T635+"'E4!/_I"</f>
        <v>#VALUE!</v>
      </c>
      <c r="EQ267" t="e">
        <f>Stock!U635+"'E4!/_J"</f>
        <v>#VALUE!</v>
      </c>
      <c r="ER267" t="e">
        <f>Stock!V635+"'E4!/_K"</f>
        <v>#VALUE!</v>
      </c>
      <c r="ES267" t="e">
        <f>Stock!X635+"'E4!/_L"</f>
        <v>#VALUE!</v>
      </c>
      <c r="ET267" t="e">
        <f>Stock!Y635+"'E4!/_M"</f>
        <v>#VALUE!</v>
      </c>
      <c r="EU267" t="e">
        <f>Stock!N636+"'E4!/_N"</f>
        <v>#VALUE!</v>
      </c>
      <c r="EV267" t="e">
        <f>Stock!O636+"'E4!/_O"</f>
        <v>#VALUE!</v>
      </c>
      <c r="EW267" t="e">
        <f>Stock!P636+"'E4!/_P"</f>
        <v>#VALUE!</v>
      </c>
      <c r="EX267" t="e">
        <f>Stock!Q636+"'E4!/_Q"</f>
        <v>#VALUE!</v>
      </c>
      <c r="EY267" t="e">
        <f>Stock!R636+"'E4!/_R"</f>
        <v>#VALUE!</v>
      </c>
      <c r="EZ267" s="333" t="e">
        <f>Stock!S636+"'E4!/_S"</f>
        <v>#VALUE!</v>
      </c>
      <c r="FA267" s="333" t="e">
        <f>Stock!T636+"'E4!/_T"</f>
        <v>#VALUE!</v>
      </c>
      <c r="FB267" t="e">
        <f>Stock!U636+"'E4!/_U"</f>
        <v>#VALUE!</v>
      </c>
      <c r="FC267" t="e">
        <f>Stock!V636+"'E4!/_V"</f>
        <v>#VALUE!</v>
      </c>
      <c r="FD267" t="e">
        <f>Stock!X636+"'E4!/_W"</f>
        <v>#VALUE!</v>
      </c>
      <c r="FE267" t="e">
        <f>Stock!Y636+"'E4!/_X"</f>
        <v>#VALUE!</v>
      </c>
      <c r="FF267" t="e">
        <f>Stock!N637+"'E4!/_Y"</f>
        <v>#VALUE!</v>
      </c>
      <c r="FG267" t="e">
        <f>Stock!O637+"'E4!/_Z"</f>
        <v>#VALUE!</v>
      </c>
      <c r="FH267" t="e">
        <f>Stock!P637+"'E4!/_["</f>
        <v>#VALUE!</v>
      </c>
      <c r="FI267" t="e">
        <f>Stock!Q637+"'E4!/_\"</f>
        <v>#VALUE!</v>
      </c>
      <c r="FJ267" t="e">
        <f>Stock!R637+"'E4!/_]"</f>
        <v>#VALUE!</v>
      </c>
      <c r="FK267" s="333" t="e">
        <f>Stock!S637+"'E4!/_^"</f>
        <v>#VALUE!</v>
      </c>
      <c r="FL267" s="333" t="e">
        <f>Stock!T637+"'E4!/__"</f>
        <v>#VALUE!</v>
      </c>
      <c r="FM267" t="e">
        <f>Stock!U637+"'E4!/_`"</f>
        <v>#VALUE!</v>
      </c>
      <c r="FN267" t="e">
        <f>Stock!V637+"'E4!/_a"</f>
        <v>#VALUE!</v>
      </c>
      <c r="FO267" t="e">
        <f>Stock!X637+"'E4!/_b"</f>
        <v>#VALUE!</v>
      </c>
      <c r="FP267" t="e">
        <f>Stock!Y637+"'E4!/_c"</f>
        <v>#VALUE!</v>
      </c>
      <c r="FQ267" t="e">
        <f>Stock!N638+"'E4!/_d"</f>
        <v>#VALUE!</v>
      </c>
      <c r="FR267" t="e">
        <f>Stock!O638+"'E4!/_e"</f>
        <v>#VALUE!</v>
      </c>
      <c r="FS267" t="e">
        <f>Stock!P638+"'E4!/_f"</f>
        <v>#VALUE!</v>
      </c>
      <c r="FT267" t="e">
        <f>Stock!Q638+"'E4!/_g"</f>
        <v>#VALUE!</v>
      </c>
      <c r="FU267" t="e">
        <f>Stock!R638+"'E4!/_h"</f>
        <v>#VALUE!</v>
      </c>
      <c r="FV267" s="333" t="e">
        <f>Stock!S638+"'E4!/_i"</f>
        <v>#VALUE!</v>
      </c>
      <c r="FW267" s="333" t="e">
        <f>Stock!T638+"'E4!/_j"</f>
        <v>#VALUE!</v>
      </c>
      <c r="FX267" t="e">
        <f>Stock!U638+"'E4!/_k"</f>
        <v>#VALUE!</v>
      </c>
      <c r="FY267" t="e">
        <f>Stock!V638+"'E4!/_l"</f>
        <v>#VALUE!</v>
      </c>
      <c r="FZ267" t="e">
        <f>Stock!X638+"'E4!/_m"</f>
        <v>#VALUE!</v>
      </c>
      <c r="GA267" t="e">
        <f>Stock!Y638+"'E4!/_n"</f>
        <v>#VALUE!</v>
      </c>
      <c r="GB267" t="e">
        <f>Stock!N639+"'E4!/_o"</f>
        <v>#VALUE!</v>
      </c>
      <c r="GC267" t="e">
        <f>Stock!O639+"'E4!/_p"</f>
        <v>#VALUE!</v>
      </c>
      <c r="GD267" t="e">
        <f>Stock!P639+"'E4!/_q"</f>
        <v>#VALUE!</v>
      </c>
      <c r="GE267" t="e">
        <f>Stock!Q639+"'E4!/_r"</f>
        <v>#VALUE!</v>
      </c>
      <c r="GF267" t="e">
        <f>Stock!R639+"'E4!/_s"</f>
        <v>#VALUE!</v>
      </c>
      <c r="GG267" s="333" t="e">
        <f>Stock!S639+"'E4!/_t"</f>
        <v>#VALUE!</v>
      </c>
      <c r="GH267" s="333" t="e">
        <f>Stock!T639+"'E4!/_u"</f>
        <v>#VALUE!</v>
      </c>
      <c r="GI267" t="e">
        <f>Stock!U639+"'E4!/_v"</f>
        <v>#VALUE!</v>
      </c>
      <c r="GJ267" t="e">
        <f>Stock!V639+"'E4!/_w"</f>
        <v>#VALUE!</v>
      </c>
      <c r="GK267" t="e">
        <f>Stock!X639+"'E4!/_x"</f>
        <v>#VALUE!</v>
      </c>
      <c r="GL267" t="e">
        <f>Stock!Y639+"'E4!/_y"</f>
        <v>#VALUE!</v>
      </c>
      <c r="GM267" t="e">
        <f>Stock!N640+"'E4!/_z"</f>
        <v>#VALUE!</v>
      </c>
      <c r="GN267" t="e">
        <f>Stock!O640+"'E4!/_{"</f>
        <v>#VALUE!</v>
      </c>
      <c r="GO267" t="e">
        <f>Stock!P640+"'E4!/_|"</f>
        <v>#VALUE!</v>
      </c>
      <c r="GP267" t="e">
        <f>Stock!Q640+"'E4!/_}"</f>
        <v>#VALUE!</v>
      </c>
      <c r="GQ267" t="e">
        <f>Stock!R640+"'E4!/_~"</f>
        <v>#VALUE!</v>
      </c>
      <c r="GR267" s="333" t="e">
        <f>Stock!S640+"'E4!/`#"</f>
        <v>#VALUE!</v>
      </c>
      <c r="GS267" s="333" t="e">
        <f>Stock!T640+"'E4!/`$"</f>
        <v>#VALUE!</v>
      </c>
      <c r="GT267" t="e">
        <f>Stock!U640+"'E4!/`%"</f>
        <v>#VALUE!</v>
      </c>
      <c r="GU267" t="e">
        <f>Stock!V640+"'E4!/`&amp;"</f>
        <v>#VALUE!</v>
      </c>
      <c r="GV267" t="e">
        <f>Stock!X640+"'E4!/`'"</f>
        <v>#VALUE!</v>
      </c>
      <c r="GW267" t="e">
        <f>Stock!Y640+"'E4!/`("</f>
        <v>#VALUE!</v>
      </c>
      <c r="GX267" t="e">
        <f>Stock!N641+"'E4!/`)"</f>
        <v>#VALUE!</v>
      </c>
      <c r="GY267" t="e">
        <f>Stock!O641+"'E4!/`."</f>
        <v>#VALUE!</v>
      </c>
      <c r="GZ267" t="e">
        <f>Stock!P641+"'E4!/`/"</f>
        <v>#VALUE!</v>
      </c>
      <c r="HA267" t="e">
        <f>Stock!Q641+"'E4!/`0"</f>
        <v>#VALUE!</v>
      </c>
      <c r="HB267" t="e">
        <f>Stock!R641+"'E4!/`1"</f>
        <v>#VALUE!</v>
      </c>
      <c r="HC267" s="333" t="e">
        <f>Stock!S641+"'E4!/`2"</f>
        <v>#VALUE!</v>
      </c>
      <c r="HD267" s="333" t="e">
        <f>Stock!T641+"'E4!/`3"</f>
        <v>#VALUE!</v>
      </c>
      <c r="HE267" t="e">
        <f>Stock!U641+"'E4!/`4"</f>
        <v>#VALUE!</v>
      </c>
      <c r="HF267" t="e">
        <f>Stock!V641+"'E4!/`5"</f>
        <v>#VALUE!</v>
      </c>
      <c r="HG267" t="e">
        <f>Stock!X641+"'E4!/`6"</f>
        <v>#VALUE!</v>
      </c>
      <c r="HH267" t="e">
        <f>Stock!Y641+"'E4!/`7"</f>
        <v>#VALUE!</v>
      </c>
      <c r="HI267" t="e">
        <f>Stock!N642+"'E4!/`8"</f>
        <v>#VALUE!</v>
      </c>
      <c r="HJ267" t="e">
        <f>Stock!O642+"'E4!/`9"</f>
        <v>#VALUE!</v>
      </c>
      <c r="HK267" t="e">
        <f>Stock!P642+"'E4!/`:"</f>
        <v>#VALUE!</v>
      </c>
      <c r="HL267" t="e">
        <f>Stock!Q642+"'E4!/`;"</f>
        <v>#VALUE!</v>
      </c>
      <c r="HM267" t="e">
        <f>Stock!R642+"'E4!/`&lt;"</f>
        <v>#VALUE!</v>
      </c>
      <c r="HN267" s="333" t="e">
        <f>Stock!S642+"'E4!/`="</f>
        <v>#VALUE!</v>
      </c>
      <c r="HO267" s="333" t="e">
        <f>Stock!T642+"'E4!/`&gt;"</f>
        <v>#VALUE!</v>
      </c>
      <c r="HP267" t="e">
        <f>Stock!U642+"'E4!/`?"</f>
        <v>#VALUE!</v>
      </c>
      <c r="HQ267" t="e">
        <f>Stock!V642+"'E4!/`@"</f>
        <v>#VALUE!</v>
      </c>
      <c r="HR267" t="e">
        <f>Stock!X642+"'E4!/`A"</f>
        <v>#VALUE!</v>
      </c>
      <c r="HS267" t="e">
        <f>Stock!Y642+"'E4!/`B"</f>
        <v>#VALUE!</v>
      </c>
      <c r="HT267" t="e">
        <f>Stock!N643+"'E4!/`C"</f>
        <v>#VALUE!</v>
      </c>
      <c r="HU267" t="e">
        <f>Stock!O643+"'E4!/`D"</f>
        <v>#VALUE!</v>
      </c>
      <c r="HV267" t="e">
        <f>Stock!P643+"'E4!/`E"</f>
        <v>#VALUE!</v>
      </c>
      <c r="HW267" t="e">
        <f>Stock!Q643+"'E4!/`F"</f>
        <v>#VALUE!</v>
      </c>
      <c r="HX267" t="e">
        <f>Stock!R643+"'E4!/`G"</f>
        <v>#VALUE!</v>
      </c>
      <c r="HY267" s="333" t="e">
        <f>Stock!S643+"'E4!/`H"</f>
        <v>#VALUE!</v>
      </c>
      <c r="HZ267" s="333" t="e">
        <f>Stock!T643+"'E4!/`I"</f>
        <v>#VALUE!</v>
      </c>
      <c r="IA267" t="e">
        <f>Stock!U643+"'E4!/`J"</f>
        <v>#VALUE!</v>
      </c>
      <c r="IB267" t="e">
        <f>Stock!V643+"'E4!/`K"</f>
        <v>#VALUE!</v>
      </c>
      <c r="IC267" t="e">
        <f>Stock!X643+"'E4!/`L"</f>
        <v>#VALUE!</v>
      </c>
      <c r="ID267" t="e">
        <f>Stock!Y643+"'E4!/`M"</f>
        <v>#VALUE!</v>
      </c>
      <c r="IE267" t="e">
        <f>Stock!N644+"'E4!/`N"</f>
        <v>#VALUE!</v>
      </c>
      <c r="IF267" t="e">
        <f>Stock!O644+"'E4!/`O"</f>
        <v>#VALUE!</v>
      </c>
      <c r="IG267" t="e">
        <f>Stock!P644+"'E4!/`P"</f>
        <v>#VALUE!</v>
      </c>
      <c r="IH267" t="e">
        <f>Stock!Q644+"'E4!/`Q"</f>
        <v>#VALUE!</v>
      </c>
      <c r="II267" t="e">
        <f>Stock!R644+"'E4!/`R"</f>
        <v>#VALUE!</v>
      </c>
      <c r="IJ267" s="333" t="e">
        <f>Stock!S644+"'E4!/`S"</f>
        <v>#VALUE!</v>
      </c>
      <c r="IK267" s="333" t="e">
        <f>Stock!T644+"'E4!/`T"</f>
        <v>#VALUE!</v>
      </c>
      <c r="IL267" t="e">
        <f>Stock!U644+"'E4!/`U"</f>
        <v>#VALUE!</v>
      </c>
      <c r="IM267" t="e">
        <f>Stock!V644+"'E4!/`V"</f>
        <v>#VALUE!</v>
      </c>
      <c r="IN267" t="e">
        <f>Stock!W644+"'E4!/`W"</f>
        <v>#VALUE!</v>
      </c>
      <c r="IO267" t="e">
        <f>Stock!X644+"'E4!/`X"</f>
        <v>#VALUE!</v>
      </c>
      <c r="IP267" t="e">
        <f>Stock!Y644+"'E4!/`Y"</f>
        <v>#VALUE!</v>
      </c>
      <c r="IQ267" t="e">
        <f>Stock!N645+"'E4!/`Z"</f>
        <v>#VALUE!</v>
      </c>
      <c r="IR267" t="e">
        <f>Stock!O645+"'E4!/`["</f>
        <v>#VALUE!</v>
      </c>
      <c r="IS267" t="e">
        <f>Stock!P645+"'E4!/`\"</f>
        <v>#VALUE!</v>
      </c>
      <c r="IT267" t="e">
        <f>Stock!Q645+"'E4!/`]"</f>
        <v>#VALUE!</v>
      </c>
      <c r="IU267" t="e">
        <f>Stock!R645+"'E4!/`^"</f>
        <v>#VALUE!</v>
      </c>
      <c r="IV267" s="333" t="e">
        <f>Stock!S645+"'E4!/`_"</f>
        <v>#VALUE!</v>
      </c>
    </row>
    <row r="268" spans="6:256">
      <c r="F268" s="333" t="e">
        <f>Stock!T645+"'E4!/``"</f>
        <v>#VALUE!</v>
      </c>
      <c r="G268" t="e">
        <f>Stock!U645+"'E4!/`a"</f>
        <v>#VALUE!</v>
      </c>
      <c r="H268" t="e">
        <f>Stock!V645+"'E4!/`b"</f>
        <v>#VALUE!</v>
      </c>
      <c r="I268" t="e">
        <f>Stock!X645+"'E4!/`c"</f>
        <v>#VALUE!</v>
      </c>
      <c r="J268" t="e">
        <f>Stock!Y645+"'E4!/`d"</f>
        <v>#VALUE!</v>
      </c>
      <c r="K268" t="e">
        <f>Stock!N646+"'E4!/`e"</f>
        <v>#VALUE!</v>
      </c>
      <c r="L268" t="e">
        <f>Stock!O646+"'E4!/`f"</f>
        <v>#VALUE!</v>
      </c>
      <c r="M268" t="e">
        <f>Stock!P646+"'E4!/`g"</f>
        <v>#VALUE!</v>
      </c>
      <c r="N268" t="e">
        <f>Stock!Q646+"'E4!/`h"</f>
        <v>#VALUE!</v>
      </c>
      <c r="O268" t="e">
        <f>Stock!R646+"'E4!/`i"</f>
        <v>#VALUE!</v>
      </c>
      <c r="P268" s="333" t="e">
        <f>Stock!S646+"'E4!/`j"</f>
        <v>#VALUE!</v>
      </c>
      <c r="Q268" s="333" t="e">
        <f>Stock!T646+"'E4!/`k"</f>
        <v>#VALUE!</v>
      </c>
      <c r="R268" t="e">
        <f>Stock!U646+"'E4!/`l"</f>
        <v>#VALUE!</v>
      </c>
      <c r="S268" t="e">
        <f>Stock!V646+"'E4!/`m"</f>
        <v>#VALUE!</v>
      </c>
      <c r="T268" t="e">
        <f>Stock!X646+"'E4!/`n"</f>
        <v>#VALUE!</v>
      </c>
      <c r="U268" t="e">
        <f>Stock!Y646+"'E4!/`o"</f>
        <v>#VALUE!</v>
      </c>
      <c r="V268" t="e">
        <f>Stock!N647+"'E4!/`p"</f>
        <v>#VALUE!</v>
      </c>
      <c r="W268" t="e">
        <f>Stock!O647+"'E4!/`q"</f>
        <v>#VALUE!</v>
      </c>
      <c r="X268" t="e">
        <f>Stock!P647+"'E4!/`r"</f>
        <v>#VALUE!</v>
      </c>
      <c r="Y268" t="e">
        <f>Stock!Q647+"'E4!/`s"</f>
        <v>#VALUE!</v>
      </c>
      <c r="Z268" t="e">
        <f>Stock!R647+"'E4!/`t"</f>
        <v>#VALUE!</v>
      </c>
      <c r="AA268" s="333" t="e">
        <f>Stock!S647+"'E4!/`u"</f>
        <v>#VALUE!</v>
      </c>
      <c r="AB268" s="333" t="e">
        <f>Stock!T647+"'E4!/`v"</f>
        <v>#VALUE!</v>
      </c>
      <c r="AC268" t="e">
        <f>Stock!U647+"'E4!/`w"</f>
        <v>#VALUE!</v>
      </c>
      <c r="AD268" t="e">
        <f>Stock!V647+"'E4!/`x"</f>
        <v>#VALUE!</v>
      </c>
      <c r="AE268" t="e">
        <f>Stock!X647+"'E4!/`y"</f>
        <v>#VALUE!</v>
      </c>
      <c r="AF268" t="e">
        <f>Stock!Y647+"'E4!/`z"</f>
        <v>#VALUE!</v>
      </c>
      <c r="AG268" t="e">
        <f>Stock!N648+"'E4!/`{"</f>
        <v>#VALUE!</v>
      </c>
      <c r="AH268" t="e">
        <f>Stock!O648+"'E4!/`|"</f>
        <v>#VALUE!</v>
      </c>
      <c r="AI268" t="e">
        <f>Stock!P648+"'E4!/`}"</f>
        <v>#VALUE!</v>
      </c>
      <c r="AJ268" t="e">
        <f>Stock!Q648+"'E4!/`~"</f>
        <v>#VALUE!</v>
      </c>
      <c r="AK268" t="e">
        <f>Stock!R648+"'E4!/a#"</f>
        <v>#VALUE!</v>
      </c>
      <c r="AL268" s="333" t="e">
        <f>Stock!S648+"'E4!/a$"</f>
        <v>#VALUE!</v>
      </c>
      <c r="AM268" s="333" t="e">
        <f>Stock!T648+"'E4!/a%"</f>
        <v>#VALUE!</v>
      </c>
      <c r="AN268" t="e">
        <f>Stock!U648+"'E4!/a&amp;"</f>
        <v>#VALUE!</v>
      </c>
      <c r="AO268" t="e">
        <f>Stock!V648+"'E4!/a'"</f>
        <v>#VALUE!</v>
      </c>
      <c r="AP268" t="e">
        <f>Stock!X648+"'E4!/a("</f>
        <v>#VALUE!</v>
      </c>
      <c r="AQ268" t="e">
        <f>Stock!Y648+"'E4!/a)"</f>
        <v>#VALUE!</v>
      </c>
      <c r="AR268" t="e">
        <f>Stock!N649+"'E4!/a."</f>
        <v>#VALUE!</v>
      </c>
      <c r="AS268" t="e">
        <f>Stock!O649+"'E4!/a/"</f>
        <v>#VALUE!</v>
      </c>
      <c r="AT268" t="e">
        <f>Stock!P649+"'E4!/a0"</f>
        <v>#VALUE!</v>
      </c>
      <c r="AU268" t="e">
        <f>Stock!Q649+"'E4!/a1"</f>
        <v>#VALUE!</v>
      </c>
      <c r="AV268" t="e">
        <f>Stock!R649+"'E4!/a2"</f>
        <v>#VALUE!</v>
      </c>
      <c r="AW268" s="333" t="e">
        <f>Stock!S649+"'E4!/a3"</f>
        <v>#VALUE!</v>
      </c>
      <c r="AX268" s="333" t="e">
        <f>Stock!T649+"'E4!/a4"</f>
        <v>#VALUE!</v>
      </c>
      <c r="AY268" t="e">
        <f>Stock!U649+"'E4!/a5"</f>
        <v>#VALUE!</v>
      </c>
      <c r="AZ268" t="e">
        <f>Stock!V649+"'E4!/a6"</f>
        <v>#VALUE!</v>
      </c>
      <c r="BA268" t="e">
        <f>Stock!X649+"'E4!/a7"</f>
        <v>#VALUE!</v>
      </c>
      <c r="BB268" t="e">
        <f>Stock!Y649+"'E4!/a8"</f>
        <v>#VALUE!</v>
      </c>
      <c r="BC268" t="e">
        <f>Stock!N650+"'E4!/a9"</f>
        <v>#VALUE!</v>
      </c>
      <c r="BD268" t="e">
        <f>Stock!O650+"'E4!/a:"</f>
        <v>#VALUE!</v>
      </c>
      <c r="BE268" t="e">
        <f>Stock!P650+"'E4!/a;"</f>
        <v>#VALUE!</v>
      </c>
      <c r="BF268" t="e">
        <f>Stock!Q650+"'E4!/a&lt;"</f>
        <v>#VALUE!</v>
      </c>
      <c r="BG268" t="e">
        <f>Stock!R650+"'E4!/a="</f>
        <v>#VALUE!</v>
      </c>
      <c r="BH268" s="333" t="e">
        <f>Stock!S650+"'E4!/a&gt;"</f>
        <v>#VALUE!</v>
      </c>
      <c r="BI268" s="333" t="e">
        <f>Stock!T650+"'E4!/a?"</f>
        <v>#VALUE!</v>
      </c>
      <c r="BJ268" t="e">
        <f>Stock!U650+"'E4!/a@"</f>
        <v>#VALUE!</v>
      </c>
      <c r="BK268" t="e">
        <f>Stock!V650+"'E4!/aA"</f>
        <v>#VALUE!</v>
      </c>
      <c r="BL268" t="e">
        <f>Stock!W650+"'E4!/aB"</f>
        <v>#VALUE!</v>
      </c>
      <c r="BM268" t="e">
        <f>Stock!X650+"'E4!/aC"</f>
        <v>#VALUE!</v>
      </c>
      <c r="BN268" t="e">
        <f>Stock!Y650+"'E4!/aD"</f>
        <v>#VALUE!</v>
      </c>
      <c r="BO268" t="e">
        <f>Stock!N651+"'E4!/aE"</f>
        <v>#VALUE!</v>
      </c>
      <c r="BP268" t="e">
        <f>Stock!O651+"'E4!/aF"</f>
        <v>#VALUE!</v>
      </c>
      <c r="BQ268" t="e">
        <f>Stock!P651+"'E4!/aG"</f>
        <v>#VALUE!</v>
      </c>
      <c r="BR268" t="e">
        <f>Stock!Q651+"'E4!/aH"</f>
        <v>#VALUE!</v>
      </c>
      <c r="BS268" t="e">
        <f>Stock!R651+"'E4!/aI"</f>
        <v>#VALUE!</v>
      </c>
      <c r="BT268" s="333" t="e">
        <f>Stock!S651+"'E4!/aJ"</f>
        <v>#VALUE!</v>
      </c>
      <c r="BU268" s="333" t="e">
        <f>Stock!T651+"'E4!/aK"</f>
        <v>#VALUE!</v>
      </c>
      <c r="BV268" t="e">
        <f>Stock!U651+"'E4!/aL"</f>
        <v>#VALUE!</v>
      </c>
      <c r="BW268" t="e">
        <f>Stock!V651+"'E4!/aM"</f>
        <v>#VALUE!</v>
      </c>
      <c r="BX268" t="e">
        <f>Stock!W651+"'E4!/aN"</f>
        <v>#VALUE!</v>
      </c>
      <c r="BY268" t="e">
        <f>Stock!X651+"'E4!/aO"</f>
        <v>#VALUE!</v>
      </c>
      <c r="BZ268" t="e">
        <f>Stock!Y651+"'E4!/aP"</f>
        <v>#VALUE!</v>
      </c>
      <c r="CA268" t="e">
        <f>Stock!N652+"'E4!/aQ"</f>
        <v>#VALUE!</v>
      </c>
      <c r="CB268" t="e">
        <f>Stock!O652+"'E4!/aR"</f>
        <v>#VALUE!</v>
      </c>
      <c r="CC268" t="e">
        <f>Stock!P652+"'E4!/aS"</f>
        <v>#VALUE!</v>
      </c>
      <c r="CD268" t="e">
        <f>Stock!Q652+"'E4!/aT"</f>
        <v>#VALUE!</v>
      </c>
      <c r="CE268" t="e">
        <f>Stock!R652+"'E4!/aU"</f>
        <v>#VALUE!</v>
      </c>
      <c r="CF268" s="333" t="e">
        <f>Stock!S652+"'E4!/aV"</f>
        <v>#VALUE!</v>
      </c>
      <c r="CG268" s="333" t="e">
        <f>Stock!T652+"'E4!/aW"</f>
        <v>#VALUE!</v>
      </c>
      <c r="CH268" t="e">
        <f>Stock!U652+"'E4!/aX"</f>
        <v>#VALUE!</v>
      </c>
      <c r="CI268" t="e">
        <f>Stock!V652+"'E4!/aY"</f>
        <v>#VALUE!</v>
      </c>
      <c r="CJ268" t="e">
        <f>Stock!X652+"'E4!/aZ"</f>
        <v>#VALUE!</v>
      </c>
      <c r="CK268" t="e">
        <f>Stock!Y652+"'E4!/a["</f>
        <v>#VALUE!</v>
      </c>
      <c r="CL268" t="e">
        <f>Stock!N653+"'E4!/a\"</f>
        <v>#VALUE!</v>
      </c>
      <c r="CM268" t="e">
        <f>Stock!O653+"'E4!/a]"</f>
        <v>#VALUE!</v>
      </c>
      <c r="CN268" t="e">
        <f>Stock!P653+"'E4!/a^"</f>
        <v>#VALUE!</v>
      </c>
      <c r="CO268" t="e">
        <f>Stock!Q653+"'E4!/a_"</f>
        <v>#VALUE!</v>
      </c>
      <c r="CP268" t="e">
        <f>Stock!R653+"'E4!/a`"</f>
        <v>#VALUE!</v>
      </c>
      <c r="CQ268" s="333" t="e">
        <f>Stock!S653+"'E4!/aa"</f>
        <v>#VALUE!</v>
      </c>
      <c r="CR268" s="333" t="e">
        <f>Stock!T653+"'E4!/ab"</f>
        <v>#VALUE!</v>
      </c>
      <c r="CS268" t="e">
        <f>Stock!U653+"'E4!/ac"</f>
        <v>#VALUE!</v>
      </c>
      <c r="CT268" t="e">
        <f>Stock!V653+"'E4!/ad"</f>
        <v>#VALUE!</v>
      </c>
      <c r="CU268" t="e">
        <f>Stock!X653+"'E4!/ae"</f>
        <v>#VALUE!</v>
      </c>
      <c r="CV268" t="e">
        <f>Stock!Y653+"'E4!/af"</f>
        <v>#VALUE!</v>
      </c>
      <c r="CW268" t="e">
        <f>Stock!N654+"'E4!/ag"</f>
        <v>#VALUE!</v>
      </c>
      <c r="CX268" t="e">
        <f>Stock!O654+"'E4!/ah"</f>
        <v>#VALUE!</v>
      </c>
      <c r="CY268" t="e">
        <f>Stock!P654+"'E4!/ai"</f>
        <v>#VALUE!</v>
      </c>
      <c r="CZ268" t="e">
        <f>Stock!Q654+"'E4!/aj"</f>
        <v>#VALUE!</v>
      </c>
      <c r="DA268" t="e">
        <f>Stock!R654+"'E4!/ak"</f>
        <v>#VALUE!</v>
      </c>
      <c r="DB268" s="333" t="e">
        <f>Stock!S654+"'E4!/al"</f>
        <v>#VALUE!</v>
      </c>
      <c r="DC268" s="333" t="e">
        <f>Stock!T654+"'E4!/am"</f>
        <v>#VALUE!</v>
      </c>
      <c r="DD268" t="e">
        <f>Stock!U654+"'E4!/an"</f>
        <v>#VALUE!</v>
      </c>
      <c r="DE268" t="e">
        <f>Stock!V654+"'E4!/ao"</f>
        <v>#VALUE!</v>
      </c>
      <c r="DF268" t="e">
        <f>Stock!X654+"'E4!/ap"</f>
        <v>#VALUE!</v>
      </c>
      <c r="DG268" t="e">
        <f>Stock!Y654+"'E4!/aq"</f>
        <v>#VALUE!</v>
      </c>
      <c r="DH268" t="e">
        <f>Stock!N655+"'E4!/ar"</f>
        <v>#VALUE!</v>
      </c>
      <c r="DI268" t="e">
        <f>Stock!O655+"'E4!/as"</f>
        <v>#VALUE!</v>
      </c>
      <c r="DJ268" t="e">
        <f>Stock!P655+"'E4!/at"</f>
        <v>#VALUE!</v>
      </c>
      <c r="DK268" t="e">
        <f>Stock!Q655+"'E4!/au"</f>
        <v>#VALUE!</v>
      </c>
      <c r="DL268" t="e">
        <f>Stock!R655+"'E4!/av"</f>
        <v>#VALUE!</v>
      </c>
      <c r="DM268" s="333" t="e">
        <f>Stock!S655+"'E4!/aw"</f>
        <v>#VALUE!</v>
      </c>
      <c r="DN268" s="333" t="e">
        <f>Stock!T655+"'E4!/ax"</f>
        <v>#VALUE!</v>
      </c>
      <c r="DO268" t="e">
        <f>Stock!U655+"'E4!/ay"</f>
        <v>#VALUE!</v>
      </c>
      <c r="DP268" t="e">
        <f>Stock!V655+"'E4!/az"</f>
        <v>#VALUE!</v>
      </c>
      <c r="DQ268" t="e">
        <f>Stock!X655+"'E4!/a{"</f>
        <v>#VALUE!</v>
      </c>
      <c r="DR268" t="e">
        <f>Stock!Y655+"'E4!/a|"</f>
        <v>#VALUE!</v>
      </c>
      <c r="DS268" t="e">
        <f>Stock!N656+"'E4!/a}"</f>
        <v>#VALUE!</v>
      </c>
      <c r="DT268" t="e">
        <f>Stock!O656+"'E4!/a~"</f>
        <v>#VALUE!</v>
      </c>
      <c r="DU268" t="e">
        <f>Stock!P656+"'E4!/b#"</f>
        <v>#VALUE!</v>
      </c>
      <c r="DV268" t="e">
        <f>Stock!Q656+"'E4!/b$"</f>
        <v>#VALUE!</v>
      </c>
      <c r="DW268" t="e">
        <f>Stock!R656+"'E4!/b%"</f>
        <v>#VALUE!</v>
      </c>
      <c r="DX268" s="333" t="e">
        <f>Stock!S656+"'E4!/b&amp;"</f>
        <v>#VALUE!</v>
      </c>
      <c r="DY268" s="333" t="e">
        <f>Stock!T656+"'E4!/b'"</f>
        <v>#VALUE!</v>
      </c>
      <c r="DZ268" t="e">
        <f>Stock!U656+"'E4!/b("</f>
        <v>#VALUE!</v>
      </c>
      <c r="EA268" t="e">
        <f>Stock!V656+"'E4!/b)"</f>
        <v>#VALUE!</v>
      </c>
      <c r="EB268" t="e">
        <f>Stock!X656+"'E4!/b."</f>
        <v>#VALUE!</v>
      </c>
      <c r="EC268" t="e">
        <f>Stock!Y656+"'E4!/b/"</f>
        <v>#VALUE!</v>
      </c>
      <c r="ED268" t="e">
        <f>Stock!N657+"'E4!/b0"</f>
        <v>#VALUE!</v>
      </c>
      <c r="EE268" t="e">
        <f>Stock!O657+"'E4!/b1"</f>
        <v>#VALUE!</v>
      </c>
      <c r="EF268" t="e">
        <f>Stock!P657+"'E4!/b2"</f>
        <v>#VALUE!</v>
      </c>
      <c r="EG268" t="e">
        <f>Stock!Q657+"'E4!/b3"</f>
        <v>#VALUE!</v>
      </c>
      <c r="EH268" t="e">
        <f>Stock!R657+"'E4!/b4"</f>
        <v>#VALUE!</v>
      </c>
      <c r="EI268" s="333" t="e">
        <f>Stock!S657+"'E4!/b5"</f>
        <v>#VALUE!</v>
      </c>
      <c r="EJ268" s="333" t="e">
        <f>Stock!T657+"'E4!/b6"</f>
        <v>#VALUE!</v>
      </c>
      <c r="EK268" t="e">
        <f>Stock!U657+"'E4!/b7"</f>
        <v>#VALUE!</v>
      </c>
      <c r="EL268" t="e">
        <f>Stock!V657+"'E4!/b8"</f>
        <v>#VALUE!</v>
      </c>
      <c r="EM268" t="e">
        <f>Stock!X657+"'E4!/b9"</f>
        <v>#VALUE!</v>
      </c>
      <c r="EN268" t="e">
        <f>Stock!Y657+"'E4!/b:"</f>
        <v>#VALUE!</v>
      </c>
      <c r="EO268" t="e">
        <f>Stock!N658+"'E4!/b;"</f>
        <v>#VALUE!</v>
      </c>
      <c r="EP268" t="e">
        <f>Stock!O658+"'E4!/b&lt;"</f>
        <v>#VALUE!</v>
      </c>
      <c r="EQ268" t="e">
        <f>Stock!P658+"'E4!/b="</f>
        <v>#VALUE!</v>
      </c>
      <c r="ER268" t="e">
        <f>Stock!Q658+"'E4!/b&gt;"</f>
        <v>#VALUE!</v>
      </c>
      <c r="ES268" t="e">
        <f>Stock!R658+"'E4!/b?"</f>
        <v>#VALUE!</v>
      </c>
      <c r="ET268" s="333" t="e">
        <f>Stock!S658+"'E4!/b@"</f>
        <v>#VALUE!</v>
      </c>
      <c r="EU268" s="333" t="e">
        <f>Stock!T658+"'E4!/bA"</f>
        <v>#VALUE!</v>
      </c>
      <c r="EV268" t="e">
        <f>Stock!U658+"'E4!/bB"</f>
        <v>#VALUE!</v>
      </c>
      <c r="EW268" t="e">
        <f>Stock!V658+"'E4!/bC"</f>
        <v>#VALUE!</v>
      </c>
      <c r="EX268" t="e">
        <f>Stock!X658+"'E4!/bD"</f>
        <v>#VALUE!</v>
      </c>
      <c r="EY268" t="e">
        <f>Stock!Y658+"'E4!/bE"</f>
        <v>#VALUE!</v>
      </c>
      <c r="EZ268" t="e">
        <f>Stock!N659+"'E4!/bF"</f>
        <v>#VALUE!</v>
      </c>
      <c r="FA268" t="e">
        <f>Stock!O659+"'E4!/bG"</f>
        <v>#VALUE!</v>
      </c>
      <c r="FB268" t="e">
        <f>Stock!P659+"'E4!/bH"</f>
        <v>#VALUE!</v>
      </c>
      <c r="FC268" t="e">
        <f>Stock!Q659+"'E4!/bI"</f>
        <v>#VALUE!</v>
      </c>
      <c r="FD268" t="e">
        <f>Stock!R659+"'E4!/bJ"</f>
        <v>#VALUE!</v>
      </c>
      <c r="FE268" s="333" t="e">
        <f>Stock!S659+"'E4!/bK"</f>
        <v>#VALUE!</v>
      </c>
      <c r="FF268" s="333" t="e">
        <f>Stock!T659+"'E4!/bL"</f>
        <v>#VALUE!</v>
      </c>
      <c r="FG268" t="e">
        <f>Stock!U659+"'E4!/bM"</f>
        <v>#VALUE!</v>
      </c>
      <c r="FH268" t="e">
        <f>Stock!V659+"'E4!/bN"</f>
        <v>#VALUE!</v>
      </c>
      <c r="FI268" t="e">
        <f>Stock!X659+"'E4!/bO"</f>
        <v>#VALUE!</v>
      </c>
      <c r="FJ268" t="e">
        <f>Stock!Y659+"'E4!/bP"</f>
        <v>#VALUE!</v>
      </c>
      <c r="FK268" t="e">
        <f>Stock!N660+"'E4!/bQ"</f>
        <v>#VALUE!</v>
      </c>
      <c r="FL268" t="e">
        <f>Stock!O660+"'E4!/bR"</f>
        <v>#VALUE!</v>
      </c>
      <c r="FM268" t="e">
        <f>Stock!P660+"'E4!/bS"</f>
        <v>#VALUE!</v>
      </c>
      <c r="FN268" t="e">
        <f>Stock!Q660+"'E4!/bT"</f>
        <v>#VALUE!</v>
      </c>
      <c r="FO268" t="e">
        <f>Stock!R660+"'E4!/bU"</f>
        <v>#VALUE!</v>
      </c>
      <c r="FP268" s="333" t="e">
        <f>Stock!S660+"'E4!/bV"</f>
        <v>#VALUE!</v>
      </c>
      <c r="FQ268" s="333" t="e">
        <f>Stock!T660+"'E4!/bW"</f>
        <v>#VALUE!</v>
      </c>
      <c r="FR268" t="e">
        <f>Stock!U660+"'E4!/bX"</f>
        <v>#VALUE!</v>
      </c>
      <c r="FS268" t="e">
        <f>Stock!V660+"'E4!/bY"</f>
        <v>#VALUE!</v>
      </c>
      <c r="FT268" t="e">
        <f>Stock!X660+"'E4!/bZ"</f>
        <v>#VALUE!</v>
      </c>
      <c r="FU268" t="e">
        <f>Stock!Y660+"'E4!/b["</f>
        <v>#VALUE!</v>
      </c>
      <c r="FV268" t="e">
        <f>Stock!N661+"'E4!/b\"</f>
        <v>#VALUE!</v>
      </c>
      <c r="FW268" t="e">
        <f>Stock!O661+"'E4!/b]"</f>
        <v>#VALUE!</v>
      </c>
      <c r="FX268" t="e">
        <f>Stock!P661+"'E4!/b^"</f>
        <v>#VALUE!</v>
      </c>
      <c r="FY268" t="e">
        <f>Stock!Q661+"'E4!/b_"</f>
        <v>#VALUE!</v>
      </c>
      <c r="FZ268" t="e">
        <f>Stock!R661+"'E4!/b`"</f>
        <v>#VALUE!</v>
      </c>
      <c r="GA268" s="333" t="e">
        <f>Stock!S661+"'E4!/ba"</f>
        <v>#VALUE!</v>
      </c>
      <c r="GB268" s="333" t="e">
        <f>Stock!T661+"'E4!/bb"</f>
        <v>#VALUE!</v>
      </c>
      <c r="GC268" t="e">
        <f>Stock!U661+"'E4!/bc"</f>
        <v>#VALUE!</v>
      </c>
      <c r="GD268" t="e">
        <f>Stock!V661+"'E4!/bd"</f>
        <v>#VALUE!</v>
      </c>
      <c r="GE268" t="e">
        <f>Stock!X661+"'E4!/be"</f>
        <v>#VALUE!</v>
      </c>
      <c r="GF268" t="e">
        <f>Stock!Y661+"'E4!/bf"</f>
        <v>#VALUE!</v>
      </c>
      <c r="GG268" t="e">
        <f>Stock!N662+"'E4!/bg"</f>
        <v>#VALUE!</v>
      </c>
      <c r="GH268" t="e">
        <f>Stock!O662+"'E4!/bh"</f>
        <v>#VALUE!</v>
      </c>
      <c r="GI268" t="e">
        <f>Stock!P662+"'E4!/bi"</f>
        <v>#VALUE!</v>
      </c>
      <c r="GJ268" t="e">
        <f>Stock!Q662+"'E4!/bj"</f>
        <v>#VALUE!</v>
      </c>
      <c r="GK268" t="e">
        <f>Stock!R662+"'E4!/bk"</f>
        <v>#VALUE!</v>
      </c>
      <c r="GL268" s="333" t="e">
        <f>Stock!S662+"'E4!/bl"</f>
        <v>#VALUE!</v>
      </c>
      <c r="GM268" s="333" t="e">
        <f>Stock!T662+"'E4!/bm"</f>
        <v>#VALUE!</v>
      </c>
      <c r="GN268" t="e">
        <f>Stock!U662+"'E4!/bn"</f>
        <v>#VALUE!</v>
      </c>
      <c r="GO268" t="e">
        <f>Stock!V662+"'E4!/bo"</f>
        <v>#VALUE!</v>
      </c>
      <c r="GP268" t="e">
        <f>Stock!X662+"'E4!/bp"</f>
        <v>#VALUE!</v>
      </c>
      <c r="GQ268" t="e">
        <f>Stock!Y662+"'E4!/bq"</f>
        <v>#VALUE!</v>
      </c>
      <c r="GR268" t="e">
        <f>Stock!N663+"'E4!/br"</f>
        <v>#VALUE!</v>
      </c>
      <c r="GS268" t="e">
        <f>Stock!O663+"'E4!/bs"</f>
        <v>#VALUE!</v>
      </c>
      <c r="GT268" t="e">
        <f>Stock!P663+"'E4!/bt"</f>
        <v>#VALUE!</v>
      </c>
      <c r="GU268" t="e">
        <f>Stock!Q663+"'E4!/bu"</f>
        <v>#VALUE!</v>
      </c>
      <c r="GV268" t="e">
        <f>Stock!R663+"'E4!/bv"</f>
        <v>#VALUE!</v>
      </c>
      <c r="GW268" s="333" t="e">
        <f>Stock!S663+"'E4!/bw"</f>
        <v>#VALUE!</v>
      </c>
      <c r="GX268" s="333" t="e">
        <f>Stock!T663+"'E4!/bx"</f>
        <v>#VALUE!</v>
      </c>
      <c r="GY268" t="e">
        <f>Stock!U663+"'E4!/by"</f>
        <v>#VALUE!</v>
      </c>
      <c r="GZ268" t="e">
        <f>Stock!V663+"'E4!/bz"</f>
        <v>#VALUE!</v>
      </c>
      <c r="HA268" t="e">
        <f>Stock!X663+"'E4!/b{"</f>
        <v>#VALUE!</v>
      </c>
      <c r="HB268" t="e">
        <f>Stock!Y663+"'E4!/b|"</f>
        <v>#VALUE!</v>
      </c>
      <c r="HC268" t="e">
        <f>Stock!N664+"'E4!/b}"</f>
        <v>#VALUE!</v>
      </c>
      <c r="HD268" t="e">
        <f>Stock!O664+"'E4!/b~"</f>
        <v>#VALUE!</v>
      </c>
      <c r="HE268" t="e">
        <f>Stock!P664+"'E4!/c#"</f>
        <v>#VALUE!</v>
      </c>
      <c r="HF268" t="e">
        <f>Stock!Q664+"'E4!/c$"</f>
        <v>#VALUE!</v>
      </c>
      <c r="HG268" t="e">
        <f>Stock!R664+"'E4!/c%"</f>
        <v>#VALUE!</v>
      </c>
      <c r="HH268" s="333" t="e">
        <f>Stock!S664+"'E4!/c&amp;"</f>
        <v>#VALUE!</v>
      </c>
      <c r="HI268" s="333" t="e">
        <f>Stock!T664+"'E4!/c'"</f>
        <v>#VALUE!</v>
      </c>
      <c r="HJ268" t="e">
        <f>Stock!U664+"'E4!/c("</f>
        <v>#VALUE!</v>
      </c>
      <c r="HK268" t="e">
        <f>Stock!V664+"'E4!/c)"</f>
        <v>#VALUE!</v>
      </c>
      <c r="HL268" t="e">
        <f>Stock!X664+"'E4!/c."</f>
        <v>#VALUE!</v>
      </c>
      <c r="HM268" t="e">
        <f>Stock!Y664+"'E4!/c/"</f>
        <v>#VALUE!</v>
      </c>
      <c r="HN268" t="e">
        <f>Stock!N665+"'E4!/c0"</f>
        <v>#VALUE!</v>
      </c>
      <c r="HO268" t="e">
        <f>Stock!O665+"'E4!/c1"</f>
        <v>#VALUE!</v>
      </c>
      <c r="HP268" t="e">
        <f>Stock!P665+"'E4!/c2"</f>
        <v>#VALUE!</v>
      </c>
      <c r="HQ268" t="e">
        <f>Stock!Q665+"'E4!/c3"</f>
        <v>#VALUE!</v>
      </c>
      <c r="HR268" t="e">
        <f>Stock!R665+"'E4!/c4"</f>
        <v>#VALUE!</v>
      </c>
      <c r="HS268" s="333" t="e">
        <f>Stock!S665+"'E4!/c5"</f>
        <v>#VALUE!</v>
      </c>
      <c r="HT268" s="333" t="e">
        <f>Stock!T665+"'E4!/c6"</f>
        <v>#VALUE!</v>
      </c>
      <c r="HU268" t="e">
        <f>Stock!U665+"'E4!/c7"</f>
        <v>#VALUE!</v>
      </c>
      <c r="HV268" t="e">
        <f>Stock!V665+"'E4!/c8"</f>
        <v>#VALUE!</v>
      </c>
      <c r="HW268" t="e">
        <f>Stock!X665+"'E4!/c9"</f>
        <v>#VALUE!</v>
      </c>
      <c r="HX268" t="e">
        <f>Stock!Y665+"'E4!/c:"</f>
        <v>#VALUE!</v>
      </c>
      <c r="HY268" t="e">
        <f>Stock!N666+"'E4!/c;"</f>
        <v>#VALUE!</v>
      </c>
      <c r="HZ268" t="e">
        <f>Stock!O666+"'E4!/c&lt;"</f>
        <v>#VALUE!</v>
      </c>
      <c r="IA268" t="e">
        <f>Stock!P666+"'E4!/c="</f>
        <v>#VALUE!</v>
      </c>
      <c r="IB268" t="e">
        <f>Stock!Q666+"'E4!/c&gt;"</f>
        <v>#VALUE!</v>
      </c>
      <c r="IC268" t="e">
        <f>Stock!R666+"'E4!/c?"</f>
        <v>#VALUE!</v>
      </c>
      <c r="ID268" s="333" t="e">
        <f>Stock!S666+"'E4!/c@"</f>
        <v>#VALUE!</v>
      </c>
      <c r="IE268" s="333" t="e">
        <f>Stock!T666+"'E4!/cA"</f>
        <v>#VALUE!</v>
      </c>
      <c r="IF268" t="e">
        <f>Stock!U666+"'E4!/cB"</f>
        <v>#VALUE!</v>
      </c>
      <c r="IG268" t="e">
        <f>Stock!V666+"'E4!/cC"</f>
        <v>#VALUE!</v>
      </c>
      <c r="IH268" t="e">
        <f>Stock!X666+"'E4!/cD"</f>
        <v>#VALUE!</v>
      </c>
      <c r="II268" t="e">
        <f>Stock!Y666+"'E4!/cE"</f>
        <v>#VALUE!</v>
      </c>
      <c r="IJ268" t="e">
        <f>Stock!N667+"'E4!/cF"</f>
        <v>#VALUE!</v>
      </c>
      <c r="IK268" t="e">
        <f>Stock!O667+"'E4!/cG"</f>
        <v>#VALUE!</v>
      </c>
      <c r="IL268" t="e">
        <f>Stock!P667+"'E4!/cH"</f>
        <v>#VALUE!</v>
      </c>
      <c r="IM268" t="e">
        <f>Stock!Q667+"'E4!/cI"</f>
        <v>#VALUE!</v>
      </c>
      <c r="IN268" t="e">
        <f>Stock!R667+"'E4!/cJ"</f>
        <v>#VALUE!</v>
      </c>
      <c r="IO268" s="333" t="e">
        <f>Stock!S667+"'E4!/cK"</f>
        <v>#VALUE!</v>
      </c>
      <c r="IP268" s="333" t="e">
        <f>Stock!T667+"'E4!/cL"</f>
        <v>#VALUE!</v>
      </c>
      <c r="IQ268" t="e">
        <f>Stock!U667+"'E4!/cM"</f>
        <v>#VALUE!</v>
      </c>
      <c r="IR268" t="e">
        <f>Stock!V667+"'E4!/cN"</f>
        <v>#VALUE!</v>
      </c>
      <c r="IS268" t="e">
        <f>Stock!X667+"'E4!/cO"</f>
        <v>#VALUE!</v>
      </c>
      <c r="IT268" t="e">
        <f>Stock!Y667+"'E4!/cP"</f>
        <v>#VALUE!</v>
      </c>
      <c r="IU268" t="e">
        <f>Stock!N668+"'E4!/cQ"</f>
        <v>#VALUE!</v>
      </c>
      <c r="IV268" t="e">
        <f>Stock!O668+"'E4!/cR"</f>
        <v>#VALUE!</v>
      </c>
    </row>
    <row r="269" spans="6:256">
      <c r="F269" t="e">
        <f>Stock!P668+"'E4!/cS"</f>
        <v>#VALUE!</v>
      </c>
      <c r="G269" t="e">
        <f>Stock!Q668+"'E4!/cT"</f>
        <v>#VALUE!</v>
      </c>
      <c r="H269" t="e">
        <f>Stock!R668+"'E4!/cU"</f>
        <v>#VALUE!</v>
      </c>
      <c r="I269" s="333" t="e">
        <f>Stock!S668+"'E4!/cV"</f>
        <v>#VALUE!</v>
      </c>
      <c r="J269" s="333" t="e">
        <f>Stock!T668+"'E4!/cW"</f>
        <v>#VALUE!</v>
      </c>
      <c r="K269" t="e">
        <f>Stock!U668+"'E4!/cX"</f>
        <v>#VALUE!</v>
      </c>
      <c r="L269" t="e">
        <f>Stock!V668+"'E4!/cY"</f>
        <v>#VALUE!</v>
      </c>
      <c r="M269" t="e">
        <f>Stock!X668+"'E4!/cZ"</f>
        <v>#VALUE!</v>
      </c>
      <c r="N269" t="e">
        <f>Stock!Y668+"'E4!/c["</f>
        <v>#VALUE!</v>
      </c>
      <c r="O269" t="e">
        <f>Stock!N669+"'E4!/c\"</f>
        <v>#VALUE!</v>
      </c>
      <c r="P269" t="e">
        <f>Stock!O669+"'E4!/c]"</f>
        <v>#VALUE!</v>
      </c>
      <c r="Q269" t="e">
        <f>Stock!P669+"'E4!/c^"</f>
        <v>#VALUE!</v>
      </c>
      <c r="R269" t="e">
        <f>Stock!Q669+"'E4!/c_"</f>
        <v>#VALUE!</v>
      </c>
      <c r="S269" t="e">
        <f>Stock!R669+"'E4!/c`"</f>
        <v>#VALUE!</v>
      </c>
      <c r="T269" s="333" t="e">
        <f>Stock!S669+"'E4!/ca"</f>
        <v>#VALUE!</v>
      </c>
      <c r="U269" s="333" t="e">
        <f>Stock!T669+"'E4!/cb"</f>
        <v>#VALUE!</v>
      </c>
      <c r="V269" t="e">
        <f>Stock!U669+"'E4!/cc"</f>
        <v>#VALUE!</v>
      </c>
      <c r="W269" t="e">
        <f>Stock!V669+"'E4!/cd"</f>
        <v>#VALUE!</v>
      </c>
      <c r="X269" t="e">
        <f>Stock!X669+"'E4!/ce"</f>
        <v>#VALUE!</v>
      </c>
      <c r="Y269" t="e">
        <f>Stock!Y669+"'E4!/cf"</f>
        <v>#VALUE!</v>
      </c>
      <c r="Z269" t="e">
        <f>Stock!N670+"'E4!/cg"</f>
        <v>#VALUE!</v>
      </c>
      <c r="AA269" t="e">
        <f>Stock!O670+"'E4!/ch"</f>
        <v>#VALUE!</v>
      </c>
      <c r="AB269" t="e">
        <f>Stock!P670+"'E4!/ci"</f>
        <v>#VALUE!</v>
      </c>
      <c r="AC269" t="e">
        <f>Stock!Q670+"'E4!/cj"</f>
        <v>#VALUE!</v>
      </c>
      <c r="AD269" t="e">
        <f>Stock!R670+"'E4!/ck"</f>
        <v>#VALUE!</v>
      </c>
      <c r="AE269" s="333" t="e">
        <f>Stock!S670+"'E4!/cl"</f>
        <v>#VALUE!</v>
      </c>
      <c r="AF269" s="333" t="e">
        <f>Stock!T670+"'E4!/cm"</f>
        <v>#VALUE!</v>
      </c>
      <c r="AG269" t="e">
        <f>Stock!U670+"'E4!/cn"</f>
        <v>#VALUE!</v>
      </c>
      <c r="AH269" t="e">
        <f>Stock!V670+"'E4!/co"</f>
        <v>#VALUE!</v>
      </c>
      <c r="AI269" t="e">
        <f>Stock!X670+"'E4!/cp"</f>
        <v>#VALUE!</v>
      </c>
      <c r="AJ269" t="e">
        <f>Stock!Y670+"'E4!/cq"</f>
        <v>#VALUE!</v>
      </c>
      <c r="AK269" t="e">
        <f>Stock!N671+"'E4!/cr"</f>
        <v>#VALUE!</v>
      </c>
      <c r="AL269" t="e">
        <f>Stock!O671+"'E4!/cs"</f>
        <v>#VALUE!</v>
      </c>
      <c r="AM269" t="e">
        <f>Stock!P671+"'E4!/ct"</f>
        <v>#VALUE!</v>
      </c>
      <c r="AN269" t="e">
        <f>Stock!Q671+"'E4!/cu"</f>
        <v>#VALUE!</v>
      </c>
      <c r="AO269" t="e">
        <f>Stock!R671+"'E4!/cv"</f>
        <v>#VALUE!</v>
      </c>
      <c r="AP269" s="333" t="e">
        <f>Stock!S671+"'E4!/cw"</f>
        <v>#VALUE!</v>
      </c>
      <c r="AQ269" s="333" t="e">
        <f>Stock!T671+"'E4!/cx"</f>
        <v>#VALUE!</v>
      </c>
      <c r="AR269" t="e">
        <f>Stock!U671+"'E4!/cy"</f>
        <v>#VALUE!</v>
      </c>
      <c r="AS269" t="e">
        <f>Stock!V671+"'E4!/cz"</f>
        <v>#VALUE!</v>
      </c>
      <c r="AT269" t="e">
        <f>Stock!X671+"'E4!/c{"</f>
        <v>#VALUE!</v>
      </c>
      <c r="AU269" t="e">
        <f>Stock!Y671+"'E4!/c|"</f>
        <v>#VALUE!</v>
      </c>
      <c r="AV269" t="e">
        <f>Stock!N672+"'E4!/c}"</f>
        <v>#VALUE!</v>
      </c>
      <c r="AW269" t="e">
        <f>Stock!O672+"'E4!/c~"</f>
        <v>#VALUE!</v>
      </c>
      <c r="AX269" t="e">
        <f>Stock!P672+"'E4!/d#"</f>
        <v>#VALUE!</v>
      </c>
      <c r="AY269" t="e">
        <f>Stock!Q672+"'E4!/d$"</f>
        <v>#VALUE!</v>
      </c>
      <c r="AZ269" t="e">
        <f>Stock!R672+"'E4!/d%"</f>
        <v>#VALUE!</v>
      </c>
      <c r="BA269" s="333" t="e">
        <f>Stock!S672+"'E4!/d&amp;"</f>
        <v>#VALUE!</v>
      </c>
      <c r="BB269" s="333" t="e">
        <f>Stock!T672+"'E4!/d'"</f>
        <v>#VALUE!</v>
      </c>
      <c r="BC269" t="e">
        <f>Stock!U672+"'E4!/d("</f>
        <v>#VALUE!</v>
      </c>
      <c r="BD269" t="e">
        <f>Stock!V672+"'E4!/d)"</f>
        <v>#VALUE!</v>
      </c>
      <c r="BE269" t="e">
        <f>Stock!X672+"'E4!/d."</f>
        <v>#VALUE!</v>
      </c>
      <c r="BF269" t="e">
        <f>Stock!Y672+"'E4!/d/"</f>
        <v>#VALUE!</v>
      </c>
      <c r="BG269" t="e">
        <f>Stock!N673+"'E4!/d0"</f>
        <v>#VALUE!</v>
      </c>
      <c r="BH269" t="e">
        <f>Stock!O673+"'E4!/d1"</f>
        <v>#VALUE!</v>
      </c>
      <c r="BI269" t="e">
        <f>Stock!P673+"'E4!/d2"</f>
        <v>#VALUE!</v>
      </c>
      <c r="BJ269" t="e">
        <f>Stock!Q673+"'E4!/d3"</f>
        <v>#VALUE!</v>
      </c>
      <c r="BK269" t="e">
        <f>Stock!R673+"'E4!/d4"</f>
        <v>#VALUE!</v>
      </c>
      <c r="BL269" s="333" t="e">
        <f>Stock!S673+"'E4!/d5"</f>
        <v>#VALUE!</v>
      </c>
      <c r="BM269" s="333" t="e">
        <f>Stock!T673+"'E4!/d6"</f>
        <v>#VALUE!</v>
      </c>
      <c r="BN269" t="e">
        <f>Stock!U673+"'E4!/d7"</f>
        <v>#VALUE!</v>
      </c>
      <c r="BO269" t="e">
        <f>Stock!V673+"'E4!/d8"</f>
        <v>#VALUE!</v>
      </c>
      <c r="BP269" t="e">
        <f>Stock!W673+"'E4!/d9"</f>
        <v>#VALUE!</v>
      </c>
      <c r="BQ269" t="e">
        <f>Stock!X673+"'E4!/d:"</f>
        <v>#VALUE!</v>
      </c>
      <c r="BR269" t="e">
        <f>Stock!Y673+"'E4!/d;"</f>
        <v>#VALUE!</v>
      </c>
      <c r="BS269" t="e">
        <f>Stock!N674+"'E4!/d&lt;"</f>
        <v>#VALUE!</v>
      </c>
      <c r="BT269" t="e">
        <f>Stock!O674+"'E4!/d="</f>
        <v>#VALUE!</v>
      </c>
      <c r="BU269" t="e">
        <f>Stock!P674+"'E4!/d&gt;"</f>
        <v>#VALUE!</v>
      </c>
      <c r="BV269" t="e">
        <f>Stock!Q674+"'E4!/d?"</f>
        <v>#VALUE!</v>
      </c>
      <c r="BW269" t="e">
        <f>Stock!R674+"'E4!/d@"</f>
        <v>#VALUE!</v>
      </c>
      <c r="BX269" s="333" t="e">
        <f>Stock!S674+"'E4!/dA"</f>
        <v>#VALUE!</v>
      </c>
      <c r="BY269" s="333" t="e">
        <f>Stock!T674+"'E4!/dB"</f>
        <v>#VALUE!</v>
      </c>
      <c r="BZ269" t="e">
        <f>Stock!U674+"'E4!/dC"</f>
        <v>#VALUE!</v>
      </c>
      <c r="CA269" t="e">
        <f>Stock!V674+"'E4!/dD"</f>
        <v>#VALUE!</v>
      </c>
      <c r="CB269" t="e">
        <f>Stock!W674+"'E4!/dE"</f>
        <v>#VALUE!</v>
      </c>
      <c r="CC269" t="e">
        <f>Stock!X674+"'E4!/dF"</f>
        <v>#VALUE!</v>
      </c>
      <c r="CD269" t="e">
        <f>Stock!Y674+"'E4!/dG"</f>
        <v>#VALUE!</v>
      </c>
      <c r="CE269" t="e">
        <f>Stock!N675+"'E4!/dH"</f>
        <v>#VALUE!</v>
      </c>
      <c r="CF269" t="e">
        <f>Stock!O675+"'E4!/dI"</f>
        <v>#VALUE!</v>
      </c>
      <c r="CG269" t="e">
        <f>Stock!P675+"'E4!/dJ"</f>
        <v>#VALUE!</v>
      </c>
      <c r="CH269" t="e">
        <f>Stock!Q675+"'E4!/dK"</f>
        <v>#VALUE!</v>
      </c>
      <c r="CI269" t="e">
        <f>Stock!R675+"'E4!/dL"</f>
        <v>#VALUE!</v>
      </c>
      <c r="CJ269" s="333" t="e">
        <f>Stock!S675+"'E4!/dM"</f>
        <v>#VALUE!</v>
      </c>
      <c r="CK269" s="333" t="e">
        <f>Stock!T675+"'E4!/dN"</f>
        <v>#VALUE!</v>
      </c>
      <c r="CL269" t="e">
        <f>Stock!U675+"'E4!/dO"</f>
        <v>#VALUE!</v>
      </c>
      <c r="CM269" t="e">
        <f>Stock!V675+"'E4!/dP"</f>
        <v>#VALUE!</v>
      </c>
      <c r="CN269" t="e">
        <f>Stock!W675+"'E4!/dQ"</f>
        <v>#VALUE!</v>
      </c>
      <c r="CO269" t="e">
        <f>Stock!X675+"'E4!/dR"</f>
        <v>#VALUE!</v>
      </c>
      <c r="CP269" t="e">
        <f>Stock!Y675+"'E4!/dS"</f>
        <v>#VALUE!</v>
      </c>
      <c r="CQ269" t="e">
        <f>Stock!N676+"'E4!/dT"</f>
        <v>#VALUE!</v>
      </c>
      <c r="CR269" t="e">
        <f>Stock!O676+"'E4!/dU"</f>
        <v>#VALUE!</v>
      </c>
      <c r="CS269" t="e">
        <f>Stock!P676+"'E4!/dV"</f>
        <v>#VALUE!</v>
      </c>
      <c r="CT269" t="e">
        <f>Stock!Q676+"'E4!/dW"</f>
        <v>#VALUE!</v>
      </c>
      <c r="CU269" s="333" t="e">
        <f>Stock!R676+"'E4!/dX"</f>
        <v>#VALUE!</v>
      </c>
      <c r="CV269" s="333" t="e">
        <f>Stock!S676+"'E4!/dY"</f>
        <v>#VALUE!</v>
      </c>
      <c r="CW269" s="333" t="e">
        <f>Stock!T676+"'E4!/dZ"</f>
        <v>#VALUE!</v>
      </c>
      <c r="CX269" t="e">
        <f>Stock!U676+"'E4!/d["</f>
        <v>#VALUE!</v>
      </c>
      <c r="CY269" t="e">
        <f>Stock!V676+"'E4!/d\"</f>
        <v>#VALUE!</v>
      </c>
      <c r="CZ269" t="e">
        <f>Stock!X676+"'E4!/d]"</f>
        <v>#VALUE!</v>
      </c>
      <c r="DA269" t="e">
        <f>Stock!Y676+"'E4!/d^"</f>
        <v>#VALUE!</v>
      </c>
      <c r="DB269" t="e">
        <f>Stock!N677+"'E4!/d_"</f>
        <v>#VALUE!</v>
      </c>
      <c r="DC269" t="e">
        <f>Stock!O677+"'E4!/d`"</f>
        <v>#VALUE!</v>
      </c>
      <c r="DD269" t="e">
        <f>Stock!P677+"'E4!/da"</f>
        <v>#VALUE!</v>
      </c>
      <c r="DE269" t="e">
        <f>Stock!Q677+"'E4!/db"</f>
        <v>#VALUE!</v>
      </c>
      <c r="DF269" t="e">
        <f>Stock!R677+"'E4!/dc"</f>
        <v>#VALUE!</v>
      </c>
      <c r="DG269" s="333" t="e">
        <f>Stock!S677+"'E4!/dd"</f>
        <v>#VALUE!</v>
      </c>
      <c r="DH269" s="333" t="e">
        <f>Stock!T677+"'E4!/de"</f>
        <v>#VALUE!</v>
      </c>
      <c r="DI269" t="e">
        <f>Stock!U677+"'E4!/df"</f>
        <v>#VALUE!</v>
      </c>
      <c r="DJ269" t="e">
        <f>Stock!V677+"'E4!/dg"</f>
        <v>#VALUE!</v>
      </c>
      <c r="DK269" t="e">
        <f>Stock!W677+"'E4!/dh"</f>
        <v>#VALUE!</v>
      </c>
      <c r="DL269" t="e">
        <f>Stock!X677+"'E4!/di"</f>
        <v>#VALUE!</v>
      </c>
      <c r="DM269" t="e">
        <f>Stock!Y677+"'E4!/dj"</f>
        <v>#VALUE!</v>
      </c>
      <c r="DN269" t="e">
        <f>Stock!N678+"'E4!/dk"</f>
        <v>#VALUE!</v>
      </c>
      <c r="DO269" t="e">
        <f>Stock!O678+"'E4!/dl"</f>
        <v>#VALUE!</v>
      </c>
      <c r="DP269" t="e">
        <f>Stock!P678+"'E4!/dm"</f>
        <v>#VALUE!</v>
      </c>
      <c r="DQ269" t="e">
        <f>Stock!Q678+"'E4!/dn"</f>
        <v>#VALUE!</v>
      </c>
      <c r="DR269" t="e">
        <f>Stock!R678+"'E4!/do"</f>
        <v>#VALUE!</v>
      </c>
      <c r="DS269" s="333" t="e">
        <f>Stock!S678+"'E4!/dp"</f>
        <v>#VALUE!</v>
      </c>
      <c r="DT269" s="333" t="e">
        <f>Stock!T678+"'E4!/dq"</f>
        <v>#VALUE!</v>
      </c>
      <c r="DU269" t="e">
        <f>Stock!U678+"'E4!/dr"</f>
        <v>#VALUE!</v>
      </c>
      <c r="DV269" t="e">
        <f>Stock!V678+"'E4!/ds"</f>
        <v>#VALUE!</v>
      </c>
      <c r="DW269" t="e">
        <f>Stock!W678+"'E4!/dt"</f>
        <v>#VALUE!</v>
      </c>
      <c r="DX269" t="e">
        <f>Stock!X678+"'E4!/du"</f>
        <v>#VALUE!</v>
      </c>
      <c r="DY269" t="e">
        <f>Stock!Y678+"'E4!/dv"</f>
        <v>#VALUE!</v>
      </c>
      <c r="DZ269" t="e">
        <f>Stock!N679+"'E4!/dw"</f>
        <v>#VALUE!</v>
      </c>
      <c r="EA269" t="e">
        <f>Stock!O679+"'E4!/dx"</f>
        <v>#VALUE!</v>
      </c>
      <c r="EB269" t="e">
        <f>Stock!P679+"'E4!/dy"</f>
        <v>#VALUE!</v>
      </c>
      <c r="EC269" t="e">
        <f>Stock!Q679+"'E4!/dz"</f>
        <v>#VALUE!</v>
      </c>
      <c r="ED269" t="e">
        <f>Stock!R679+"'E4!/d{"</f>
        <v>#VALUE!</v>
      </c>
      <c r="EE269" s="333" t="e">
        <f>Stock!S679+"'E4!/d|"</f>
        <v>#VALUE!</v>
      </c>
      <c r="EF269" s="333" t="e">
        <f>Stock!T679+"'E4!/d}"</f>
        <v>#VALUE!</v>
      </c>
      <c r="EG269" t="e">
        <f>Stock!U679+"'E4!/d~"</f>
        <v>#VALUE!</v>
      </c>
      <c r="EH269" t="e">
        <f>Stock!V679+"'E4!/e#"</f>
        <v>#VALUE!</v>
      </c>
      <c r="EI269" t="e">
        <f>Stock!W679+"'E4!/e$"</f>
        <v>#VALUE!</v>
      </c>
      <c r="EJ269" t="e">
        <f>Stock!X679+"'E4!/e%"</f>
        <v>#VALUE!</v>
      </c>
      <c r="EK269" t="e">
        <f>Stock!Y679+"'E4!/e&amp;"</f>
        <v>#VALUE!</v>
      </c>
      <c r="EL269" t="e">
        <f>Stock!N680+"'E4!/e'"</f>
        <v>#VALUE!</v>
      </c>
      <c r="EM269" t="e">
        <f>Stock!O680+"'E4!/e("</f>
        <v>#VALUE!</v>
      </c>
      <c r="EN269" t="e">
        <f>Stock!P680+"'E4!/e)"</f>
        <v>#VALUE!</v>
      </c>
      <c r="EO269" t="e">
        <f>Stock!Q680+"'E4!/e."</f>
        <v>#VALUE!</v>
      </c>
      <c r="EP269" t="e">
        <f>Stock!R680+"'E4!/e/"</f>
        <v>#VALUE!</v>
      </c>
      <c r="EQ269" s="333" t="e">
        <f>Stock!S680+"'E4!/e0"</f>
        <v>#VALUE!</v>
      </c>
      <c r="ER269" s="333" t="e">
        <f>Stock!T680+"'E4!/e1"</f>
        <v>#VALUE!</v>
      </c>
      <c r="ES269" t="e">
        <f>Stock!U680+"'E4!/e2"</f>
        <v>#VALUE!</v>
      </c>
      <c r="ET269" t="e">
        <f>Stock!V680+"'E4!/e3"</f>
        <v>#VALUE!</v>
      </c>
      <c r="EU269" t="e">
        <f>Stock!W680+"'E4!/e4"</f>
        <v>#VALUE!</v>
      </c>
      <c r="EV269" t="e">
        <f>Stock!X680+"'E4!/e5"</f>
        <v>#VALUE!</v>
      </c>
      <c r="EW269" t="e">
        <f>Stock!Y680+"'E4!/e6"</f>
        <v>#VALUE!</v>
      </c>
      <c r="EX269" t="e">
        <f>Stock!N681+"'E4!/e7"</f>
        <v>#VALUE!</v>
      </c>
      <c r="EY269" t="e">
        <f>Stock!O681+"'E4!/e8"</f>
        <v>#VALUE!</v>
      </c>
      <c r="EZ269" t="e">
        <f>Stock!P681+"'E4!/e9"</f>
        <v>#VALUE!</v>
      </c>
      <c r="FA269" t="e">
        <f>Stock!Q681+"'E4!/e:"</f>
        <v>#VALUE!</v>
      </c>
      <c r="FB269" s="333" t="e">
        <f>Stock!R681+"'E4!/e;"</f>
        <v>#VALUE!</v>
      </c>
      <c r="FC269" s="333" t="e">
        <f>Stock!S681+"'E4!/e&lt;"</f>
        <v>#VALUE!</v>
      </c>
      <c r="FD269" s="333" t="e">
        <f>Stock!T681+"'E4!/e="</f>
        <v>#VALUE!</v>
      </c>
      <c r="FE269" t="e">
        <f>Stock!U681+"'E4!/e&gt;"</f>
        <v>#VALUE!</v>
      </c>
      <c r="FF269" t="e">
        <f>Stock!V681+"'E4!/e?"</f>
        <v>#VALUE!</v>
      </c>
      <c r="FG269" t="e">
        <f>Stock!X681+"'E4!/e@"</f>
        <v>#VALUE!</v>
      </c>
      <c r="FH269" t="e">
        <f>Stock!Y681+"'E4!/eA"</f>
        <v>#VALUE!</v>
      </c>
      <c r="FI269" t="e">
        <f>Stock!N682+"'E4!/eB"</f>
        <v>#VALUE!</v>
      </c>
      <c r="FJ269" t="e">
        <f>Stock!O682+"'E4!/eC"</f>
        <v>#VALUE!</v>
      </c>
      <c r="FK269" t="e">
        <f>Stock!P682+"'E4!/eD"</f>
        <v>#VALUE!</v>
      </c>
      <c r="FL269" t="e">
        <f>Stock!Q682+"'E4!/eE"</f>
        <v>#VALUE!</v>
      </c>
      <c r="FM269" t="e">
        <f>Stock!R682+"'E4!/eF"</f>
        <v>#VALUE!</v>
      </c>
      <c r="FN269" s="333" t="e">
        <f>Stock!S682+"'E4!/eG"</f>
        <v>#VALUE!</v>
      </c>
      <c r="FO269" s="333" t="e">
        <f>Stock!T682+"'E4!/eH"</f>
        <v>#VALUE!</v>
      </c>
      <c r="FP269" t="e">
        <f>Stock!U682+"'E4!/eI"</f>
        <v>#VALUE!</v>
      </c>
      <c r="FQ269" t="e">
        <f>Stock!V682+"'E4!/eJ"</f>
        <v>#VALUE!</v>
      </c>
      <c r="FR269" t="e">
        <f>Stock!W682+"'E4!/eK"</f>
        <v>#VALUE!</v>
      </c>
      <c r="FS269" t="e">
        <f>Stock!X682+"'E4!/eL"</f>
        <v>#VALUE!</v>
      </c>
      <c r="FT269" t="e">
        <f>Stock!Y682+"'E4!/eM"</f>
        <v>#VALUE!</v>
      </c>
      <c r="FU269" t="e">
        <f>Stock!N683+"'E4!/eN"</f>
        <v>#VALUE!</v>
      </c>
      <c r="FV269" t="e">
        <f>Stock!O683+"'E4!/eO"</f>
        <v>#VALUE!</v>
      </c>
      <c r="FW269" t="e">
        <f>Stock!P683+"'E4!/eP"</f>
        <v>#VALUE!</v>
      </c>
      <c r="FX269" t="e">
        <f>Stock!Q683+"'E4!/eQ"</f>
        <v>#VALUE!</v>
      </c>
      <c r="FY269" t="e">
        <f>Stock!R683+"'E4!/eR"</f>
        <v>#VALUE!</v>
      </c>
      <c r="FZ269" s="333" t="e">
        <f>Stock!S683+"'E4!/eS"</f>
        <v>#VALUE!</v>
      </c>
      <c r="GA269" s="333" t="e">
        <f>Stock!T683+"'E4!/eT"</f>
        <v>#VALUE!</v>
      </c>
      <c r="GB269" t="e">
        <f>Stock!U683+"'E4!/eU"</f>
        <v>#VALUE!</v>
      </c>
      <c r="GC269" t="e">
        <f>Stock!V683+"'E4!/eV"</f>
        <v>#VALUE!</v>
      </c>
      <c r="GD269" t="e">
        <f>Stock!W683+"'E4!/eW"</f>
        <v>#VALUE!</v>
      </c>
      <c r="GE269" t="e">
        <f>Stock!X683+"'E4!/eX"</f>
        <v>#VALUE!</v>
      </c>
      <c r="GF269" t="e">
        <f>Stock!Y683+"'E4!/eY"</f>
        <v>#VALUE!</v>
      </c>
      <c r="GG269" t="e">
        <f>Stock!N684+"'E4!/eZ"</f>
        <v>#VALUE!</v>
      </c>
      <c r="GH269" t="e">
        <f>Stock!O684+"'E4!/e["</f>
        <v>#VALUE!</v>
      </c>
      <c r="GI269" t="e">
        <f>Stock!P684+"'E4!/e\"</f>
        <v>#VALUE!</v>
      </c>
      <c r="GJ269" t="e">
        <f>Stock!Q684+"'E4!/e]"</f>
        <v>#VALUE!</v>
      </c>
      <c r="GK269" t="e">
        <f>Stock!R684+"'E4!/e^"</f>
        <v>#VALUE!</v>
      </c>
      <c r="GL269" s="333" t="e">
        <f>Stock!S684+"'E4!/e_"</f>
        <v>#VALUE!</v>
      </c>
      <c r="GM269" s="333" t="e">
        <f>Stock!T684+"'E4!/e`"</f>
        <v>#VALUE!</v>
      </c>
      <c r="GN269" t="e">
        <f>Stock!U684+"'E4!/ea"</f>
        <v>#VALUE!</v>
      </c>
      <c r="GO269" t="e">
        <f>Stock!V684+"'E4!/eb"</f>
        <v>#VALUE!</v>
      </c>
      <c r="GP269" t="e">
        <f>Stock!W684+"'E4!/ec"</f>
        <v>#VALUE!</v>
      </c>
      <c r="GQ269" t="e">
        <f>Stock!X684+"'E4!/ed"</f>
        <v>#VALUE!</v>
      </c>
      <c r="GR269" t="e">
        <f>Stock!Y684+"'E4!/ee"</f>
        <v>#VALUE!</v>
      </c>
      <c r="GS269" t="e">
        <f>Stock!N685+"'E4!/ef"</f>
        <v>#VALUE!</v>
      </c>
      <c r="GT269" t="e">
        <f>Stock!O685+"'E4!/eg"</f>
        <v>#VALUE!</v>
      </c>
      <c r="GU269" t="e">
        <f>Stock!P685+"'E4!/eh"</f>
        <v>#VALUE!</v>
      </c>
      <c r="GV269" t="e">
        <f>Stock!Q685+"'E4!/ei"</f>
        <v>#VALUE!</v>
      </c>
      <c r="GW269" t="e">
        <f>Stock!R685+"'E4!/ej"</f>
        <v>#VALUE!</v>
      </c>
      <c r="GX269" s="333" t="e">
        <f>Stock!S685+"'E4!/ek"</f>
        <v>#VALUE!</v>
      </c>
      <c r="GY269" s="333" t="e">
        <f>Stock!T685+"'E4!/el"</f>
        <v>#VALUE!</v>
      </c>
      <c r="GZ269" t="e">
        <f>Stock!U685+"'E4!/em"</f>
        <v>#VALUE!</v>
      </c>
      <c r="HA269" t="e">
        <f>Stock!V685+"'E4!/en"</f>
        <v>#VALUE!</v>
      </c>
      <c r="HB269" t="e">
        <f>Stock!W685+"'E4!/eo"</f>
        <v>#VALUE!</v>
      </c>
      <c r="HC269" t="e">
        <f>Stock!X685+"'E4!/ep"</f>
        <v>#VALUE!</v>
      </c>
      <c r="HD269" t="e">
        <f>Stock!Y685+"'E4!/eq"</f>
        <v>#VALUE!</v>
      </c>
      <c r="HE269" t="e">
        <f>Stock!N686+"'E4!/er"</f>
        <v>#VALUE!</v>
      </c>
      <c r="HF269" t="e">
        <f>Stock!O686+"'E4!/es"</f>
        <v>#VALUE!</v>
      </c>
      <c r="HG269" t="e">
        <f>Stock!P686+"'E4!/et"</f>
        <v>#VALUE!</v>
      </c>
      <c r="HH269" t="e">
        <f>Stock!Q686+"'E4!/eu"</f>
        <v>#VALUE!</v>
      </c>
      <c r="HI269" s="333" t="e">
        <f>Stock!R686+"'E4!/ev"</f>
        <v>#VALUE!</v>
      </c>
      <c r="HJ269" s="333" t="e">
        <f>Stock!S686+"'E4!/ew"</f>
        <v>#VALUE!</v>
      </c>
      <c r="HK269" s="333" t="e">
        <f>Stock!T686+"'E4!/ex"</f>
        <v>#VALUE!</v>
      </c>
      <c r="HL269" t="e">
        <f>Stock!U686+"'E4!/ey"</f>
        <v>#VALUE!</v>
      </c>
      <c r="HM269" t="e">
        <f>Stock!V686+"'E4!/ez"</f>
        <v>#VALUE!</v>
      </c>
      <c r="HN269" t="e">
        <f>Stock!X686+"'E4!/e{"</f>
        <v>#VALUE!</v>
      </c>
      <c r="HO269" t="e">
        <f>Stock!Y686+"'E4!/e|"</f>
        <v>#VALUE!</v>
      </c>
      <c r="HP269" t="e">
        <f>Stock!N687+"'E4!/e}"</f>
        <v>#VALUE!</v>
      </c>
      <c r="HQ269" t="e">
        <f>Stock!O687+"'E4!/e~"</f>
        <v>#VALUE!</v>
      </c>
      <c r="HR269" t="e">
        <f>Stock!P687+"'E4!/f#"</f>
        <v>#VALUE!</v>
      </c>
      <c r="HS269" t="e">
        <f>Stock!Q687+"'E4!/f$"</f>
        <v>#VALUE!</v>
      </c>
      <c r="HT269" t="e">
        <f>Stock!R687+"'E4!/f%"</f>
        <v>#VALUE!</v>
      </c>
      <c r="HU269" s="333" t="e">
        <f>Stock!S687+"'E4!/f&amp;"</f>
        <v>#VALUE!</v>
      </c>
      <c r="HV269" s="333" t="e">
        <f>Stock!T687+"'E4!/f'"</f>
        <v>#VALUE!</v>
      </c>
      <c r="HW269" t="e">
        <f>Stock!U687+"'E4!/f("</f>
        <v>#VALUE!</v>
      </c>
      <c r="HX269" t="e">
        <f>Stock!V687+"'E4!/f)"</f>
        <v>#VALUE!</v>
      </c>
      <c r="HY269" t="e">
        <f>Stock!W687+"'E4!/f."</f>
        <v>#VALUE!</v>
      </c>
      <c r="HZ269" t="e">
        <f>Stock!X687+"'E4!/f/"</f>
        <v>#VALUE!</v>
      </c>
      <c r="IA269" t="e">
        <f>Stock!Y687+"'E4!/f0"</f>
        <v>#VALUE!</v>
      </c>
      <c r="IB269" t="e">
        <f>Stock!N688+"'E4!/f1"</f>
        <v>#VALUE!</v>
      </c>
      <c r="IC269" t="e">
        <f>Stock!O688+"'E4!/f2"</f>
        <v>#VALUE!</v>
      </c>
      <c r="ID269" t="e">
        <f>Stock!P688+"'E4!/f3"</f>
        <v>#VALUE!</v>
      </c>
      <c r="IE269" t="e">
        <f>Stock!Q688+"'E4!/f4"</f>
        <v>#VALUE!</v>
      </c>
      <c r="IF269" t="e">
        <f>Stock!R688+"'E4!/f5"</f>
        <v>#VALUE!</v>
      </c>
      <c r="IG269" s="333" t="e">
        <f>Stock!S688+"'E4!/f6"</f>
        <v>#VALUE!</v>
      </c>
      <c r="IH269" s="333" t="e">
        <f>Stock!T688+"'E4!/f7"</f>
        <v>#VALUE!</v>
      </c>
      <c r="II269" t="e">
        <f>Stock!U688+"'E4!/f8"</f>
        <v>#VALUE!</v>
      </c>
      <c r="IJ269" t="e">
        <f>Stock!V688+"'E4!/f9"</f>
        <v>#VALUE!</v>
      </c>
      <c r="IK269" t="e">
        <f>Stock!W688+"'E4!/f:"</f>
        <v>#VALUE!</v>
      </c>
      <c r="IL269" t="e">
        <f>Stock!X688+"'E4!/f;"</f>
        <v>#VALUE!</v>
      </c>
      <c r="IM269" t="e">
        <f>Stock!Y688+"'E4!/f&lt;"</f>
        <v>#VALUE!</v>
      </c>
      <c r="IN269" t="e">
        <f>Stock!N689+"'E4!/f="</f>
        <v>#VALUE!</v>
      </c>
      <c r="IO269" t="e">
        <f>Stock!O689+"'E4!/f&gt;"</f>
        <v>#VALUE!</v>
      </c>
      <c r="IP269" t="e">
        <f>Stock!P689+"'E4!/f?"</f>
        <v>#VALUE!</v>
      </c>
      <c r="IQ269" t="e">
        <f>Stock!Q689+"'E4!/f@"</f>
        <v>#VALUE!</v>
      </c>
      <c r="IR269" t="e">
        <f>Stock!R689+"'E4!/fA"</f>
        <v>#VALUE!</v>
      </c>
      <c r="IS269" s="333" t="e">
        <f>Stock!S689+"'E4!/fB"</f>
        <v>#VALUE!</v>
      </c>
      <c r="IT269" s="333" t="e">
        <f>Stock!T689+"'E4!/fC"</f>
        <v>#VALUE!</v>
      </c>
      <c r="IU269" t="e">
        <f>Stock!U689+"'E4!/fD"</f>
        <v>#VALUE!</v>
      </c>
      <c r="IV269" t="e">
        <f>Stock!V689+"'E4!/fE"</f>
        <v>#VALUE!</v>
      </c>
    </row>
    <row r="270" spans="6:256">
      <c r="F270" t="e">
        <f>Stock!W689+"'E4!/fF"</f>
        <v>#VALUE!</v>
      </c>
      <c r="G270" t="e">
        <f>Stock!X689+"'E4!/fG"</f>
        <v>#VALUE!</v>
      </c>
      <c r="H270" t="e">
        <f>Stock!Y689+"'E4!/fH"</f>
        <v>#VALUE!</v>
      </c>
      <c r="I270" t="e">
        <f>Stock!N690+"'E4!/fI"</f>
        <v>#VALUE!</v>
      </c>
      <c r="J270" t="e">
        <f>Stock!O690+"'E4!/fJ"</f>
        <v>#VALUE!</v>
      </c>
      <c r="K270" t="e">
        <f>Stock!P690+"'E4!/fK"</f>
        <v>#VALUE!</v>
      </c>
      <c r="L270" t="e">
        <f>Stock!Q690+"'E4!/fL"</f>
        <v>#VALUE!</v>
      </c>
      <c r="M270" t="e">
        <f>Stock!R690+"'E4!/fM"</f>
        <v>#VALUE!</v>
      </c>
      <c r="N270" s="333" t="e">
        <f>Stock!S690+"'E4!/fN"</f>
        <v>#VALUE!</v>
      </c>
      <c r="O270" s="333" t="e">
        <f>Stock!T690+"'E4!/fO"</f>
        <v>#VALUE!</v>
      </c>
      <c r="P270" t="e">
        <f>Stock!U690+"'E4!/fP"</f>
        <v>#VALUE!</v>
      </c>
      <c r="Q270" t="e">
        <f>Stock!V690+"'E4!/fQ"</f>
        <v>#VALUE!</v>
      </c>
      <c r="R270" t="e">
        <f>Stock!W690+"'E4!/fR"</f>
        <v>#VALUE!</v>
      </c>
      <c r="S270" t="e">
        <f>Stock!X690+"'E4!/fS"</f>
        <v>#VALUE!</v>
      </c>
      <c r="T270" t="e">
        <f>Stock!Y690+"'E4!/fT"</f>
        <v>#VALUE!</v>
      </c>
      <c r="U270" t="e">
        <f>Stock!N691+"'E4!/fU"</f>
        <v>#VALUE!</v>
      </c>
      <c r="V270" t="e">
        <f>Stock!O691+"'E4!/fV"</f>
        <v>#VALUE!</v>
      </c>
      <c r="W270" t="e">
        <f>Stock!P691+"'E4!/fW"</f>
        <v>#VALUE!</v>
      </c>
      <c r="X270" t="e">
        <f>Stock!Q691+"'E4!/fX"</f>
        <v>#VALUE!</v>
      </c>
      <c r="Y270" s="333" t="e">
        <f>Stock!R691+"'E4!/fY"</f>
        <v>#VALUE!</v>
      </c>
      <c r="Z270" s="333" t="e">
        <f>Stock!S691+"'E4!/fZ"</f>
        <v>#VALUE!</v>
      </c>
      <c r="AA270" s="333" t="e">
        <f>Stock!T691+"'E4!/f["</f>
        <v>#VALUE!</v>
      </c>
      <c r="AB270" t="e">
        <f>Stock!U691+"'E4!/f\"</f>
        <v>#VALUE!</v>
      </c>
      <c r="AC270" t="e">
        <f>Stock!V691+"'E4!/f]"</f>
        <v>#VALUE!</v>
      </c>
      <c r="AD270" t="e">
        <f>Stock!X691+"'E4!/f^"</f>
        <v>#VALUE!</v>
      </c>
      <c r="AE270" t="e">
        <f>Stock!Y691+"'E4!/f_"</f>
        <v>#VALUE!</v>
      </c>
      <c r="AF270" t="e">
        <f>Stock!N692+"'E4!/f`"</f>
        <v>#VALUE!</v>
      </c>
      <c r="AG270" t="e">
        <f>Stock!O692+"'E4!/fa"</f>
        <v>#VALUE!</v>
      </c>
      <c r="AH270" t="e">
        <f>Stock!P692+"'E4!/fb"</f>
        <v>#VALUE!</v>
      </c>
      <c r="AI270" t="e">
        <f>Stock!Q692+"'E4!/fc"</f>
        <v>#VALUE!</v>
      </c>
      <c r="AJ270" t="e">
        <f>Stock!R692+"'E4!/fd"</f>
        <v>#VALUE!</v>
      </c>
      <c r="AK270" s="333" t="e">
        <f>Stock!S692+"'E4!/fe"</f>
        <v>#VALUE!</v>
      </c>
      <c r="AL270" s="333" t="e">
        <f>Stock!T692+"'E4!/ff"</f>
        <v>#VALUE!</v>
      </c>
      <c r="AM270" t="e">
        <f>Stock!U692+"'E4!/fg"</f>
        <v>#VALUE!</v>
      </c>
      <c r="AN270" t="e">
        <f>Stock!V692+"'E4!/fh"</f>
        <v>#VALUE!</v>
      </c>
      <c r="AO270" t="e">
        <f>Stock!W692+"'E4!/fi"</f>
        <v>#VALUE!</v>
      </c>
      <c r="AP270" t="e">
        <f>Stock!X692+"'E4!/fj"</f>
        <v>#VALUE!</v>
      </c>
      <c r="AQ270" t="e">
        <f>Stock!Y692+"'E4!/fk"</f>
        <v>#VALUE!</v>
      </c>
      <c r="AR270" t="e">
        <f>Stock!N693+"'E4!/fl"</f>
        <v>#VALUE!</v>
      </c>
      <c r="AS270" t="e">
        <f>Stock!O693+"'E4!/fm"</f>
        <v>#VALUE!</v>
      </c>
      <c r="AT270" t="e">
        <f>Stock!P693+"'E4!/fn"</f>
        <v>#VALUE!</v>
      </c>
      <c r="AU270" t="e">
        <f>Stock!Q693+"'E4!/fo"</f>
        <v>#VALUE!</v>
      </c>
      <c r="AV270" t="e">
        <f>Stock!R693+"'E4!/fp"</f>
        <v>#VALUE!</v>
      </c>
      <c r="AW270" s="333" t="e">
        <f>Stock!S693+"'E4!/fq"</f>
        <v>#VALUE!</v>
      </c>
      <c r="AX270" s="333" t="e">
        <f>Stock!T693+"'E4!/fr"</f>
        <v>#VALUE!</v>
      </c>
      <c r="AY270" t="e">
        <f>Stock!U693+"'E4!/fs"</f>
        <v>#VALUE!</v>
      </c>
      <c r="AZ270" t="e">
        <f>Stock!V693+"'E4!/ft"</f>
        <v>#VALUE!</v>
      </c>
      <c r="BA270" t="e">
        <f>Stock!W693+"'E4!/fu"</f>
        <v>#VALUE!</v>
      </c>
      <c r="BB270" t="e">
        <f>Stock!X693+"'E4!/fv"</f>
        <v>#VALUE!</v>
      </c>
      <c r="BC270" t="e">
        <f>Stock!Y693+"'E4!/fw"</f>
        <v>#VALUE!</v>
      </c>
      <c r="BD270" t="e">
        <f>Stock!N694+"'E4!/fx"</f>
        <v>#VALUE!</v>
      </c>
      <c r="BE270" t="e">
        <f>Stock!O694+"'E4!/fy"</f>
        <v>#VALUE!</v>
      </c>
      <c r="BF270" t="e">
        <f>Stock!P694+"'E4!/fz"</f>
        <v>#VALUE!</v>
      </c>
      <c r="BG270" t="e">
        <f>Stock!Q694+"'E4!/f{"</f>
        <v>#VALUE!</v>
      </c>
      <c r="BH270" t="e">
        <f>Stock!R694+"'E4!/f|"</f>
        <v>#VALUE!</v>
      </c>
      <c r="BI270" s="333" t="e">
        <f>Stock!S694+"'E4!/f}"</f>
        <v>#VALUE!</v>
      </c>
      <c r="BJ270" s="333" t="e">
        <f>Stock!T694+"'E4!/f~"</f>
        <v>#VALUE!</v>
      </c>
      <c r="BK270" t="e">
        <f>Stock!U694+"'E4!/g#"</f>
        <v>#VALUE!</v>
      </c>
      <c r="BL270" t="e">
        <f>Stock!V694+"'E4!/g$"</f>
        <v>#VALUE!</v>
      </c>
      <c r="BM270" t="e">
        <f>Stock!W694+"'E4!/g%"</f>
        <v>#VALUE!</v>
      </c>
      <c r="BN270" t="e">
        <f>Stock!X694+"'E4!/g&amp;"</f>
        <v>#VALUE!</v>
      </c>
      <c r="BO270" t="e">
        <f>Stock!Y694+"'E4!/g'"</f>
        <v>#VALUE!</v>
      </c>
      <c r="BP270" t="e">
        <f>Stock!N695+"'E4!/g("</f>
        <v>#VALUE!</v>
      </c>
      <c r="BQ270" t="e">
        <f>Stock!O695+"'E4!/g)"</f>
        <v>#VALUE!</v>
      </c>
      <c r="BR270" t="e">
        <f>Stock!P695+"'E4!/g."</f>
        <v>#VALUE!</v>
      </c>
      <c r="BS270" t="e">
        <f>Stock!Q695+"'E4!/g/"</f>
        <v>#VALUE!</v>
      </c>
      <c r="BT270" t="e">
        <f>Stock!R695+"'E4!/g0"</f>
        <v>#VALUE!</v>
      </c>
      <c r="BU270" s="333" t="e">
        <f>Stock!S695+"'E4!/g1"</f>
        <v>#VALUE!</v>
      </c>
      <c r="BV270" s="333" t="e">
        <f>Stock!T695+"'E4!/g2"</f>
        <v>#VALUE!</v>
      </c>
      <c r="BW270" t="e">
        <f>Stock!U695+"'E4!/g3"</f>
        <v>#VALUE!</v>
      </c>
      <c r="BX270" t="e">
        <f>Stock!V695+"'E4!/g4"</f>
        <v>#VALUE!</v>
      </c>
      <c r="BY270" t="e">
        <f>Stock!W695+"'E4!/g5"</f>
        <v>#VALUE!</v>
      </c>
      <c r="BZ270" t="e">
        <f>Stock!X695+"'E4!/g6"</f>
        <v>#VALUE!</v>
      </c>
      <c r="CA270" t="e">
        <f>Stock!Y695+"'E4!/g7"</f>
        <v>#VALUE!</v>
      </c>
      <c r="CB270" t="e">
        <f>Stock!N696+"'E4!/g8"</f>
        <v>#VALUE!</v>
      </c>
      <c r="CC270" t="e">
        <f>Stock!O696+"'E4!/g9"</f>
        <v>#VALUE!</v>
      </c>
      <c r="CD270" t="e">
        <f>Stock!P696+"'E4!/g:"</f>
        <v>#VALUE!</v>
      </c>
      <c r="CE270" t="e">
        <f>Stock!Q696+"'E4!/g;"</f>
        <v>#VALUE!</v>
      </c>
      <c r="CF270" t="e">
        <f>Stock!R696+"'E4!/g&lt;"</f>
        <v>#VALUE!</v>
      </c>
      <c r="CG270" s="333" t="e">
        <f>Stock!S696+"'E4!/g="</f>
        <v>#VALUE!</v>
      </c>
      <c r="CH270" s="333" t="e">
        <f>Stock!T696+"'E4!/g&gt;"</f>
        <v>#VALUE!</v>
      </c>
      <c r="CI270" t="e">
        <f>Stock!U696+"'E4!/g?"</f>
        <v>#VALUE!</v>
      </c>
      <c r="CJ270" t="e">
        <f>Stock!V696+"'E4!/g@"</f>
        <v>#VALUE!</v>
      </c>
      <c r="CK270" t="e">
        <f>Stock!W696+"'E4!/gA"</f>
        <v>#VALUE!</v>
      </c>
      <c r="CL270" t="e">
        <f>Stock!X696+"'E4!/gB"</f>
        <v>#VALUE!</v>
      </c>
      <c r="CM270" t="e">
        <f>Stock!Y696+"'E4!/gC"</f>
        <v>#VALUE!</v>
      </c>
      <c r="CN270" t="e">
        <f>Stock!N697+"'E4!/gD"</f>
        <v>#VALUE!</v>
      </c>
      <c r="CO270" t="e">
        <f>Stock!O697+"'E4!/gE"</f>
        <v>#VALUE!</v>
      </c>
      <c r="CP270" t="e">
        <f>Stock!P697+"'E4!/gF"</f>
        <v>#VALUE!</v>
      </c>
      <c r="CQ270" t="e">
        <f>Stock!Q697+"'E4!/gG"</f>
        <v>#VALUE!</v>
      </c>
      <c r="CR270" t="e">
        <f>Stock!R697+"'E4!/gH"</f>
        <v>#VALUE!</v>
      </c>
      <c r="CS270" s="333" t="e">
        <f>Stock!S697+"'E4!/gI"</f>
        <v>#VALUE!</v>
      </c>
      <c r="CT270" s="333" t="e">
        <f>Stock!T697+"'E4!/gJ"</f>
        <v>#VALUE!</v>
      </c>
      <c r="CU270" t="e">
        <f>Stock!U697+"'E4!/gK"</f>
        <v>#VALUE!</v>
      </c>
      <c r="CV270" t="e">
        <f>Stock!V697+"'E4!/gL"</f>
        <v>#VALUE!</v>
      </c>
      <c r="CW270" t="e">
        <f>Stock!W697+"'E4!/gM"</f>
        <v>#VALUE!</v>
      </c>
      <c r="CX270" t="e">
        <f>Stock!X697+"'E4!/gN"</f>
        <v>#VALUE!</v>
      </c>
      <c r="CY270" t="e">
        <f>Stock!Y697+"'E4!/gO"</f>
        <v>#VALUE!</v>
      </c>
      <c r="CZ270" t="e">
        <f>Stock!N698+"'E4!/gP"</f>
        <v>#VALUE!</v>
      </c>
      <c r="DA270" t="e">
        <f>Stock!O698+"'E4!/gQ"</f>
        <v>#VALUE!</v>
      </c>
      <c r="DB270" t="e">
        <f>Stock!P698+"'E4!/gR"</f>
        <v>#VALUE!</v>
      </c>
      <c r="DC270" t="e">
        <f>Stock!Q698+"'E4!/gS"</f>
        <v>#VALUE!</v>
      </c>
      <c r="DD270" t="e">
        <f>Stock!R698+"'E4!/gT"</f>
        <v>#VALUE!</v>
      </c>
      <c r="DE270" s="333" t="e">
        <f>Stock!S698+"'E4!/gU"</f>
        <v>#VALUE!</v>
      </c>
      <c r="DF270" s="333" t="e">
        <f>Stock!T698+"'E4!/gV"</f>
        <v>#VALUE!</v>
      </c>
      <c r="DG270" t="e">
        <f>Stock!U698+"'E4!/gW"</f>
        <v>#VALUE!</v>
      </c>
      <c r="DH270" t="e">
        <f>Stock!V698+"'E4!/gX"</f>
        <v>#VALUE!</v>
      </c>
      <c r="DI270" t="e">
        <f>Stock!W698+"'E4!/gY"</f>
        <v>#VALUE!</v>
      </c>
      <c r="DJ270" t="e">
        <f>Stock!X698+"'E4!/gZ"</f>
        <v>#VALUE!</v>
      </c>
      <c r="DK270" t="e">
        <f>Stock!Y698+"'E4!/g["</f>
        <v>#VALUE!</v>
      </c>
      <c r="DL270" t="e">
        <f>Stock!N699+"'E4!/g\"</f>
        <v>#VALUE!</v>
      </c>
      <c r="DM270" t="e">
        <f>Stock!O699+"'E4!/g]"</f>
        <v>#VALUE!</v>
      </c>
      <c r="DN270" t="e">
        <f>Stock!P699+"'E4!/g^"</f>
        <v>#VALUE!</v>
      </c>
      <c r="DO270" t="e">
        <f>Stock!Q699+"'E4!/g_"</f>
        <v>#VALUE!</v>
      </c>
      <c r="DP270" t="e">
        <f>Stock!R699+"'E4!/g`"</f>
        <v>#VALUE!</v>
      </c>
      <c r="DQ270" s="333" t="e">
        <f>Stock!S699+"'E4!/ga"</f>
        <v>#VALUE!</v>
      </c>
      <c r="DR270" t="e">
        <f>Stock!T699+"'E4!/gb"</f>
        <v>#VALUE!</v>
      </c>
      <c r="DS270" t="e">
        <f>Stock!U699+"'E4!/gc"</f>
        <v>#VALUE!</v>
      </c>
      <c r="DT270" t="e">
        <f>Stock!V699+"'E4!/gd"</f>
        <v>#VALUE!</v>
      </c>
      <c r="DU270" t="e">
        <f>Stock!W699+"'E4!/ge"</f>
        <v>#VALUE!</v>
      </c>
      <c r="DV270" t="e">
        <f>Stock!X699+"'E4!/gf"</f>
        <v>#VALUE!</v>
      </c>
      <c r="DW270" t="e">
        <f>Stock!Y699+"'E4!/gg"</f>
        <v>#VALUE!</v>
      </c>
      <c r="DX270" t="e">
        <f>Stock!N700+"'E4!/gh"</f>
        <v>#VALUE!</v>
      </c>
      <c r="DY270" t="e">
        <f>Stock!O700+"'E4!/gi"</f>
        <v>#VALUE!</v>
      </c>
      <c r="DZ270" t="e">
        <f>Stock!P700+"'E4!/gj"</f>
        <v>#VALUE!</v>
      </c>
      <c r="EA270" t="e">
        <f>Stock!Q700+"'E4!/gk"</f>
        <v>#VALUE!</v>
      </c>
      <c r="EB270" t="e">
        <f>Stock!R700+"'E4!/gl"</f>
        <v>#VALUE!</v>
      </c>
      <c r="EC270" s="333" t="e">
        <f>Stock!S700+"'E4!/gm"</f>
        <v>#VALUE!</v>
      </c>
      <c r="ED270" s="333" t="e">
        <f>Stock!T700+"'E4!/gn"</f>
        <v>#VALUE!</v>
      </c>
      <c r="EE270" t="e">
        <f>Stock!U700+"'E4!/go"</f>
        <v>#VALUE!</v>
      </c>
      <c r="EF270" t="e">
        <f>Stock!V700+"'E4!/gp"</f>
        <v>#VALUE!</v>
      </c>
      <c r="EG270" t="e">
        <f>Stock!X700+"'E4!/gq"</f>
        <v>#VALUE!</v>
      </c>
      <c r="EH270" t="e">
        <f>Stock!Y700+"'E4!/gr"</f>
        <v>#VALUE!</v>
      </c>
      <c r="EI270" t="e">
        <f>Stock!N701+"'E4!/gs"</f>
        <v>#VALUE!</v>
      </c>
      <c r="EJ270" t="e">
        <f>Stock!O701+"'E4!/gt"</f>
        <v>#VALUE!</v>
      </c>
      <c r="EK270" t="e">
        <f>Stock!P701+"'E4!/gu"</f>
        <v>#VALUE!</v>
      </c>
      <c r="EL270" t="e">
        <f>Stock!Q701+"'E4!/gv"</f>
        <v>#VALUE!</v>
      </c>
      <c r="EM270" t="e">
        <f>Stock!R701+"'E4!/gw"</f>
        <v>#VALUE!</v>
      </c>
      <c r="EN270" s="333" t="e">
        <f>Stock!S701+"'E4!/gx"</f>
        <v>#VALUE!</v>
      </c>
      <c r="EO270" s="333" t="e">
        <f>Stock!T701+"'E4!/gy"</f>
        <v>#VALUE!</v>
      </c>
      <c r="EP270" t="e">
        <f>Stock!U701+"'E4!/gz"</f>
        <v>#VALUE!</v>
      </c>
      <c r="EQ270" t="e">
        <f>Stock!V701+"'E4!/g{"</f>
        <v>#VALUE!</v>
      </c>
      <c r="ER270" t="e">
        <f>Stock!X701+"'E4!/g|"</f>
        <v>#VALUE!</v>
      </c>
      <c r="ES270" t="e">
        <f>Stock!Y701+"'E4!/g}"</f>
        <v>#VALUE!</v>
      </c>
      <c r="ET270" t="e">
        <f>Stock!N702+"'E4!/g~"</f>
        <v>#VALUE!</v>
      </c>
      <c r="EU270" t="e">
        <f>Stock!O702+"'E4!/h#"</f>
        <v>#VALUE!</v>
      </c>
      <c r="EV270" t="e">
        <f>Stock!P702+"'E4!/h$"</f>
        <v>#VALUE!</v>
      </c>
      <c r="EW270" t="e">
        <f>Stock!Q702+"'E4!/h%"</f>
        <v>#VALUE!</v>
      </c>
      <c r="EX270" t="e">
        <f>Stock!R702+"'E4!/h&amp;"</f>
        <v>#VALUE!</v>
      </c>
      <c r="EY270" s="333" t="e">
        <f>Stock!S702+"'E4!/h'"</f>
        <v>#VALUE!</v>
      </c>
      <c r="EZ270" s="333" t="e">
        <f>Stock!T702+"'E4!/h("</f>
        <v>#VALUE!</v>
      </c>
      <c r="FA270" t="e">
        <f>Stock!U702+"'E4!/h)"</f>
        <v>#VALUE!</v>
      </c>
      <c r="FB270" t="e">
        <f>Stock!V702+"'E4!/h."</f>
        <v>#VALUE!</v>
      </c>
      <c r="FC270" t="e">
        <f>Stock!X702+"'E4!/h/"</f>
        <v>#VALUE!</v>
      </c>
      <c r="FD270" t="e">
        <f>Stock!Y702+"'E4!/h0"</f>
        <v>#VALUE!</v>
      </c>
      <c r="FE270" t="e">
        <f>Stock!N703+"'E4!/h1"</f>
        <v>#VALUE!</v>
      </c>
      <c r="FF270" t="e">
        <f>Stock!O703+"'E4!/h2"</f>
        <v>#VALUE!</v>
      </c>
      <c r="FG270" t="e">
        <f>Stock!P703+"'E4!/h3"</f>
        <v>#VALUE!</v>
      </c>
      <c r="FH270" t="e">
        <f>Stock!Q703+"'E4!/h4"</f>
        <v>#VALUE!</v>
      </c>
      <c r="FI270" t="e">
        <f>Stock!R703+"'E4!/h5"</f>
        <v>#VALUE!</v>
      </c>
      <c r="FJ270" s="333" t="e">
        <f>Stock!S703+"'E4!/h6"</f>
        <v>#VALUE!</v>
      </c>
      <c r="FK270" s="333" t="e">
        <f>Stock!T703+"'E4!/h7"</f>
        <v>#VALUE!</v>
      </c>
      <c r="FL270" t="e">
        <f>Stock!U703+"'E4!/h8"</f>
        <v>#VALUE!</v>
      </c>
      <c r="FM270" t="e">
        <f>Stock!V703+"'E4!/h9"</f>
        <v>#VALUE!</v>
      </c>
      <c r="FN270" t="e">
        <f>Stock!X703+"'E4!/h:"</f>
        <v>#VALUE!</v>
      </c>
      <c r="FO270" t="e">
        <f>Stock!Y703+"'E4!/h;"</f>
        <v>#VALUE!</v>
      </c>
      <c r="FP270" t="e">
        <f>Stock!N704+"'E4!/h&lt;"</f>
        <v>#VALUE!</v>
      </c>
      <c r="FQ270" t="e">
        <f>Stock!O704+"'E4!/h="</f>
        <v>#VALUE!</v>
      </c>
      <c r="FR270" t="e">
        <f>Stock!P704+"'E4!/h&gt;"</f>
        <v>#VALUE!</v>
      </c>
      <c r="FS270" t="e">
        <f>Stock!Q704+"'E4!/h?"</f>
        <v>#VALUE!</v>
      </c>
      <c r="FT270" t="e">
        <f>Stock!R704+"'E4!/h@"</f>
        <v>#VALUE!</v>
      </c>
      <c r="FU270" s="333" t="e">
        <f>Stock!S704+"'E4!/hA"</f>
        <v>#VALUE!</v>
      </c>
      <c r="FV270" s="333" t="e">
        <f>Stock!T704+"'E4!/hB"</f>
        <v>#VALUE!</v>
      </c>
      <c r="FW270" t="e">
        <f>Stock!U704+"'E4!/hC"</f>
        <v>#VALUE!</v>
      </c>
      <c r="FX270" t="e">
        <f>Stock!V704+"'E4!/hD"</f>
        <v>#VALUE!</v>
      </c>
      <c r="FY270" t="e">
        <f>Stock!X704+"'E4!/hE"</f>
        <v>#VALUE!</v>
      </c>
      <c r="FZ270" t="e">
        <f>Stock!Y704+"'E4!/hF"</f>
        <v>#VALUE!</v>
      </c>
      <c r="GA270" t="e">
        <f>Stock!N705+"'E4!/hG"</f>
        <v>#VALUE!</v>
      </c>
      <c r="GB270" t="e">
        <f>Stock!O705+"'E4!/hH"</f>
        <v>#VALUE!</v>
      </c>
      <c r="GC270" t="e">
        <f>Stock!P705+"'E4!/hI"</f>
        <v>#VALUE!</v>
      </c>
      <c r="GD270" t="e">
        <f>Stock!Q705+"'E4!/hJ"</f>
        <v>#VALUE!</v>
      </c>
      <c r="GE270" t="e">
        <f>Stock!R705+"'E4!/hK"</f>
        <v>#VALUE!</v>
      </c>
      <c r="GF270" s="333" t="e">
        <f>Stock!S705+"'E4!/hL"</f>
        <v>#VALUE!</v>
      </c>
      <c r="GG270" s="333" t="e">
        <f>Stock!T705+"'E4!/hM"</f>
        <v>#VALUE!</v>
      </c>
      <c r="GH270" t="e">
        <f>Stock!U705+"'E4!/hN"</f>
        <v>#VALUE!</v>
      </c>
      <c r="GI270" t="e">
        <f>Stock!V705+"'E4!/hO"</f>
        <v>#VALUE!</v>
      </c>
      <c r="GJ270" t="e">
        <f>Stock!X705+"'E4!/hP"</f>
        <v>#VALUE!</v>
      </c>
      <c r="GK270" t="e">
        <f>Stock!Y705+"'E4!/hQ"</f>
        <v>#VALUE!</v>
      </c>
      <c r="GL270" t="e">
        <f>Stock!N706+"'E4!/hR"</f>
        <v>#VALUE!</v>
      </c>
      <c r="GM270" t="e">
        <f>Stock!O706+"'E4!/hS"</f>
        <v>#VALUE!</v>
      </c>
      <c r="GN270" t="e">
        <f>Stock!P706+"'E4!/hT"</f>
        <v>#VALUE!</v>
      </c>
      <c r="GO270" t="e">
        <f>Stock!Q706+"'E4!/hU"</f>
        <v>#VALUE!</v>
      </c>
      <c r="GP270" t="e">
        <f>Stock!R706+"'E4!/hV"</f>
        <v>#VALUE!</v>
      </c>
      <c r="GQ270" s="333" t="e">
        <f>Stock!S706+"'E4!/hW"</f>
        <v>#VALUE!</v>
      </c>
      <c r="GR270" s="333" t="e">
        <f>Stock!T706+"'E4!/hX"</f>
        <v>#VALUE!</v>
      </c>
      <c r="GS270" t="e">
        <f>Stock!V706+"'E4!/hY"</f>
        <v>#VALUE!</v>
      </c>
      <c r="GT270" t="e">
        <f>Stock!X706+"'E4!/hZ"</f>
        <v>#VALUE!</v>
      </c>
      <c r="GU270" t="e">
        <f>Stock!Y706+"'E4!/h["</f>
        <v>#VALUE!</v>
      </c>
      <c r="GV270" t="e">
        <f>Stock!N707+"'E4!/h\"</f>
        <v>#VALUE!</v>
      </c>
      <c r="GW270" t="e">
        <f>Stock!O707+"'E4!/h]"</f>
        <v>#VALUE!</v>
      </c>
      <c r="GX270" t="e">
        <f>Stock!P707+"'E4!/h^"</f>
        <v>#VALUE!</v>
      </c>
      <c r="GY270" t="e">
        <f>Stock!Q707+"'E4!/h_"</f>
        <v>#VALUE!</v>
      </c>
      <c r="GZ270" t="e">
        <f>Stock!R707+"'E4!/h`"</f>
        <v>#VALUE!</v>
      </c>
      <c r="HA270" s="333" t="e">
        <f>Stock!S707+"'E4!/ha"</f>
        <v>#VALUE!</v>
      </c>
      <c r="HB270" s="333" t="e">
        <f>Stock!T707+"'E4!/hb"</f>
        <v>#VALUE!</v>
      </c>
      <c r="HC270" t="e">
        <f>Stock!U707+"'E4!/hc"</f>
        <v>#VALUE!</v>
      </c>
      <c r="HD270" t="e">
        <f>Stock!V707+"'E4!/hd"</f>
        <v>#VALUE!</v>
      </c>
      <c r="HE270" t="e">
        <f>Stock!X707+"'E4!/he"</f>
        <v>#VALUE!</v>
      </c>
      <c r="HF270" t="e">
        <f>Stock!Y707+"'E4!/hf"</f>
        <v>#VALUE!</v>
      </c>
      <c r="HG270" t="e">
        <f>Stock!N708+"'E4!/hg"</f>
        <v>#VALUE!</v>
      </c>
      <c r="HH270" t="e">
        <f>Stock!O708+"'E4!/hh"</f>
        <v>#VALUE!</v>
      </c>
      <c r="HI270" t="e">
        <f>Stock!P708+"'E4!/hi"</f>
        <v>#VALUE!</v>
      </c>
      <c r="HJ270" t="e">
        <f>Stock!Q708+"'E4!/hj"</f>
        <v>#VALUE!</v>
      </c>
      <c r="HK270" t="e">
        <f>Stock!R708+"'E4!/hk"</f>
        <v>#VALUE!</v>
      </c>
      <c r="HL270" s="333" t="e">
        <f>Stock!S708+"'E4!/hl"</f>
        <v>#VALUE!</v>
      </c>
      <c r="HM270" s="333" t="e">
        <f>Stock!T708+"'E4!/hm"</f>
        <v>#VALUE!</v>
      </c>
      <c r="HN270" t="e">
        <f>Stock!V708+"'E4!/hn"</f>
        <v>#VALUE!</v>
      </c>
      <c r="HO270" t="e">
        <f>Stock!X708+"'E4!/ho"</f>
        <v>#VALUE!</v>
      </c>
      <c r="HP270" t="e">
        <f>Stock!Y708+"'E4!/hp"</f>
        <v>#VALUE!</v>
      </c>
      <c r="HQ270" t="e">
        <f>Stock!N709+"'E4!/hq"</f>
        <v>#VALUE!</v>
      </c>
      <c r="HR270" t="e">
        <f>Stock!O709+"'E4!/hr"</f>
        <v>#VALUE!</v>
      </c>
      <c r="HS270" t="e">
        <f>Stock!P709+"'E4!/hs"</f>
        <v>#VALUE!</v>
      </c>
      <c r="HT270" t="e">
        <f>Stock!Q709+"'E4!/ht"</f>
        <v>#VALUE!</v>
      </c>
      <c r="HU270" t="e">
        <f>Stock!R709+"'E4!/hu"</f>
        <v>#VALUE!</v>
      </c>
      <c r="HV270" s="333" t="e">
        <f>Stock!S709+"'E4!/hv"</f>
        <v>#VALUE!</v>
      </c>
      <c r="HW270" s="333" t="e">
        <f>Stock!T709+"'E4!/hw"</f>
        <v>#VALUE!</v>
      </c>
      <c r="HX270" t="e">
        <f>Stock!V709+"'E4!/hx"</f>
        <v>#VALUE!</v>
      </c>
      <c r="HY270" t="e">
        <f>Stock!X709+"'E4!/hy"</f>
        <v>#VALUE!</v>
      </c>
      <c r="HZ270" t="e">
        <f>Stock!Y709+"'E4!/hz"</f>
        <v>#VALUE!</v>
      </c>
      <c r="IA270" t="e">
        <f>Stock!N710+"'E4!/h{"</f>
        <v>#VALUE!</v>
      </c>
      <c r="IB270" t="e">
        <f>Stock!O710+"'E4!/h|"</f>
        <v>#VALUE!</v>
      </c>
      <c r="IC270" t="e">
        <f>Stock!P710+"'E4!/h}"</f>
        <v>#VALUE!</v>
      </c>
      <c r="ID270" t="e">
        <f>Stock!Q710+"'E4!/h~"</f>
        <v>#VALUE!</v>
      </c>
      <c r="IE270" t="e">
        <f>Stock!R710+"'E4!/i#"</f>
        <v>#VALUE!</v>
      </c>
      <c r="IF270" s="333" t="e">
        <f>Stock!S710+"'E4!/i$"</f>
        <v>#VALUE!</v>
      </c>
      <c r="IG270" s="333" t="e">
        <f>Stock!T710+"'E4!/i%"</f>
        <v>#VALUE!</v>
      </c>
      <c r="IH270" t="e">
        <f>Stock!V710+"'E4!/i&amp;"</f>
        <v>#VALUE!</v>
      </c>
      <c r="II270" t="e">
        <f>Stock!X710+"'E4!/i'"</f>
        <v>#VALUE!</v>
      </c>
      <c r="IJ270" t="e">
        <f>Stock!Y710+"'E4!/i("</f>
        <v>#VALUE!</v>
      </c>
      <c r="IK270" t="e">
        <f>Stock!N711+"'E4!/i)"</f>
        <v>#VALUE!</v>
      </c>
      <c r="IL270" t="e">
        <f>Stock!O711+"'E4!/i."</f>
        <v>#VALUE!</v>
      </c>
      <c r="IM270" t="e">
        <f>Stock!P711+"'E4!/i/"</f>
        <v>#VALUE!</v>
      </c>
      <c r="IN270" t="e">
        <f>Stock!Q711+"'E4!/i0"</f>
        <v>#VALUE!</v>
      </c>
      <c r="IO270" t="e">
        <f>Stock!R711+"'E4!/i1"</f>
        <v>#VALUE!</v>
      </c>
      <c r="IP270" s="333" t="e">
        <f>Stock!S711+"'E4!/i2"</f>
        <v>#VALUE!</v>
      </c>
      <c r="IQ270" s="333" t="e">
        <f>Stock!T711+"'E4!/i3"</f>
        <v>#VALUE!</v>
      </c>
      <c r="IR270" t="e">
        <f>Stock!V711+"'E4!/i4"</f>
        <v>#VALUE!</v>
      </c>
      <c r="IS270" t="e">
        <f>Stock!X711+"'E4!/i5"</f>
        <v>#VALUE!</v>
      </c>
      <c r="IT270" t="e">
        <f>Stock!Y711+"'E4!/i6"</f>
        <v>#VALUE!</v>
      </c>
      <c r="IU270" t="e">
        <f>Stock!N712+"'E4!/i7"</f>
        <v>#VALUE!</v>
      </c>
      <c r="IV270" t="e">
        <f>Stock!O712+"'E4!/i8"</f>
        <v>#VALUE!</v>
      </c>
    </row>
    <row r="271" spans="6:256">
      <c r="F271" t="e">
        <f>Stock!P712+"'E4!/i9"</f>
        <v>#VALUE!</v>
      </c>
      <c r="G271" t="e">
        <f>Stock!Q712+"'E4!/i:"</f>
        <v>#VALUE!</v>
      </c>
      <c r="H271" t="e">
        <f>Stock!R712+"'E4!/i;"</f>
        <v>#VALUE!</v>
      </c>
      <c r="I271" s="333" t="e">
        <f>Stock!S712+"'E4!/i&lt;"</f>
        <v>#VALUE!</v>
      </c>
      <c r="J271" s="333" t="e">
        <f>Stock!T712+"'E4!/i="</f>
        <v>#VALUE!</v>
      </c>
      <c r="K271" t="e">
        <f>Stock!V712+"'E4!/i&gt;"</f>
        <v>#VALUE!</v>
      </c>
      <c r="L271" t="e">
        <f>Stock!X712+"'E4!/i?"</f>
        <v>#VALUE!</v>
      </c>
      <c r="M271" t="e">
        <f>Stock!Y712+"'E4!/i@"</f>
        <v>#VALUE!</v>
      </c>
      <c r="N271" t="e">
        <f>Stock!N713+"'E4!/iA"</f>
        <v>#VALUE!</v>
      </c>
      <c r="O271" t="e">
        <f>Stock!O713+"'E4!/iB"</f>
        <v>#VALUE!</v>
      </c>
      <c r="P271" t="e">
        <f>Stock!P713+"'E4!/iC"</f>
        <v>#VALUE!</v>
      </c>
      <c r="Q271" t="e">
        <f>Stock!Q713+"'E4!/iD"</f>
        <v>#VALUE!</v>
      </c>
      <c r="R271" t="e">
        <f>Stock!R713+"'E4!/iE"</f>
        <v>#VALUE!</v>
      </c>
      <c r="S271" s="333" t="e">
        <f>Stock!S713+"'E4!/iF"</f>
        <v>#VALUE!</v>
      </c>
      <c r="T271" s="333" t="e">
        <f>Stock!T713+"'E4!/iG"</f>
        <v>#VALUE!</v>
      </c>
      <c r="U271" t="e">
        <f>Stock!V713+"'E4!/iH"</f>
        <v>#VALUE!</v>
      </c>
      <c r="V271" t="e">
        <f>Stock!X713+"'E4!/iI"</f>
        <v>#VALUE!</v>
      </c>
      <c r="W271" t="e">
        <f>Stock!Y713+"'E4!/iJ"</f>
        <v>#VALUE!</v>
      </c>
      <c r="X271" t="e">
        <f>Stock!N714+"'E4!/iK"</f>
        <v>#VALUE!</v>
      </c>
      <c r="Y271" t="e">
        <f>Stock!O714+"'E4!/iL"</f>
        <v>#VALUE!</v>
      </c>
      <c r="Z271" t="e">
        <f>Stock!P714+"'E4!/iM"</f>
        <v>#VALUE!</v>
      </c>
      <c r="AA271" t="e">
        <f>Stock!Q714+"'E4!/iN"</f>
        <v>#VALUE!</v>
      </c>
      <c r="AB271" t="e">
        <f>Stock!R714+"'E4!/iO"</f>
        <v>#VALUE!</v>
      </c>
      <c r="AC271" s="333" t="e">
        <f>Stock!S714+"'E4!/iP"</f>
        <v>#VALUE!</v>
      </c>
      <c r="AD271" s="333" t="e">
        <f>Stock!T714+"'E4!/iQ"</f>
        <v>#VALUE!</v>
      </c>
      <c r="AE271" t="e">
        <f>Stock!U714+"'E4!/iR"</f>
        <v>#VALUE!</v>
      </c>
      <c r="AF271" t="e">
        <f>Stock!V714+"'E4!/iS"</f>
        <v>#VALUE!</v>
      </c>
      <c r="AG271" t="e">
        <f>Stock!X714+"'E4!/iT"</f>
        <v>#VALUE!</v>
      </c>
      <c r="AH271" t="e">
        <f>Stock!Y714+"'E4!/iU"</f>
        <v>#VALUE!</v>
      </c>
      <c r="AI271" t="e">
        <f>Stock!N715+"'E4!/iV"</f>
        <v>#VALUE!</v>
      </c>
      <c r="AJ271" t="e">
        <f>Stock!O715+"'E4!/iW"</f>
        <v>#VALUE!</v>
      </c>
      <c r="AK271" t="e">
        <f>Stock!P715+"'E4!/iX"</f>
        <v>#VALUE!</v>
      </c>
      <c r="AL271" t="e">
        <f>Stock!Q715+"'E4!/iY"</f>
        <v>#VALUE!</v>
      </c>
      <c r="AM271" t="e">
        <f>Stock!R715+"'E4!/iZ"</f>
        <v>#VALUE!</v>
      </c>
      <c r="AN271" s="333" t="e">
        <f>Stock!S715+"'E4!/i["</f>
        <v>#VALUE!</v>
      </c>
      <c r="AO271" s="333" t="e">
        <f>Stock!T715+"'E4!/i\"</f>
        <v>#VALUE!</v>
      </c>
      <c r="AP271" t="e">
        <f>Stock!U715+"'E4!/i]"</f>
        <v>#VALUE!</v>
      </c>
      <c r="AQ271" t="e">
        <f>Stock!V715+"'E4!/i^"</f>
        <v>#VALUE!</v>
      </c>
      <c r="AR271" t="e">
        <f>Stock!X715+"'E4!/i_"</f>
        <v>#VALUE!</v>
      </c>
      <c r="AS271" t="e">
        <f>Stock!Y715+"'E4!/i`"</f>
        <v>#VALUE!</v>
      </c>
      <c r="AT271" t="e">
        <f>Stock!N716+"'E4!/ia"</f>
        <v>#VALUE!</v>
      </c>
      <c r="AU271" t="e">
        <f>Stock!O716+"'E4!/ib"</f>
        <v>#VALUE!</v>
      </c>
      <c r="AV271" t="e">
        <f>Stock!P716+"'E4!/ic"</f>
        <v>#VALUE!</v>
      </c>
      <c r="AW271" t="e">
        <f>Stock!Q716+"'E4!/id"</f>
        <v>#VALUE!</v>
      </c>
      <c r="AX271" t="e">
        <f>Stock!R716+"'E4!/ie"</f>
        <v>#VALUE!</v>
      </c>
      <c r="AY271" s="333" t="e">
        <f>Stock!S716+"'E4!/if"</f>
        <v>#VALUE!</v>
      </c>
      <c r="AZ271" s="333" t="e">
        <f>Stock!T716+"'E4!/ig"</f>
        <v>#VALUE!</v>
      </c>
      <c r="BA271" t="e">
        <f>Stock!U716+"'E4!/ih"</f>
        <v>#VALUE!</v>
      </c>
      <c r="BB271" t="e">
        <f>Stock!V716+"'E4!/ii"</f>
        <v>#VALUE!</v>
      </c>
      <c r="BC271" t="e">
        <f>Stock!X716+"'E4!/ij"</f>
        <v>#VALUE!</v>
      </c>
      <c r="BD271" t="e">
        <f>Stock!Y716+"'E4!/ik"</f>
        <v>#VALUE!</v>
      </c>
      <c r="BE271" t="e">
        <f>Stock!N717+"'E4!/il"</f>
        <v>#VALUE!</v>
      </c>
      <c r="BF271" t="e">
        <f>Stock!O717+"'E4!/im"</f>
        <v>#VALUE!</v>
      </c>
      <c r="BG271" t="e">
        <f>Stock!P717+"'E4!/in"</f>
        <v>#VALUE!</v>
      </c>
      <c r="BH271" t="e">
        <f>Stock!Q717+"'E4!/io"</f>
        <v>#VALUE!</v>
      </c>
      <c r="BI271" t="e">
        <f>Stock!R717+"'E4!/ip"</f>
        <v>#VALUE!</v>
      </c>
      <c r="BJ271" s="333" t="e">
        <f>Stock!S717+"'E4!/iq"</f>
        <v>#VALUE!</v>
      </c>
      <c r="BK271" s="333" t="e">
        <f>Stock!T717+"'E4!/ir"</f>
        <v>#VALUE!</v>
      </c>
      <c r="BL271" t="e">
        <f>Stock!U717+"'E4!/is"</f>
        <v>#VALUE!</v>
      </c>
      <c r="BM271" t="e">
        <f>Stock!V717+"'E4!/it"</f>
        <v>#VALUE!</v>
      </c>
      <c r="BN271" t="e">
        <f>Stock!X717+"'E4!/iu"</f>
        <v>#VALUE!</v>
      </c>
      <c r="BO271" t="e">
        <f>Stock!Y717+"'E4!/iv"</f>
        <v>#VALUE!</v>
      </c>
      <c r="BP271" t="e">
        <f>Stock!N718+"'E4!/iw"</f>
        <v>#VALUE!</v>
      </c>
      <c r="BQ271" t="e">
        <f>Stock!O718+"'E4!/ix"</f>
        <v>#VALUE!</v>
      </c>
      <c r="BR271" t="e">
        <f>Stock!P718+"'E4!/iy"</f>
        <v>#VALUE!</v>
      </c>
      <c r="BS271" t="e">
        <f>Stock!Q718+"'E4!/iz"</f>
        <v>#VALUE!</v>
      </c>
      <c r="BT271" t="e">
        <f>Stock!R718+"'E4!/i{"</f>
        <v>#VALUE!</v>
      </c>
      <c r="BU271" s="333" t="e">
        <f>Stock!S718+"'E4!/i|"</f>
        <v>#VALUE!</v>
      </c>
      <c r="BV271" s="333" t="e">
        <f>Stock!T718+"'E4!/i}"</f>
        <v>#VALUE!</v>
      </c>
      <c r="BW271" t="e">
        <f>Stock!U718+"'E4!/i~"</f>
        <v>#VALUE!</v>
      </c>
      <c r="BX271" t="e">
        <f>Stock!V718+"'E4!/j#"</f>
        <v>#VALUE!</v>
      </c>
      <c r="BY271" t="e">
        <f>Stock!W718+"'E4!/j$"</f>
        <v>#VALUE!</v>
      </c>
      <c r="BZ271" t="e">
        <f>Stock!X718+"'E4!/j%"</f>
        <v>#VALUE!</v>
      </c>
      <c r="CA271" t="e">
        <f>Stock!Y718+"'E4!/j&amp;"</f>
        <v>#VALUE!</v>
      </c>
      <c r="CB271" t="e">
        <f>Stock!N719+"'E4!/j'"</f>
        <v>#VALUE!</v>
      </c>
      <c r="CC271" t="e">
        <f>Stock!O719+"'E4!/j("</f>
        <v>#VALUE!</v>
      </c>
      <c r="CD271" t="e">
        <f>Stock!P719+"'E4!/j)"</f>
        <v>#VALUE!</v>
      </c>
      <c r="CE271" t="e">
        <f>Stock!Q719+"'E4!/j."</f>
        <v>#VALUE!</v>
      </c>
      <c r="CF271" t="e">
        <f>Stock!R719+"'E4!/j/"</f>
        <v>#VALUE!</v>
      </c>
      <c r="CG271" s="333" t="e">
        <f>Stock!S719+"'E4!/j0"</f>
        <v>#VALUE!</v>
      </c>
      <c r="CH271" s="333" t="e">
        <f>Stock!T719+"'E4!/j1"</f>
        <v>#VALUE!</v>
      </c>
      <c r="CI271" t="e">
        <f>Stock!U719+"'E4!/j2"</f>
        <v>#VALUE!</v>
      </c>
      <c r="CJ271" t="e">
        <f>Stock!V719+"'E4!/j3"</f>
        <v>#VALUE!</v>
      </c>
      <c r="CK271" t="e">
        <f>Stock!X719+"'E4!/j4"</f>
        <v>#VALUE!</v>
      </c>
      <c r="CL271" t="e">
        <f>Stock!Y719+"'E4!/j5"</f>
        <v>#VALUE!</v>
      </c>
      <c r="CM271" t="e">
        <f>Stock!N720+"'E4!/j6"</f>
        <v>#VALUE!</v>
      </c>
      <c r="CN271" t="e">
        <f>Stock!O720+"'E4!/j7"</f>
        <v>#VALUE!</v>
      </c>
      <c r="CO271" t="e">
        <f>Stock!P720+"'E4!/j8"</f>
        <v>#VALUE!</v>
      </c>
      <c r="CP271" t="e">
        <f>Stock!Q720+"'E4!/j9"</f>
        <v>#VALUE!</v>
      </c>
      <c r="CQ271" t="e">
        <f>Stock!R720+"'E4!/j:"</f>
        <v>#VALUE!</v>
      </c>
      <c r="CR271" s="333" t="e">
        <f>Stock!S720+"'E4!/j;"</f>
        <v>#VALUE!</v>
      </c>
      <c r="CS271" s="333" t="e">
        <f>Stock!T720+"'E4!/j&lt;"</f>
        <v>#VALUE!</v>
      </c>
      <c r="CT271" t="e">
        <f>Stock!U720+"'E4!/j="</f>
        <v>#VALUE!</v>
      </c>
      <c r="CU271" t="e">
        <f>Stock!V720+"'E4!/j&gt;"</f>
        <v>#VALUE!</v>
      </c>
      <c r="CV271" t="e">
        <f>Stock!X720+"'E4!/j?"</f>
        <v>#VALUE!</v>
      </c>
      <c r="CW271" t="e">
        <f>Stock!Y720+"'E4!/j@"</f>
        <v>#VALUE!</v>
      </c>
      <c r="CX271" t="e">
        <f>Stock!N721+"'E4!/jA"</f>
        <v>#VALUE!</v>
      </c>
      <c r="CY271" t="e">
        <f>Stock!O721+"'E4!/jB"</f>
        <v>#VALUE!</v>
      </c>
      <c r="CZ271" t="e">
        <f>Stock!P721+"'E4!/jC"</f>
        <v>#VALUE!</v>
      </c>
      <c r="DA271" t="e">
        <f>Stock!Q721+"'E4!/jD"</f>
        <v>#VALUE!</v>
      </c>
      <c r="DB271" t="e">
        <f>Stock!R721+"'E4!/jE"</f>
        <v>#VALUE!</v>
      </c>
      <c r="DC271" s="333" t="e">
        <f>Stock!S721+"'E4!/jF"</f>
        <v>#VALUE!</v>
      </c>
      <c r="DD271" s="333" t="e">
        <f>Stock!T721+"'E4!/jG"</f>
        <v>#VALUE!</v>
      </c>
      <c r="DE271" t="e">
        <f>Stock!U721+"'E4!/jH"</f>
        <v>#VALUE!</v>
      </c>
      <c r="DF271" t="e">
        <f>Stock!V721+"'E4!/jI"</f>
        <v>#VALUE!</v>
      </c>
      <c r="DG271" t="e">
        <f>Stock!X721+"'E4!/jJ"</f>
        <v>#VALUE!</v>
      </c>
      <c r="DH271" t="e">
        <f>Stock!Y721+"'E4!/jK"</f>
        <v>#VALUE!</v>
      </c>
      <c r="DI271" t="e">
        <f>Stock!N722+"'E4!/jL"</f>
        <v>#VALUE!</v>
      </c>
      <c r="DJ271" t="e">
        <f>Stock!O722+"'E4!/jM"</f>
        <v>#VALUE!</v>
      </c>
      <c r="DK271" t="e">
        <f>Stock!P722+"'E4!/jN"</f>
        <v>#VALUE!</v>
      </c>
      <c r="DL271" t="e">
        <f>Stock!Q722+"'E4!/jO"</f>
        <v>#VALUE!</v>
      </c>
      <c r="DM271" t="e">
        <f>Stock!R722+"'E4!/jP"</f>
        <v>#VALUE!</v>
      </c>
      <c r="DN271" s="333" t="e">
        <f>Stock!S722+"'E4!/jQ"</f>
        <v>#VALUE!</v>
      </c>
      <c r="DO271" s="333" t="e">
        <f>Stock!T722+"'E4!/jR"</f>
        <v>#VALUE!</v>
      </c>
      <c r="DP271" t="e">
        <f>Stock!U722+"'E4!/jS"</f>
        <v>#VALUE!</v>
      </c>
      <c r="DQ271" t="e">
        <f>Stock!V722+"'E4!/jT"</f>
        <v>#VALUE!</v>
      </c>
      <c r="DR271" t="e">
        <f>Stock!X722+"'E4!/jU"</f>
        <v>#VALUE!</v>
      </c>
      <c r="DS271" t="e">
        <f>Stock!Y722+"'E4!/jV"</f>
        <v>#VALUE!</v>
      </c>
      <c r="DT271" t="e">
        <f>Stock!N723+"'E4!/jW"</f>
        <v>#VALUE!</v>
      </c>
      <c r="DU271" t="e">
        <f>Stock!O723+"'E4!/jX"</f>
        <v>#VALUE!</v>
      </c>
      <c r="DV271" t="e">
        <f>Stock!P723+"'E4!/jY"</f>
        <v>#VALUE!</v>
      </c>
      <c r="DW271" t="e">
        <f>Stock!Q723+"'E4!/jZ"</f>
        <v>#VALUE!</v>
      </c>
      <c r="DX271" t="e">
        <f>Stock!R723+"'E4!/j["</f>
        <v>#VALUE!</v>
      </c>
      <c r="DY271" s="333" t="e">
        <f>Stock!S723+"'E4!/j\"</f>
        <v>#VALUE!</v>
      </c>
      <c r="DZ271" s="333" t="e">
        <f>Stock!T723+"'E4!/j]"</f>
        <v>#VALUE!</v>
      </c>
      <c r="EA271" t="e">
        <f>Stock!U723+"'E4!/j^"</f>
        <v>#VALUE!</v>
      </c>
      <c r="EB271" t="e">
        <f>Stock!V723+"'E4!/j_"</f>
        <v>#VALUE!</v>
      </c>
      <c r="EC271" t="e">
        <f>Stock!X723+"'E4!/j`"</f>
        <v>#VALUE!</v>
      </c>
      <c r="ED271" t="e">
        <f>Stock!Y723+"'E4!/ja"</f>
        <v>#VALUE!</v>
      </c>
      <c r="EE271" t="e">
        <f>Stock!N724+"'E4!/jb"</f>
        <v>#VALUE!</v>
      </c>
      <c r="EF271" t="e">
        <f>Stock!O724+"'E4!/jc"</f>
        <v>#VALUE!</v>
      </c>
      <c r="EG271" t="e">
        <f>Stock!P724+"'E4!/jd"</f>
        <v>#VALUE!</v>
      </c>
      <c r="EH271" t="e">
        <f>Stock!Q724+"'E4!/je"</f>
        <v>#VALUE!</v>
      </c>
      <c r="EI271" t="e">
        <f>Stock!R724+"'E4!/jf"</f>
        <v>#VALUE!</v>
      </c>
      <c r="EJ271" s="333" t="e">
        <f>Stock!S724+"'E4!/jg"</f>
        <v>#VALUE!</v>
      </c>
      <c r="EK271" s="333" t="e">
        <f>Stock!T724+"'E4!/jh"</f>
        <v>#VALUE!</v>
      </c>
      <c r="EL271" t="e">
        <f>Stock!U724+"'E4!/ji"</f>
        <v>#VALUE!</v>
      </c>
      <c r="EM271" t="e">
        <f>Stock!V724+"'E4!/jj"</f>
        <v>#VALUE!</v>
      </c>
      <c r="EN271" t="e">
        <f>Stock!X724+"'E4!/jk"</f>
        <v>#VALUE!</v>
      </c>
      <c r="EO271" t="e">
        <f>Stock!Y724+"'E4!/jl"</f>
        <v>#VALUE!</v>
      </c>
      <c r="EP271" t="e">
        <f>Stock!N725+"'E4!/jm"</f>
        <v>#VALUE!</v>
      </c>
      <c r="EQ271" t="e">
        <f>Stock!O725+"'E4!/jn"</f>
        <v>#VALUE!</v>
      </c>
      <c r="ER271" t="e">
        <f>Stock!P725+"'E4!/jo"</f>
        <v>#VALUE!</v>
      </c>
      <c r="ES271" t="e">
        <f>Stock!Q725+"'E4!/jp"</f>
        <v>#VALUE!</v>
      </c>
      <c r="ET271" t="e">
        <f>Stock!R725+"'E4!/jq"</f>
        <v>#VALUE!</v>
      </c>
      <c r="EU271" s="333" t="e">
        <f>Stock!S725+"'E4!/jr"</f>
        <v>#VALUE!</v>
      </c>
      <c r="EV271" s="333" t="e">
        <f>Stock!T725+"'E4!/js"</f>
        <v>#VALUE!</v>
      </c>
      <c r="EW271" t="e">
        <f>Stock!U725+"'E4!/jt"</f>
        <v>#VALUE!</v>
      </c>
      <c r="EX271" t="e">
        <f>Stock!V725+"'E4!/ju"</f>
        <v>#VALUE!</v>
      </c>
      <c r="EY271" t="e">
        <f>Stock!X725+"'E4!/jv"</f>
        <v>#VALUE!</v>
      </c>
      <c r="EZ271" t="e">
        <f>Stock!Y725+"'E4!/jw"</f>
        <v>#VALUE!</v>
      </c>
      <c r="FA271" t="e">
        <f>Stock!N726+"'E4!/jx"</f>
        <v>#VALUE!</v>
      </c>
      <c r="FB271" t="e">
        <f>Stock!O726+"'E4!/jy"</f>
        <v>#VALUE!</v>
      </c>
      <c r="FC271" t="e">
        <f>Stock!P726+"'E4!/jz"</f>
        <v>#VALUE!</v>
      </c>
      <c r="FD271" t="e">
        <f>Stock!Q726+"'E4!/j{"</f>
        <v>#VALUE!</v>
      </c>
      <c r="FE271" t="e">
        <f>Stock!R726+"'E4!/j|"</f>
        <v>#VALUE!</v>
      </c>
      <c r="FF271" s="333" t="e">
        <f>Stock!S726+"'E4!/j}"</f>
        <v>#VALUE!</v>
      </c>
      <c r="FG271" s="333" t="e">
        <f>Stock!T726+"'E4!/j~"</f>
        <v>#VALUE!</v>
      </c>
      <c r="FH271" t="e">
        <f>Stock!U726+"'E4!/k#"</f>
        <v>#VALUE!</v>
      </c>
      <c r="FI271" t="e">
        <f>Stock!V726+"'E4!/k$"</f>
        <v>#VALUE!</v>
      </c>
      <c r="FJ271" t="e">
        <f>Stock!X726+"'E4!/k%"</f>
        <v>#VALUE!</v>
      </c>
      <c r="FK271" t="e">
        <f>Stock!Y726+"'E4!/k&amp;"</f>
        <v>#VALUE!</v>
      </c>
      <c r="FL271" t="e">
        <f>Stock!N727+"'E4!/k'"</f>
        <v>#VALUE!</v>
      </c>
      <c r="FM271" t="e">
        <f>Stock!O727+"'E4!/k("</f>
        <v>#VALUE!</v>
      </c>
      <c r="FN271" t="e">
        <f>Stock!P727+"'E4!/k)"</f>
        <v>#VALUE!</v>
      </c>
      <c r="FO271" t="e">
        <f>Stock!Q727+"'E4!/k."</f>
        <v>#VALUE!</v>
      </c>
      <c r="FP271" t="e">
        <f>Stock!R727+"'E4!/k/"</f>
        <v>#VALUE!</v>
      </c>
      <c r="FQ271" s="333" t="e">
        <f>Stock!S727+"'E4!/k0"</f>
        <v>#VALUE!</v>
      </c>
      <c r="FR271" s="333" t="e">
        <f>Stock!T727+"'E4!/k1"</f>
        <v>#VALUE!</v>
      </c>
      <c r="FS271" t="e">
        <f>Stock!U727+"'E4!/k2"</f>
        <v>#VALUE!</v>
      </c>
      <c r="FT271" t="e">
        <f>Stock!V727+"'E4!/k3"</f>
        <v>#VALUE!</v>
      </c>
      <c r="FU271" t="e">
        <f>Stock!X727+"'E4!/k4"</f>
        <v>#VALUE!</v>
      </c>
      <c r="FV271" t="e">
        <f>Stock!Y727+"'E4!/k5"</f>
        <v>#VALUE!</v>
      </c>
      <c r="FW271" t="e">
        <f>Stock!N728+"'E4!/k6"</f>
        <v>#VALUE!</v>
      </c>
      <c r="FX271" t="e">
        <f>Stock!O728+"'E4!/k7"</f>
        <v>#VALUE!</v>
      </c>
      <c r="FY271" t="e">
        <f>Stock!P728+"'E4!/k8"</f>
        <v>#VALUE!</v>
      </c>
      <c r="FZ271" t="e">
        <f>Stock!Q728+"'E4!/k9"</f>
        <v>#VALUE!</v>
      </c>
      <c r="GA271" t="e">
        <f>Stock!R728+"'E4!/k:"</f>
        <v>#VALUE!</v>
      </c>
      <c r="GB271" s="333" t="e">
        <f>Stock!S728+"'E4!/k;"</f>
        <v>#VALUE!</v>
      </c>
      <c r="GC271" s="333" t="e">
        <f>Stock!T728+"'E4!/k&lt;"</f>
        <v>#VALUE!</v>
      </c>
      <c r="GD271" t="e">
        <f>Stock!U728+"'E4!/k="</f>
        <v>#VALUE!</v>
      </c>
      <c r="GE271" t="e">
        <f>Stock!V728+"'E4!/k&gt;"</f>
        <v>#VALUE!</v>
      </c>
      <c r="GF271" t="e">
        <f>Stock!X728+"'E4!/k?"</f>
        <v>#VALUE!</v>
      </c>
      <c r="GG271" t="e">
        <f>Stock!Y728+"'E4!/k@"</f>
        <v>#VALUE!</v>
      </c>
      <c r="GH271" t="e">
        <f>Stock!N729+"'E4!/kA"</f>
        <v>#VALUE!</v>
      </c>
      <c r="GI271" t="e">
        <f>Stock!O729+"'E4!/kB"</f>
        <v>#VALUE!</v>
      </c>
      <c r="GJ271" t="e">
        <f>Stock!P729+"'E4!/kC"</f>
        <v>#VALUE!</v>
      </c>
      <c r="GK271" t="e">
        <f>Stock!Q729+"'E4!/kD"</f>
        <v>#VALUE!</v>
      </c>
      <c r="GL271" t="e">
        <f>Stock!R729+"'E4!/kE"</f>
        <v>#VALUE!</v>
      </c>
      <c r="GM271" s="333" t="e">
        <f>Stock!S729+"'E4!/kF"</f>
        <v>#VALUE!</v>
      </c>
      <c r="GN271" s="333" t="e">
        <f>Stock!T729+"'E4!/kG"</f>
        <v>#VALUE!</v>
      </c>
      <c r="GO271" t="e">
        <f>Stock!U729+"'E4!/kH"</f>
        <v>#VALUE!</v>
      </c>
      <c r="GP271" t="e">
        <f>Stock!V729+"'E4!/kI"</f>
        <v>#VALUE!</v>
      </c>
      <c r="GQ271" t="e">
        <f>Stock!X729+"'E4!/kJ"</f>
        <v>#VALUE!</v>
      </c>
      <c r="GR271" t="e">
        <f>Stock!Y729+"'E4!/kK"</f>
        <v>#VALUE!</v>
      </c>
      <c r="GS271" t="e">
        <f>Stock!N730+"'E4!/kL"</f>
        <v>#VALUE!</v>
      </c>
      <c r="GT271" t="e">
        <f>Stock!O730+"'E4!/kM"</f>
        <v>#VALUE!</v>
      </c>
      <c r="GU271" t="e">
        <f>Stock!P730+"'E4!/kN"</f>
        <v>#VALUE!</v>
      </c>
      <c r="GV271" t="e">
        <f>Stock!Q730+"'E4!/kO"</f>
        <v>#VALUE!</v>
      </c>
      <c r="GW271" t="e">
        <f>Stock!R730+"'E4!/kP"</f>
        <v>#VALUE!</v>
      </c>
      <c r="GX271" s="333" t="e">
        <f>Stock!S730+"'E4!/kQ"</f>
        <v>#VALUE!</v>
      </c>
      <c r="GY271" s="333" t="e">
        <f>Stock!T730+"'E4!/kR"</f>
        <v>#VALUE!</v>
      </c>
      <c r="GZ271" t="e">
        <f>Stock!U730+"'E4!/kS"</f>
        <v>#VALUE!</v>
      </c>
      <c r="HA271" t="e">
        <f>Stock!V730+"'E4!/kT"</f>
        <v>#VALUE!</v>
      </c>
      <c r="HB271" t="e">
        <f>Stock!X730+"'E4!/kU"</f>
        <v>#VALUE!</v>
      </c>
      <c r="HC271" t="e">
        <f>Stock!Y730+"'E4!/kV"</f>
        <v>#VALUE!</v>
      </c>
      <c r="HD271" t="e">
        <f>Stock!N731+"'E4!/kW"</f>
        <v>#VALUE!</v>
      </c>
      <c r="HE271" t="e">
        <f>Stock!O731+"'E4!/kX"</f>
        <v>#VALUE!</v>
      </c>
      <c r="HF271" t="e">
        <f>Stock!P731+"'E4!/kY"</f>
        <v>#VALUE!</v>
      </c>
      <c r="HG271" t="e">
        <f>Stock!Q731+"'E4!/kZ"</f>
        <v>#VALUE!</v>
      </c>
      <c r="HH271" t="e">
        <f>Stock!R731+"'E4!/k["</f>
        <v>#VALUE!</v>
      </c>
      <c r="HI271" s="333" t="e">
        <f>Stock!S731+"'E4!/k\"</f>
        <v>#VALUE!</v>
      </c>
      <c r="HJ271" s="333" t="e">
        <f>Stock!T731+"'E4!/k]"</f>
        <v>#VALUE!</v>
      </c>
      <c r="HK271" t="e">
        <f>Stock!U731+"'E4!/k^"</f>
        <v>#VALUE!</v>
      </c>
      <c r="HL271" t="e">
        <f>Stock!V731+"'E4!/k_"</f>
        <v>#VALUE!</v>
      </c>
      <c r="HM271" t="e">
        <f>Stock!X731+"'E4!/k`"</f>
        <v>#VALUE!</v>
      </c>
      <c r="HN271" t="e">
        <f>Stock!Y731+"'E4!/ka"</f>
        <v>#VALUE!</v>
      </c>
      <c r="HO271" t="e">
        <f>Stock!N732+"'E4!/kb"</f>
        <v>#VALUE!</v>
      </c>
      <c r="HP271" t="e">
        <f>Stock!O732+"'E4!/kc"</f>
        <v>#VALUE!</v>
      </c>
      <c r="HQ271" t="e">
        <f>Stock!P732+"'E4!/kd"</f>
        <v>#VALUE!</v>
      </c>
      <c r="HR271" t="e">
        <f>Stock!Q732+"'E4!/ke"</f>
        <v>#VALUE!</v>
      </c>
      <c r="HS271" t="e">
        <f>Stock!R732+"'E4!/kf"</f>
        <v>#VALUE!</v>
      </c>
      <c r="HT271" s="333" t="e">
        <f>Stock!S732+"'E4!/kg"</f>
        <v>#VALUE!</v>
      </c>
      <c r="HU271" s="333" t="e">
        <f>Stock!T732+"'E4!/kh"</f>
        <v>#VALUE!</v>
      </c>
      <c r="HV271" t="e">
        <f>Stock!U732+"'E4!/ki"</f>
        <v>#VALUE!</v>
      </c>
      <c r="HW271" t="e">
        <f>Stock!V732+"'E4!/kj"</f>
        <v>#VALUE!</v>
      </c>
      <c r="HX271" t="e">
        <f>Stock!X732+"'E4!/kk"</f>
        <v>#VALUE!</v>
      </c>
      <c r="HY271" t="e">
        <f>Stock!Y732+"'E4!/kl"</f>
        <v>#VALUE!</v>
      </c>
      <c r="HZ271" t="e">
        <f>Stock!N733+"'E4!/km"</f>
        <v>#VALUE!</v>
      </c>
      <c r="IA271" t="e">
        <f>Stock!O733+"'E4!/kn"</f>
        <v>#VALUE!</v>
      </c>
      <c r="IB271" t="e">
        <f>Stock!P733+"'E4!/ko"</f>
        <v>#VALUE!</v>
      </c>
      <c r="IC271" t="e">
        <f>Stock!Q733+"'E4!/kp"</f>
        <v>#VALUE!</v>
      </c>
      <c r="ID271" t="e">
        <f>Stock!R733+"'E4!/kq"</f>
        <v>#VALUE!</v>
      </c>
      <c r="IE271" s="333" t="e">
        <f>Stock!S733+"'E4!/kr"</f>
        <v>#VALUE!</v>
      </c>
      <c r="IF271" s="333" t="e">
        <f>Stock!T733+"'E4!/ks"</f>
        <v>#VALUE!</v>
      </c>
      <c r="IG271" t="e">
        <f>Stock!U733+"'E4!/kt"</f>
        <v>#VALUE!</v>
      </c>
      <c r="IH271" t="e">
        <f>Stock!V733+"'E4!/ku"</f>
        <v>#VALUE!</v>
      </c>
      <c r="II271" t="e">
        <f>Stock!X733+"'E4!/kv"</f>
        <v>#VALUE!</v>
      </c>
      <c r="IJ271" t="e">
        <f>Stock!Y733+"'E4!/kw"</f>
        <v>#VALUE!</v>
      </c>
      <c r="IK271" t="e">
        <f>Stock!N734+"'E4!/kx"</f>
        <v>#VALUE!</v>
      </c>
      <c r="IL271" t="e">
        <f>Stock!O734+"'E4!/ky"</f>
        <v>#VALUE!</v>
      </c>
      <c r="IM271" t="e">
        <f>Stock!P734+"'E4!/kz"</f>
        <v>#VALUE!</v>
      </c>
      <c r="IN271" t="e">
        <f>Stock!Q734+"'E4!/k{"</f>
        <v>#VALUE!</v>
      </c>
      <c r="IO271" t="e">
        <f>Stock!R734+"'E4!/k|"</f>
        <v>#VALUE!</v>
      </c>
      <c r="IP271" s="333" t="e">
        <f>Stock!S734+"'E4!/k}"</f>
        <v>#VALUE!</v>
      </c>
      <c r="IQ271" s="333" t="e">
        <f>Stock!T734+"'E4!/k~"</f>
        <v>#VALUE!</v>
      </c>
      <c r="IR271" t="e">
        <f>Stock!U734+"'E4!/l#"</f>
        <v>#VALUE!</v>
      </c>
      <c r="IS271" t="e">
        <f>Stock!V734+"'E4!/l$"</f>
        <v>#VALUE!</v>
      </c>
      <c r="IT271" t="e">
        <f>Stock!X734+"'E4!/l%"</f>
        <v>#VALUE!</v>
      </c>
      <c r="IU271" t="e">
        <f>Stock!Y734+"'E4!/l&amp;"</f>
        <v>#VALUE!</v>
      </c>
      <c r="IV271" t="e">
        <f>Stock!N735+"'E4!/l'"</f>
        <v>#VALUE!</v>
      </c>
    </row>
    <row r="272" spans="6:256">
      <c r="F272" t="e">
        <f>Stock!O735+"'E4!/l("</f>
        <v>#VALUE!</v>
      </c>
      <c r="G272" t="e">
        <f>Stock!P735+"'E4!/l)"</f>
        <v>#VALUE!</v>
      </c>
      <c r="H272" t="e">
        <f>Stock!Q735+"'E4!/l."</f>
        <v>#VALUE!</v>
      </c>
      <c r="I272" t="e">
        <f>Stock!R735+"'E4!/l/"</f>
        <v>#VALUE!</v>
      </c>
      <c r="J272" s="333" t="e">
        <f>Stock!S735+"'E4!/l0"</f>
        <v>#VALUE!</v>
      </c>
      <c r="K272" s="333" t="e">
        <f>Stock!T735+"'E4!/l1"</f>
        <v>#VALUE!</v>
      </c>
      <c r="L272" t="e">
        <f>Stock!U735+"'E4!/l2"</f>
        <v>#VALUE!</v>
      </c>
      <c r="M272" t="e">
        <f>Stock!V735+"'E4!/l3"</f>
        <v>#VALUE!</v>
      </c>
      <c r="N272" t="e">
        <f>Stock!X735+"'E4!/l4"</f>
        <v>#VALUE!</v>
      </c>
      <c r="O272" t="e">
        <f>Stock!Y735+"'E4!/l5"</f>
        <v>#VALUE!</v>
      </c>
      <c r="P272" t="e">
        <f>Stock!N736+"'E4!/l6"</f>
        <v>#VALUE!</v>
      </c>
      <c r="Q272" t="e">
        <f>Stock!O736+"'E4!/l7"</f>
        <v>#VALUE!</v>
      </c>
      <c r="R272" t="e">
        <f>Stock!P736+"'E4!/l8"</f>
        <v>#VALUE!</v>
      </c>
      <c r="S272" t="e">
        <f>Stock!Q736+"'E4!/l9"</f>
        <v>#VALUE!</v>
      </c>
      <c r="T272" t="e">
        <f>Stock!R736+"'E4!/l:"</f>
        <v>#VALUE!</v>
      </c>
      <c r="U272" s="333" t="e">
        <f>Stock!S736+"'E4!/l;"</f>
        <v>#VALUE!</v>
      </c>
      <c r="V272" s="333" t="e">
        <f>Stock!T736+"'E4!/l&lt;"</f>
        <v>#VALUE!</v>
      </c>
      <c r="W272" t="e">
        <f>Stock!U736+"'E4!/l="</f>
        <v>#VALUE!</v>
      </c>
      <c r="X272" t="e">
        <f>Stock!V736+"'E4!/l&gt;"</f>
        <v>#VALUE!</v>
      </c>
      <c r="Y272" t="e">
        <f>Stock!X736+"'E4!/l?"</f>
        <v>#VALUE!</v>
      </c>
      <c r="Z272" t="e">
        <f>Stock!Y736+"'E4!/l@"</f>
        <v>#VALUE!</v>
      </c>
      <c r="AA272" t="e">
        <f>Stock!N737+"'E4!/lA"</f>
        <v>#VALUE!</v>
      </c>
      <c r="AB272" t="e">
        <f>Stock!O737+"'E4!/lB"</f>
        <v>#VALUE!</v>
      </c>
      <c r="AC272" t="e">
        <f>Stock!P737+"'E4!/lC"</f>
        <v>#VALUE!</v>
      </c>
      <c r="AD272" t="e">
        <f>Stock!Q737+"'E4!/lD"</f>
        <v>#VALUE!</v>
      </c>
      <c r="AE272" t="e">
        <f>Stock!R737+"'E4!/lE"</f>
        <v>#VALUE!</v>
      </c>
      <c r="AF272" s="333" t="e">
        <f>Stock!S737+"'E4!/lF"</f>
        <v>#VALUE!</v>
      </c>
      <c r="AG272" s="333" t="e">
        <f>Stock!T737+"'E4!/lG"</f>
        <v>#VALUE!</v>
      </c>
      <c r="AH272" t="e">
        <f>Stock!U737+"'E4!/lH"</f>
        <v>#VALUE!</v>
      </c>
      <c r="AI272" t="e">
        <f>Stock!V737+"'E4!/lI"</f>
        <v>#VALUE!</v>
      </c>
      <c r="AJ272" t="e">
        <f>Stock!X737+"'E4!/lJ"</f>
        <v>#VALUE!</v>
      </c>
      <c r="AK272" t="e">
        <f>Stock!Y737+"'E4!/lK"</f>
        <v>#VALUE!</v>
      </c>
      <c r="AL272" t="e">
        <f>Stock!N738+"'E4!/lL"</f>
        <v>#VALUE!</v>
      </c>
      <c r="AM272" t="e">
        <f>Stock!O738+"'E4!/lM"</f>
        <v>#VALUE!</v>
      </c>
      <c r="AN272" t="e">
        <f>Stock!P738+"'E4!/lN"</f>
        <v>#VALUE!</v>
      </c>
      <c r="AO272" t="e">
        <f>Stock!Q738+"'E4!/lO"</f>
        <v>#VALUE!</v>
      </c>
      <c r="AP272" t="e">
        <f>Stock!R738+"'E4!/lP"</f>
        <v>#VALUE!</v>
      </c>
      <c r="AQ272" s="333" t="e">
        <f>Stock!S738+"'E4!/lQ"</f>
        <v>#VALUE!</v>
      </c>
      <c r="AR272" s="333" t="e">
        <f>Stock!T738+"'E4!/lR"</f>
        <v>#VALUE!</v>
      </c>
      <c r="AS272" t="e">
        <f>Stock!U738+"'E4!/lS"</f>
        <v>#VALUE!</v>
      </c>
      <c r="AT272" t="e">
        <f>Stock!V738+"'E4!/lT"</f>
        <v>#VALUE!</v>
      </c>
      <c r="AU272" t="e">
        <f>Stock!X738+"'E4!/lU"</f>
        <v>#VALUE!</v>
      </c>
      <c r="AV272" t="e">
        <f>Stock!Y738+"'E4!/lV"</f>
        <v>#VALUE!</v>
      </c>
      <c r="AW272" t="e">
        <f>Stock!N739+"'E4!/lW"</f>
        <v>#VALUE!</v>
      </c>
      <c r="AX272" t="e">
        <f>Stock!O739+"'E4!/lX"</f>
        <v>#VALUE!</v>
      </c>
      <c r="AY272" t="e">
        <f>Stock!P739+"'E4!/lY"</f>
        <v>#VALUE!</v>
      </c>
      <c r="AZ272" t="e">
        <f>Stock!Q739+"'E4!/lZ"</f>
        <v>#VALUE!</v>
      </c>
      <c r="BA272" t="e">
        <f>Stock!R739+"'E4!/l["</f>
        <v>#VALUE!</v>
      </c>
      <c r="BB272" s="333" t="e">
        <f>Stock!S739+"'E4!/l\"</f>
        <v>#VALUE!</v>
      </c>
      <c r="BC272" s="333" t="e">
        <f>Stock!T739+"'E4!/l]"</f>
        <v>#VALUE!</v>
      </c>
      <c r="BD272" t="e">
        <f>Stock!U739+"'E4!/l^"</f>
        <v>#VALUE!</v>
      </c>
      <c r="BE272" t="e">
        <f>Stock!V739+"'E4!/l_"</f>
        <v>#VALUE!</v>
      </c>
      <c r="BF272" t="e">
        <f>Stock!X739+"'E4!/l`"</f>
        <v>#VALUE!</v>
      </c>
      <c r="BG272" t="e">
        <f>Stock!Y739+"'E4!/la"</f>
        <v>#VALUE!</v>
      </c>
      <c r="BH272" t="e">
        <f>Stock!N740+"'E4!/lb"</f>
        <v>#VALUE!</v>
      </c>
      <c r="BI272" t="e">
        <f>Stock!O740+"'E4!/lc"</f>
        <v>#VALUE!</v>
      </c>
      <c r="BJ272" t="e">
        <f>Stock!P740+"'E4!/ld"</f>
        <v>#VALUE!</v>
      </c>
      <c r="BK272" t="e">
        <f>Stock!Q740+"'E4!/le"</f>
        <v>#VALUE!</v>
      </c>
      <c r="BL272" t="e">
        <f>Stock!R740+"'E4!/lf"</f>
        <v>#VALUE!</v>
      </c>
      <c r="BM272" s="333" t="e">
        <f>Stock!S740+"'E4!/lg"</f>
        <v>#VALUE!</v>
      </c>
      <c r="BN272" s="333" t="e">
        <f>Stock!T740+"'E4!/lh"</f>
        <v>#VALUE!</v>
      </c>
      <c r="BO272" t="e">
        <f>Stock!U740+"'E4!/li"</f>
        <v>#VALUE!</v>
      </c>
      <c r="BP272" t="e">
        <f>Stock!V740+"'E4!/lj"</f>
        <v>#VALUE!</v>
      </c>
      <c r="BQ272" t="e">
        <f>Stock!X740+"'E4!/lk"</f>
        <v>#VALUE!</v>
      </c>
      <c r="BR272" t="e">
        <f>Stock!Y740+"'E4!/ll"</f>
        <v>#VALUE!</v>
      </c>
      <c r="BS272" t="e">
        <f>Stock!N741+"'E4!/lm"</f>
        <v>#VALUE!</v>
      </c>
      <c r="BT272" t="e">
        <f>Stock!O741+"'E4!/ln"</f>
        <v>#VALUE!</v>
      </c>
      <c r="BU272" t="e">
        <f>Stock!P741+"'E4!/lo"</f>
        <v>#VALUE!</v>
      </c>
      <c r="BV272" t="e">
        <f>Stock!Q741+"'E4!/lp"</f>
        <v>#VALUE!</v>
      </c>
      <c r="BW272" t="e">
        <f>Stock!R741+"'E4!/lq"</f>
        <v>#VALUE!</v>
      </c>
      <c r="BX272" s="333" t="e">
        <f>Stock!S741+"'E4!/lr"</f>
        <v>#VALUE!</v>
      </c>
      <c r="BY272" s="333" t="e">
        <f>Stock!T741+"'E4!/ls"</f>
        <v>#VALUE!</v>
      </c>
      <c r="BZ272" t="e">
        <f>Stock!U741+"'E4!/lt"</f>
        <v>#VALUE!</v>
      </c>
      <c r="CA272" t="e">
        <f>Stock!V741+"'E4!/lu"</f>
        <v>#VALUE!</v>
      </c>
      <c r="CB272" t="e">
        <f>Stock!X741+"'E4!/lv"</f>
        <v>#VALUE!</v>
      </c>
      <c r="CC272" t="e">
        <f>Stock!Y741+"'E4!/lw"</f>
        <v>#VALUE!</v>
      </c>
      <c r="CD272" t="e">
        <f>Stock!N742+"'E4!/lx"</f>
        <v>#VALUE!</v>
      </c>
      <c r="CE272" t="e">
        <f>Stock!O742+"'E4!/ly"</f>
        <v>#VALUE!</v>
      </c>
      <c r="CF272" t="e">
        <f>Stock!P742+"'E4!/lz"</f>
        <v>#VALUE!</v>
      </c>
      <c r="CG272" t="e">
        <f>Stock!Q742+"'E4!/l{"</f>
        <v>#VALUE!</v>
      </c>
      <c r="CH272" t="e">
        <f>Stock!R742+"'E4!/l|"</f>
        <v>#VALUE!</v>
      </c>
      <c r="CI272" s="333" t="e">
        <f>Stock!S742+"'E4!/l}"</f>
        <v>#VALUE!</v>
      </c>
      <c r="CJ272" s="333" t="e">
        <f>Stock!T742+"'E4!/l~"</f>
        <v>#VALUE!</v>
      </c>
      <c r="CK272" t="e">
        <f>Stock!U742+"'E4!/m#"</f>
        <v>#VALUE!</v>
      </c>
      <c r="CL272" t="e">
        <f>Stock!V742+"'E4!/m$"</f>
        <v>#VALUE!</v>
      </c>
      <c r="CM272" t="e">
        <f>Stock!X742+"'E4!/m%"</f>
        <v>#VALUE!</v>
      </c>
      <c r="CN272" t="e">
        <f>Stock!Y742+"'E4!/m&amp;"</f>
        <v>#VALUE!</v>
      </c>
      <c r="CO272" t="e">
        <f>Stock!N743+"'E4!/m'"</f>
        <v>#VALUE!</v>
      </c>
      <c r="CP272" t="e">
        <f>Stock!O743+"'E4!/m("</f>
        <v>#VALUE!</v>
      </c>
      <c r="CQ272" t="e">
        <f>Stock!P743+"'E4!/m)"</f>
        <v>#VALUE!</v>
      </c>
      <c r="CR272" t="e">
        <f>Stock!Q743+"'E4!/m."</f>
        <v>#VALUE!</v>
      </c>
      <c r="CS272" t="e">
        <f>Stock!R743+"'E4!/m/"</f>
        <v>#VALUE!</v>
      </c>
      <c r="CT272" s="333" t="e">
        <f>Stock!S743+"'E4!/m0"</f>
        <v>#VALUE!</v>
      </c>
      <c r="CU272" s="333" t="e">
        <f>Stock!T743+"'E4!/m1"</f>
        <v>#VALUE!</v>
      </c>
      <c r="CV272" t="e">
        <f>Stock!U743+"'E4!/m2"</f>
        <v>#VALUE!</v>
      </c>
      <c r="CW272" t="e">
        <f>Stock!V743+"'E4!/m3"</f>
        <v>#VALUE!</v>
      </c>
      <c r="CX272" t="e">
        <f>Stock!X743+"'E4!/m4"</f>
        <v>#VALUE!</v>
      </c>
      <c r="CY272" t="e">
        <f>Stock!Y743+"'E4!/m5"</f>
        <v>#VALUE!</v>
      </c>
      <c r="CZ272" t="e">
        <f>Stock!N744+"'E4!/m6"</f>
        <v>#VALUE!</v>
      </c>
      <c r="DA272" t="e">
        <f>Stock!O744+"'E4!/m7"</f>
        <v>#VALUE!</v>
      </c>
      <c r="DB272" t="e">
        <f>Stock!P744+"'E4!/m8"</f>
        <v>#VALUE!</v>
      </c>
      <c r="DC272" t="e">
        <f>Stock!Q744+"'E4!/m9"</f>
        <v>#VALUE!</v>
      </c>
      <c r="DD272" t="e">
        <f>Stock!R744+"'E4!/m:"</f>
        <v>#VALUE!</v>
      </c>
      <c r="DE272" s="333" t="e">
        <f>Stock!S744+"'E4!/m;"</f>
        <v>#VALUE!</v>
      </c>
      <c r="DF272" s="333" t="e">
        <f>Stock!T744+"'E4!/m&lt;"</f>
        <v>#VALUE!</v>
      </c>
      <c r="DG272" t="e">
        <f>Stock!U744+"'E4!/m="</f>
        <v>#VALUE!</v>
      </c>
      <c r="DH272" t="e">
        <f>Stock!V744+"'E4!/m&gt;"</f>
        <v>#VALUE!</v>
      </c>
      <c r="DI272" t="e">
        <f>Stock!X744+"'E4!/m?"</f>
        <v>#VALUE!</v>
      </c>
      <c r="DJ272" t="e">
        <f>Stock!Y744+"'E4!/m@"</f>
        <v>#VALUE!</v>
      </c>
      <c r="DK272" t="e">
        <f>Stock!N745+"'E4!/mA"</f>
        <v>#VALUE!</v>
      </c>
      <c r="DL272" t="e">
        <f>Stock!O745+"'E4!/mB"</f>
        <v>#VALUE!</v>
      </c>
      <c r="DM272" t="e">
        <f>Stock!P745+"'E4!/mC"</f>
        <v>#VALUE!</v>
      </c>
      <c r="DN272" t="e">
        <f>Stock!Q745+"'E4!/mD"</f>
        <v>#VALUE!</v>
      </c>
      <c r="DO272" t="e">
        <f>Stock!R745+"'E4!/mE"</f>
        <v>#VALUE!</v>
      </c>
      <c r="DP272" s="333" t="e">
        <f>Stock!S745+"'E4!/mF"</f>
        <v>#VALUE!</v>
      </c>
      <c r="DQ272" s="333" t="e">
        <f>Stock!T745+"'E4!/mG"</f>
        <v>#VALUE!</v>
      </c>
      <c r="DR272" t="e">
        <f>Stock!U745+"'E4!/mH"</f>
        <v>#VALUE!</v>
      </c>
      <c r="DS272" t="e">
        <f>Stock!V745+"'E4!/mI"</f>
        <v>#VALUE!</v>
      </c>
      <c r="DT272" t="e">
        <f>Stock!X745+"'E4!/mJ"</f>
        <v>#VALUE!</v>
      </c>
      <c r="DU272" t="e">
        <f>Stock!Y745+"'E4!/mK"</f>
        <v>#VALUE!</v>
      </c>
      <c r="DV272" t="e">
        <f>Stock!N746+"'E4!/mL"</f>
        <v>#VALUE!</v>
      </c>
      <c r="DW272" t="e">
        <f>Stock!O746+"'E4!/mM"</f>
        <v>#VALUE!</v>
      </c>
      <c r="DX272" t="e">
        <f>Stock!P746+"'E4!/mN"</f>
        <v>#VALUE!</v>
      </c>
      <c r="DY272" t="e">
        <f>Stock!Q746+"'E4!/mO"</f>
        <v>#VALUE!</v>
      </c>
      <c r="DZ272" t="e">
        <f>Stock!R746+"'E4!/mP"</f>
        <v>#VALUE!</v>
      </c>
      <c r="EA272" s="333" t="e">
        <f>Stock!S746+"'E4!/mQ"</f>
        <v>#VALUE!</v>
      </c>
      <c r="EB272" s="333" t="e">
        <f>Stock!T746+"'E4!/mR"</f>
        <v>#VALUE!</v>
      </c>
      <c r="EC272" t="e">
        <f>Stock!U746+"'E4!/mS"</f>
        <v>#VALUE!</v>
      </c>
      <c r="ED272" t="e">
        <f>Stock!V746+"'E4!/mT"</f>
        <v>#VALUE!</v>
      </c>
      <c r="EE272" t="e">
        <f>Stock!X746+"'E4!/mU"</f>
        <v>#VALUE!</v>
      </c>
      <c r="EF272" t="e">
        <f>Stock!Y746+"'E4!/mV"</f>
        <v>#VALUE!</v>
      </c>
      <c r="EG272" t="e">
        <f>Stock!N747+"'E4!/mW"</f>
        <v>#VALUE!</v>
      </c>
      <c r="EH272" t="e">
        <f>Stock!O747+"'E4!/mX"</f>
        <v>#VALUE!</v>
      </c>
      <c r="EI272" t="e">
        <f>Stock!P747+"'E4!/mY"</f>
        <v>#VALUE!</v>
      </c>
      <c r="EJ272" t="e">
        <f>Stock!Q747+"'E4!/mZ"</f>
        <v>#VALUE!</v>
      </c>
      <c r="EK272" t="e">
        <f>Stock!R747+"'E4!/m["</f>
        <v>#VALUE!</v>
      </c>
      <c r="EL272" s="333" t="e">
        <f>Stock!S747+"'E4!/m\"</f>
        <v>#VALUE!</v>
      </c>
      <c r="EM272" s="333" t="e">
        <f>Stock!T747+"'E4!/m]"</f>
        <v>#VALUE!</v>
      </c>
      <c r="EN272" t="e">
        <f>Stock!U747+"'E4!/m^"</f>
        <v>#VALUE!</v>
      </c>
      <c r="EO272" t="e">
        <f>Stock!V747+"'E4!/m_"</f>
        <v>#VALUE!</v>
      </c>
      <c r="EP272" t="e">
        <f>Stock!X747+"'E4!/m`"</f>
        <v>#VALUE!</v>
      </c>
      <c r="EQ272" t="e">
        <f>Stock!Y747+"'E4!/ma"</f>
        <v>#VALUE!</v>
      </c>
      <c r="ER272" t="e">
        <f>Stock!N748+"'E4!/mb"</f>
        <v>#VALUE!</v>
      </c>
      <c r="ES272" t="e">
        <f>Stock!O748+"'E4!/mc"</f>
        <v>#VALUE!</v>
      </c>
      <c r="ET272" t="e">
        <f>Stock!P748+"'E4!/md"</f>
        <v>#VALUE!</v>
      </c>
      <c r="EU272" t="e">
        <f>Stock!Q748+"'E4!/me"</f>
        <v>#VALUE!</v>
      </c>
      <c r="EV272" t="e">
        <f>Stock!R748+"'E4!/mf"</f>
        <v>#VALUE!</v>
      </c>
      <c r="EW272" s="333" t="e">
        <f>Stock!S748+"'E4!/mg"</f>
        <v>#VALUE!</v>
      </c>
      <c r="EX272" s="333" t="e">
        <f>Stock!T748+"'E4!/mh"</f>
        <v>#VALUE!</v>
      </c>
      <c r="EY272" t="e">
        <f>Stock!U748+"'E4!/mi"</f>
        <v>#VALUE!</v>
      </c>
      <c r="EZ272" t="e">
        <f>Stock!V748+"'E4!/mj"</f>
        <v>#VALUE!</v>
      </c>
      <c r="FA272" t="e">
        <f>Stock!X748+"'E4!/mk"</f>
        <v>#VALUE!</v>
      </c>
      <c r="FB272" t="e">
        <f>Stock!Y748+"'E4!/ml"</f>
        <v>#VALUE!</v>
      </c>
      <c r="FC272" t="e">
        <f>Stock!N749+"'E4!/mm"</f>
        <v>#VALUE!</v>
      </c>
      <c r="FD272" t="e">
        <f>Stock!O749+"'E4!/mn"</f>
        <v>#VALUE!</v>
      </c>
      <c r="FE272" t="e">
        <f>Stock!P749+"'E4!/mo"</f>
        <v>#VALUE!</v>
      </c>
      <c r="FF272" t="e">
        <f>Stock!Q749+"'E4!/mp"</f>
        <v>#VALUE!</v>
      </c>
      <c r="FG272" t="e">
        <f>Stock!R749+"'E4!/mq"</f>
        <v>#VALUE!</v>
      </c>
      <c r="FH272" s="333" t="e">
        <f>Stock!S749+"'E4!/mr"</f>
        <v>#VALUE!</v>
      </c>
      <c r="FI272" s="333" t="e">
        <f>Stock!T749+"'E4!/ms"</f>
        <v>#VALUE!</v>
      </c>
      <c r="FJ272" t="e">
        <f>Stock!U749+"'E4!/mt"</f>
        <v>#VALUE!</v>
      </c>
      <c r="FK272" t="e">
        <f>Stock!V749+"'E4!/mu"</f>
        <v>#VALUE!</v>
      </c>
      <c r="FL272" t="e">
        <f>Stock!X749+"'E4!/mv"</f>
        <v>#VALUE!</v>
      </c>
      <c r="FM272" t="e">
        <f>Stock!Y749+"'E4!/mw"</f>
        <v>#VALUE!</v>
      </c>
      <c r="FN272" t="e">
        <f>Stock!N750+"'E4!/mx"</f>
        <v>#VALUE!</v>
      </c>
      <c r="FO272" t="e">
        <f>Stock!O750+"'E4!/my"</f>
        <v>#VALUE!</v>
      </c>
      <c r="FP272" t="e">
        <f>Stock!P750+"'E4!/mz"</f>
        <v>#VALUE!</v>
      </c>
      <c r="FQ272" t="e">
        <f>Stock!Q750+"'E4!/m{"</f>
        <v>#VALUE!</v>
      </c>
      <c r="FR272" t="e">
        <f>Stock!R750+"'E4!/m|"</f>
        <v>#VALUE!</v>
      </c>
      <c r="FS272" s="333" t="e">
        <f>Stock!S750+"'E4!/m}"</f>
        <v>#VALUE!</v>
      </c>
      <c r="FT272" s="333" t="e">
        <f>Stock!T750+"'E4!/m~"</f>
        <v>#VALUE!</v>
      </c>
      <c r="FU272" t="e">
        <f>Stock!U750+"'E4!/n#"</f>
        <v>#VALUE!</v>
      </c>
      <c r="FV272" t="e">
        <f>Stock!V750+"'E4!/n$"</f>
        <v>#VALUE!</v>
      </c>
      <c r="FW272" t="e">
        <f>Stock!X750+"'E4!/n%"</f>
        <v>#VALUE!</v>
      </c>
      <c r="FX272" t="e">
        <f>Stock!Y750+"'E4!/n&amp;"</f>
        <v>#VALUE!</v>
      </c>
      <c r="FY272" t="e">
        <f>Stock!N751+"'E4!/n'"</f>
        <v>#VALUE!</v>
      </c>
      <c r="FZ272" t="e">
        <f>Stock!O751+"'E4!/n("</f>
        <v>#VALUE!</v>
      </c>
      <c r="GA272" t="e">
        <f>Stock!P751+"'E4!/n)"</f>
        <v>#VALUE!</v>
      </c>
      <c r="GB272" t="e">
        <f>Stock!Q751+"'E4!/n."</f>
        <v>#VALUE!</v>
      </c>
      <c r="GC272" t="e">
        <f>Stock!R751+"'E4!/n/"</f>
        <v>#VALUE!</v>
      </c>
      <c r="GD272" s="333" t="e">
        <f>Stock!S751+"'E4!/n0"</f>
        <v>#VALUE!</v>
      </c>
      <c r="GE272" s="333" t="e">
        <f>Stock!T751+"'E4!/n1"</f>
        <v>#VALUE!</v>
      </c>
      <c r="GF272" t="e">
        <f>Stock!U751+"'E4!/n2"</f>
        <v>#VALUE!</v>
      </c>
      <c r="GG272" t="e">
        <f>Stock!V751+"'E4!/n3"</f>
        <v>#VALUE!</v>
      </c>
      <c r="GH272" t="e">
        <f>Stock!X751+"'E4!/n4"</f>
        <v>#VALUE!</v>
      </c>
      <c r="GI272" t="e">
        <f>Stock!Y751+"'E4!/n5"</f>
        <v>#VALUE!</v>
      </c>
      <c r="GJ272" t="e">
        <f>Stock!N752+"'E4!/n6"</f>
        <v>#VALUE!</v>
      </c>
      <c r="GK272" t="e">
        <f>Stock!O752+"'E4!/n7"</f>
        <v>#VALUE!</v>
      </c>
      <c r="GL272" t="e">
        <f>Stock!P752+"'E4!/n8"</f>
        <v>#VALUE!</v>
      </c>
      <c r="GM272" t="e">
        <f>Stock!Q752+"'E4!/n9"</f>
        <v>#VALUE!</v>
      </c>
      <c r="GN272" s="333" t="e">
        <f>Stock!R752+"'E4!/n:"</f>
        <v>#VALUE!</v>
      </c>
      <c r="GO272" s="333" t="e">
        <f>Stock!S752+"'E4!/n;"</f>
        <v>#VALUE!</v>
      </c>
      <c r="GP272" s="333" t="e">
        <f>Stock!T752+"'E4!/n&lt;"</f>
        <v>#VALUE!</v>
      </c>
      <c r="GQ272" t="e">
        <f>Stock!U752+"'E4!/n="</f>
        <v>#VALUE!</v>
      </c>
      <c r="GR272" t="e">
        <f>Stock!V752+"'E4!/n&gt;"</f>
        <v>#VALUE!</v>
      </c>
      <c r="GS272" t="e">
        <f>Stock!W752+"'E4!/n?"</f>
        <v>#VALUE!</v>
      </c>
      <c r="GT272" t="e">
        <f>Stock!X752+"'E4!/n@"</f>
        <v>#VALUE!</v>
      </c>
      <c r="GU272" t="e">
        <f>Stock!Y752+"'E4!/nA"</f>
        <v>#VALUE!</v>
      </c>
      <c r="GV272" t="e">
        <f>Stock!N753+"'E4!/nB"</f>
        <v>#VALUE!</v>
      </c>
      <c r="GW272" t="e">
        <f>Stock!O753+"'E4!/nC"</f>
        <v>#VALUE!</v>
      </c>
      <c r="GX272" t="e">
        <f>Stock!P753+"'E4!/nD"</f>
        <v>#VALUE!</v>
      </c>
      <c r="GY272" t="e">
        <f>Stock!Q753+"'E4!/nE"</f>
        <v>#VALUE!</v>
      </c>
      <c r="GZ272" s="333" t="e">
        <f>Stock!R753+"'E4!/nF"</f>
        <v>#VALUE!</v>
      </c>
      <c r="HA272" s="333" t="e">
        <f>Stock!S753+"'E4!/nG"</f>
        <v>#VALUE!</v>
      </c>
      <c r="HB272" s="333" t="e">
        <f>Stock!T753+"'E4!/nH"</f>
        <v>#VALUE!</v>
      </c>
      <c r="HC272" t="e">
        <f>Stock!U753+"'E4!/nI"</f>
        <v>#VALUE!</v>
      </c>
      <c r="HD272" t="e">
        <f>Stock!V753+"'E4!/nJ"</f>
        <v>#VALUE!</v>
      </c>
      <c r="HE272" t="e">
        <f>Stock!W753+"'E4!/nK"</f>
        <v>#VALUE!</v>
      </c>
      <c r="HF272" t="e">
        <f>Stock!X753+"'E4!/nL"</f>
        <v>#VALUE!</v>
      </c>
      <c r="HG272" t="e">
        <f>Stock!Y753+"'E4!/nM"</f>
        <v>#VALUE!</v>
      </c>
      <c r="HH272" t="e">
        <f>Stock!N754+"'E4!/nN"</f>
        <v>#VALUE!</v>
      </c>
      <c r="HI272" t="e">
        <f>Stock!O754+"'E4!/nO"</f>
        <v>#VALUE!</v>
      </c>
      <c r="HJ272" t="e">
        <f>Stock!P754+"'E4!/nP"</f>
        <v>#VALUE!</v>
      </c>
      <c r="HK272" t="e">
        <f>Stock!Q754+"'E4!/nQ"</f>
        <v>#VALUE!</v>
      </c>
      <c r="HL272" s="333" t="e">
        <f>Stock!R754+"'E4!/nR"</f>
        <v>#VALUE!</v>
      </c>
      <c r="HM272" s="333" t="e">
        <f>Stock!S754+"'E4!/nS"</f>
        <v>#VALUE!</v>
      </c>
      <c r="HN272" s="333" t="e">
        <f>Stock!T754+"'E4!/nT"</f>
        <v>#VALUE!</v>
      </c>
      <c r="HO272" t="e">
        <f>Stock!U754+"'E4!/nU"</f>
        <v>#VALUE!</v>
      </c>
      <c r="HP272" t="e">
        <f>Stock!V754+"'E4!/nV"</f>
        <v>#VALUE!</v>
      </c>
      <c r="HQ272" t="e">
        <f>Stock!W754+"'E4!/nW"</f>
        <v>#VALUE!</v>
      </c>
      <c r="HR272" t="e">
        <f>Stock!X754+"'E4!/nX"</f>
        <v>#VALUE!</v>
      </c>
      <c r="HS272" t="e">
        <f>Stock!Y754+"'E4!/nY"</f>
        <v>#VALUE!</v>
      </c>
      <c r="HT272" t="e">
        <f>Stock!N755+"'E4!/nZ"</f>
        <v>#VALUE!</v>
      </c>
      <c r="HU272" t="e">
        <f>Stock!O755+"'E4!/n["</f>
        <v>#VALUE!</v>
      </c>
      <c r="HV272" t="e">
        <f>Stock!P755+"'E4!/n\"</f>
        <v>#VALUE!</v>
      </c>
      <c r="HW272" t="e">
        <f>Stock!Q755+"'E4!/n]"</f>
        <v>#VALUE!</v>
      </c>
      <c r="HX272" s="333" t="e">
        <f>Stock!R755+"'E4!/n^"</f>
        <v>#VALUE!</v>
      </c>
      <c r="HY272" s="333" t="e">
        <f>Stock!S755+"'E4!/n_"</f>
        <v>#VALUE!</v>
      </c>
      <c r="HZ272" s="333" t="e">
        <f>Stock!T755+"'E4!/n`"</f>
        <v>#VALUE!</v>
      </c>
      <c r="IA272" t="e">
        <f>Stock!U755+"'E4!/na"</f>
        <v>#VALUE!</v>
      </c>
      <c r="IB272" t="e">
        <f>Stock!V755+"'E4!/nb"</f>
        <v>#VALUE!</v>
      </c>
      <c r="IC272" t="e">
        <f>Stock!W755+"'E4!/nc"</f>
        <v>#VALUE!</v>
      </c>
      <c r="ID272" t="e">
        <f>Stock!X755+"'E4!/nd"</f>
        <v>#VALUE!</v>
      </c>
      <c r="IE272" t="e">
        <f>Stock!Y755+"'E4!/ne"</f>
        <v>#VALUE!</v>
      </c>
      <c r="IF272" t="e">
        <f>Stock!N756+"'E4!/nf"</f>
        <v>#VALUE!</v>
      </c>
      <c r="IG272" t="e">
        <f>Stock!O756+"'E4!/ng"</f>
        <v>#VALUE!</v>
      </c>
      <c r="IH272" t="e">
        <f>Stock!P756+"'E4!/nh"</f>
        <v>#VALUE!</v>
      </c>
      <c r="II272" t="e">
        <f>Stock!Q756+"'E4!/ni"</f>
        <v>#VALUE!</v>
      </c>
      <c r="IJ272" s="333" t="e">
        <f>Stock!R756+"'E4!/nj"</f>
        <v>#VALUE!</v>
      </c>
      <c r="IK272" s="333" t="e">
        <f>Stock!S756+"'E4!/nk"</f>
        <v>#VALUE!</v>
      </c>
      <c r="IL272" s="333" t="e">
        <f>Stock!T756+"'E4!/nl"</f>
        <v>#VALUE!</v>
      </c>
      <c r="IM272" t="e">
        <f>Stock!U756+"'E4!/nm"</f>
        <v>#VALUE!</v>
      </c>
      <c r="IN272" t="e">
        <f>Stock!V756+"'E4!/nn"</f>
        <v>#VALUE!</v>
      </c>
      <c r="IO272" t="e">
        <f>Stock!W756+"'E4!/no"</f>
        <v>#VALUE!</v>
      </c>
      <c r="IP272" t="e">
        <f>Stock!X756+"'E4!/np"</f>
        <v>#VALUE!</v>
      </c>
      <c r="IQ272" t="e">
        <f>Stock!Y756+"'E4!/nq"</f>
        <v>#VALUE!</v>
      </c>
      <c r="IR272" t="e">
        <f>Stock!N757+"'E4!/nr"</f>
        <v>#VALUE!</v>
      </c>
      <c r="IS272" t="e">
        <f>Stock!O757+"'E4!/ns"</f>
        <v>#VALUE!</v>
      </c>
      <c r="IT272" t="e">
        <f>Stock!P757+"'E4!/nt"</f>
        <v>#VALUE!</v>
      </c>
      <c r="IU272" t="e">
        <f>Stock!Q757+"'E4!/nu"</f>
        <v>#VALUE!</v>
      </c>
      <c r="IV272" s="333" t="e">
        <f>Stock!R757+"'E4!/nv"</f>
        <v>#VALUE!</v>
      </c>
    </row>
    <row r="273" spans="6:256">
      <c r="F273" s="333" t="e">
        <f>Stock!S757+"'E4!/nw"</f>
        <v>#VALUE!</v>
      </c>
      <c r="G273" s="333" t="e">
        <f>Stock!T757+"'E4!/nx"</f>
        <v>#VALUE!</v>
      </c>
      <c r="H273" t="e">
        <f>Stock!U757+"'E4!/ny"</f>
        <v>#VALUE!</v>
      </c>
      <c r="I273" t="e">
        <f>Stock!V757+"'E4!/nz"</f>
        <v>#VALUE!</v>
      </c>
      <c r="J273" t="e">
        <f>Stock!W757+"'E4!/n{"</f>
        <v>#VALUE!</v>
      </c>
      <c r="K273" t="e">
        <f>Stock!X757+"'E4!/n|"</f>
        <v>#VALUE!</v>
      </c>
      <c r="L273" t="e">
        <f>Stock!Y757+"'E4!/n}"</f>
        <v>#VALUE!</v>
      </c>
      <c r="M273" t="e">
        <f>Stock!N758+"'E4!/n~"</f>
        <v>#VALUE!</v>
      </c>
      <c r="N273" t="e">
        <f>Stock!O758+"'E4!/o#"</f>
        <v>#VALUE!</v>
      </c>
      <c r="O273" t="e">
        <f>Stock!P758+"'E4!/o$"</f>
        <v>#VALUE!</v>
      </c>
      <c r="P273" t="e">
        <f>Stock!Q758+"'E4!/o%"</f>
        <v>#VALUE!</v>
      </c>
      <c r="Q273" s="333" t="e">
        <f>Stock!R758+"'E4!/o&amp;"</f>
        <v>#VALUE!</v>
      </c>
      <c r="R273" s="333" t="e">
        <f>Stock!S758+"'E4!/o'"</f>
        <v>#VALUE!</v>
      </c>
      <c r="S273" s="333" t="e">
        <f>Stock!T758+"'E4!/o("</f>
        <v>#VALUE!</v>
      </c>
      <c r="T273" t="e">
        <f>Stock!U758+"'E4!/o)"</f>
        <v>#VALUE!</v>
      </c>
      <c r="U273" t="e">
        <f>Stock!V758+"'E4!/o."</f>
        <v>#VALUE!</v>
      </c>
      <c r="V273" t="e">
        <f>Stock!W758+"'E4!/o/"</f>
        <v>#VALUE!</v>
      </c>
      <c r="W273" t="e">
        <f>Stock!X758+"'E4!/o0"</f>
        <v>#VALUE!</v>
      </c>
      <c r="X273" t="e">
        <f>Stock!Y758+"'E4!/o1"</f>
        <v>#VALUE!</v>
      </c>
      <c r="Y273" t="e">
        <f>Stock!N759+"'E4!/o2"</f>
        <v>#VALUE!</v>
      </c>
      <c r="Z273" t="e">
        <f>Stock!O759+"'E4!/o3"</f>
        <v>#VALUE!</v>
      </c>
      <c r="AA273" t="e">
        <f>Stock!P759+"'E4!/o4"</f>
        <v>#VALUE!</v>
      </c>
      <c r="AB273" t="e">
        <f>Stock!Q759+"'E4!/o5"</f>
        <v>#VALUE!</v>
      </c>
      <c r="AC273" t="e">
        <f>Stock!R759+"'E4!/o6"</f>
        <v>#VALUE!</v>
      </c>
      <c r="AD273" s="333" t="e">
        <f>Stock!S759+"'E4!/o7"</f>
        <v>#VALUE!</v>
      </c>
      <c r="AE273" t="e">
        <f>Stock!T759+"'E4!/o8"</f>
        <v>#VALUE!</v>
      </c>
      <c r="AF273" t="e">
        <f>Stock!U759+"'E4!/o9"</f>
        <v>#VALUE!</v>
      </c>
      <c r="AG273" t="e">
        <f>Stock!V759+"'E4!/o:"</f>
        <v>#VALUE!</v>
      </c>
      <c r="AH273" t="e">
        <f>Stock!X759+"'E4!/o;"</f>
        <v>#VALUE!</v>
      </c>
      <c r="AI273" t="e">
        <f>Stock!Y759+"'E4!/o&lt;"</f>
        <v>#VALUE!</v>
      </c>
      <c r="AJ273" t="e">
        <f>Stock!N760+"'E4!/o="</f>
        <v>#VALUE!</v>
      </c>
      <c r="AK273" t="e">
        <f>Stock!O760+"'E4!/o&gt;"</f>
        <v>#VALUE!</v>
      </c>
      <c r="AL273" t="e">
        <f>Stock!P760+"'E4!/o?"</f>
        <v>#VALUE!</v>
      </c>
      <c r="AM273" t="e">
        <f>Stock!Q760+"'E4!/o@"</f>
        <v>#VALUE!</v>
      </c>
      <c r="AN273" t="e">
        <f>Stock!R760+"'E4!/oA"</f>
        <v>#VALUE!</v>
      </c>
      <c r="AO273" s="333" t="e">
        <f>Stock!S760+"'E4!/oB"</f>
        <v>#VALUE!</v>
      </c>
      <c r="AP273" t="e">
        <f>Stock!T760+"'E4!/oC"</f>
        <v>#VALUE!</v>
      </c>
      <c r="AQ273" t="e">
        <f>Stock!U760+"'E4!/oD"</f>
        <v>#VALUE!</v>
      </c>
      <c r="AR273" t="e">
        <f>Stock!V760+"'E4!/oE"</f>
        <v>#VALUE!</v>
      </c>
      <c r="AS273" t="e">
        <f>Stock!X760+"'E4!/oF"</f>
        <v>#VALUE!</v>
      </c>
      <c r="AT273" t="e">
        <f>Stock!Y760+"'E4!/oG"</f>
        <v>#VALUE!</v>
      </c>
      <c r="AU273" t="e">
        <f>Stock!N761+"'E4!/oH"</f>
        <v>#VALUE!</v>
      </c>
      <c r="AV273" t="e">
        <f>Stock!O761+"'E4!/oI"</f>
        <v>#VALUE!</v>
      </c>
      <c r="AW273" t="e">
        <f>Stock!P761+"'E4!/oJ"</f>
        <v>#VALUE!</v>
      </c>
      <c r="AX273" t="e">
        <f>Stock!Q761+"'E4!/oK"</f>
        <v>#VALUE!</v>
      </c>
      <c r="AY273" t="e">
        <f>Stock!R761+"'E4!/oL"</f>
        <v>#VALUE!</v>
      </c>
      <c r="AZ273" s="333" t="e">
        <f>Stock!S761+"'E4!/oM"</f>
        <v>#VALUE!</v>
      </c>
      <c r="BA273" s="333" t="e">
        <f>Stock!T761+"'E4!/oN"</f>
        <v>#VALUE!</v>
      </c>
      <c r="BB273" t="e">
        <f>Stock!U761+"'E4!/oO"</f>
        <v>#VALUE!</v>
      </c>
      <c r="BC273" t="e">
        <f>Stock!V761+"'E4!/oP"</f>
        <v>#VALUE!</v>
      </c>
      <c r="BD273" t="e">
        <f>Stock!W761+"'E4!/oQ"</f>
        <v>#VALUE!</v>
      </c>
      <c r="BE273" t="e">
        <f>Stock!X761+"'E4!/oR"</f>
        <v>#VALUE!</v>
      </c>
      <c r="BF273" t="e">
        <f>Stock!Y761+"'E4!/oS"</f>
        <v>#VALUE!</v>
      </c>
      <c r="BG273" t="e">
        <f>Stock!N762+"'E4!/oT"</f>
        <v>#VALUE!</v>
      </c>
      <c r="BH273" t="e">
        <f>Stock!O762+"'E4!/oU"</f>
        <v>#VALUE!</v>
      </c>
      <c r="BI273" t="e">
        <f>Stock!P762+"'E4!/oV"</f>
        <v>#VALUE!</v>
      </c>
      <c r="BJ273" t="e">
        <f>Stock!Q762+"'E4!/oW"</f>
        <v>#VALUE!</v>
      </c>
      <c r="BK273" t="e">
        <f>Stock!R762+"'E4!/oX"</f>
        <v>#VALUE!</v>
      </c>
      <c r="BL273" s="333" t="e">
        <f>Stock!S762+"'E4!/oY"</f>
        <v>#VALUE!</v>
      </c>
      <c r="BM273" t="e">
        <f>Stock!T762+"'E4!/oZ"</f>
        <v>#VALUE!</v>
      </c>
      <c r="BN273" t="e">
        <f>Stock!U762+"'E4!/o["</f>
        <v>#VALUE!</v>
      </c>
      <c r="BO273" t="e">
        <f>Stock!V762+"'E4!/o\"</f>
        <v>#VALUE!</v>
      </c>
      <c r="BP273" t="e">
        <f>Stock!X762+"'E4!/o]"</f>
        <v>#VALUE!</v>
      </c>
      <c r="BQ273" t="e">
        <f>Stock!Y762+"'E4!/o^"</f>
        <v>#VALUE!</v>
      </c>
      <c r="BR273" t="e">
        <f>Stock!N763+"'E4!/o_"</f>
        <v>#VALUE!</v>
      </c>
      <c r="BS273" t="e">
        <f>Stock!O763+"'E4!/o`"</f>
        <v>#VALUE!</v>
      </c>
      <c r="BT273" t="e">
        <f>Stock!P763+"'E4!/oa"</f>
        <v>#VALUE!</v>
      </c>
      <c r="BU273" t="e">
        <f>Stock!Q763+"'E4!/ob"</f>
        <v>#VALUE!</v>
      </c>
      <c r="BV273" t="e">
        <f>Stock!R763+"'E4!/oc"</f>
        <v>#VALUE!</v>
      </c>
      <c r="BW273" s="333" t="e">
        <f>Stock!S763+"'E4!/od"</f>
        <v>#VALUE!</v>
      </c>
      <c r="BX273" t="e">
        <f>Stock!T763+"'E4!/oe"</f>
        <v>#VALUE!</v>
      </c>
      <c r="BY273" t="e">
        <f>Stock!U763+"'E4!/of"</f>
        <v>#VALUE!</v>
      </c>
      <c r="BZ273" t="e">
        <f>Stock!V763+"'E4!/og"</f>
        <v>#VALUE!</v>
      </c>
      <c r="CA273" t="e">
        <f>Stock!X763+"'E4!/oh"</f>
        <v>#VALUE!</v>
      </c>
      <c r="CB273" t="e">
        <f>Stock!Y763+"'E4!/oi"</f>
        <v>#VALUE!</v>
      </c>
      <c r="CC273" t="e">
        <f>Stock!N764+"'E4!/oj"</f>
        <v>#VALUE!</v>
      </c>
      <c r="CD273" t="e">
        <f>Stock!O764+"'E4!/ok"</f>
        <v>#VALUE!</v>
      </c>
      <c r="CE273" t="e">
        <f>Stock!P764+"'E4!/ol"</f>
        <v>#VALUE!</v>
      </c>
      <c r="CF273" t="e">
        <f>Stock!Q764+"'E4!/om"</f>
        <v>#VALUE!</v>
      </c>
      <c r="CG273" t="e">
        <f>Stock!R764+"'E4!/on"</f>
        <v>#VALUE!</v>
      </c>
      <c r="CH273" s="333" t="e">
        <f>Stock!S764+"'E4!/oo"</f>
        <v>#VALUE!</v>
      </c>
      <c r="CI273" s="333" t="e">
        <f>Stock!T764+"'E4!/op"</f>
        <v>#VALUE!</v>
      </c>
      <c r="CJ273" t="e">
        <f>Stock!U764+"'E4!/oq"</f>
        <v>#VALUE!</v>
      </c>
      <c r="CK273" t="e">
        <f>Stock!V764+"'E4!/or"</f>
        <v>#VALUE!</v>
      </c>
      <c r="CL273" t="e">
        <f>Stock!X764+"'E4!/os"</f>
        <v>#VALUE!</v>
      </c>
      <c r="CM273" t="e">
        <f>Stock!Y764+"'E4!/ot"</f>
        <v>#VALUE!</v>
      </c>
      <c r="CN273" t="e">
        <f>Stock!N765+"'E4!/ou"</f>
        <v>#VALUE!</v>
      </c>
      <c r="CO273" t="e">
        <f>Stock!O765+"'E4!/ov"</f>
        <v>#VALUE!</v>
      </c>
      <c r="CP273" t="e">
        <f>Stock!P765+"'E4!/ow"</f>
        <v>#VALUE!</v>
      </c>
      <c r="CQ273" t="e">
        <f>Stock!Q765+"'E4!/ox"</f>
        <v>#VALUE!</v>
      </c>
      <c r="CR273" t="e">
        <f>Stock!R765+"'E4!/oy"</f>
        <v>#VALUE!</v>
      </c>
      <c r="CS273" s="333" t="e">
        <f>Stock!S765+"'E4!/oz"</f>
        <v>#VALUE!</v>
      </c>
      <c r="CT273" s="333" t="e">
        <f>Stock!T765+"'E4!/o{"</f>
        <v>#VALUE!</v>
      </c>
      <c r="CU273" t="e">
        <f>Stock!U765+"'E4!/o|"</f>
        <v>#VALUE!</v>
      </c>
      <c r="CV273" t="e">
        <f>Stock!V765+"'E4!/o}"</f>
        <v>#VALUE!</v>
      </c>
      <c r="CW273" t="e">
        <f>Stock!X765+"'E4!/o~"</f>
        <v>#VALUE!</v>
      </c>
      <c r="CX273" t="e">
        <f>Stock!Y765+"'E4!/p#"</f>
        <v>#VALUE!</v>
      </c>
      <c r="CY273" t="e">
        <f>Stock!N766+"'E4!/p$"</f>
        <v>#VALUE!</v>
      </c>
      <c r="CZ273" t="e">
        <f>Stock!O766+"'E4!/p%"</f>
        <v>#VALUE!</v>
      </c>
      <c r="DA273" t="e">
        <f>Stock!P766+"'E4!/p&amp;"</f>
        <v>#VALUE!</v>
      </c>
      <c r="DB273" t="e">
        <f>Stock!Q766+"'E4!/p'"</f>
        <v>#VALUE!</v>
      </c>
      <c r="DC273" t="e">
        <f>Stock!R766+"'E4!/p("</f>
        <v>#VALUE!</v>
      </c>
      <c r="DD273" s="333" t="e">
        <f>Stock!S766+"'E4!/p)"</f>
        <v>#VALUE!</v>
      </c>
      <c r="DE273" s="333" t="e">
        <f>Stock!T766+"'E4!/p."</f>
        <v>#VALUE!</v>
      </c>
      <c r="DF273" t="e">
        <f>Stock!U766+"'E4!/p/"</f>
        <v>#VALUE!</v>
      </c>
      <c r="DG273" t="e">
        <f>Stock!V766+"'E4!/p0"</f>
        <v>#VALUE!</v>
      </c>
      <c r="DH273" t="e">
        <f>Stock!X766+"'E4!/p1"</f>
        <v>#VALUE!</v>
      </c>
      <c r="DI273" t="e">
        <f>Stock!Y766+"'E4!/p2"</f>
        <v>#VALUE!</v>
      </c>
      <c r="DJ273" t="e">
        <f>Stock!N767+"'E4!/p3"</f>
        <v>#VALUE!</v>
      </c>
      <c r="DK273" t="e">
        <f>Stock!O767+"'E4!/p4"</f>
        <v>#VALUE!</v>
      </c>
      <c r="DL273" t="e">
        <f>Stock!P767+"'E4!/p5"</f>
        <v>#VALUE!</v>
      </c>
      <c r="DM273" t="e">
        <f>Stock!Q767+"'E4!/p6"</f>
        <v>#VALUE!</v>
      </c>
      <c r="DN273" t="e">
        <f>Stock!R767+"'E4!/p7"</f>
        <v>#VALUE!</v>
      </c>
      <c r="DO273" s="333" t="e">
        <f>Stock!S767+"'E4!/p8"</f>
        <v>#VALUE!</v>
      </c>
      <c r="DP273" s="333" t="e">
        <f>Stock!T767+"'E4!/p9"</f>
        <v>#VALUE!</v>
      </c>
      <c r="DQ273" t="e">
        <f>Stock!U767+"'E4!/p:"</f>
        <v>#VALUE!</v>
      </c>
      <c r="DR273" t="e">
        <f>Stock!V767+"'E4!/p;"</f>
        <v>#VALUE!</v>
      </c>
      <c r="DS273" t="e">
        <f>Stock!X767+"'E4!/p&lt;"</f>
        <v>#VALUE!</v>
      </c>
      <c r="DT273" t="e">
        <f>Stock!Y767+"'E4!/p="</f>
        <v>#VALUE!</v>
      </c>
      <c r="DU273" t="e">
        <f>Stock!N768+"'E4!/p&gt;"</f>
        <v>#VALUE!</v>
      </c>
      <c r="DV273" t="e">
        <f>Stock!O768+"'E4!/p?"</f>
        <v>#VALUE!</v>
      </c>
      <c r="DW273" t="e">
        <f>Stock!P768+"'E4!/p@"</f>
        <v>#VALUE!</v>
      </c>
      <c r="DX273" t="e">
        <f>Stock!Q768+"'E4!/pA"</f>
        <v>#VALUE!</v>
      </c>
      <c r="DY273" t="e">
        <f>Stock!R768+"'E4!/pB"</f>
        <v>#VALUE!</v>
      </c>
      <c r="DZ273" s="333" t="e">
        <f>Stock!S768+"'E4!/pC"</f>
        <v>#VALUE!</v>
      </c>
      <c r="EA273" s="333" t="e">
        <f>Stock!T768+"'E4!/pD"</f>
        <v>#VALUE!</v>
      </c>
      <c r="EB273" t="e">
        <f>Stock!U768+"'E4!/pE"</f>
        <v>#VALUE!</v>
      </c>
      <c r="EC273" t="e">
        <f>Stock!V768+"'E4!/pF"</f>
        <v>#VALUE!</v>
      </c>
      <c r="ED273" t="e">
        <f>Stock!X768+"'E4!/pG"</f>
        <v>#VALUE!</v>
      </c>
      <c r="EE273" t="e">
        <f>Stock!Y768+"'E4!/pH"</f>
        <v>#VALUE!</v>
      </c>
      <c r="EF273" t="e">
        <f>Stock!N769+"'E4!/pI"</f>
        <v>#VALUE!</v>
      </c>
      <c r="EG273" t="e">
        <f>Stock!O769+"'E4!/pJ"</f>
        <v>#VALUE!</v>
      </c>
      <c r="EH273" t="e">
        <f>Stock!P769+"'E4!/pK"</f>
        <v>#VALUE!</v>
      </c>
      <c r="EI273" t="e">
        <f>Stock!Q769+"'E4!/pL"</f>
        <v>#VALUE!</v>
      </c>
      <c r="EJ273" t="e">
        <f>Stock!R769+"'E4!/pM"</f>
        <v>#VALUE!</v>
      </c>
      <c r="EK273" s="333" t="e">
        <f>Stock!S769+"'E4!/pN"</f>
        <v>#VALUE!</v>
      </c>
      <c r="EL273" s="333" t="e">
        <f>Stock!T769+"'E4!/pO"</f>
        <v>#VALUE!</v>
      </c>
      <c r="EM273" t="e">
        <f>Stock!U769+"'E4!/pP"</f>
        <v>#VALUE!</v>
      </c>
      <c r="EN273" t="e">
        <f>Stock!V769+"'E4!/pQ"</f>
        <v>#VALUE!</v>
      </c>
      <c r="EO273" t="e">
        <f>Stock!X769+"'E4!/pR"</f>
        <v>#VALUE!</v>
      </c>
      <c r="EP273" t="e">
        <f>Stock!Y769+"'E4!/pS"</f>
        <v>#VALUE!</v>
      </c>
      <c r="EQ273" t="e">
        <f>Stock!N770+"'E4!/pT"</f>
        <v>#VALUE!</v>
      </c>
      <c r="ER273" t="e">
        <f>Stock!O770+"'E4!/pU"</f>
        <v>#VALUE!</v>
      </c>
      <c r="ES273" t="e">
        <f>Stock!P770+"'E4!/pV"</f>
        <v>#VALUE!</v>
      </c>
      <c r="ET273" t="e">
        <f>Stock!Q770+"'E4!/pW"</f>
        <v>#VALUE!</v>
      </c>
      <c r="EU273" t="e">
        <f>Stock!R770+"'E4!/pX"</f>
        <v>#VALUE!</v>
      </c>
      <c r="EV273" s="333" t="e">
        <f>Stock!S770+"'E4!/pY"</f>
        <v>#VALUE!</v>
      </c>
      <c r="EW273" s="333" t="e">
        <f>Stock!T770+"'E4!/pZ"</f>
        <v>#VALUE!</v>
      </c>
      <c r="EX273" t="e">
        <f>Stock!U770+"'E4!/p["</f>
        <v>#VALUE!</v>
      </c>
      <c r="EY273" t="e">
        <f>Stock!V770+"'E4!/p\"</f>
        <v>#VALUE!</v>
      </c>
      <c r="EZ273" t="e">
        <f>Stock!X770+"'E4!/p]"</f>
        <v>#VALUE!</v>
      </c>
      <c r="FA273" t="e">
        <f>Stock!Y770+"'E4!/p^"</f>
        <v>#VALUE!</v>
      </c>
      <c r="FB273" t="e">
        <f>Stock!N771+"'E4!/p_"</f>
        <v>#VALUE!</v>
      </c>
      <c r="FC273" t="e">
        <f>Stock!O771+"'E4!/p`"</f>
        <v>#VALUE!</v>
      </c>
      <c r="FD273" t="e">
        <f>Stock!P771+"'E4!/pa"</f>
        <v>#VALUE!</v>
      </c>
      <c r="FE273" t="e">
        <f>Stock!Q771+"'E4!/pb"</f>
        <v>#VALUE!</v>
      </c>
      <c r="FF273" t="e">
        <f>Stock!R771+"'E4!/pc"</f>
        <v>#VALUE!</v>
      </c>
      <c r="FG273" s="333" t="e">
        <f>Stock!S771+"'E4!/pd"</f>
        <v>#VALUE!</v>
      </c>
      <c r="FH273" s="333" t="e">
        <f>Stock!T771+"'E4!/pe"</f>
        <v>#VALUE!</v>
      </c>
      <c r="FI273" t="e">
        <f>Stock!U771+"'E4!/pf"</f>
        <v>#VALUE!</v>
      </c>
      <c r="FJ273" t="e">
        <f>Stock!V771+"'E4!/pg"</f>
        <v>#VALUE!</v>
      </c>
      <c r="FK273" t="e">
        <f>Stock!X771+"'E4!/ph"</f>
        <v>#VALUE!</v>
      </c>
      <c r="FL273" t="e">
        <f>Stock!Y771+"'E4!/pi"</f>
        <v>#VALUE!</v>
      </c>
      <c r="FM273" t="e">
        <f>Stock!N772+"'E4!/pj"</f>
        <v>#VALUE!</v>
      </c>
      <c r="FN273" t="e">
        <f>Stock!O772+"'E4!/pk"</f>
        <v>#VALUE!</v>
      </c>
      <c r="FO273" t="e">
        <f>Stock!P772+"'E4!/pl"</f>
        <v>#VALUE!</v>
      </c>
      <c r="FP273" t="e">
        <f>Stock!Q772+"'E4!/pm"</f>
        <v>#VALUE!</v>
      </c>
      <c r="FQ273" t="e">
        <f>Stock!R772+"'E4!/pn"</f>
        <v>#VALUE!</v>
      </c>
      <c r="FR273" s="333" t="e">
        <f>Stock!S772+"'E4!/po"</f>
        <v>#VALUE!</v>
      </c>
      <c r="FS273" s="333" t="e">
        <f>Stock!T772+"'E4!/pp"</f>
        <v>#VALUE!</v>
      </c>
      <c r="FT273" t="e">
        <f>Stock!U772+"'E4!/pq"</f>
        <v>#VALUE!</v>
      </c>
      <c r="FU273" t="e">
        <f>Stock!V772+"'E4!/pr"</f>
        <v>#VALUE!</v>
      </c>
      <c r="FV273" t="e">
        <f>Stock!X772+"'E4!/ps"</f>
        <v>#VALUE!</v>
      </c>
      <c r="FW273" t="e">
        <f>Stock!Y772+"'E4!/pt"</f>
        <v>#VALUE!</v>
      </c>
      <c r="FX273" t="e">
        <f>Stock!N773+"'E4!/pu"</f>
        <v>#VALUE!</v>
      </c>
      <c r="FY273" t="e">
        <f>Stock!O773+"'E4!/pv"</f>
        <v>#VALUE!</v>
      </c>
      <c r="FZ273" t="e">
        <f>Stock!P773+"'E4!/pw"</f>
        <v>#VALUE!</v>
      </c>
      <c r="GA273" t="e">
        <f>Stock!Q773+"'E4!/px"</f>
        <v>#VALUE!</v>
      </c>
      <c r="GB273" t="e">
        <f>Stock!R773+"'E4!/py"</f>
        <v>#VALUE!</v>
      </c>
      <c r="GC273" s="333" t="e">
        <f>Stock!S773+"'E4!/pz"</f>
        <v>#VALUE!</v>
      </c>
      <c r="GD273" s="333" t="e">
        <f>Stock!T773+"'E4!/p{"</f>
        <v>#VALUE!</v>
      </c>
      <c r="GE273" t="e">
        <f>Stock!U773+"'E4!/p|"</f>
        <v>#VALUE!</v>
      </c>
      <c r="GF273" t="e">
        <f>Stock!V773+"'E4!/p}"</f>
        <v>#VALUE!</v>
      </c>
      <c r="GG273" t="e">
        <f>Stock!X773+"'E4!/p~"</f>
        <v>#VALUE!</v>
      </c>
      <c r="GH273" t="e">
        <f>Stock!Y773+"'E4!/q#"</f>
        <v>#VALUE!</v>
      </c>
      <c r="GI273" t="e">
        <f>Stock!N774+"'E4!/q$"</f>
        <v>#VALUE!</v>
      </c>
      <c r="GJ273" t="e">
        <f>Stock!O774+"'E4!/q%"</f>
        <v>#VALUE!</v>
      </c>
      <c r="GK273" t="e">
        <f>Stock!P774+"'E4!/q&amp;"</f>
        <v>#VALUE!</v>
      </c>
      <c r="GL273" t="e">
        <f>Stock!Q774+"'E4!/q'"</f>
        <v>#VALUE!</v>
      </c>
      <c r="GM273" t="e">
        <f>Stock!R774+"'E4!/q("</f>
        <v>#VALUE!</v>
      </c>
      <c r="GN273" s="333" t="e">
        <f>Stock!S774+"'E4!/q)"</f>
        <v>#VALUE!</v>
      </c>
      <c r="GO273" s="333" t="e">
        <f>Stock!T774+"'E4!/q."</f>
        <v>#VALUE!</v>
      </c>
      <c r="GP273" t="e">
        <f>Stock!U774+"'E4!/q/"</f>
        <v>#VALUE!</v>
      </c>
      <c r="GQ273" t="e">
        <f>Stock!V774+"'E4!/q0"</f>
        <v>#VALUE!</v>
      </c>
      <c r="GR273" t="e">
        <f>Stock!X774+"'E4!/q1"</f>
        <v>#VALUE!</v>
      </c>
      <c r="GS273" t="e">
        <f>Stock!Y774+"'E4!/q2"</f>
        <v>#VALUE!</v>
      </c>
      <c r="GT273" t="e">
        <f>Stock!N775+"'E4!/q3"</f>
        <v>#VALUE!</v>
      </c>
      <c r="GU273" t="e">
        <f>Stock!O775+"'E4!/q4"</f>
        <v>#VALUE!</v>
      </c>
      <c r="GV273" t="e">
        <f>Stock!P775+"'E4!/q5"</f>
        <v>#VALUE!</v>
      </c>
      <c r="GW273" t="e">
        <f>Stock!Q775+"'E4!/q6"</f>
        <v>#VALUE!</v>
      </c>
      <c r="GX273" t="e">
        <f>Stock!R775+"'E4!/q7"</f>
        <v>#VALUE!</v>
      </c>
      <c r="GY273" s="333" t="e">
        <f>Stock!S775+"'E4!/q8"</f>
        <v>#VALUE!</v>
      </c>
      <c r="GZ273" s="333" t="e">
        <f>Stock!T775+"'E4!/q9"</f>
        <v>#VALUE!</v>
      </c>
      <c r="HA273" t="e">
        <f>Stock!U775+"'E4!/q:"</f>
        <v>#VALUE!</v>
      </c>
      <c r="HB273" t="e">
        <f>Stock!V775+"'E4!/q;"</f>
        <v>#VALUE!</v>
      </c>
      <c r="HC273" t="e">
        <f>Stock!X775+"'E4!/q&lt;"</f>
        <v>#VALUE!</v>
      </c>
      <c r="HD273" t="e">
        <f>Stock!Y775+"'E4!/q="</f>
        <v>#VALUE!</v>
      </c>
      <c r="HE273" t="e">
        <f>Stock!N776+"'E4!/q&gt;"</f>
        <v>#VALUE!</v>
      </c>
      <c r="HF273" t="e">
        <f>Stock!O776+"'E4!/q?"</f>
        <v>#VALUE!</v>
      </c>
      <c r="HG273" t="e">
        <f>Stock!P776+"'E4!/q@"</f>
        <v>#VALUE!</v>
      </c>
      <c r="HH273" t="e">
        <f>Stock!Q776+"'E4!/qA"</f>
        <v>#VALUE!</v>
      </c>
      <c r="HI273" t="e">
        <f>Stock!R776+"'E4!/qB"</f>
        <v>#VALUE!</v>
      </c>
      <c r="HJ273" s="333" t="e">
        <f>Stock!S776+"'E4!/qC"</f>
        <v>#VALUE!</v>
      </c>
      <c r="HK273" s="333" t="e">
        <f>Stock!T776+"'E4!/qD"</f>
        <v>#VALUE!</v>
      </c>
      <c r="HL273" t="e">
        <f>Stock!U776+"'E4!/qE"</f>
        <v>#VALUE!</v>
      </c>
      <c r="HM273" t="e">
        <f>Stock!V776+"'E4!/qF"</f>
        <v>#VALUE!</v>
      </c>
      <c r="HN273" t="e">
        <f>Stock!X776+"'E4!/qG"</f>
        <v>#VALUE!</v>
      </c>
      <c r="HO273" t="e">
        <f>Stock!Y776+"'E4!/qH"</f>
        <v>#VALUE!</v>
      </c>
      <c r="HP273" t="e">
        <f>Stock!N777+"'E4!/qI"</f>
        <v>#VALUE!</v>
      </c>
      <c r="HQ273" t="e">
        <f>Stock!O777+"'E4!/qJ"</f>
        <v>#VALUE!</v>
      </c>
      <c r="HR273" t="e">
        <f>Stock!P777+"'E4!/qK"</f>
        <v>#VALUE!</v>
      </c>
      <c r="HS273" t="e">
        <f>Stock!Q777+"'E4!/qL"</f>
        <v>#VALUE!</v>
      </c>
      <c r="HT273" t="e">
        <f>Stock!R777+"'E4!/qM"</f>
        <v>#VALUE!</v>
      </c>
      <c r="HU273" s="333" t="e">
        <f>Stock!S777+"'E4!/qN"</f>
        <v>#VALUE!</v>
      </c>
      <c r="HV273" s="333" t="e">
        <f>Stock!T777+"'E4!/qO"</f>
        <v>#VALUE!</v>
      </c>
      <c r="HW273" t="e">
        <f>Stock!U777+"'E4!/qP"</f>
        <v>#VALUE!</v>
      </c>
      <c r="HX273" t="e">
        <f>Stock!V777+"'E4!/qQ"</f>
        <v>#VALUE!</v>
      </c>
      <c r="HY273" t="e">
        <f>Stock!X777+"'E4!/qR"</f>
        <v>#VALUE!</v>
      </c>
      <c r="HZ273" t="e">
        <f>Stock!Y777+"'E4!/qS"</f>
        <v>#VALUE!</v>
      </c>
      <c r="IA273" t="e">
        <f>Stock!N778+"'E4!/qT"</f>
        <v>#VALUE!</v>
      </c>
      <c r="IB273" t="e">
        <f>Stock!O778+"'E4!/qU"</f>
        <v>#VALUE!</v>
      </c>
      <c r="IC273" t="e">
        <f>Stock!P778+"'E4!/qV"</f>
        <v>#VALUE!</v>
      </c>
      <c r="ID273" t="e">
        <f>Stock!Q778+"'E4!/qW"</f>
        <v>#VALUE!</v>
      </c>
      <c r="IE273" t="e">
        <f>Stock!R778+"'E4!/qX"</f>
        <v>#VALUE!</v>
      </c>
      <c r="IF273" s="333" t="e">
        <f>Stock!S778+"'E4!/qY"</f>
        <v>#VALUE!</v>
      </c>
      <c r="IG273" s="333" t="e">
        <f>Stock!T778+"'E4!/qZ"</f>
        <v>#VALUE!</v>
      </c>
      <c r="IH273" t="e">
        <f>Stock!U778+"'E4!/q["</f>
        <v>#VALUE!</v>
      </c>
      <c r="II273" t="e">
        <f>Stock!V778+"'E4!/q\"</f>
        <v>#VALUE!</v>
      </c>
      <c r="IJ273" t="e">
        <f>Stock!X778+"'E4!/q]"</f>
        <v>#VALUE!</v>
      </c>
      <c r="IK273" t="e">
        <f>Stock!Y778+"'E4!/q^"</f>
        <v>#VALUE!</v>
      </c>
      <c r="IL273" t="e">
        <f>Stock!N779+"'E4!/q_"</f>
        <v>#VALUE!</v>
      </c>
      <c r="IM273" t="e">
        <f>Stock!O779+"'E4!/q`"</f>
        <v>#VALUE!</v>
      </c>
      <c r="IN273" t="e">
        <f>Stock!P779+"'E4!/qa"</f>
        <v>#VALUE!</v>
      </c>
      <c r="IO273" t="e">
        <f>Stock!Q779+"'E4!/qb"</f>
        <v>#VALUE!</v>
      </c>
      <c r="IP273" t="e">
        <f>Stock!R779+"'E4!/qc"</f>
        <v>#VALUE!</v>
      </c>
      <c r="IQ273" s="333" t="e">
        <f>Stock!S779+"'E4!/qd"</f>
        <v>#VALUE!</v>
      </c>
      <c r="IR273" s="333" t="e">
        <f>Stock!T779+"'E4!/qe"</f>
        <v>#VALUE!</v>
      </c>
      <c r="IS273" t="e">
        <f>Stock!U779+"'E4!/qf"</f>
        <v>#VALUE!</v>
      </c>
      <c r="IT273" t="e">
        <f>Stock!V779+"'E4!/qg"</f>
        <v>#VALUE!</v>
      </c>
      <c r="IU273" t="e">
        <f>Stock!X779+"'E4!/qh"</f>
        <v>#VALUE!</v>
      </c>
      <c r="IV273" t="e">
        <f>Stock!Y779+"'E4!/qi"</f>
        <v>#VALUE!</v>
      </c>
    </row>
    <row r="274" spans="6:256">
      <c r="F274" t="e">
        <f>Stock!N780+"'E4!/qj"</f>
        <v>#VALUE!</v>
      </c>
      <c r="G274" t="e">
        <f>Stock!O780+"'E4!/qk"</f>
        <v>#VALUE!</v>
      </c>
      <c r="H274" t="e">
        <f>Stock!P780+"'E4!/ql"</f>
        <v>#VALUE!</v>
      </c>
      <c r="I274" t="e">
        <f>Stock!Q780+"'E4!/qm"</f>
        <v>#VALUE!</v>
      </c>
      <c r="J274" t="e">
        <f>Stock!R780+"'E4!/qn"</f>
        <v>#VALUE!</v>
      </c>
      <c r="K274" s="333" t="e">
        <f>Stock!S780+"'E4!/qo"</f>
        <v>#VALUE!</v>
      </c>
      <c r="L274" s="333" t="e">
        <f>Stock!T780+"'E4!/qp"</f>
        <v>#VALUE!</v>
      </c>
      <c r="M274" t="e">
        <f>Stock!U780+"'E4!/qq"</f>
        <v>#VALUE!</v>
      </c>
      <c r="N274" t="e">
        <f>Stock!V780+"'E4!/qr"</f>
        <v>#VALUE!</v>
      </c>
      <c r="O274" t="e">
        <f>Stock!X780+"'E4!/qs"</f>
        <v>#VALUE!</v>
      </c>
      <c r="P274" t="e">
        <f>Stock!Y780+"'E4!/qt"</f>
        <v>#VALUE!</v>
      </c>
      <c r="Q274" t="e">
        <f>Stock!N781+"'E4!/qu"</f>
        <v>#VALUE!</v>
      </c>
      <c r="R274" t="e">
        <f>Stock!O781+"'E4!/qv"</f>
        <v>#VALUE!</v>
      </c>
      <c r="S274" t="e">
        <f>Stock!P781+"'E4!/qw"</f>
        <v>#VALUE!</v>
      </c>
      <c r="T274" t="e">
        <f>Stock!Q781+"'E4!/qx"</f>
        <v>#VALUE!</v>
      </c>
      <c r="U274" t="e">
        <f>Stock!R781+"'E4!/qy"</f>
        <v>#VALUE!</v>
      </c>
      <c r="V274" s="333" t="e">
        <f>Stock!S781+"'E4!/qz"</f>
        <v>#VALUE!</v>
      </c>
      <c r="W274" s="333" t="e">
        <f>Stock!T781+"'E4!/q{"</f>
        <v>#VALUE!</v>
      </c>
      <c r="X274" t="e">
        <f>Stock!U781+"'E4!/q|"</f>
        <v>#VALUE!</v>
      </c>
      <c r="Y274" t="e">
        <f>Stock!V781+"'E4!/q}"</f>
        <v>#VALUE!</v>
      </c>
      <c r="Z274" t="e">
        <f>Stock!W781+"'E4!/q~"</f>
        <v>#VALUE!</v>
      </c>
      <c r="AA274" t="e">
        <f>Stock!X781+"'E4!/r#"</f>
        <v>#VALUE!</v>
      </c>
      <c r="AB274" t="e">
        <f>Stock!Y781+"'E4!/r$"</f>
        <v>#VALUE!</v>
      </c>
      <c r="AC274" t="e">
        <f>Stock!N782+"'E4!/r%"</f>
        <v>#VALUE!</v>
      </c>
      <c r="AD274" t="e">
        <f>Stock!O782+"'E4!/r&amp;"</f>
        <v>#VALUE!</v>
      </c>
      <c r="AE274" t="e">
        <f>Stock!P782+"'E4!/r'"</f>
        <v>#VALUE!</v>
      </c>
      <c r="AF274" t="e">
        <f>Stock!Q782+"'E4!/r("</f>
        <v>#VALUE!</v>
      </c>
      <c r="AG274" t="e">
        <f>Stock!R782+"'E4!/r)"</f>
        <v>#VALUE!</v>
      </c>
      <c r="AH274" s="333" t="e">
        <f>Stock!S782+"'E4!/r."</f>
        <v>#VALUE!</v>
      </c>
      <c r="AI274" s="333" t="e">
        <f>Stock!T782+"'E4!/r/"</f>
        <v>#VALUE!</v>
      </c>
      <c r="AJ274" t="e">
        <f>Stock!U782+"'E4!/r0"</f>
        <v>#VALUE!</v>
      </c>
      <c r="AK274" t="e">
        <f>Stock!V782+"'E4!/r1"</f>
        <v>#VALUE!</v>
      </c>
      <c r="AL274" t="e">
        <f>Stock!X782+"'E4!/r2"</f>
        <v>#VALUE!</v>
      </c>
      <c r="AM274" t="e">
        <f>Stock!Y782+"'E4!/r3"</f>
        <v>#VALUE!</v>
      </c>
      <c r="AN274" t="e">
        <f>Stock!N783+"'E4!/r4"</f>
        <v>#VALUE!</v>
      </c>
      <c r="AO274" t="e">
        <f>Stock!O783+"'E4!/r5"</f>
        <v>#VALUE!</v>
      </c>
      <c r="AP274" t="e">
        <f>Stock!P783+"'E4!/r6"</f>
        <v>#VALUE!</v>
      </c>
      <c r="AQ274" t="e">
        <f>Stock!Q783+"'E4!/r7"</f>
        <v>#VALUE!</v>
      </c>
      <c r="AR274" t="e">
        <f>Stock!R783+"'E4!/r8"</f>
        <v>#VALUE!</v>
      </c>
      <c r="AS274" s="333" t="e">
        <f>Stock!S783+"'E4!/r9"</f>
        <v>#VALUE!</v>
      </c>
      <c r="AT274" s="333" t="e">
        <f>Stock!T783+"'E4!/r:"</f>
        <v>#VALUE!</v>
      </c>
      <c r="AU274" t="e">
        <f>Stock!U783+"'E4!/r;"</f>
        <v>#VALUE!</v>
      </c>
      <c r="AV274" t="e">
        <f>Stock!V783+"'E4!/r&lt;"</f>
        <v>#VALUE!</v>
      </c>
      <c r="AW274" t="e">
        <f>Stock!X783+"'E4!/r="</f>
        <v>#VALUE!</v>
      </c>
      <c r="AX274" t="e">
        <f>Stock!Y783+"'E4!/r&gt;"</f>
        <v>#VALUE!</v>
      </c>
      <c r="AY274" t="e">
        <f>Stock!N784+"'E4!/r?"</f>
        <v>#VALUE!</v>
      </c>
      <c r="AZ274" t="e">
        <f>Stock!O784+"'E4!/r@"</f>
        <v>#VALUE!</v>
      </c>
      <c r="BA274" t="e">
        <f>Stock!P784+"'E4!/rA"</f>
        <v>#VALUE!</v>
      </c>
      <c r="BB274" t="e">
        <f>Stock!Q784+"'E4!/rB"</f>
        <v>#VALUE!</v>
      </c>
      <c r="BC274" t="e">
        <f>Stock!R784+"'E4!/rC"</f>
        <v>#VALUE!</v>
      </c>
      <c r="BD274" s="333" t="e">
        <f>Stock!S784+"'E4!/rD"</f>
        <v>#VALUE!</v>
      </c>
      <c r="BE274" s="333" t="e">
        <f>Stock!T784+"'E4!/rE"</f>
        <v>#VALUE!</v>
      </c>
      <c r="BF274" t="e">
        <f>Stock!U784+"'E4!/rF"</f>
        <v>#VALUE!</v>
      </c>
      <c r="BG274" t="e">
        <f>Stock!V784+"'E4!/rG"</f>
        <v>#VALUE!</v>
      </c>
      <c r="BH274" t="e">
        <f>Stock!X784+"'E4!/rH"</f>
        <v>#VALUE!</v>
      </c>
      <c r="BI274" t="e">
        <f>Stock!Y784+"'E4!/rI"</f>
        <v>#VALUE!</v>
      </c>
      <c r="BJ274" t="e">
        <f>Stock!N785+"'E4!/rJ"</f>
        <v>#VALUE!</v>
      </c>
      <c r="BK274" t="e">
        <f>Stock!O785+"'E4!/rK"</f>
        <v>#VALUE!</v>
      </c>
      <c r="BL274" t="e">
        <f>Stock!P785+"'E4!/rL"</f>
        <v>#VALUE!</v>
      </c>
      <c r="BM274" t="e">
        <f>Stock!Q785+"'E4!/rM"</f>
        <v>#VALUE!</v>
      </c>
      <c r="BN274" t="e">
        <f>Stock!R785+"'E4!/rN"</f>
        <v>#VALUE!</v>
      </c>
      <c r="BO274" s="333" t="e">
        <f>Stock!S785+"'E4!/rO"</f>
        <v>#VALUE!</v>
      </c>
      <c r="BP274" s="333" t="e">
        <f>Stock!T785+"'E4!/rP"</f>
        <v>#VALUE!</v>
      </c>
      <c r="BQ274" t="e">
        <f>Stock!U785+"'E4!/rQ"</f>
        <v>#VALUE!</v>
      </c>
      <c r="BR274" t="e">
        <f>Stock!V785+"'E4!/rR"</f>
        <v>#VALUE!</v>
      </c>
      <c r="BS274" t="e">
        <f>Stock!X785+"'E4!/rS"</f>
        <v>#VALUE!</v>
      </c>
      <c r="BT274" t="e">
        <f>Stock!Y785+"'E4!/rT"</f>
        <v>#VALUE!</v>
      </c>
      <c r="BU274" t="e">
        <f>Stock!N786+"'E4!/rU"</f>
        <v>#VALUE!</v>
      </c>
      <c r="BV274" t="e">
        <f>Stock!O786+"'E4!/rV"</f>
        <v>#VALUE!</v>
      </c>
      <c r="BW274" t="e">
        <f>Stock!P786+"'E4!/rW"</f>
        <v>#VALUE!</v>
      </c>
      <c r="BX274" t="e">
        <f>Stock!Q786+"'E4!/rX"</f>
        <v>#VALUE!</v>
      </c>
      <c r="BY274" t="e">
        <f>Stock!R786+"'E4!/rY"</f>
        <v>#VALUE!</v>
      </c>
      <c r="BZ274" s="333" t="e">
        <f>Stock!S786+"'E4!/rZ"</f>
        <v>#VALUE!</v>
      </c>
      <c r="CA274" s="333" t="e">
        <f>Stock!T786+"'E4!/r["</f>
        <v>#VALUE!</v>
      </c>
      <c r="CB274" t="e">
        <f>Stock!U786+"'E4!/r\"</f>
        <v>#VALUE!</v>
      </c>
      <c r="CC274" t="e">
        <f>Stock!V786+"'E4!/r]"</f>
        <v>#VALUE!</v>
      </c>
      <c r="CD274" t="e">
        <f>Stock!X786+"'E4!/r^"</f>
        <v>#VALUE!</v>
      </c>
      <c r="CE274" t="e">
        <f>Stock!Y786+"'E4!/r_"</f>
        <v>#VALUE!</v>
      </c>
      <c r="CF274" t="e">
        <f>Stock!N787+"'E4!/r`"</f>
        <v>#VALUE!</v>
      </c>
      <c r="CG274" t="e">
        <f>Stock!O787+"'E4!/ra"</f>
        <v>#VALUE!</v>
      </c>
      <c r="CH274" t="e">
        <f>Stock!P787+"'E4!/rb"</f>
        <v>#VALUE!</v>
      </c>
      <c r="CI274" t="e">
        <f>Stock!Q787+"'E4!/rc"</f>
        <v>#VALUE!</v>
      </c>
      <c r="CJ274" t="e">
        <f>Stock!R787+"'E4!/rd"</f>
        <v>#VALUE!</v>
      </c>
      <c r="CK274" s="333" t="e">
        <f>Stock!S787+"'E4!/re"</f>
        <v>#VALUE!</v>
      </c>
      <c r="CL274" s="333" t="e">
        <f>Stock!T787+"'E4!/rf"</f>
        <v>#VALUE!</v>
      </c>
      <c r="CM274" t="e">
        <f>Stock!U787+"'E4!/rg"</f>
        <v>#VALUE!</v>
      </c>
      <c r="CN274" t="e">
        <f>Stock!V787+"'E4!/rh"</f>
        <v>#VALUE!</v>
      </c>
      <c r="CO274" t="e">
        <f>Stock!X787+"'E4!/ri"</f>
        <v>#VALUE!</v>
      </c>
      <c r="CP274" t="e">
        <f>Stock!Y787+"'E4!/rj"</f>
        <v>#VALUE!</v>
      </c>
      <c r="CQ274" t="e">
        <f>Stock!N788+"'E4!/rk"</f>
        <v>#VALUE!</v>
      </c>
      <c r="CR274" t="e">
        <f>Stock!O788+"'E4!/rl"</f>
        <v>#VALUE!</v>
      </c>
      <c r="CS274" t="e">
        <f>Stock!P788+"'E4!/rm"</f>
        <v>#VALUE!</v>
      </c>
      <c r="CT274" t="e">
        <f>Stock!Q788+"'E4!/rn"</f>
        <v>#VALUE!</v>
      </c>
      <c r="CU274" t="e">
        <f>Stock!R788+"'E4!/ro"</f>
        <v>#VALUE!</v>
      </c>
      <c r="CV274" s="333" t="e">
        <f>Stock!S788+"'E4!/rp"</f>
        <v>#VALUE!</v>
      </c>
      <c r="CW274" s="333" t="e">
        <f>Stock!T788+"'E4!/rq"</f>
        <v>#VALUE!</v>
      </c>
      <c r="CX274" t="e">
        <f>Stock!U788+"'E4!/rr"</f>
        <v>#VALUE!</v>
      </c>
      <c r="CY274" t="e">
        <f>Stock!V788+"'E4!/rs"</f>
        <v>#VALUE!</v>
      </c>
      <c r="CZ274" t="e">
        <f>Stock!X788+"'E4!/rt"</f>
        <v>#VALUE!</v>
      </c>
      <c r="DA274" t="e">
        <f>Stock!Y788+"'E4!/ru"</f>
        <v>#VALUE!</v>
      </c>
      <c r="DB274" t="e">
        <f>Stock!N789+"'E4!/rv"</f>
        <v>#VALUE!</v>
      </c>
      <c r="DC274" t="e">
        <f>Stock!O789+"'E4!/rw"</f>
        <v>#VALUE!</v>
      </c>
      <c r="DD274" t="e">
        <f>Stock!P789+"'E4!/rx"</f>
        <v>#VALUE!</v>
      </c>
      <c r="DE274" t="e">
        <f>Stock!Q789+"'E4!/ry"</f>
        <v>#VALUE!</v>
      </c>
      <c r="DF274" t="e">
        <f>Stock!R789+"'E4!/rz"</f>
        <v>#VALUE!</v>
      </c>
      <c r="DG274" s="333" t="e">
        <f>Stock!S789+"'E4!/r{"</f>
        <v>#VALUE!</v>
      </c>
      <c r="DH274" s="333" t="e">
        <f>Stock!T789+"'E4!/r|"</f>
        <v>#VALUE!</v>
      </c>
      <c r="DI274" t="e">
        <f>Stock!U789+"'E4!/r}"</f>
        <v>#VALUE!</v>
      </c>
      <c r="DJ274" t="e">
        <f>Stock!V789+"'E4!/r~"</f>
        <v>#VALUE!</v>
      </c>
      <c r="DK274" t="e">
        <f>Stock!X789+"'E4!/s#"</f>
        <v>#VALUE!</v>
      </c>
      <c r="DL274" t="e">
        <f>Stock!Y789+"'E4!/s$"</f>
        <v>#VALUE!</v>
      </c>
      <c r="DM274" t="e">
        <f>Stock!N790+"'E4!/s%"</f>
        <v>#VALUE!</v>
      </c>
      <c r="DN274" t="e">
        <f>Stock!O790+"'E4!/s&amp;"</f>
        <v>#VALUE!</v>
      </c>
      <c r="DO274" t="e">
        <f>Stock!P790+"'E4!/s'"</f>
        <v>#VALUE!</v>
      </c>
      <c r="DP274" t="e">
        <f>Stock!Q790+"'E4!/s("</f>
        <v>#VALUE!</v>
      </c>
      <c r="DQ274" t="e">
        <f>Stock!R790+"'E4!/s)"</f>
        <v>#VALUE!</v>
      </c>
      <c r="DR274" s="333" t="e">
        <f>Stock!S790+"'E4!/s."</f>
        <v>#VALUE!</v>
      </c>
      <c r="DS274" s="333" t="e">
        <f>Stock!T790+"'E4!/s/"</f>
        <v>#VALUE!</v>
      </c>
      <c r="DT274" t="e">
        <f>Stock!U790+"'E4!/s0"</f>
        <v>#VALUE!</v>
      </c>
      <c r="DU274" t="e">
        <f>Stock!V790+"'E4!/s1"</f>
        <v>#VALUE!</v>
      </c>
      <c r="DV274" t="e">
        <f>Stock!X790+"'E4!/s2"</f>
        <v>#VALUE!</v>
      </c>
      <c r="DW274" t="e">
        <f>Stock!Y790+"'E4!/s3"</f>
        <v>#VALUE!</v>
      </c>
      <c r="DX274" t="e">
        <f>Stock!N791+"'E4!/s4"</f>
        <v>#VALUE!</v>
      </c>
      <c r="DY274" t="e">
        <f>Stock!O791+"'E4!/s5"</f>
        <v>#VALUE!</v>
      </c>
      <c r="DZ274" t="e">
        <f>Stock!P791+"'E4!/s6"</f>
        <v>#VALUE!</v>
      </c>
      <c r="EA274" t="e">
        <f>Stock!Q791+"'E4!/s7"</f>
        <v>#VALUE!</v>
      </c>
      <c r="EB274" t="e">
        <f>Stock!R791+"'E4!/s8"</f>
        <v>#VALUE!</v>
      </c>
      <c r="EC274" s="333" t="e">
        <f>Stock!S791+"'E4!/s9"</f>
        <v>#VALUE!</v>
      </c>
      <c r="ED274" s="333" t="e">
        <f>Stock!T791+"'E4!/s:"</f>
        <v>#VALUE!</v>
      </c>
      <c r="EE274" t="e">
        <f>Stock!U791+"'E4!/s;"</f>
        <v>#VALUE!</v>
      </c>
      <c r="EF274" t="e">
        <f>Stock!V791+"'E4!/s&lt;"</f>
        <v>#VALUE!</v>
      </c>
      <c r="EG274" t="e">
        <f>Stock!X791+"'E4!/s="</f>
        <v>#VALUE!</v>
      </c>
      <c r="EH274" t="e">
        <f>Stock!Y791+"'E4!/s&gt;"</f>
        <v>#VALUE!</v>
      </c>
      <c r="EI274" t="e">
        <f>Stock!N792+"'E4!/s?"</f>
        <v>#VALUE!</v>
      </c>
      <c r="EJ274" t="e">
        <f>Stock!O792+"'E4!/s@"</f>
        <v>#VALUE!</v>
      </c>
      <c r="EK274" t="e">
        <f>Stock!P792+"'E4!/sA"</f>
        <v>#VALUE!</v>
      </c>
      <c r="EL274" t="e">
        <f>Stock!Q792+"'E4!/sB"</f>
        <v>#VALUE!</v>
      </c>
      <c r="EM274" t="e">
        <f>Stock!R792+"'E4!/sC"</f>
        <v>#VALUE!</v>
      </c>
      <c r="EN274" s="333" t="e">
        <f>Stock!S792+"'E4!/sD"</f>
        <v>#VALUE!</v>
      </c>
      <c r="EO274" t="e">
        <f>Stock!U792+"'E4!/sE"</f>
        <v>#VALUE!</v>
      </c>
      <c r="EP274" t="e">
        <f>Stock!V792+"'E4!/sF"</f>
        <v>#VALUE!</v>
      </c>
      <c r="EQ274" t="e">
        <f>Stock!X792+"'E4!/sG"</f>
        <v>#VALUE!</v>
      </c>
      <c r="ER274" t="e">
        <f>Stock!Y792+"'E4!/sH"</f>
        <v>#VALUE!</v>
      </c>
      <c r="ES274" t="e">
        <f>Stock!N793+"'E4!/sI"</f>
        <v>#VALUE!</v>
      </c>
      <c r="ET274" t="e">
        <f>Stock!O793+"'E4!/sJ"</f>
        <v>#VALUE!</v>
      </c>
      <c r="EU274" t="e">
        <f>Stock!P793+"'E4!/sK"</f>
        <v>#VALUE!</v>
      </c>
      <c r="EV274" t="e">
        <f>Stock!Q793+"'E4!/sL"</f>
        <v>#VALUE!</v>
      </c>
      <c r="EW274" t="e">
        <f>Stock!R793+"'E4!/sM"</f>
        <v>#VALUE!</v>
      </c>
      <c r="EX274" s="333" t="e">
        <f>Stock!S793+"'E4!/sN"</f>
        <v>#VALUE!</v>
      </c>
      <c r="EY274" s="333" t="e">
        <f>Stock!T793+"'E4!/sO"</f>
        <v>#VALUE!</v>
      </c>
      <c r="EZ274" t="e">
        <f>Stock!U793+"'E4!/sP"</f>
        <v>#VALUE!</v>
      </c>
      <c r="FA274" t="e">
        <f>Stock!V793+"'E4!/sQ"</f>
        <v>#VALUE!</v>
      </c>
      <c r="FB274" t="e">
        <f>Stock!X793+"'E4!/sR"</f>
        <v>#VALUE!</v>
      </c>
      <c r="FC274" t="e">
        <f>Stock!Y793+"'E4!/sS"</f>
        <v>#VALUE!</v>
      </c>
      <c r="FD274" t="e">
        <f>Stock!N794+"'E4!/sT"</f>
        <v>#VALUE!</v>
      </c>
      <c r="FE274" t="e">
        <f>Stock!O794+"'E4!/sU"</f>
        <v>#VALUE!</v>
      </c>
      <c r="FF274" t="e">
        <f>Stock!P794+"'E4!/sV"</f>
        <v>#VALUE!</v>
      </c>
      <c r="FG274" t="e">
        <f>Stock!Q794+"'E4!/sW"</f>
        <v>#VALUE!</v>
      </c>
      <c r="FH274" t="e">
        <f>Stock!R794+"'E4!/sX"</f>
        <v>#VALUE!</v>
      </c>
      <c r="FI274" s="333" t="e">
        <f>Stock!S794+"'E4!/sY"</f>
        <v>#VALUE!</v>
      </c>
      <c r="FJ274" s="333" t="e">
        <f>Stock!T794+"'E4!/sZ"</f>
        <v>#VALUE!</v>
      </c>
      <c r="FK274" t="e">
        <f>Stock!U794+"'E4!/s["</f>
        <v>#VALUE!</v>
      </c>
      <c r="FL274" t="e">
        <f>Stock!V794+"'E4!/s\"</f>
        <v>#VALUE!</v>
      </c>
      <c r="FM274" t="e">
        <f>Stock!X794+"'E4!/s]"</f>
        <v>#VALUE!</v>
      </c>
      <c r="FN274" t="e">
        <f>Stock!Y794+"'E4!/s^"</f>
        <v>#VALUE!</v>
      </c>
      <c r="FO274" t="e">
        <f>Stock!N795+"'E4!/s_"</f>
        <v>#VALUE!</v>
      </c>
      <c r="FP274" t="e">
        <f>Stock!O795+"'E4!/s`"</f>
        <v>#VALUE!</v>
      </c>
      <c r="FQ274" t="e">
        <f>Stock!P795+"'E4!/sa"</f>
        <v>#VALUE!</v>
      </c>
      <c r="FR274" t="e">
        <f>Stock!Q795+"'E4!/sb"</f>
        <v>#VALUE!</v>
      </c>
      <c r="FS274" t="e">
        <f>Stock!R795+"'E4!/sc"</f>
        <v>#VALUE!</v>
      </c>
      <c r="FT274" s="333" t="e">
        <f>Stock!S795+"'E4!/sd"</f>
        <v>#VALUE!</v>
      </c>
      <c r="FU274" s="333" t="e">
        <f>Stock!T795+"'E4!/se"</f>
        <v>#VALUE!</v>
      </c>
      <c r="FV274" t="e">
        <f>Stock!U795+"'E4!/sf"</f>
        <v>#VALUE!</v>
      </c>
      <c r="FW274" t="e">
        <f>Stock!V795+"'E4!/sg"</f>
        <v>#VALUE!</v>
      </c>
      <c r="FX274" t="e">
        <f>Stock!X795+"'E4!/sh"</f>
        <v>#VALUE!</v>
      </c>
      <c r="FY274" t="e">
        <f>Stock!Y795+"'E4!/si"</f>
        <v>#VALUE!</v>
      </c>
      <c r="FZ274" t="e">
        <f>Stock!N796+"'E4!/sj"</f>
        <v>#VALUE!</v>
      </c>
      <c r="GA274" t="e">
        <f>Stock!O796+"'E4!/sk"</f>
        <v>#VALUE!</v>
      </c>
      <c r="GB274" t="e">
        <f>Stock!P796+"'E4!/sl"</f>
        <v>#VALUE!</v>
      </c>
      <c r="GC274" t="e">
        <f>Stock!Q796+"'E4!/sm"</f>
        <v>#VALUE!</v>
      </c>
      <c r="GD274" t="e">
        <f>Stock!R796+"'E4!/sn"</f>
        <v>#VALUE!</v>
      </c>
      <c r="GE274" s="333" t="e">
        <f>Stock!S796+"'E4!/so"</f>
        <v>#VALUE!</v>
      </c>
      <c r="GF274" s="333" t="e">
        <f>Stock!T796+"'E4!/sp"</f>
        <v>#VALUE!</v>
      </c>
      <c r="GG274" t="e">
        <f>Stock!U796+"'E4!/sq"</f>
        <v>#VALUE!</v>
      </c>
      <c r="GH274" t="e">
        <f>Stock!V796+"'E4!/sr"</f>
        <v>#VALUE!</v>
      </c>
      <c r="GI274" t="e">
        <f>Stock!X796+"'E4!/ss"</f>
        <v>#VALUE!</v>
      </c>
      <c r="GJ274" t="e">
        <f>Stock!Y796+"'E4!/st"</f>
        <v>#VALUE!</v>
      </c>
      <c r="GK274" t="e">
        <f>Stock!N797+"'E4!/su"</f>
        <v>#VALUE!</v>
      </c>
      <c r="GL274" t="e">
        <f>Stock!O797+"'E4!/sv"</f>
        <v>#VALUE!</v>
      </c>
      <c r="GM274" t="e">
        <f>Stock!P797+"'E4!/sw"</f>
        <v>#VALUE!</v>
      </c>
      <c r="GN274" t="e">
        <f>Stock!Q797+"'E4!/sx"</f>
        <v>#VALUE!</v>
      </c>
      <c r="GO274" t="e">
        <f>Stock!R797+"'E4!/sy"</f>
        <v>#VALUE!</v>
      </c>
      <c r="GP274" s="333" t="e">
        <f>Stock!S797+"'E4!/sz"</f>
        <v>#VALUE!</v>
      </c>
      <c r="GQ274" t="e">
        <f>Stock!T797+"'E4!/s{"</f>
        <v>#VALUE!</v>
      </c>
      <c r="GR274" t="e">
        <f>Stock!U797+"'E4!/s|"</f>
        <v>#VALUE!</v>
      </c>
      <c r="GS274" t="e">
        <f>Stock!V797+"'E4!/s}"</f>
        <v>#VALUE!</v>
      </c>
      <c r="GT274" t="e">
        <f>Stock!X797+"'E4!/s~"</f>
        <v>#VALUE!</v>
      </c>
      <c r="GU274" t="e">
        <f>Stock!Y797+"'E4!/t#"</f>
        <v>#VALUE!</v>
      </c>
      <c r="GV274" t="e">
        <f>Stock!N798+"'E4!/t$"</f>
        <v>#VALUE!</v>
      </c>
      <c r="GW274" t="e">
        <f>Stock!O798+"'E4!/t%"</f>
        <v>#VALUE!</v>
      </c>
      <c r="GX274" t="e">
        <f>Stock!P798+"'E4!/t&amp;"</f>
        <v>#VALUE!</v>
      </c>
      <c r="GY274" t="e">
        <f>Stock!Q798+"'E4!/t'"</f>
        <v>#VALUE!</v>
      </c>
      <c r="GZ274" t="e">
        <f>Stock!R798+"'E4!/t("</f>
        <v>#VALUE!</v>
      </c>
      <c r="HA274" s="333" t="e">
        <f>Stock!S798+"'E4!/t)"</f>
        <v>#VALUE!</v>
      </c>
      <c r="HB274" t="e">
        <f>Stock!T798+"'E4!/t."</f>
        <v>#VALUE!</v>
      </c>
      <c r="HC274" t="e">
        <f>Stock!U798+"'E4!/t/"</f>
        <v>#VALUE!</v>
      </c>
      <c r="HD274" t="e">
        <f>Stock!V798+"'E4!/t0"</f>
        <v>#VALUE!</v>
      </c>
      <c r="HE274" t="e">
        <f>Stock!X798+"'E4!/t1"</f>
        <v>#VALUE!</v>
      </c>
      <c r="HF274" t="e">
        <f>Stock!Y798+"'E4!/t2"</f>
        <v>#VALUE!</v>
      </c>
      <c r="HG274" t="e">
        <f>Stock!N799+"'E4!/t3"</f>
        <v>#VALUE!</v>
      </c>
      <c r="HH274" t="e">
        <f>Stock!O799+"'E4!/t4"</f>
        <v>#VALUE!</v>
      </c>
      <c r="HI274" t="e">
        <f>Stock!P799+"'E4!/t5"</f>
        <v>#VALUE!</v>
      </c>
      <c r="HJ274" t="e">
        <f>Stock!Q799+"'E4!/t6"</f>
        <v>#VALUE!</v>
      </c>
      <c r="HK274" t="e">
        <f>Stock!R799+"'E4!/t7"</f>
        <v>#VALUE!</v>
      </c>
      <c r="HL274" s="333" t="e">
        <f>Stock!S799+"'E4!/t8"</f>
        <v>#VALUE!</v>
      </c>
      <c r="HM274" t="e">
        <f>Stock!T799+"'E4!/t9"</f>
        <v>#VALUE!</v>
      </c>
      <c r="HN274" t="e">
        <f>Stock!U799+"'E4!/t:"</f>
        <v>#VALUE!</v>
      </c>
      <c r="HO274" t="e">
        <f>Stock!V799+"'E4!/t;"</f>
        <v>#VALUE!</v>
      </c>
      <c r="HP274" t="e">
        <f>Stock!X799+"'E4!/t&lt;"</f>
        <v>#VALUE!</v>
      </c>
      <c r="HQ274" t="e">
        <f>Stock!Y799+"'E4!/t="</f>
        <v>#VALUE!</v>
      </c>
      <c r="HR274" t="e">
        <f>Stock!N800+"'E4!/t&gt;"</f>
        <v>#VALUE!</v>
      </c>
      <c r="HS274" t="e">
        <f>Stock!O800+"'E4!/t?"</f>
        <v>#VALUE!</v>
      </c>
      <c r="HT274" t="e">
        <f>Stock!P800+"'E4!/t@"</f>
        <v>#VALUE!</v>
      </c>
      <c r="HU274" t="e">
        <f>Stock!Q800+"'E4!/tA"</f>
        <v>#VALUE!</v>
      </c>
      <c r="HV274" t="e">
        <f>Stock!R800+"'E4!/tB"</f>
        <v>#VALUE!</v>
      </c>
      <c r="HW274" s="333" t="e">
        <f>Stock!S800+"'E4!/tC"</f>
        <v>#VALUE!</v>
      </c>
      <c r="HX274" t="e">
        <f>Stock!T800+"'E4!/tD"</f>
        <v>#VALUE!</v>
      </c>
      <c r="HY274" t="e">
        <f>Stock!U800+"'E4!/tE"</f>
        <v>#VALUE!</v>
      </c>
      <c r="HZ274" t="e">
        <f>Stock!V800+"'E4!/tF"</f>
        <v>#VALUE!</v>
      </c>
      <c r="IA274" t="e">
        <f>Stock!X800+"'E4!/tG"</f>
        <v>#VALUE!</v>
      </c>
      <c r="IB274" t="e">
        <f>Stock!Y800+"'E4!/tH"</f>
        <v>#VALUE!</v>
      </c>
      <c r="IC274" t="e">
        <f>Stock!N801+"'E4!/tI"</f>
        <v>#VALUE!</v>
      </c>
      <c r="ID274" t="e">
        <f>Stock!O801+"'E4!/tJ"</f>
        <v>#VALUE!</v>
      </c>
      <c r="IE274" t="e">
        <f>Stock!P801+"'E4!/tK"</f>
        <v>#VALUE!</v>
      </c>
      <c r="IF274" t="e">
        <f>Stock!Q801+"'E4!/tL"</f>
        <v>#VALUE!</v>
      </c>
      <c r="IG274" t="e">
        <f>Stock!R801+"'E4!/tM"</f>
        <v>#VALUE!</v>
      </c>
      <c r="IH274" s="333" t="e">
        <f>Stock!S801+"'E4!/tN"</f>
        <v>#VALUE!</v>
      </c>
      <c r="II274" t="e">
        <f>Stock!T801+"'E4!/tO"</f>
        <v>#VALUE!</v>
      </c>
      <c r="IJ274" t="e">
        <f>Stock!U801+"'E4!/tP"</f>
        <v>#VALUE!</v>
      </c>
      <c r="IK274" t="e">
        <f>Stock!V801+"'E4!/tQ"</f>
        <v>#VALUE!</v>
      </c>
      <c r="IL274" t="e">
        <f>Stock!X801+"'E4!/tR"</f>
        <v>#VALUE!</v>
      </c>
      <c r="IM274" t="e">
        <f>Stock!Y801+"'E4!/tS"</f>
        <v>#VALUE!</v>
      </c>
      <c r="IN274" t="e">
        <f>Stock!N802+"'E4!/tT"</f>
        <v>#VALUE!</v>
      </c>
      <c r="IO274" t="e">
        <f>Stock!O802+"'E4!/tU"</f>
        <v>#VALUE!</v>
      </c>
      <c r="IP274" t="e">
        <f>Stock!P802+"'E4!/tV"</f>
        <v>#VALUE!</v>
      </c>
      <c r="IQ274" t="e">
        <f>Stock!Q802+"'E4!/tW"</f>
        <v>#VALUE!</v>
      </c>
      <c r="IR274" t="e">
        <f>Stock!R802+"'E4!/tX"</f>
        <v>#VALUE!</v>
      </c>
      <c r="IS274" s="333" t="e">
        <f>Stock!S802+"'E4!/tY"</f>
        <v>#VALUE!</v>
      </c>
      <c r="IT274" t="e">
        <f>Stock!T802+"'E4!/tZ"</f>
        <v>#VALUE!</v>
      </c>
      <c r="IU274" t="e">
        <f>Stock!U802+"'E4!/t["</f>
        <v>#VALUE!</v>
      </c>
      <c r="IV274" t="e">
        <f>Stock!V802+"'E4!/t\"</f>
        <v>#VALUE!</v>
      </c>
    </row>
    <row r="275" spans="6:256">
      <c r="F275" t="e">
        <f>Stock!X802+"'E4!/t]"</f>
        <v>#VALUE!</v>
      </c>
      <c r="G275" t="e">
        <f>Stock!Y802+"'E4!/t^"</f>
        <v>#VALUE!</v>
      </c>
      <c r="H275" t="e">
        <f>Stock!N803+"'E4!/t_"</f>
        <v>#VALUE!</v>
      </c>
      <c r="I275" t="e">
        <f>Stock!O803+"'E4!/t`"</f>
        <v>#VALUE!</v>
      </c>
      <c r="J275" t="e">
        <f>Stock!P803+"'E4!/ta"</f>
        <v>#VALUE!</v>
      </c>
      <c r="K275" t="e">
        <f>Stock!Q803+"'E4!/tb"</f>
        <v>#VALUE!</v>
      </c>
      <c r="L275" t="e">
        <f>Stock!R803+"'E4!/tc"</f>
        <v>#VALUE!</v>
      </c>
      <c r="M275" s="333" t="e">
        <f>Stock!S803+"'E4!/td"</f>
        <v>#VALUE!</v>
      </c>
      <c r="N275" s="333" t="e">
        <f>Stock!T803+"'E4!/te"</f>
        <v>#VALUE!</v>
      </c>
      <c r="O275" t="e">
        <f>Stock!U803+"'E4!/tf"</f>
        <v>#VALUE!</v>
      </c>
      <c r="P275" t="e">
        <f>Stock!V803+"'E4!/tg"</f>
        <v>#VALUE!</v>
      </c>
      <c r="Q275" t="e">
        <f>Stock!X803+"'E4!/th"</f>
        <v>#VALUE!</v>
      </c>
      <c r="R275" t="e">
        <f>Stock!Y803+"'E4!/ti"</f>
        <v>#VALUE!</v>
      </c>
      <c r="S275" t="e">
        <f>Stock!N804+"'E4!/tj"</f>
        <v>#VALUE!</v>
      </c>
      <c r="T275" t="e">
        <f>Stock!O804+"'E4!/tk"</f>
        <v>#VALUE!</v>
      </c>
      <c r="U275" t="e">
        <f>Stock!P804+"'E4!/tl"</f>
        <v>#VALUE!</v>
      </c>
      <c r="V275" t="e">
        <f>Stock!Q804+"'E4!/tm"</f>
        <v>#VALUE!</v>
      </c>
      <c r="W275" t="e">
        <f>Stock!R804+"'E4!/tn"</f>
        <v>#VALUE!</v>
      </c>
      <c r="X275" s="333" t="e">
        <f>Stock!S804+"'E4!/to"</f>
        <v>#VALUE!</v>
      </c>
      <c r="Y275" s="333" t="e">
        <f>Stock!T804+"'E4!/tp"</f>
        <v>#VALUE!</v>
      </c>
      <c r="Z275" t="e">
        <f>Stock!U804+"'E4!/tq"</f>
        <v>#VALUE!</v>
      </c>
      <c r="AA275" t="e">
        <f>Stock!V804+"'E4!/tr"</f>
        <v>#VALUE!</v>
      </c>
      <c r="AB275" t="e">
        <f>Stock!X804+"'E4!/ts"</f>
        <v>#VALUE!</v>
      </c>
      <c r="AC275" t="e">
        <f>Stock!Y804+"'E4!/tt"</f>
        <v>#VALUE!</v>
      </c>
      <c r="AD275" t="e">
        <f>Stock!N805+"'E4!/tu"</f>
        <v>#VALUE!</v>
      </c>
      <c r="AE275" t="e">
        <f>Stock!O805+"'E4!/tv"</f>
        <v>#VALUE!</v>
      </c>
      <c r="AF275" t="e">
        <f>Stock!P805+"'E4!/tw"</f>
        <v>#VALUE!</v>
      </c>
      <c r="AG275" t="e">
        <f>Stock!Q805+"'E4!/tx"</f>
        <v>#VALUE!</v>
      </c>
      <c r="AH275" t="e">
        <f>Stock!R805+"'E4!/ty"</f>
        <v>#VALUE!</v>
      </c>
      <c r="AI275" s="333" t="e">
        <f>Stock!S805+"'E4!/tz"</f>
        <v>#VALUE!</v>
      </c>
      <c r="AJ275" s="333" t="e">
        <f>Stock!T805+"'E4!/t{"</f>
        <v>#VALUE!</v>
      </c>
      <c r="AK275" t="e">
        <f>Stock!U805+"'E4!/t|"</f>
        <v>#VALUE!</v>
      </c>
      <c r="AL275" t="e">
        <f>Stock!V805+"'E4!/t}"</f>
        <v>#VALUE!</v>
      </c>
      <c r="AM275" t="e">
        <f>Stock!X805+"'E4!/t~"</f>
        <v>#VALUE!</v>
      </c>
      <c r="AN275" t="e">
        <f>Stock!Y805+"'E4!/u#"</f>
        <v>#VALUE!</v>
      </c>
      <c r="AO275" t="e">
        <f>Stock!N806+"'E4!/u$"</f>
        <v>#VALUE!</v>
      </c>
      <c r="AP275" t="e">
        <f>Stock!O806+"'E4!/u%"</f>
        <v>#VALUE!</v>
      </c>
      <c r="AQ275" t="e">
        <f>Stock!P806+"'E4!/u&amp;"</f>
        <v>#VALUE!</v>
      </c>
      <c r="AR275" t="e">
        <f>Stock!Q806+"'E4!/u'"</f>
        <v>#VALUE!</v>
      </c>
      <c r="AS275" t="e">
        <f>Stock!R806+"'E4!/u("</f>
        <v>#VALUE!</v>
      </c>
      <c r="AT275" s="333" t="e">
        <f>Stock!S806+"'E4!/u)"</f>
        <v>#VALUE!</v>
      </c>
      <c r="AU275" s="333" t="e">
        <f>Stock!T806+"'E4!/u."</f>
        <v>#VALUE!</v>
      </c>
      <c r="AV275" t="e">
        <f>Stock!U806+"'E4!/u/"</f>
        <v>#VALUE!</v>
      </c>
      <c r="AW275" t="e">
        <f>Stock!V806+"'E4!/u0"</f>
        <v>#VALUE!</v>
      </c>
      <c r="AX275" t="e">
        <f>Stock!X806+"'E4!/u1"</f>
        <v>#VALUE!</v>
      </c>
      <c r="AY275" t="e">
        <f>Stock!Y806+"'E4!/u2"</f>
        <v>#VALUE!</v>
      </c>
      <c r="AZ275" t="e">
        <f>Stock!N807+"'E4!/u3"</f>
        <v>#VALUE!</v>
      </c>
      <c r="BA275" t="e">
        <f>Stock!O807+"'E4!/u4"</f>
        <v>#VALUE!</v>
      </c>
      <c r="BB275" t="e">
        <f>Stock!P807+"'E4!/u5"</f>
        <v>#VALUE!</v>
      </c>
      <c r="BC275" t="e">
        <f>Stock!Q807+"'E4!/u6"</f>
        <v>#VALUE!</v>
      </c>
      <c r="BD275" t="e">
        <f>Stock!R807+"'E4!/u7"</f>
        <v>#VALUE!</v>
      </c>
      <c r="BE275" s="333" t="e">
        <f>Stock!S807+"'E4!/u8"</f>
        <v>#VALUE!</v>
      </c>
      <c r="BF275" s="333" t="e">
        <f>Stock!T807+"'E4!/u9"</f>
        <v>#VALUE!</v>
      </c>
      <c r="BG275" t="e">
        <f>Stock!U807+"'E4!/u:"</f>
        <v>#VALUE!</v>
      </c>
      <c r="BH275" t="e">
        <f>Stock!V807+"'E4!/u;"</f>
        <v>#VALUE!</v>
      </c>
      <c r="BI275" t="e">
        <f>Stock!X807+"'E4!/u&lt;"</f>
        <v>#VALUE!</v>
      </c>
      <c r="BJ275" t="e">
        <f>Stock!Y807+"'E4!/u="</f>
        <v>#VALUE!</v>
      </c>
      <c r="BK275" t="e">
        <f>Stock!N808+"'E4!/u&gt;"</f>
        <v>#VALUE!</v>
      </c>
      <c r="BL275" t="e">
        <f>Stock!O808+"'E4!/u?"</f>
        <v>#VALUE!</v>
      </c>
      <c r="BM275" t="e">
        <f>Stock!P808+"'E4!/u@"</f>
        <v>#VALUE!</v>
      </c>
      <c r="BN275" t="e">
        <f>Stock!Q808+"'E4!/uA"</f>
        <v>#VALUE!</v>
      </c>
      <c r="BO275" t="e">
        <f>Stock!R808+"'E4!/uB"</f>
        <v>#VALUE!</v>
      </c>
      <c r="BP275" s="333" t="e">
        <f>Stock!S808+"'E4!/uC"</f>
        <v>#VALUE!</v>
      </c>
      <c r="BQ275" s="333" t="e">
        <f>Stock!T808+"'E4!/uD"</f>
        <v>#VALUE!</v>
      </c>
      <c r="BR275" t="e">
        <f>Stock!U808+"'E4!/uE"</f>
        <v>#VALUE!</v>
      </c>
      <c r="BS275" t="e">
        <f>Stock!V808+"'E4!/uF"</f>
        <v>#VALUE!</v>
      </c>
      <c r="BT275" t="e">
        <f>Stock!X808+"'E4!/uG"</f>
        <v>#VALUE!</v>
      </c>
      <c r="BU275" t="e">
        <f>Stock!Y808+"'E4!/uH"</f>
        <v>#VALUE!</v>
      </c>
      <c r="BV275" t="e">
        <f>Stock!N809+"'E4!/uI"</f>
        <v>#VALUE!</v>
      </c>
      <c r="BW275" t="e">
        <f>Stock!O809+"'E4!/uJ"</f>
        <v>#VALUE!</v>
      </c>
      <c r="BX275" t="e">
        <f>Stock!P809+"'E4!/uK"</f>
        <v>#VALUE!</v>
      </c>
      <c r="BY275" t="e">
        <f>Stock!Q809+"'E4!/uL"</f>
        <v>#VALUE!</v>
      </c>
      <c r="BZ275" t="e">
        <f>Stock!R809+"'E4!/uM"</f>
        <v>#VALUE!</v>
      </c>
      <c r="CA275" s="333" t="e">
        <f>Stock!S809+"'E4!/uN"</f>
        <v>#VALUE!</v>
      </c>
      <c r="CB275" s="333" t="e">
        <f>Stock!T809+"'E4!/uO"</f>
        <v>#VALUE!</v>
      </c>
      <c r="CC275" t="e">
        <f>Stock!U809+"'E4!/uP"</f>
        <v>#VALUE!</v>
      </c>
      <c r="CD275" t="e">
        <f>Stock!V809+"'E4!/uQ"</f>
        <v>#VALUE!</v>
      </c>
      <c r="CE275" t="e">
        <f>Stock!X809+"'E4!/uR"</f>
        <v>#VALUE!</v>
      </c>
      <c r="CF275" t="e">
        <f>Stock!Y809+"'E4!/uS"</f>
        <v>#VALUE!</v>
      </c>
      <c r="CG275" t="e">
        <f>Stock!N810+"'E4!/uT"</f>
        <v>#VALUE!</v>
      </c>
      <c r="CH275" t="e">
        <f>Stock!O810+"'E4!/uU"</f>
        <v>#VALUE!</v>
      </c>
      <c r="CI275" t="e">
        <f>Stock!P810+"'E4!/uV"</f>
        <v>#VALUE!</v>
      </c>
      <c r="CJ275" t="e">
        <f>Stock!Q810+"'E4!/uW"</f>
        <v>#VALUE!</v>
      </c>
      <c r="CK275" t="e">
        <f>Stock!R810+"'E4!/uX"</f>
        <v>#VALUE!</v>
      </c>
      <c r="CL275" s="333" t="e">
        <f>Stock!S810+"'E4!/uY"</f>
        <v>#VALUE!</v>
      </c>
      <c r="CM275" t="e">
        <f>Stock!U810+"'E4!/uZ"</f>
        <v>#VALUE!</v>
      </c>
      <c r="CN275" t="e">
        <f>Stock!V810+"'E4!/u["</f>
        <v>#VALUE!</v>
      </c>
      <c r="CO275" t="e">
        <f>Stock!X810+"'E4!/u\"</f>
        <v>#VALUE!</v>
      </c>
      <c r="CP275" t="e">
        <f>Stock!Y810+"'E4!/u]"</f>
        <v>#VALUE!</v>
      </c>
      <c r="CQ275" t="e">
        <f>Stock!N811+"'E4!/u^"</f>
        <v>#VALUE!</v>
      </c>
      <c r="CR275" t="e">
        <f>Stock!O811+"'E4!/u_"</f>
        <v>#VALUE!</v>
      </c>
      <c r="CS275" t="e">
        <f>Stock!P811+"'E4!/u`"</f>
        <v>#VALUE!</v>
      </c>
      <c r="CT275" t="e">
        <f>Stock!Q811+"'E4!/ua"</f>
        <v>#VALUE!</v>
      </c>
      <c r="CU275" t="e">
        <f>Stock!R811+"'E4!/ub"</f>
        <v>#VALUE!</v>
      </c>
      <c r="CV275" s="333" t="e">
        <f>Stock!S811+"'E4!/uc"</f>
        <v>#VALUE!</v>
      </c>
      <c r="CW275" s="333" t="e">
        <f>Stock!T811+"'E4!/ud"</f>
        <v>#VALUE!</v>
      </c>
      <c r="CX275" t="e">
        <f>Stock!U811+"'E4!/ue"</f>
        <v>#VALUE!</v>
      </c>
      <c r="CY275" t="e">
        <f>Stock!V811+"'E4!/uf"</f>
        <v>#VALUE!</v>
      </c>
      <c r="CZ275" t="e">
        <f>Stock!X811+"'E4!/ug"</f>
        <v>#VALUE!</v>
      </c>
      <c r="DA275" t="e">
        <f>Stock!Y811+"'E4!/uh"</f>
        <v>#VALUE!</v>
      </c>
      <c r="DB275" t="e">
        <f>Stock!N812+"'E4!/ui"</f>
        <v>#VALUE!</v>
      </c>
      <c r="DC275" t="e">
        <f>Stock!O812+"'E4!/uj"</f>
        <v>#VALUE!</v>
      </c>
      <c r="DD275" t="e">
        <f>Stock!P812+"'E4!/uk"</f>
        <v>#VALUE!</v>
      </c>
      <c r="DE275" t="e">
        <f>Stock!Q812+"'E4!/ul"</f>
        <v>#VALUE!</v>
      </c>
      <c r="DF275" t="e">
        <f>Stock!R812+"'E4!/um"</f>
        <v>#VALUE!</v>
      </c>
      <c r="DG275" s="333" t="e">
        <f>Stock!S812+"'E4!/un"</f>
        <v>#VALUE!</v>
      </c>
      <c r="DH275" s="333" t="e">
        <f>Stock!T812+"'E4!/uo"</f>
        <v>#VALUE!</v>
      </c>
      <c r="DI275" t="e">
        <f>Stock!U812+"'E4!/up"</f>
        <v>#VALUE!</v>
      </c>
      <c r="DJ275" t="e">
        <f>Stock!V812+"'E4!/uq"</f>
        <v>#VALUE!</v>
      </c>
      <c r="DK275" t="e">
        <f>Stock!X812+"'E4!/ur"</f>
        <v>#VALUE!</v>
      </c>
      <c r="DL275" t="e">
        <f>Stock!Y812+"'E4!/us"</f>
        <v>#VALUE!</v>
      </c>
      <c r="DM275" t="e">
        <f>Stock!N813+"'E4!/ut"</f>
        <v>#VALUE!</v>
      </c>
      <c r="DN275" t="e">
        <f>Stock!O813+"'E4!/uu"</f>
        <v>#VALUE!</v>
      </c>
      <c r="DO275" t="e">
        <f>Stock!P813+"'E4!/uv"</f>
        <v>#VALUE!</v>
      </c>
      <c r="DP275" t="e">
        <f>Stock!Q813+"'E4!/uw"</f>
        <v>#VALUE!</v>
      </c>
      <c r="DQ275" t="e">
        <f>Stock!R813+"'E4!/ux"</f>
        <v>#VALUE!</v>
      </c>
      <c r="DR275" s="333" t="e">
        <f>Stock!S813+"'E4!/uy"</f>
        <v>#VALUE!</v>
      </c>
      <c r="DS275" s="333" t="e">
        <f>Stock!T813+"'E4!/uz"</f>
        <v>#VALUE!</v>
      </c>
      <c r="DT275" t="e">
        <f>Stock!U813+"'E4!/u{"</f>
        <v>#VALUE!</v>
      </c>
      <c r="DU275" t="e">
        <f>Stock!V813+"'E4!/u|"</f>
        <v>#VALUE!</v>
      </c>
      <c r="DV275" t="e">
        <f>Stock!X813+"'E4!/u}"</f>
        <v>#VALUE!</v>
      </c>
      <c r="DW275" t="e">
        <f>Stock!Y813+"'E4!/u~"</f>
        <v>#VALUE!</v>
      </c>
      <c r="DX275" t="e">
        <f>Stock!N814+"'E4!/v#"</f>
        <v>#VALUE!</v>
      </c>
      <c r="DY275" t="e">
        <f>Stock!O814+"'E4!/v$"</f>
        <v>#VALUE!</v>
      </c>
      <c r="DZ275" t="e">
        <f>Stock!P814+"'E4!/v%"</f>
        <v>#VALUE!</v>
      </c>
      <c r="EA275" t="e">
        <f>Stock!Q814+"'E4!/v&amp;"</f>
        <v>#VALUE!</v>
      </c>
      <c r="EB275" t="e">
        <f>Stock!R814+"'E4!/v'"</f>
        <v>#VALUE!</v>
      </c>
      <c r="EC275" s="333" t="e">
        <f>Stock!S814+"'E4!/v("</f>
        <v>#VALUE!</v>
      </c>
      <c r="ED275" s="333" t="e">
        <f>Stock!T814+"'E4!/v)"</f>
        <v>#VALUE!</v>
      </c>
      <c r="EE275" t="e">
        <f>Stock!U814+"'E4!/v."</f>
        <v>#VALUE!</v>
      </c>
      <c r="EF275" t="e">
        <f>Stock!V814+"'E4!/v/"</f>
        <v>#VALUE!</v>
      </c>
      <c r="EG275" t="e">
        <f>Stock!X814+"'E4!/v0"</f>
        <v>#VALUE!</v>
      </c>
      <c r="EH275" t="e">
        <f>Stock!Y814+"'E4!/v1"</f>
        <v>#VALUE!</v>
      </c>
      <c r="EI275" t="e">
        <f>Stock!N815+"'E4!/v2"</f>
        <v>#VALUE!</v>
      </c>
      <c r="EJ275" t="e">
        <f>Stock!O815+"'E4!/v3"</f>
        <v>#VALUE!</v>
      </c>
      <c r="EK275" t="e">
        <f>Stock!P815+"'E4!/v4"</f>
        <v>#VALUE!</v>
      </c>
      <c r="EL275" t="e">
        <f>Stock!Q815+"'E4!/v5"</f>
        <v>#VALUE!</v>
      </c>
      <c r="EM275" t="e">
        <f>Stock!R815+"'E4!/v6"</f>
        <v>#VALUE!</v>
      </c>
      <c r="EN275" s="333" t="e">
        <f>Stock!S815+"'E4!/v7"</f>
        <v>#VALUE!</v>
      </c>
      <c r="EO275" s="333" t="e">
        <f>Stock!T815+"'E4!/v8"</f>
        <v>#VALUE!</v>
      </c>
      <c r="EP275" t="e">
        <f>Stock!U815+"'E4!/v9"</f>
        <v>#VALUE!</v>
      </c>
      <c r="EQ275" t="e">
        <f>Stock!V815+"'E4!/v:"</f>
        <v>#VALUE!</v>
      </c>
      <c r="ER275" t="e">
        <f>Stock!X815+"'E4!/v;"</f>
        <v>#VALUE!</v>
      </c>
      <c r="ES275" t="e">
        <f>Stock!Y815+"'E4!/v&lt;"</f>
        <v>#VALUE!</v>
      </c>
      <c r="ET275" t="e">
        <f>Stock!N816+"'E4!/v="</f>
        <v>#VALUE!</v>
      </c>
      <c r="EU275" t="e">
        <f>Stock!O816+"'E4!/v&gt;"</f>
        <v>#VALUE!</v>
      </c>
      <c r="EV275" t="e">
        <f>Stock!P816+"'E4!/v?"</f>
        <v>#VALUE!</v>
      </c>
      <c r="EW275" t="e">
        <f>Stock!Q816+"'E4!/v@"</f>
        <v>#VALUE!</v>
      </c>
      <c r="EX275" t="e">
        <f>Stock!R816+"'E4!/vA"</f>
        <v>#VALUE!</v>
      </c>
      <c r="EY275" s="333" t="e">
        <f>Stock!S816+"'E4!/vB"</f>
        <v>#VALUE!</v>
      </c>
      <c r="EZ275" s="333" t="e">
        <f>Stock!T816+"'E4!/vC"</f>
        <v>#VALUE!</v>
      </c>
      <c r="FA275" t="e">
        <f>Stock!U816+"'E4!/vD"</f>
        <v>#VALUE!</v>
      </c>
      <c r="FB275" t="e">
        <f>Stock!V816+"'E4!/vE"</f>
        <v>#VALUE!</v>
      </c>
      <c r="FC275" t="e">
        <f>Stock!X816+"'E4!/vF"</f>
        <v>#VALUE!</v>
      </c>
      <c r="FD275" t="e">
        <f>Stock!Y816+"'E4!/vG"</f>
        <v>#VALUE!</v>
      </c>
      <c r="FE275" t="e">
        <f>Stock!N817+"'E4!/vH"</f>
        <v>#VALUE!</v>
      </c>
      <c r="FF275" t="e">
        <f>Stock!O817+"'E4!/vI"</f>
        <v>#VALUE!</v>
      </c>
      <c r="FG275" t="e">
        <f>Stock!P817+"'E4!/vJ"</f>
        <v>#VALUE!</v>
      </c>
      <c r="FH275" t="e">
        <f>Stock!Q817+"'E4!/vK"</f>
        <v>#VALUE!</v>
      </c>
      <c r="FI275" t="e">
        <f>Stock!R817+"'E4!/vL"</f>
        <v>#VALUE!</v>
      </c>
      <c r="FJ275" s="333" t="e">
        <f>Stock!S817+"'E4!/vM"</f>
        <v>#VALUE!</v>
      </c>
      <c r="FK275" s="333" t="e">
        <f>Stock!T817+"'E4!/vN"</f>
        <v>#VALUE!</v>
      </c>
      <c r="FL275" t="e">
        <f>Stock!U817+"'E4!/vO"</f>
        <v>#VALUE!</v>
      </c>
      <c r="FM275" t="e">
        <f>Stock!V817+"'E4!/vP"</f>
        <v>#VALUE!</v>
      </c>
      <c r="FN275" t="e">
        <f>Stock!X817+"'E4!/vQ"</f>
        <v>#VALUE!</v>
      </c>
      <c r="FO275" t="e">
        <f>Stock!Y817+"'E4!/vR"</f>
        <v>#VALUE!</v>
      </c>
      <c r="FP275" t="e">
        <f>Stock!N818+"'E4!/vS"</f>
        <v>#VALUE!</v>
      </c>
      <c r="FQ275" t="e">
        <f>Stock!O818+"'E4!/vT"</f>
        <v>#VALUE!</v>
      </c>
      <c r="FR275" t="e">
        <f>Stock!P818+"'E4!/vU"</f>
        <v>#VALUE!</v>
      </c>
      <c r="FS275" t="e">
        <f>Stock!Q818+"'E4!/vV"</f>
        <v>#VALUE!</v>
      </c>
      <c r="FT275" t="e">
        <f>Stock!R818+"'E4!/vW"</f>
        <v>#VALUE!</v>
      </c>
      <c r="FU275" s="333" t="e">
        <f>Stock!S818+"'E4!/vX"</f>
        <v>#VALUE!</v>
      </c>
      <c r="FV275" s="333" t="e">
        <f>Stock!T818+"'E4!/vY"</f>
        <v>#VALUE!</v>
      </c>
      <c r="FW275" t="e">
        <f>Stock!U818+"'E4!/vZ"</f>
        <v>#VALUE!</v>
      </c>
      <c r="FX275" t="e">
        <f>Stock!V818+"'E4!/v["</f>
        <v>#VALUE!</v>
      </c>
      <c r="FY275" t="e">
        <f>Stock!X818+"'E4!/v\"</f>
        <v>#VALUE!</v>
      </c>
      <c r="FZ275" t="e">
        <f>Stock!Y818+"'E4!/v]"</f>
        <v>#VALUE!</v>
      </c>
      <c r="GA275" t="e">
        <f>Stock!N819+"'E4!/v^"</f>
        <v>#VALUE!</v>
      </c>
      <c r="GB275" t="e">
        <f>Stock!O819+"'E4!/v_"</f>
        <v>#VALUE!</v>
      </c>
      <c r="GC275" t="e">
        <f>Stock!P819+"'E4!/v`"</f>
        <v>#VALUE!</v>
      </c>
      <c r="GD275" t="e">
        <f>Stock!Q819+"'E4!/va"</f>
        <v>#VALUE!</v>
      </c>
      <c r="GE275" t="e">
        <f>Stock!R819+"'E4!/vb"</f>
        <v>#VALUE!</v>
      </c>
      <c r="GF275" s="333" t="e">
        <f>Stock!S819+"'E4!/vc"</f>
        <v>#VALUE!</v>
      </c>
      <c r="GG275" s="333" t="e">
        <f>Stock!T819+"'E4!/vd"</f>
        <v>#VALUE!</v>
      </c>
      <c r="GH275" t="e">
        <f>Stock!U819+"'E4!/ve"</f>
        <v>#VALUE!</v>
      </c>
      <c r="GI275" t="e">
        <f>Stock!V819+"'E4!/vf"</f>
        <v>#VALUE!</v>
      </c>
      <c r="GJ275" t="e">
        <f>Stock!X819+"'E4!/vg"</f>
        <v>#VALUE!</v>
      </c>
      <c r="GK275" t="e">
        <f>Stock!Y819+"'E4!/vh"</f>
        <v>#VALUE!</v>
      </c>
      <c r="GL275" t="e">
        <f>Stock!N820+"'E4!/vi"</f>
        <v>#VALUE!</v>
      </c>
      <c r="GM275" t="e">
        <f>Stock!O820+"'E4!/vj"</f>
        <v>#VALUE!</v>
      </c>
      <c r="GN275" t="e">
        <f>Stock!P820+"'E4!/vk"</f>
        <v>#VALUE!</v>
      </c>
      <c r="GO275" t="e">
        <f>Stock!Q820+"'E4!/vl"</f>
        <v>#VALUE!</v>
      </c>
      <c r="GP275" t="e">
        <f>Stock!R820+"'E4!/vm"</f>
        <v>#VALUE!</v>
      </c>
      <c r="GQ275" s="333" t="e">
        <f>Stock!S820+"'E4!/vn"</f>
        <v>#VALUE!</v>
      </c>
      <c r="GR275" s="333" t="e">
        <f>Stock!T820+"'E4!/vo"</f>
        <v>#VALUE!</v>
      </c>
      <c r="GS275" t="e">
        <f>Stock!U820+"'E4!/vp"</f>
        <v>#VALUE!</v>
      </c>
      <c r="GT275" t="e">
        <f>Stock!V820+"'E4!/vq"</f>
        <v>#VALUE!</v>
      </c>
      <c r="GU275" t="e">
        <f>Stock!X820+"'E4!/vr"</f>
        <v>#VALUE!</v>
      </c>
      <c r="GV275" t="e">
        <f>Stock!Y820+"'E4!/vs"</f>
        <v>#VALUE!</v>
      </c>
      <c r="GW275" t="e">
        <f>Stock!N821+"'E4!/vt"</f>
        <v>#VALUE!</v>
      </c>
      <c r="GX275" t="e">
        <f>Stock!O821+"'E4!/vu"</f>
        <v>#VALUE!</v>
      </c>
      <c r="GY275" t="e">
        <f>Stock!P821+"'E4!/vv"</f>
        <v>#VALUE!</v>
      </c>
      <c r="GZ275" t="e">
        <f>Stock!Q821+"'E4!/vw"</f>
        <v>#VALUE!</v>
      </c>
      <c r="HA275" t="e">
        <f>Stock!R821+"'E4!/vx"</f>
        <v>#VALUE!</v>
      </c>
      <c r="HB275" s="333" t="e">
        <f>Stock!S821+"'E4!/vy"</f>
        <v>#VALUE!</v>
      </c>
      <c r="HC275" s="333" t="e">
        <f>Stock!T821+"'E4!/vz"</f>
        <v>#VALUE!</v>
      </c>
      <c r="HD275" t="e">
        <f>Stock!U821+"'E4!/v{"</f>
        <v>#VALUE!</v>
      </c>
      <c r="HE275" t="e">
        <f>Stock!V821+"'E4!/v|"</f>
        <v>#VALUE!</v>
      </c>
      <c r="HF275" t="e">
        <f>Stock!X821+"'E4!/v}"</f>
        <v>#VALUE!</v>
      </c>
      <c r="HG275" t="e">
        <f>Stock!Y821+"'E4!/v~"</f>
        <v>#VALUE!</v>
      </c>
      <c r="HH275" t="e">
        <f>Stock!N822+"'E4!/w#"</f>
        <v>#VALUE!</v>
      </c>
      <c r="HI275" t="e">
        <f>Stock!O822+"'E4!/w$"</f>
        <v>#VALUE!</v>
      </c>
      <c r="HJ275" t="e">
        <f>Stock!P822+"'E4!/w%"</f>
        <v>#VALUE!</v>
      </c>
      <c r="HK275" t="e">
        <f>Stock!Q822+"'E4!/w&amp;"</f>
        <v>#VALUE!</v>
      </c>
      <c r="HL275" t="e">
        <f>Stock!R822+"'E4!/w'"</f>
        <v>#VALUE!</v>
      </c>
      <c r="HM275" s="333" t="e">
        <f>Stock!S822+"'E4!/w("</f>
        <v>#VALUE!</v>
      </c>
      <c r="HN275" s="333" t="e">
        <f>Stock!T822+"'E4!/w)"</f>
        <v>#VALUE!</v>
      </c>
      <c r="HO275" t="e">
        <f>Stock!U822+"'E4!/w."</f>
        <v>#VALUE!</v>
      </c>
      <c r="HP275" t="e">
        <f>Stock!V822+"'E4!/w/"</f>
        <v>#VALUE!</v>
      </c>
      <c r="HQ275" t="e">
        <f>Stock!X822+"'E4!/w0"</f>
        <v>#VALUE!</v>
      </c>
      <c r="HR275" t="e">
        <f>Stock!Y822+"'E4!/w1"</f>
        <v>#VALUE!</v>
      </c>
      <c r="HS275" t="e">
        <f>Stock!N823+"'E4!/w2"</f>
        <v>#VALUE!</v>
      </c>
      <c r="HT275" t="e">
        <f>Stock!O823+"'E4!/w3"</f>
        <v>#VALUE!</v>
      </c>
      <c r="HU275" t="e">
        <f>Stock!P823+"'E4!/w4"</f>
        <v>#VALUE!</v>
      </c>
      <c r="HV275" t="e">
        <f>Stock!Q823+"'E4!/w5"</f>
        <v>#VALUE!</v>
      </c>
      <c r="HW275" t="e">
        <f>Stock!R823+"'E4!/w6"</f>
        <v>#VALUE!</v>
      </c>
      <c r="HX275" s="333" t="e">
        <f>Stock!S823+"'E4!/w7"</f>
        <v>#VALUE!</v>
      </c>
      <c r="HY275" s="333" t="e">
        <f>Stock!T823+"'E4!/w8"</f>
        <v>#VALUE!</v>
      </c>
      <c r="HZ275" t="e">
        <f>Stock!U823+"'E4!/w9"</f>
        <v>#VALUE!</v>
      </c>
      <c r="IA275" t="e">
        <f>Stock!V823+"'E4!/w:"</f>
        <v>#VALUE!</v>
      </c>
      <c r="IB275" t="e">
        <f>Stock!X823+"'E4!/w;"</f>
        <v>#VALUE!</v>
      </c>
      <c r="IC275" t="e">
        <f>Stock!Y823+"'E4!/w&lt;"</f>
        <v>#VALUE!</v>
      </c>
      <c r="ID275" t="e">
        <f>Stock!N824+"'E4!/w="</f>
        <v>#VALUE!</v>
      </c>
      <c r="IE275" t="e">
        <f>Stock!O824+"'E4!/w&gt;"</f>
        <v>#VALUE!</v>
      </c>
      <c r="IF275" t="e">
        <f>Stock!P824+"'E4!/w?"</f>
        <v>#VALUE!</v>
      </c>
      <c r="IG275" t="e">
        <f>Stock!Q824+"'E4!/w@"</f>
        <v>#VALUE!</v>
      </c>
      <c r="IH275" t="e">
        <f>Stock!R824+"'E4!/wA"</f>
        <v>#VALUE!</v>
      </c>
      <c r="II275" s="333" t="e">
        <f>Stock!S824+"'E4!/wB"</f>
        <v>#VALUE!</v>
      </c>
      <c r="IJ275" s="333" t="e">
        <f>Stock!T824+"'E4!/wC"</f>
        <v>#VALUE!</v>
      </c>
      <c r="IK275" t="e">
        <f>Stock!U824+"'E4!/wD"</f>
        <v>#VALUE!</v>
      </c>
      <c r="IL275" t="e">
        <f>Stock!V824+"'E4!/wE"</f>
        <v>#VALUE!</v>
      </c>
      <c r="IM275" t="e">
        <f>Stock!X824+"'E4!/wF"</f>
        <v>#VALUE!</v>
      </c>
      <c r="IN275" t="e">
        <f>Stock!Y824+"'E4!/wG"</f>
        <v>#VALUE!</v>
      </c>
      <c r="IO275" t="e">
        <f>Stock!N825+"'E4!/wH"</f>
        <v>#VALUE!</v>
      </c>
      <c r="IP275" t="e">
        <f>Stock!O825+"'E4!/wI"</f>
        <v>#VALUE!</v>
      </c>
      <c r="IQ275" t="e">
        <f>Stock!P825+"'E4!/wJ"</f>
        <v>#VALUE!</v>
      </c>
      <c r="IR275" t="e">
        <f>Stock!Q825+"'E4!/wK"</f>
        <v>#VALUE!</v>
      </c>
      <c r="IS275" t="e">
        <f>Stock!R825+"'E4!/wL"</f>
        <v>#VALUE!</v>
      </c>
      <c r="IT275" s="333" t="e">
        <f>Stock!S825+"'E4!/wM"</f>
        <v>#VALUE!</v>
      </c>
      <c r="IU275" s="333" t="e">
        <f>Stock!T825+"'E4!/wN"</f>
        <v>#VALUE!</v>
      </c>
      <c r="IV275" t="e">
        <f>Stock!U825+"'E4!/wO"</f>
        <v>#VALUE!</v>
      </c>
    </row>
    <row r="276" spans="6:256">
      <c r="F276" t="e">
        <f>Stock!V825+"'E4!/wP"</f>
        <v>#VALUE!</v>
      </c>
      <c r="G276" t="e">
        <f>Stock!X825+"'E4!/wQ"</f>
        <v>#VALUE!</v>
      </c>
      <c r="H276" t="e">
        <f>Stock!Y825+"'E4!/wR"</f>
        <v>#VALUE!</v>
      </c>
      <c r="I276" t="e">
        <f>Stock!N826+"'E4!/wS"</f>
        <v>#VALUE!</v>
      </c>
      <c r="J276" t="e">
        <f>Stock!O826+"'E4!/wT"</f>
        <v>#VALUE!</v>
      </c>
      <c r="K276" t="e">
        <f>Stock!P826+"'E4!/wU"</f>
        <v>#VALUE!</v>
      </c>
      <c r="L276" t="e">
        <f>Stock!Q826+"'E4!/wV"</f>
        <v>#VALUE!</v>
      </c>
      <c r="M276" t="e">
        <f>Stock!R826+"'E4!/wW"</f>
        <v>#VALUE!</v>
      </c>
      <c r="N276" s="333" t="e">
        <f>Stock!S826+"'E4!/wX"</f>
        <v>#VALUE!</v>
      </c>
      <c r="O276" s="333" t="e">
        <f>Stock!T826+"'E4!/wY"</f>
        <v>#VALUE!</v>
      </c>
      <c r="P276" t="e">
        <f>Stock!U826+"'E4!/wZ"</f>
        <v>#VALUE!</v>
      </c>
      <c r="Q276" t="e">
        <f>Stock!V826+"'E4!/w["</f>
        <v>#VALUE!</v>
      </c>
      <c r="R276" t="e">
        <f>Stock!X826+"'E4!/w\"</f>
        <v>#VALUE!</v>
      </c>
      <c r="S276" t="e">
        <f>Stock!Y826+"'E4!/w]"</f>
        <v>#VALUE!</v>
      </c>
      <c r="T276" t="e">
        <f>Stock!N827+"'E4!/w^"</f>
        <v>#VALUE!</v>
      </c>
      <c r="U276" t="e">
        <f>Stock!O827+"'E4!/w_"</f>
        <v>#VALUE!</v>
      </c>
      <c r="V276" t="e">
        <f>Stock!P827+"'E4!/w`"</f>
        <v>#VALUE!</v>
      </c>
      <c r="W276" t="e">
        <f>Stock!Q827+"'E4!/wa"</f>
        <v>#VALUE!</v>
      </c>
      <c r="X276" t="e">
        <f>Stock!R827+"'E4!/wb"</f>
        <v>#VALUE!</v>
      </c>
      <c r="Y276" s="333" t="e">
        <f>Stock!S827+"'E4!/wc"</f>
        <v>#VALUE!</v>
      </c>
      <c r="Z276" s="333" t="e">
        <f>Stock!T827+"'E4!/wd"</f>
        <v>#VALUE!</v>
      </c>
      <c r="AA276" t="e">
        <f>Stock!U827+"'E4!/we"</f>
        <v>#VALUE!</v>
      </c>
      <c r="AB276" t="e">
        <f>Stock!V827+"'E4!/wf"</f>
        <v>#VALUE!</v>
      </c>
      <c r="AC276" t="e">
        <f>Stock!W827+"'E4!/wg"</f>
        <v>#VALUE!</v>
      </c>
      <c r="AD276" t="e">
        <f>Stock!X827+"'E4!/wh"</f>
        <v>#VALUE!</v>
      </c>
      <c r="AE276" t="e">
        <f>Stock!Y827+"'E4!/wi"</f>
        <v>#VALUE!</v>
      </c>
      <c r="AF276" t="e">
        <f>Stock!N828+"'E4!/wj"</f>
        <v>#VALUE!</v>
      </c>
      <c r="AG276" t="e">
        <f>Stock!O828+"'E4!/wk"</f>
        <v>#VALUE!</v>
      </c>
      <c r="AH276" t="e">
        <f>Stock!P828+"'E4!/wl"</f>
        <v>#VALUE!</v>
      </c>
      <c r="AI276" t="e">
        <f>Stock!Q828+"'E4!/wm"</f>
        <v>#VALUE!</v>
      </c>
      <c r="AJ276" t="e">
        <f>Stock!R828+"'E4!/wn"</f>
        <v>#VALUE!</v>
      </c>
      <c r="AK276" s="333" t="e">
        <f>Stock!S828+"'E4!/wo"</f>
        <v>#VALUE!</v>
      </c>
      <c r="AL276" s="333" t="e">
        <f>Stock!T828+"'E4!/wp"</f>
        <v>#VALUE!</v>
      </c>
      <c r="AM276" t="e">
        <f>Stock!U828+"'E4!/wq"</f>
        <v>#VALUE!</v>
      </c>
      <c r="AN276" t="e">
        <f>Stock!V828+"'E4!/wr"</f>
        <v>#VALUE!</v>
      </c>
      <c r="AO276" t="e">
        <f>Stock!W828+"'E4!/ws"</f>
        <v>#VALUE!</v>
      </c>
      <c r="AP276" t="e">
        <f>Stock!X828+"'E4!/wt"</f>
        <v>#VALUE!</v>
      </c>
      <c r="AQ276" t="e">
        <f>Stock!Y828+"'E4!/wu"</f>
        <v>#VALUE!</v>
      </c>
      <c r="AR276" t="e">
        <f>Stock!N829+"'E4!/wv"</f>
        <v>#VALUE!</v>
      </c>
      <c r="AS276" t="e">
        <f>Stock!O829+"'E4!/ww"</f>
        <v>#VALUE!</v>
      </c>
      <c r="AT276" t="e">
        <f>Stock!P829+"'E4!/wx"</f>
        <v>#VALUE!</v>
      </c>
      <c r="AU276" t="e">
        <f>Stock!Q829+"'E4!/wy"</f>
        <v>#VALUE!</v>
      </c>
      <c r="AV276" t="e">
        <f>Stock!R829+"'E4!/wz"</f>
        <v>#VALUE!</v>
      </c>
      <c r="AW276" s="333" t="e">
        <f>Stock!S829+"'E4!/w{"</f>
        <v>#VALUE!</v>
      </c>
      <c r="AX276" s="333" t="e">
        <f>Stock!T829+"'E4!/w|"</f>
        <v>#VALUE!</v>
      </c>
      <c r="AY276" t="e">
        <f>Stock!U829+"'E4!/w}"</f>
        <v>#VALUE!</v>
      </c>
      <c r="AZ276" t="e">
        <f>Stock!V829+"'E4!/w~"</f>
        <v>#VALUE!</v>
      </c>
      <c r="BA276" t="e">
        <f>Stock!W829+"'E4!/x#"</f>
        <v>#VALUE!</v>
      </c>
      <c r="BB276" t="e">
        <f>Stock!X829+"'E4!/x$"</f>
        <v>#VALUE!</v>
      </c>
      <c r="BC276" t="e">
        <f>Stock!Y829+"'E4!/x%"</f>
        <v>#VALUE!</v>
      </c>
      <c r="BD276" t="e">
        <f>Stock!N830+"'E4!/x&amp;"</f>
        <v>#VALUE!</v>
      </c>
      <c r="BE276" t="e">
        <f>Stock!O830+"'E4!/x'"</f>
        <v>#VALUE!</v>
      </c>
      <c r="BF276" t="e">
        <f>Stock!P830+"'E4!/x("</f>
        <v>#VALUE!</v>
      </c>
      <c r="BG276" t="e">
        <f>Stock!Q830+"'E4!/x)"</f>
        <v>#VALUE!</v>
      </c>
      <c r="BH276" t="e">
        <f>Stock!R830+"'E4!/x."</f>
        <v>#VALUE!</v>
      </c>
      <c r="BI276" s="333" t="e">
        <f>Stock!S830+"'E4!/x/"</f>
        <v>#VALUE!</v>
      </c>
      <c r="BJ276" s="333" t="e">
        <f>Stock!T830+"'E4!/x0"</f>
        <v>#VALUE!</v>
      </c>
      <c r="BK276" t="e">
        <f>Stock!U830+"'E4!/x1"</f>
        <v>#VALUE!</v>
      </c>
      <c r="BL276" t="e">
        <f>Stock!V830+"'E4!/x2"</f>
        <v>#VALUE!</v>
      </c>
      <c r="BM276" t="e">
        <f>Stock!X830+"'E4!/x3"</f>
        <v>#VALUE!</v>
      </c>
      <c r="BN276" t="e">
        <f>Stock!Y830+"'E4!/x4"</f>
        <v>#VALUE!</v>
      </c>
      <c r="BO276" t="e">
        <f>Stock!N831+"'E4!/x5"</f>
        <v>#VALUE!</v>
      </c>
      <c r="BP276" t="e">
        <f>Stock!O831+"'E4!/x6"</f>
        <v>#VALUE!</v>
      </c>
      <c r="BQ276" t="e">
        <f>Stock!P831+"'E4!/x7"</f>
        <v>#VALUE!</v>
      </c>
      <c r="BR276" t="e">
        <f>Stock!Q831+"'E4!/x8"</f>
        <v>#VALUE!</v>
      </c>
      <c r="BS276" t="e">
        <f>Stock!R831+"'E4!/x9"</f>
        <v>#VALUE!</v>
      </c>
      <c r="BT276" s="333" t="e">
        <f>Stock!S831+"'E4!/x:"</f>
        <v>#VALUE!</v>
      </c>
      <c r="BU276" t="e">
        <f>Stock!T831+"'E4!/x;"</f>
        <v>#VALUE!</v>
      </c>
      <c r="BV276" t="e">
        <f>Stock!U831+"'E4!/x&lt;"</f>
        <v>#VALUE!</v>
      </c>
      <c r="BW276" t="e">
        <f>Stock!V831+"'E4!/x="</f>
        <v>#VALUE!</v>
      </c>
      <c r="BX276" t="e">
        <f>Stock!X831+"'E4!/x&gt;"</f>
        <v>#VALUE!</v>
      </c>
      <c r="BY276" t="e">
        <f>Stock!Y831+"'E4!/x?"</f>
        <v>#VALUE!</v>
      </c>
      <c r="BZ276" s="333" t="e">
        <f>Stock!N832+"'E4!/x@"</f>
        <v>#VALUE!</v>
      </c>
      <c r="CA276" s="333" t="e">
        <f>Stock!O832+"'E4!/xA"</f>
        <v>#VALUE!</v>
      </c>
      <c r="CB276" t="e">
        <f>Stock!P832+"'E4!/xB"</f>
        <v>#VALUE!</v>
      </c>
      <c r="CC276" s="333" t="e">
        <f>Stock!Q832+"'E4!/xC"</f>
        <v>#VALUE!</v>
      </c>
      <c r="CD276" s="333" t="e">
        <f>Stock!R832+"'E4!/xD"</f>
        <v>#VALUE!</v>
      </c>
      <c r="CE276" s="333" t="e">
        <f>Stock!S832+"'E4!/xE"</f>
        <v>#VALUE!</v>
      </c>
      <c r="CF276" s="333" t="e">
        <f>Stock!T832+"'E4!/xF"</f>
        <v>#VALUE!</v>
      </c>
      <c r="CG276" s="333" t="e">
        <f>Stock!U832+"'E4!/xG"</f>
        <v>#VALUE!</v>
      </c>
      <c r="CH276" s="333" t="e">
        <f>Stock!V832+"'E4!/xH"</f>
        <v>#VALUE!</v>
      </c>
      <c r="CI276" t="e">
        <f>Stock!X832+"'E4!/xI"</f>
        <v>#VALUE!</v>
      </c>
      <c r="CJ276" t="e">
        <f>Stock!Y832+"'E4!/xJ"</f>
        <v>#VALUE!</v>
      </c>
      <c r="CK276" t="e">
        <f>Stock!N833+"'E4!/xK"</f>
        <v>#VALUE!</v>
      </c>
      <c r="CL276" t="e">
        <f>Stock!O833+"'E4!/xL"</f>
        <v>#VALUE!</v>
      </c>
      <c r="CM276" t="e">
        <f>Stock!P833+"'E4!/xM"</f>
        <v>#VALUE!</v>
      </c>
      <c r="CN276" t="e">
        <f>Stock!Q833+"'E4!/xN"</f>
        <v>#VALUE!</v>
      </c>
      <c r="CO276" t="e">
        <f>Stock!R833+"'E4!/xO"</f>
        <v>#VALUE!</v>
      </c>
      <c r="CP276" s="333" t="e">
        <f>Stock!S833+"'E4!/xP"</f>
        <v>#VALUE!</v>
      </c>
      <c r="CQ276" s="333" t="e">
        <f>Stock!T833+"'E4!/xQ"</f>
        <v>#VALUE!</v>
      </c>
      <c r="CR276" t="e">
        <f>Stock!U833+"'E4!/xR"</f>
        <v>#VALUE!</v>
      </c>
      <c r="CS276" t="e">
        <f>Stock!V833+"'E4!/xS"</f>
        <v>#VALUE!</v>
      </c>
      <c r="CT276" t="e">
        <f>Stock!X833+"'E4!/xT"</f>
        <v>#VALUE!</v>
      </c>
      <c r="CU276" t="e">
        <f>Stock!Y833+"'E4!/xU"</f>
        <v>#VALUE!</v>
      </c>
      <c r="CV276" t="e">
        <f>Stock!N834+"'E4!/xV"</f>
        <v>#VALUE!</v>
      </c>
      <c r="CW276" t="e">
        <f>Stock!O834+"'E4!/xW"</f>
        <v>#VALUE!</v>
      </c>
      <c r="CX276" t="e">
        <f>Stock!P834+"'E4!/xX"</f>
        <v>#VALUE!</v>
      </c>
      <c r="CY276" t="e">
        <f>Stock!Q834+"'E4!/xY"</f>
        <v>#VALUE!</v>
      </c>
      <c r="CZ276" t="e">
        <f>Stock!R834+"'E4!/xZ"</f>
        <v>#VALUE!</v>
      </c>
      <c r="DA276" s="333" t="e">
        <f>Stock!S834+"'E4!/x["</f>
        <v>#VALUE!</v>
      </c>
      <c r="DB276" s="333" t="e">
        <f>Stock!T834+"'E4!/x\"</f>
        <v>#VALUE!</v>
      </c>
      <c r="DC276" t="e">
        <f>Stock!U834+"'E4!/x]"</f>
        <v>#VALUE!</v>
      </c>
      <c r="DD276" t="e">
        <f>Stock!V834+"'E4!/x^"</f>
        <v>#VALUE!</v>
      </c>
      <c r="DE276" t="e">
        <f>Stock!W834+"'E4!/x_"</f>
        <v>#VALUE!</v>
      </c>
      <c r="DF276" t="e">
        <f>Stock!X834+"'E4!/x`"</f>
        <v>#VALUE!</v>
      </c>
      <c r="DG276" t="e">
        <f>Stock!Y834+"'E4!/xa"</f>
        <v>#VALUE!</v>
      </c>
      <c r="DH276" t="e">
        <f>Stock!N835+"'E4!/xb"</f>
        <v>#VALUE!</v>
      </c>
      <c r="DI276" t="e">
        <f>Stock!O835+"'E4!/xc"</f>
        <v>#VALUE!</v>
      </c>
      <c r="DJ276" t="e">
        <f>Stock!P835+"'E4!/xd"</f>
        <v>#VALUE!</v>
      </c>
      <c r="DK276" t="e">
        <f>Stock!Q835+"'E4!/xe"</f>
        <v>#VALUE!</v>
      </c>
      <c r="DL276" t="e">
        <f>Stock!R835+"'E4!/xf"</f>
        <v>#VALUE!</v>
      </c>
      <c r="DM276" s="333" t="e">
        <f>Stock!S835+"'E4!/xg"</f>
        <v>#VALUE!</v>
      </c>
      <c r="DN276" s="333" t="e">
        <f>Stock!T835+"'E4!/xh"</f>
        <v>#VALUE!</v>
      </c>
      <c r="DO276" t="e">
        <f>Stock!U835+"'E4!/xi"</f>
        <v>#VALUE!</v>
      </c>
      <c r="DP276" t="e">
        <f>Stock!V835+"'E4!/xj"</f>
        <v>#VALUE!</v>
      </c>
      <c r="DQ276" t="e">
        <f>Stock!W835+"'E4!/xk"</f>
        <v>#VALUE!</v>
      </c>
      <c r="DR276" t="e">
        <f>Stock!X835+"'E4!/xl"</f>
        <v>#VALUE!</v>
      </c>
      <c r="DS276" t="e">
        <f>Stock!Y835+"'E4!/xm"</f>
        <v>#VALUE!</v>
      </c>
      <c r="DT276" t="e">
        <f>Stock!N836+"'E4!/xn"</f>
        <v>#VALUE!</v>
      </c>
      <c r="DU276" t="e">
        <f>Stock!O836+"'E4!/xo"</f>
        <v>#VALUE!</v>
      </c>
      <c r="DV276" t="e">
        <f>Stock!P836+"'E4!/xp"</f>
        <v>#VALUE!</v>
      </c>
      <c r="DW276" t="e">
        <f>Stock!Q836+"'E4!/xq"</f>
        <v>#VALUE!</v>
      </c>
      <c r="DX276" t="e">
        <f>Stock!R836+"'E4!/xr"</f>
        <v>#VALUE!</v>
      </c>
      <c r="DY276" s="333" t="e">
        <f>Stock!S836+"'E4!/xs"</f>
        <v>#VALUE!</v>
      </c>
      <c r="DZ276" s="333" t="e">
        <f>Stock!T836+"'E4!/xt"</f>
        <v>#VALUE!</v>
      </c>
      <c r="EA276" t="e">
        <f>Stock!U836+"'E4!/xu"</f>
        <v>#VALUE!</v>
      </c>
      <c r="EB276" t="e">
        <f>Stock!V836+"'E4!/xv"</f>
        <v>#VALUE!</v>
      </c>
      <c r="EC276" t="e">
        <f>Stock!W836+"'E4!/xw"</f>
        <v>#VALUE!</v>
      </c>
      <c r="ED276" t="e">
        <f>Stock!X836+"'E4!/xx"</f>
        <v>#VALUE!</v>
      </c>
      <c r="EE276" t="e">
        <f>Stock!Y836+"'E4!/xy"</f>
        <v>#VALUE!</v>
      </c>
      <c r="EF276" t="e">
        <f>Stock!N837+"'E4!/xz"</f>
        <v>#VALUE!</v>
      </c>
      <c r="EG276" t="e">
        <f>Stock!O837+"'E4!/x{"</f>
        <v>#VALUE!</v>
      </c>
      <c r="EH276" t="e">
        <f>Stock!P837+"'E4!/x|"</f>
        <v>#VALUE!</v>
      </c>
      <c r="EI276" t="e">
        <f>Stock!Q837+"'E4!/x}"</f>
        <v>#VALUE!</v>
      </c>
      <c r="EJ276" t="e">
        <f>Stock!R837+"'E4!/x~"</f>
        <v>#VALUE!</v>
      </c>
      <c r="EK276" s="333" t="e">
        <f>Stock!S837+"'E4!/y#"</f>
        <v>#VALUE!</v>
      </c>
      <c r="EL276" s="333" t="e">
        <f>Stock!T837+"'E4!/y$"</f>
        <v>#VALUE!</v>
      </c>
      <c r="EM276" t="e">
        <f>Stock!U837+"'E4!/y%"</f>
        <v>#VALUE!</v>
      </c>
      <c r="EN276" t="e">
        <f>Stock!V837+"'E4!/y&amp;"</f>
        <v>#VALUE!</v>
      </c>
      <c r="EO276" t="e">
        <f>Stock!W837+"'E4!/y'"</f>
        <v>#VALUE!</v>
      </c>
      <c r="EP276" t="e">
        <f>Stock!X837+"'E4!/y("</f>
        <v>#VALUE!</v>
      </c>
      <c r="EQ276" t="e">
        <f>Stock!Y837+"'E4!/y)"</f>
        <v>#VALUE!</v>
      </c>
      <c r="ER276" t="e">
        <f>Stock!N838+"'E4!/y."</f>
        <v>#VALUE!</v>
      </c>
      <c r="ES276" t="e">
        <f>Stock!O838+"'E4!/y/"</f>
        <v>#VALUE!</v>
      </c>
      <c r="ET276" t="e">
        <f>Stock!P838+"'E4!/y0"</f>
        <v>#VALUE!</v>
      </c>
      <c r="EU276" t="e">
        <f>Stock!Q838+"'E4!/y1"</f>
        <v>#VALUE!</v>
      </c>
      <c r="EV276" t="e">
        <f>Stock!R838+"'E4!/y2"</f>
        <v>#VALUE!</v>
      </c>
      <c r="EW276" s="333" t="e">
        <f>Stock!S838+"'E4!/y3"</f>
        <v>#VALUE!</v>
      </c>
      <c r="EX276" s="333" t="e">
        <f>Stock!T838+"'E4!/y4"</f>
        <v>#VALUE!</v>
      </c>
      <c r="EY276" t="e">
        <f>Stock!U838+"'E4!/y5"</f>
        <v>#VALUE!</v>
      </c>
      <c r="EZ276" t="e">
        <f>Stock!V838+"'E4!/y6"</f>
        <v>#VALUE!</v>
      </c>
      <c r="FA276" t="e">
        <f>Stock!X838+"'E4!/y7"</f>
        <v>#VALUE!</v>
      </c>
      <c r="FB276" t="e">
        <f>Stock!Y838+"'E4!/y8"</f>
        <v>#VALUE!</v>
      </c>
      <c r="FC276" t="e">
        <f>Stock!N839+"'E4!/y9"</f>
        <v>#VALUE!</v>
      </c>
      <c r="FD276" t="e">
        <f>Stock!O839+"'E4!/y:"</f>
        <v>#VALUE!</v>
      </c>
      <c r="FE276" t="e">
        <f>Stock!P839+"'E4!/y;"</f>
        <v>#VALUE!</v>
      </c>
      <c r="FF276" t="e">
        <f>Stock!Q839+"'E4!/y&lt;"</f>
        <v>#VALUE!</v>
      </c>
      <c r="FG276" t="e">
        <f>Stock!R839+"'E4!/y="</f>
        <v>#VALUE!</v>
      </c>
      <c r="FH276" s="333" t="e">
        <f>Stock!S839+"'E4!/y&gt;"</f>
        <v>#VALUE!</v>
      </c>
      <c r="FI276" s="333" t="e">
        <f>Stock!T839+"'E4!/y?"</f>
        <v>#VALUE!</v>
      </c>
      <c r="FJ276" t="e">
        <f>Stock!U839+"'E4!/y@"</f>
        <v>#VALUE!</v>
      </c>
      <c r="FK276" t="e">
        <f>Stock!V839+"'E4!/yA"</f>
        <v>#VALUE!</v>
      </c>
      <c r="FL276" t="e">
        <f>Stock!W839+"'E4!/yB"</f>
        <v>#VALUE!</v>
      </c>
      <c r="FM276" t="e">
        <f>Stock!X839+"'E4!/yC"</f>
        <v>#VALUE!</v>
      </c>
      <c r="FN276" t="e">
        <f>Stock!Y839+"'E4!/yD"</f>
        <v>#VALUE!</v>
      </c>
      <c r="FO276" t="e">
        <f>Stock!N840+"'E4!/yE"</f>
        <v>#VALUE!</v>
      </c>
      <c r="FP276" t="e">
        <f>Stock!O840+"'E4!/yF"</f>
        <v>#VALUE!</v>
      </c>
      <c r="FQ276" t="e">
        <f>Stock!P840+"'E4!/yG"</f>
        <v>#VALUE!</v>
      </c>
      <c r="FR276" t="e">
        <f>Stock!Q840+"'E4!/yH"</f>
        <v>#VALUE!</v>
      </c>
      <c r="FS276" t="e">
        <f>Stock!R840+"'E4!/yI"</f>
        <v>#VALUE!</v>
      </c>
      <c r="FT276" s="333" t="e">
        <f>Stock!S840+"'E4!/yJ"</f>
        <v>#VALUE!</v>
      </c>
      <c r="FU276" s="333" t="e">
        <f>Stock!T840+"'E4!/yK"</f>
        <v>#VALUE!</v>
      </c>
      <c r="FV276" t="e">
        <f>Stock!U840+"'E4!/yL"</f>
        <v>#VALUE!</v>
      </c>
      <c r="FW276" t="e">
        <f>Stock!V840+"'E4!/yM"</f>
        <v>#VALUE!</v>
      </c>
      <c r="FX276" t="e">
        <f>Stock!X840+"'E4!/yN"</f>
        <v>#VALUE!</v>
      </c>
      <c r="FY276" t="e">
        <f>Stock!Y840+"'E4!/yO"</f>
        <v>#VALUE!</v>
      </c>
      <c r="FZ276" t="e">
        <f>Stock!N841+"'E4!/yP"</f>
        <v>#VALUE!</v>
      </c>
      <c r="GA276" t="e">
        <f>Stock!O841+"'E4!/yQ"</f>
        <v>#VALUE!</v>
      </c>
      <c r="GB276" t="e">
        <f>Stock!P841+"'E4!/yR"</f>
        <v>#VALUE!</v>
      </c>
      <c r="GC276" t="e">
        <f>Stock!Q841+"'E4!/yS"</f>
        <v>#VALUE!</v>
      </c>
      <c r="GD276" t="e">
        <f>Stock!R841+"'E4!/yT"</f>
        <v>#VALUE!</v>
      </c>
      <c r="GE276" s="333" t="e">
        <f>Stock!S841+"'E4!/yU"</f>
        <v>#VALUE!</v>
      </c>
      <c r="GF276" s="333" t="e">
        <f>Stock!T841+"'E4!/yV"</f>
        <v>#VALUE!</v>
      </c>
      <c r="GG276" t="e">
        <f>Stock!U841+"'E4!/yW"</f>
        <v>#VALUE!</v>
      </c>
      <c r="GH276" t="e">
        <f>Stock!V841+"'E4!/yX"</f>
        <v>#VALUE!</v>
      </c>
      <c r="GI276" t="e">
        <f>Stock!X841+"'E4!/yY"</f>
        <v>#VALUE!</v>
      </c>
      <c r="GJ276" t="e">
        <f>Stock!Y841+"'E4!/yZ"</f>
        <v>#VALUE!</v>
      </c>
      <c r="GK276" t="e">
        <f>Stock!N842+"'E4!/y["</f>
        <v>#VALUE!</v>
      </c>
      <c r="GL276" t="e">
        <f>Stock!O842+"'E4!/y\"</f>
        <v>#VALUE!</v>
      </c>
      <c r="GM276" t="e">
        <f>Stock!P842+"'E4!/y]"</f>
        <v>#VALUE!</v>
      </c>
      <c r="GN276" t="e">
        <f>Stock!Q842+"'E4!/y^"</f>
        <v>#VALUE!</v>
      </c>
      <c r="GO276" t="e">
        <f>Stock!R842+"'E4!/y_"</f>
        <v>#VALUE!</v>
      </c>
      <c r="GP276" s="333" t="e">
        <f>Stock!S842+"'E4!/y`"</f>
        <v>#VALUE!</v>
      </c>
      <c r="GQ276" s="333" t="e">
        <f>Stock!T842+"'E4!/ya"</f>
        <v>#VALUE!</v>
      </c>
      <c r="GR276" t="e">
        <f>Stock!U842+"'E4!/yb"</f>
        <v>#VALUE!</v>
      </c>
      <c r="GS276" t="e">
        <f>Stock!V842+"'E4!/yc"</f>
        <v>#VALUE!</v>
      </c>
      <c r="GT276" t="e">
        <f>Stock!X842+"'E4!/yd"</f>
        <v>#VALUE!</v>
      </c>
      <c r="GU276" t="e">
        <f>Stock!Y842+"'E4!/ye"</f>
        <v>#VALUE!</v>
      </c>
      <c r="GV276" t="e">
        <f>Stock!N843+"'E4!/yf"</f>
        <v>#VALUE!</v>
      </c>
      <c r="GW276" t="e">
        <f>Stock!O843+"'E4!/yg"</f>
        <v>#VALUE!</v>
      </c>
      <c r="GX276" t="e">
        <f>Stock!P843+"'E4!/yh"</f>
        <v>#VALUE!</v>
      </c>
      <c r="GY276" t="e">
        <f>Stock!Q843+"'E4!/yi"</f>
        <v>#VALUE!</v>
      </c>
      <c r="GZ276" t="e">
        <f>Stock!R843+"'E4!/yj"</f>
        <v>#VALUE!</v>
      </c>
      <c r="HA276" s="333" t="e">
        <f>Stock!S843+"'E4!/yk"</f>
        <v>#VALUE!</v>
      </c>
      <c r="HB276" s="333" t="e">
        <f>Stock!T843+"'E4!/yl"</f>
        <v>#VALUE!</v>
      </c>
      <c r="HC276" t="e">
        <f>Stock!U843+"'E4!/ym"</f>
        <v>#VALUE!</v>
      </c>
      <c r="HD276" t="e">
        <f>Stock!V843+"'E4!/yn"</f>
        <v>#VALUE!</v>
      </c>
      <c r="HE276" t="e">
        <f>Stock!X843+"'E4!/yo"</f>
        <v>#VALUE!</v>
      </c>
      <c r="HF276" t="e">
        <f>Stock!Y843+"'E4!/yp"</f>
        <v>#VALUE!</v>
      </c>
      <c r="HG276" t="e">
        <f>Stock!N844+"'E4!/yq"</f>
        <v>#VALUE!</v>
      </c>
      <c r="HH276" t="e">
        <f>Stock!O844+"'E4!/yr"</f>
        <v>#VALUE!</v>
      </c>
      <c r="HI276" t="e">
        <f>Stock!P844+"'E4!/ys"</f>
        <v>#VALUE!</v>
      </c>
      <c r="HJ276" t="e">
        <f>Stock!Q844+"'E4!/yt"</f>
        <v>#VALUE!</v>
      </c>
      <c r="HK276" t="e">
        <f>Stock!R844+"'E4!/yu"</f>
        <v>#VALUE!</v>
      </c>
      <c r="HL276" s="333" t="e">
        <f>Stock!S844+"'E4!/yv"</f>
        <v>#VALUE!</v>
      </c>
      <c r="HM276" s="333" t="e">
        <f>Stock!T844+"'E4!/yw"</f>
        <v>#VALUE!</v>
      </c>
      <c r="HN276" t="e">
        <f>Stock!U844+"'E4!/yx"</f>
        <v>#VALUE!</v>
      </c>
      <c r="HO276" t="e">
        <f>Stock!V844+"'E4!/yy"</f>
        <v>#VALUE!</v>
      </c>
      <c r="HP276" t="e">
        <f>Stock!X844+"'E4!/yz"</f>
        <v>#VALUE!</v>
      </c>
      <c r="HQ276" t="e">
        <f>Stock!Y844+"'E4!/y{"</f>
        <v>#VALUE!</v>
      </c>
      <c r="HR276" t="e">
        <f>Stock!N845+"'E4!/y|"</f>
        <v>#VALUE!</v>
      </c>
      <c r="HS276" t="e">
        <f>Stock!O845+"'E4!/y}"</f>
        <v>#VALUE!</v>
      </c>
      <c r="HT276" t="e">
        <f>Stock!P845+"'E4!/y~"</f>
        <v>#VALUE!</v>
      </c>
      <c r="HU276" t="e">
        <f>Stock!Q845+"'E4!/z#"</f>
        <v>#VALUE!</v>
      </c>
      <c r="HV276" t="e">
        <f>Stock!R845+"'E4!/z$"</f>
        <v>#VALUE!</v>
      </c>
      <c r="HW276" s="333" t="e">
        <f>Stock!S845+"'E4!/z%"</f>
        <v>#VALUE!</v>
      </c>
      <c r="HX276" t="e">
        <f>Stock!T845+"'E4!/z&amp;"</f>
        <v>#VALUE!</v>
      </c>
      <c r="HY276" t="e">
        <f>Stock!U845+"'E4!/z'"</f>
        <v>#VALUE!</v>
      </c>
      <c r="HZ276" t="e">
        <f>Stock!V845+"'E4!/z("</f>
        <v>#VALUE!</v>
      </c>
      <c r="IA276" t="e">
        <f>Stock!X845+"'E4!/z)"</f>
        <v>#VALUE!</v>
      </c>
      <c r="IB276" t="e">
        <f>Stock!Y845+"'E4!/z."</f>
        <v>#VALUE!</v>
      </c>
      <c r="IC276" t="e">
        <f>Stock!N846+"'E4!/z/"</f>
        <v>#VALUE!</v>
      </c>
      <c r="ID276" t="e">
        <f>Stock!O846+"'E4!/z0"</f>
        <v>#VALUE!</v>
      </c>
      <c r="IE276" t="e">
        <f>Stock!P846+"'E4!/z1"</f>
        <v>#VALUE!</v>
      </c>
      <c r="IF276" t="e">
        <f>Stock!Q846+"'E4!/z2"</f>
        <v>#VALUE!</v>
      </c>
      <c r="IG276" t="e">
        <f>Stock!R846+"'E4!/z3"</f>
        <v>#VALUE!</v>
      </c>
      <c r="IH276" s="333" t="e">
        <f>Stock!S846+"'E4!/z4"</f>
        <v>#VALUE!</v>
      </c>
      <c r="II276" t="e">
        <f>Stock!T846+"'E4!/z5"</f>
        <v>#VALUE!</v>
      </c>
      <c r="IJ276" t="e">
        <f>Stock!U846+"'E4!/z6"</f>
        <v>#VALUE!</v>
      </c>
      <c r="IK276" t="e">
        <f>Stock!V846+"'E4!/z7"</f>
        <v>#VALUE!</v>
      </c>
      <c r="IL276" t="e">
        <f>Stock!X846+"'E4!/z8"</f>
        <v>#VALUE!</v>
      </c>
      <c r="IM276" t="e">
        <f>Stock!Y846+"'E4!/z9"</f>
        <v>#VALUE!</v>
      </c>
      <c r="IN276" t="e">
        <f>Stock!N847+"'E4!/z:"</f>
        <v>#VALUE!</v>
      </c>
      <c r="IO276" t="e">
        <f>Stock!O847+"'E4!/z;"</f>
        <v>#VALUE!</v>
      </c>
      <c r="IP276" t="e">
        <f>Stock!P847+"'E4!/z&lt;"</f>
        <v>#VALUE!</v>
      </c>
      <c r="IQ276" t="e">
        <f>Stock!Q847+"'E4!/z="</f>
        <v>#VALUE!</v>
      </c>
      <c r="IR276" t="e">
        <f>Stock!R847+"'E4!/z&gt;"</f>
        <v>#VALUE!</v>
      </c>
      <c r="IS276" s="333" t="e">
        <f>Stock!S847+"'E4!/z?"</f>
        <v>#VALUE!</v>
      </c>
      <c r="IT276" s="333" t="e">
        <f>Stock!T847+"'E4!/z@"</f>
        <v>#VALUE!</v>
      </c>
      <c r="IU276" t="e">
        <f>Stock!U847+"'E4!/zA"</f>
        <v>#VALUE!</v>
      </c>
      <c r="IV276" t="e">
        <f>Stock!V847+"'E4!/zB"</f>
        <v>#VALUE!</v>
      </c>
    </row>
    <row r="277" spans="6:256">
      <c r="F277" t="e">
        <f>Stock!X847+"'E4!/zC"</f>
        <v>#VALUE!</v>
      </c>
      <c r="G277" t="e">
        <f>Stock!Y847+"'E4!/zD"</f>
        <v>#VALUE!</v>
      </c>
      <c r="H277" t="e">
        <f>Stock!N848+"'E4!/zE"</f>
        <v>#VALUE!</v>
      </c>
      <c r="I277" t="e">
        <f>Stock!O848+"'E4!/zF"</f>
        <v>#VALUE!</v>
      </c>
      <c r="J277" t="e">
        <f>Stock!P848+"'E4!/zG"</f>
        <v>#VALUE!</v>
      </c>
      <c r="K277" t="e">
        <f>Stock!Q848+"'E4!/zH"</f>
        <v>#VALUE!</v>
      </c>
      <c r="L277" t="e">
        <f>Stock!R848+"'E4!/zI"</f>
        <v>#VALUE!</v>
      </c>
      <c r="M277" s="333" t="e">
        <f>Stock!S848+"'E4!/zJ"</f>
        <v>#VALUE!</v>
      </c>
      <c r="N277" s="333" t="e">
        <f>Stock!T848+"'E4!/zK"</f>
        <v>#VALUE!</v>
      </c>
      <c r="O277" t="e">
        <f>Stock!U848+"'E4!/zL"</f>
        <v>#VALUE!</v>
      </c>
      <c r="P277" t="e">
        <f>Stock!V848+"'E4!/zM"</f>
        <v>#VALUE!</v>
      </c>
      <c r="Q277" t="e">
        <f>Stock!X848+"'E4!/zN"</f>
        <v>#VALUE!</v>
      </c>
      <c r="R277" t="e">
        <f>Stock!Y848+"'E4!/zO"</f>
        <v>#VALUE!</v>
      </c>
      <c r="S277" t="e">
        <f>Stock!N849+"'E4!/zP"</f>
        <v>#VALUE!</v>
      </c>
      <c r="T277" t="e">
        <f>Stock!O849+"'E4!/zQ"</f>
        <v>#VALUE!</v>
      </c>
      <c r="U277" t="e">
        <f>Stock!P849+"'E4!/zR"</f>
        <v>#VALUE!</v>
      </c>
      <c r="V277" t="e">
        <f>Stock!Q849+"'E4!/zS"</f>
        <v>#VALUE!</v>
      </c>
      <c r="W277" t="e">
        <f>Stock!R849+"'E4!/zT"</f>
        <v>#VALUE!</v>
      </c>
      <c r="X277" s="333" t="e">
        <f>Stock!S849+"'E4!/zU"</f>
        <v>#VALUE!</v>
      </c>
      <c r="Y277" s="333" t="e">
        <f>Stock!T849+"'E4!/zV"</f>
        <v>#VALUE!</v>
      </c>
      <c r="Z277" t="e">
        <f>Stock!U849+"'E4!/zW"</f>
        <v>#VALUE!</v>
      </c>
      <c r="AA277" t="e">
        <f>Stock!V849+"'E4!/zX"</f>
        <v>#VALUE!</v>
      </c>
      <c r="AB277" t="e">
        <f>Stock!X849+"'E4!/zY"</f>
        <v>#VALUE!</v>
      </c>
      <c r="AC277" t="e">
        <f>Stock!Y849+"'E4!/zZ"</f>
        <v>#VALUE!</v>
      </c>
      <c r="AD277" t="e">
        <f>Stock!N850+"'E4!/z["</f>
        <v>#VALUE!</v>
      </c>
      <c r="AE277" t="e">
        <f>Stock!O850+"'E4!/z\"</f>
        <v>#VALUE!</v>
      </c>
      <c r="AF277" t="e">
        <f>Stock!P850+"'E4!/z]"</f>
        <v>#VALUE!</v>
      </c>
      <c r="AG277" t="e">
        <f>Stock!Q850+"'E4!/z^"</f>
        <v>#VALUE!</v>
      </c>
      <c r="AH277" t="e">
        <f>Stock!R850+"'E4!/z_"</f>
        <v>#VALUE!</v>
      </c>
      <c r="AI277" s="333" t="e">
        <f>Stock!S850+"'E4!/z`"</f>
        <v>#VALUE!</v>
      </c>
      <c r="AJ277" s="333" t="e">
        <f>Stock!T850+"'E4!/za"</f>
        <v>#VALUE!</v>
      </c>
      <c r="AK277" t="e">
        <f>Stock!U850+"'E4!/zb"</f>
        <v>#VALUE!</v>
      </c>
      <c r="AL277" t="e">
        <f>Stock!V850+"'E4!/zc"</f>
        <v>#VALUE!</v>
      </c>
      <c r="AM277" t="e">
        <f>Stock!X850+"'E4!/zd"</f>
        <v>#VALUE!</v>
      </c>
      <c r="AN277" t="e">
        <f>Stock!Y850+"'E4!/ze"</f>
        <v>#VALUE!</v>
      </c>
      <c r="AO277" t="e">
        <f>Stock!N851+"'E4!/zf"</f>
        <v>#VALUE!</v>
      </c>
      <c r="AP277" t="e">
        <f>Stock!O851+"'E4!/zg"</f>
        <v>#VALUE!</v>
      </c>
      <c r="AQ277" t="e">
        <f>Stock!P851+"'E4!/zh"</f>
        <v>#VALUE!</v>
      </c>
      <c r="AR277" t="e">
        <f>Stock!Q851+"'E4!/zi"</f>
        <v>#VALUE!</v>
      </c>
      <c r="AS277" t="e">
        <f>Stock!R851+"'E4!/zj"</f>
        <v>#VALUE!</v>
      </c>
      <c r="AT277" s="333" t="e">
        <f>Stock!S851+"'E4!/zk"</f>
        <v>#VALUE!</v>
      </c>
      <c r="AU277" s="333" t="e">
        <f>Stock!T851+"'E4!/zl"</f>
        <v>#VALUE!</v>
      </c>
      <c r="AV277" t="e">
        <f>Stock!U851+"'E4!/zm"</f>
        <v>#VALUE!</v>
      </c>
      <c r="AW277" t="e">
        <f>Stock!V851+"'E4!/zn"</f>
        <v>#VALUE!</v>
      </c>
      <c r="AX277" t="e">
        <f>Stock!W851+"'E4!/zo"</f>
        <v>#VALUE!</v>
      </c>
      <c r="AY277" t="e">
        <f>Stock!X851+"'E4!/zp"</f>
        <v>#VALUE!</v>
      </c>
      <c r="AZ277" t="e">
        <f>Stock!Y851+"'E4!/zq"</f>
        <v>#VALUE!</v>
      </c>
      <c r="BA277" t="e">
        <f>Stock!N852+"'E4!/zr"</f>
        <v>#VALUE!</v>
      </c>
      <c r="BB277" t="e">
        <f>Stock!O852+"'E4!/zs"</f>
        <v>#VALUE!</v>
      </c>
      <c r="BC277" t="e">
        <f>Stock!P852+"'E4!/zt"</f>
        <v>#VALUE!</v>
      </c>
      <c r="BD277" t="e">
        <f>Stock!Q852+"'E4!/zu"</f>
        <v>#VALUE!</v>
      </c>
      <c r="BE277" t="e">
        <f>Stock!R852+"'E4!/zv"</f>
        <v>#VALUE!</v>
      </c>
      <c r="BF277" s="333" t="e">
        <f>Stock!S852+"'E4!/zw"</f>
        <v>#VALUE!</v>
      </c>
      <c r="BG277" s="333" t="e">
        <f>Stock!T852+"'E4!/zx"</f>
        <v>#VALUE!</v>
      </c>
      <c r="BH277" t="e">
        <f>Stock!V852+"'E4!/zy"</f>
        <v>#VALUE!</v>
      </c>
      <c r="BI277" t="e">
        <f>Stock!X852+"'E4!/zz"</f>
        <v>#VALUE!</v>
      </c>
      <c r="BJ277" t="e">
        <f>Stock!Y852+"'E4!/z{"</f>
        <v>#VALUE!</v>
      </c>
      <c r="BK277" t="e">
        <f>Stock!N853+"'E4!/z|"</f>
        <v>#VALUE!</v>
      </c>
      <c r="BL277" t="e">
        <f>Stock!O853+"'E4!/z}"</f>
        <v>#VALUE!</v>
      </c>
      <c r="BM277" t="e">
        <f>Stock!P853+"'E4!/z~"</f>
        <v>#VALUE!</v>
      </c>
      <c r="BN277" t="e">
        <f>Stock!Q853+"'E4!/{#"</f>
        <v>#VALUE!</v>
      </c>
      <c r="BO277" t="e">
        <f>Stock!R853+"'E4!/{$"</f>
        <v>#VALUE!</v>
      </c>
      <c r="BP277" s="333" t="e">
        <f>Stock!S853+"'E4!/{%"</f>
        <v>#VALUE!</v>
      </c>
      <c r="BQ277" s="333" t="e">
        <f>Stock!T853+"'E4!/{&amp;"</f>
        <v>#VALUE!</v>
      </c>
      <c r="BR277" t="e">
        <f>Stock!U853+"'E4!/{'"</f>
        <v>#VALUE!</v>
      </c>
      <c r="BS277" t="e">
        <f>Stock!V853+"'E4!/{("</f>
        <v>#VALUE!</v>
      </c>
      <c r="BT277" t="e">
        <f>Stock!X853+"'E4!/{)"</f>
        <v>#VALUE!</v>
      </c>
      <c r="BU277" t="e">
        <f>Stock!Y853+"'E4!/{."</f>
        <v>#VALUE!</v>
      </c>
      <c r="BV277" t="e">
        <f>Stock!N854+"'E4!/{/"</f>
        <v>#VALUE!</v>
      </c>
      <c r="BW277" t="e">
        <f>Stock!O854+"'E4!/{0"</f>
        <v>#VALUE!</v>
      </c>
      <c r="BX277" t="e">
        <f>Stock!P854+"'E4!/{1"</f>
        <v>#VALUE!</v>
      </c>
      <c r="BY277" t="e">
        <f>Stock!Q854+"'E4!/{2"</f>
        <v>#VALUE!</v>
      </c>
      <c r="BZ277" t="e">
        <f>Stock!R854+"'E4!/{3"</f>
        <v>#VALUE!</v>
      </c>
      <c r="CA277" s="333" t="e">
        <f>Stock!S854+"'E4!/{4"</f>
        <v>#VALUE!</v>
      </c>
      <c r="CB277" s="333" t="e">
        <f>Stock!T854+"'E4!/{5"</f>
        <v>#VALUE!</v>
      </c>
      <c r="CC277" t="e">
        <f>Stock!U854+"'E4!/{6"</f>
        <v>#VALUE!</v>
      </c>
      <c r="CD277" t="e">
        <f>Stock!V854+"'E4!/{7"</f>
        <v>#VALUE!</v>
      </c>
      <c r="CE277" t="e">
        <f>Stock!X854+"'E4!/{8"</f>
        <v>#VALUE!</v>
      </c>
      <c r="CF277" t="e">
        <f>Stock!Y854+"'E4!/{9"</f>
        <v>#VALUE!</v>
      </c>
      <c r="CG277" t="e">
        <f>Stock!N855+"'E4!/{:"</f>
        <v>#VALUE!</v>
      </c>
      <c r="CH277" t="e">
        <f>Stock!O855+"'E4!/{;"</f>
        <v>#VALUE!</v>
      </c>
      <c r="CI277" t="e">
        <f>Stock!P855+"'E4!/{&lt;"</f>
        <v>#VALUE!</v>
      </c>
      <c r="CJ277" t="e">
        <f>Stock!Q855+"'E4!/{="</f>
        <v>#VALUE!</v>
      </c>
      <c r="CK277" t="e">
        <f>Stock!R855+"'E4!/{&gt;"</f>
        <v>#VALUE!</v>
      </c>
      <c r="CL277" s="333" t="e">
        <f>Stock!S855+"'E4!/{?"</f>
        <v>#VALUE!</v>
      </c>
      <c r="CM277" s="333" t="e">
        <f>Stock!T855+"'E4!/{@"</f>
        <v>#VALUE!</v>
      </c>
      <c r="CN277" t="e">
        <f>Stock!U855+"'E4!/{A"</f>
        <v>#VALUE!</v>
      </c>
      <c r="CO277" t="e">
        <f>Stock!V855+"'E4!/{B"</f>
        <v>#VALUE!</v>
      </c>
      <c r="CP277" t="e">
        <f>Stock!X855+"'E4!/{C"</f>
        <v>#VALUE!</v>
      </c>
      <c r="CQ277" t="e">
        <f>Stock!Y855+"'E4!/{D"</f>
        <v>#VALUE!</v>
      </c>
      <c r="CR277" t="e">
        <f>Stock!N856+"'E4!/{E"</f>
        <v>#VALUE!</v>
      </c>
      <c r="CS277" t="e">
        <f>Stock!O856+"'E4!/{F"</f>
        <v>#VALUE!</v>
      </c>
      <c r="CT277" t="e">
        <f>Stock!P856+"'E4!/{G"</f>
        <v>#VALUE!</v>
      </c>
      <c r="CU277" t="e">
        <f>Stock!Q856+"'E4!/{H"</f>
        <v>#VALUE!</v>
      </c>
      <c r="CV277" t="e">
        <f>Stock!R856+"'E4!/{I"</f>
        <v>#VALUE!</v>
      </c>
      <c r="CW277" s="333" t="e">
        <f>Stock!S856+"'E4!/{J"</f>
        <v>#VALUE!</v>
      </c>
      <c r="CX277" s="333" t="e">
        <f>Stock!T856+"'E4!/{K"</f>
        <v>#VALUE!</v>
      </c>
      <c r="CY277" t="e">
        <f>Stock!U856+"'E4!/{L"</f>
        <v>#VALUE!</v>
      </c>
      <c r="CZ277" t="e">
        <f>Stock!V856+"'E4!/{M"</f>
        <v>#VALUE!</v>
      </c>
      <c r="DA277" t="e">
        <f>Stock!X856+"'E4!/{N"</f>
        <v>#VALUE!</v>
      </c>
      <c r="DB277" t="e">
        <f>Stock!Y856+"'E4!/{O"</f>
        <v>#VALUE!</v>
      </c>
      <c r="DC277" t="e">
        <f>Stock!N857+"'E4!/{P"</f>
        <v>#VALUE!</v>
      </c>
      <c r="DD277" t="e">
        <f>Stock!O857+"'E4!/{Q"</f>
        <v>#VALUE!</v>
      </c>
      <c r="DE277" t="e">
        <f>Stock!P857+"'E4!/{R"</f>
        <v>#VALUE!</v>
      </c>
      <c r="DF277" t="e">
        <f>Stock!Q857+"'E4!/{S"</f>
        <v>#VALUE!</v>
      </c>
      <c r="DG277" t="e">
        <f>Stock!R857+"'E4!/{T"</f>
        <v>#VALUE!</v>
      </c>
      <c r="DH277" s="333" t="e">
        <f>Stock!S857+"'E4!/{U"</f>
        <v>#VALUE!</v>
      </c>
      <c r="DI277" s="333" t="e">
        <f>Stock!T857+"'E4!/{V"</f>
        <v>#VALUE!</v>
      </c>
      <c r="DJ277" t="e">
        <f>Stock!U857+"'E4!/{W"</f>
        <v>#VALUE!</v>
      </c>
      <c r="DK277" t="e">
        <f>Stock!V857+"'E4!/{X"</f>
        <v>#VALUE!</v>
      </c>
      <c r="DL277" t="e">
        <f>Stock!X857+"'E4!/{Y"</f>
        <v>#VALUE!</v>
      </c>
      <c r="DM277" t="e">
        <f>Stock!Y857+"'E4!/{Z"</f>
        <v>#VALUE!</v>
      </c>
      <c r="DN277" t="e">
        <f>Stock!N858+"'E4!/{["</f>
        <v>#VALUE!</v>
      </c>
      <c r="DO277" t="e">
        <f>Stock!O858+"'E4!/{\"</f>
        <v>#VALUE!</v>
      </c>
      <c r="DP277" t="e">
        <f>Stock!P858+"'E4!/{]"</f>
        <v>#VALUE!</v>
      </c>
      <c r="DQ277" t="e">
        <f>Stock!Q858+"'E4!/{^"</f>
        <v>#VALUE!</v>
      </c>
      <c r="DR277" t="e">
        <f>Stock!R858+"'E4!/{_"</f>
        <v>#VALUE!</v>
      </c>
      <c r="DS277" s="333" t="e">
        <f>Stock!S858+"'E4!/{`"</f>
        <v>#VALUE!</v>
      </c>
      <c r="DT277" s="333" t="e">
        <f>Stock!T858+"'E4!/{a"</f>
        <v>#VALUE!</v>
      </c>
      <c r="DU277" t="e">
        <f>Stock!U858+"'E4!/{b"</f>
        <v>#VALUE!</v>
      </c>
      <c r="DV277" t="e">
        <f>Stock!V858+"'E4!/{c"</f>
        <v>#VALUE!</v>
      </c>
      <c r="DW277" t="e">
        <f>Stock!X858+"'E4!/{d"</f>
        <v>#VALUE!</v>
      </c>
      <c r="DX277" t="e">
        <f>Stock!Y858+"'E4!/{e"</f>
        <v>#VALUE!</v>
      </c>
      <c r="DY277" t="e">
        <f>Stock!N859+"'E4!/{f"</f>
        <v>#VALUE!</v>
      </c>
      <c r="DZ277" t="e">
        <f>Stock!O859+"'E4!/{g"</f>
        <v>#VALUE!</v>
      </c>
      <c r="EA277" t="e">
        <f>Stock!P859+"'E4!/{h"</f>
        <v>#VALUE!</v>
      </c>
      <c r="EB277" t="e">
        <f>Stock!Q859+"'E4!/{i"</f>
        <v>#VALUE!</v>
      </c>
      <c r="EC277" t="e">
        <f>Stock!R859+"'E4!/{j"</f>
        <v>#VALUE!</v>
      </c>
      <c r="ED277" s="333" t="e">
        <f>Stock!S859+"'E4!/{k"</f>
        <v>#VALUE!</v>
      </c>
      <c r="EE277" s="333" t="e">
        <f>Stock!T859+"'E4!/{l"</f>
        <v>#VALUE!</v>
      </c>
      <c r="EF277" t="e">
        <f>Stock!U859+"'E4!/{m"</f>
        <v>#VALUE!</v>
      </c>
      <c r="EG277" t="e">
        <f>Stock!V859+"'E4!/{n"</f>
        <v>#VALUE!</v>
      </c>
      <c r="EH277" t="e">
        <f>Stock!X859+"'E4!/{o"</f>
        <v>#VALUE!</v>
      </c>
      <c r="EI277" t="e">
        <f>Stock!Y859+"'E4!/{p"</f>
        <v>#VALUE!</v>
      </c>
      <c r="EJ277" t="e">
        <f>Stock!N860+"'E4!/{q"</f>
        <v>#VALUE!</v>
      </c>
      <c r="EK277" t="e">
        <f>Stock!O860+"'E4!/{r"</f>
        <v>#VALUE!</v>
      </c>
      <c r="EL277" t="e">
        <f>Stock!P860+"'E4!/{s"</f>
        <v>#VALUE!</v>
      </c>
      <c r="EM277" t="e">
        <f>Stock!Q860+"'E4!/{t"</f>
        <v>#VALUE!</v>
      </c>
      <c r="EN277" t="e">
        <f>Stock!R860+"'E4!/{u"</f>
        <v>#VALUE!</v>
      </c>
      <c r="EO277" s="333" t="e">
        <f>Stock!S860+"'E4!/{v"</f>
        <v>#VALUE!</v>
      </c>
      <c r="EP277" s="333" t="e">
        <f>Stock!T860+"'E4!/{w"</f>
        <v>#VALUE!</v>
      </c>
      <c r="EQ277" t="e">
        <f>Stock!U860+"'E4!/{x"</f>
        <v>#VALUE!</v>
      </c>
      <c r="ER277" t="e">
        <f>Stock!V860+"'E4!/{y"</f>
        <v>#VALUE!</v>
      </c>
      <c r="ES277" t="e">
        <f>Stock!X860+"'E4!/{z"</f>
        <v>#VALUE!</v>
      </c>
      <c r="ET277" t="e">
        <f>Stock!Y860+"'E4!/{{"</f>
        <v>#VALUE!</v>
      </c>
      <c r="EU277" t="e">
        <f>Stock!N861+"'E4!/{|"</f>
        <v>#VALUE!</v>
      </c>
      <c r="EV277" t="e">
        <f>Stock!O861+"'E4!/{}"</f>
        <v>#VALUE!</v>
      </c>
      <c r="EW277" t="e">
        <f>Stock!P861+"'E4!/{~"</f>
        <v>#VALUE!</v>
      </c>
      <c r="EX277" t="e">
        <f>Stock!Q861+"'E4!/|#"</f>
        <v>#VALUE!</v>
      </c>
      <c r="EY277" t="e">
        <f>Stock!R861+"'E4!/|$"</f>
        <v>#VALUE!</v>
      </c>
      <c r="EZ277" s="333" t="e">
        <f>Stock!S861+"'E4!/|%"</f>
        <v>#VALUE!</v>
      </c>
      <c r="FA277" s="333" t="e">
        <f>Stock!T861+"'E4!/|&amp;"</f>
        <v>#VALUE!</v>
      </c>
      <c r="FB277" t="e">
        <f>Stock!U861+"'E4!/|'"</f>
        <v>#VALUE!</v>
      </c>
      <c r="FC277" t="e">
        <f>Stock!V861+"'E4!/|("</f>
        <v>#VALUE!</v>
      </c>
      <c r="FD277" t="e">
        <f>Stock!X861+"'E4!/|)"</f>
        <v>#VALUE!</v>
      </c>
      <c r="FE277" t="e">
        <f>Stock!Y861+"'E4!/|."</f>
        <v>#VALUE!</v>
      </c>
      <c r="FF277" t="e">
        <f>Stock!N862+"'E4!/|/"</f>
        <v>#VALUE!</v>
      </c>
      <c r="FG277" t="e">
        <f>Stock!O862+"'E4!/|0"</f>
        <v>#VALUE!</v>
      </c>
      <c r="FH277" t="e">
        <f>Stock!P862+"'E4!/|1"</f>
        <v>#VALUE!</v>
      </c>
      <c r="FI277" t="e">
        <f>Stock!Q862+"'E4!/|2"</f>
        <v>#VALUE!</v>
      </c>
      <c r="FJ277" t="e">
        <f>Stock!R862+"'E4!/|3"</f>
        <v>#VALUE!</v>
      </c>
      <c r="FK277" s="333" t="e">
        <f>Stock!S862+"'E4!/|4"</f>
        <v>#VALUE!</v>
      </c>
      <c r="FL277" s="333" t="e">
        <f>Stock!T862+"'E4!/|5"</f>
        <v>#VALUE!</v>
      </c>
      <c r="FM277" t="e">
        <f>Stock!U862+"'E4!/|6"</f>
        <v>#VALUE!</v>
      </c>
      <c r="FN277" t="e">
        <f>Stock!V862+"'E4!/|7"</f>
        <v>#VALUE!</v>
      </c>
      <c r="FO277" t="e">
        <f>Stock!X862+"'E4!/|8"</f>
        <v>#VALUE!</v>
      </c>
      <c r="FP277" t="e">
        <f>Stock!Y862+"'E4!/|9"</f>
        <v>#VALUE!</v>
      </c>
      <c r="FQ277" t="e">
        <f>Stock!N863+"'E4!/|:"</f>
        <v>#VALUE!</v>
      </c>
      <c r="FR277" t="e">
        <f>Stock!O863+"'E4!/|;"</f>
        <v>#VALUE!</v>
      </c>
      <c r="FS277" t="e">
        <f>Stock!P863+"'E4!/|&lt;"</f>
        <v>#VALUE!</v>
      </c>
      <c r="FT277" t="e">
        <f>Stock!Q863+"'E4!/|="</f>
        <v>#VALUE!</v>
      </c>
      <c r="FU277" t="e">
        <f>Stock!R863+"'E4!/|&gt;"</f>
        <v>#VALUE!</v>
      </c>
      <c r="FV277" s="333" t="e">
        <f>Stock!S863+"'E4!/|?"</f>
        <v>#VALUE!</v>
      </c>
      <c r="FW277" s="333" t="e">
        <f>Stock!T863+"'E4!/|@"</f>
        <v>#VALUE!</v>
      </c>
      <c r="FX277" t="e">
        <f>Stock!U863+"'E4!/|A"</f>
        <v>#VALUE!</v>
      </c>
      <c r="FY277" t="e">
        <f>Stock!V863+"'E4!/|B"</f>
        <v>#VALUE!</v>
      </c>
      <c r="FZ277" t="e">
        <f>Stock!X863+"'E4!/|C"</f>
        <v>#VALUE!</v>
      </c>
      <c r="GA277" t="e">
        <f>Stock!Y863+"'E4!/|D"</f>
        <v>#VALUE!</v>
      </c>
      <c r="GB277" t="e">
        <f>Stock!N864+"'E4!/|E"</f>
        <v>#VALUE!</v>
      </c>
      <c r="GC277" t="e">
        <f>Stock!O864+"'E4!/|F"</f>
        <v>#VALUE!</v>
      </c>
      <c r="GD277" t="e">
        <f>Stock!P864+"'E4!/|G"</f>
        <v>#VALUE!</v>
      </c>
      <c r="GE277" t="e">
        <f>Stock!Q864+"'E4!/|H"</f>
        <v>#VALUE!</v>
      </c>
      <c r="GF277" t="e">
        <f>Stock!R864+"'E4!/|I"</f>
        <v>#VALUE!</v>
      </c>
      <c r="GG277" s="333" t="e">
        <f>Stock!S864+"'E4!/|J"</f>
        <v>#VALUE!</v>
      </c>
      <c r="GH277" s="333" t="e">
        <f>Stock!T864+"'E4!/|K"</f>
        <v>#VALUE!</v>
      </c>
      <c r="GI277" t="e">
        <f>Stock!U864+"'E4!/|L"</f>
        <v>#VALUE!</v>
      </c>
      <c r="GJ277" t="e">
        <f>Stock!V864+"'E4!/|M"</f>
        <v>#VALUE!</v>
      </c>
      <c r="GK277" t="e">
        <f>Stock!X864+"'E4!/|N"</f>
        <v>#VALUE!</v>
      </c>
      <c r="GL277" t="e">
        <f>Stock!Y864+"'E4!/|O"</f>
        <v>#VALUE!</v>
      </c>
      <c r="GM277" t="e">
        <f>Stock!N865+"'E4!/|P"</f>
        <v>#VALUE!</v>
      </c>
      <c r="GN277" t="e">
        <f>Stock!O865+"'E4!/|Q"</f>
        <v>#VALUE!</v>
      </c>
      <c r="GO277" t="e">
        <f>Stock!P865+"'E4!/|R"</f>
        <v>#VALUE!</v>
      </c>
      <c r="GP277" t="e">
        <f>Stock!Q865+"'E4!/|S"</f>
        <v>#VALUE!</v>
      </c>
      <c r="GQ277" t="e">
        <f>Stock!R865+"'E4!/|T"</f>
        <v>#VALUE!</v>
      </c>
      <c r="GR277" s="333" t="e">
        <f>Stock!S865+"'E4!/|U"</f>
        <v>#VALUE!</v>
      </c>
      <c r="GS277" s="333" t="e">
        <f>Stock!T865+"'E4!/|V"</f>
        <v>#VALUE!</v>
      </c>
      <c r="GT277" t="e">
        <f>Stock!U865+"'E4!/|W"</f>
        <v>#VALUE!</v>
      </c>
      <c r="GU277" t="e">
        <f>Stock!V865+"'E4!/|X"</f>
        <v>#VALUE!</v>
      </c>
      <c r="GV277" t="e">
        <f>Stock!X865+"'E4!/|Y"</f>
        <v>#VALUE!</v>
      </c>
      <c r="GW277" t="e">
        <f>Stock!Y865+"'E4!/|Z"</f>
        <v>#VALUE!</v>
      </c>
      <c r="GX277" t="e">
        <f>Stock!N866+"'E4!/|["</f>
        <v>#VALUE!</v>
      </c>
      <c r="GY277" t="e">
        <f>Stock!O866+"'E4!/|\"</f>
        <v>#VALUE!</v>
      </c>
      <c r="GZ277" t="e">
        <f>Stock!P866+"'E4!/|]"</f>
        <v>#VALUE!</v>
      </c>
      <c r="HA277" t="e">
        <f>Stock!Q866+"'E4!/|^"</f>
        <v>#VALUE!</v>
      </c>
      <c r="HB277" t="e">
        <f>Stock!R866+"'E4!/|_"</f>
        <v>#VALUE!</v>
      </c>
      <c r="HC277" s="333" t="e">
        <f>Stock!S866+"'E4!/|`"</f>
        <v>#VALUE!</v>
      </c>
      <c r="HD277" s="333" t="e">
        <f>Stock!T866+"'E4!/|a"</f>
        <v>#VALUE!</v>
      </c>
      <c r="HE277" t="e">
        <f>Stock!U866+"'E4!/|b"</f>
        <v>#VALUE!</v>
      </c>
      <c r="HF277" t="e">
        <f>Stock!V866+"'E4!/|c"</f>
        <v>#VALUE!</v>
      </c>
      <c r="HG277" t="e">
        <f>Stock!X866+"'E4!/|d"</f>
        <v>#VALUE!</v>
      </c>
      <c r="HH277" t="e">
        <f>Stock!Y866+"'E4!/|e"</f>
        <v>#VALUE!</v>
      </c>
      <c r="HI277" t="e">
        <f>Stock!N867+"'E4!/|f"</f>
        <v>#VALUE!</v>
      </c>
      <c r="HJ277" t="e">
        <f>Stock!O867+"'E4!/|g"</f>
        <v>#VALUE!</v>
      </c>
      <c r="HK277" t="e">
        <f>Stock!P867+"'E4!/|h"</f>
        <v>#VALUE!</v>
      </c>
      <c r="HL277" t="e">
        <f>Stock!Q867+"'E4!/|i"</f>
        <v>#VALUE!</v>
      </c>
      <c r="HM277" t="e">
        <f>Stock!R867+"'E4!/|j"</f>
        <v>#VALUE!</v>
      </c>
      <c r="HN277" s="333" t="e">
        <f>Stock!S867+"'E4!/|k"</f>
        <v>#VALUE!</v>
      </c>
      <c r="HO277" s="333" t="e">
        <f>Stock!T867+"'E4!/|l"</f>
        <v>#VALUE!</v>
      </c>
      <c r="HP277" t="e">
        <f>Stock!U867+"'E4!/|m"</f>
        <v>#VALUE!</v>
      </c>
      <c r="HQ277" t="e">
        <f>Stock!V867+"'E4!/|n"</f>
        <v>#VALUE!</v>
      </c>
      <c r="HR277" t="e">
        <f>Stock!X867+"'E4!/|o"</f>
        <v>#VALUE!</v>
      </c>
      <c r="HS277" t="e">
        <f>Stock!Y867+"'E4!/|p"</f>
        <v>#VALUE!</v>
      </c>
      <c r="HT277" t="e">
        <f>Stock!N868+"'E4!/|q"</f>
        <v>#VALUE!</v>
      </c>
      <c r="HU277" t="e">
        <f>Stock!O868+"'E4!/|r"</f>
        <v>#VALUE!</v>
      </c>
      <c r="HV277" t="e">
        <f>Stock!P868+"'E4!/|s"</f>
        <v>#VALUE!</v>
      </c>
      <c r="HW277" t="e">
        <f>Stock!Q868+"'E4!/|t"</f>
        <v>#VALUE!</v>
      </c>
      <c r="HX277" t="e">
        <f>Stock!R868+"'E4!/|u"</f>
        <v>#VALUE!</v>
      </c>
      <c r="HY277" s="333" t="e">
        <f>Stock!S868+"'E4!/|v"</f>
        <v>#VALUE!</v>
      </c>
      <c r="HZ277" s="333" t="e">
        <f>Stock!T868+"'E4!/|w"</f>
        <v>#VALUE!</v>
      </c>
      <c r="IA277" t="e">
        <f>Stock!U868+"'E4!/|x"</f>
        <v>#VALUE!</v>
      </c>
      <c r="IB277" t="e">
        <f>Stock!V868+"'E4!/|y"</f>
        <v>#VALUE!</v>
      </c>
      <c r="IC277" t="e">
        <f>Stock!X868+"'E4!/|z"</f>
        <v>#VALUE!</v>
      </c>
      <c r="ID277" t="e">
        <f>Stock!Y868+"'E4!/|{"</f>
        <v>#VALUE!</v>
      </c>
      <c r="IE277" t="e">
        <f>Stock!N869+"'E4!/||"</f>
        <v>#VALUE!</v>
      </c>
      <c r="IF277" t="e">
        <f>Stock!O869+"'E4!/|}"</f>
        <v>#VALUE!</v>
      </c>
      <c r="IG277" t="e">
        <f>Stock!P869+"'E4!/|~"</f>
        <v>#VALUE!</v>
      </c>
      <c r="IH277" t="e">
        <f>Stock!Q869+"'E4!/}#"</f>
        <v>#VALUE!</v>
      </c>
      <c r="II277" t="e">
        <f>Stock!R869+"'E4!/}$"</f>
        <v>#VALUE!</v>
      </c>
      <c r="IJ277" s="333" t="e">
        <f>Stock!S869+"'E4!/}%"</f>
        <v>#VALUE!</v>
      </c>
      <c r="IK277" s="333" t="e">
        <f>Stock!T869+"'E4!/}&amp;"</f>
        <v>#VALUE!</v>
      </c>
      <c r="IL277" t="e">
        <f>Stock!U869+"'E4!/}'"</f>
        <v>#VALUE!</v>
      </c>
      <c r="IM277" t="e">
        <f>Stock!V869+"'E4!/}("</f>
        <v>#VALUE!</v>
      </c>
      <c r="IN277" t="e">
        <f>Stock!X869+"'E4!/})"</f>
        <v>#VALUE!</v>
      </c>
      <c r="IO277" t="e">
        <f>Stock!Y869+"'E4!/}."</f>
        <v>#VALUE!</v>
      </c>
      <c r="IP277" t="e">
        <f>Stock!N870+"'E4!/}/"</f>
        <v>#VALUE!</v>
      </c>
      <c r="IQ277" t="e">
        <f>Stock!O870+"'E4!/}0"</f>
        <v>#VALUE!</v>
      </c>
      <c r="IR277" t="e">
        <f>Stock!P870+"'E4!/}1"</f>
        <v>#VALUE!</v>
      </c>
      <c r="IS277" t="e">
        <f>Stock!Q870+"'E4!/}2"</f>
        <v>#VALUE!</v>
      </c>
      <c r="IT277" t="e">
        <f>Stock!R870+"'E4!/}3"</f>
        <v>#VALUE!</v>
      </c>
      <c r="IU277" s="333" t="e">
        <f>Stock!S870+"'E4!/}4"</f>
        <v>#VALUE!</v>
      </c>
      <c r="IV277" s="333" t="e">
        <f>Stock!T870+"'E4!/}5"</f>
        <v>#VALUE!</v>
      </c>
    </row>
    <row r="278" spans="6:256">
      <c r="F278" t="e">
        <f>Stock!U870+"'E4!/}6"</f>
        <v>#VALUE!</v>
      </c>
      <c r="G278" t="e">
        <f>Stock!V870+"'E4!/}7"</f>
        <v>#VALUE!</v>
      </c>
      <c r="H278" t="e">
        <f>Stock!X870+"'E4!/}8"</f>
        <v>#VALUE!</v>
      </c>
      <c r="I278" t="e">
        <f>Stock!Y870+"'E4!/}9"</f>
        <v>#VALUE!</v>
      </c>
      <c r="J278" t="e">
        <f>Stock!N871+"'E4!/}:"</f>
        <v>#VALUE!</v>
      </c>
      <c r="K278" t="e">
        <f>Stock!O871+"'E4!/};"</f>
        <v>#VALUE!</v>
      </c>
      <c r="L278" t="e">
        <f>Stock!P871+"'E4!/}&lt;"</f>
        <v>#VALUE!</v>
      </c>
      <c r="M278" t="e">
        <f>Stock!Q871+"'E4!/}="</f>
        <v>#VALUE!</v>
      </c>
      <c r="N278" t="e">
        <f>Stock!R871+"'E4!/}&gt;"</f>
        <v>#VALUE!</v>
      </c>
      <c r="O278" s="333" t="e">
        <f>Stock!S871+"'E4!/}?"</f>
        <v>#VALUE!</v>
      </c>
      <c r="P278" s="333" t="e">
        <f>Stock!T871+"'E4!/}@"</f>
        <v>#VALUE!</v>
      </c>
      <c r="Q278" t="e">
        <f>Stock!U871+"'E4!/}A"</f>
        <v>#VALUE!</v>
      </c>
      <c r="R278" t="e">
        <f>Stock!V871+"'E4!/}B"</f>
        <v>#VALUE!</v>
      </c>
      <c r="S278" t="e">
        <f>Stock!X871+"'E4!/}C"</f>
        <v>#VALUE!</v>
      </c>
      <c r="T278" t="e">
        <f>Stock!Y871+"'E4!/}D"</f>
        <v>#VALUE!</v>
      </c>
      <c r="U278" t="e">
        <f>Stock!N872+"'E4!/}E"</f>
        <v>#VALUE!</v>
      </c>
      <c r="V278" t="e">
        <f>Stock!O872+"'E4!/}F"</f>
        <v>#VALUE!</v>
      </c>
      <c r="W278" t="e">
        <f>Stock!P872+"'E4!/}G"</f>
        <v>#VALUE!</v>
      </c>
      <c r="X278" t="e">
        <f>Stock!Q872+"'E4!/}H"</f>
        <v>#VALUE!</v>
      </c>
      <c r="Y278" t="e">
        <f>Stock!R872+"'E4!/}I"</f>
        <v>#VALUE!</v>
      </c>
      <c r="Z278" s="333" t="e">
        <f>Stock!S872+"'E4!/}J"</f>
        <v>#VALUE!</v>
      </c>
      <c r="AA278" s="333" t="e">
        <f>Stock!T872+"'E4!/}K"</f>
        <v>#VALUE!</v>
      </c>
      <c r="AB278" t="e">
        <f>Stock!U872+"'E4!/}L"</f>
        <v>#VALUE!</v>
      </c>
      <c r="AC278" t="e">
        <f>Stock!V872+"'E4!/}M"</f>
        <v>#VALUE!</v>
      </c>
      <c r="AD278" t="e">
        <f>Stock!X872+"'E4!/}N"</f>
        <v>#VALUE!</v>
      </c>
      <c r="AE278" t="e">
        <f>Stock!Y872+"'E4!/}O"</f>
        <v>#VALUE!</v>
      </c>
      <c r="AF278" t="e">
        <f>Stock!N873+"'E4!/}P"</f>
        <v>#VALUE!</v>
      </c>
      <c r="AG278" t="e">
        <f>Stock!O873+"'E4!/}Q"</f>
        <v>#VALUE!</v>
      </c>
      <c r="AH278" t="e">
        <f>Stock!P873+"'E4!/}R"</f>
        <v>#VALUE!</v>
      </c>
      <c r="AI278" t="e">
        <f>Stock!Q873+"'E4!/}S"</f>
        <v>#VALUE!</v>
      </c>
      <c r="AJ278" t="e">
        <f>Stock!R873+"'E4!/}T"</f>
        <v>#VALUE!</v>
      </c>
      <c r="AK278" s="333" t="e">
        <f>Stock!S873+"'E4!/}U"</f>
        <v>#VALUE!</v>
      </c>
      <c r="AL278" s="333" t="e">
        <f>Stock!T873+"'E4!/}V"</f>
        <v>#VALUE!</v>
      </c>
      <c r="AM278" t="e">
        <f>Stock!U873+"'E4!/}W"</f>
        <v>#VALUE!</v>
      </c>
      <c r="AN278" t="e">
        <f>Stock!V873+"'E4!/}X"</f>
        <v>#VALUE!</v>
      </c>
      <c r="AO278" t="e">
        <f>Stock!X873+"'E4!/}Y"</f>
        <v>#VALUE!</v>
      </c>
      <c r="AP278" t="e">
        <f>Stock!Y873+"'E4!/}Z"</f>
        <v>#VALUE!</v>
      </c>
      <c r="AQ278" t="e">
        <f>Stock!N874+"'E4!/}["</f>
        <v>#VALUE!</v>
      </c>
      <c r="AR278" t="e">
        <f>Stock!O874+"'E4!/}\"</f>
        <v>#VALUE!</v>
      </c>
      <c r="AS278" t="e">
        <f>Stock!P874+"'E4!/}]"</f>
        <v>#VALUE!</v>
      </c>
      <c r="AT278" t="e">
        <f>Stock!Q874+"'E4!/}^"</f>
        <v>#VALUE!</v>
      </c>
      <c r="AU278" t="e">
        <f>Stock!R874+"'E4!/}_"</f>
        <v>#VALUE!</v>
      </c>
      <c r="AV278" s="333" t="e">
        <f>Stock!S874+"'E4!/}`"</f>
        <v>#VALUE!</v>
      </c>
      <c r="AW278" t="e">
        <f>Stock!T874+"'E4!/}a"</f>
        <v>#VALUE!</v>
      </c>
      <c r="AX278" t="e">
        <f>Stock!U874+"'E4!/}b"</f>
        <v>#VALUE!</v>
      </c>
      <c r="AY278" t="e">
        <f>Stock!V874+"'E4!/}c"</f>
        <v>#VALUE!</v>
      </c>
      <c r="AZ278" t="e">
        <f>Stock!X874+"'E4!/}d"</f>
        <v>#VALUE!</v>
      </c>
      <c r="BA278" t="e">
        <f>Stock!Y874+"'E4!/}e"</f>
        <v>#VALUE!</v>
      </c>
      <c r="BB278" t="e">
        <f>Stock!N875+"'E4!/}f"</f>
        <v>#VALUE!</v>
      </c>
      <c r="BC278" t="e">
        <f>Stock!O875+"'E4!/}g"</f>
        <v>#VALUE!</v>
      </c>
      <c r="BD278" t="e">
        <f>Stock!P875+"'E4!/}h"</f>
        <v>#VALUE!</v>
      </c>
      <c r="BE278" t="e">
        <f>Stock!Q875+"'E4!/}i"</f>
        <v>#VALUE!</v>
      </c>
      <c r="BF278" t="e">
        <f>Stock!R875+"'E4!/}j"</f>
        <v>#VALUE!</v>
      </c>
      <c r="BG278" s="333" t="e">
        <f>Stock!S875+"'E4!/}k"</f>
        <v>#VALUE!</v>
      </c>
      <c r="BH278" t="e">
        <f>Stock!T875+"'E4!/}l"</f>
        <v>#VALUE!</v>
      </c>
      <c r="BI278" t="e">
        <f>Stock!U875+"'E4!/}m"</f>
        <v>#VALUE!</v>
      </c>
      <c r="BJ278" t="e">
        <f>Stock!V875+"'E4!/}n"</f>
        <v>#VALUE!</v>
      </c>
      <c r="BK278" t="e">
        <f>Stock!X875+"'E4!/}o"</f>
        <v>#VALUE!</v>
      </c>
      <c r="BL278" t="e">
        <f>Stock!Y875+"'E4!/}p"</f>
        <v>#VALUE!</v>
      </c>
      <c r="BM278" t="e">
        <f>Stock!N876+"'E4!/}q"</f>
        <v>#VALUE!</v>
      </c>
      <c r="BN278" t="e">
        <f>Stock!O876+"'E4!/}r"</f>
        <v>#VALUE!</v>
      </c>
      <c r="BO278" t="e">
        <f>Stock!P876+"'E4!/}s"</f>
        <v>#VALUE!</v>
      </c>
      <c r="BP278" t="e">
        <f>Stock!Q876+"'E4!/}t"</f>
        <v>#VALUE!</v>
      </c>
      <c r="BQ278" t="e">
        <f>Stock!R876+"'E4!/}u"</f>
        <v>#VALUE!</v>
      </c>
      <c r="BR278" s="333" t="e">
        <f>Stock!S876+"'E4!/}v"</f>
        <v>#VALUE!</v>
      </c>
      <c r="BS278" t="e">
        <f>Stock!T876+"'E4!/}w"</f>
        <v>#VALUE!</v>
      </c>
      <c r="BT278" t="e">
        <f>Stock!U876+"'E4!/}x"</f>
        <v>#VALUE!</v>
      </c>
      <c r="BU278" t="e">
        <f>Stock!V876+"'E4!/}y"</f>
        <v>#VALUE!</v>
      </c>
      <c r="BV278" t="e">
        <f>Stock!X876+"'E4!/}z"</f>
        <v>#VALUE!</v>
      </c>
      <c r="BW278" t="e">
        <f>Stock!Y876+"'E4!/}{"</f>
        <v>#VALUE!</v>
      </c>
      <c r="BX278" s="333" t="e">
        <f>Stock!S877+"'E4!/}|"</f>
        <v>#VALUE!</v>
      </c>
      <c r="BY278" s="333" t="e">
        <f>Stock!T877+"'E4!/}}"</f>
        <v>#VALUE!</v>
      </c>
      <c r="BZ278" t="e">
        <f>Stock!V877+"'E4!/}~"</f>
        <v>#VALUE!</v>
      </c>
      <c r="CA278" t="e">
        <f>Stock!X877+"'E4!/~#"</f>
        <v>#VALUE!</v>
      </c>
      <c r="CB278" t="e">
        <f>Stock!Y877+"'E4!/~$"</f>
        <v>#VALUE!</v>
      </c>
      <c r="CC278" s="333" t="e">
        <f>Stock!S878+"'E4!/~%"</f>
        <v>#VALUE!</v>
      </c>
      <c r="CD278" s="333" t="e">
        <f>Stock!T878+"'E4!/~&amp;"</f>
        <v>#VALUE!</v>
      </c>
      <c r="CE278" t="e">
        <f>Stock!V878+"'E4!/~'"</f>
        <v>#VALUE!</v>
      </c>
      <c r="CF278" t="e">
        <f>Stock!X878+"'E4!/~("</f>
        <v>#VALUE!</v>
      </c>
      <c r="CG278" t="e">
        <f>Stock!Y878+"'E4!/~)"</f>
        <v>#VALUE!</v>
      </c>
      <c r="CH278" s="333" t="e">
        <f>Stock!S879+"'E4!/~."</f>
        <v>#VALUE!</v>
      </c>
      <c r="CI278" s="333" t="e">
        <f>Stock!T879+"'E4!/~/"</f>
        <v>#VALUE!</v>
      </c>
      <c r="CJ278" t="e">
        <f>Stock!V879+"'E4!/~0"</f>
        <v>#VALUE!</v>
      </c>
      <c r="CK278" t="e">
        <f>Stock!X879+"'E4!/~1"</f>
        <v>#VALUE!</v>
      </c>
      <c r="CL278" t="e">
        <f>Stock!Y879+"'E4!/~2"</f>
        <v>#VALUE!</v>
      </c>
      <c r="CM278" s="333" t="e">
        <f>Stock!S880+"'E4!/~3"</f>
        <v>#VALUE!</v>
      </c>
      <c r="CN278" s="333" t="e">
        <f>Stock!T880+"'E4!/~4"</f>
        <v>#VALUE!</v>
      </c>
      <c r="CO278" t="e">
        <f>Stock!V880+"'E4!/~5"</f>
        <v>#VALUE!</v>
      </c>
      <c r="CP278" t="e">
        <f>Stock!X880+"'E4!/~6"</f>
        <v>#VALUE!</v>
      </c>
      <c r="CQ278" t="e">
        <f>Stock!Y880+"'E4!/~7"</f>
        <v>#VALUE!</v>
      </c>
      <c r="CR278" s="333" t="e">
        <f>Stock!S881+"'E4!/~8"</f>
        <v>#VALUE!</v>
      </c>
      <c r="CS278" s="333" t="e">
        <f>Stock!T881+"'E4!/~9"</f>
        <v>#VALUE!</v>
      </c>
      <c r="CT278" t="e">
        <f>Stock!V881+"'E4!/~:"</f>
        <v>#VALUE!</v>
      </c>
      <c r="CU278" t="e">
        <f>Stock!X881+"'E4!/~;"</f>
        <v>#VALUE!</v>
      </c>
      <c r="CV278" t="e">
        <f>Stock!Y881+"'E4!/~&lt;"</f>
        <v>#VALUE!</v>
      </c>
      <c r="CW278" s="333" t="e">
        <f>Stock!S882+"'E4!/~="</f>
        <v>#VALUE!</v>
      </c>
      <c r="CX278" s="333" t="e">
        <f>Stock!T882+"'E4!/~&gt;"</f>
        <v>#VALUE!</v>
      </c>
      <c r="CY278" t="e">
        <f>Stock!V882+"'E4!/~?"</f>
        <v>#VALUE!</v>
      </c>
      <c r="CZ278" t="e">
        <f>Stock!X882+"'E4!/~@"</f>
        <v>#VALUE!</v>
      </c>
      <c r="DA278" t="e">
        <f>Stock!Y882+"'E4!/~A"</f>
        <v>#VALUE!</v>
      </c>
      <c r="DB278" s="333" t="e">
        <f>Stock!S883+"'E4!/~B"</f>
        <v>#VALUE!</v>
      </c>
      <c r="DC278" s="333" t="e">
        <f>Stock!T883+"'E4!/~C"</f>
        <v>#VALUE!</v>
      </c>
      <c r="DD278" t="e">
        <f>Stock!V883+"'E4!/~D"</f>
        <v>#VALUE!</v>
      </c>
      <c r="DE278" t="e">
        <f>Stock!X883+"'E4!/~E"</f>
        <v>#VALUE!</v>
      </c>
      <c r="DF278" t="e">
        <f>Stock!Y883+"'E4!/~F"</f>
        <v>#VALUE!</v>
      </c>
      <c r="DG278" s="333" t="e">
        <f>Stock!S884+"'E4!/~G"</f>
        <v>#VALUE!</v>
      </c>
      <c r="DH278" s="333" t="e">
        <f>Stock!T884+"'E4!/~H"</f>
        <v>#VALUE!</v>
      </c>
      <c r="DI278" t="e">
        <f>Stock!V884+"'E4!/~I"</f>
        <v>#VALUE!</v>
      </c>
      <c r="DJ278" t="e">
        <f>Stock!X884+"'E4!/~J"</f>
        <v>#VALUE!</v>
      </c>
      <c r="DK278" t="e">
        <f>Stock!Y884+"'E4!/~K"</f>
        <v>#VALUE!</v>
      </c>
      <c r="DL278" s="333" t="e">
        <f>Stock!S885+"'E4!/~L"</f>
        <v>#VALUE!</v>
      </c>
      <c r="DM278" s="333" t="e">
        <f>Stock!T885+"'E4!/~M"</f>
        <v>#VALUE!</v>
      </c>
      <c r="DN278" t="e">
        <f>Stock!V885+"'E4!/~N"</f>
        <v>#VALUE!</v>
      </c>
      <c r="DO278" t="e">
        <f>Stock!X885+"'E4!/~O"</f>
        <v>#VALUE!</v>
      </c>
      <c r="DP278" t="e">
        <f>Stock!Y885+"'E4!/~P"</f>
        <v>#VALUE!</v>
      </c>
      <c r="DQ278" s="333" t="e">
        <f>Stock!S886+"'E4!/~Q"</f>
        <v>#VALUE!</v>
      </c>
      <c r="DR278" s="333" t="e">
        <f>Stock!T886+"'E4!/~R"</f>
        <v>#VALUE!</v>
      </c>
      <c r="DS278" t="e">
        <f>Stock!V886+"'E4!/~S"</f>
        <v>#VALUE!</v>
      </c>
      <c r="DT278" t="e">
        <f>Stock!X886+"'E4!/~T"</f>
        <v>#VALUE!</v>
      </c>
      <c r="DU278" t="e">
        <f>Stock!Y886+"'E4!/~U"</f>
        <v>#VALUE!</v>
      </c>
      <c r="DV278" s="333" t="e">
        <f>Stock!S887+"'E4!/~V"</f>
        <v>#VALUE!</v>
      </c>
      <c r="DW278" s="333" t="e">
        <f>Stock!T887+"'E4!/~W"</f>
        <v>#VALUE!</v>
      </c>
      <c r="DX278" t="e">
        <f>Stock!V887+"'E4!/~X"</f>
        <v>#VALUE!</v>
      </c>
      <c r="DY278" t="e">
        <f>Stock!X887+"'E4!/~Y"</f>
        <v>#VALUE!</v>
      </c>
      <c r="DZ278" t="e">
        <f>Stock!Y887+"'E4!/~Z"</f>
        <v>#VALUE!</v>
      </c>
      <c r="EA278" s="333" t="e">
        <f>Stock!S888+"'E4!/~["</f>
        <v>#VALUE!</v>
      </c>
      <c r="EB278" s="333" t="e">
        <f>Stock!T888+"'E4!/~\"</f>
        <v>#VALUE!</v>
      </c>
      <c r="EC278" t="e">
        <f>Stock!V888+"'E4!/~]"</f>
        <v>#VALUE!</v>
      </c>
      <c r="ED278" t="e">
        <f>Stock!X888+"'E4!/~^"</f>
        <v>#VALUE!</v>
      </c>
      <c r="EE278" t="e">
        <f>Stock!Y888+"'E4!/~_"</f>
        <v>#VALUE!</v>
      </c>
      <c r="EF278" s="333" t="e">
        <f>Stock!S889+"'E4!/~`"</f>
        <v>#VALUE!</v>
      </c>
      <c r="EG278" s="333" t="e">
        <f>Stock!T889+"'E4!/~a"</f>
        <v>#VALUE!</v>
      </c>
      <c r="EH278" t="e">
        <f>Stock!V889+"'E4!/~b"</f>
        <v>#VALUE!</v>
      </c>
      <c r="EI278" t="e">
        <f>Stock!X889+"'E4!/~c"</f>
        <v>#VALUE!</v>
      </c>
      <c r="EJ278" t="e">
        <f>Stock!Y889+"'E4!/~d"</f>
        <v>#VALUE!</v>
      </c>
      <c r="EK278" s="333" t="e">
        <f>Stock!S890+"'E4!/~e"</f>
        <v>#VALUE!</v>
      </c>
      <c r="EL278" s="333" t="e">
        <f>Stock!T890+"'E4!/~f"</f>
        <v>#VALUE!</v>
      </c>
      <c r="EM278" t="e">
        <f>Stock!V890+"'E4!/~g"</f>
        <v>#VALUE!</v>
      </c>
      <c r="EN278" t="e">
        <f>Stock!X890+"'E4!/~h"</f>
        <v>#VALUE!</v>
      </c>
      <c r="EO278" t="e">
        <f>Stock!Y890+"'E4!/~i"</f>
        <v>#VALUE!</v>
      </c>
      <c r="EP278" s="333" t="e">
        <f>Stock!S891+"'E4!/~j"</f>
        <v>#VALUE!</v>
      </c>
      <c r="EQ278" s="333" t="e">
        <f>Stock!T891+"'E4!/~k"</f>
        <v>#VALUE!</v>
      </c>
      <c r="ER278" t="e">
        <f>Stock!V891+"'E4!/~l"</f>
        <v>#VALUE!</v>
      </c>
      <c r="ES278" t="e">
        <f>Stock!X891+"'E4!/~m"</f>
        <v>#VALUE!</v>
      </c>
      <c r="ET278" t="e">
        <f>Stock!Y891+"'E4!/~n"</f>
        <v>#VALUE!</v>
      </c>
      <c r="EU278" s="333" t="e">
        <f>Stock!S892+"'E4!/~o"</f>
        <v>#VALUE!</v>
      </c>
      <c r="EV278" s="333" t="e">
        <f>Stock!T892+"'E4!/~p"</f>
        <v>#VALUE!</v>
      </c>
      <c r="EW278" t="e">
        <f>Stock!V892+"'E4!/~q"</f>
        <v>#VALUE!</v>
      </c>
      <c r="EX278" t="e">
        <f>Stock!X892+"'E4!/~r"</f>
        <v>#VALUE!</v>
      </c>
      <c r="EY278" t="e">
        <f>Stock!Y892+"'E4!/~s"</f>
        <v>#VALUE!</v>
      </c>
      <c r="EZ278" s="333" t="e">
        <f>Stock!S893+"'E4!/~t"</f>
        <v>#VALUE!</v>
      </c>
      <c r="FA278" s="333" t="e">
        <f>Stock!T893+"'E4!/~u"</f>
        <v>#VALUE!</v>
      </c>
      <c r="FB278" t="e">
        <f>Stock!V893+"'E4!/~v"</f>
        <v>#VALUE!</v>
      </c>
      <c r="FC278" t="e">
        <f>Stock!X893+"'E4!/~w"</f>
        <v>#VALUE!</v>
      </c>
      <c r="FD278" t="e">
        <f>Stock!Y893+"'E4!/~x"</f>
        <v>#VALUE!</v>
      </c>
      <c r="FE278" s="333" t="e">
        <f>Stock!S894+"'E4!/~y"</f>
        <v>#VALUE!</v>
      </c>
      <c r="FF278" s="333" t="e">
        <f>Stock!T894+"'E4!/~z"</f>
        <v>#VALUE!</v>
      </c>
      <c r="FG278" t="e">
        <f>Stock!V894+"'E4!/~{"</f>
        <v>#VALUE!</v>
      </c>
      <c r="FH278" t="e">
        <f>Stock!X894+"'E4!/~|"</f>
        <v>#VALUE!</v>
      </c>
      <c r="FI278" t="e">
        <f>Stock!Y894+"'E4!/~}"</f>
        <v>#VALUE!</v>
      </c>
      <c r="FJ278" s="333" t="e">
        <f>Stock!S895+"'E4!/~~"</f>
        <v>#VALUE!</v>
      </c>
      <c r="FK278" s="333" t="e">
        <f>Stock!T895+"'E4!0##"</f>
        <v>#VALUE!</v>
      </c>
      <c r="FL278" t="e">
        <f>Stock!V895+"'E4!0#$"</f>
        <v>#VALUE!</v>
      </c>
      <c r="FM278" t="e">
        <f>Stock!X895+"'E4!0#%"</f>
        <v>#VALUE!</v>
      </c>
      <c r="FN278" t="e">
        <f>Stock!Y895+"'E4!0#&amp;"</f>
        <v>#VALUE!</v>
      </c>
      <c r="FO278" s="333" t="e">
        <f>Stock!S896+"'E4!0#'"</f>
        <v>#VALUE!</v>
      </c>
      <c r="FP278" s="333" t="e">
        <f>Stock!T896+"'E4!0#("</f>
        <v>#VALUE!</v>
      </c>
      <c r="FQ278" t="e">
        <f>Stock!V896+"'E4!0#)"</f>
        <v>#VALUE!</v>
      </c>
      <c r="FR278" t="e">
        <f>Stock!X896+"'E4!0#."</f>
        <v>#VALUE!</v>
      </c>
      <c r="FS278" t="e">
        <f>Stock!Y896+"'E4!0#/"</f>
        <v>#VALUE!</v>
      </c>
      <c r="FT278" s="333" t="e">
        <f>Stock!S897+"'E4!0#0"</f>
        <v>#VALUE!</v>
      </c>
      <c r="FU278" s="333" t="e">
        <f>Stock!T897+"'E4!0#1"</f>
        <v>#VALUE!</v>
      </c>
      <c r="FV278" t="e">
        <f>Stock!V897+"'E4!0#2"</f>
        <v>#VALUE!</v>
      </c>
      <c r="FW278" t="e">
        <f>Stock!X897+"'E4!0#3"</f>
        <v>#VALUE!</v>
      </c>
      <c r="FX278" t="e">
        <f>Stock!Y897+"'E4!0#4"</f>
        <v>#VALUE!</v>
      </c>
      <c r="FY278" s="333" t="e">
        <f>Stock!S898+"'E4!0#5"</f>
        <v>#VALUE!</v>
      </c>
      <c r="FZ278" s="333" t="e">
        <f>Stock!T898+"'E4!0#6"</f>
        <v>#VALUE!</v>
      </c>
      <c r="GA278" t="e">
        <f>Stock!V898+"'E4!0#7"</f>
        <v>#VALUE!</v>
      </c>
      <c r="GB278" t="e">
        <f>Stock!X898+"'E4!0#8"</f>
        <v>#VALUE!</v>
      </c>
      <c r="GC278" t="e">
        <f>Stock!Y898+"'E4!0#9"</f>
        <v>#VALUE!</v>
      </c>
      <c r="GD278" s="333" t="e">
        <f>Stock!S899+"'E4!0#:"</f>
        <v>#VALUE!</v>
      </c>
      <c r="GE278" s="333" t="e">
        <f>Stock!T899+"'E4!0#;"</f>
        <v>#VALUE!</v>
      </c>
      <c r="GF278" t="e">
        <f>Stock!V899+"'E4!0#&lt;"</f>
        <v>#VALUE!</v>
      </c>
      <c r="GG278" t="e">
        <f>Stock!X899+"'E4!0#="</f>
        <v>#VALUE!</v>
      </c>
      <c r="GH278" t="e">
        <f>Stock!Y899+"'E4!0#&gt;"</f>
        <v>#VALUE!</v>
      </c>
      <c r="GI278" s="333" t="e">
        <f>Stock!S900+"'E4!0#?"</f>
        <v>#VALUE!</v>
      </c>
      <c r="GJ278" s="333" t="e">
        <f>Stock!T900+"'E4!0#@"</f>
        <v>#VALUE!</v>
      </c>
      <c r="GK278" t="e">
        <f>Stock!V900+"'E4!0#A"</f>
        <v>#VALUE!</v>
      </c>
      <c r="GL278" t="e">
        <f>Stock!X900+"'E4!0#B"</f>
        <v>#VALUE!</v>
      </c>
      <c r="GM278" t="e">
        <f>Stock!Y900+"'E4!0#C"</f>
        <v>#VALUE!</v>
      </c>
      <c r="GN278" s="333" t="e">
        <f>Stock!S901+"'E4!0#D"</f>
        <v>#VALUE!</v>
      </c>
      <c r="GO278" s="333" t="e">
        <f>Stock!T901+"'E4!0#E"</f>
        <v>#VALUE!</v>
      </c>
      <c r="GP278" t="e">
        <f>Stock!V901+"'E4!0#F"</f>
        <v>#VALUE!</v>
      </c>
      <c r="GQ278" t="e">
        <f>Stock!X901+"'E4!0#G"</f>
        <v>#VALUE!</v>
      </c>
      <c r="GR278" t="e">
        <f>Stock!Y901+"'E4!0#H"</f>
        <v>#VALUE!</v>
      </c>
      <c r="GS278" s="333" t="e">
        <f>Stock!S902+"'E4!0#I"</f>
        <v>#VALUE!</v>
      </c>
      <c r="GT278" s="333" t="e">
        <f>Stock!T902+"'E4!0#J"</f>
        <v>#VALUE!</v>
      </c>
      <c r="GU278" t="e">
        <f>Stock!V902+"'E4!0#K"</f>
        <v>#VALUE!</v>
      </c>
      <c r="GV278" t="e">
        <f>Stock!X902+"'E4!0#L"</f>
        <v>#VALUE!</v>
      </c>
      <c r="GW278" t="e">
        <f>Stock!Y902+"'E4!0#M"</f>
        <v>#VALUE!</v>
      </c>
      <c r="GX278" s="333" t="e">
        <f>Stock!S903+"'E4!0#N"</f>
        <v>#VALUE!</v>
      </c>
      <c r="GY278" s="333" t="e">
        <f>Stock!T903+"'E4!0#O"</f>
        <v>#VALUE!</v>
      </c>
      <c r="GZ278" t="e">
        <f>Stock!V903+"'E4!0#P"</f>
        <v>#VALUE!</v>
      </c>
      <c r="HA278" t="e">
        <f>Stock!X903+"'E4!0#Q"</f>
        <v>#VALUE!</v>
      </c>
      <c r="HB278" t="e">
        <f>Stock!Y903+"'E4!0#R"</f>
        <v>#VALUE!</v>
      </c>
      <c r="HC278" s="333" t="e">
        <f>Stock!S904+"'E4!0#S"</f>
        <v>#VALUE!</v>
      </c>
      <c r="HD278" s="333" t="e">
        <f>Stock!T904+"'E4!0#T"</f>
        <v>#VALUE!</v>
      </c>
      <c r="HE278" t="e">
        <f>Stock!V904+"'E4!0#U"</f>
        <v>#VALUE!</v>
      </c>
      <c r="HF278" t="e">
        <f>Stock!X904+"'E4!0#V"</f>
        <v>#VALUE!</v>
      </c>
      <c r="HG278" t="e">
        <f>Stock!Y904+"'E4!0#W"</f>
        <v>#VALUE!</v>
      </c>
      <c r="HH278" s="333" t="e">
        <f>Stock!S905+"'E4!0#X"</f>
        <v>#VALUE!</v>
      </c>
      <c r="HI278" s="333" t="e">
        <f>Stock!T905+"'E4!0#Y"</f>
        <v>#VALUE!</v>
      </c>
      <c r="HJ278" t="e">
        <f>Stock!V905+"'E4!0#Z"</f>
        <v>#VALUE!</v>
      </c>
      <c r="HK278" t="e">
        <f>Stock!X905+"'E4!0#["</f>
        <v>#VALUE!</v>
      </c>
      <c r="HL278" t="e">
        <f>Stock!Y905+"'E4!0#\"</f>
        <v>#VALUE!</v>
      </c>
      <c r="HM278" s="333" t="e">
        <f>Stock!S906+"'E4!0#]"</f>
        <v>#VALUE!</v>
      </c>
      <c r="HN278" s="333" t="e">
        <f>Stock!T906+"'E4!0#^"</f>
        <v>#VALUE!</v>
      </c>
      <c r="HO278" t="e">
        <f>Stock!V906+"'E4!0#_"</f>
        <v>#VALUE!</v>
      </c>
      <c r="HP278" t="e">
        <f>Stock!X906+"'E4!0#`"</f>
        <v>#VALUE!</v>
      </c>
      <c r="HQ278" t="e">
        <f>Stock!Y906+"'E4!0#a"</f>
        <v>#VALUE!</v>
      </c>
      <c r="HR278" s="333" t="e">
        <f>Stock!S907+"'E4!0#b"</f>
        <v>#VALUE!</v>
      </c>
      <c r="HS278" s="333" t="e">
        <f>Stock!T907+"'E4!0#c"</f>
        <v>#VALUE!</v>
      </c>
      <c r="HT278" t="e">
        <f>Stock!V907+"'E4!0#d"</f>
        <v>#VALUE!</v>
      </c>
      <c r="HU278" t="e">
        <f>Stock!X907+"'E4!0#e"</f>
        <v>#VALUE!</v>
      </c>
      <c r="HV278" t="e">
        <f>Stock!Y907+"'E4!0#f"</f>
        <v>#VALUE!</v>
      </c>
      <c r="HW278" s="333" t="e">
        <f>Stock!S908+"'E4!0#g"</f>
        <v>#VALUE!</v>
      </c>
      <c r="HX278" s="333" t="e">
        <f>Stock!T908+"'E4!0#h"</f>
        <v>#VALUE!</v>
      </c>
      <c r="HY278" t="e">
        <f>Stock!V908+"'E4!0#i"</f>
        <v>#VALUE!</v>
      </c>
      <c r="HZ278" t="e">
        <f>Stock!X908+"'E4!0#j"</f>
        <v>#VALUE!</v>
      </c>
      <c r="IA278" t="e">
        <f>Stock!Y908+"'E4!0#k"</f>
        <v>#VALUE!</v>
      </c>
      <c r="IB278" s="333" t="e">
        <f>Stock!S909+"'E4!0#l"</f>
        <v>#VALUE!</v>
      </c>
      <c r="IC278" s="333" t="e">
        <f>Stock!T909+"'E4!0#m"</f>
        <v>#VALUE!</v>
      </c>
      <c r="ID278" t="e">
        <f>Stock!V909+"'E4!0#n"</f>
        <v>#VALUE!</v>
      </c>
      <c r="IE278" t="e">
        <f>Stock!X909+"'E4!0#o"</f>
        <v>#VALUE!</v>
      </c>
      <c r="IF278" t="e">
        <f>Stock!Y909+"'E4!0#p"</f>
        <v>#VALUE!</v>
      </c>
      <c r="IG278" s="333" t="e">
        <f>Stock!S910+"'E4!0#q"</f>
        <v>#VALUE!</v>
      </c>
      <c r="IH278" s="333" t="e">
        <f>Stock!T910+"'E4!0#r"</f>
        <v>#VALUE!</v>
      </c>
      <c r="II278" t="e">
        <f>Stock!V910+"'E4!0#s"</f>
        <v>#VALUE!</v>
      </c>
      <c r="IJ278" t="e">
        <f>Stock!X910+"'E4!0#t"</f>
        <v>#VALUE!</v>
      </c>
      <c r="IK278" t="e">
        <f>Stock!Y910+"'E4!0#u"</f>
        <v>#VALUE!</v>
      </c>
      <c r="IL278" s="333" t="e">
        <f>Stock!S911+"'E4!0#v"</f>
        <v>#VALUE!</v>
      </c>
      <c r="IM278" s="333" t="e">
        <f>Stock!T911+"'E4!0#w"</f>
        <v>#VALUE!</v>
      </c>
      <c r="IN278" t="e">
        <f>Stock!V911+"'E4!0#x"</f>
        <v>#VALUE!</v>
      </c>
      <c r="IO278" t="e">
        <f>Stock!X911+"'E4!0#y"</f>
        <v>#VALUE!</v>
      </c>
      <c r="IP278" t="e">
        <f>Stock!Y911+"'E4!0#z"</f>
        <v>#VALUE!</v>
      </c>
      <c r="IQ278" s="333" t="e">
        <f>Stock!S912+"'E4!0#{"</f>
        <v>#VALUE!</v>
      </c>
      <c r="IR278" s="333" t="e">
        <f>Stock!T912+"'E4!0#|"</f>
        <v>#VALUE!</v>
      </c>
      <c r="IS278" t="e">
        <f>Stock!V912+"'E4!0#}"</f>
        <v>#VALUE!</v>
      </c>
      <c r="IT278" t="e">
        <f>Stock!X912+"'E4!0#~"</f>
        <v>#VALUE!</v>
      </c>
      <c r="IU278" t="e">
        <f>Stock!Y912+"'E4!0$#"</f>
        <v>#VALUE!</v>
      </c>
      <c r="IV278" s="333" t="e">
        <f>Stock!S913+"'E4!0$$"</f>
        <v>#VALUE!</v>
      </c>
    </row>
    <row r="279" spans="6:256">
      <c r="F279" s="333" t="e">
        <f>Stock!T913+"'E4!0$%"</f>
        <v>#VALUE!</v>
      </c>
      <c r="G279" t="e">
        <f>Stock!V913+"'E4!0$&amp;"</f>
        <v>#VALUE!</v>
      </c>
      <c r="H279" t="e">
        <f>Stock!X913+"'E4!0$'"</f>
        <v>#VALUE!</v>
      </c>
      <c r="I279" t="e">
        <f>Stock!Y913+"'E4!0$("</f>
        <v>#VALUE!</v>
      </c>
      <c r="J279" s="333" t="e">
        <f>Stock!S914+"'E4!0$)"</f>
        <v>#VALUE!</v>
      </c>
      <c r="K279" s="333" t="e">
        <f>Stock!T914+"'E4!0$."</f>
        <v>#VALUE!</v>
      </c>
      <c r="L279" t="e">
        <f>Stock!V914+"'E4!0$/"</f>
        <v>#VALUE!</v>
      </c>
      <c r="M279" t="e">
        <f>Stock!X914+"'E4!0$0"</f>
        <v>#VALUE!</v>
      </c>
      <c r="N279" t="e">
        <f>Stock!Y914+"'E4!0$1"</f>
        <v>#VALUE!</v>
      </c>
      <c r="O279" s="333" t="e">
        <f>Stock!S915+"'E4!0$2"</f>
        <v>#VALUE!</v>
      </c>
      <c r="P279" s="333" t="e">
        <f>Stock!T915+"'E4!0$3"</f>
        <v>#VALUE!</v>
      </c>
      <c r="Q279" t="e">
        <f>Stock!V915+"'E4!0$4"</f>
        <v>#VALUE!</v>
      </c>
      <c r="R279" t="e">
        <f>Stock!X915+"'E4!0$5"</f>
        <v>#VALUE!</v>
      </c>
      <c r="S279" t="e">
        <f>Stock!Y915+"'E4!0$6"</f>
        <v>#VALUE!</v>
      </c>
      <c r="T279" s="333" t="e">
        <f>Stock!S916+"'E4!0$7"</f>
        <v>#VALUE!</v>
      </c>
      <c r="U279" s="333" t="e">
        <f>Stock!T916+"'E4!0$8"</f>
        <v>#VALUE!</v>
      </c>
      <c r="V279" t="e">
        <f>Stock!V916+"'E4!0$9"</f>
        <v>#VALUE!</v>
      </c>
      <c r="W279" t="e">
        <f>Stock!X916+"'E4!0$:"</f>
        <v>#VALUE!</v>
      </c>
      <c r="X279" t="e">
        <f>Stock!Y916+"'E4!0$;"</f>
        <v>#VALUE!</v>
      </c>
      <c r="Y279" s="333" t="e">
        <f>Stock!S917+"'E4!0$&lt;"</f>
        <v>#VALUE!</v>
      </c>
      <c r="Z279" s="333" t="e">
        <f>Stock!T917+"'E4!0$="</f>
        <v>#VALUE!</v>
      </c>
      <c r="AA279" t="e">
        <f>Stock!V917+"'E4!0$&gt;"</f>
        <v>#VALUE!</v>
      </c>
      <c r="AB279" t="e">
        <f>Stock!X917+"'E4!0$?"</f>
        <v>#VALUE!</v>
      </c>
      <c r="AC279" t="e">
        <f>Stock!Y917+"'E4!0$@"</f>
        <v>#VALUE!</v>
      </c>
      <c r="AD279" s="333" t="e">
        <f>Stock!S918+"'E4!0$A"</f>
        <v>#VALUE!</v>
      </c>
      <c r="AE279" s="333" t="e">
        <f>Stock!T918+"'E4!0$B"</f>
        <v>#VALUE!</v>
      </c>
      <c r="AF279" t="e">
        <f>Stock!V918+"'E4!0$C"</f>
        <v>#VALUE!</v>
      </c>
      <c r="AG279" t="e">
        <f>Stock!X918+"'E4!0$D"</f>
        <v>#VALUE!</v>
      </c>
      <c r="AH279" t="e">
        <f>Stock!Y918+"'E4!0$E"</f>
        <v>#VALUE!</v>
      </c>
      <c r="AI279" s="333" t="e">
        <f>Stock!S919+"'E4!0$F"</f>
        <v>#VALUE!</v>
      </c>
      <c r="AJ279" s="333" t="e">
        <f>Stock!T919+"'E4!0$G"</f>
        <v>#VALUE!</v>
      </c>
      <c r="AK279" t="e">
        <f>Stock!V919+"'E4!0$H"</f>
        <v>#VALUE!</v>
      </c>
      <c r="AL279" t="e">
        <f>Stock!X919+"'E4!0$I"</f>
        <v>#VALUE!</v>
      </c>
      <c r="AM279" t="e">
        <f>Stock!Y919+"'E4!0$J"</f>
        <v>#VALUE!</v>
      </c>
      <c r="AN279" s="333" t="e">
        <f>Stock!S920+"'E4!0$K"</f>
        <v>#VALUE!</v>
      </c>
      <c r="AO279" s="333" t="e">
        <f>Stock!T920+"'E4!0$L"</f>
        <v>#VALUE!</v>
      </c>
      <c r="AP279" t="e">
        <f>Stock!V920+"'E4!0$M"</f>
        <v>#VALUE!</v>
      </c>
      <c r="AQ279" t="e">
        <f>Stock!X920+"'E4!0$N"</f>
        <v>#VALUE!</v>
      </c>
      <c r="AR279" t="e">
        <f>Stock!Y920+"'E4!0$O"</f>
        <v>#VALUE!</v>
      </c>
      <c r="AS279" s="333" t="e">
        <f>Stock!S921+"'E4!0$P"</f>
        <v>#VALUE!</v>
      </c>
      <c r="AT279" s="333" t="e">
        <f>Stock!T921+"'E4!0$Q"</f>
        <v>#VALUE!</v>
      </c>
      <c r="AU279" t="e">
        <f>Stock!V921+"'E4!0$R"</f>
        <v>#VALUE!</v>
      </c>
      <c r="AV279" t="e">
        <f>Stock!X921+"'E4!0$S"</f>
        <v>#VALUE!</v>
      </c>
      <c r="AW279" t="e">
        <f>Stock!Y921+"'E4!0$T"</f>
        <v>#VALUE!</v>
      </c>
      <c r="AX279" s="333" t="e">
        <f>Stock!S922+"'E4!0$U"</f>
        <v>#VALUE!</v>
      </c>
      <c r="AY279" s="333" t="e">
        <f>Stock!T922+"'E4!0$V"</f>
        <v>#VALUE!</v>
      </c>
      <c r="AZ279" t="e">
        <f>Stock!V922+"'E4!0$W"</f>
        <v>#VALUE!</v>
      </c>
      <c r="BA279" t="e">
        <f>Stock!X922+"'E4!0$X"</f>
        <v>#VALUE!</v>
      </c>
      <c r="BB279" t="e">
        <f>Stock!Y922+"'E4!0$Y"</f>
        <v>#VALUE!</v>
      </c>
      <c r="BC279" s="333" t="e">
        <f>Stock!S923+"'E4!0$Z"</f>
        <v>#VALUE!</v>
      </c>
      <c r="BD279" s="333" t="e">
        <f>Stock!T923+"'E4!0$["</f>
        <v>#VALUE!</v>
      </c>
      <c r="BE279" t="e">
        <f>Stock!V923+"'E4!0$\"</f>
        <v>#VALUE!</v>
      </c>
      <c r="BF279" t="e">
        <f>Stock!X923+"'E4!0$]"</f>
        <v>#VALUE!</v>
      </c>
      <c r="BG279" t="e">
        <f>Stock!Y923+"'E4!0$^"</f>
        <v>#VALUE!</v>
      </c>
      <c r="BH279" s="333" t="e">
        <f>Stock!S924+"'E4!0$_"</f>
        <v>#VALUE!</v>
      </c>
      <c r="BI279" s="333" t="e">
        <f>Stock!T924+"'E4!0$`"</f>
        <v>#VALUE!</v>
      </c>
      <c r="BJ279" t="e">
        <f>Stock!V924+"'E4!0$a"</f>
        <v>#VALUE!</v>
      </c>
      <c r="BK279" t="e">
        <f>Stock!X924+"'E4!0$b"</f>
        <v>#VALUE!</v>
      </c>
      <c r="BL279" t="e">
        <f>Stock!Y924+"'E4!0$c"</f>
        <v>#VALUE!</v>
      </c>
      <c r="BM279" s="333" t="e">
        <f>Stock!S925+"'E4!0$d"</f>
        <v>#VALUE!</v>
      </c>
      <c r="BN279" s="333" t="e">
        <f>Stock!T925+"'E4!0$e"</f>
        <v>#VALUE!</v>
      </c>
      <c r="BO279" t="e">
        <f>Stock!V925+"'E4!0$f"</f>
        <v>#VALUE!</v>
      </c>
      <c r="BP279" t="e">
        <f>Stock!X925+"'E4!0$g"</f>
        <v>#VALUE!</v>
      </c>
      <c r="BQ279" t="e">
        <f>Stock!Y925+"'E4!0$h"</f>
        <v>#VALUE!</v>
      </c>
      <c r="BR279" s="333" t="e">
        <f>Stock!S926+"'E4!0$i"</f>
        <v>#VALUE!</v>
      </c>
      <c r="BS279" s="333" t="e">
        <f>Stock!T926+"'E4!0$j"</f>
        <v>#VALUE!</v>
      </c>
      <c r="BT279" t="e">
        <f>Stock!V926+"'E4!0$k"</f>
        <v>#VALUE!</v>
      </c>
      <c r="BU279" t="e">
        <f>Stock!X926+"'E4!0$l"</f>
        <v>#VALUE!</v>
      </c>
      <c r="BV279" t="e">
        <f>Stock!Y926+"'E4!0$m"</f>
        <v>#VALUE!</v>
      </c>
      <c r="BW279" s="333" t="e">
        <f>Stock!S927+"'E4!0$n"</f>
        <v>#VALUE!</v>
      </c>
      <c r="BX279" s="333" t="e">
        <f>Stock!T927+"'E4!0$o"</f>
        <v>#VALUE!</v>
      </c>
      <c r="BY279" t="e">
        <f>Stock!V927+"'E4!0$p"</f>
        <v>#VALUE!</v>
      </c>
      <c r="BZ279" t="e">
        <f>Stock!X927+"'E4!0$q"</f>
        <v>#VALUE!</v>
      </c>
      <c r="CA279" t="e">
        <f>Stock!Y927+"'E4!0$r"</f>
        <v>#VALUE!</v>
      </c>
      <c r="CB279" s="333" t="e">
        <f>Stock!S928+"'E4!0$s"</f>
        <v>#VALUE!</v>
      </c>
      <c r="CC279" s="333" t="e">
        <f>Stock!T928+"'E4!0$t"</f>
        <v>#VALUE!</v>
      </c>
      <c r="CD279" t="e">
        <f>Stock!V928+"'E4!0$u"</f>
        <v>#VALUE!</v>
      </c>
      <c r="CE279" t="e">
        <f>Stock!X928+"'E4!0$v"</f>
        <v>#VALUE!</v>
      </c>
      <c r="CF279" t="e">
        <f>Stock!Y928+"'E4!0$w"</f>
        <v>#VALUE!</v>
      </c>
      <c r="CG279" s="333" t="e">
        <f>Stock!S929+"'E4!0$x"</f>
        <v>#VALUE!</v>
      </c>
      <c r="CH279" s="333" t="e">
        <f>Stock!T929+"'E4!0$y"</f>
        <v>#VALUE!</v>
      </c>
      <c r="CI279" t="e">
        <f>Stock!V929+"'E4!0$z"</f>
        <v>#VALUE!</v>
      </c>
      <c r="CJ279" t="e">
        <f>Stock!X929+"'E4!0${"</f>
        <v>#VALUE!</v>
      </c>
      <c r="CK279" t="e">
        <f>Stock!Y929+"'E4!0$|"</f>
        <v>#VALUE!</v>
      </c>
      <c r="CL279" s="333" t="e">
        <f>Stock!S930+"'E4!0$}"</f>
        <v>#VALUE!</v>
      </c>
      <c r="CM279" s="333" t="e">
        <f>Stock!T930+"'E4!0$~"</f>
        <v>#VALUE!</v>
      </c>
      <c r="CN279" t="e">
        <f>Stock!V930+"'E4!0%#"</f>
        <v>#VALUE!</v>
      </c>
      <c r="CO279" t="e">
        <f>Stock!X930+"'E4!0%$"</f>
        <v>#VALUE!</v>
      </c>
      <c r="CP279" t="e">
        <f>Stock!Y930+"'E4!0%%"</f>
        <v>#VALUE!</v>
      </c>
      <c r="CQ279" s="333" t="e">
        <f>Stock!S931+"'E4!0%&amp;"</f>
        <v>#VALUE!</v>
      </c>
      <c r="CR279" s="333" t="e">
        <f>Stock!T931+"'E4!0%'"</f>
        <v>#VALUE!</v>
      </c>
      <c r="CS279" t="e">
        <f>Stock!V931+"'E4!0%("</f>
        <v>#VALUE!</v>
      </c>
      <c r="CT279" t="e">
        <f>Stock!X931+"'E4!0%)"</f>
        <v>#VALUE!</v>
      </c>
      <c r="CU279" t="e">
        <f>Stock!Y931+"'E4!0%."</f>
        <v>#VALUE!</v>
      </c>
      <c r="CV279" s="333" t="e">
        <f>Stock!S932+"'E4!0%/"</f>
        <v>#VALUE!</v>
      </c>
      <c r="CW279" s="333" t="e">
        <f>Stock!T932+"'E4!0%0"</f>
        <v>#VALUE!</v>
      </c>
      <c r="CX279" t="e">
        <f>Stock!V932+"'E4!0%1"</f>
        <v>#VALUE!</v>
      </c>
      <c r="CY279" t="e">
        <f>Stock!X932+"'E4!0%2"</f>
        <v>#VALUE!</v>
      </c>
      <c r="CZ279" t="e">
        <f>Stock!Y932+"'E4!0%3"</f>
        <v>#VALUE!</v>
      </c>
      <c r="DA279" s="333" t="e">
        <f>Stock!S933+"'E4!0%4"</f>
        <v>#VALUE!</v>
      </c>
      <c r="DB279" s="333" t="e">
        <f>Stock!T933+"'E4!0%5"</f>
        <v>#VALUE!</v>
      </c>
      <c r="DC279" t="e">
        <f>Stock!V933+"'E4!0%6"</f>
        <v>#VALUE!</v>
      </c>
      <c r="DD279" t="e">
        <f>Stock!X933+"'E4!0%7"</f>
        <v>#VALUE!</v>
      </c>
      <c r="DE279" t="e">
        <f>Stock!Y933+"'E4!0%8"</f>
        <v>#VALUE!</v>
      </c>
      <c r="DF279" s="333" t="e">
        <f>Stock!S934+"'E4!0%9"</f>
        <v>#VALUE!</v>
      </c>
      <c r="DG279" s="333" t="e">
        <f>Stock!T934+"'E4!0%:"</f>
        <v>#VALUE!</v>
      </c>
      <c r="DH279" t="e">
        <f>Stock!V934+"'E4!0%;"</f>
        <v>#VALUE!</v>
      </c>
      <c r="DI279" t="e">
        <f>Stock!X934+"'E4!0%&lt;"</f>
        <v>#VALUE!</v>
      </c>
      <c r="DJ279" t="e">
        <f>Stock!Y934+"'E4!0%="</f>
        <v>#VALUE!</v>
      </c>
      <c r="DK279" s="333" t="e">
        <f>Stock!S935+"'E4!0%&gt;"</f>
        <v>#VALUE!</v>
      </c>
      <c r="DL279" s="333" t="e">
        <f>Stock!T935+"'E4!0%?"</f>
        <v>#VALUE!</v>
      </c>
      <c r="DM279" t="e">
        <f>Stock!V935+"'E4!0%@"</f>
        <v>#VALUE!</v>
      </c>
      <c r="DN279" t="e">
        <f>Stock!X935+"'E4!0%A"</f>
        <v>#VALUE!</v>
      </c>
      <c r="DO279" t="e">
        <f>Stock!Y935+"'E4!0%B"</f>
        <v>#VALUE!</v>
      </c>
      <c r="DP279" s="333" t="e">
        <f>Stock!S936+"'E4!0%C"</f>
        <v>#VALUE!</v>
      </c>
      <c r="DQ279" s="333" t="e">
        <f>Stock!T936+"'E4!0%D"</f>
        <v>#VALUE!</v>
      </c>
      <c r="DR279" t="e">
        <f>Stock!V936+"'E4!0%E"</f>
        <v>#VALUE!</v>
      </c>
      <c r="DS279" t="e">
        <f>Stock!X936+"'E4!0%F"</f>
        <v>#VALUE!</v>
      </c>
      <c r="DT279" t="e">
        <f>Stock!Y936+"'E4!0%G"</f>
        <v>#VALUE!</v>
      </c>
      <c r="DU279" s="333" t="e">
        <f>Stock!S937+"'E4!0%H"</f>
        <v>#VALUE!</v>
      </c>
      <c r="DV279" s="333" t="e">
        <f>Stock!T937+"'E4!0%I"</f>
        <v>#VALUE!</v>
      </c>
      <c r="DW279" t="e">
        <f>Stock!V937+"'E4!0%J"</f>
        <v>#VALUE!</v>
      </c>
      <c r="DX279" t="e">
        <f>Stock!X937+"'E4!0%K"</f>
        <v>#VALUE!</v>
      </c>
      <c r="DY279" t="e">
        <f>Stock!Y937+"'E4!0%L"</f>
        <v>#VALUE!</v>
      </c>
      <c r="DZ279" s="333" t="e">
        <f>Stock!S938+"'E4!0%M"</f>
        <v>#VALUE!</v>
      </c>
      <c r="EA279" s="333" t="e">
        <f>Stock!T938+"'E4!0%N"</f>
        <v>#VALUE!</v>
      </c>
      <c r="EB279" t="e">
        <f>Stock!V938+"'E4!0%O"</f>
        <v>#VALUE!</v>
      </c>
      <c r="EC279" t="e">
        <f>Stock!X938+"'E4!0%P"</f>
        <v>#VALUE!</v>
      </c>
      <c r="ED279" t="e">
        <f>Stock!Y938+"'E4!0%Q"</f>
        <v>#VALUE!</v>
      </c>
      <c r="EE279" s="333" t="e">
        <f>Stock!S939+"'E4!0%R"</f>
        <v>#VALUE!</v>
      </c>
      <c r="EF279" s="333" t="e">
        <f>Stock!T939+"'E4!0%S"</f>
        <v>#VALUE!</v>
      </c>
      <c r="EG279" t="e">
        <f>Stock!V939+"'E4!0%T"</f>
        <v>#VALUE!</v>
      </c>
      <c r="EH279" t="e">
        <f>Stock!X939+"'E4!0%U"</f>
        <v>#VALUE!</v>
      </c>
      <c r="EI279" t="e">
        <f>Stock!Y939+"'E4!0%V"</f>
        <v>#VALUE!</v>
      </c>
      <c r="EJ279" s="333" t="e">
        <f>Stock!S940+"'E4!0%W"</f>
        <v>#VALUE!</v>
      </c>
      <c r="EK279" s="333" t="e">
        <f>Stock!T940+"'E4!0%X"</f>
        <v>#VALUE!</v>
      </c>
      <c r="EL279" t="e">
        <f>Stock!V940+"'E4!0%Y"</f>
        <v>#VALUE!</v>
      </c>
      <c r="EM279" t="e">
        <f>Stock!X940+"'E4!0%Z"</f>
        <v>#VALUE!</v>
      </c>
      <c r="EN279" t="e">
        <f>Stock!Y940+"'E4!0%["</f>
        <v>#VALUE!</v>
      </c>
      <c r="EO279" s="333" t="e">
        <f>Stock!S941+"'E4!0%\"</f>
        <v>#VALUE!</v>
      </c>
      <c r="EP279" s="333" t="e">
        <f>Stock!T941+"'E4!0%]"</f>
        <v>#VALUE!</v>
      </c>
      <c r="EQ279" t="e">
        <f>Stock!V941+"'E4!0%^"</f>
        <v>#VALUE!</v>
      </c>
      <c r="ER279" t="e">
        <f>Stock!X941+"'E4!0%_"</f>
        <v>#VALUE!</v>
      </c>
      <c r="ES279" t="e">
        <f>Stock!Y941+"'E4!0%`"</f>
        <v>#VALUE!</v>
      </c>
      <c r="ET279" s="333" t="e">
        <f>Stock!S942+"'E4!0%a"</f>
        <v>#VALUE!</v>
      </c>
      <c r="EU279" s="333" t="e">
        <f>Stock!T942+"'E4!0%b"</f>
        <v>#VALUE!</v>
      </c>
      <c r="EV279" t="e">
        <f>Stock!V942+"'E4!0%c"</f>
        <v>#VALUE!</v>
      </c>
      <c r="EW279" t="e">
        <f>Stock!X942+"'E4!0%d"</f>
        <v>#VALUE!</v>
      </c>
      <c r="EX279" t="e">
        <f>Stock!Y942+"'E4!0%e"</f>
        <v>#VALUE!</v>
      </c>
      <c r="EY279" s="333" t="e">
        <f>Stock!S943+"'E4!0%f"</f>
        <v>#VALUE!</v>
      </c>
      <c r="EZ279" s="333" t="e">
        <f>Stock!T943+"'E4!0%g"</f>
        <v>#VALUE!</v>
      </c>
      <c r="FA279" t="e">
        <f>Stock!V943+"'E4!0%h"</f>
        <v>#VALUE!</v>
      </c>
      <c r="FB279" t="e">
        <f>Stock!X943+"'E4!0%i"</f>
        <v>#VALUE!</v>
      </c>
      <c r="FC279" t="e">
        <f>Stock!Y943+"'E4!0%j"</f>
        <v>#VALUE!</v>
      </c>
      <c r="FD279" s="333" t="e">
        <f>Stock!S944+"'E4!0%k"</f>
        <v>#VALUE!</v>
      </c>
      <c r="FE279" s="333" t="e">
        <f>Stock!T944+"'E4!0%l"</f>
        <v>#VALUE!</v>
      </c>
      <c r="FF279" t="e">
        <f>Stock!V944+"'E4!0%m"</f>
        <v>#VALUE!</v>
      </c>
      <c r="FG279" t="e">
        <f>Stock!X944+"'E4!0%n"</f>
        <v>#VALUE!</v>
      </c>
      <c r="FH279" t="e">
        <f>Stock!Y944+"'E4!0%o"</f>
        <v>#VALUE!</v>
      </c>
      <c r="FI279" s="333" t="e">
        <f>Stock!S945+"'E4!0%p"</f>
        <v>#VALUE!</v>
      </c>
      <c r="FJ279" s="333" t="e">
        <f>Stock!T945+"'E4!0%q"</f>
        <v>#VALUE!</v>
      </c>
      <c r="FK279" t="e">
        <f>Stock!V945+"'E4!0%r"</f>
        <v>#VALUE!</v>
      </c>
      <c r="FL279" t="e">
        <f>Stock!X945+"'E4!0%s"</f>
        <v>#VALUE!</v>
      </c>
      <c r="FM279" t="e">
        <f>Stock!Y945+"'E4!0%t"</f>
        <v>#VALUE!</v>
      </c>
      <c r="FN279" s="333" t="e">
        <f>Stock!S946+"'E4!0%u"</f>
        <v>#VALUE!</v>
      </c>
      <c r="FO279" s="333" t="e">
        <f>Stock!T946+"'E4!0%v"</f>
        <v>#VALUE!</v>
      </c>
      <c r="FP279" t="e">
        <f>Stock!V946+"'E4!0%w"</f>
        <v>#VALUE!</v>
      </c>
      <c r="FQ279" t="e">
        <f>Stock!X946+"'E4!0%x"</f>
        <v>#VALUE!</v>
      </c>
      <c r="FR279" t="e">
        <f>Stock!Y946+"'E4!0%y"</f>
        <v>#VALUE!</v>
      </c>
      <c r="FS279" s="333" t="e">
        <f>Stock!S947+"'E4!0%z"</f>
        <v>#VALUE!</v>
      </c>
      <c r="FT279" s="333" t="e">
        <f>Stock!T947+"'E4!0%{"</f>
        <v>#VALUE!</v>
      </c>
      <c r="FU279" t="e">
        <f>Stock!V947+"'E4!0%|"</f>
        <v>#VALUE!</v>
      </c>
      <c r="FV279" t="e">
        <f>Stock!X947+"'E4!0%}"</f>
        <v>#VALUE!</v>
      </c>
      <c r="FW279" t="e">
        <f>Stock!Y947+"'E4!0%~"</f>
        <v>#VALUE!</v>
      </c>
      <c r="FX279" s="333" t="e">
        <f>Stock!S948+"'E4!0&amp;#"</f>
        <v>#VALUE!</v>
      </c>
      <c r="FY279" s="333" t="e">
        <f>Stock!T948+"'E4!0&amp;$"</f>
        <v>#VALUE!</v>
      </c>
      <c r="FZ279" t="e">
        <f>Stock!V948+"'E4!0&amp;%"</f>
        <v>#VALUE!</v>
      </c>
      <c r="GA279" t="e">
        <f>Stock!X948+"'E4!0&amp;&amp;"</f>
        <v>#VALUE!</v>
      </c>
      <c r="GB279" t="e">
        <f>Stock!Y948+"'E4!0&amp;'"</f>
        <v>#VALUE!</v>
      </c>
      <c r="GC279" s="333" t="e">
        <f>Stock!S949+"'E4!0&amp;("</f>
        <v>#VALUE!</v>
      </c>
      <c r="GD279" s="333" t="e">
        <f>Stock!T949+"'E4!0&amp;)"</f>
        <v>#VALUE!</v>
      </c>
      <c r="GE279" t="e">
        <f>Stock!V949+"'E4!0&amp;."</f>
        <v>#VALUE!</v>
      </c>
      <c r="GF279" t="e">
        <f>Stock!X949+"'E4!0&amp;/"</f>
        <v>#VALUE!</v>
      </c>
      <c r="GG279" t="e">
        <f>Stock!Y949+"'E4!0&amp;0"</f>
        <v>#VALUE!</v>
      </c>
      <c r="GH279" s="333" t="e">
        <f>Stock!S950+"'E4!0&amp;1"</f>
        <v>#VALUE!</v>
      </c>
      <c r="GI279" s="333" t="e">
        <f>Stock!T950+"'E4!0&amp;2"</f>
        <v>#VALUE!</v>
      </c>
      <c r="GJ279" t="e">
        <f>Stock!V950+"'E4!0&amp;3"</f>
        <v>#VALUE!</v>
      </c>
      <c r="GK279" t="e">
        <f>Stock!X950+"'E4!0&amp;4"</f>
        <v>#VALUE!</v>
      </c>
      <c r="GL279" t="e">
        <f>Stock!Y950+"'E4!0&amp;5"</f>
        <v>#VALUE!</v>
      </c>
      <c r="GM279" s="333" t="e">
        <f>Stock!S951+"'E4!0&amp;6"</f>
        <v>#VALUE!</v>
      </c>
      <c r="GN279" s="333" t="e">
        <f>Stock!T951+"'E4!0&amp;7"</f>
        <v>#VALUE!</v>
      </c>
      <c r="GO279" t="e">
        <f>Stock!V951+"'E4!0&amp;8"</f>
        <v>#VALUE!</v>
      </c>
      <c r="GP279" t="e">
        <f>Stock!X951+"'E4!0&amp;9"</f>
        <v>#VALUE!</v>
      </c>
      <c r="GQ279" t="e">
        <f>Stock!Y951+"'E4!0&amp;:"</f>
        <v>#VALUE!</v>
      </c>
      <c r="GR279" s="333" t="e">
        <f>Stock!S952+"'E4!0&amp;;"</f>
        <v>#VALUE!</v>
      </c>
      <c r="GS279" s="333" t="e">
        <f>Stock!T952+"'E4!0&amp;&lt;"</f>
        <v>#VALUE!</v>
      </c>
      <c r="GT279" t="e">
        <f>Stock!V952+"'E4!0&amp;="</f>
        <v>#VALUE!</v>
      </c>
      <c r="GU279" t="e">
        <f>Stock!X952+"'E4!0&amp;&gt;"</f>
        <v>#VALUE!</v>
      </c>
      <c r="GV279" t="e">
        <f>Stock!Y952+"'E4!0&amp;?"</f>
        <v>#VALUE!</v>
      </c>
      <c r="GW279" s="333" t="e">
        <f>Stock!S953+"'E4!0&amp;@"</f>
        <v>#VALUE!</v>
      </c>
      <c r="GX279" s="333" t="e">
        <f>Stock!T953+"'E4!0&amp;A"</f>
        <v>#VALUE!</v>
      </c>
      <c r="GY279" t="e">
        <f>Stock!V953+"'E4!0&amp;B"</f>
        <v>#VALUE!</v>
      </c>
      <c r="GZ279" t="e">
        <f>Stock!X953+"'E4!0&amp;C"</f>
        <v>#VALUE!</v>
      </c>
      <c r="HA279" t="e">
        <f>Stock!Y953+"'E4!0&amp;D"</f>
        <v>#VALUE!</v>
      </c>
      <c r="HB279" s="333" t="e">
        <f>Stock!S954+"'E4!0&amp;E"</f>
        <v>#VALUE!</v>
      </c>
      <c r="HC279" s="333" t="e">
        <f>Stock!T954+"'E4!0&amp;F"</f>
        <v>#VALUE!</v>
      </c>
      <c r="HD279" t="e">
        <f>Stock!V954+"'E4!0&amp;G"</f>
        <v>#VALUE!</v>
      </c>
      <c r="HE279" t="e">
        <f>Stock!X954+"'E4!0&amp;H"</f>
        <v>#VALUE!</v>
      </c>
      <c r="HF279" t="e">
        <f>Stock!Y954+"'E4!0&amp;I"</f>
        <v>#VALUE!</v>
      </c>
      <c r="HG279" s="333" t="e">
        <f>Stock!S955+"'E4!0&amp;J"</f>
        <v>#VALUE!</v>
      </c>
      <c r="HH279" s="333" t="e">
        <f>Stock!T955+"'E4!0&amp;K"</f>
        <v>#VALUE!</v>
      </c>
      <c r="HI279" t="e">
        <f>Stock!V955+"'E4!0&amp;L"</f>
        <v>#VALUE!</v>
      </c>
      <c r="HJ279" t="e">
        <f>Stock!X955+"'E4!0&amp;M"</f>
        <v>#VALUE!</v>
      </c>
      <c r="HK279" t="e">
        <f>Stock!Y955+"'E4!0&amp;N"</f>
        <v>#VALUE!</v>
      </c>
      <c r="HL279" s="333" t="e">
        <f>Stock!S956+"'E4!0&amp;O"</f>
        <v>#VALUE!</v>
      </c>
      <c r="HM279" s="333" t="e">
        <f>Stock!T956+"'E4!0&amp;P"</f>
        <v>#VALUE!</v>
      </c>
      <c r="HN279" t="e">
        <f>Stock!V956+"'E4!0&amp;Q"</f>
        <v>#VALUE!</v>
      </c>
      <c r="HO279" t="e">
        <f>Stock!X956+"'E4!0&amp;R"</f>
        <v>#VALUE!</v>
      </c>
      <c r="HP279" t="e">
        <f>Stock!Y956+"'E4!0&amp;S"</f>
        <v>#VALUE!</v>
      </c>
      <c r="HQ279" s="333" t="e">
        <f>Stock!S957+"'E4!0&amp;T"</f>
        <v>#VALUE!</v>
      </c>
      <c r="HR279" s="333" t="e">
        <f>Stock!T957+"'E4!0&amp;U"</f>
        <v>#VALUE!</v>
      </c>
      <c r="HS279" t="e">
        <f>Stock!V957+"'E4!0&amp;V"</f>
        <v>#VALUE!</v>
      </c>
      <c r="HT279" t="e">
        <f>Stock!X957+"'E4!0&amp;W"</f>
        <v>#VALUE!</v>
      </c>
      <c r="HU279" t="e">
        <f>Stock!Y957+"'E4!0&amp;X"</f>
        <v>#VALUE!</v>
      </c>
      <c r="HV279" s="333" t="e">
        <f>Stock!S958+"'E4!0&amp;Y"</f>
        <v>#VALUE!</v>
      </c>
      <c r="HW279" s="333" t="e">
        <f>Stock!T958+"'E4!0&amp;Z"</f>
        <v>#VALUE!</v>
      </c>
      <c r="HX279" t="e">
        <f>Stock!V958+"'E4!0&amp;["</f>
        <v>#VALUE!</v>
      </c>
      <c r="HY279" t="e">
        <f>Stock!X958+"'E4!0&amp;\"</f>
        <v>#VALUE!</v>
      </c>
      <c r="HZ279" t="e">
        <f>Stock!Y958+"'E4!0&amp;]"</f>
        <v>#VALUE!</v>
      </c>
      <c r="IA279" s="333" t="e">
        <f>Stock!S959+"'E4!0&amp;^"</f>
        <v>#VALUE!</v>
      </c>
      <c r="IB279" s="333" t="e">
        <f>Stock!T959+"'E4!0&amp;_"</f>
        <v>#VALUE!</v>
      </c>
      <c r="IC279" t="e">
        <f>Stock!V959+"'E4!0&amp;`"</f>
        <v>#VALUE!</v>
      </c>
      <c r="ID279" t="e">
        <f>Stock!X959+"'E4!0&amp;a"</f>
        <v>#VALUE!</v>
      </c>
      <c r="IE279" t="e">
        <f>Stock!Y959+"'E4!0&amp;b"</f>
        <v>#VALUE!</v>
      </c>
      <c r="IF279" s="333" t="e">
        <f>Stock!S960+"'E4!0&amp;c"</f>
        <v>#VALUE!</v>
      </c>
      <c r="IG279" s="333" t="e">
        <f>Stock!T960+"'E4!0&amp;d"</f>
        <v>#VALUE!</v>
      </c>
      <c r="IH279" t="e">
        <f>Stock!V960+"'E4!0&amp;e"</f>
        <v>#VALUE!</v>
      </c>
      <c r="II279" t="e">
        <f>Stock!X960+"'E4!0&amp;f"</f>
        <v>#VALUE!</v>
      </c>
      <c r="IJ279" t="e">
        <f>Stock!Y960+"'E4!0&amp;g"</f>
        <v>#VALUE!</v>
      </c>
      <c r="IK279" s="333" t="e">
        <f>Stock!S961+"'E4!0&amp;h"</f>
        <v>#VALUE!</v>
      </c>
      <c r="IL279" s="333" t="e">
        <f>Stock!T961+"'E4!0&amp;i"</f>
        <v>#VALUE!</v>
      </c>
      <c r="IM279" t="e">
        <f>Stock!V961+"'E4!0&amp;j"</f>
        <v>#VALUE!</v>
      </c>
      <c r="IN279" t="e">
        <f>Stock!X961+"'E4!0&amp;k"</f>
        <v>#VALUE!</v>
      </c>
      <c r="IO279" t="e">
        <f>Stock!Y961+"'E4!0&amp;l"</f>
        <v>#VALUE!</v>
      </c>
      <c r="IP279" s="333" t="e">
        <f>Stock!S962+"'E4!0&amp;m"</f>
        <v>#VALUE!</v>
      </c>
      <c r="IQ279" s="333" t="e">
        <f>Stock!T962+"'E4!0&amp;n"</f>
        <v>#VALUE!</v>
      </c>
      <c r="IR279" t="e">
        <f>Stock!V962+"'E4!0&amp;o"</f>
        <v>#VALUE!</v>
      </c>
      <c r="IS279" t="e">
        <f>Stock!X962+"'E4!0&amp;p"</f>
        <v>#VALUE!</v>
      </c>
      <c r="IT279" t="e">
        <f>Stock!Y962+"'E4!0&amp;q"</f>
        <v>#VALUE!</v>
      </c>
      <c r="IU279" s="333" t="e">
        <f>Stock!S963+"'E4!0&amp;r"</f>
        <v>#VALUE!</v>
      </c>
      <c r="IV279" s="333" t="e">
        <f>Stock!T963+"'E4!0&amp;s"</f>
        <v>#VALUE!</v>
      </c>
    </row>
    <row r="280" spans="6:256">
      <c r="F280" t="e">
        <f>Stock!V963+"'E4!0&amp;t"</f>
        <v>#VALUE!</v>
      </c>
      <c r="G280" t="e">
        <f>Stock!X963+"'E4!0&amp;u"</f>
        <v>#VALUE!</v>
      </c>
      <c r="H280" t="e">
        <f>Stock!Y963+"'E4!0&amp;v"</f>
        <v>#VALUE!</v>
      </c>
      <c r="I280" s="333" t="e">
        <f>Stock!S964+"'E4!0&amp;w"</f>
        <v>#VALUE!</v>
      </c>
      <c r="J280" s="333" t="e">
        <f>Stock!T964+"'E4!0&amp;x"</f>
        <v>#VALUE!</v>
      </c>
      <c r="K280" t="e">
        <f>Stock!V964+"'E4!0&amp;y"</f>
        <v>#VALUE!</v>
      </c>
      <c r="L280" t="e">
        <f>Stock!X964+"'E4!0&amp;z"</f>
        <v>#VALUE!</v>
      </c>
      <c r="M280" t="e">
        <f>Stock!Y964+"'E4!0&amp;{"</f>
        <v>#VALUE!</v>
      </c>
      <c r="N280" s="333" t="e">
        <f>Stock!S965+"'E4!0&amp;|"</f>
        <v>#VALUE!</v>
      </c>
      <c r="O280" s="333" t="e">
        <f>Stock!T965+"'E4!0&amp;}"</f>
        <v>#VALUE!</v>
      </c>
      <c r="P280" t="e">
        <f>Stock!V965+"'E4!0&amp;~"</f>
        <v>#VALUE!</v>
      </c>
      <c r="Q280" t="e">
        <f>Stock!X965+"'E4!0'#"</f>
        <v>#VALUE!</v>
      </c>
      <c r="R280" t="e">
        <f>Stock!Y965+"'E4!0'$"</f>
        <v>#VALUE!</v>
      </c>
      <c r="S280" s="333" t="e">
        <f>Stock!S966+"'E4!0'%"</f>
        <v>#VALUE!</v>
      </c>
      <c r="T280" s="333" t="e">
        <f>Stock!T966+"'E4!0'&amp;"</f>
        <v>#VALUE!</v>
      </c>
      <c r="U280" t="e">
        <f>Stock!V966+"'E4!0''"</f>
        <v>#VALUE!</v>
      </c>
      <c r="V280" t="e">
        <f>Stock!X966+"'E4!0'("</f>
        <v>#VALUE!</v>
      </c>
      <c r="W280" t="e">
        <f>Stock!Y966+"'E4!0')"</f>
        <v>#VALUE!</v>
      </c>
      <c r="X280" s="333" t="e">
        <f>Stock!S967+"'E4!0'."</f>
        <v>#VALUE!</v>
      </c>
      <c r="Y280" s="333" t="e">
        <f>Stock!T967+"'E4!0'/"</f>
        <v>#VALUE!</v>
      </c>
      <c r="Z280" t="e">
        <f>Stock!V967+"'E4!0'0"</f>
        <v>#VALUE!</v>
      </c>
      <c r="AA280" t="e">
        <f>Stock!X967+"'E4!0'1"</f>
        <v>#VALUE!</v>
      </c>
      <c r="AB280" t="e">
        <f>Stock!Y967+"'E4!0'2"</f>
        <v>#VALUE!</v>
      </c>
      <c r="AC280" s="333" t="e">
        <f>Stock!S968+"'E4!0'3"</f>
        <v>#VALUE!</v>
      </c>
      <c r="AD280" s="333" t="e">
        <f>Stock!T968+"'E4!0'4"</f>
        <v>#VALUE!</v>
      </c>
      <c r="AE280" t="e">
        <f>Stock!V968+"'E4!0'5"</f>
        <v>#VALUE!</v>
      </c>
      <c r="AF280" t="e">
        <f>Stock!X968+"'E4!0'6"</f>
        <v>#VALUE!</v>
      </c>
      <c r="AG280" t="e">
        <f>Stock!Y968+"'E4!0'7"</f>
        <v>#VALUE!</v>
      </c>
      <c r="AH280" s="333" t="e">
        <f>Stock!S969+"'E4!0'8"</f>
        <v>#VALUE!</v>
      </c>
      <c r="AI280" s="333" t="e">
        <f>Stock!T969+"'E4!0'9"</f>
        <v>#VALUE!</v>
      </c>
      <c r="AJ280" t="e">
        <f>Stock!V969+"'E4!0':"</f>
        <v>#VALUE!</v>
      </c>
      <c r="AK280" t="e">
        <f>Stock!X969+"'E4!0';"</f>
        <v>#VALUE!</v>
      </c>
      <c r="AL280" t="e">
        <f>Stock!Y969+"'E4!0'&lt;"</f>
        <v>#VALUE!</v>
      </c>
      <c r="AM280" s="333" t="e">
        <f>Stock!S970+"'E4!0'="</f>
        <v>#VALUE!</v>
      </c>
      <c r="AN280" s="333" t="e">
        <f>Stock!T970+"'E4!0'&gt;"</f>
        <v>#VALUE!</v>
      </c>
      <c r="AO280" t="e">
        <f>Stock!V970+"'E4!0'?"</f>
        <v>#VALUE!</v>
      </c>
      <c r="AP280" t="e">
        <f>Stock!X970+"'E4!0'@"</f>
        <v>#VALUE!</v>
      </c>
      <c r="AQ280" t="e">
        <f>Stock!Y970+"'E4!0'A"</f>
        <v>#VALUE!</v>
      </c>
      <c r="AR280" s="333" t="e">
        <f>Stock!S971+"'E4!0'B"</f>
        <v>#VALUE!</v>
      </c>
      <c r="AS280" s="333" t="e">
        <f>Stock!T971+"'E4!0'C"</f>
        <v>#VALUE!</v>
      </c>
      <c r="AT280" t="e">
        <f>Stock!V971+"'E4!0'D"</f>
        <v>#VALUE!</v>
      </c>
      <c r="AU280" t="e">
        <f>Stock!X971+"'E4!0'E"</f>
        <v>#VALUE!</v>
      </c>
      <c r="AV280" t="e">
        <f>Stock!Y971+"'E4!0'F"</f>
        <v>#VALUE!</v>
      </c>
      <c r="AW280" s="333" t="e">
        <f>Stock!S972+"'E4!0'G"</f>
        <v>#VALUE!</v>
      </c>
      <c r="AX280" s="333" t="e">
        <f>Stock!T972+"'E4!0'H"</f>
        <v>#VALUE!</v>
      </c>
      <c r="AY280" t="e">
        <f>Stock!V972+"'E4!0'I"</f>
        <v>#VALUE!</v>
      </c>
      <c r="AZ280" t="e">
        <f>Stock!X972+"'E4!0'J"</f>
        <v>#VALUE!</v>
      </c>
      <c r="BA280" t="e">
        <f>Stock!Y972+"'E4!0'K"</f>
        <v>#VALUE!</v>
      </c>
      <c r="BB280" s="333" t="e">
        <f>Stock!S973+"'E4!0'L"</f>
        <v>#VALUE!</v>
      </c>
      <c r="BC280" s="333" t="e">
        <f>Stock!T973+"'E4!0'M"</f>
        <v>#VALUE!</v>
      </c>
      <c r="BD280" t="e">
        <f>Stock!V973+"'E4!0'N"</f>
        <v>#VALUE!</v>
      </c>
      <c r="BE280" t="e">
        <f>Stock!X973+"'E4!0'O"</f>
        <v>#VALUE!</v>
      </c>
      <c r="BF280" t="e">
        <f>Stock!Y973+"'E4!0'P"</f>
        <v>#VALUE!</v>
      </c>
      <c r="BG280" s="333" t="e">
        <f>Stock!S974+"'E4!0'Q"</f>
        <v>#VALUE!</v>
      </c>
      <c r="BH280" s="333" t="e">
        <f>Stock!T974+"'E4!0'R"</f>
        <v>#VALUE!</v>
      </c>
      <c r="BI280" t="e">
        <f>Stock!V974+"'E4!0'S"</f>
        <v>#VALUE!</v>
      </c>
      <c r="BJ280" t="e">
        <f>Stock!X974+"'E4!0'T"</f>
        <v>#VALUE!</v>
      </c>
      <c r="BK280" t="e">
        <f>Stock!Y974+"'E4!0'U"</f>
        <v>#VALUE!</v>
      </c>
      <c r="BL280" s="333" t="e">
        <f>Stock!S975+"'E4!0'V"</f>
        <v>#VALUE!</v>
      </c>
      <c r="BM280" s="333" t="e">
        <f>Stock!T975+"'E4!0'W"</f>
        <v>#VALUE!</v>
      </c>
      <c r="BN280" t="e">
        <f>Stock!V975+"'E4!0'X"</f>
        <v>#VALUE!</v>
      </c>
      <c r="BO280" t="e">
        <f>Stock!X975+"'E4!0'Y"</f>
        <v>#VALUE!</v>
      </c>
      <c r="BP280" t="e">
        <f>Stock!Y975+"'E4!0'Z"</f>
        <v>#VALUE!</v>
      </c>
      <c r="BQ280" s="333" t="e">
        <f>Stock!S976+"'E4!0'["</f>
        <v>#VALUE!</v>
      </c>
      <c r="BR280" s="333" t="e">
        <f>Stock!T976+"'E4!0'\"</f>
        <v>#VALUE!</v>
      </c>
      <c r="BS280" t="e">
        <f>Stock!V976+"'E4!0']"</f>
        <v>#VALUE!</v>
      </c>
      <c r="BT280" t="e">
        <f>Stock!X976+"'E4!0'^"</f>
        <v>#VALUE!</v>
      </c>
      <c r="BU280" t="e">
        <f>Stock!Y976+"'E4!0'_"</f>
        <v>#VALUE!</v>
      </c>
      <c r="BV280" s="333" t="e">
        <f>Stock!S977+"'E4!0'`"</f>
        <v>#VALUE!</v>
      </c>
      <c r="BW280" s="333" t="e">
        <f>Stock!T977+"'E4!0'a"</f>
        <v>#VALUE!</v>
      </c>
      <c r="BX280" t="e">
        <f>Stock!V977+"'E4!0'b"</f>
        <v>#VALUE!</v>
      </c>
      <c r="BY280" t="e">
        <f>Stock!X977+"'E4!0'c"</f>
        <v>#VALUE!</v>
      </c>
      <c r="BZ280" t="e">
        <f>Stock!Y977+"'E4!0'd"</f>
        <v>#VALUE!</v>
      </c>
      <c r="CA280" s="333" t="e">
        <f>Stock!S978+"'E4!0'e"</f>
        <v>#VALUE!</v>
      </c>
      <c r="CB280" s="333" t="e">
        <f>Stock!T978+"'E4!0'f"</f>
        <v>#VALUE!</v>
      </c>
      <c r="CC280" t="e">
        <f>Stock!V978+"'E4!0'g"</f>
        <v>#VALUE!</v>
      </c>
      <c r="CD280" t="e">
        <f>Stock!X978+"'E4!0'h"</f>
        <v>#VALUE!</v>
      </c>
      <c r="CE280" t="e">
        <f>Stock!Y978+"'E4!0'i"</f>
        <v>#VALUE!</v>
      </c>
      <c r="CF280" s="333" t="e">
        <f>Stock!S979+"'E4!0'j"</f>
        <v>#VALUE!</v>
      </c>
      <c r="CG280" s="333" t="e">
        <f>Stock!T979+"'E4!0'k"</f>
        <v>#VALUE!</v>
      </c>
      <c r="CH280" t="e">
        <f>Stock!V979+"'E4!0'l"</f>
        <v>#VALUE!</v>
      </c>
      <c r="CI280" t="e">
        <f>Stock!X979+"'E4!0'm"</f>
        <v>#VALUE!</v>
      </c>
      <c r="CJ280" t="e">
        <f>Stock!Y979+"'E4!0'n"</f>
        <v>#VALUE!</v>
      </c>
      <c r="CK280" s="333" t="e">
        <f>Stock!S980+"'E4!0'o"</f>
        <v>#VALUE!</v>
      </c>
      <c r="CL280" s="333" t="e">
        <f>Stock!T980+"'E4!0'p"</f>
        <v>#VALUE!</v>
      </c>
      <c r="CM280" t="e">
        <f>Stock!V980+"'E4!0'q"</f>
        <v>#VALUE!</v>
      </c>
      <c r="CN280" t="e">
        <f>Stock!X980+"'E4!0'r"</f>
        <v>#VALUE!</v>
      </c>
      <c r="CO280" t="e">
        <f>Stock!Y980+"'E4!0's"</f>
        <v>#VALUE!</v>
      </c>
      <c r="CP280" s="333" t="e">
        <f>Stock!S981+"'E4!0't"</f>
        <v>#VALUE!</v>
      </c>
      <c r="CQ280" s="333" t="e">
        <f>Stock!T981+"'E4!0'u"</f>
        <v>#VALUE!</v>
      </c>
      <c r="CR280" t="e">
        <f>Stock!V981+"'E4!0'v"</f>
        <v>#VALUE!</v>
      </c>
      <c r="CS280" t="e">
        <f>Stock!X981+"'E4!0'w"</f>
        <v>#VALUE!</v>
      </c>
      <c r="CT280" t="e">
        <f>Stock!Y981+"'E4!0'x"</f>
        <v>#VALUE!</v>
      </c>
      <c r="CU280" s="333" t="e">
        <f>Stock!S982+"'E4!0'y"</f>
        <v>#VALUE!</v>
      </c>
      <c r="CV280" s="333" t="e">
        <f>Stock!T982+"'E4!0'z"</f>
        <v>#VALUE!</v>
      </c>
      <c r="CW280" t="e">
        <f>Stock!V982+"'E4!0'{"</f>
        <v>#VALUE!</v>
      </c>
      <c r="CX280" t="e">
        <f>Stock!X982+"'E4!0'|"</f>
        <v>#VALUE!</v>
      </c>
      <c r="CY280" t="e">
        <f>Stock!Y982+"'E4!0'}"</f>
        <v>#VALUE!</v>
      </c>
      <c r="CZ280" s="333" t="e">
        <f>Stock!S983+"'E4!0'~"</f>
        <v>#VALUE!</v>
      </c>
      <c r="DA280" s="333" t="e">
        <f>Stock!T983+"'E4!0(#"</f>
        <v>#VALUE!</v>
      </c>
      <c r="DB280" t="e">
        <f>Stock!V983+"'E4!0($"</f>
        <v>#VALUE!</v>
      </c>
      <c r="DC280" t="e">
        <f>Stock!X983+"'E4!0(%"</f>
        <v>#VALUE!</v>
      </c>
      <c r="DD280" t="e">
        <f>Stock!Y983+"'E4!0(&amp;"</f>
        <v>#VALUE!</v>
      </c>
      <c r="DE280" s="333" t="e">
        <f>Stock!S984+"'E4!0('"</f>
        <v>#VALUE!</v>
      </c>
      <c r="DF280" s="333" t="e">
        <f>Stock!T984+"'E4!0(("</f>
        <v>#VALUE!</v>
      </c>
      <c r="DG280" t="e">
        <f>Stock!V984+"'E4!0()"</f>
        <v>#VALUE!</v>
      </c>
      <c r="DH280" t="e">
        <f>Stock!X984+"'E4!0(."</f>
        <v>#VALUE!</v>
      </c>
      <c r="DI280" t="e">
        <f>Stock!Y984+"'E4!0(/"</f>
        <v>#VALUE!</v>
      </c>
      <c r="DJ280" s="333" t="e">
        <f>Stock!S985+"'E4!0(0"</f>
        <v>#VALUE!</v>
      </c>
      <c r="DK280" s="333" t="e">
        <f>Stock!T985+"'E4!0(1"</f>
        <v>#VALUE!</v>
      </c>
      <c r="DL280" t="e">
        <f>Stock!V985+"'E4!0(2"</f>
        <v>#VALUE!</v>
      </c>
      <c r="DM280" t="e">
        <f>Stock!X985+"'E4!0(3"</f>
        <v>#VALUE!</v>
      </c>
      <c r="DN280" t="e">
        <f>Stock!Y985+"'E4!0(4"</f>
        <v>#VALUE!</v>
      </c>
      <c r="DO280" s="333" t="e">
        <f>Stock!S986+"'E4!0(5"</f>
        <v>#VALUE!</v>
      </c>
      <c r="DP280" s="333" t="e">
        <f>Stock!T986+"'E4!0(6"</f>
        <v>#VALUE!</v>
      </c>
      <c r="DQ280" t="e">
        <f>Stock!V986+"'E4!0(7"</f>
        <v>#VALUE!</v>
      </c>
      <c r="DR280" t="e">
        <f>Stock!X986+"'E4!0(8"</f>
        <v>#VALUE!</v>
      </c>
      <c r="DS280" t="e">
        <f>Stock!Y986+"'E4!0(9"</f>
        <v>#VALUE!</v>
      </c>
      <c r="DT280" s="333" t="e">
        <f>Stock!S987+"'E4!0(:"</f>
        <v>#VALUE!</v>
      </c>
      <c r="DU280" s="333" t="e">
        <f>Stock!T987+"'E4!0(;"</f>
        <v>#VALUE!</v>
      </c>
      <c r="DV280" t="e">
        <f>Stock!V987+"'E4!0(&lt;"</f>
        <v>#VALUE!</v>
      </c>
      <c r="DW280" t="e">
        <f>Stock!X987+"'E4!0(="</f>
        <v>#VALUE!</v>
      </c>
      <c r="DX280" t="e">
        <f>Stock!Y987+"'E4!0(&gt;"</f>
        <v>#VALUE!</v>
      </c>
      <c r="DY280" s="333" t="e">
        <f>Stock!S988+"'E4!0(?"</f>
        <v>#VALUE!</v>
      </c>
      <c r="DZ280" s="333" t="e">
        <f>Stock!T988+"'E4!0(@"</f>
        <v>#VALUE!</v>
      </c>
      <c r="EA280" t="e">
        <f>Stock!V988+"'E4!0(A"</f>
        <v>#VALUE!</v>
      </c>
      <c r="EB280" t="e">
        <f>Stock!X988+"'E4!0(B"</f>
        <v>#VALUE!</v>
      </c>
      <c r="EC280" t="e">
        <f>Stock!Y988+"'E4!0(C"</f>
        <v>#VALUE!</v>
      </c>
      <c r="ED280" s="333" t="e">
        <f>Stock!S989+"'E4!0(D"</f>
        <v>#VALUE!</v>
      </c>
      <c r="EE280" s="333" t="e">
        <f>Stock!T989+"'E4!0(E"</f>
        <v>#VALUE!</v>
      </c>
      <c r="EF280" t="e">
        <f>Stock!V989+"'E4!0(F"</f>
        <v>#VALUE!</v>
      </c>
      <c r="EG280" t="e">
        <f>Stock!X989+"'E4!0(G"</f>
        <v>#VALUE!</v>
      </c>
      <c r="EH280" t="e">
        <f>Stock!Y989+"'E4!0(H"</f>
        <v>#VALUE!</v>
      </c>
      <c r="EI280" s="333" t="e">
        <f>Stock!S990+"'E4!0(I"</f>
        <v>#VALUE!</v>
      </c>
      <c r="EJ280" s="333" t="e">
        <f>Stock!T990+"'E4!0(J"</f>
        <v>#VALUE!</v>
      </c>
      <c r="EK280" t="e">
        <f>Stock!V990+"'E4!0(K"</f>
        <v>#VALUE!</v>
      </c>
      <c r="EL280" t="e">
        <f>Stock!X990+"'E4!0(L"</f>
        <v>#VALUE!</v>
      </c>
      <c r="EM280" t="e">
        <f>Stock!Y990+"'E4!0(M"</f>
        <v>#VALUE!</v>
      </c>
      <c r="EN280" s="333" t="e">
        <f>Stock!S991+"'E4!0(N"</f>
        <v>#VALUE!</v>
      </c>
      <c r="EO280" s="333" t="e">
        <f>Stock!T991+"'E4!0(O"</f>
        <v>#VALUE!</v>
      </c>
      <c r="EP280" t="e">
        <f>Stock!V991+"'E4!0(P"</f>
        <v>#VALUE!</v>
      </c>
      <c r="EQ280" t="e">
        <f>Stock!X991+"'E4!0(Q"</f>
        <v>#VALUE!</v>
      </c>
      <c r="ER280" t="e">
        <f>Stock!Y991+"'E4!0(R"</f>
        <v>#VALUE!</v>
      </c>
      <c r="ES280" s="333" t="e">
        <f>Stock!S992+"'E4!0(S"</f>
        <v>#VALUE!</v>
      </c>
      <c r="ET280" s="333" t="e">
        <f>Stock!T992+"'E4!0(T"</f>
        <v>#VALUE!</v>
      </c>
      <c r="EU280" t="e">
        <f>Stock!V992+"'E4!0(U"</f>
        <v>#VALUE!</v>
      </c>
      <c r="EV280" t="e">
        <f>Stock!X992+"'E4!0(V"</f>
        <v>#VALUE!</v>
      </c>
      <c r="EW280" t="e">
        <f>Stock!Y992+"'E4!0(W"</f>
        <v>#VALUE!</v>
      </c>
      <c r="EX280" s="333" t="e">
        <f>Stock!S993+"'E4!0(X"</f>
        <v>#VALUE!</v>
      </c>
      <c r="EY280" s="333" t="e">
        <f>Stock!T993+"'E4!0(Y"</f>
        <v>#VALUE!</v>
      </c>
      <c r="EZ280" t="e">
        <f>Stock!V993+"'E4!0(Z"</f>
        <v>#VALUE!</v>
      </c>
      <c r="FA280" t="e">
        <f>Stock!X993+"'E4!0(["</f>
        <v>#VALUE!</v>
      </c>
      <c r="FB280" t="e">
        <f>Stock!Y993+"'E4!0(\"</f>
        <v>#VALUE!</v>
      </c>
      <c r="FC280" s="333" t="e">
        <f>Stock!S994+"'E4!0(]"</f>
        <v>#VALUE!</v>
      </c>
      <c r="FD280" s="333" t="e">
        <f>Stock!T994+"'E4!0(^"</f>
        <v>#VALUE!</v>
      </c>
      <c r="FE280" t="e">
        <f>Stock!V994+"'E4!0(_"</f>
        <v>#VALUE!</v>
      </c>
      <c r="FF280" t="e">
        <f>Stock!X994+"'E4!0(`"</f>
        <v>#VALUE!</v>
      </c>
      <c r="FG280" t="e">
        <f>Stock!Y994+"'E4!0(a"</f>
        <v>#VALUE!</v>
      </c>
      <c r="FH280" s="333" t="e">
        <f>Stock!S995+"'E4!0(b"</f>
        <v>#VALUE!</v>
      </c>
      <c r="FI280" s="333" t="e">
        <f>Stock!T995+"'E4!0(c"</f>
        <v>#VALUE!</v>
      </c>
      <c r="FJ280" t="e">
        <f>Stock!V995+"'E4!0(d"</f>
        <v>#VALUE!</v>
      </c>
      <c r="FK280" t="e">
        <f>Stock!X995+"'E4!0(e"</f>
        <v>#VALUE!</v>
      </c>
      <c r="FL280" t="e">
        <f>Stock!Y995+"'E4!0(f"</f>
        <v>#VALUE!</v>
      </c>
      <c r="FM280" s="333" t="e">
        <f>Stock!S996+"'E4!0(g"</f>
        <v>#VALUE!</v>
      </c>
      <c r="FN280" s="333" t="e">
        <f>Stock!T996+"'E4!0(h"</f>
        <v>#VALUE!</v>
      </c>
      <c r="FO280" t="e">
        <f>Stock!V996+"'E4!0(i"</f>
        <v>#VALUE!</v>
      </c>
      <c r="FP280" t="e">
        <f>Stock!X996+"'E4!0(j"</f>
        <v>#VALUE!</v>
      </c>
      <c r="FQ280" t="e">
        <f>Stock!Y996+"'E4!0(k"</f>
        <v>#VALUE!</v>
      </c>
      <c r="FR280" s="333" t="e">
        <f>Stock!S997+"'E4!0(l"</f>
        <v>#VALUE!</v>
      </c>
      <c r="FS280" s="333" t="e">
        <f>Stock!T997+"'E4!0(m"</f>
        <v>#VALUE!</v>
      </c>
      <c r="FT280" t="e">
        <f>Stock!V997+"'E4!0(n"</f>
        <v>#VALUE!</v>
      </c>
      <c r="FU280" t="e">
        <f>Stock!X997+"'E4!0(o"</f>
        <v>#VALUE!</v>
      </c>
      <c r="FV280" t="e">
        <f>Stock!Y997+"'E4!0(p"</f>
        <v>#VALUE!</v>
      </c>
      <c r="FW280" s="333" t="e">
        <f>Stock!S998+"'E4!0(q"</f>
        <v>#VALUE!</v>
      </c>
      <c r="FX280" s="333" t="e">
        <f>Stock!T998+"'E4!0(r"</f>
        <v>#VALUE!</v>
      </c>
      <c r="FY280" t="e">
        <f>Stock!V998+"'E4!0(s"</f>
        <v>#VALUE!</v>
      </c>
      <c r="FZ280" t="e">
        <f>Stock!X998+"'E4!0(t"</f>
        <v>#VALUE!</v>
      </c>
      <c r="GA280" t="e">
        <f>Stock!Y998+"'E4!0(u"</f>
        <v>#VALUE!</v>
      </c>
      <c r="GB280" s="333" t="e">
        <f>Stock!S999+"'E4!0(v"</f>
        <v>#VALUE!</v>
      </c>
      <c r="GC280" s="333" t="e">
        <f>Stock!T999+"'E4!0(w"</f>
        <v>#VALUE!</v>
      </c>
      <c r="GD280" t="e">
        <f>Stock!V999+"'E4!0(x"</f>
        <v>#VALUE!</v>
      </c>
      <c r="GE280" t="e">
        <f>Stock!X999+"'E4!0(y"</f>
        <v>#VALUE!</v>
      </c>
      <c r="GF280" t="e">
        <f>Stock!Y999+"'E4!0(z"</f>
        <v>#VALUE!</v>
      </c>
      <c r="GG280" s="333" t="e">
        <f>Stock!S1000+"'E4!0({"</f>
        <v>#VALUE!</v>
      </c>
      <c r="GH280" s="333" t="e">
        <f>Stock!T1000+"'E4!0(|"</f>
        <v>#VALUE!</v>
      </c>
      <c r="GI280" t="e">
        <f>Stock!V1000+"'E4!0(}"</f>
        <v>#VALUE!</v>
      </c>
      <c r="GJ280" t="e">
        <f>Stock!X1000+"'E4!0(~"</f>
        <v>#VALUE!</v>
      </c>
      <c r="GK280" t="e">
        <f>Stock!Y1000+"'E4!0)#"</f>
        <v>#VALUE!</v>
      </c>
      <c r="GL280" s="333" t="e">
        <f>Stock!S1001+"'E4!0)$"</f>
        <v>#VALUE!</v>
      </c>
      <c r="GM280" s="333" t="e">
        <f>Stock!T1001+"'E4!0)%"</f>
        <v>#VALUE!</v>
      </c>
      <c r="GN280" t="e">
        <f>Stock!V1001+"'E4!0)&amp;"</f>
        <v>#VALUE!</v>
      </c>
      <c r="GO280" t="e">
        <f>Stock!X1001+"'E4!0)'"</f>
        <v>#VALUE!</v>
      </c>
      <c r="GP280" t="e">
        <f>Stock!Y1001+"'E4!0)("</f>
        <v>#VALUE!</v>
      </c>
      <c r="GQ280" s="333" t="e">
        <f>Stock!S1002+"'E4!0))"</f>
        <v>#VALUE!</v>
      </c>
      <c r="GR280" s="333" t="e">
        <f>Stock!T1002+"'E4!0)."</f>
        <v>#VALUE!</v>
      </c>
      <c r="GS280" t="e">
        <f>Stock!V1002+"'E4!0)/"</f>
        <v>#VALUE!</v>
      </c>
      <c r="GT280" t="e">
        <f>Stock!X1002+"'E4!0)0"</f>
        <v>#VALUE!</v>
      </c>
      <c r="GU280" t="e">
        <f>Stock!Y1002+"'E4!0)1"</f>
        <v>#VALUE!</v>
      </c>
      <c r="GV280" s="333" t="e">
        <f>Stock!S1003+"'E4!0)2"</f>
        <v>#VALUE!</v>
      </c>
      <c r="GW280" s="333" t="e">
        <f>Stock!T1003+"'E4!0)3"</f>
        <v>#VALUE!</v>
      </c>
      <c r="GX280" t="e">
        <f>Stock!V1003+"'E4!0)4"</f>
        <v>#VALUE!</v>
      </c>
      <c r="GY280" t="e">
        <f>Stock!X1003+"'E4!0)5"</f>
        <v>#VALUE!</v>
      </c>
      <c r="GZ280" t="e">
        <f>Stock!Y1003+"'E4!0)6"</f>
        <v>#VALUE!</v>
      </c>
      <c r="HA280" s="333" t="e">
        <f>Stock!S1004+"'E4!0)7"</f>
        <v>#VALUE!</v>
      </c>
      <c r="HB280" s="333" t="e">
        <f>Stock!T1004+"'E4!0)8"</f>
        <v>#VALUE!</v>
      </c>
      <c r="HC280" t="e">
        <f>Stock!V1004+"'E4!0)9"</f>
        <v>#VALUE!</v>
      </c>
      <c r="HD280" t="e">
        <f>Stock!X1004+"'E4!0):"</f>
        <v>#VALUE!</v>
      </c>
      <c r="HE280" t="e">
        <f>Stock!Y1004+"'E4!0);"</f>
        <v>#VALUE!</v>
      </c>
      <c r="HF280" s="333" t="e">
        <f>Stock!S1005+"'E4!0)&lt;"</f>
        <v>#VALUE!</v>
      </c>
      <c r="HG280" s="333" t="e">
        <f>Stock!T1005+"'E4!0)="</f>
        <v>#VALUE!</v>
      </c>
      <c r="HH280" t="e">
        <f>Stock!V1005+"'E4!0)&gt;"</f>
        <v>#VALUE!</v>
      </c>
      <c r="HI280" t="e">
        <f>Stock!X1005+"'E4!0)?"</f>
        <v>#VALUE!</v>
      </c>
      <c r="HJ280" t="e">
        <f>Stock!Y1005+"'E4!0)@"</f>
        <v>#VALUE!</v>
      </c>
      <c r="HK280" s="333" t="e">
        <f>Stock!S1006+"'E4!0)A"</f>
        <v>#VALUE!</v>
      </c>
      <c r="HL280" s="333" t="e">
        <f>Stock!T1006+"'E4!0)B"</f>
        <v>#VALUE!</v>
      </c>
      <c r="HM280" t="e">
        <f>Stock!V1006+"'E4!0)C"</f>
        <v>#VALUE!</v>
      </c>
      <c r="HN280" t="e">
        <f>Stock!X1006+"'E4!0)D"</f>
        <v>#VALUE!</v>
      </c>
      <c r="HO280" t="e">
        <f>Stock!Y1006+"'E4!0)E"</f>
        <v>#VALUE!</v>
      </c>
      <c r="HP280" s="333" t="e">
        <f>Stock!S1007+"'E4!0)F"</f>
        <v>#VALUE!</v>
      </c>
      <c r="HQ280" s="333" t="e">
        <f>Stock!T1007+"'E4!0)G"</f>
        <v>#VALUE!</v>
      </c>
      <c r="HR280" t="e">
        <f>Stock!V1007+"'E4!0)H"</f>
        <v>#VALUE!</v>
      </c>
      <c r="HS280" t="e">
        <f>Stock!X1007+"'E4!0)I"</f>
        <v>#VALUE!</v>
      </c>
      <c r="HT280" t="e">
        <f>Stock!Y1007+"'E4!0)J"</f>
        <v>#VALUE!</v>
      </c>
      <c r="HU280" s="333" t="e">
        <f>Stock!S1008+"'E4!0)K"</f>
        <v>#VALUE!</v>
      </c>
      <c r="HV280" s="333" t="e">
        <f>Stock!T1008+"'E4!0)L"</f>
        <v>#VALUE!</v>
      </c>
      <c r="HW280" t="e">
        <f>Stock!V1008+"'E4!0)M"</f>
        <v>#VALUE!</v>
      </c>
      <c r="HX280" t="e">
        <f>Stock!X1008+"'E4!0)N"</f>
        <v>#VALUE!</v>
      </c>
      <c r="HY280" t="e">
        <f>Stock!Y1008+"'E4!0)O"</f>
        <v>#VALUE!</v>
      </c>
      <c r="HZ280" s="333" t="e">
        <f>Stock!S1009+"'E4!0)P"</f>
        <v>#VALUE!</v>
      </c>
      <c r="IA280" s="333" t="e">
        <f>Stock!T1009+"'E4!0)Q"</f>
        <v>#VALUE!</v>
      </c>
      <c r="IB280" t="e">
        <f>Stock!V1009+"'E4!0)R"</f>
        <v>#VALUE!</v>
      </c>
      <c r="IC280" t="e">
        <f>Stock!X1009+"'E4!0)S"</f>
        <v>#VALUE!</v>
      </c>
      <c r="ID280" t="e">
        <f>Stock!Y1009+"'E4!0)T"</f>
        <v>#VALUE!</v>
      </c>
      <c r="IE280" s="333" t="e">
        <f>Stock!S1010+"'E4!0)U"</f>
        <v>#VALUE!</v>
      </c>
      <c r="IF280" s="333" t="e">
        <f>Stock!T1010+"'E4!0)V"</f>
        <v>#VALUE!</v>
      </c>
      <c r="IG280" t="e">
        <f>Stock!V1010+"'E4!0)W"</f>
        <v>#VALUE!</v>
      </c>
      <c r="IH280" t="e">
        <f>Stock!X1010+"'E4!0)X"</f>
        <v>#VALUE!</v>
      </c>
      <c r="II280" t="e">
        <f>Stock!Y1010+"'E4!0)Y"</f>
        <v>#VALUE!</v>
      </c>
      <c r="IJ280" s="333" t="e">
        <f>Stock!S1011+"'E4!0)Z"</f>
        <v>#VALUE!</v>
      </c>
      <c r="IK280" s="333" t="e">
        <f>Stock!T1011+"'E4!0)["</f>
        <v>#VALUE!</v>
      </c>
      <c r="IL280" t="e">
        <f>Stock!V1011+"'E4!0)\"</f>
        <v>#VALUE!</v>
      </c>
      <c r="IM280" t="e">
        <f>Stock!X1011+"'E4!0)]"</f>
        <v>#VALUE!</v>
      </c>
      <c r="IN280" t="e">
        <f>Stock!Y1011+"'E4!0)^"</f>
        <v>#VALUE!</v>
      </c>
      <c r="IO280" s="333" t="e">
        <f>Stock!S1012+"'E4!0)_"</f>
        <v>#VALUE!</v>
      </c>
      <c r="IP280" s="333" t="e">
        <f>Stock!T1012+"'E4!0)`"</f>
        <v>#VALUE!</v>
      </c>
      <c r="IQ280" t="e">
        <f>Stock!V1012+"'E4!0)a"</f>
        <v>#VALUE!</v>
      </c>
      <c r="IR280" t="e">
        <f>Stock!X1012+"'E4!0)b"</f>
        <v>#VALUE!</v>
      </c>
      <c r="IS280" t="e">
        <f>Stock!Y1012+"'E4!0)c"</f>
        <v>#VALUE!</v>
      </c>
      <c r="IT280" s="333" t="e">
        <f>Stock!S1013+"'E4!0)d"</f>
        <v>#VALUE!</v>
      </c>
      <c r="IU280" s="333" t="e">
        <f>Stock!T1013+"'E4!0)e"</f>
        <v>#VALUE!</v>
      </c>
      <c r="IV280" t="e">
        <f>Stock!V1013+"'E4!0)f"</f>
        <v>#VALUE!</v>
      </c>
    </row>
    <row r="281" spans="6:256">
      <c r="F281" t="e">
        <f>Stock!X1013+"'E4!0)g"</f>
        <v>#VALUE!</v>
      </c>
      <c r="G281" t="e">
        <f>Stock!Y1013+"'E4!0)h"</f>
        <v>#VALUE!</v>
      </c>
      <c r="H281" s="333" t="e">
        <f>Stock!S1014+"'E4!0)i"</f>
        <v>#VALUE!</v>
      </c>
      <c r="I281" s="333" t="e">
        <f>Stock!T1014+"'E4!0)j"</f>
        <v>#VALUE!</v>
      </c>
      <c r="J281" t="e">
        <f>Stock!V1014+"'E4!0)k"</f>
        <v>#VALUE!</v>
      </c>
      <c r="K281" t="e">
        <f>Stock!X1014+"'E4!0)l"</f>
        <v>#VALUE!</v>
      </c>
      <c r="L281" t="e">
        <f>Stock!Y1014+"'E4!0)m"</f>
        <v>#VALUE!</v>
      </c>
      <c r="M281" s="333" t="e">
        <f>Stock!S1015+"'E4!0)n"</f>
        <v>#VALUE!</v>
      </c>
      <c r="N281" s="333" t="e">
        <f>Stock!T1015+"'E4!0)o"</f>
        <v>#VALUE!</v>
      </c>
      <c r="O281" t="e">
        <f>Stock!V1015+"'E4!0)p"</f>
        <v>#VALUE!</v>
      </c>
      <c r="P281" t="e">
        <f>Stock!X1015+"'E4!0)q"</f>
        <v>#VALUE!</v>
      </c>
      <c r="Q281" t="e">
        <f>Stock!Y1015+"'E4!0)r"</f>
        <v>#VALUE!</v>
      </c>
      <c r="R281" s="333" t="e">
        <f>Stock!S1016+"'E4!0)s"</f>
        <v>#VALUE!</v>
      </c>
      <c r="S281" s="333" t="e">
        <f>Stock!T1016+"'E4!0)t"</f>
        <v>#VALUE!</v>
      </c>
      <c r="T281" t="e">
        <f>Stock!V1016+"'E4!0)u"</f>
        <v>#VALUE!</v>
      </c>
      <c r="U281" t="e">
        <f>Stock!X1016+"'E4!0)v"</f>
        <v>#VALUE!</v>
      </c>
      <c r="V281" t="e">
        <f>Stock!Y1016+"'E4!0)w"</f>
        <v>#VALUE!</v>
      </c>
      <c r="W281" s="333" t="e">
        <f>Stock!S1017+"'E4!0)x"</f>
        <v>#VALUE!</v>
      </c>
      <c r="X281" s="333" t="e">
        <f>Stock!T1017+"'E4!0)y"</f>
        <v>#VALUE!</v>
      </c>
      <c r="Y281" t="e">
        <f>Stock!V1017+"'E4!0)z"</f>
        <v>#VALUE!</v>
      </c>
      <c r="Z281" t="e">
        <f>Stock!X1017+"'E4!0){"</f>
        <v>#VALUE!</v>
      </c>
      <c r="AA281" t="e">
        <f>Stock!Y1017+"'E4!0)|"</f>
        <v>#VALUE!</v>
      </c>
      <c r="AB281" s="333" t="e">
        <f>Stock!S1018+"'E4!0)}"</f>
        <v>#VALUE!</v>
      </c>
      <c r="AC281" s="333" t="e">
        <f>Stock!T1018+"'E4!0)~"</f>
        <v>#VALUE!</v>
      </c>
      <c r="AD281" t="e">
        <f>Stock!V1018+"'E4!0.#"</f>
        <v>#VALUE!</v>
      </c>
      <c r="AE281" t="e">
        <f>Stock!X1018+"'E4!0.$"</f>
        <v>#VALUE!</v>
      </c>
      <c r="AF281" t="e">
        <f>Stock!Y1018+"'E4!0.%"</f>
        <v>#VALUE!</v>
      </c>
      <c r="AG281" s="333" t="e">
        <f>Stock!S1019+"'E4!0.&amp;"</f>
        <v>#VALUE!</v>
      </c>
      <c r="AH281" s="333" t="e">
        <f>Stock!T1019+"'E4!0.'"</f>
        <v>#VALUE!</v>
      </c>
      <c r="AI281" t="e">
        <f>Stock!V1019+"'E4!0.("</f>
        <v>#VALUE!</v>
      </c>
      <c r="AJ281" t="e">
        <f>Stock!X1019+"'E4!0.)"</f>
        <v>#VALUE!</v>
      </c>
      <c r="AK281" t="e">
        <f>Stock!Y1019+"'E4!0.."</f>
        <v>#VALUE!</v>
      </c>
      <c r="AL281" s="333" t="e">
        <f>Stock!S1020+"'E4!0./"</f>
        <v>#VALUE!</v>
      </c>
      <c r="AM281" s="333" t="e">
        <f>Stock!T1020+"'E4!0.0"</f>
        <v>#VALUE!</v>
      </c>
      <c r="AN281" t="e">
        <f>Stock!V1020+"'E4!0.1"</f>
        <v>#VALUE!</v>
      </c>
      <c r="AO281" t="e">
        <f>Stock!X1020+"'E4!0.2"</f>
        <v>#VALUE!</v>
      </c>
      <c r="AP281" t="e">
        <f>Stock!Y1020+"'E4!0.3"</f>
        <v>#VALUE!</v>
      </c>
      <c r="AQ281" s="333" t="e">
        <f>Stock!S1021+"'E4!0.4"</f>
        <v>#VALUE!</v>
      </c>
      <c r="AR281" s="333" t="e">
        <f>Stock!T1021+"'E4!0.5"</f>
        <v>#VALUE!</v>
      </c>
      <c r="AS281" t="e">
        <f>Stock!V1021+"'E4!0.6"</f>
        <v>#VALUE!</v>
      </c>
      <c r="AT281" t="e">
        <f>Stock!X1021+"'E4!0.7"</f>
        <v>#VALUE!</v>
      </c>
      <c r="AU281" t="e">
        <f>Stock!Y1021+"'E4!0.8"</f>
        <v>#VALUE!</v>
      </c>
      <c r="AV281" s="333" t="e">
        <f>Stock!S1022+"'E4!0.9"</f>
        <v>#VALUE!</v>
      </c>
      <c r="AW281" s="333" t="e">
        <f>Stock!T1022+"'E4!0.:"</f>
        <v>#VALUE!</v>
      </c>
      <c r="AX281" t="e">
        <f>Stock!V1022+"'E4!0.;"</f>
        <v>#VALUE!</v>
      </c>
      <c r="AY281" t="e">
        <f>Stock!X1022+"'E4!0.&lt;"</f>
        <v>#VALUE!</v>
      </c>
      <c r="AZ281" t="e">
        <f>Stock!Y1022+"'E4!0.="</f>
        <v>#VALUE!</v>
      </c>
      <c r="BA281" s="333" t="e">
        <f>Stock!S1023+"'E4!0.&gt;"</f>
        <v>#VALUE!</v>
      </c>
      <c r="BB281" s="333" t="e">
        <f>Stock!T1023+"'E4!0.?"</f>
        <v>#VALUE!</v>
      </c>
      <c r="BC281" t="e">
        <f>Stock!V1023+"'E4!0.@"</f>
        <v>#VALUE!</v>
      </c>
      <c r="BD281" t="e">
        <f>Stock!X1023+"'E4!0.A"</f>
        <v>#VALUE!</v>
      </c>
      <c r="BE281" t="e">
        <f>Stock!Y1023+"'E4!0.B"</f>
        <v>#VALUE!</v>
      </c>
      <c r="BF281" s="333" t="e">
        <f>Stock!S1024+"'E4!0.C"</f>
        <v>#VALUE!</v>
      </c>
      <c r="BG281" s="333" t="e">
        <f>Stock!T1024+"'E4!0.D"</f>
        <v>#VALUE!</v>
      </c>
      <c r="BH281" t="e">
        <f>Stock!V1024+"'E4!0.E"</f>
        <v>#VALUE!</v>
      </c>
      <c r="BI281" t="e">
        <f>Stock!X1024+"'E4!0.F"</f>
        <v>#VALUE!</v>
      </c>
      <c r="BJ281" t="e">
        <f>Stock!Y1024+"'E4!0.G"</f>
        <v>#VALUE!</v>
      </c>
      <c r="BK281" s="333" t="e">
        <f>Stock!S1025+"'E4!0.H"</f>
        <v>#VALUE!</v>
      </c>
      <c r="BL281" s="333" t="e">
        <f>Stock!T1025+"'E4!0.I"</f>
        <v>#VALUE!</v>
      </c>
      <c r="BM281" t="e">
        <f>Stock!V1025+"'E4!0.J"</f>
        <v>#VALUE!</v>
      </c>
      <c r="BN281" t="e">
        <f>Stock!X1025+"'E4!0.K"</f>
        <v>#VALUE!</v>
      </c>
      <c r="BO281" t="e">
        <f>Stock!Y1025+"'E4!0.L"</f>
        <v>#VALUE!</v>
      </c>
      <c r="BP281" s="333" t="e">
        <f>Stock!S1026+"'E4!0.M"</f>
        <v>#VALUE!</v>
      </c>
      <c r="BQ281" s="333" t="e">
        <f>Stock!T1026+"'E4!0.N"</f>
        <v>#VALUE!</v>
      </c>
      <c r="BR281" t="e">
        <f>Stock!V1026+"'E4!0.O"</f>
        <v>#VALUE!</v>
      </c>
      <c r="BS281" t="e">
        <f>Stock!X1026+"'E4!0.P"</f>
        <v>#VALUE!</v>
      </c>
      <c r="BT281" t="e">
        <f>Stock!Y1026+"'E4!0.Q"</f>
        <v>#VALUE!</v>
      </c>
      <c r="BU281" s="333" t="e">
        <f>Stock!S1027+"'E4!0.R"</f>
        <v>#VALUE!</v>
      </c>
      <c r="BV281" s="333" t="e">
        <f>Stock!T1027+"'E4!0.S"</f>
        <v>#VALUE!</v>
      </c>
      <c r="BW281" t="e">
        <f>Stock!V1027+"'E4!0.T"</f>
        <v>#VALUE!</v>
      </c>
      <c r="BX281" t="e">
        <f>Stock!X1027+"'E4!0.U"</f>
        <v>#VALUE!</v>
      </c>
      <c r="BY281" t="e">
        <f>Stock!Y1027+"'E4!0.V"</f>
        <v>#VALUE!</v>
      </c>
      <c r="BZ281" s="333" t="e">
        <f>Stock!S1028+"'E4!0.W"</f>
        <v>#VALUE!</v>
      </c>
      <c r="CA281" s="333" t="e">
        <f>Stock!T1028+"'E4!0.X"</f>
        <v>#VALUE!</v>
      </c>
      <c r="CB281" t="e">
        <f>Stock!V1028+"'E4!0.Y"</f>
        <v>#VALUE!</v>
      </c>
      <c r="CC281" t="e">
        <f>Stock!X1028+"'E4!0.Z"</f>
        <v>#VALUE!</v>
      </c>
      <c r="CD281" t="e">
        <f>Stock!Y1028+"'E4!0.["</f>
        <v>#VALUE!</v>
      </c>
      <c r="CE281" s="333" t="e">
        <f>Stock!S1029+"'E4!0.\"</f>
        <v>#VALUE!</v>
      </c>
      <c r="CF281" s="333" t="e">
        <f>Stock!T1029+"'E4!0.]"</f>
        <v>#VALUE!</v>
      </c>
      <c r="CG281" t="e">
        <f>Stock!V1029+"'E4!0.^"</f>
        <v>#VALUE!</v>
      </c>
      <c r="CH281" t="e">
        <f>Stock!X1029+"'E4!0._"</f>
        <v>#VALUE!</v>
      </c>
      <c r="CI281" t="e">
        <f>Stock!Y1029+"'E4!0.`"</f>
        <v>#VALUE!</v>
      </c>
      <c r="CJ281" s="333" t="e">
        <f>Stock!S1030+"'E4!0.a"</f>
        <v>#VALUE!</v>
      </c>
      <c r="CK281" s="333" t="e">
        <f>Stock!T1030+"'E4!0.b"</f>
        <v>#VALUE!</v>
      </c>
      <c r="CL281" t="e">
        <f>Stock!V1030+"'E4!0.c"</f>
        <v>#VALUE!</v>
      </c>
      <c r="CM281" t="e">
        <f>Stock!X1030+"'E4!0.d"</f>
        <v>#VALUE!</v>
      </c>
      <c r="CN281" t="e">
        <f>Stock!Y1030+"'E4!0.e"</f>
        <v>#VALUE!</v>
      </c>
      <c r="CO281" s="333" t="e">
        <f>Stock!S1031+"'E4!0.f"</f>
        <v>#VALUE!</v>
      </c>
      <c r="CP281" s="333" t="e">
        <f>Stock!T1031+"'E4!0.g"</f>
        <v>#VALUE!</v>
      </c>
      <c r="CQ281" t="e">
        <f>Stock!V1031+"'E4!0.h"</f>
        <v>#VALUE!</v>
      </c>
      <c r="CR281" t="e">
        <f>Stock!X1031+"'E4!0.i"</f>
        <v>#VALUE!</v>
      </c>
      <c r="CS281" t="e">
        <f>Stock!Y1031+"'E4!0.j"</f>
        <v>#VALUE!</v>
      </c>
      <c r="CT281" s="333" t="e">
        <f>Stock!S1032+"'E4!0.k"</f>
        <v>#VALUE!</v>
      </c>
      <c r="CU281" s="333" t="e">
        <f>Stock!T1032+"'E4!0.l"</f>
        <v>#VALUE!</v>
      </c>
      <c r="CV281" t="e">
        <f>Stock!V1032+"'E4!0.m"</f>
        <v>#VALUE!</v>
      </c>
      <c r="CW281" t="e">
        <f>Stock!X1032+"'E4!0.n"</f>
        <v>#VALUE!</v>
      </c>
      <c r="CX281" t="e">
        <f>Stock!Y1032+"'E4!0.o"</f>
        <v>#VALUE!</v>
      </c>
      <c r="CY281" s="333" t="e">
        <f>Stock!S1033+"'E4!0.p"</f>
        <v>#VALUE!</v>
      </c>
      <c r="CZ281" s="333" t="e">
        <f>Stock!T1033+"'E4!0.q"</f>
        <v>#VALUE!</v>
      </c>
      <c r="DA281" t="e">
        <f>Stock!V1033+"'E4!0.r"</f>
        <v>#VALUE!</v>
      </c>
      <c r="DB281" t="e">
        <f>Stock!X1033+"'E4!0.s"</f>
        <v>#VALUE!</v>
      </c>
      <c r="DC281" t="e">
        <f>Stock!Y1033+"'E4!0.t"</f>
        <v>#VALUE!</v>
      </c>
      <c r="DD281" s="333" t="e">
        <f>Stock!S1034+"'E4!0.u"</f>
        <v>#VALUE!</v>
      </c>
      <c r="DE281" s="333" t="e">
        <f>Stock!T1034+"'E4!0.v"</f>
        <v>#VALUE!</v>
      </c>
      <c r="DF281" t="e">
        <f>Stock!V1034+"'E4!0.w"</f>
        <v>#VALUE!</v>
      </c>
      <c r="DG281" t="e">
        <f>Stock!X1034+"'E4!0.x"</f>
        <v>#VALUE!</v>
      </c>
      <c r="DH281" t="e">
        <f>Stock!Y1034+"'E4!0.y"</f>
        <v>#VALUE!</v>
      </c>
      <c r="DI281" s="333" t="e">
        <f>Stock!S1035+"'E4!0.z"</f>
        <v>#VALUE!</v>
      </c>
      <c r="DJ281" s="333" t="e">
        <f>Stock!T1035+"'E4!0.{"</f>
        <v>#VALUE!</v>
      </c>
      <c r="DK281" t="e">
        <f>Stock!V1035+"'E4!0.|"</f>
        <v>#VALUE!</v>
      </c>
      <c r="DL281" t="e">
        <f>Stock!X1035+"'E4!0.}"</f>
        <v>#VALUE!</v>
      </c>
      <c r="DM281" t="e">
        <f>Stock!Y1035+"'E4!0.~"</f>
        <v>#VALUE!</v>
      </c>
      <c r="DN281" s="333" t="e">
        <f>Stock!S1036+"'E4!0/#"</f>
        <v>#VALUE!</v>
      </c>
      <c r="DO281" s="333" t="e">
        <f>Stock!T1036+"'E4!0/$"</f>
        <v>#VALUE!</v>
      </c>
      <c r="DP281" t="e">
        <f>Stock!V1036+"'E4!0/%"</f>
        <v>#VALUE!</v>
      </c>
      <c r="DQ281" t="e">
        <f>Stock!X1036+"'E4!0/&amp;"</f>
        <v>#VALUE!</v>
      </c>
      <c r="DR281" t="e">
        <f>Stock!Y1036+"'E4!0/'"</f>
        <v>#VALUE!</v>
      </c>
      <c r="DS281" s="333" t="e">
        <f>Stock!S1037+"'E4!0/("</f>
        <v>#VALUE!</v>
      </c>
      <c r="DT281" s="333" t="e">
        <f>Stock!T1037+"'E4!0/)"</f>
        <v>#VALUE!</v>
      </c>
      <c r="DU281" t="e">
        <f>Stock!V1037+"'E4!0/."</f>
        <v>#VALUE!</v>
      </c>
      <c r="DV281" t="e">
        <f>Stock!X1037+"'E4!0//"</f>
        <v>#VALUE!</v>
      </c>
      <c r="DW281" t="e">
        <f>Stock!Y1037+"'E4!0/0"</f>
        <v>#VALUE!</v>
      </c>
      <c r="DX281" s="333" t="e">
        <f>Stock!S1038+"'E4!0/1"</f>
        <v>#VALUE!</v>
      </c>
      <c r="DY281" s="333" t="e">
        <f>Stock!T1038+"'E4!0/2"</f>
        <v>#VALUE!</v>
      </c>
      <c r="DZ281" t="e">
        <f>Stock!V1038+"'E4!0/3"</f>
        <v>#VALUE!</v>
      </c>
      <c r="EA281" t="e">
        <f>Stock!X1038+"'E4!0/4"</f>
        <v>#VALUE!</v>
      </c>
      <c r="EB281" t="e">
        <f>Stock!Y1038+"'E4!0/5"</f>
        <v>#VALUE!</v>
      </c>
      <c r="EC281" s="333" t="e">
        <f>Stock!S1039+"'E4!0/6"</f>
        <v>#VALUE!</v>
      </c>
      <c r="ED281" s="333" t="e">
        <f>Stock!T1039+"'E4!0/7"</f>
        <v>#VALUE!</v>
      </c>
      <c r="EE281" t="e">
        <f>Stock!V1039+"'E4!0/8"</f>
        <v>#VALUE!</v>
      </c>
      <c r="EF281" t="e">
        <f>Stock!X1039+"'E4!0/9"</f>
        <v>#VALUE!</v>
      </c>
      <c r="EG281" t="e">
        <f>Stock!Y1039+"'E4!0/:"</f>
        <v>#VALUE!</v>
      </c>
      <c r="EH281" s="333" t="e">
        <f>Stock!S1040+"'E4!0/;"</f>
        <v>#VALUE!</v>
      </c>
      <c r="EI281" s="333" t="e">
        <f>Stock!T1040+"'E4!0/&lt;"</f>
        <v>#VALUE!</v>
      </c>
      <c r="EJ281" t="e">
        <f>Stock!V1040+"'E4!0/="</f>
        <v>#VALUE!</v>
      </c>
      <c r="EK281" t="e">
        <f>Stock!X1040+"'E4!0/&gt;"</f>
        <v>#VALUE!</v>
      </c>
      <c r="EL281" t="e">
        <f>Stock!Y1040+"'E4!0/?"</f>
        <v>#VALUE!</v>
      </c>
      <c r="EM281" s="333" t="e">
        <f>Stock!S1041+"'E4!0/@"</f>
        <v>#VALUE!</v>
      </c>
      <c r="EN281" s="333" t="e">
        <f>Stock!T1041+"'E4!0/A"</f>
        <v>#VALUE!</v>
      </c>
      <c r="EO281" t="e">
        <f>Stock!V1041+"'E4!0/B"</f>
        <v>#VALUE!</v>
      </c>
      <c r="EP281" t="e">
        <f>Stock!X1041+"'E4!0/C"</f>
        <v>#VALUE!</v>
      </c>
      <c r="EQ281" t="e">
        <f>Stock!Y1041+"'E4!0/D"</f>
        <v>#VALUE!</v>
      </c>
      <c r="ER281" s="333" t="e">
        <f>Stock!S1042+"'E4!0/E"</f>
        <v>#VALUE!</v>
      </c>
      <c r="ES281" s="333" t="e">
        <f>Stock!T1042+"'E4!0/F"</f>
        <v>#VALUE!</v>
      </c>
      <c r="ET281" t="e">
        <f>Stock!V1042+"'E4!0/G"</f>
        <v>#VALUE!</v>
      </c>
      <c r="EU281" t="e">
        <f>Stock!X1042+"'E4!0/H"</f>
        <v>#VALUE!</v>
      </c>
      <c r="EV281" t="e">
        <f>Stock!Y1042+"'E4!0/I"</f>
        <v>#VALUE!</v>
      </c>
      <c r="EW281" s="333" t="e">
        <f>Stock!S1043+"'E4!0/J"</f>
        <v>#VALUE!</v>
      </c>
      <c r="EX281" s="333" t="e">
        <f>Stock!T1043+"'E4!0/K"</f>
        <v>#VALUE!</v>
      </c>
      <c r="EY281" t="e">
        <f>Stock!V1043+"'E4!0/L"</f>
        <v>#VALUE!</v>
      </c>
      <c r="EZ281" t="e">
        <f>Stock!X1043+"'E4!0/M"</f>
        <v>#VALUE!</v>
      </c>
      <c r="FA281" t="e">
        <f>Stock!Y1043+"'E4!0/N"</f>
        <v>#VALUE!</v>
      </c>
      <c r="FB281" s="333" t="e">
        <f>Stock!S1044+"'E4!0/O"</f>
        <v>#VALUE!</v>
      </c>
      <c r="FC281" s="333" t="e">
        <f>Stock!T1044+"'E4!0/P"</f>
        <v>#VALUE!</v>
      </c>
      <c r="FD281" t="e">
        <f>Stock!V1044+"'E4!0/Q"</f>
        <v>#VALUE!</v>
      </c>
      <c r="FE281" t="e">
        <f>Stock!X1044+"'E4!0/R"</f>
        <v>#VALUE!</v>
      </c>
      <c r="FF281" t="e">
        <f>Stock!Y1044+"'E4!0/S"</f>
        <v>#VALUE!</v>
      </c>
      <c r="FG281" s="333" t="e">
        <f>Stock!S1045+"'E4!0/T"</f>
        <v>#VALUE!</v>
      </c>
      <c r="FH281" s="333" t="e">
        <f>Stock!T1045+"'E4!0/U"</f>
        <v>#VALUE!</v>
      </c>
      <c r="FI281" t="e">
        <f>Stock!V1045+"'E4!0/V"</f>
        <v>#VALUE!</v>
      </c>
      <c r="FJ281" t="e">
        <f>Stock!X1045+"'E4!0/W"</f>
        <v>#VALUE!</v>
      </c>
      <c r="FK281" t="e">
        <f>Stock!Y1045+"'E4!0/X"</f>
        <v>#VALUE!</v>
      </c>
      <c r="FL281" s="333" t="e">
        <f>Stock!S1046+"'E4!0/Y"</f>
        <v>#VALUE!</v>
      </c>
      <c r="FM281" s="333" t="e">
        <f>Stock!T1046+"'E4!0/Z"</f>
        <v>#VALUE!</v>
      </c>
      <c r="FN281" t="e">
        <f>Stock!V1046+"'E4!0/["</f>
        <v>#VALUE!</v>
      </c>
      <c r="FO281" t="e">
        <f>Stock!X1046+"'E4!0/\"</f>
        <v>#VALUE!</v>
      </c>
      <c r="FP281" t="e">
        <f>Stock!Y1046+"'E4!0/]"</f>
        <v>#VALUE!</v>
      </c>
      <c r="FQ281" s="333" t="e">
        <f>Stock!S1047+"'E4!0/^"</f>
        <v>#VALUE!</v>
      </c>
      <c r="FR281" s="333" t="e">
        <f>Stock!T1047+"'E4!0/_"</f>
        <v>#VALUE!</v>
      </c>
      <c r="FS281" t="e">
        <f>Stock!V1047+"'E4!0/`"</f>
        <v>#VALUE!</v>
      </c>
      <c r="FT281" t="e">
        <f>Stock!X1047+"'E4!0/a"</f>
        <v>#VALUE!</v>
      </c>
      <c r="FU281" t="e">
        <f>Stock!Y1047+"'E4!0/b"</f>
        <v>#VALUE!</v>
      </c>
      <c r="FV281" s="333" t="e">
        <f>Stock!S1048+"'E4!0/c"</f>
        <v>#VALUE!</v>
      </c>
      <c r="FW281" s="333" t="e">
        <f>Stock!T1048+"'E4!0/d"</f>
        <v>#VALUE!</v>
      </c>
      <c r="FX281" t="e">
        <f>Stock!V1048+"'E4!0/e"</f>
        <v>#VALUE!</v>
      </c>
      <c r="FY281" t="e">
        <f>Stock!X1048+"'E4!0/f"</f>
        <v>#VALUE!</v>
      </c>
      <c r="FZ281" t="e">
        <f>Stock!Y1048+"'E4!0/g"</f>
        <v>#VALUE!</v>
      </c>
      <c r="GA281" s="333" t="e">
        <f>Stock!S1049+"'E4!0/h"</f>
        <v>#VALUE!</v>
      </c>
      <c r="GB281" s="333" t="e">
        <f>Stock!T1049+"'E4!0/i"</f>
        <v>#VALUE!</v>
      </c>
      <c r="GC281" t="e">
        <f>Stock!V1049+"'E4!0/j"</f>
        <v>#VALUE!</v>
      </c>
      <c r="GD281" t="e">
        <f>Stock!X1049+"'E4!0/k"</f>
        <v>#VALUE!</v>
      </c>
      <c r="GE281" t="e">
        <f>Stock!Y1049+"'E4!0/l"</f>
        <v>#VALUE!</v>
      </c>
      <c r="GF281" s="333" t="e">
        <f>Stock!S1050+"'E4!0/m"</f>
        <v>#VALUE!</v>
      </c>
      <c r="GG281" s="333" t="e">
        <f>Stock!T1050+"'E4!0/n"</f>
        <v>#VALUE!</v>
      </c>
      <c r="GH281" t="e">
        <f>Stock!V1050+"'E4!0/o"</f>
        <v>#VALUE!</v>
      </c>
      <c r="GI281" t="e">
        <f>Stock!X1050+"'E4!0/p"</f>
        <v>#VALUE!</v>
      </c>
      <c r="GJ281" t="e">
        <f>Stock!Y1050+"'E4!0/q"</f>
        <v>#VALUE!</v>
      </c>
      <c r="GK281" s="333" t="e">
        <f>Stock!S1051+"'E4!0/r"</f>
        <v>#VALUE!</v>
      </c>
      <c r="GL281" s="333" t="e">
        <f>Stock!T1051+"'E4!0/s"</f>
        <v>#VALUE!</v>
      </c>
      <c r="GM281" t="e">
        <f>Stock!V1051+"'E4!0/t"</f>
        <v>#VALUE!</v>
      </c>
      <c r="GN281" t="e">
        <f>Stock!X1051+"'E4!0/u"</f>
        <v>#VALUE!</v>
      </c>
      <c r="GO281" t="e">
        <f>Stock!Y1051+"'E4!0/v"</f>
        <v>#VALUE!</v>
      </c>
      <c r="GP281" s="333" t="e">
        <f>Stock!S1052+"'E4!0/w"</f>
        <v>#VALUE!</v>
      </c>
      <c r="GQ281" s="333" t="e">
        <f>Stock!T1052+"'E4!0/x"</f>
        <v>#VALUE!</v>
      </c>
      <c r="GR281" t="e">
        <f>Stock!V1052+"'E4!0/y"</f>
        <v>#VALUE!</v>
      </c>
      <c r="GS281" t="e">
        <f>Stock!X1052+"'E4!0/z"</f>
        <v>#VALUE!</v>
      </c>
      <c r="GT281" t="e">
        <f>Stock!Y1052+"'E4!0/{"</f>
        <v>#VALUE!</v>
      </c>
      <c r="GU281" s="333" t="e">
        <f>Stock!S1053+"'E4!0/|"</f>
        <v>#VALUE!</v>
      </c>
      <c r="GV281" s="333" t="e">
        <f>Stock!T1053+"'E4!0/}"</f>
        <v>#VALUE!</v>
      </c>
      <c r="GW281" t="e">
        <f>Stock!V1053+"'E4!0/~"</f>
        <v>#VALUE!</v>
      </c>
      <c r="GX281" t="e">
        <f>Stock!X1053+"'E4!00#"</f>
        <v>#VALUE!</v>
      </c>
      <c r="GY281" t="e">
        <f>Stock!Y1053+"'E4!00$"</f>
        <v>#VALUE!</v>
      </c>
      <c r="GZ281" s="333" t="e">
        <f>Stock!S1054+"'E4!00%"</f>
        <v>#VALUE!</v>
      </c>
      <c r="HA281" s="333" t="e">
        <f>Stock!T1054+"'E4!00&amp;"</f>
        <v>#VALUE!</v>
      </c>
      <c r="HB281" t="e">
        <f>Stock!V1054+"'E4!00'"</f>
        <v>#VALUE!</v>
      </c>
      <c r="HC281" t="e">
        <f>Stock!X1054+"'E4!00("</f>
        <v>#VALUE!</v>
      </c>
      <c r="HD281" t="e">
        <f>Stock!Y1054+"'E4!00)"</f>
        <v>#VALUE!</v>
      </c>
      <c r="HE281" s="333" t="e">
        <f>Stock!S1055+"'E4!00."</f>
        <v>#VALUE!</v>
      </c>
      <c r="HF281" s="333" t="e">
        <f>Stock!T1055+"'E4!00/"</f>
        <v>#VALUE!</v>
      </c>
      <c r="HG281" t="e">
        <f>Stock!V1055+"'E4!000"</f>
        <v>#VALUE!</v>
      </c>
      <c r="HH281" t="e">
        <f>Stock!X1055+"'E4!001"</f>
        <v>#VALUE!</v>
      </c>
      <c r="HI281" t="e">
        <f>Stock!Y1055+"'E4!002"</f>
        <v>#VALUE!</v>
      </c>
      <c r="HJ281" s="333" t="e">
        <f>Stock!S1056+"'E4!003"</f>
        <v>#VALUE!</v>
      </c>
      <c r="HK281" s="333" t="e">
        <f>Stock!T1056+"'E4!004"</f>
        <v>#VALUE!</v>
      </c>
      <c r="HL281" t="e">
        <f>Stock!V1056+"'E4!005"</f>
        <v>#VALUE!</v>
      </c>
      <c r="HM281" t="e">
        <f>Stock!X1056+"'E4!006"</f>
        <v>#VALUE!</v>
      </c>
      <c r="HN281" t="e">
        <f>Stock!Y1056+"'E4!007"</f>
        <v>#VALUE!</v>
      </c>
      <c r="HO281" s="333" t="e">
        <f>Stock!S1057+"'E4!008"</f>
        <v>#VALUE!</v>
      </c>
      <c r="HP281" s="333" t="e">
        <f>Stock!T1057+"'E4!009"</f>
        <v>#VALUE!</v>
      </c>
      <c r="HQ281" t="e">
        <f>Stock!V1057+"'E4!00:"</f>
        <v>#VALUE!</v>
      </c>
      <c r="HR281" t="e">
        <f>Stock!X1057+"'E4!00;"</f>
        <v>#VALUE!</v>
      </c>
      <c r="HS281" t="e">
        <f>Stock!Y1057+"'E4!00&lt;"</f>
        <v>#VALUE!</v>
      </c>
      <c r="HT281" s="333" t="e">
        <f>Stock!S1058+"'E4!00="</f>
        <v>#VALUE!</v>
      </c>
      <c r="HU281" s="333" t="e">
        <f>Stock!T1058+"'E4!00&gt;"</f>
        <v>#VALUE!</v>
      </c>
      <c r="HV281" t="e">
        <f>Stock!V1058+"'E4!00?"</f>
        <v>#VALUE!</v>
      </c>
      <c r="HW281" t="e">
        <f>Stock!X1058+"'E4!00@"</f>
        <v>#VALUE!</v>
      </c>
      <c r="HX281" t="e">
        <f>Stock!Y1058+"'E4!00A"</f>
        <v>#VALUE!</v>
      </c>
      <c r="HY281" s="333" t="e">
        <f>Stock!S1059+"'E4!00B"</f>
        <v>#VALUE!</v>
      </c>
      <c r="HZ281" s="333" t="e">
        <f>Stock!T1059+"'E4!00C"</f>
        <v>#VALUE!</v>
      </c>
      <c r="IA281" t="e">
        <f>Stock!V1059+"'E4!00D"</f>
        <v>#VALUE!</v>
      </c>
      <c r="IB281" t="e">
        <f>Stock!X1059+"'E4!00E"</f>
        <v>#VALUE!</v>
      </c>
      <c r="IC281" t="e">
        <f>Stock!Y1059+"'E4!00F"</f>
        <v>#VALUE!</v>
      </c>
      <c r="ID281" s="333" t="e">
        <f>Stock!S1060+"'E4!00G"</f>
        <v>#VALUE!</v>
      </c>
      <c r="IE281" s="333" t="e">
        <f>Stock!T1060+"'E4!00H"</f>
        <v>#VALUE!</v>
      </c>
      <c r="IF281" t="e">
        <f>Stock!V1060+"'E4!00I"</f>
        <v>#VALUE!</v>
      </c>
      <c r="IG281" t="e">
        <f>Stock!X1060+"'E4!00J"</f>
        <v>#VALUE!</v>
      </c>
      <c r="IH281" t="e">
        <f>Stock!Y1060+"'E4!00K"</f>
        <v>#VALUE!</v>
      </c>
      <c r="II281" s="333" t="e">
        <f>Stock!S1061+"'E4!00L"</f>
        <v>#VALUE!</v>
      </c>
      <c r="IJ281" s="333" t="e">
        <f>Stock!T1061+"'E4!00M"</f>
        <v>#VALUE!</v>
      </c>
      <c r="IK281" t="e">
        <f>Stock!V1061+"'E4!00N"</f>
        <v>#VALUE!</v>
      </c>
      <c r="IL281" t="e">
        <f>Stock!X1061+"'E4!00O"</f>
        <v>#VALUE!</v>
      </c>
      <c r="IM281" t="e">
        <f>Stock!Y1061+"'E4!00P"</f>
        <v>#VALUE!</v>
      </c>
      <c r="IN281" s="333" t="e">
        <f>Stock!S1062+"'E4!00Q"</f>
        <v>#VALUE!</v>
      </c>
      <c r="IO281" s="333" t="e">
        <f>Stock!T1062+"'E4!00R"</f>
        <v>#VALUE!</v>
      </c>
      <c r="IP281" t="e">
        <f>Stock!V1062+"'E4!00S"</f>
        <v>#VALUE!</v>
      </c>
      <c r="IQ281" t="e">
        <f>Stock!X1062+"'E4!00T"</f>
        <v>#VALUE!</v>
      </c>
      <c r="IR281" t="e">
        <f>Stock!Y1062+"'E4!00U"</f>
        <v>#VALUE!</v>
      </c>
      <c r="IS281" s="333" t="e">
        <f>Stock!S1063+"'E4!00V"</f>
        <v>#VALUE!</v>
      </c>
      <c r="IT281" s="333" t="e">
        <f>Stock!T1063+"'E4!00W"</f>
        <v>#VALUE!</v>
      </c>
      <c r="IU281" t="e">
        <f>Stock!V1063+"'E4!00X"</f>
        <v>#VALUE!</v>
      </c>
      <c r="IV281" t="e">
        <f>Stock!X1063+"'E4!00Y"</f>
        <v>#VALUE!</v>
      </c>
    </row>
    <row r="282" spans="6:256">
      <c r="F282" t="e">
        <f>Stock!Y1063+"'E4!00Z"</f>
        <v>#VALUE!</v>
      </c>
      <c r="G282" s="333" t="e">
        <f>Stock!S1064+"'E4!00["</f>
        <v>#VALUE!</v>
      </c>
      <c r="H282" s="333" t="e">
        <f>Stock!T1064+"'E4!00\"</f>
        <v>#VALUE!</v>
      </c>
      <c r="I282" t="e">
        <f>Stock!V1064+"'E4!00]"</f>
        <v>#VALUE!</v>
      </c>
      <c r="J282" t="e">
        <f>Stock!X1064+"'E4!00^"</f>
        <v>#VALUE!</v>
      </c>
      <c r="K282" t="e">
        <f>Stock!Y1064+"'E4!00_"</f>
        <v>#VALUE!</v>
      </c>
      <c r="L282" s="333" t="e">
        <f>Stock!S1065+"'E4!00`"</f>
        <v>#VALUE!</v>
      </c>
      <c r="M282" s="333" t="e">
        <f>Stock!T1065+"'E4!00a"</f>
        <v>#VALUE!</v>
      </c>
      <c r="N282" t="e">
        <f>Stock!V1065+"'E4!00b"</f>
        <v>#VALUE!</v>
      </c>
      <c r="O282" t="e">
        <f>Stock!X1065+"'E4!00c"</f>
        <v>#VALUE!</v>
      </c>
      <c r="P282" t="e">
        <f>Stock!Y1065+"'E4!00d"</f>
        <v>#VALUE!</v>
      </c>
      <c r="Q282" s="333" t="e">
        <f>Stock!S1066+"'E4!00e"</f>
        <v>#VALUE!</v>
      </c>
      <c r="R282" s="333" t="e">
        <f>Stock!T1066+"'E4!00f"</f>
        <v>#VALUE!</v>
      </c>
      <c r="S282" t="e">
        <f>Stock!V1066+"'E4!00g"</f>
        <v>#VALUE!</v>
      </c>
      <c r="T282" t="e">
        <f>Stock!X1066+"'E4!00h"</f>
        <v>#VALUE!</v>
      </c>
      <c r="U282" t="e">
        <f>Stock!Y1066+"'E4!00i"</f>
        <v>#VALUE!</v>
      </c>
      <c r="V282" s="333" t="e">
        <f>Stock!S1067+"'E4!00j"</f>
        <v>#VALUE!</v>
      </c>
      <c r="W282" s="333" t="e">
        <f>Stock!T1067+"'E4!00k"</f>
        <v>#VALUE!</v>
      </c>
      <c r="X282" t="e">
        <f>Stock!V1067+"'E4!00l"</f>
        <v>#VALUE!</v>
      </c>
      <c r="Y282" t="e">
        <f>Stock!X1067+"'E4!00m"</f>
        <v>#VALUE!</v>
      </c>
      <c r="Z282" t="e">
        <f>Stock!Y1067+"'E4!00n"</f>
        <v>#VALUE!</v>
      </c>
      <c r="AA282" s="333" t="e">
        <f>Stock!S1068+"'E4!00o"</f>
        <v>#VALUE!</v>
      </c>
      <c r="AB282" s="333" t="e">
        <f>Stock!T1068+"'E4!00p"</f>
        <v>#VALUE!</v>
      </c>
      <c r="AC282" t="e">
        <f>Stock!V1068+"'E4!00q"</f>
        <v>#VALUE!</v>
      </c>
      <c r="AD282" t="e">
        <f>Stock!X1068+"'E4!00r"</f>
        <v>#VALUE!</v>
      </c>
      <c r="AE282" t="e">
        <f>Stock!Y1068+"'E4!00s"</f>
        <v>#VALUE!</v>
      </c>
      <c r="AF282" s="333" t="e">
        <f>Stock!S1069+"'E4!00t"</f>
        <v>#VALUE!</v>
      </c>
      <c r="AG282" s="333" t="e">
        <f>Stock!T1069+"'E4!00u"</f>
        <v>#VALUE!</v>
      </c>
      <c r="AH282" t="e">
        <f>Stock!V1069+"'E4!00v"</f>
        <v>#VALUE!</v>
      </c>
      <c r="AI282" t="e">
        <f>Stock!X1069+"'E4!00w"</f>
        <v>#VALUE!</v>
      </c>
      <c r="AJ282" t="e">
        <f>Stock!Y1069+"'E4!00x"</f>
        <v>#VALUE!</v>
      </c>
      <c r="AK282" s="333" t="e">
        <f>Stock!S1070+"'E4!00y"</f>
        <v>#VALUE!</v>
      </c>
      <c r="AL282" s="333" t="e">
        <f>Stock!T1070+"'E4!00z"</f>
        <v>#VALUE!</v>
      </c>
      <c r="AM282" t="e">
        <f>Stock!V1070+"'E4!00{"</f>
        <v>#VALUE!</v>
      </c>
      <c r="AN282" t="e">
        <f>Stock!X1070+"'E4!00|"</f>
        <v>#VALUE!</v>
      </c>
      <c r="AO282" t="e">
        <f>Stock!Y1070+"'E4!00}"</f>
        <v>#VALUE!</v>
      </c>
      <c r="AP282" s="333" t="e">
        <f>Stock!S1071+"'E4!00~"</f>
        <v>#VALUE!</v>
      </c>
      <c r="AQ282" s="333" t="e">
        <f>Stock!T1071+"'E4!01#"</f>
        <v>#VALUE!</v>
      </c>
      <c r="AR282" t="e">
        <f>Stock!V1071+"'E4!01$"</f>
        <v>#VALUE!</v>
      </c>
      <c r="AS282" t="e">
        <f>Stock!X1071+"'E4!01%"</f>
        <v>#VALUE!</v>
      </c>
      <c r="AT282" t="e">
        <f>Stock!Y1071+"'E4!01&amp;"</f>
        <v>#VALUE!</v>
      </c>
      <c r="AU282" s="333" t="e">
        <f>Stock!S1072+"'E4!01'"</f>
        <v>#VALUE!</v>
      </c>
      <c r="AV282" s="333" t="e">
        <f>Stock!T1072+"'E4!01("</f>
        <v>#VALUE!</v>
      </c>
      <c r="AW282" t="e">
        <f>Stock!V1072+"'E4!01)"</f>
        <v>#VALUE!</v>
      </c>
      <c r="AX282" t="e">
        <f>Stock!X1072+"'E4!01."</f>
        <v>#VALUE!</v>
      </c>
      <c r="AY282" t="e">
        <f>Stock!Y1072+"'E4!01/"</f>
        <v>#VALUE!</v>
      </c>
      <c r="AZ282" s="333" t="e">
        <f>Stock!S1073+"'E4!010"</f>
        <v>#VALUE!</v>
      </c>
      <c r="BA282" s="333" t="e">
        <f>Stock!T1073+"'E4!011"</f>
        <v>#VALUE!</v>
      </c>
      <c r="BB282" t="e">
        <f>Stock!V1073+"'E4!012"</f>
        <v>#VALUE!</v>
      </c>
      <c r="BC282" t="e">
        <f>Stock!X1073+"'E4!013"</f>
        <v>#VALUE!</v>
      </c>
      <c r="BD282" t="e">
        <f>Stock!Y1073+"'E4!014"</f>
        <v>#VALUE!</v>
      </c>
      <c r="BE282" s="333" t="e">
        <f>Stock!S1074+"'E4!015"</f>
        <v>#VALUE!</v>
      </c>
      <c r="BF282" s="333" t="e">
        <f>Stock!T1074+"'E4!016"</f>
        <v>#VALUE!</v>
      </c>
      <c r="BG282" t="e">
        <f>Stock!V1074+"'E4!017"</f>
        <v>#VALUE!</v>
      </c>
      <c r="BH282" t="e">
        <f>Stock!X1074+"'E4!018"</f>
        <v>#VALUE!</v>
      </c>
      <c r="BI282" t="e">
        <f>Stock!Y1074+"'E4!019"</f>
        <v>#VALUE!</v>
      </c>
      <c r="BJ282" s="333" t="e">
        <f>Stock!S1075+"'E4!01:"</f>
        <v>#VALUE!</v>
      </c>
      <c r="BK282" s="333" t="e">
        <f>Stock!T1075+"'E4!01;"</f>
        <v>#VALUE!</v>
      </c>
      <c r="BL282" t="e">
        <f>Stock!V1075+"'E4!01&lt;"</f>
        <v>#VALUE!</v>
      </c>
      <c r="BM282" t="e">
        <f>Stock!X1075+"'E4!01="</f>
        <v>#VALUE!</v>
      </c>
      <c r="BN282" t="e">
        <f>Stock!Y1075+"'E4!01&gt;"</f>
        <v>#VALUE!</v>
      </c>
      <c r="BO282" s="333" t="e">
        <f>Stock!S1076+"'E4!01?"</f>
        <v>#VALUE!</v>
      </c>
      <c r="BP282" s="333" t="e">
        <f>Stock!T1076+"'E4!01@"</f>
        <v>#VALUE!</v>
      </c>
      <c r="BQ282" t="e">
        <f>Stock!V1076+"'E4!01A"</f>
        <v>#VALUE!</v>
      </c>
      <c r="BR282" t="e">
        <f>Stock!X1076+"'E4!01B"</f>
        <v>#VALUE!</v>
      </c>
      <c r="BS282" t="e">
        <f>Stock!Y1076+"'E4!01C"</f>
        <v>#VALUE!</v>
      </c>
      <c r="BT282" s="333" t="e">
        <f>Stock!S1077+"'E4!01D"</f>
        <v>#VALUE!</v>
      </c>
      <c r="BU282" s="333" t="e">
        <f>Stock!T1077+"'E4!01E"</f>
        <v>#VALUE!</v>
      </c>
      <c r="BV282" t="e">
        <f>Stock!V1077+"'E4!01F"</f>
        <v>#VALUE!</v>
      </c>
      <c r="BW282" t="e">
        <f>Stock!X1077+"'E4!01G"</f>
        <v>#VALUE!</v>
      </c>
      <c r="BX282" t="e">
        <f>Stock!Y1077+"'E4!01H"</f>
        <v>#VALUE!</v>
      </c>
      <c r="BY282" s="333" t="e">
        <f>Stock!S1078+"'E4!01I"</f>
        <v>#VALUE!</v>
      </c>
      <c r="BZ282" s="333" t="e">
        <f>Stock!T1078+"'E4!01J"</f>
        <v>#VALUE!</v>
      </c>
      <c r="CA282" t="e">
        <f>Stock!V1078+"'E4!01K"</f>
        <v>#VALUE!</v>
      </c>
      <c r="CB282" t="e">
        <f>Stock!X1078+"'E4!01L"</f>
        <v>#VALUE!</v>
      </c>
      <c r="CC282" t="e">
        <f>Stock!Y1078+"'E4!01M"</f>
        <v>#VALUE!</v>
      </c>
      <c r="CD282" s="333" t="e">
        <f>Stock!S1079+"'E4!01N"</f>
        <v>#VALUE!</v>
      </c>
      <c r="CE282" s="333" t="e">
        <f>Stock!T1079+"'E4!01O"</f>
        <v>#VALUE!</v>
      </c>
      <c r="CF282" t="e">
        <f>Stock!V1079+"'E4!01P"</f>
        <v>#VALUE!</v>
      </c>
      <c r="CG282" t="e">
        <f>Stock!X1079+"'E4!01Q"</f>
        <v>#VALUE!</v>
      </c>
      <c r="CH282" t="e">
        <f>Stock!Y1079+"'E4!01R"</f>
        <v>#VALUE!</v>
      </c>
      <c r="CI282" s="333" t="e">
        <f>Stock!S1080+"'E4!01S"</f>
        <v>#VALUE!</v>
      </c>
      <c r="CJ282" s="333" t="e">
        <f>Stock!T1080+"'E4!01T"</f>
        <v>#VALUE!</v>
      </c>
      <c r="CK282" t="e">
        <f>Stock!V1080+"'E4!01U"</f>
        <v>#VALUE!</v>
      </c>
      <c r="CL282" t="e">
        <f>Stock!X1080+"'E4!01V"</f>
        <v>#VALUE!</v>
      </c>
      <c r="CM282" t="e">
        <f>Stock!Y1080+"'E4!01W"</f>
        <v>#VALUE!</v>
      </c>
      <c r="CN282" s="333" t="e">
        <f>Stock!S1081+"'E4!01X"</f>
        <v>#VALUE!</v>
      </c>
      <c r="CO282" s="333" t="e">
        <f>Stock!T1081+"'E4!01Y"</f>
        <v>#VALUE!</v>
      </c>
      <c r="CP282" t="e">
        <f>Stock!V1081+"'E4!01Z"</f>
        <v>#VALUE!</v>
      </c>
      <c r="CQ282" t="e">
        <f>Stock!X1081+"'E4!01["</f>
        <v>#VALUE!</v>
      </c>
      <c r="CR282" t="e">
        <f>Stock!Y1081+"'E4!01\"</f>
        <v>#VALUE!</v>
      </c>
      <c r="CS282" s="333" t="e">
        <f>Stock!S1082+"'E4!01]"</f>
        <v>#VALUE!</v>
      </c>
      <c r="CT282" s="333" t="e">
        <f>Stock!T1082+"'E4!01^"</f>
        <v>#VALUE!</v>
      </c>
      <c r="CU282" t="e">
        <f>Stock!V1082+"'E4!01_"</f>
        <v>#VALUE!</v>
      </c>
      <c r="CV282" t="e">
        <f>Stock!X1082+"'E4!01`"</f>
        <v>#VALUE!</v>
      </c>
      <c r="CW282" t="e">
        <f>Stock!Y1082+"'E4!01a"</f>
        <v>#VALUE!</v>
      </c>
      <c r="CX282" s="333" t="e">
        <f>Stock!S1083+"'E4!01b"</f>
        <v>#VALUE!</v>
      </c>
      <c r="CY282" s="333" t="e">
        <f>Stock!T1083+"'E4!01c"</f>
        <v>#VALUE!</v>
      </c>
      <c r="CZ282" t="e">
        <f>Stock!V1083+"'E4!01d"</f>
        <v>#VALUE!</v>
      </c>
      <c r="DA282" t="e">
        <f>Stock!X1083+"'E4!01e"</f>
        <v>#VALUE!</v>
      </c>
      <c r="DB282" t="e">
        <f>Stock!Y1083+"'E4!01f"</f>
        <v>#VALUE!</v>
      </c>
      <c r="DC282" s="333" t="e">
        <f>Stock!S1084+"'E4!01g"</f>
        <v>#VALUE!</v>
      </c>
      <c r="DD282" s="333" t="e">
        <f>Stock!T1084+"'E4!01h"</f>
        <v>#VALUE!</v>
      </c>
      <c r="DE282" t="e">
        <f>Stock!V1084+"'E4!01i"</f>
        <v>#VALUE!</v>
      </c>
      <c r="DF282" t="e">
        <f>Stock!X1084+"'E4!01j"</f>
        <v>#VALUE!</v>
      </c>
      <c r="DG282" t="e">
        <f>Stock!Y1084+"'E4!01k"</f>
        <v>#VALUE!</v>
      </c>
      <c r="DH282" s="333" t="e">
        <f>Stock!S1085+"'E4!01l"</f>
        <v>#VALUE!</v>
      </c>
      <c r="DI282" s="333" t="e">
        <f>Stock!T1085+"'E4!01m"</f>
        <v>#VALUE!</v>
      </c>
      <c r="DJ282" t="e">
        <f>Stock!V1085+"'E4!01n"</f>
        <v>#VALUE!</v>
      </c>
      <c r="DK282" t="e">
        <f>Stock!X1085+"'E4!01o"</f>
        <v>#VALUE!</v>
      </c>
      <c r="DL282" t="e">
        <f>Stock!Y1085+"'E4!01p"</f>
        <v>#VALUE!</v>
      </c>
      <c r="DM282" s="333" t="e">
        <f>Stock!S1086+"'E4!01q"</f>
        <v>#VALUE!</v>
      </c>
      <c r="DN282" s="333" t="e">
        <f>Stock!T1086+"'E4!01r"</f>
        <v>#VALUE!</v>
      </c>
      <c r="DO282" t="e">
        <f>Stock!V1086+"'E4!01s"</f>
        <v>#VALUE!</v>
      </c>
      <c r="DP282" t="e">
        <f>Stock!X1086+"'E4!01t"</f>
        <v>#VALUE!</v>
      </c>
      <c r="DQ282" t="e">
        <f>Stock!Y1086+"'E4!01u"</f>
        <v>#VALUE!</v>
      </c>
      <c r="DR282" s="333" t="e">
        <f>Stock!S1087+"'E4!01v"</f>
        <v>#VALUE!</v>
      </c>
      <c r="DS282" s="333" t="e">
        <f>Stock!T1087+"'E4!01w"</f>
        <v>#VALUE!</v>
      </c>
      <c r="DT282" t="e">
        <f>Stock!V1087+"'E4!01x"</f>
        <v>#VALUE!</v>
      </c>
      <c r="DU282" t="e">
        <f>Stock!X1087+"'E4!01y"</f>
        <v>#VALUE!</v>
      </c>
      <c r="DV282" t="e">
        <f>Stock!Y1087+"'E4!01z"</f>
        <v>#VALUE!</v>
      </c>
      <c r="DW282" s="333" t="e">
        <f>Stock!S1088+"'E4!01{"</f>
        <v>#VALUE!</v>
      </c>
      <c r="DX282" s="333" t="e">
        <f>Stock!T1088+"'E4!01|"</f>
        <v>#VALUE!</v>
      </c>
      <c r="DY282" t="e">
        <f>Stock!V1088+"'E4!01}"</f>
        <v>#VALUE!</v>
      </c>
      <c r="DZ282" t="e">
        <f>Stock!X1088+"'E4!01~"</f>
        <v>#VALUE!</v>
      </c>
      <c r="EA282" t="e">
        <f>Stock!Y1088+"'E4!02#"</f>
        <v>#VALUE!</v>
      </c>
      <c r="EB282" s="333" t="e">
        <f>Stock!S1089+"'E4!02$"</f>
        <v>#VALUE!</v>
      </c>
      <c r="EC282" s="333" t="e">
        <f>Stock!T1089+"'E4!02%"</f>
        <v>#VALUE!</v>
      </c>
      <c r="ED282" t="e">
        <f>Stock!V1089+"'E4!02&amp;"</f>
        <v>#VALUE!</v>
      </c>
      <c r="EE282" t="e">
        <f>Stock!X1089+"'E4!02'"</f>
        <v>#VALUE!</v>
      </c>
      <c r="EF282" t="e">
        <f>Stock!Y1089+"'E4!02("</f>
        <v>#VALUE!</v>
      </c>
      <c r="EG282" s="333" t="e">
        <f>Stock!S1090+"'E4!02)"</f>
        <v>#VALUE!</v>
      </c>
      <c r="EH282" s="333" t="e">
        <f>Stock!T1090+"'E4!02."</f>
        <v>#VALUE!</v>
      </c>
      <c r="EI282" t="e">
        <f>Stock!V1090+"'E4!02/"</f>
        <v>#VALUE!</v>
      </c>
      <c r="EJ282" t="e">
        <f>Stock!X1090+"'E4!020"</f>
        <v>#VALUE!</v>
      </c>
      <c r="EK282" t="e">
        <f>Stock!Y1090+"'E4!021"</f>
        <v>#VALUE!</v>
      </c>
      <c r="EL282" s="333" t="e">
        <f>Stock!S1091+"'E4!022"</f>
        <v>#VALUE!</v>
      </c>
      <c r="EM282" s="333" t="e">
        <f>Stock!T1091+"'E4!023"</f>
        <v>#VALUE!</v>
      </c>
      <c r="EN282" t="e">
        <f>Stock!V1091+"'E4!024"</f>
        <v>#VALUE!</v>
      </c>
      <c r="EO282" t="e">
        <f>Stock!X1091+"'E4!025"</f>
        <v>#VALUE!</v>
      </c>
      <c r="EP282" t="e">
        <f>Stock!Y1091+"'E4!026"</f>
        <v>#VALUE!</v>
      </c>
      <c r="EQ282" s="333" t="e">
        <f>Stock!S1092+"'E4!027"</f>
        <v>#VALUE!</v>
      </c>
      <c r="ER282" s="333" t="e">
        <f>Stock!T1092+"'E4!028"</f>
        <v>#VALUE!</v>
      </c>
      <c r="ES282" t="e">
        <f>Stock!V1092+"'E4!029"</f>
        <v>#VALUE!</v>
      </c>
      <c r="ET282" t="e">
        <f>Stock!X1092+"'E4!02:"</f>
        <v>#VALUE!</v>
      </c>
      <c r="EU282" t="e">
        <f>Stock!Y1092+"'E4!02;"</f>
        <v>#VALUE!</v>
      </c>
      <c r="EV282" s="333" t="e">
        <f>Stock!S1093+"'E4!02&lt;"</f>
        <v>#VALUE!</v>
      </c>
      <c r="EW282" s="333" t="e">
        <f>Stock!T1093+"'E4!02="</f>
        <v>#VALUE!</v>
      </c>
      <c r="EX282" t="e">
        <f>Stock!V1093+"'E4!02&gt;"</f>
        <v>#VALUE!</v>
      </c>
      <c r="EY282" t="e">
        <f>Stock!X1093+"'E4!02?"</f>
        <v>#VALUE!</v>
      </c>
      <c r="EZ282" t="e">
        <f>Stock!Y1093+"'E4!02@"</f>
        <v>#VALUE!</v>
      </c>
      <c r="FA282" s="333" t="e">
        <f>Stock!S1094+"'E4!02A"</f>
        <v>#VALUE!</v>
      </c>
      <c r="FB282" s="333" t="e">
        <f>Stock!T1094+"'E4!02B"</f>
        <v>#VALUE!</v>
      </c>
      <c r="FC282" t="e">
        <f>Stock!V1094+"'E4!02C"</f>
        <v>#VALUE!</v>
      </c>
      <c r="FD282" t="e">
        <f>Stock!X1094+"'E4!02D"</f>
        <v>#VALUE!</v>
      </c>
      <c r="FE282" t="e">
        <f>Stock!Y1094+"'E4!02E"</f>
        <v>#VALUE!</v>
      </c>
      <c r="FF282" s="333" t="e">
        <f>Stock!S1095+"'E4!02F"</f>
        <v>#VALUE!</v>
      </c>
      <c r="FG282" s="333" t="e">
        <f>Stock!T1095+"'E4!02G"</f>
        <v>#VALUE!</v>
      </c>
      <c r="FH282" t="e">
        <f>Stock!V1095+"'E4!02H"</f>
        <v>#VALUE!</v>
      </c>
      <c r="FI282" t="e">
        <f>Stock!X1095+"'E4!02I"</f>
        <v>#VALUE!</v>
      </c>
      <c r="FJ282" t="e">
        <f>Stock!Y1095+"'E4!02J"</f>
        <v>#VALUE!</v>
      </c>
      <c r="FK282" s="333" t="e">
        <f>Stock!S1096+"'E4!02K"</f>
        <v>#VALUE!</v>
      </c>
      <c r="FL282" s="333" t="e">
        <f>Stock!T1096+"'E4!02L"</f>
        <v>#VALUE!</v>
      </c>
      <c r="FM282" t="e">
        <f>Stock!V1096+"'E4!02M"</f>
        <v>#VALUE!</v>
      </c>
      <c r="FN282" t="e">
        <f>Stock!X1096+"'E4!02N"</f>
        <v>#VALUE!</v>
      </c>
      <c r="FO282" t="e">
        <f>Stock!Y1096+"'E4!02O"</f>
        <v>#VALUE!</v>
      </c>
      <c r="FP282" s="333" t="e">
        <f>Stock!S1097+"'E4!02P"</f>
        <v>#VALUE!</v>
      </c>
      <c r="FQ282" s="333" t="e">
        <f>Stock!T1097+"'E4!02Q"</f>
        <v>#VALUE!</v>
      </c>
      <c r="FR282" t="e">
        <f>Stock!V1097+"'E4!02R"</f>
        <v>#VALUE!</v>
      </c>
      <c r="FS282" t="e">
        <f>Stock!X1097+"'E4!02S"</f>
        <v>#VALUE!</v>
      </c>
      <c r="FT282" t="e">
        <f>Stock!Y1097+"'E4!02T"</f>
        <v>#VALUE!</v>
      </c>
      <c r="FU282" s="333" t="e">
        <f>Stock!S1098+"'E4!02U"</f>
        <v>#VALUE!</v>
      </c>
      <c r="FV282" s="333" t="e">
        <f>Stock!T1098+"'E4!02V"</f>
        <v>#VALUE!</v>
      </c>
      <c r="FW282" t="e">
        <f>Stock!V1098+"'E4!02W"</f>
        <v>#VALUE!</v>
      </c>
      <c r="FX282" t="e">
        <f>Stock!X1098+"'E4!02X"</f>
        <v>#VALUE!</v>
      </c>
      <c r="FY282" t="e">
        <f>Stock!Y1098+"'E4!02Y"</f>
        <v>#VALUE!</v>
      </c>
      <c r="FZ282" s="333" t="e">
        <f>Stock!S1099+"'E4!02Z"</f>
        <v>#VALUE!</v>
      </c>
      <c r="GA282" s="333" t="e">
        <f>Stock!T1099+"'E4!02["</f>
        <v>#VALUE!</v>
      </c>
      <c r="GB282" t="e">
        <f>Stock!V1099+"'E4!02\"</f>
        <v>#VALUE!</v>
      </c>
      <c r="GC282" t="e">
        <f>Stock!X1099+"'E4!02]"</f>
        <v>#VALUE!</v>
      </c>
      <c r="GD282" t="e">
        <f>Stock!Y1099+"'E4!02^"</f>
        <v>#VALUE!</v>
      </c>
      <c r="GE282" s="333" t="e">
        <f>Stock!S1100+"'E4!02_"</f>
        <v>#VALUE!</v>
      </c>
      <c r="GF282" s="333" t="e">
        <f>Stock!T1100+"'E4!02`"</f>
        <v>#VALUE!</v>
      </c>
      <c r="GG282" t="e">
        <f>Stock!V1100+"'E4!02a"</f>
        <v>#VALUE!</v>
      </c>
      <c r="GH282" t="e">
        <f>Stock!X1100+"'E4!02b"</f>
        <v>#VALUE!</v>
      </c>
      <c r="GI282" t="e">
        <f>Stock!Y1100+"'E4!02c"</f>
        <v>#VALUE!</v>
      </c>
      <c r="GJ282" s="333" t="e">
        <f>Stock!S1101+"'E4!02d"</f>
        <v>#VALUE!</v>
      </c>
      <c r="GK282" s="333" t="e">
        <f>Stock!T1101+"'E4!02e"</f>
        <v>#VALUE!</v>
      </c>
      <c r="GL282" t="e">
        <f>Stock!V1101+"'E4!02f"</f>
        <v>#VALUE!</v>
      </c>
      <c r="GM282" t="e">
        <f>Stock!X1101+"'E4!02g"</f>
        <v>#VALUE!</v>
      </c>
      <c r="GN282" t="e">
        <f>Stock!Y1101+"'E4!02h"</f>
        <v>#VALUE!</v>
      </c>
      <c r="GO282" s="333" t="e">
        <f>Stock!S1102+"'E4!02i"</f>
        <v>#VALUE!</v>
      </c>
      <c r="GP282" s="333" t="e">
        <f>Stock!T1102+"'E4!02j"</f>
        <v>#VALUE!</v>
      </c>
      <c r="GQ282" t="e">
        <f>Stock!V1102+"'E4!02k"</f>
        <v>#VALUE!</v>
      </c>
      <c r="GR282" t="e">
        <f>Stock!X1102+"'E4!02l"</f>
        <v>#VALUE!</v>
      </c>
      <c r="GS282" t="e">
        <f>Stock!Y1102+"'E4!02m"</f>
        <v>#VALUE!</v>
      </c>
      <c r="GT282" s="333" t="e">
        <f>Stock!S1103+"'E4!02n"</f>
        <v>#VALUE!</v>
      </c>
      <c r="GU282" s="333" t="e">
        <f>Stock!T1103+"'E4!02o"</f>
        <v>#VALUE!</v>
      </c>
      <c r="GV282" t="e">
        <f>Stock!V1103+"'E4!02p"</f>
        <v>#VALUE!</v>
      </c>
      <c r="GW282" t="e">
        <f>Stock!X1103+"'E4!02q"</f>
        <v>#VALUE!</v>
      </c>
      <c r="GX282" t="e">
        <f>Stock!Y1103+"'E4!02r"</f>
        <v>#VALUE!</v>
      </c>
      <c r="GY282" s="333" t="e">
        <f>Stock!S1104+"'E4!02s"</f>
        <v>#VALUE!</v>
      </c>
      <c r="GZ282" s="333" t="e">
        <f>Stock!T1104+"'E4!02t"</f>
        <v>#VALUE!</v>
      </c>
      <c r="HA282" t="e">
        <f>Stock!V1104+"'E4!02u"</f>
        <v>#VALUE!</v>
      </c>
      <c r="HB282" t="e">
        <f>Stock!X1104+"'E4!02v"</f>
        <v>#VALUE!</v>
      </c>
      <c r="HC282" t="e">
        <f>Stock!Y1104+"'E4!02w"</f>
        <v>#VALUE!</v>
      </c>
      <c r="HD282" s="333" t="e">
        <f>Stock!S1105+"'E4!02x"</f>
        <v>#VALUE!</v>
      </c>
      <c r="HE282" s="333" t="e">
        <f>Stock!T1105+"'E4!02y"</f>
        <v>#VALUE!</v>
      </c>
      <c r="HF282" t="e">
        <f>Stock!V1105+"'E4!02z"</f>
        <v>#VALUE!</v>
      </c>
      <c r="HG282" t="e">
        <f>Stock!X1105+"'E4!02{"</f>
        <v>#VALUE!</v>
      </c>
      <c r="HH282" t="e">
        <f>Stock!Y1105+"'E4!02|"</f>
        <v>#VALUE!</v>
      </c>
      <c r="HI282" s="333" t="e">
        <f>Stock!S1106+"'E4!02}"</f>
        <v>#VALUE!</v>
      </c>
      <c r="HJ282" s="333" t="e">
        <f>Stock!T1106+"'E4!02~"</f>
        <v>#VALUE!</v>
      </c>
      <c r="HK282" t="e">
        <f>Stock!V1106+"'E4!03#"</f>
        <v>#VALUE!</v>
      </c>
      <c r="HL282" t="e">
        <f>Stock!X1106+"'E4!03$"</f>
        <v>#VALUE!</v>
      </c>
      <c r="HM282" t="e">
        <f>Stock!Y1106+"'E4!03%"</f>
        <v>#VALUE!</v>
      </c>
      <c r="HN282" s="333" t="e">
        <f>Stock!S1107+"'E4!03&amp;"</f>
        <v>#VALUE!</v>
      </c>
      <c r="HO282" s="333" t="e">
        <f>Stock!T1107+"'E4!03'"</f>
        <v>#VALUE!</v>
      </c>
      <c r="HP282" t="e">
        <f>Stock!V1107+"'E4!03("</f>
        <v>#VALUE!</v>
      </c>
      <c r="HQ282" t="e">
        <f>Stock!X1107+"'E4!03)"</f>
        <v>#VALUE!</v>
      </c>
      <c r="HR282" t="e">
        <f>Stock!Y1107+"'E4!03."</f>
        <v>#VALUE!</v>
      </c>
      <c r="HS282" s="333" t="e">
        <f>Stock!S1108+"'E4!03/"</f>
        <v>#VALUE!</v>
      </c>
      <c r="HT282" s="333" t="e">
        <f>Stock!T1108+"'E4!030"</f>
        <v>#VALUE!</v>
      </c>
      <c r="HU282" t="e">
        <f>Stock!V1108+"'E4!031"</f>
        <v>#VALUE!</v>
      </c>
      <c r="HV282" t="e">
        <f>Stock!X1108+"'E4!032"</f>
        <v>#VALUE!</v>
      </c>
      <c r="HW282" t="e">
        <f>Stock!Y1108+"'E4!033"</f>
        <v>#VALUE!</v>
      </c>
      <c r="HX282" s="333" t="e">
        <f>Stock!S1109+"'E4!034"</f>
        <v>#VALUE!</v>
      </c>
      <c r="HY282" s="333" t="e">
        <f>Stock!T1109+"'E4!035"</f>
        <v>#VALUE!</v>
      </c>
      <c r="HZ282" t="e">
        <f>Stock!V1109+"'E4!036"</f>
        <v>#VALUE!</v>
      </c>
      <c r="IA282" t="e">
        <f>Stock!X1109+"'E4!037"</f>
        <v>#VALUE!</v>
      </c>
      <c r="IB282" t="e">
        <f>Stock!Y1109+"'E4!038"</f>
        <v>#VALUE!</v>
      </c>
      <c r="IC282" s="333" t="e">
        <f>Stock!S1110+"'E4!039"</f>
        <v>#VALUE!</v>
      </c>
      <c r="ID282" s="333" t="e">
        <f>Stock!T1110+"'E4!03:"</f>
        <v>#VALUE!</v>
      </c>
      <c r="IE282" t="e">
        <f>Stock!V1110+"'E4!03;"</f>
        <v>#VALUE!</v>
      </c>
      <c r="IF282" t="e">
        <f>Stock!X1110+"'E4!03&lt;"</f>
        <v>#VALUE!</v>
      </c>
      <c r="IG282" t="e">
        <f>Stock!Y1110+"'E4!03="</f>
        <v>#VALUE!</v>
      </c>
      <c r="IH282" s="333" t="e">
        <f>Stock!S1111+"'E4!03&gt;"</f>
        <v>#VALUE!</v>
      </c>
      <c r="II282" s="333" t="e">
        <f>Stock!T1111+"'E4!03?"</f>
        <v>#VALUE!</v>
      </c>
      <c r="IJ282" t="e">
        <f>Stock!V1111+"'E4!03@"</f>
        <v>#VALUE!</v>
      </c>
      <c r="IK282" t="e">
        <f>Stock!X1111+"'E4!03A"</f>
        <v>#VALUE!</v>
      </c>
      <c r="IL282" t="e">
        <f>Stock!Y1111+"'E4!03B"</f>
        <v>#VALUE!</v>
      </c>
      <c r="IM282" s="333" t="e">
        <f>Stock!S1112+"'E4!03C"</f>
        <v>#VALUE!</v>
      </c>
      <c r="IN282" s="333" t="e">
        <f>Stock!T1112+"'E4!03D"</f>
        <v>#VALUE!</v>
      </c>
      <c r="IO282" t="e">
        <f>Stock!V1112+"'E4!03E"</f>
        <v>#VALUE!</v>
      </c>
      <c r="IP282" t="e">
        <f>Stock!X1112+"'E4!03F"</f>
        <v>#VALUE!</v>
      </c>
      <c r="IQ282" t="e">
        <f>Stock!Y1112+"'E4!03G"</f>
        <v>#VALUE!</v>
      </c>
      <c r="IR282" s="333" t="e">
        <f>Stock!S1113+"'E4!03H"</f>
        <v>#VALUE!</v>
      </c>
      <c r="IS282" s="333" t="e">
        <f>Stock!T1113+"'E4!03I"</f>
        <v>#VALUE!</v>
      </c>
      <c r="IT282" t="e">
        <f>Stock!V1113+"'E4!03J"</f>
        <v>#VALUE!</v>
      </c>
      <c r="IU282" t="e">
        <f>Stock!X1113+"'E4!03K"</f>
        <v>#VALUE!</v>
      </c>
      <c r="IV282" t="e">
        <f>Stock!Y1113+"'E4!03L"</f>
        <v>#VALUE!</v>
      </c>
    </row>
    <row r="283" spans="6:256">
      <c r="F283" s="333" t="e">
        <f>Stock!S1114+"'E4!03M"</f>
        <v>#VALUE!</v>
      </c>
      <c r="G283" s="333" t="e">
        <f>Stock!T1114+"'E4!03N"</f>
        <v>#VALUE!</v>
      </c>
      <c r="H283" t="e">
        <f>Stock!V1114+"'E4!03O"</f>
        <v>#VALUE!</v>
      </c>
      <c r="I283" t="e">
        <f>Stock!X1114+"'E4!03P"</f>
        <v>#VALUE!</v>
      </c>
      <c r="J283" t="e">
        <f>Stock!Y1114+"'E4!03Q"</f>
        <v>#VALUE!</v>
      </c>
      <c r="K283" s="333" t="e">
        <f>Stock!S1115+"'E4!03R"</f>
        <v>#VALUE!</v>
      </c>
      <c r="L283" s="333" t="e">
        <f>Stock!T1115+"'E4!03S"</f>
        <v>#VALUE!</v>
      </c>
      <c r="M283" t="e">
        <f>Stock!V1115+"'E4!03T"</f>
        <v>#VALUE!</v>
      </c>
      <c r="N283" t="e">
        <f>Stock!X1115+"'E4!03U"</f>
        <v>#VALUE!</v>
      </c>
      <c r="O283" t="e">
        <f>Stock!Y1115+"'E4!03V"</f>
        <v>#VALUE!</v>
      </c>
      <c r="P283" s="333" t="e">
        <f>Stock!S1116+"'E4!03W"</f>
        <v>#VALUE!</v>
      </c>
      <c r="Q283" s="333" t="e">
        <f>Stock!T1116+"'E4!03X"</f>
        <v>#VALUE!</v>
      </c>
      <c r="R283" t="e">
        <f>Stock!V1116+"'E4!03Y"</f>
        <v>#VALUE!</v>
      </c>
      <c r="S283" t="e">
        <f>Stock!X1116+"'E4!03Z"</f>
        <v>#VALUE!</v>
      </c>
      <c r="T283" t="e">
        <f>Stock!Y1116+"'E4!03["</f>
        <v>#VALUE!</v>
      </c>
      <c r="U283" s="333" t="e">
        <f>Stock!S1117+"'E4!03\"</f>
        <v>#VALUE!</v>
      </c>
      <c r="V283" s="333" t="e">
        <f>Stock!T1117+"'E4!03]"</f>
        <v>#VALUE!</v>
      </c>
      <c r="W283" t="e">
        <f>Stock!V1117+"'E4!03^"</f>
        <v>#VALUE!</v>
      </c>
      <c r="X283" t="e">
        <f>Stock!X1117+"'E4!03_"</f>
        <v>#VALUE!</v>
      </c>
      <c r="Y283" t="e">
        <f>Stock!Y1117+"'E4!03`"</f>
        <v>#VALUE!</v>
      </c>
      <c r="Z283" s="333" t="e">
        <f>Stock!S1118+"'E4!03a"</f>
        <v>#VALUE!</v>
      </c>
      <c r="AA283" s="333" t="e">
        <f>Stock!T1118+"'E4!03b"</f>
        <v>#VALUE!</v>
      </c>
      <c r="AB283" t="e">
        <f>Stock!V1118+"'E4!03c"</f>
        <v>#VALUE!</v>
      </c>
      <c r="AC283" t="e">
        <f>Stock!X1118+"'E4!03d"</f>
        <v>#VALUE!</v>
      </c>
      <c r="AD283" t="e">
        <f>Stock!Y1118+"'E4!03e"</f>
        <v>#VALUE!</v>
      </c>
      <c r="AE283" s="333" t="e">
        <f>Stock!S1119+"'E4!03f"</f>
        <v>#VALUE!</v>
      </c>
      <c r="AF283" s="333" t="e">
        <f>Stock!T1119+"'E4!03g"</f>
        <v>#VALUE!</v>
      </c>
      <c r="AG283" t="e">
        <f>Stock!V1119+"'E4!03h"</f>
        <v>#VALUE!</v>
      </c>
      <c r="AH283" t="e">
        <f>Stock!X1119+"'E4!03i"</f>
        <v>#VALUE!</v>
      </c>
      <c r="AI283" t="e">
        <f>Stock!Y1119+"'E4!03j"</f>
        <v>#VALUE!</v>
      </c>
      <c r="AJ283" s="333" t="e">
        <f>Stock!S1120+"'E4!03k"</f>
        <v>#VALUE!</v>
      </c>
      <c r="AK283" s="333" t="e">
        <f>Stock!T1120+"'E4!03l"</f>
        <v>#VALUE!</v>
      </c>
      <c r="AL283" t="e">
        <f>Stock!V1120+"'E4!03m"</f>
        <v>#VALUE!</v>
      </c>
      <c r="AM283" t="e">
        <f>Stock!X1120+"'E4!03n"</f>
        <v>#VALUE!</v>
      </c>
      <c r="AN283" t="e">
        <f>Stock!Y1120+"'E4!03o"</f>
        <v>#VALUE!</v>
      </c>
      <c r="AO283" s="333" t="e">
        <f>Stock!S1121+"'E4!03p"</f>
        <v>#VALUE!</v>
      </c>
      <c r="AP283" s="333" t="e">
        <f>Stock!T1121+"'E4!03q"</f>
        <v>#VALUE!</v>
      </c>
      <c r="AQ283" t="e">
        <f>Stock!V1121+"'E4!03r"</f>
        <v>#VALUE!</v>
      </c>
      <c r="AR283" t="e">
        <f>Stock!X1121+"'E4!03s"</f>
        <v>#VALUE!</v>
      </c>
      <c r="AS283" t="e">
        <f>Stock!Y1121+"'E4!03t"</f>
        <v>#VALUE!</v>
      </c>
      <c r="AT283" s="333" t="e">
        <f>Stock!S1122+"'E4!03u"</f>
        <v>#VALUE!</v>
      </c>
      <c r="AU283" s="333" t="e">
        <f>Stock!T1122+"'E4!03v"</f>
        <v>#VALUE!</v>
      </c>
      <c r="AV283" t="e">
        <f>Stock!V1122+"'E4!03w"</f>
        <v>#VALUE!</v>
      </c>
      <c r="AW283" t="e">
        <f>Stock!X1122+"'E4!03x"</f>
        <v>#VALUE!</v>
      </c>
      <c r="AX283" t="e">
        <f>Stock!Y1122+"'E4!03y"</f>
        <v>#VALUE!</v>
      </c>
      <c r="AY283" s="333" t="e">
        <f>Stock!S1123+"'E4!03z"</f>
        <v>#VALUE!</v>
      </c>
      <c r="AZ283" s="333" t="e">
        <f>Stock!T1123+"'E4!03{"</f>
        <v>#VALUE!</v>
      </c>
      <c r="BA283" t="e">
        <f>Stock!V1123+"'E4!03|"</f>
        <v>#VALUE!</v>
      </c>
      <c r="BB283" t="e">
        <f>Stock!X1123+"'E4!03}"</f>
        <v>#VALUE!</v>
      </c>
      <c r="BC283" t="e">
        <f>Stock!Y1123+"'E4!03~"</f>
        <v>#VALUE!</v>
      </c>
      <c r="BD283" s="333" t="e">
        <f>Stock!S1124+"'E4!04#"</f>
        <v>#VALUE!</v>
      </c>
      <c r="BE283" s="333" t="e">
        <f>Stock!T1124+"'E4!04$"</f>
        <v>#VALUE!</v>
      </c>
      <c r="BF283" t="e">
        <f>Stock!V1124+"'E4!04%"</f>
        <v>#VALUE!</v>
      </c>
      <c r="BG283" t="e">
        <f>Stock!X1124+"'E4!04&amp;"</f>
        <v>#VALUE!</v>
      </c>
      <c r="BH283" t="e">
        <f>Stock!Y1124+"'E4!04'"</f>
        <v>#VALUE!</v>
      </c>
      <c r="BI283" s="333" t="e">
        <f>Stock!S1125+"'E4!04("</f>
        <v>#VALUE!</v>
      </c>
      <c r="BJ283" s="333" t="e">
        <f>Stock!T1125+"'E4!04)"</f>
        <v>#VALUE!</v>
      </c>
      <c r="BK283" t="e">
        <f>Stock!V1125+"'E4!04."</f>
        <v>#VALUE!</v>
      </c>
      <c r="BL283" t="e">
        <f>Stock!X1125+"'E4!04/"</f>
        <v>#VALUE!</v>
      </c>
      <c r="BM283" t="e">
        <f>Stock!Y1125+"'E4!040"</f>
        <v>#VALUE!</v>
      </c>
      <c r="BN283" s="333" t="e">
        <f>Stock!S1126+"'E4!041"</f>
        <v>#VALUE!</v>
      </c>
      <c r="BO283" s="333" t="e">
        <f>Stock!T1126+"'E4!042"</f>
        <v>#VALUE!</v>
      </c>
      <c r="BP283" t="e">
        <f>Stock!V1126+"'E4!043"</f>
        <v>#VALUE!</v>
      </c>
      <c r="BQ283" t="e">
        <f>Stock!X1126+"'E4!044"</f>
        <v>#VALUE!</v>
      </c>
      <c r="BR283" t="e">
        <f>Stock!Y1126+"'E4!045"</f>
        <v>#VALUE!</v>
      </c>
      <c r="BS283" s="333" t="e">
        <f>Stock!S1127+"'E4!046"</f>
        <v>#VALUE!</v>
      </c>
      <c r="BT283" s="333" t="e">
        <f>Stock!T1127+"'E4!047"</f>
        <v>#VALUE!</v>
      </c>
      <c r="BU283" t="e">
        <f>Stock!V1127+"'E4!048"</f>
        <v>#VALUE!</v>
      </c>
      <c r="BV283" t="e">
        <f>Stock!X1127+"'E4!049"</f>
        <v>#VALUE!</v>
      </c>
      <c r="BW283" t="e">
        <f>Stock!Y1127+"'E4!04:"</f>
        <v>#VALUE!</v>
      </c>
      <c r="BX283" s="333" t="e">
        <f>Stock!S1128+"'E4!04;"</f>
        <v>#VALUE!</v>
      </c>
      <c r="BY283" s="333" t="e">
        <f>Stock!T1128+"'E4!04&lt;"</f>
        <v>#VALUE!</v>
      </c>
      <c r="BZ283" t="e">
        <f>Stock!V1128+"'E4!04="</f>
        <v>#VALUE!</v>
      </c>
      <c r="CA283" t="e">
        <f>Stock!X1128+"'E4!04&gt;"</f>
        <v>#VALUE!</v>
      </c>
      <c r="CB283" t="e">
        <f>Stock!Y1128+"'E4!04?"</f>
        <v>#VALUE!</v>
      </c>
      <c r="CC283" s="333" t="e">
        <f>Stock!S1129+"'E4!04@"</f>
        <v>#VALUE!</v>
      </c>
      <c r="CD283" s="333" t="e">
        <f>Stock!T1129+"'E4!04A"</f>
        <v>#VALUE!</v>
      </c>
      <c r="CE283" t="e">
        <f>Stock!V1129+"'E4!04B"</f>
        <v>#VALUE!</v>
      </c>
      <c r="CF283" t="e">
        <f>Stock!X1129+"'E4!04C"</f>
        <v>#VALUE!</v>
      </c>
      <c r="CG283" t="e">
        <f>Stock!Y1129+"'E4!04D"</f>
        <v>#VALUE!</v>
      </c>
      <c r="CH283" s="333" t="e">
        <f>Stock!S1130+"'E4!04E"</f>
        <v>#VALUE!</v>
      </c>
      <c r="CI283" s="333" t="e">
        <f>Stock!T1130+"'E4!04F"</f>
        <v>#VALUE!</v>
      </c>
      <c r="CJ283" t="e">
        <f>Stock!V1130+"'E4!04G"</f>
        <v>#VALUE!</v>
      </c>
      <c r="CK283" t="e">
        <f>Stock!X1130+"'E4!04H"</f>
        <v>#VALUE!</v>
      </c>
      <c r="CL283" t="e">
        <f>Stock!Y1130+"'E4!04I"</f>
        <v>#VALUE!</v>
      </c>
      <c r="CM283" s="333" t="e">
        <f>Stock!S1131+"'E4!04J"</f>
        <v>#VALUE!</v>
      </c>
      <c r="CN283" s="333" t="e">
        <f>Stock!T1131+"'E4!04K"</f>
        <v>#VALUE!</v>
      </c>
      <c r="CO283" t="e">
        <f>Stock!V1131+"'E4!04L"</f>
        <v>#VALUE!</v>
      </c>
      <c r="CP283" t="e">
        <f>Stock!X1131+"'E4!04M"</f>
        <v>#VALUE!</v>
      </c>
      <c r="CQ283" t="e">
        <f>Stock!Y1131+"'E4!04N"</f>
        <v>#VALUE!</v>
      </c>
      <c r="CR283" s="333" t="e">
        <f>Stock!S1132+"'E4!04O"</f>
        <v>#VALUE!</v>
      </c>
      <c r="CS283" s="333" t="e">
        <f>Stock!T1132+"'E4!04P"</f>
        <v>#VALUE!</v>
      </c>
      <c r="CT283" t="e">
        <f>Stock!V1132+"'E4!04Q"</f>
        <v>#VALUE!</v>
      </c>
      <c r="CU283" t="e">
        <f>Stock!X1132+"'E4!04R"</f>
        <v>#VALUE!</v>
      </c>
      <c r="CV283" t="e">
        <f>Stock!Y1132+"'E4!04S"</f>
        <v>#VALUE!</v>
      </c>
      <c r="CW283" s="333" t="e">
        <f>Stock!S1133+"'E4!04T"</f>
        <v>#VALUE!</v>
      </c>
      <c r="CX283" s="333" t="e">
        <f>Stock!T1133+"'E4!04U"</f>
        <v>#VALUE!</v>
      </c>
      <c r="CY283" t="e">
        <f>Stock!V1133+"'E4!04V"</f>
        <v>#VALUE!</v>
      </c>
      <c r="CZ283" t="e">
        <f>Stock!X1133+"'E4!04W"</f>
        <v>#VALUE!</v>
      </c>
      <c r="DA283" t="e">
        <f>Stock!Y1133+"'E4!04X"</f>
        <v>#VALUE!</v>
      </c>
      <c r="DB283" s="333" t="e">
        <f>Stock!S1134+"'E4!04Y"</f>
        <v>#VALUE!</v>
      </c>
      <c r="DC283" s="333" t="e">
        <f>Stock!T1134+"'E4!04Z"</f>
        <v>#VALUE!</v>
      </c>
      <c r="DD283" t="e">
        <f>Stock!V1134+"'E4!04["</f>
        <v>#VALUE!</v>
      </c>
      <c r="DE283" t="e">
        <f>Stock!X1134+"'E4!04\"</f>
        <v>#VALUE!</v>
      </c>
      <c r="DF283" t="e">
        <f>Stock!Y1134+"'E4!04]"</f>
        <v>#VALUE!</v>
      </c>
      <c r="DG283" s="333" t="e">
        <f>Stock!S1135+"'E4!04^"</f>
        <v>#VALUE!</v>
      </c>
      <c r="DH283" s="333" t="e">
        <f>Stock!T1135+"'E4!04_"</f>
        <v>#VALUE!</v>
      </c>
      <c r="DI283" t="e">
        <f>Stock!V1135+"'E4!04`"</f>
        <v>#VALUE!</v>
      </c>
      <c r="DJ283" t="e">
        <f>Stock!X1135+"'E4!04a"</f>
        <v>#VALUE!</v>
      </c>
      <c r="DK283" t="e">
        <f>Stock!Y1135+"'E4!04b"</f>
        <v>#VALUE!</v>
      </c>
      <c r="DL283" s="333" t="e">
        <f>Stock!S1136+"'E4!04c"</f>
        <v>#VALUE!</v>
      </c>
      <c r="DM283" s="333" t="e">
        <f>Stock!T1136+"'E4!04d"</f>
        <v>#VALUE!</v>
      </c>
      <c r="DN283" t="e">
        <f>Stock!V1136+"'E4!04e"</f>
        <v>#VALUE!</v>
      </c>
      <c r="DO283" t="e">
        <f>Stock!X1136+"'E4!04f"</f>
        <v>#VALUE!</v>
      </c>
      <c r="DP283" t="e">
        <f>Stock!Y1136+"'E4!04g"</f>
        <v>#VALUE!</v>
      </c>
      <c r="DQ283" s="333" t="e">
        <f>Stock!S1137+"'E4!04h"</f>
        <v>#VALUE!</v>
      </c>
      <c r="DR283" s="333" t="e">
        <f>Stock!T1137+"'E4!04i"</f>
        <v>#VALUE!</v>
      </c>
      <c r="DS283" t="e">
        <f>Stock!V1137+"'E4!04j"</f>
        <v>#VALUE!</v>
      </c>
      <c r="DT283" t="e">
        <f>Stock!X1137+"'E4!04k"</f>
        <v>#VALUE!</v>
      </c>
      <c r="DU283" t="e">
        <f>Stock!Y1137+"'E4!04l"</f>
        <v>#VALUE!</v>
      </c>
      <c r="DV283" s="333" t="e">
        <f>Stock!S1138+"'E4!04m"</f>
        <v>#VALUE!</v>
      </c>
      <c r="DW283" s="333" t="e">
        <f>Stock!T1138+"'E4!04n"</f>
        <v>#VALUE!</v>
      </c>
      <c r="DX283" t="e">
        <f>Stock!V1138+"'E4!04o"</f>
        <v>#VALUE!</v>
      </c>
      <c r="DY283" t="e">
        <f>Stock!X1138+"'E4!04p"</f>
        <v>#VALUE!</v>
      </c>
      <c r="DZ283" t="e">
        <f>Stock!Y1138+"'E4!04q"</f>
        <v>#VALUE!</v>
      </c>
      <c r="EA283" s="333" t="e">
        <f>Stock!S1139+"'E4!04r"</f>
        <v>#VALUE!</v>
      </c>
      <c r="EB283" s="333" t="e">
        <f>Stock!T1139+"'E4!04s"</f>
        <v>#VALUE!</v>
      </c>
      <c r="EC283" t="e">
        <f>Stock!V1139+"'E4!04t"</f>
        <v>#VALUE!</v>
      </c>
      <c r="ED283" t="e">
        <f>Stock!X1139+"'E4!04u"</f>
        <v>#VALUE!</v>
      </c>
      <c r="EE283" t="e">
        <f>Stock!Y1139+"'E4!04v"</f>
        <v>#VALUE!</v>
      </c>
      <c r="EF283" s="333" t="e">
        <f>Stock!S1140+"'E4!04w"</f>
        <v>#VALUE!</v>
      </c>
      <c r="EG283" s="333" t="e">
        <f>Stock!T1140+"'E4!04x"</f>
        <v>#VALUE!</v>
      </c>
      <c r="EH283" t="e">
        <f>Stock!V1140+"'E4!04y"</f>
        <v>#VALUE!</v>
      </c>
      <c r="EI283" t="e">
        <f>Stock!X1140+"'E4!04z"</f>
        <v>#VALUE!</v>
      </c>
      <c r="EJ283" t="e">
        <f>Stock!Y1140+"'E4!04{"</f>
        <v>#VALUE!</v>
      </c>
      <c r="EK283" s="333" t="e">
        <f>Stock!S1141+"'E4!04|"</f>
        <v>#VALUE!</v>
      </c>
      <c r="EL283" s="333" t="e">
        <f>Stock!T1141+"'E4!04}"</f>
        <v>#VALUE!</v>
      </c>
      <c r="EM283" t="e">
        <f>Stock!V1141+"'E4!04~"</f>
        <v>#VALUE!</v>
      </c>
      <c r="EN283" t="e">
        <f>Stock!X1141+"'E4!05#"</f>
        <v>#VALUE!</v>
      </c>
      <c r="EO283" t="e">
        <f>Stock!Y1141+"'E4!05$"</f>
        <v>#VALUE!</v>
      </c>
      <c r="EP283" s="333" t="e">
        <f>Stock!S1142+"'E4!05%"</f>
        <v>#VALUE!</v>
      </c>
      <c r="EQ283" s="333" t="e">
        <f>Stock!T1142+"'E4!05&amp;"</f>
        <v>#VALUE!</v>
      </c>
      <c r="ER283" t="e">
        <f>Stock!V1142+"'E4!05'"</f>
        <v>#VALUE!</v>
      </c>
      <c r="ES283" t="e">
        <f>Stock!X1142+"'E4!05("</f>
        <v>#VALUE!</v>
      </c>
      <c r="ET283" t="e">
        <f>Stock!Y1142+"'E4!05)"</f>
        <v>#VALUE!</v>
      </c>
      <c r="EU283" s="333" t="e">
        <f>Stock!S1143+"'E4!05."</f>
        <v>#VALUE!</v>
      </c>
      <c r="EV283" s="333" t="e">
        <f>Stock!T1143+"'E4!05/"</f>
        <v>#VALUE!</v>
      </c>
      <c r="EW283" t="e">
        <f>Stock!V1143+"'E4!050"</f>
        <v>#VALUE!</v>
      </c>
      <c r="EX283" t="e">
        <f>Stock!X1143+"'E4!051"</f>
        <v>#VALUE!</v>
      </c>
      <c r="EY283" t="e">
        <f>Stock!Y1143+"'E4!052"</f>
        <v>#VALUE!</v>
      </c>
      <c r="EZ283" s="333" t="e">
        <f>Stock!S1144+"'E4!053"</f>
        <v>#VALUE!</v>
      </c>
      <c r="FA283" s="333" t="e">
        <f>Stock!T1144+"'E4!054"</f>
        <v>#VALUE!</v>
      </c>
      <c r="FB283" t="e">
        <f>Stock!V1144+"'E4!055"</f>
        <v>#VALUE!</v>
      </c>
      <c r="FC283" t="e">
        <f>Stock!X1144+"'E4!056"</f>
        <v>#VALUE!</v>
      </c>
      <c r="FD283" t="e">
        <f>Stock!Y1144+"'E4!057"</f>
        <v>#VALUE!</v>
      </c>
      <c r="FE283" s="333" t="e">
        <f>Stock!S1145+"'E4!058"</f>
        <v>#VALUE!</v>
      </c>
      <c r="FF283" s="333" t="e">
        <f>Stock!T1145+"'E4!059"</f>
        <v>#VALUE!</v>
      </c>
      <c r="FG283" t="e">
        <f>Stock!V1145+"'E4!05:"</f>
        <v>#VALUE!</v>
      </c>
      <c r="FH283" t="e">
        <f>Stock!X1145+"'E4!05;"</f>
        <v>#VALUE!</v>
      </c>
      <c r="FI283" t="e">
        <f>Stock!Y1145+"'E4!05&lt;"</f>
        <v>#VALUE!</v>
      </c>
      <c r="FJ283" s="333" t="e">
        <f>Stock!S1146+"'E4!05="</f>
        <v>#VALUE!</v>
      </c>
      <c r="FK283" s="333" t="e">
        <f>Stock!T1146+"'E4!05&gt;"</f>
        <v>#VALUE!</v>
      </c>
      <c r="FL283" t="e">
        <f>Stock!V1146+"'E4!05?"</f>
        <v>#VALUE!</v>
      </c>
      <c r="FM283" t="e">
        <f>Stock!X1146+"'E4!05@"</f>
        <v>#VALUE!</v>
      </c>
      <c r="FN283" t="e">
        <f>Stock!Y1146+"'E4!05A"</f>
        <v>#VALUE!</v>
      </c>
      <c r="FO283" s="333" t="e">
        <f>Stock!S1147+"'E4!05B"</f>
        <v>#VALUE!</v>
      </c>
      <c r="FP283" s="333" t="e">
        <f>Stock!T1147+"'E4!05C"</f>
        <v>#VALUE!</v>
      </c>
      <c r="FQ283" t="e">
        <f>Stock!V1147+"'E4!05D"</f>
        <v>#VALUE!</v>
      </c>
      <c r="FR283" t="e">
        <f>Stock!X1147+"'E4!05E"</f>
        <v>#VALUE!</v>
      </c>
      <c r="FS283" t="e">
        <f>Stock!Y1147+"'E4!05F"</f>
        <v>#VALUE!</v>
      </c>
      <c r="FT283" s="333" t="e">
        <f>Stock!S1148+"'E4!05G"</f>
        <v>#VALUE!</v>
      </c>
      <c r="FU283" s="333" t="e">
        <f>Stock!T1148+"'E4!05H"</f>
        <v>#VALUE!</v>
      </c>
      <c r="FV283" t="e">
        <f>Stock!V1148+"'E4!05I"</f>
        <v>#VALUE!</v>
      </c>
      <c r="FW283" t="e">
        <f>Stock!X1148+"'E4!05J"</f>
        <v>#VALUE!</v>
      </c>
      <c r="FX283" t="e">
        <f>Stock!Y1148+"'E4!05K"</f>
        <v>#VALUE!</v>
      </c>
      <c r="FY283" s="333" t="e">
        <f>Stock!S1149+"'E4!05L"</f>
        <v>#VALUE!</v>
      </c>
      <c r="FZ283" s="333" t="e">
        <f>Stock!T1149+"'E4!05M"</f>
        <v>#VALUE!</v>
      </c>
      <c r="GA283" t="e">
        <f>Stock!V1149+"'E4!05N"</f>
        <v>#VALUE!</v>
      </c>
      <c r="GB283" t="e">
        <f>Stock!X1149+"'E4!05O"</f>
        <v>#VALUE!</v>
      </c>
      <c r="GC283" t="e">
        <f>Stock!Y1149+"'E4!05P"</f>
        <v>#VALUE!</v>
      </c>
      <c r="GD283" s="333" t="e">
        <f>Stock!S1150+"'E4!05Q"</f>
        <v>#VALUE!</v>
      </c>
      <c r="GE283" s="333" t="e">
        <f>Stock!T1150+"'E4!05R"</f>
        <v>#VALUE!</v>
      </c>
      <c r="GF283" t="e">
        <f>Stock!V1150+"'E4!05S"</f>
        <v>#VALUE!</v>
      </c>
      <c r="GG283" t="e">
        <f>Stock!X1150+"'E4!05T"</f>
        <v>#VALUE!</v>
      </c>
      <c r="GH283" t="e">
        <f>Stock!Y1150+"'E4!05U"</f>
        <v>#VALUE!</v>
      </c>
      <c r="GI283" s="333" t="e">
        <f>Stock!S1151+"'E4!05V"</f>
        <v>#VALUE!</v>
      </c>
      <c r="GJ283" s="333" t="e">
        <f>Stock!T1151+"'E4!05W"</f>
        <v>#VALUE!</v>
      </c>
      <c r="GK283" t="e">
        <f>Stock!V1151+"'E4!05X"</f>
        <v>#VALUE!</v>
      </c>
      <c r="GL283" t="e">
        <f>Stock!X1151+"'E4!05Y"</f>
        <v>#VALUE!</v>
      </c>
      <c r="GM283" t="e">
        <f>Stock!Y1151+"'E4!05Z"</f>
        <v>#VALUE!</v>
      </c>
      <c r="GN283" s="333" t="e">
        <f>Stock!S1152+"'E4!05["</f>
        <v>#VALUE!</v>
      </c>
      <c r="GO283" s="333" t="e">
        <f>Stock!T1152+"'E4!05\"</f>
        <v>#VALUE!</v>
      </c>
      <c r="GP283" t="e">
        <f>Stock!V1152+"'E4!05]"</f>
        <v>#VALUE!</v>
      </c>
      <c r="GQ283" t="e">
        <f>Stock!X1152+"'E4!05^"</f>
        <v>#VALUE!</v>
      </c>
      <c r="GR283" t="e">
        <f>Stock!Y1152+"'E4!05_"</f>
        <v>#VALUE!</v>
      </c>
      <c r="GS283" s="333" t="e">
        <f>Stock!S1153+"'E4!05`"</f>
        <v>#VALUE!</v>
      </c>
      <c r="GT283" s="333" t="e">
        <f>Stock!T1153+"'E4!05a"</f>
        <v>#VALUE!</v>
      </c>
      <c r="GU283" t="e">
        <f>Stock!V1153+"'E4!05b"</f>
        <v>#VALUE!</v>
      </c>
      <c r="GV283" t="e">
        <f>Stock!X1153+"'E4!05c"</f>
        <v>#VALUE!</v>
      </c>
      <c r="GW283" t="e">
        <f>Stock!Y1153+"'E4!05d"</f>
        <v>#VALUE!</v>
      </c>
      <c r="GX283" s="333" t="e">
        <f>Stock!S1154+"'E4!05e"</f>
        <v>#VALUE!</v>
      </c>
      <c r="GY283" s="333" t="e">
        <f>Stock!T1154+"'E4!05f"</f>
        <v>#VALUE!</v>
      </c>
      <c r="GZ283" t="e">
        <f>Stock!V1154+"'E4!05g"</f>
        <v>#VALUE!</v>
      </c>
      <c r="HA283" t="e">
        <f>Stock!X1154+"'E4!05h"</f>
        <v>#VALUE!</v>
      </c>
      <c r="HB283" t="e">
        <f>Stock!Y1154+"'E4!05i"</f>
        <v>#VALUE!</v>
      </c>
      <c r="HC283" s="333" t="e">
        <f>Stock!S1155+"'E4!05j"</f>
        <v>#VALUE!</v>
      </c>
      <c r="HD283" s="333" t="e">
        <f>Stock!T1155+"'E4!05k"</f>
        <v>#VALUE!</v>
      </c>
      <c r="HE283" t="e">
        <f>Stock!V1155+"'E4!05l"</f>
        <v>#VALUE!</v>
      </c>
      <c r="HF283" t="e">
        <f>Stock!X1155+"'E4!05m"</f>
        <v>#VALUE!</v>
      </c>
      <c r="HG283" t="e">
        <f>Stock!Y1155+"'E4!05n"</f>
        <v>#VALUE!</v>
      </c>
      <c r="HH283" s="333" t="e">
        <f>Stock!S1156+"'E4!05o"</f>
        <v>#VALUE!</v>
      </c>
      <c r="HI283" s="333" t="e">
        <f>Stock!T1156+"'E4!05p"</f>
        <v>#VALUE!</v>
      </c>
      <c r="HJ283" t="e">
        <f>Stock!V1156+"'E4!05q"</f>
        <v>#VALUE!</v>
      </c>
      <c r="HK283" t="e">
        <f>Stock!X1156+"'E4!05r"</f>
        <v>#VALUE!</v>
      </c>
      <c r="HL283" t="e">
        <f>Stock!Y1156+"'E4!05s"</f>
        <v>#VALUE!</v>
      </c>
      <c r="HM283" s="333" t="e">
        <f>Stock!S1157+"'E4!05t"</f>
        <v>#VALUE!</v>
      </c>
      <c r="HN283" s="333" t="e">
        <f>Stock!T1157+"'E4!05u"</f>
        <v>#VALUE!</v>
      </c>
      <c r="HO283" t="e">
        <f>Stock!V1157+"'E4!05v"</f>
        <v>#VALUE!</v>
      </c>
      <c r="HP283" t="e">
        <f>Stock!X1157+"'E4!05w"</f>
        <v>#VALUE!</v>
      </c>
      <c r="HQ283" t="e">
        <f>Stock!Y1157+"'E4!05x"</f>
        <v>#VALUE!</v>
      </c>
      <c r="HR283" s="333" t="e">
        <f>Stock!S1158+"'E4!05y"</f>
        <v>#VALUE!</v>
      </c>
      <c r="HS283" s="333" t="e">
        <f>Stock!T1158+"'E4!05z"</f>
        <v>#VALUE!</v>
      </c>
      <c r="HT283" t="e">
        <f>Stock!V1158+"'E4!05{"</f>
        <v>#VALUE!</v>
      </c>
      <c r="HU283" t="e">
        <f>Stock!X1158+"'E4!05|"</f>
        <v>#VALUE!</v>
      </c>
      <c r="HV283" t="e">
        <f>Stock!Y1158+"'E4!05}"</f>
        <v>#VALUE!</v>
      </c>
      <c r="HW283" s="333" t="e">
        <f>Stock!S1159+"'E4!05~"</f>
        <v>#VALUE!</v>
      </c>
      <c r="HX283" s="333" t="e">
        <f>Stock!T1159+"'E4!06#"</f>
        <v>#VALUE!</v>
      </c>
      <c r="HY283" t="e">
        <f>Stock!V1159+"'E4!06$"</f>
        <v>#VALUE!</v>
      </c>
      <c r="HZ283" t="e">
        <f>Stock!X1159+"'E4!06%"</f>
        <v>#VALUE!</v>
      </c>
      <c r="IA283" t="e">
        <f>Stock!Y1159+"'E4!06&amp;"</f>
        <v>#VALUE!</v>
      </c>
      <c r="IB283" s="333" t="e">
        <f>Stock!S1160+"'E4!06'"</f>
        <v>#VALUE!</v>
      </c>
      <c r="IC283" s="333" t="e">
        <f>Stock!T1160+"'E4!06("</f>
        <v>#VALUE!</v>
      </c>
      <c r="ID283" t="e">
        <f>Stock!V1160+"'E4!06)"</f>
        <v>#VALUE!</v>
      </c>
      <c r="IE283" t="e">
        <f>Stock!X1160+"'E4!06."</f>
        <v>#VALUE!</v>
      </c>
      <c r="IF283" t="e">
        <f>Stock!Y1160+"'E4!06/"</f>
        <v>#VALUE!</v>
      </c>
      <c r="IG283" s="333" t="e">
        <f>Stock!S1161+"'E4!060"</f>
        <v>#VALUE!</v>
      </c>
      <c r="IH283" s="333" t="e">
        <f>Stock!T1161+"'E4!061"</f>
        <v>#VALUE!</v>
      </c>
      <c r="II283" t="e">
        <f>Stock!V1161+"'E4!062"</f>
        <v>#VALUE!</v>
      </c>
      <c r="IJ283" t="e">
        <f>Stock!X1161+"'E4!063"</f>
        <v>#VALUE!</v>
      </c>
      <c r="IK283" t="e">
        <f>Stock!Y1161+"'E4!064"</f>
        <v>#VALUE!</v>
      </c>
      <c r="IL283" s="333" t="e">
        <f>Stock!S1162+"'E4!065"</f>
        <v>#VALUE!</v>
      </c>
      <c r="IM283" s="333" t="e">
        <f>Stock!T1162+"'E4!066"</f>
        <v>#VALUE!</v>
      </c>
      <c r="IN283" t="e">
        <f>Stock!V1162+"'E4!067"</f>
        <v>#VALUE!</v>
      </c>
      <c r="IO283" t="e">
        <f>Stock!X1162+"'E4!068"</f>
        <v>#VALUE!</v>
      </c>
      <c r="IP283" t="e">
        <f>Stock!Y1162+"'E4!069"</f>
        <v>#VALUE!</v>
      </c>
      <c r="IQ283" s="333" t="e">
        <f>Stock!S1163+"'E4!06:"</f>
        <v>#VALUE!</v>
      </c>
      <c r="IR283" s="333" t="e">
        <f>Stock!T1163+"'E4!06;"</f>
        <v>#VALUE!</v>
      </c>
      <c r="IS283" t="e">
        <f>Stock!V1163+"'E4!06&lt;"</f>
        <v>#VALUE!</v>
      </c>
      <c r="IT283" t="e">
        <f>Stock!X1163+"'E4!06="</f>
        <v>#VALUE!</v>
      </c>
      <c r="IU283" t="e">
        <f>Stock!Y1163+"'E4!06&gt;"</f>
        <v>#VALUE!</v>
      </c>
      <c r="IV283" s="333" t="e">
        <f>Stock!S1164+"'E4!06?"</f>
        <v>#VALUE!</v>
      </c>
    </row>
    <row r="284" spans="6:256">
      <c r="F284" s="333" t="e">
        <f>Stock!T1164+"'E4!06@"</f>
        <v>#VALUE!</v>
      </c>
      <c r="G284" t="e">
        <f>Stock!V1164+"'E4!06A"</f>
        <v>#VALUE!</v>
      </c>
      <c r="H284" t="e">
        <f>Stock!X1164+"'E4!06B"</f>
        <v>#VALUE!</v>
      </c>
      <c r="I284" t="e">
        <f>Stock!Y1164+"'E4!06C"</f>
        <v>#VALUE!</v>
      </c>
      <c r="J284" s="333" t="e">
        <f>Stock!S1165+"'E4!06D"</f>
        <v>#VALUE!</v>
      </c>
      <c r="K284" s="333" t="e">
        <f>Stock!T1165+"'E4!06E"</f>
        <v>#VALUE!</v>
      </c>
      <c r="L284" t="e">
        <f>Stock!V1165+"'E4!06F"</f>
        <v>#VALUE!</v>
      </c>
      <c r="M284" t="e">
        <f>Stock!X1165+"'E4!06G"</f>
        <v>#VALUE!</v>
      </c>
      <c r="N284" t="e">
        <f>Stock!Y1165+"'E4!06H"</f>
        <v>#VALUE!</v>
      </c>
      <c r="O284" s="333" t="e">
        <f>Stock!S1166+"'E4!06I"</f>
        <v>#VALUE!</v>
      </c>
      <c r="P284" s="333" t="e">
        <f>Stock!T1166+"'E4!06J"</f>
        <v>#VALUE!</v>
      </c>
      <c r="Q284" t="e">
        <f>Stock!V1166+"'E4!06K"</f>
        <v>#VALUE!</v>
      </c>
      <c r="R284" t="e">
        <f>Stock!X1166+"'E4!06L"</f>
        <v>#VALUE!</v>
      </c>
      <c r="S284" t="e">
        <f>Stock!Y1166+"'E4!06M"</f>
        <v>#VALUE!</v>
      </c>
      <c r="T284" s="333" t="e">
        <f>Stock!S1167+"'E4!06N"</f>
        <v>#VALUE!</v>
      </c>
      <c r="U284" s="333" t="e">
        <f>Stock!T1167+"'E4!06O"</f>
        <v>#VALUE!</v>
      </c>
      <c r="V284" t="e">
        <f>Stock!V1167+"'E4!06P"</f>
        <v>#VALUE!</v>
      </c>
      <c r="W284" t="e">
        <f>Stock!X1167+"'E4!06Q"</f>
        <v>#VALUE!</v>
      </c>
      <c r="X284" t="e">
        <f>Stock!Y1167+"'E4!06R"</f>
        <v>#VALUE!</v>
      </c>
      <c r="Y284" s="333" t="e">
        <f>Stock!S1168+"'E4!06S"</f>
        <v>#VALUE!</v>
      </c>
      <c r="Z284" s="333" t="e">
        <f>Stock!T1168+"'E4!06T"</f>
        <v>#VALUE!</v>
      </c>
      <c r="AA284" t="e">
        <f>Stock!V1168+"'E4!06U"</f>
        <v>#VALUE!</v>
      </c>
      <c r="AB284" t="e">
        <f>Stock!X1168+"'E4!06V"</f>
        <v>#VALUE!</v>
      </c>
      <c r="AC284" t="e">
        <f>Stock!Y1168+"'E4!06W"</f>
        <v>#VALUE!</v>
      </c>
      <c r="AD284" s="333" t="e">
        <f>Stock!S1169+"'E4!06X"</f>
        <v>#VALUE!</v>
      </c>
      <c r="AE284" s="333" t="e">
        <f>Stock!T1169+"'E4!06Y"</f>
        <v>#VALUE!</v>
      </c>
      <c r="AF284" t="e">
        <f>Stock!V1169+"'E4!06Z"</f>
        <v>#VALUE!</v>
      </c>
      <c r="AG284" t="e">
        <f>Stock!X1169+"'E4!06["</f>
        <v>#VALUE!</v>
      </c>
      <c r="AH284" t="e">
        <f>Stock!Y1169+"'E4!06\"</f>
        <v>#VALUE!</v>
      </c>
      <c r="AI284" s="333" t="e">
        <f>Stock!S1170+"'E4!06]"</f>
        <v>#VALUE!</v>
      </c>
      <c r="AJ284" s="333" t="e">
        <f>Stock!T1170+"'E4!06^"</f>
        <v>#VALUE!</v>
      </c>
      <c r="AK284" t="e">
        <f>Stock!V1170+"'E4!06_"</f>
        <v>#VALUE!</v>
      </c>
      <c r="AL284" t="e">
        <f>Stock!X1170+"'E4!06`"</f>
        <v>#VALUE!</v>
      </c>
      <c r="AM284" t="e">
        <f>Stock!Y1170+"'E4!06a"</f>
        <v>#VALUE!</v>
      </c>
      <c r="AN284" s="333" t="e">
        <f>Stock!S1171+"'E4!06b"</f>
        <v>#VALUE!</v>
      </c>
      <c r="AO284" s="333" t="e">
        <f>Stock!T1171+"'E4!06c"</f>
        <v>#VALUE!</v>
      </c>
      <c r="AP284" t="e">
        <f>Stock!V1171+"'E4!06d"</f>
        <v>#VALUE!</v>
      </c>
      <c r="AQ284" t="e">
        <f>Stock!X1171+"'E4!06e"</f>
        <v>#VALUE!</v>
      </c>
      <c r="AR284" t="e">
        <f>Stock!Y1171+"'E4!06f"</f>
        <v>#VALUE!</v>
      </c>
      <c r="AS284" s="333" t="e">
        <f>Stock!S1172+"'E4!06g"</f>
        <v>#VALUE!</v>
      </c>
      <c r="AT284" s="333" t="e">
        <f>Stock!T1172+"'E4!06h"</f>
        <v>#VALUE!</v>
      </c>
      <c r="AU284" t="e">
        <f>Stock!V1172+"'E4!06i"</f>
        <v>#VALUE!</v>
      </c>
      <c r="AV284" t="e">
        <f>Stock!X1172+"'E4!06j"</f>
        <v>#VALUE!</v>
      </c>
      <c r="AW284" t="e">
        <f>Stock!Y1172+"'E4!06k"</f>
        <v>#VALUE!</v>
      </c>
      <c r="AX284" s="333" t="e">
        <f>Stock!S1173+"'E4!06l"</f>
        <v>#VALUE!</v>
      </c>
      <c r="AY284" s="333" t="e">
        <f>Stock!T1173+"'E4!06m"</f>
        <v>#VALUE!</v>
      </c>
      <c r="AZ284" t="e">
        <f>Stock!V1173+"'E4!06n"</f>
        <v>#VALUE!</v>
      </c>
      <c r="BA284" t="e">
        <f>Stock!X1173+"'E4!06o"</f>
        <v>#VALUE!</v>
      </c>
      <c r="BB284" t="e">
        <f>Stock!Y1173+"'E4!06p"</f>
        <v>#VALUE!</v>
      </c>
      <c r="BC284" s="333" t="e">
        <f>Stock!S1174+"'E4!06q"</f>
        <v>#VALUE!</v>
      </c>
      <c r="BD284" s="333" t="e">
        <f>Stock!T1174+"'E4!06r"</f>
        <v>#VALUE!</v>
      </c>
      <c r="BE284" t="e">
        <f>Stock!V1174+"'E4!06s"</f>
        <v>#VALUE!</v>
      </c>
      <c r="BF284" t="e">
        <f>Stock!X1174+"'E4!06t"</f>
        <v>#VALUE!</v>
      </c>
      <c r="BG284" t="e">
        <f>Stock!Y1174+"'E4!06u"</f>
        <v>#VALUE!</v>
      </c>
      <c r="BH284" s="333" t="e">
        <f>Stock!S1175+"'E4!06v"</f>
        <v>#VALUE!</v>
      </c>
      <c r="BI284" s="333" t="e">
        <f>Stock!T1175+"'E4!06w"</f>
        <v>#VALUE!</v>
      </c>
      <c r="BJ284" t="e">
        <f>Stock!V1175+"'E4!06x"</f>
        <v>#VALUE!</v>
      </c>
      <c r="BK284" t="e">
        <f>Stock!X1175+"'E4!06y"</f>
        <v>#VALUE!</v>
      </c>
      <c r="BL284" t="e">
        <f>Stock!Y1175+"'E4!06z"</f>
        <v>#VALUE!</v>
      </c>
      <c r="BM284" s="333" t="e">
        <f>Stock!S1176+"'E4!06{"</f>
        <v>#VALUE!</v>
      </c>
      <c r="BN284" s="333" t="e">
        <f>Stock!T1176+"'E4!06|"</f>
        <v>#VALUE!</v>
      </c>
      <c r="BO284" t="e">
        <f>Stock!V1176+"'E4!06}"</f>
        <v>#VALUE!</v>
      </c>
      <c r="BP284" t="e">
        <f>Stock!X1176+"'E4!06~"</f>
        <v>#VALUE!</v>
      </c>
      <c r="BQ284" t="e">
        <f>Stock!Y1176+"'E4!07#"</f>
        <v>#VALUE!</v>
      </c>
      <c r="BR284" s="333" t="e">
        <f>Stock!S1177+"'E4!07$"</f>
        <v>#VALUE!</v>
      </c>
      <c r="BS284" s="333" t="e">
        <f>Stock!T1177+"'E4!07%"</f>
        <v>#VALUE!</v>
      </c>
      <c r="BT284" t="e">
        <f>Stock!V1177+"'E4!07&amp;"</f>
        <v>#VALUE!</v>
      </c>
      <c r="BU284" t="e">
        <f>Stock!X1177+"'E4!07'"</f>
        <v>#VALUE!</v>
      </c>
      <c r="BV284" t="e">
        <f>Stock!Y1177+"'E4!07("</f>
        <v>#VALUE!</v>
      </c>
      <c r="BW284" s="333" t="e">
        <f>Stock!S1178+"'E4!07)"</f>
        <v>#VALUE!</v>
      </c>
      <c r="BX284" s="333" t="e">
        <f>Stock!T1178+"'E4!07."</f>
        <v>#VALUE!</v>
      </c>
      <c r="BY284" t="e">
        <f>Stock!V1178+"'E4!07/"</f>
        <v>#VALUE!</v>
      </c>
      <c r="BZ284" t="e">
        <f>Stock!X1178+"'E4!070"</f>
        <v>#VALUE!</v>
      </c>
      <c r="CA284" t="e">
        <f>Stock!Y1178+"'E4!071"</f>
        <v>#VALUE!</v>
      </c>
      <c r="CB284" s="333" t="e">
        <f>Stock!S1179+"'E4!072"</f>
        <v>#VALUE!</v>
      </c>
      <c r="CC284" s="333" t="e">
        <f>Stock!T1179+"'E4!073"</f>
        <v>#VALUE!</v>
      </c>
      <c r="CD284" t="e">
        <f>Stock!V1179+"'E4!074"</f>
        <v>#VALUE!</v>
      </c>
      <c r="CE284" t="e">
        <f>Stock!X1179+"'E4!075"</f>
        <v>#VALUE!</v>
      </c>
      <c r="CF284" t="e">
        <f>Stock!Y1179+"'E4!076"</f>
        <v>#VALUE!</v>
      </c>
      <c r="CG284" s="333" t="e">
        <f>Stock!S1180+"'E4!077"</f>
        <v>#VALUE!</v>
      </c>
      <c r="CH284" s="333" t="e">
        <f>Stock!T1180+"'E4!078"</f>
        <v>#VALUE!</v>
      </c>
      <c r="CI284" t="e">
        <f>Stock!V1180+"'E4!079"</f>
        <v>#VALUE!</v>
      </c>
      <c r="CJ284" t="e">
        <f>Stock!X1180+"'E4!07:"</f>
        <v>#VALUE!</v>
      </c>
      <c r="CK284" t="e">
        <f>Stock!Y1180+"'E4!07;"</f>
        <v>#VALUE!</v>
      </c>
      <c r="CL284" s="333" t="e">
        <f>Stock!S1181+"'E4!07&lt;"</f>
        <v>#VALUE!</v>
      </c>
      <c r="CM284" s="333" t="e">
        <f>Stock!T1181+"'E4!07="</f>
        <v>#VALUE!</v>
      </c>
      <c r="CN284" t="e">
        <f>Stock!V1181+"'E4!07&gt;"</f>
        <v>#VALUE!</v>
      </c>
      <c r="CO284" t="e">
        <f>Stock!X1181+"'E4!07?"</f>
        <v>#VALUE!</v>
      </c>
      <c r="CP284" t="e">
        <f>Stock!Y1181+"'E4!07@"</f>
        <v>#VALUE!</v>
      </c>
      <c r="CQ284" s="333" t="e">
        <f>Stock!S1182+"'E4!07A"</f>
        <v>#VALUE!</v>
      </c>
      <c r="CR284" s="333" t="e">
        <f>Stock!T1182+"'E4!07B"</f>
        <v>#VALUE!</v>
      </c>
      <c r="CS284" t="e">
        <f>Stock!V1182+"'E4!07C"</f>
        <v>#VALUE!</v>
      </c>
      <c r="CT284" t="e">
        <f>Stock!X1182+"'E4!07D"</f>
        <v>#VALUE!</v>
      </c>
      <c r="CU284" t="e">
        <f>Stock!Y1182+"'E4!07E"</f>
        <v>#VALUE!</v>
      </c>
      <c r="CV284" s="333" t="e">
        <f>Stock!S1183+"'E4!07F"</f>
        <v>#VALUE!</v>
      </c>
      <c r="CW284" s="333" t="e">
        <f>Stock!T1183+"'E4!07G"</f>
        <v>#VALUE!</v>
      </c>
      <c r="CX284" t="e">
        <f>Stock!V1183+"'E4!07H"</f>
        <v>#VALUE!</v>
      </c>
      <c r="CY284" t="e">
        <f>Stock!X1183+"'E4!07I"</f>
        <v>#VALUE!</v>
      </c>
      <c r="CZ284" t="e">
        <f>Stock!Y1183+"'E4!07J"</f>
        <v>#VALUE!</v>
      </c>
      <c r="DA284" s="333" t="e">
        <f>Stock!S1184+"'E4!07K"</f>
        <v>#VALUE!</v>
      </c>
      <c r="DB284" s="333" t="e">
        <f>Stock!T1184+"'E4!07L"</f>
        <v>#VALUE!</v>
      </c>
      <c r="DC284" t="e">
        <f>Stock!V1184+"'E4!07M"</f>
        <v>#VALUE!</v>
      </c>
      <c r="DD284" t="e">
        <f>Stock!X1184+"'E4!07N"</f>
        <v>#VALUE!</v>
      </c>
      <c r="DE284" t="e">
        <f>Stock!Y1184+"'E4!07O"</f>
        <v>#VALUE!</v>
      </c>
      <c r="DF284" s="333" t="e">
        <f>Stock!S1185+"'E4!07P"</f>
        <v>#VALUE!</v>
      </c>
      <c r="DG284" s="333" t="e">
        <f>Stock!T1185+"'E4!07Q"</f>
        <v>#VALUE!</v>
      </c>
      <c r="DH284" t="e">
        <f>Stock!V1185+"'E4!07R"</f>
        <v>#VALUE!</v>
      </c>
      <c r="DI284" t="e">
        <f>Stock!X1185+"'E4!07S"</f>
        <v>#VALUE!</v>
      </c>
      <c r="DJ284" t="e">
        <f>Stock!Y1185+"'E4!07T"</f>
        <v>#VALUE!</v>
      </c>
      <c r="DK284" s="333" t="e">
        <f>Stock!S1186+"'E4!07U"</f>
        <v>#VALUE!</v>
      </c>
      <c r="DL284" s="333" t="e">
        <f>Stock!T1186+"'E4!07V"</f>
        <v>#VALUE!</v>
      </c>
      <c r="DM284" t="e">
        <f>Stock!V1186+"'E4!07W"</f>
        <v>#VALUE!</v>
      </c>
      <c r="DN284" t="e">
        <f>Stock!X1186+"'E4!07X"</f>
        <v>#VALUE!</v>
      </c>
      <c r="DO284" t="e">
        <f>Stock!Y1186+"'E4!07Y"</f>
        <v>#VALUE!</v>
      </c>
      <c r="DP284" s="333" t="e">
        <f>Stock!S1187+"'E4!07Z"</f>
        <v>#VALUE!</v>
      </c>
      <c r="DQ284" s="333" t="e">
        <f>Stock!T1187+"'E4!07["</f>
        <v>#VALUE!</v>
      </c>
      <c r="DR284" t="e">
        <f>Stock!V1187+"'E4!07\"</f>
        <v>#VALUE!</v>
      </c>
      <c r="DS284" t="e">
        <f>Stock!X1187+"'E4!07]"</f>
        <v>#VALUE!</v>
      </c>
      <c r="DT284" t="e">
        <f>Stock!Y1187+"'E4!07^"</f>
        <v>#VALUE!</v>
      </c>
      <c r="DU284" s="333" t="e">
        <f>Stock!S1188+"'E4!07_"</f>
        <v>#VALUE!</v>
      </c>
      <c r="DV284" s="333" t="e">
        <f>Stock!T1188+"'E4!07`"</f>
        <v>#VALUE!</v>
      </c>
      <c r="DW284" t="e">
        <f>Stock!V1188+"'E4!07a"</f>
        <v>#VALUE!</v>
      </c>
      <c r="DX284" t="e">
        <f>Stock!X1188+"'E4!07b"</f>
        <v>#VALUE!</v>
      </c>
      <c r="DY284" t="e">
        <f>Stock!Y1188+"'E4!07c"</f>
        <v>#VALUE!</v>
      </c>
      <c r="DZ284" s="333" t="e">
        <f>Stock!S1189+"'E4!07d"</f>
        <v>#VALUE!</v>
      </c>
      <c r="EA284" s="333" t="e">
        <f>Stock!T1189+"'E4!07e"</f>
        <v>#VALUE!</v>
      </c>
      <c r="EB284" t="e">
        <f>Stock!V1189+"'E4!07f"</f>
        <v>#VALUE!</v>
      </c>
      <c r="EC284" t="e">
        <f>Stock!X1189+"'E4!07g"</f>
        <v>#VALUE!</v>
      </c>
      <c r="ED284" t="e">
        <f>Stock!Y1189+"'E4!07h"</f>
        <v>#VALUE!</v>
      </c>
      <c r="EE284" s="333" t="e">
        <f>Stock!S1190+"'E4!07i"</f>
        <v>#VALUE!</v>
      </c>
      <c r="EF284" s="333" t="e">
        <f>Stock!T1190+"'E4!07j"</f>
        <v>#VALUE!</v>
      </c>
      <c r="EG284" t="e">
        <f>Stock!V1190+"'E4!07k"</f>
        <v>#VALUE!</v>
      </c>
      <c r="EH284" t="e">
        <f>Stock!X1190+"'E4!07l"</f>
        <v>#VALUE!</v>
      </c>
      <c r="EI284" t="e">
        <f>Stock!Y1190+"'E4!07m"</f>
        <v>#VALUE!</v>
      </c>
      <c r="EJ284" s="333" t="e">
        <f>Stock!S1191+"'E4!07n"</f>
        <v>#VALUE!</v>
      </c>
      <c r="EK284" s="333" t="e">
        <f>Stock!T1191+"'E4!07o"</f>
        <v>#VALUE!</v>
      </c>
      <c r="EL284" t="e">
        <f>Stock!V1191+"'E4!07p"</f>
        <v>#VALUE!</v>
      </c>
      <c r="EM284" t="e">
        <f>Stock!X1191+"'E4!07q"</f>
        <v>#VALUE!</v>
      </c>
      <c r="EN284" t="e">
        <f>Stock!Y1191+"'E4!07r"</f>
        <v>#VALUE!</v>
      </c>
      <c r="EO284" s="333" t="e">
        <f>Stock!S1192+"'E4!07s"</f>
        <v>#VALUE!</v>
      </c>
      <c r="EP284" s="333" t="e">
        <f>Stock!T1192+"'E4!07t"</f>
        <v>#VALUE!</v>
      </c>
      <c r="EQ284" t="e">
        <f>Stock!V1192+"'E4!07u"</f>
        <v>#VALUE!</v>
      </c>
      <c r="ER284" t="e">
        <f>Stock!X1192+"'E4!07v"</f>
        <v>#VALUE!</v>
      </c>
      <c r="ES284" t="e">
        <f>Stock!Y1192+"'E4!07w"</f>
        <v>#VALUE!</v>
      </c>
      <c r="ET284" s="333" t="e">
        <f>Stock!S1193+"'E4!07x"</f>
        <v>#VALUE!</v>
      </c>
      <c r="EU284" s="333" t="e">
        <f>Stock!T1193+"'E4!07y"</f>
        <v>#VALUE!</v>
      </c>
      <c r="EV284" t="e">
        <f>Stock!V1193+"'E4!07z"</f>
        <v>#VALUE!</v>
      </c>
      <c r="EW284" t="e">
        <f>Stock!X1193+"'E4!07{"</f>
        <v>#VALUE!</v>
      </c>
      <c r="EX284" t="e">
        <f>Stock!Y1193+"'E4!07|"</f>
        <v>#VALUE!</v>
      </c>
      <c r="EY284" s="333" t="e">
        <f>Stock!S1194+"'E4!07}"</f>
        <v>#VALUE!</v>
      </c>
      <c r="EZ284" s="333" t="e">
        <f>Stock!T1194+"'E4!07~"</f>
        <v>#VALUE!</v>
      </c>
      <c r="FA284" t="e">
        <f>Stock!V1194+"'E4!08#"</f>
        <v>#VALUE!</v>
      </c>
      <c r="FB284" t="e">
        <f>Stock!X1194+"'E4!08$"</f>
        <v>#VALUE!</v>
      </c>
      <c r="FC284" t="e">
        <f>Stock!Y1194+"'E4!08%"</f>
        <v>#VALUE!</v>
      </c>
      <c r="FD284" s="333" t="e">
        <f>Stock!S1195+"'E4!08&amp;"</f>
        <v>#VALUE!</v>
      </c>
      <c r="FE284" s="333" t="e">
        <f>Stock!T1195+"'E4!08'"</f>
        <v>#VALUE!</v>
      </c>
      <c r="FF284" t="e">
        <f>Stock!V1195+"'E4!08("</f>
        <v>#VALUE!</v>
      </c>
      <c r="FG284" t="e">
        <f>Stock!X1195+"'E4!08)"</f>
        <v>#VALUE!</v>
      </c>
      <c r="FH284" t="e">
        <f>Stock!Y1195+"'E4!08."</f>
        <v>#VALUE!</v>
      </c>
      <c r="FI284" s="333" t="e">
        <f>Stock!S1196+"'E4!08/"</f>
        <v>#VALUE!</v>
      </c>
      <c r="FJ284" s="333" t="e">
        <f>Stock!T1196+"'E4!080"</f>
        <v>#VALUE!</v>
      </c>
      <c r="FK284" t="e">
        <f>Stock!V1196+"'E4!081"</f>
        <v>#VALUE!</v>
      </c>
      <c r="FL284" t="e">
        <f>Stock!X1196+"'E4!082"</f>
        <v>#VALUE!</v>
      </c>
      <c r="FM284" t="e">
        <f>Stock!Y1196+"'E4!083"</f>
        <v>#VALUE!</v>
      </c>
      <c r="FN284" s="333" t="e">
        <f>Stock!S1197+"'E4!084"</f>
        <v>#VALUE!</v>
      </c>
      <c r="FO284" s="333" t="e">
        <f>Stock!T1197+"'E4!085"</f>
        <v>#VALUE!</v>
      </c>
      <c r="FP284" t="e">
        <f>Stock!V1197+"'E4!086"</f>
        <v>#VALUE!</v>
      </c>
      <c r="FQ284" t="e">
        <f>Stock!X1197+"'E4!087"</f>
        <v>#VALUE!</v>
      </c>
      <c r="FR284" t="e">
        <f>Stock!Y1197+"'E4!088"</f>
        <v>#VALUE!</v>
      </c>
      <c r="FS284" s="333" t="e">
        <f>Stock!S1198+"'E4!089"</f>
        <v>#VALUE!</v>
      </c>
      <c r="FT284" s="333" t="e">
        <f>Stock!T1198+"'E4!08:"</f>
        <v>#VALUE!</v>
      </c>
      <c r="FU284" t="e">
        <f>Stock!V1198+"'E4!08;"</f>
        <v>#VALUE!</v>
      </c>
      <c r="FV284" t="e">
        <f>Stock!X1198+"'E4!08&lt;"</f>
        <v>#VALUE!</v>
      </c>
      <c r="FW284" t="e">
        <f>Stock!Y1198+"'E4!08="</f>
        <v>#VALUE!</v>
      </c>
      <c r="FX284" s="333" t="e">
        <f>Stock!S1199+"'E4!08&gt;"</f>
        <v>#VALUE!</v>
      </c>
      <c r="FY284" s="333" t="e">
        <f>Stock!T1199+"'E4!08?"</f>
        <v>#VALUE!</v>
      </c>
      <c r="FZ284" t="e">
        <f>Stock!V1199+"'E4!08@"</f>
        <v>#VALUE!</v>
      </c>
      <c r="GA284" t="e">
        <f>Stock!X1199+"'E4!08A"</f>
        <v>#VALUE!</v>
      </c>
      <c r="GB284" t="e">
        <f>Stock!Y1199+"'E4!08B"</f>
        <v>#VALUE!</v>
      </c>
      <c r="GC284" s="333" t="e">
        <f>Stock!S1200+"'E4!08C"</f>
        <v>#VALUE!</v>
      </c>
      <c r="GD284" s="333" t="e">
        <f>Stock!T1200+"'E4!08D"</f>
        <v>#VALUE!</v>
      </c>
      <c r="GE284" t="e">
        <f>Stock!V1200+"'E4!08E"</f>
        <v>#VALUE!</v>
      </c>
      <c r="GF284" t="e">
        <f>Stock!X1200+"'E4!08F"</f>
        <v>#VALUE!</v>
      </c>
      <c r="GG284" t="e">
        <f>Stock!Y1200+"'E4!08G"</f>
        <v>#VALUE!</v>
      </c>
      <c r="GH284" s="333" t="e">
        <f>Stock!S1201+"'E4!08H"</f>
        <v>#VALUE!</v>
      </c>
      <c r="GI284" s="333" t="e">
        <f>Stock!T1201+"'E4!08I"</f>
        <v>#VALUE!</v>
      </c>
      <c r="GJ284" t="e">
        <f>Stock!V1201+"'E4!08J"</f>
        <v>#VALUE!</v>
      </c>
      <c r="GK284" t="e">
        <f>Stock!X1201+"'E4!08K"</f>
        <v>#VALUE!</v>
      </c>
      <c r="GL284" t="e">
        <f>Stock!Y1201+"'E4!08L"</f>
        <v>#VALUE!</v>
      </c>
      <c r="GM284" s="333" t="e">
        <f>Stock!S1202+"'E4!08M"</f>
        <v>#VALUE!</v>
      </c>
      <c r="GN284" s="333" t="e">
        <f>Stock!T1202+"'E4!08N"</f>
        <v>#VALUE!</v>
      </c>
      <c r="GO284" t="e">
        <f>Stock!V1202+"'E4!08O"</f>
        <v>#VALUE!</v>
      </c>
      <c r="GP284" t="e">
        <f>Stock!X1202+"'E4!08P"</f>
        <v>#VALUE!</v>
      </c>
      <c r="GQ284" t="e">
        <f>Stock!Y1202+"'E4!08Q"</f>
        <v>#VALUE!</v>
      </c>
      <c r="GR284" s="333" t="e">
        <f>Stock!S1203+"'E4!08R"</f>
        <v>#VALUE!</v>
      </c>
      <c r="GS284" s="333" t="e">
        <f>Stock!T1203+"'E4!08S"</f>
        <v>#VALUE!</v>
      </c>
      <c r="GT284" t="e">
        <f>Stock!V1203+"'E4!08T"</f>
        <v>#VALUE!</v>
      </c>
      <c r="GU284" t="e">
        <f>Stock!X1203+"'E4!08U"</f>
        <v>#VALUE!</v>
      </c>
      <c r="GV284" t="e">
        <f>Stock!Y1203+"'E4!08V"</f>
        <v>#VALUE!</v>
      </c>
      <c r="GW284" s="333" t="e">
        <f>Stock!S1204+"'E4!08W"</f>
        <v>#VALUE!</v>
      </c>
      <c r="GX284" s="333" t="e">
        <f>Stock!T1204+"'E4!08X"</f>
        <v>#VALUE!</v>
      </c>
      <c r="GY284" t="e">
        <f>Stock!V1204+"'E4!08Y"</f>
        <v>#VALUE!</v>
      </c>
      <c r="GZ284" t="e">
        <f>Stock!X1204+"'E4!08Z"</f>
        <v>#VALUE!</v>
      </c>
      <c r="HA284" t="e">
        <f>Stock!Y1204+"'E4!08["</f>
        <v>#VALUE!</v>
      </c>
      <c r="HB284" s="333" t="e">
        <f>Stock!S1205+"'E4!08\"</f>
        <v>#VALUE!</v>
      </c>
      <c r="HC284" s="333" t="e">
        <f>Stock!T1205+"'E4!08]"</f>
        <v>#VALUE!</v>
      </c>
      <c r="HD284" t="e">
        <f>Stock!V1205+"'E4!08^"</f>
        <v>#VALUE!</v>
      </c>
      <c r="HE284" t="e">
        <f>Stock!X1205+"'E4!08_"</f>
        <v>#VALUE!</v>
      </c>
      <c r="HF284" t="e">
        <f>Stock!Y1205+"'E4!08`"</f>
        <v>#VALUE!</v>
      </c>
      <c r="HG284" s="333" t="e">
        <f>Stock!S1206+"'E4!08a"</f>
        <v>#VALUE!</v>
      </c>
      <c r="HH284" s="333" t="e">
        <f>Stock!T1206+"'E4!08b"</f>
        <v>#VALUE!</v>
      </c>
      <c r="HI284" t="e">
        <f>Stock!V1206+"'E4!08c"</f>
        <v>#VALUE!</v>
      </c>
      <c r="HJ284" t="e">
        <f>Stock!X1206+"'E4!08d"</f>
        <v>#VALUE!</v>
      </c>
      <c r="HK284" t="e">
        <f>Stock!Y1206+"'E4!08e"</f>
        <v>#VALUE!</v>
      </c>
      <c r="HL284" s="333" t="e">
        <f>Stock!S1207+"'E4!08f"</f>
        <v>#VALUE!</v>
      </c>
      <c r="HM284" s="333" t="e">
        <f>Stock!T1207+"'E4!08g"</f>
        <v>#VALUE!</v>
      </c>
      <c r="HN284" t="e">
        <f>Stock!V1207+"'E4!08h"</f>
        <v>#VALUE!</v>
      </c>
      <c r="HO284" t="e">
        <f>Stock!X1207+"'E4!08i"</f>
        <v>#VALUE!</v>
      </c>
      <c r="HP284" t="e">
        <f>Stock!Y1207+"'E4!08j"</f>
        <v>#VALUE!</v>
      </c>
      <c r="HQ284" s="333" t="e">
        <f>Stock!S1208+"'E4!08k"</f>
        <v>#VALUE!</v>
      </c>
      <c r="HR284" s="333" t="e">
        <f>Stock!T1208+"'E4!08l"</f>
        <v>#VALUE!</v>
      </c>
      <c r="HS284" t="e">
        <f>Stock!V1208+"'E4!08m"</f>
        <v>#VALUE!</v>
      </c>
      <c r="HT284" t="e">
        <f>Stock!X1208+"'E4!08n"</f>
        <v>#VALUE!</v>
      </c>
      <c r="HU284" t="e">
        <f>Stock!Y1208+"'E4!08o"</f>
        <v>#VALUE!</v>
      </c>
      <c r="HV284" s="333" t="e">
        <f>Stock!S1209+"'E4!08p"</f>
        <v>#VALUE!</v>
      </c>
      <c r="HW284" s="333" t="e">
        <f>Stock!T1209+"'E4!08q"</f>
        <v>#VALUE!</v>
      </c>
      <c r="HX284" t="e">
        <f>Stock!V1209+"'E4!08r"</f>
        <v>#VALUE!</v>
      </c>
      <c r="HY284" t="e">
        <f>Stock!X1209+"'E4!08s"</f>
        <v>#VALUE!</v>
      </c>
      <c r="HZ284" t="e">
        <f>Stock!Y1209+"'E4!08t"</f>
        <v>#VALUE!</v>
      </c>
      <c r="IA284" s="333" t="e">
        <f>Stock!S1210+"'E4!08u"</f>
        <v>#VALUE!</v>
      </c>
      <c r="IB284" s="333" t="e">
        <f>Stock!T1210+"'E4!08v"</f>
        <v>#VALUE!</v>
      </c>
      <c r="IC284" t="e">
        <f>Stock!V1210+"'E4!08w"</f>
        <v>#VALUE!</v>
      </c>
      <c r="ID284" t="e">
        <f>Stock!X1210+"'E4!08x"</f>
        <v>#VALUE!</v>
      </c>
      <c r="IE284" t="e">
        <f>Stock!Y1210+"'E4!08y"</f>
        <v>#VALUE!</v>
      </c>
      <c r="IF284" s="333" t="e">
        <f>Stock!S1211+"'E4!08z"</f>
        <v>#VALUE!</v>
      </c>
      <c r="IG284" s="333" t="e">
        <f>Stock!T1211+"'E4!08{"</f>
        <v>#VALUE!</v>
      </c>
      <c r="IH284" t="e">
        <f>Stock!V1211+"'E4!08|"</f>
        <v>#VALUE!</v>
      </c>
      <c r="II284" t="e">
        <f>Stock!X1211+"'E4!08}"</f>
        <v>#VALUE!</v>
      </c>
      <c r="IJ284" t="e">
        <f>Stock!Y1211+"'E4!08~"</f>
        <v>#VALUE!</v>
      </c>
      <c r="IK284" s="333" t="e">
        <f>Stock!S1212+"'E4!09#"</f>
        <v>#VALUE!</v>
      </c>
      <c r="IL284" s="333" t="e">
        <f>Stock!T1212+"'E4!09$"</f>
        <v>#VALUE!</v>
      </c>
      <c r="IM284" t="e">
        <f>Stock!V1212+"'E4!09%"</f>
        <v>#VALUE!</v>
      </c>
      <c r="IN284" t="e">
        <f>Stock!X1212+"'E4!09&amp;"</f>
        <v>#VALUE!</v>
      </c>
      <c r="IO284" t="e">
        <f>Stock!Y1212+"'E4!09'"</f>
        <v>#VALUE!</v>
      </c>
      <c r="IP284" s="333" t="e">
        <f>Stock!S1213+"'E4!09("</f>
        <v>#VALUE!</v>
      </c>
      <c r="IQ284" s="333" t="e">
        <f>Stock!T1213+"'E4!09)"</f>
        <v>#VALUE!</v>
      </c>
      <c r="IR284" t="e">
        <f>Stock!V1213+"'E4!09."</f>
        <v>#VALUE!</v>
      </c>
      <c r="IS284" t="e">
        <f>Stock!X1213+"'E4!09/"</f>
        <v>#VALUE!</v>
      </c>
      <c r="IT284" t="e">
        <f>Stock!Y1213+"'E4!090"</f>
        <v>#VALUE!</v>
      </c>
      <c r="IU284" s="333" t="e">
        <f>Stock!S1214+"'E4!091"</f>
        <v>#VALUE!</v>
      </c>
      <c r="IV284" s="333" t="e">
        <f>Stock!T1214+"'E4!092"</f>
        <v>#VALUE!</v>
      </c>
    </row>
    <row r="285" spans="6:256">
      <c r="F285" t="e">
        <f>Stock!V1214+"'E4!093"</f>
        <v>#VALUE!</v>
      </c>
      <c r="G285" t="e">
        <f>Stock!X1214+"'E4!094"</f>
        <v>#VALUE!</v>
      </c>
      <c r="H285" t="e">
        <f>Stock!Y1214+"'E4!095"</f>
        <v>#VALUE!</v>
      </c>
      <c r="I285" s="333" t="e">
        <f>Stock!S1215+"'E4!096"</f>
        <v>#VALUE!</v>
      </c>
      <c r="J285" s="333" t="e">
        <f>Stock!T1215+"'E4!097"</f>
        <v>#VALUE!</v>
      </c>
      <c r="K285" t="e">
        <f>Stock!V1215+"'E4!098"</f>
        <v>#VALUE!</v>
      </c>
      <c r="L285" t="e">
        <f>Stock!X1215+"'E4!099"</f>
        <v>#VALUE!</v>
      </c>
      <c r="M285" t="e">
        <f>Stock!Y1215+"'E4!09:"</f>
        <v>#VALUE!</v>
      </c>
      <c r="N285" s="333" t="e">
        <f>Stock!S1216+"'E4!09;"</f>
        <v>#VALUE!</v>
      </c>
      <c r="O285" s="333" t="e">
        <f>Stock!T1216+"'E4!09&lt;"</f>
        <v>#VALUE!</v>
      </c>
      <c r="P285" t="e">
        <f>Stock!V1216+"'E4!09="</f>
        <v>#VALUE!</v>
      </c>
      <c r="Q285" t="e">
        <f>Stock!X1216+"'E4!09&gt;"</f>
        <v>#VALUE!</v>
      </c>
      <c r="R285" t="e">
        <f>Stock!Y1216+"'E4!09?"</f>
        <v>#VALUE!</v>
      </c>
      <c r="S285" s="333" t="e">
        <f>Stock!S1217+"'E4!09@"</f>
        <v>#VALUE!</v>
      </c>
      <c r="T285" s="333" t="e">
        <f>Stock!T1217+"'E4!09A"</f>
        <v>#VALUE!</v>
      </c>
      <c r="U285" t="e">
        <f>Stock!V1217+"'E4!09B"</f>
        <v>#VALUE!</v>
      </c>
      <c r="V285" t="e">
        <f>Stock!X1217+"'E4!09C"</f>
        <v>#VALUE!</v>
      </c>
      <c r="W285" t="e">
        <f>Stock!Y1217+"'E4!09D"</f>
        <v>#VALUE!</v>
      </c>
      <c r="X285" s="333" t="e">
        <f>Stock!S1218+"'E4!09E"</f>
        <v>#VALUE!</v>
      </c>
      <c r="Y285" s="333" t="e">
        <f>Stock!T1218+"'E4!09F"</f>
        <v>#VALUE!</v>
      </c>
      <c r="Z285" t="e">
        <f>Stock!V1218+"'E4!09G"</f>
        <v>#VALUE!</v>
      </c>
      <c r="AA285" t="e">
        <f>Stock!X1218+"'E4!09H"</f>
        <v>#VALUE!</v>
      </c>
      <c r="AB285" t="e">
        <f>Stock!Y1218+"'E4!09I"</f>
        <v>#VALUE!</v>
      </c>
      <c r="AC285" s="333" t="e">
        <f>Stock!S1219+"'E4!09J"</f>
        <v>#VALUE!</v>
      </c>
      <c r="AD285" s="333" t="e">
        <f>Stock!T1219+"'E4!09K"</f>
        <v>#VALUE!</v>
      </c>
      <c r="AE285" t="e">
        <f>Stock!V1219+"'E4!09L"</f>
        <v>#VALUE!</v>
      </c>
      <c r="AF285" t="e">
        <f>Stock!X1219+"'E4!09M"</f>
        <v>#VALUE!</v>
      </c>
      <c r="AG285" t="e">
        <f>Stock!Y1219+"'E4!09N"</f>
        <v>#VALUE!</v>
      </c>
      <c r="AH285" s="333" t="e">
        <f>Stock!S1220+"'E4!09O"</f>
        <v>#VALUE!</v>
      </c>
      <c r="AI285" s="333" t="e">
        <f>Stock!T1220+"'E4!09P"</f>
        <v>#VALUE!</v>
      </c>
      <c r="AJ285" t="e">
        <f>Stock!V1220+"'E4!09Q"</f>
        <v>#VALUE!</v>
      </c>
      <c r="AK285" t="e">
        <f>Stock!X1220+"'E4!09R"</f>
        <v>#VALUE!</v>
      </c>
      <c r="AL285" t="e">
        <f>Stock!Y1220+"'E4!09S"</f>
        <v>#VALUE!</v>
      </c>
      <c r="AM285" s="333" t="e">
        <f>Stock!S1221+"'E4!09T"</f>
        <v>#VALUE!</v>
      </c>
      <c r="AN285" s="333" t="e">
        <f>Stock!T1221+"'E4!09U"</f>
        <v>#VALUE!</v>
      </c>
      <c r="AO285" t="e">
        <f>Stock!V1221+"'E4!09V"</f>
        <v>#VALUE!</v>
      </c>
      <c r="AP285" t="e">
        <f>Stock!X1221+"'E4!09W"</f>
        <v>#VALUE!</v>
      </c>
      <c r="AQ285" t="e">
        <f>Stock!Y1221+"'E4!09X"</f>
        <v>#VALUE!</v>
      </c>
      <c r="AR285" s="333" t="e">
        <f>Stock!S1222+"'E4!09Y"</f>
        <v>#VALUE!</v>
      </c>
      <c r="AS285" s="333" t="e">
        <f>Stock!T1222+"'E4!09Z"</f>
        <v>#VALUE!</v>
      </c>
      <c r="AT285" t="e">
        <f>Stock!V1222+"'E4!09["</f>
        <v>#VALUE!</v>
      </c>
      <c r="AU285" t="e">
        <f>Stock!X1222+"'E4!09\"</f>
        <v>#VALUE!</v>
      </c>
      <c r="AV285" t="e">
        <f>Stock!Y1222+"'E4!09]"</f>
        <v>#VALUE!</v>
      </c>
      <c r="AW285" s="333" t="e">
        <f>Stock!S1223+"'E4!09^"</f>
        <v>#VALUE!</v>
      </c>
      <c r="AX285" s="333" t="e">
        <f>Stock!T1223+"'E4!09_"</f>
        <v>#VALUE!</v>
      </c>
      <c r="AY285" t="e">
        <f>Stock!V1223+"'E4!09`"</f>
        <v>#VALUE!</v>
      </c>
      <c r="AZ285" t="e">
        <f>Stock!X1223+"'E4!09a"</f>
        <v>#VALUE!</v>
      </c>
      <c r="BA285" t="e">
        <f>Stock!Y1223+"'E4!09b"</f>
        <v>#VALUE!</v>
      </c>
      <c r="BB285" s="333" t="e">
        <f>Stock!S1224+"'E4!09c"</f>
        <v>#VALUE!</v>
      </c>
      <c r="BC285" s="333" t="e">
        <f>Stock!T1224+"'E4!09d"</f>
        <v>#VALUE!</v>
      </c>
      <c r="BD285" t="e">
        <f>Stock!V1224+"'E4!09e"</f>
        <v>#VALUE!</v>
      </c>
      <c r="BE285" t="e">
        <f>Stock!X1224+"'E4!09f"</f>
        <v>#VALUE!</v>
      </c>
      <c r="BF285" t="e">
        <f>Stock!Y1224+"'E4!09g"</f>
        <v>#VALUE!</v>
      </c>
      <c r="BG285" s="333" t="e">
        <f>Stock!S1225+"'E4!09h"</f>
        <v>#VALUE!</v>
      </c>
      <c r="BH285" s="333" t="e">
        <f>Stock!T1225+"'E4!09i"</f>
        <v>#VALUE!</v>
      </c>
      <c r="BI285" t="e">
        <f>Stock!V1225+"'E4!09j"</f>
        <v>#VALUE!</v>
      </c>
      <c r="BJ285" t="e">
        <f>Stock!X1225+"'E4!09k"</f>
        <v>#VALUE!</v>
      </c>
      <c r="BK285" t="e">
        <f>Stock!Y1225+"'E4!09l"</f>
        <v>#VALUE!</v>
      </c>
      <c r="BL285" s="333" t="e">
        <f>Stock!S1226+"'E4!09m"</f>
        <v>#VALUE!</v>
      </c>
      <c r="BM285" s="333" t="e">
        <f>Stock!T1226+"'E4!09n"</f>
        <v>#VALUE!</v>
      </c>
      <c r="BN285" t="e">
        <f>Stock!V1226+"'E4!09o"</f>
        <v>#VALUE!</v>
      </c>
      <c r="BO285" t="e">
        <f>Stock!X1226+"'E4!09p"</f>
        <v>#VALUE!</v>
      </c>
      <c r="BP285" t="e">
        <f>Stock!Y1226+"'E4!09q"</f>
        <v>#VALUE!</v>
      </c>
      <c r="BQ285" s="333" t="e">
        <f>Stock!S1227+"'E4!09r"</f>
        <v>#VALUE!</v>
      </c>
      <c r="BR285" s="333" t="e">
        <f>Stock!T1227+"'E4!09s"</f>
        <v>#VALUE!</v>
      </c>
      <c r="BS285" t="e">
        <f>Stock!V1227+"'E4!09t"</f>
        <v>#VALUE!</v>
      </c>
      <c r="BT285" t="e">
        <f>Stock!X1227+"'E4!09u"</f>
        <v>#VALUE!</v>
      </c>
      <c r="BU285" t="e">
        <f>Stock!Y1227+"'E4!09v"</f>
        <v>#VALUE!</v>
      </c>
      <c r="BV285" s="333" t="e">
        <f>Stock!S1228+"'E4!09w"</f>
        <v>#VALUE!</v>
      </c>
      <c r="BW285" s="333" t="e">
        <f>Stock!T1228+"'E4!09x"</f>
        <v>#VALUE!</v>
      </c>
      <c r="BX285" t="e">
        <f>Stock!V1228+"'E4!09y"</f>
        <v>#VALUE!</v>
      </c>
      <c r="BY285" t="e">
        <f>Stock!X1228+"'E4!09z"</f>
        <v>#VALUE!</v>
      </c>
      <c r="BZ285" t="e">
        <f>Stock!Y1228+"'E4!09{"</f>
        <v>#VALUE!</v>
      </c>
      <c r="CA285" s="333" t="e">
        <f>Stock!S1229+"'E4!09|"</f>
        <v>#VALUE!</v>
      </c>
      <c r="CB285" s="333" t="e">
        <f>Stock!T1229+"'E4!09}"</f>
        <v>#VALUE!</v>
      </c>
      <c r="CC285" t="e">
        <f>Stock!V1229+"'E4!09~"</f>
        <v>#VALUE!</v>
      </c>
      <c r="CD285" t="e">
        <f>Stock!X1229+"'E4!0:#"</f>
        <v>#VALUE!</v>
      </c>
      <c r="CE285" t="e">
        <f>Stock!Y1229+"'E4!0:$"</f>
        <v>#VALUE!</v>
      </c>
      <c r="CF285" s="333" t="e">
        <f>Stock!S1230+"'E4!0:%"</f>
        <v>#VALUE!</v>
      </c>
      <c r="CG285" s="333" t="e">
        <f>Stock!T1230+"'E4!0:&amp;"</f>
        <v>#VALUE!</v>
      </c>
      <c r="CH285" t="e">
        <f>Stock!V1230+"'E4!0:'"</f>
        <v>#VALUE!</v>
      </c>
      <c r="CI285" t="e">
        <f>Stock!X1230+"'E4!0:("</f>
        <v>#VALUE!</v>
      </c>
      <c r="CJ285" t="e">
        <f>Stock!Y1230+"'E4!0:)"</f>
        <v>#VALUE!</v>
      </c>
      <c r="CK285" s="333" t="e">
        <f>Stock!S1231+"'E4!0:."</f>
        <v>#VALUE!</v>
      </c>
      <c r="CL285" s="333" t="e">
        <f>Stock!T1231+"'E4!0:/"</f>
        <v>#VALUE!</v>
      </c>
      <c r="CM285" t="e">
        <f>Stock!V1231+"'E4!0:0"</f>
        <v>#VALUE!</v>
      </c>
      <c r="CN285" t="e">
        <f>Stock!X1231+"'E4!0:1"</f>
        <v>#VALUE!</v>
      </c>
      <c r="CO285" t="e">
        <f>Stock!Y1231+"'E4!0:2"</f>
        <v>#VALUE!</v>
      </c>
      <c r="CP285" s="333" t="e">
        <f>Stock!S1232+"'E4!0:3"</f>
        <v>#VALUE!</v>
      </c>
      <c r="CQ285" s="333" t="e">
        <f>Stock!T1232+"'E4!0:4"</f>
        <v>#VALUE!</v>
      </c>
      <c r="CR285" t="e">
        <f>Stock!V1232+"'E4!0:5"</f>
        <v>#VALUE!</v>
      </c>
      <c r="CS285" t="e">
        <f>Stock!X1232+"'E4!0:6"</f>
        <v>#VALUE!</v>
      </c>
      <c r="CT285" t="e">
        <f>Stock!Y1232+"'E4!0:7"</f>
        <v>#VALUE!</v>
      </c>
      <c r="CU285" s="333" t="e">
        <f>Stock!S1233+"'E4!0:8"</f>
        <v>#VALUE!</v>
      </c>
      <c r="CV285" s="333" t="e">
        <f>Stock!T1233+"'E4!0:9"</f>
        <v>#VALUE!</v>
      </c>
      <c r="CW285" t="e">
        <f>Stock!V1233+"'E4!0::"</f>
        <v>#VALUE!</v>
      </c>
      <c r="CX285" t="e">
        <f>Stock!X1233+"'E4!0:;"</f>
        <v>#VALUE!</v>
      </c>
      <c r="CY285" t="e">
        <f>Stock!Y1233+"'E4!0:&lt;"</f>
        <v>#VALUE!</v>
      </c>
      <c r="CZ285" s="333" t="e">
        <f>Stock!S1234+"'E4!0:="</f>
        <v>#VALUE!</v>
      </c>
      <c r="DA285" s="333" t="e">
        <f>Stock!T1234+"'E4!0:&gt;"</f>
        <v>#VALUE!</v>
      </c>
      <c r="DB285" t="e">
        <f>Stock!V1234+"'E4!0:?"</f>
        <v>#VALUE!</v>
      </c>
      <c r="DC285" t="e">
        <f>Stock!X1234+"'E4!0:@"</f>
        <v>#VALUE!</v>
      </c>
      <c r="DD285" t="e">
        <f>Stock!Y1234+"'E4!0:A"</f>
        <v>#VALUE!</v>
      </c>
      <c r="DE285" s="333" t="e">
        <f>Stock!S1235+"'E4!0:B"</f>
        <v>#VALUE!</v>
      </c>
      <c r="DF285" s="333" t="e">
        <f>Stock!T1235+"'E4!0:C"</f>
        <v>#VALUE!</v>
      </c>
      <c r="DG285" t="e">
        <f>Stock!V1235+"'E4!0:D"</f>
        <v>#VALUE!</v>
      </c>
      <c r="DH285" t="e">
        <f>Stock!X1235+"'E4!0:E"</f>
        <v>#VALUE!</v>
      </c>
      <c r="DI285" t="e">
        <f>Stock!Y1235+"'E4!0:F"</f>
        <v>#VALUE!</v>
      </c>
      <c r="DJ285" s="333" t="e">
        <f>Stock!S1236+"'E4!0:G"</f>
        <v>#VALUE!</v>
      </c>
      <c r="DK285" s="333" t="e">
        <f>Stock!T1236+"'E4!0:H"</f>
        <v>#VALUE!</v>
      </c>
      <c r="DL285" t="e">
        <f>Stock!V1236+"'E4!0:I"</f>
        <v>#VALUE!</v>
      </c>
      <c r="DM285" t="e">
        <f>Stock!X1236+"'E4!0:J"</f>
        <v>#VALUE!</v>
      </c>
      <c r="DN285" t="e">
        <f>Stock!Y1236+"'E4!0:K"</f>
        <v>#VALUE!</v>
      </c>
      <c r="DO285" s="333" t="e">
        <f>Stock!S1237+"'E4!0:L"</f>
        <v>#VALUE!</v>
      </c>
      <c r="DP285" s="333" t="e">
        <f>Stock!T1237+"'E4!0:M"</f>
        <v>#VALUE!</v>
      </c>
      <c r="DQ285" t="e">
        <f>Stock!V1237+"'E4!0:N"</f>
        <v>#VALUE!</v>
      </c>
      <c r="DR285" t="e">
        <f>Stock!X1237+"'E4!0:O"</f>
        <v>#VALUE!</v>
      </c>
      <c r="DS285" t="e">
        <f>Stock!Y1237+"'E4!0:P"</f>
        <v>#VALUE!</v>
      </c>
      <c r="DT285" s="333" t="e">
        <f>Stock!S1238+"'E4!0:Q"</f>
        <v>#VALUE!</v>
      </c>
      <c r="DU285" s="333" t="e">
        <f>Stock!T1238+"'E4!0:R"</f>
        <v>#VALUE!</v>
      </c>
      <c r="DV285" t="e">
        <f>Stock!V1238+"'E4!0:S"</f>
        <v>#VALUE!</v>
      </c>
      <c r="DW285" t="e">
        <f>Stock!X1238+"'E4!0:T"</f>
        <v>#VALUE!</v>
      </c>
      <c r="DX285" t="e">
        <f>Stock!Y1238+"'E4!0:U"</f>
        <v>#VALUE!</v>
      </c>
      <c r="DY285" s="333" t="e">
        <f>Stock!S1239+"'E4!0:V"</f>
        <v>#VALUE!</v>
      </c>
      <c r="DZ285" s="333" t="e">
        <f>Stock!T1239+"'E4!0:W"</f>
        <v>#VALUE!</v>
      </c>
      <c r="EA285" t="e">
        <f>Stock!V1239+"'E4!0:X"</f>
        <v>#VALUE!</v>
      </c>
      <c r="EB285" t="e">
        <f>Stock!X1239+"'E4!0:Y"</f>
        <v>#VALUE!</v>
      </c>
      <c r="EC285" t="e">
        <f>Stock!Y1239+"'E4!0:Z"</f>
        <v>#VALUE!</v>
      </c>
      <c r="ED285" s="333" t="e">
        <f>Stock!S1240+"'E4!0:["</f>
        <v>#VALUE!</v>
      </c>
      <c r="EE285" s="333" t="e">
        <f>Stock!T1240+"'E4!0:\"</f>
        <v>#VALUE!</v>
      </c>
      <c r="EF285" t="e">
        <f>Stock!V1240+"'E4!0:]"</f>
        <v>#VALUE!</v>
      </c>
      <c r="EG285" t="e">
        <f>Stock!X1240+"'E4!0:^"</f>
        <v>#VALUE!</v>
      </c>
      <c r="EH285" t="e">
        <f>Stock!Y1240+"'E4!0:_"</f>
        <v>#VALUE!</v>
      </c>
      <c r="EI285" s="333" t="e">
        <f>Stock!S1241+"'E4!0:`"</f>
        <v>#VALUE!</v>
      </c>
      <c r="EJ285" s="333" t="e">
        <f>Stock!T1241+"'E4!0:a"</f>
        <v>#VALUE!</v>
      </c>
      <c r="EK285" t="e">
        <f>Stock!V1241+"'E4!0:b"</f>
        <v>#VALUE!</v>
      </c>
      <c r="EL285" t="e">
        <f>Stock!X1241+"'E4!0:c"</f>
        <v>#VALUE!</v>
      </c>
      <c r="EM285" t="e">
        <f>Stock!Y1241+"'E4!0:d"</f>
        <v>#VALUE!</v>
      </c>
      <c r="EN285" s="333" t="e">
        <f>Stock!S1242+"'E4!0:e"</f>
        <v>#VALUE!</v>
      </c>
      <c r="EO285" s="333" t="e">
        <f>Stock!T1242+"'E4!0:f"</f>
        <v>#VALUE!</v>
      </c>
      <c r="EP285" t="e">
        <f>Stock!V1242+"'E4!0:g"</f>
        <v>#VALUE!</v>
      </c>
      <c r="EQ285" t="e">
        <f>Stock!X1242+"'E4!0:h"</f>
        <v>#VALUE!</v>
      </c>
      <c r="ER285" t="e">
        <f>Stock!Y1242+"'E4!0:i"</f>
        <v>#VALUE!</v>
      </c>
      <c r="ES285" s="333" t="e">
        <f>Stock!S1243+"'E4!0:j"</f>
        <v>#VALUE!</v>
      </c>
      <c r="ET285" s="333" t="e">
        <f>Stock!T1243+"'E4!0:k"</f>
        <v>#VALUE!</v>
      </c>
      <c r="EU285" t="e">
        <f>Stock!V1243+"'E4!0:l"</f>
        <v>#VALUE!</v>
      </c>
      <c r="EV285" t="e">
        <f>Stock!X1243+"'E4!0:m"</f>
        <v>#VALUE!</v>
      </c>
      <c r="EW285" t="e">
        <f>Stock!Y1243+"'E4!0:n"</f>
        <v>#VALUE!</v>
      </c>
      <c r="EX285" s="333" t="e">
        <f>Stock!S1244+"'E4!0:o"</f>
        <v>#VALUE!</v>
      </c>
      <c r="EY285" s="333" t="e">
        <f>Stock!T1244+"'E4!0:p"</f>
        <v>#VALUE!</v>
      </c>
      <c r="EZ285" t="e">
        <f>Stock!V1244+"'E4!0:q"</f>
        <v>#VALUE!</v>
      </c>
      <c r="FA285" t="e">
        <f>Stock!X1244+"'E4!0:r"</f>
        <v>#VALUE!</v>
      </c>
      <c r="FB285" t="e">
        <f>Stock!Y1244+"'E4!0:s"</f>
        <v>#VALUE!</v>
      </c>
      <c r="FC285" s="333" t="e">
        <f>Stock!S1245+"'E4!0:t"</f>
        <v>#VALUE!</v>
      </c>
      <c r="FD285" s="333" t="e">
        <f>Stock!T1245+"'E4!0:u"</f>
        <v>#VALUE!</v>
      </c>
      <c r="FE285" t="e">
        <f>Stock!V1245+"'E4!0:v"</f>
        <v>#VALUE!</v>
      </c>
      <c r="FF285" t="e">
        <f>Stock!X1245+"'E4!0:w"</f>
        <v>#VALUE!</v>
      </c>
      <c r="FG285" t="e">
        <f>Stock!Y1245+"'E4!0:x"</f>
        <v>#VALUE!</v>
      </c>
      <c r="FH285" s="333" t="e">
        <f>Stock!S1246+"'E4!0:y"</f>
        <v>#VALUE!</v>
      </c>
      <c r="FI285" s="333" t="e">
        <f>Stock!T1246+"'E4!0:z"</f>
        <v>#VALUE!</v>
      </c>
      <c r="FJ285" t="e">
        <f>Stock!V1246+"'E4!0:{"</f>
        <v>#VALUE!</v>
      </c>
      <c r="FK285" t="e">
        <f>Stock!X1246+"'E4!0:|"</f>
        <v>#VALUE!</v>
      </c>
      <c r="FL285" t="e">
        <f>Stock!Y1246+"'E4!0:}"</f>
        <v>#VALUE!</v>
      </c>
      <c r="FM285" s="333" t="e">
        <f>Stock!S1247+"'E4!0:~"</f>
        <v>#VALUE!</v>
      </c>
      <c r="FN285" s="333" t="e">
        <f>Stock!T1247+"'E4!0;#"</f>
        <v>#VALUE!</v>
      </c>
      <c r="FO285" t="e">
        <f>Stock!V1247+"'E4!0;$"</f>
        <v>#VALUE!</v>
      </c>
      <c r="FP285" t="e">
        <f>Stock!X1247+"'E4!0;%"</f>
        <v>#VALUE!</v>
      </c>
      <c r="FQ285" t="e">
        <f>Stock!Y1247+"'E4!0;&amp;"</f>
        <v>#VALUE!</v>
      </c>
      <c r="FR285" s="333" t="e">
        <f>Stock!S1248+"'E4!0;'"</f>
        <v>#VALUE!</v>
      </c>
      <c r="FS285" s="333" t="e">
        <f>Stock!T1248+"'E4!0;("</f>
        <v>#VALUE!</v>
      </c>
      <c r="FT285" t="e">
        <f>Stock!V1248+"'E4!0;)"</f>
        <v>#VALUE!</v>
      </c>
      <c r="FU285" t="e">
        <f>Stock!X1248+"'E4!0;."</f>
        <v>#VALUE!</v>
      </c>
      <c r="FV285" t="e">
        <f>Stock!Y1248+"'E4!0;/"</f>
        <v>#VALUE!</v>
      </c>
      <c r="FW285" s="333" t="e">
        <f>Stock!S1249+"'E4!0;0"</f>
        <v>#VALUE!</v>
      </c>
      <c r="FX285" s="333" t="e">
        <f>Stock!T1249+"'E4!0;1"</f>
        <v>#VALUE!</v>
      </c>
      <c r="FY285" t="e">
        <f>Stock!V1249+"'E4!0;2"</f>
        <v>#VALUE!</v>
      </c>
      <c r="FZ285" t="e">
        <f>Stock!X1249+"'E4!0;3"</f>
        <v>#VALUE!</v>
      </c>
      <c r="GA285" t="e">
        <f>Stock!Y1249+"'E4!0;4"</f>
        <v>#VALUE!</v>
      </c>
      <c r="GB285" s="333" t="e">
        <f>Stock!S1250+"'E4!0;5"</f>
        <v>#VALUE!</v>
      </c>
      <c r="GC285" s="333" t="e">
        <f>Stock!T1250+"'E4!0;6"</f>
        <v>#VALUE!</v>
      </c>
      <c r="GD285" t="e">
        <f>Stock!V1250+"'E4!0;7"</f>
        <v>#VALUE!</v>
      </c>
      <c r="GE285" t="e">
        <f>Stock!X1250+"'E4!0;8"</f>
        <v>#VALUE!</v>
      </c>
      <c r="GF285" t="e">
        <f>Stock!Y1250+"'E4!0;9"</f>
        <v>#VALUE!</v>
      </c>
      <c r="GG285" s="333" t="e">
        <f>Stock!S1251+"'E4!0;:"</f>
        <v>#VALUE!</v>
      </c>
      <c r="GH285" s="333" t="e">
        <f>Stock!T1251+"'E4!0;;"</f>
        <v>#VALUE!</v>
      </c>
      <c r="GI285" t="e">
        <f>Stock!V1251+"'E4!0;&lt;"</f>
        <v>#VALUE!</v>
      </c>
      <c r="GJ285" t="e">
        <f>Stock!X1251+"'E4!0;="</f>
        <v>#VALUE!</v>
      </c>
      <c r="GK285" t="e">
        <f>Stock!Y1251+"'E4!0;&gt;"</f>
        <v>#VALUE!</v>
      </c>
      <c r="GL285" s="333" t="e">
        <f>Stock!S1252+"'E4!0;?"</f>
        <v>#VALUE!</v>
      </c>
      <c r="GM285" s="333" t="e">
        <f>Stock!T1252+"'E4!0;@"</f>
        <v>#VALUE!</v>
      </c>
      <c r="GN285" t="e">
        <f>Stock!V1252+"'E4!0;A"</f>
        <v>#VALUE!</v>
      </c>
      <c r="GO285" t="e">
        <f>Stock!X1252+"'E4!0;B"</f>
        <v>#VALUE!</v>
      </c>
      <c r="GP285" t="e">
        <f>Stock!Y1252+"'E4!0;C"</f>
        <v>#VALUE!</v>
      </c>
      <c r="GQ285" s="333" t="e">
        <f>Stock!S1253+"'E4!0;D"</f>
        <v>#VALUE!</v>
      </c>
      <c r="GR285" s="333" t="e">
        <f>Stock!T1253+"'E4!0;E"</f>
        <v>#VALUE!</v>
      </c>
      <c r="GS285" t="e">
        <f>Stock!V1253+"'E4!0;F"</f>
        <v>#VALUE!</v>
      </c>
      <c r="GT285" t="e">
        <f>Stock!X1253+"'E4!0;G"</f>
        <v>#VALUE!</v>
      </c>
      <c r="GU285" t="e">
        <f>Stock!Y1253+"'E4!0;H"</f>
        <v>#VALUE!</v>
      </c>
      <c r="GV285" s="333" t="e">
        <f>Stock!S1254+"'E4!0;I"</f>
        <v>#VALUE!</v>
      </c>
      <c r="GW285" s="333" t="e">
        <f>Stock!T1254+"'E4!0;J"</f>
        <v>#VALUE!</v>
      </c>
      <c r="GX285" t="e">
        <f>Stock!V1254+"'E4!0;K"</f>
        <v>#VALUE!</v>
      </c>
      <c r="GY285" t="e">
        <f>Stock!X1254+"'E4!0;L"</f>
        <v>#VALUE!</v>
      </c>
      <c r="GZ285" t="e">
        <f>Stock!Y1254+"'E4!0;M"</f>
        <v>#VALUE!</v>
      </c>
      <c r="HA285" s="333" t="e">
        <f>Stock!S1255+"'E4!0;N"</f>
        <v>#VALUE!</v>
      </c>
      <c r="HB285" s="333" t="e">
        <f>Stock!T1255+"'E4!0;O"</f>
        <v>#VALUE!</v>
      </c>
      <c r="HC285" t="e">
        <f>Stock!V1255+"'E4!0;P"</f>
        <v>#VALUE!</v>
      </c>
      <c r="HD285" t="e">
        <f>Stock!X1255+"'E4!0;Q"</f>
        <v>#VALUE!</v>
      </c>
      <c r="HE285" t="e">
        <f>Stock!Y1255+"'E4!0;R"</f>
        <v>#VALUE!</v>
      </c>
      <c r="HF285" s="333" t="e">
        <f>Stock!S1256+"'E4!0;S"</f>
        <v>#VALUE!</v>
      </c>
      <c r="HG285" s="333" t="e">
        <f>Stock!T1256+"'E4!0;T"</f>
        <v>#VALUE!</v>
      </c>
      <c r="HH285" t="e">
        <f>Stock!V1256+"'E4!0;U"</f>
        <v>#VALUE!</v>
      </c>
      <c r="HI285" t="e">
        <f>Stock!X1256+"'E4!0;V"</f>
        <v>#VALUE!</v>
      </c>
      <c r="HJ285" t="e">
        <f>Stock!Y1256+"'E4!0;W"</f>
        <v>#VALUE!</v>
      </c>
      <c r="HK285" s="333" t="e">
        <f>Stock!S1257+"'E4!0;X"</f>
        <v>#VALUE!</v>
      </c>
      <c r="HL285" s="333" t="e">
        <f>Stock!T1257+"'E4!0;Y"</f>
        <v>#VALUE!</v>
      </c>
      <c r="HM285" t="e">
        <f>Stock!V1257+"'E4!0;Z"</f>
        <v>#VALUE!</v>
      </c>
      <c r="HN285" t="e">
        <f>Stock!X1257+"'E4!0;["</f>
        <v>#VALUE!</v>
      </c>
      <c r="HO285" t="e">
        <f>Stock!Y1257+"'E4!0;\"</f>
        <v>#VALUE!</v>
      </c>
      <c r="HP285" s="333" t="e">
        <f>Stock!S1258+"'E4!0;]"</f>
        <v>#VALUE!</v>
      </c>
      <c r="HQ285" s="333" t="e">
        <f>Stock!T1258+"'E4!0;^"</f>
        <v>#VALUE!</v>
      </c>
      <c r="HR285" t="e">
        <f>Stock!V1258+"'E4!0;_"</f>
        <v>#VALUE!</v>
      </c>
      <c r="HS285" t="e">
        <f>Stock!X1258+"'E4!0;`"</f>
        <v>#VALUE!</v>
      </c>
      <c r="HT285" t="e">
        <f>Stock!Y1258+"'E4!0;a"</f>
        <v>#VALUE!</v>
      </c>
      <c r="HU285" s="333" t="e">
        <f>Stock!S1259+"'E4!0;b"</f>
        <v>#VALUE!</v>
      </c>
      <c r="HV285" s="333" t="e">
        <f>Stock!T1259+"'E4!0;c"</f>
        <v>#VALUE!</v>
      </c>
      <c r="HW285" t="e">
        <f>Stock!V1259+"'E4!0;d"</f>
        <v>#VALUE!</v>
      </c>
      <c r="HX285" t="e">
        <f>Stock!X1259+"'E4!0;e"</f>
        <v>#VALUE!</v>
      </c>
      <c r="HY285" t="e">
        <f>Stock!Y1259+"'E4!0;f"</f>
        <v>#VALUE!</v>
      </c>
      <c r="HZ285" s="333" t="e">
        <f>Stock!S1260+"'E4!0;g"</f>
        <v>#VALUE!</v>
      </c>
      <c r="IA285" s="333" t="e">
        <f>Stock!T1260+"'E4!0;h"</f>
        <v>#VALUE!</v>
      </c>
      <c r="IB285" t="e">
        <f>Stock!V1260+"'E4!0;i"</f>
        <v>#VALUE!</v>
      </c>
      <c r="IC285" t="e">
        <f>Stock!X1260+"'E4!0;j"</f>
        <v>#VALUE!</v>
      </c>
      <c r="ID285" t="e">
        <f>Stock!Y1260+"'E4!0;k"</f>
        <v>#VALUE!</v>
      </c>
      <c r="IE285" s="333" t="e">
        <f>Stock!S1261+"'E4!0;l"</f>
        <v>#VALUE!</v>
      </c>
      <c r="IF285" s="333" t="e">
        <f>Stock!T1261+"'E4!0;m"</f>
        <v>#VALUE!</v>
      </c>
      <c r="IG285" t="e">
        <f>Stock!V1261+"'E4!0;n"</f>
        <v>#VALUE!</v>
      </c>
      <c r="IH285" t="e">
        <f>Stock!X1261+"'E4!0;o"</f>
        <v>#VALUE!</v>
      </c>
      <c r="II285" t="e">
        <f>Stock!Y1261+"'E4!0;p"</f>
        <v>#VALUE!</v>
      </c>
      <c r="IJ285" s="333" t="e">
        <f>Stock!S1262+"'E4!0;q"</f>
        <v>#VALUE!</v>
      </c>
      <c r="IK285" s="333" t="e">
        <f>Stock!T1262+"'E4!0;r"</f>
        <v>#VALUE!</v>
      </c>
      <c r="IL285" t="e">
        <f>Stock!V1262+"'E4!0;s"</f>
        <v>#VALUE!</v>
      </c>
      <c r="IM285" t="e">
        <f>Stock!X1262+"'E4!0;t"</f>
        <v>#VALUE!</v>
      </c>
      <c r="IN285" t="e">
        <f>Stock!Y1262+"'E4!0;u"</f>
        <v>#VALUE!</v>
      </c>
      <c r="IO285" s="333" t="e">
        <f>Stock!S1263+"'E4!0;v"</f>
        <v>#VALUE!</v>
      </c>
      <c r="IP285" s="333" t="e">
        <f>Stock!T1263+"'E4!0;w"</f>
        <v>#VALUE!</v>
      </c>
      <c r="IQ285" t="e">
        <f>Stock!V1263+"'E4!0;x"</f>
        <v>#VALUE!</v>
      </c>
      <c r="IR285" t="e">
        <f>Stock!X1263+"'E4!0;y"</f>
        <v>#VALUE!</v>
      </c>
      <c r="IS285" t="e">
        <f>Stock!Y1263+"'E4!0;z"</f>
        <v>#VALUE!</v>
      </c>
      <c r="IT285" s="333" t="e">
        <f>Stock!S1264+"'E4!0;{"</f>
        <v>#VALUE!</v>
      </c>
      <c r="IU285" s="333" t="e">
        <f>Stock!T1264+"'E4!0;|"</f>
        <v>#VALUE!</v>
      </c>
      <c r="IV285" t="e">
        <f>Stock!V1264+"'E4!0;}"</f>
        <v>#VALUE!</v>
      </c>
    </row>
    <row r="286" spans="6:256">
      <c r="F286" t="e">
        <f>Stock!X1264+"'E4!0;~"</f>
        <v>#VALUE!</v>
      </c>
      <c r="G286" t="e">
        <f>Stock!Y1264+"'E4!0&lt;#"</f>
        <v>#VALUE!</v>
      </c>
      <c r="H286" s="333" t="e">
        <f>Stock!S1265+"'E4!0&lt;$"</f>
        <v>#VALUE!</v>
      </c>
      <c r="I286" s="333" t="e">
        <f>Stock!T1265+"'E4!0&lt;%"</f>
        <v>#VALUE!</v>
      </c>
      <c r="J286" t="e">
        <f>Stock!V1265+"'E4!0&lt;&amp;"</f>
        <v>#VALUE!</v>
      </c>
      <c r="K286" t="e">
        <f>Stock!X1265+"'E4!0&lt;'"</f>
        <v>#VALUE!</v>
      </c>
      <c r="L286" t="e">
        <f>Stock!Y1265+"'E4!0&lt;("</f>
        <v>#VALUE!</v>
      </c>
      <c r="M286" s="333" t="e">
        <f>Stock!S1266+"'E4!0&lt;)"</f>
        <v>#VALUE!</v>
      </c>
      <c r="N286" s="333" t="e">
        <f>Stock!T1266+"'E4!0&lt;."</f>
        <v>#VALUE!</v>
      </c>
      <c r="O286" t="e">
        <f>Stock!V1266+"'E4!0&lt;/"</f>
        <v>#VALUE!</v>
      </c>
      <c r="P286" t="e">
        <f>Stock!X1266+"'E4!0&lt;0"</f>
        <v>#VALUE!</v>
      </c>
      <c r="Q286" t="e">
        <f>Stock!Y1266+"'E4!0&lt;1"</f>
        <v>#VALUE!</v>
      </c>
      <c r="R286" s="333" t="e">
        <f>Stock!S1267+"'E4!0&lt;2"</f>
        <v>#VALUE!</v>
      </c>
      <c r="S286" s="333" t="e">
        <f>Stock!T1267+"'E4!0&lt;3"</f>
        <v>#VALUE!</v>
      </c>
      <c r="T286" t="e">
        <f>Stock!V1267+"'E4!0&lt;4"</f>
        <v>#VALUE!</v>
      </c>
      <c r="U286" t="e">
        <f>Stock!X1267+"'E4!0&lt;5"</f>
        <v>#VALUE!</v>
      </c>
      <c r="V286" t="e">
        <f>Stock!Y1267+"'E4!0&lt;6"</f>
        <v>#VALUE!</v>
      </c>
      <c r="W286" s="333" t="e">
        <f>Stock!S1268+"'E4!0&lt;7"</f>
        <v>#VALUE!</v>
      </c>
      <c r="X286" s="333" t="e">
        <f>Stock!T1268+"'E4!0&lt;8"</f>
        <v>#VALUE!</v>
      </c>
      <c r="Y286" t="e">
        <f>Stock!V1268+"'E4!0&lt;9"</f>
        <v>#VALUE!</v>
      </c>
      <c r="Z286" t="e">
        <f>Stock!X1268+"'E4!0&lt;:"</f>
        <v>#VALUE!</v>
      </c>
      <c r="AA286" t="e">
        <f>Stock!Y1268+"'E4!0&lt;;"</f>
        <v>#VALUE!</v>
      </c>
      <c r="AB286" s="333" t="e">
        <f>Stock!S1269+"'E4!0&lt;&lt;"</f>
        <v>#VALUE!</v>
      </c>
      <c r="AC286" s="333" t="e">
        <f>Stock!T1269+"'E4!0&lt;="</f>
        <v>#VALUE!</v>
      </c>
      <c r="AD286" t="e">
        <f>Stock!V1269+"'E4!0&lt;&gt;"</f>
        <v>#VALUE!</v>
      </c>
      <c r="AE286" t="e">
        <f>Stock!X1269+"'E4!0&lt;?"</f>
        <v>#VALUE!</v>
      </c>
      <c r="AF286" t="e">
        <f>Stock!Y1269+"'E4!0&lt;@"</f>
        <v>#VALUE!</v>
      </c>
      <c r="AG286" s="333" t="e">
        <f>Stock!S1270+"'E4!0&lt;A"</f>
        <v>#VALUE!</v>
      </c>
      <c r="AH286" s="333" t="e">
        <f>Stock!T1270+"'E4!0&lt;B"</f>
        <v>#VALUE!</v>
      </c>
      <c r="AI286" t="e">
        <f>Stock!V1270+"'E4!0&lt;C"</f>
        <v>#VALUE!</v>
      </c>
      <c r="AJ286" t="e">
        <f>Stock!X1270+"'E4!0&lt;D"</f>
        <v>#VALUE!</v>
      </c>
      <c r="AK286" t="e">
        <f>Stock!Y1270+"'E4!0&lt;E"</f>
        <v>#VALUE!</v>
      </c>
      <c r="AL286" s="333" t="e">
        <f>Stock!S1271+"'E4!0&lt;F"</f>
        <v>#VALUE!</v>
      </c>
      <c r="AM286" s="333" t="e">
        <f>Stock!T1271+"'E4!0&lt;G"</f>
        <v>#VALUE!</v>
      </c>
      <c r="AN286" t="e">
        <f>Stock!V1271+"'E4!0&lt;H"</f>
        <v>#VALUE!</v>
      </c>
      <c r="AO286" t="e">
        <f>Stock!X1271+"'E4!0&lt;I"</f>
        <v>#VALUE!</v>
      </c>
      <c r="AP286" t="e">
        <f>Stock!Y1271+"'E4!0&lt;J"</f>
        <v>#VALUE!</v>
      </c>
      <c r="AQ286" s="333" t="e">
        <f>Stock!S1272+"'E4!0&lt;K"</f>
        <v>#VALUE!</v>
      </c>
      <c r="AR286" s="333" t="e">
        <f>Stock!T1272+"'E4!0&lt;L"</f>
        <v>#VALUE!</v>
      </c>
      <c r="AS286" t="e">
        <f>Stock!V1272+"'E4!0&lt;M"</f>
        <v>#VALUE!</v>
      </c>
      <c r="AT286" t="e">
        <f>Stock!X1272+"'E4!0&lt;N"</f>
        <v>#VALUE!</v>
      </c>
      <c r="AU286" t="e">
        <f>Stock!Y1272+"'E4!0&lt;O"</f>
        <v>#VALUE!</v>
      </c>
      <c r="AV286" s="333" t="e">
        <f>Stock!S1273+"'E4!0&lt;P"</f>
        <v>#VALUE!</v>
      </c>
      <c r="AW286" s="333" t="e">
        <f>Stock!T1273+"'E4!0&lt;Q"</f>
        <v>#VALUE!</v>
      </c>
      <c r="AX286" t="e">
        <f>Stock!V1273+"'E4!0&lt;R"</f>
        <v>#VALUE!</v>
      </c>
      <c r="AY286" t="e">
        <f>Stock!X1273+"'E4!0&lt;S"</f>
        <v>#VALUE!</v>
      </c>
      <c r="AZ286" t="e">
        <f>Stock!Y1273+"'E4!0&lt;T"</f>
        <v>#VALUE!</v>
      </c>
      <c r="BA286" s="333" t="e">
        <f>Stock!S1274+"'E4!0&lt;U"</f>
        <v>#VALUE!</v>
      </c>
      <c r="BB286" s="333" t="e">
        <f>Stock!T1274+"'E4!0&lt;V"</f>
        <v>#VALUE!</v>
      </c>
      <c r="BC286" t="e">
        <f>Stock!V1274+"'E4!0&lt;W"</f>
        <v>#VALUE!</v>
      </c>
      <c r="BD286" t="e">
        <f>Stock!X1274+"'E4!0&lt;X"</f>
        <v>#VALUE!</v>
      </c>
      <c r="BE286" t="e">
        <f>Stock!Y1274+"'E4!0&lt;Y"</f>
        <v>#VALUE!</v>
      </c>
      <c r="BF286" s="333" t="e">
        <f>Stock!S1275+"'E4!0&lt;Z"</f>
        <v>#VALUE!</v>
      </c>
      <c r="BG286" s="333" t="e">
        <f>Stock!T1275+"'E4!0&lt;["</f>
        <v>#VALUE!</v>
      </c>
      <c r="BH286" t="e">
        <f>Stock!V1275+"'E4!0&lt;\"</f>
        <v>#VALUE!</v>
      </c>
      <c r="BI286" t="e">
        <f>Stock!X1275+"'E4!0&lt;]"</f>
        <v>#VALUE!</v>
      </c>
      <c r="BJ286" t="e">
        <f>Stock!Y1275+"'E4!0&lt;^"</f>
        <v>#VALUE!</v>
      </c>
      <c r="BK286" s="333" t="e">
        <f>Stock!S1276+"'E4!0&lt;_"</f>
        <v>#VALUE!</v>
      </c>
      <c r="BL286" s="333" t="e">
        <f>Stock!T1276+"'E4!0&lt;`"</f>
        <v>#VALUE!</v>
      </c>
      <c r="BM286" t="e">
        <f>Stock!V1276+"'E4!0&lt;a"</f>
        <v>#VALUE!</v>
      </c>
      <c r="BN286" t="e">
        <f>Stock!X1276+"'E4!0&lt;b"</f>
        <v>#VALUE!</v>
      </c>
      <c r="BO286" t="e">
        <f>Stock!Y1276+"'E4!0&lt;c"</f>
        <v>#VALUE!</v>
      </c>
      <c r="BP286" s="333" t="e">
        <f>Stock!S1277+"'E4!0&lt;d"</f>
        <v>#VALUE!</v>
      </c>
      <c r="BQ286" s="333" t="e">
        <f>Stock!T1277+"'E4!0&lt;e"</f>
        <v>#VALUE!</v>
      </c>
      <c r="BR286" t="e">
        <f>Stock!V1277+"'E4!0&lt;f"</f>
        <v>#VALUE!</v>
      </c>
      <c r="BS286" t="e">
        <f>Stock!X1277+"'E4!0&lt;g"</f>
        <v>#VALUE!</v>
      </c>
      <c r="BT286" t="e">
        <f>Stock!Y1277+"'E4!0&lt;h"</f>
        <v>#VALUE!</v>
      </c>
      <c r="BU286" s="333" t="e">
        <f>Stock!S1278+"'E4!0&lt;i"</f>
        <v>#VALUE!</v>
      </c>
      <c r="BV286" s="333" t="e">
        <f>Stock!T1278+"'E4!0&lt;j"</f>
        <v>#VALUE!</v>
      </c>
      <c r="BW286" t="e">
        <f>Stock!V1278+"'E4!0&lt;k"</f>
        <v>#VALUE!</v>
      </c>
      <c r="BX286" t="e">
        <f>Stock!X1278+"'E4!0&lt;l"</f>
        <v>#VALUE!</v>
      </c>
      <c r="BY286" t="e">
        <f>Stock!Y1278+"'E4!0&lt;m"</f>
        <v>#VALUE!</v>
      </c>
      <c r="BZ286" s="333" t="e">
        <f>Stock!S1279+"'E4!0&lt;n"</f>
        <v>#VALUE!</v>
      </c>
      <c r="CA286" s="333" t="e">
        <f>Stock!T1279+"'E4!0&lt;o"</f>
        <v>#VALUE!</v>
      </c>
      <c r="CB286" t="e">
        <f>Stock!V1279+"'E4!0&lt;p"</f>
        <v>#VALUE!</v>
      </c>
      <c r="CC286" t="e">
        <f>Stock!X1279+"'E4!0&lt;q"</f>
        <v>#VALUE!</v>
      </c>
      <c r="CD286" t="e">
        <f>Stock!Y1279+"'E4!0&lt;r"</f>
        <v>#VALUE!</v>
      </c>
      <c r="CE286" s="333" t="e">
        <f>Stock!S1280+"'E4!0&lt;s"</f>
        <v>#VALUE!</v>
      </c>
      <c r="CF286" s="333" t="e">
        <f>Stock!T1280+"'E4!0&lt;t"</f>
        <v>#VALUE!</v>
      </c>
      <c r="CG286" t="e">
        <f>Stock!V1280+"'E4!0&lt;u"</f>
        <v>#VALUE!</v>
      </c>
      <c r="CH286" t="e">
        <f>Stock!X1280+"'E4!0&lt;v"</f>
        <v>#VALUE!</v>
      </c>
      <c r="CI286" t="e">
        <f>Stock!Y1280+"'E4!0&lt;w"</f>
        <v>#VALUE!</v>
      </c>
      <c r="CJ286" s="333" t="e">
        <f>Stock!S1281+"'E4!0&lt;x"</f>
        <v>#VALUE!</v>
      </c>
      <c r="CK286" s="333" t="e">
        <f>Stock!T1281+"'E4!0&lt;y"</f>
        <v>#VALUE!</v>
      </c>
      <c r="CL286" t="e">
        <f>Stock!V1281+"'E4!0&lt;z"</f>
        <v>#VALUE!</v>
      </c>
      <c r="CM286" t="e">
        <f>Stock!X1281+"'E4!0&lt;{"</f>
        <v>#VALUE!</v>
      </c>
      <c r="CN286" t="e">
        <f>Stock!Y1281+"'E4!0&lt;|"</f>
        <v>#VALUE!</v>
      </c>
      <c r="CO286" s="333" t="e">
        <f>Stock!S1282+"'E4!0&lt;}"</f>
        <v>#VALUE!</v>
      </c>
      <c r="CP286" s="333" t="e">
        <f>Stock!T1282+"'E4!0&lt;~"</f>
        <v>#VALUE!</v>
      </c>
      <c r="CQ286" t="e">
        <f>Stock!V1282+"'E4!0=#"</f>
        <v>#VALUE!</v>
      </c>
      <c r="CR286" t="e">
        <f>Stock!X1282+"'E4!0=$"</f>
        <v>#VALUE!</v>
      </c>
      <c r="CS286" t="e">
        <f>Stock!Y1282+"'E4!0=%"</f>
        <v>#VALUE!</v>
      </c>
      <c r="CT286" s="333" t="e">
        <f>Stock!S1283+"'E4!0=&amp;"</f>
        <v>#VALUE!</v>
      </c>
      <c r="CU286" s="333" t="e">
        <f>Stock!T1283+"'E4!0='"</f>
        <v>#VALUE!</v>
      </c>
      <c r="CV286" t="e">
        <f>Stock!V1283+"'E4!0=("</f>
        <v>#VALUE!</v>
      </c>
      <c r="CW286" t="e">
        <f>Stock!X1283+"'E4!0=)"</f>
        <v>#VALUE!</v>
      </c>
      <c r="CX286" t="e">
        <f>Stock!Y1283+"'E4!0=."</f>
        <v>#VALUE!</v>
      </c>
      <c r="CY286" s="333" t="e">
        <f>Stock!S1284+"'E4!0=/"</f>
        <v>#VALUE!</v>
      </c>
      <c r="CZ286" s="333" t="e">
        <f>Stock!T1284+"'E4!0=0"</f>
        <v>#VALUE!</v>
      </c>
      <c r="DA286" t="e">
        <f>Stock!V1284+"'E4!0=1"</f>
        <v>#VALUE!</v>
      </c>
      <c r="DB286" t="e">
        <f>Stock!X1284+"'E4!0=2"</f>
        <v>#VALUE!</v>
      </c>
      <c r="DC286" t="e">
        <f>Stock!Y1284+"'E4!0=3"</f>
        <v>#VALUE!</v>
      </c>
      <c r="DD286" s="333" t="e">
        <f>Stock!S1285+"'E4!0=4"</f>
        <v>#VALUE!</v>
      </c>
      <c r="DE286" s="333" t="e">
        <f>Stock!T1285+"'E4!0=5"</f>
        <v>#VALUE!</v>
      </c>
      <c r="DF286" t="e">
        <f>Stock!V1285+"'E4!0=6"</f>
        <v>#VALUE!</v>
      </c>
      <c r="DG286" t="e">
        <f>Stock!X1285+"'E4!0=7"</f>
        <v>#VALUE!</v>
      </c>
      <c r="DH286" t="e">
        <f>Stock!Y1285+"'E4!0=8"</f>
        <v>#VALUE!</v>
      </c>
      <c r="DI286" s="333" t="e">
        <f>Stock!S1286+"'E4!0=9"</f>
        <v>#VALUE!</v>
      </c>
      <c r="DJ286" s="333" t="e">
        <f>Stock!T1286+"'E4!0=:"</f>
        <v>#VALUE!</v>
      </c>
      <c r="DK286" t="e">
        <f>Stock!V1286+"'E4!0=;"</f>
        <v>#VALUE!</v>
      </c>
      <c r="DL286" t="e">
        <f>Stock!X1286+"'E4!0=&lt;"</f>
        <v>#VALUE!</v>
      </c>
      <c r="DM286" t="e">
        <f>Stock!Y1286+"'E4!0=="</f>
        <v>#VALUE!</v>
      </c>
      <c r="DN286" s="333" t="e">
        <f>Stock!S1287+"'E4!0=&gt;"</f>
        <v>#VALUE!</v>
      </c>
      <c r="DO286" s="333" t="e">
        <f>Stock!T1287+"'E4!0=?"</f>
        <v>#VALUE!</v>
      </c>
      <c r="DP286" t="e">
        <f>Stock!V1287+"'E4!0=@"</f>
        <v>#VALUE!</v>
      </c>
      <c r="DQ286" t="e">
        <f>Stock!X1287+"'E4!0=A"</f>
        <v>#VALUE!</v>
      </c>
      <c r="DR286" t="e">
        <f>Stock!Y1287+"'E4!0=B"</f>
        <v>#VALUE!</v>
      </c>
      <c r="DS286" s="333" t="e">
        <f>Stock!S1288+"'E4!0=C"</f>
        <v>#VALUE!</v>
      </c>
      <c r="DT286" s="333" t="e">
        <f>Stock!T1288+"'E4!0=D"</f>
        <v>#VALUE!</v>
      </c>
      <c r="DU286" t="e">
        <f>Stock!V1288+"'E4!0=E"</f>
        <v>#VALUE!</v>
      </c>
      <c r="DV286" t="e">
        <f>Stock!X1288+"'E4!0=F"</f>
        <v>#VALUE!</v>
      </c>
      <c r="DW286" t="e">
        <f>Stock!Y1288+"'E4!0=G"</f>
        <v>#VALUE!</v>
      </c>
      <c r="DX286" s="333" t="e">
        <f>Stock!S1289+"'E4!0=H"</f>
        <v>#VALUE!</v>
      </c>
      <c r="DY286" s="333" t="e">
        <f>Stock!T1289+"'E4!0=I"</f>
        <v>#VALUE!</v>
      </c>
      <c r="DZ286" t="e">
        <f>Stock!V1289+"'E4!0=J"</f>
        <v>#VALUE!</v>
      </c>
      <c r="EA286" t="e">
        <f>Stock!X1289+"'E4!0=K"</f>
        <v>#VALUE!</v>
      </c>
      <c r="EB286" t="e">
        <f>Stock!Y1289+"'E4!0=L"</f>
        <v>#VALUE!</v>
      </c>
      <c r="EC286" s="333" t="e">
        <f>Stock!S1290+"'E4!0=M"</f>
        <v>#VALUE!</v>
      </c>
      <c r="ED286" s="333" t="e">
        <f>Stock!T1290+"'E4!0=N"</f>
        <v>#VALUE!</v>
      </c>
      <c r="EE286" t="e">
        <f>Stock!V1290+"'E4!0=O"</f>
        <v>#VALUE!</v>
      </c>
      <c r="EF286" t="e">
        <f>Stock!X1290+"'E4!0=P"</f>
        <v>#VALUE!</v>
      </c>
      <c r="EG286" t="e">
        <f>Stock!Y1290+"'E4!0=Q"</f>
        <v>#VALUE!</v>
      </c>
      <c r="EH286" s="333" t="e">
        <f>Stock!S1291+"'E4!0=R"</f>
        <v>#VALUE!</v>
      </c>
      <c r="EI286" s="333" t="e">
        <f>Stock!T1291+"'E4!0=S"</f>
        <v>#VALUE!</v>
      </c>
      <c r="EJ286" t="e">
        <f>Stock!V1291+"'E4!0=T"</f>
        <v>#VALUE!</v>
      </c>
      <c r="EK286" t="e">
        <f>Stock!X1291+"'E4!0=U"</f>
        <v>#VALUE!</v>
      </c>
      <c r="EL286" t="e">
        <f>Stock!Y1291+"'E4!0=V"</f>
        <v>#VALUE!</v>
      </c>
      <c r="EM286" s="333" t="e">
        <f>Stock!S1292+"'E4!0=W"</f>
        <v>#VALUE!</v>
      </c>
      <c r="EN286" s="333" t="e">
        <f>Stock!T1292+"'E4!0=X"</f>
        <v>#VALUE!</v>
      </c>
      <c r="EO286" t="e">
        <f>Stock!V1292+"'E4!0=Y"</f>
        <v>#VALUE!</v>
      </c>
      <c r="EP286" t="e">
        <f>Stock!X1292+"'E4!0=Z"</f>
        <v>#VALUE!</v>
      </c>
      <c r="EQ286" t="e">
        <f>Stock!Y1292+"'E4!0=["</f>
        <v>#VALUE!</v>
      </c>
      <c r="ER286" s="333" t="e">
        <f>Stock!S1293+"'E4!0=\"</f>
        <v>#VALUE!</v>
      </c>
      <c r="ES286" s="333" t="e">
        <f>Stock!T1293+"'E4!0=]"</f>
        <v>#VALUE!</v>
      </c>
      <c r="ET286" t="e">
        <f>Stock!V1293+"'E4!0=^"</f>
        <v>#VALUE!</v>
      </c>
      <c r="EU286" t="e">
        <f>Stock!X1293+"'E4!0=_"</f>
        <v>#VALUE!</v>
      </c>
      <c r="EV286" t="e">
        <f>Stock!Y1293+"'E4!0=`"</f>
        <v>#VALUE!</v>
      </c>
      <c r="EW286" s="333" t="e">
        <f>Stock!S1294+"'E4!0=a"</f>
        <v>#VALUE!</v>
      </c>
      <c r="EX286" s="333" t="e">
        <f>Stock!T1294+"'E4!0=b"</f>
        <v>#VALUE!</v>
      </c>
      <c r="EY286" t="e">
        <f>Stock!V1294+"'E4!0=c"</f>
        <v>#VALUE!</v>
      </c>
      <c r="EZ286" t="e">
        <f>Stock!X1294+"'E4!0=d"</f>
        <v>#VALUE!</v>
      </c>
      <c r="FA286" t="e">
        <f>Stock!Y1294+"'E4!0=e"</f>
        <v>#VALUE!</v>
      </c>
      <c r="FB286" s="333" t="e">
        <f>Stock!S1295+"'E4!0=f"</f>
        <v>#VALUE!</v>
      </c>
      <c r="FC286" s="333" t="e">
        <f>Stock!T1295+"'E4!0=g"</f>
        <v>#VALUE!</v>
      </c>
      <c r="FD286" t="e">
        <f>Stock!V1295+"'E4!0=h"</f>
        <v>#VALUE!</v>
      </c>
      <c r="FE286" t="e">
        <f>Stock!X1295+"'E4!0=i"</f>
        <v>#VALUE!</v>
      </c>
      <c r="FF286" t="e">
        <f>Stock!Y1295+"'E4!0=j"</f>
        <v>#VALUE!</v>
      </c>
      <c r="FG286" s="333" t="e">
        <f>Stock!S1296+"'E4!0=k"</f>
        <v>#VALUE!</v>
      </c>
      <c r="FH286" s="333" t="e">
        <f>Stock!T1296+"'E4!0=l"</f>
        <v>#VALUE!</v>
      </c>
      <c r="FI286" t="e">
        <f>Stock!V1296+"'E4!0=m"</f>
        <v>#VALUE!</v>
      </c>
      <c r="FJ286" t="e">
        <f>Stock!X1296+"'E4!0=n"</f>
        <v>#VALUE!</v>
      </c>
      <c r="FK286" t="e">
        <f>Stock!Y1296+"'E4!0=o"</f>
        <v>#VALUE!</v>
      </c>
      <c r="FL286" s="333" t="e">
        <f>Stock!S1297+"'E4!0=p"</f>
        <v>#VALUE!</v>
      </c>
      <c r="FM286" s="333" t="e">
        <f>Stock!T1297+"'E4!0=q"</f>
        <v>#VALUE!</v>
      </c>
      <c r="FN286" t="e">
        <f>Stock!V1297+"'E4!0=r"</f>
        <v>#VALUE!</v>
      </c>
      <c r="FO286" t="e">
        <f>Stock!X1297+"'E4!0=s"</f>
        <v>#VALUE!</v>
      </c>
      <c r="FP286" t="e">
        <f>Stock!Y1297+"'E4!0=t"</f>
        <v>#VALUE!</v>
      </c>
      <c r="FQ286" s="333" t="e">
        <f>Stock!S1298+"'E4!0=u"</f>
        <v>#VALUE!</v>
      </c>
      <c r="FR286" s="333" t="e">
        <f>Stock!T1298+"'E4!0=v"</f>
        <v>#VALUE!</v>
      </c>
      <c r="FS286" t="e">
        <f>Stock!V1298+"'E4!0=w"</f>
        <v>#VALUE!</v>
      </c>
      <c r="FT286" t="e">
        <f>Stock!X1298+"'E4!0=x"</f>
        <v>#VALUE!</v>
      </c>
      <c r="FU286" t="e">
        <f>Stock!Y1298+"'E4!0=y"</f>
        <v>#VALUE!</v>
      </c>
      <c r="FV286" s="333" t="e">
        <f>Stock!S1299+"'E4!0=z"</f>
        <v>#VALUE!</v>
      </c>
      <c r="FW286" s="333" t="e">
        <f>Stock!T1299+"'E4!0={"</f>
        <v>#VALUE!</v>
      </c>
      <c r="FX286" t="e">
        <f>Stock!V1299+"'E4!0=|"</f>
        <v>#VALUE!</v>
      </c>
      <c r="FY286" t="e">
        <f>Stock!X1299+"'E4!0=}"</f>
        <v>#VALUE!</v>
      </c>
      <c r="FZ286" t="e">
        <f>Stock!Y1299+"'E4!0=~"</f>
        <v>#VALUE!</v>
      </c>
      <c r="GA286" s="333" t="e">
        <f>Stock!S1300+"'E4!0&gt;#"</f>
        <v>#VALUE!</v>
      </c>
      <c r="GB286" s="333" t="e">
        <f>Stock!T1300+"'E4!0&gt;$"</f>
        <v>#VALUE!</v>
      </c>
      <c r="GC286" t="e">
        <f>Stock!V1300+"'E4!0&gt;%"</f>
        <v>#VALUE!</v>
      </c>
      <c r="GD286" t="e">
        <f>Stock!X1300+"'E4!0&gt;&amp;"</f>
        <v>#VALUE!</v>
      </c>
      <c r="GE286" t="e">
        <f>Stock!Y1300+"'E4!0&gt;'"</f>
        <v>#VALUE!</v>
      </c>
      <c r="GF286" s="333" t="e">
        <f>Stock!S1301+"'E4!0&gt;("</f>
        <v>#VALUE!</v>
      </c>
      <c r="GG286" s="333" t="e">
        <f>Stock!T1301+"'E4!0&gt;)"</f>
        <v>#VALUE!</v>
      </c>
      <c r="GH286" t="e">
        <f>Stock!V1301+"'E4!0&gt;."</f>
        <v>#VALUE!</v>
      </c>
      <c r="GI286" t="e">
        <f>Stock!X1301+"'E4!0&gt;/"</f>
        <v>#VALUE!</v>
      </c>
      <c r="GJ286" t="e">
        <f>Stock!Y1301+"'E4!0&gt;0"</f>
        <v>#VALUE!</v>
      </c>
      <c r="GK286" s="333" t="e">
        <f>Stock!S1302+"'E4!0&gt;1"</f>
        <v>#VALUE!</v>
      </c>
      <c r="GL286" s="333" t="e">
        <f>Stock!T1302+"'E4!0&gt;2"</f>
        <v>#VALUE!</v>
      </c>
      <c r="GM286" t="e">
        <f>Stock!V1302+"'E4!0&gt;3"</f>
        <v>#VALUE!</v>
      </c>
      <c r="GN286" t="e">
        <f>Stock!X1302+"'E4!0&gt;4"</f>
        <v>#VALUE!</v>
      </c>
      <c r="GO286" t="e">
        <f>Stock!Y1302+"'E4!0&gt;5"</f>
        <v>#VALUE!</v>
      </c>
      <c r="GP286" s="333" t="e">
        <f>Stock!S1303+"'E4!0&gt;6"</f>
        <v>#VALUE!</v>
      </c>
      <c r="GQ286" s="333" t="e">
        <f>Stock!T1303+"'E4!0&gt;7"</f>
        <v>#VALUE!</v>
      </c>
      <c r="GR286" t="e">
        <f>Stock!V1303+"'E4!0&gt;8"</f>
        <v>#VALUE!</v>
      </c>
      <c r="GS286" t="e">
        <f>Stock!X1303+"'E4!0&gt;9"</f>
        <v>#VALUE!</v>
      </c>
      <c r="GT286" t="e">
        <f>Stock!Y1303+"'E4!0&gt;:"</f>
        <v>#VALUE!</v>
      </c>
      <c r="GU286" s="333" t="e">
        <f>Stock!S1304+"'E4!0&gt;;"</f>
        <v>#VALUE!</v>
      </c>
      <c r="GV286" s="333" t="e">
        <f>Stock!T1304+"'E4!0&gt;&lt;"</f>
        <v>#VALUE!</v>
      </c>
      <c r="GW286" t="e">
        <f>Stock!V1304+"'E4!0&gt;="</f>
        <v>#VALUE!</v>
      </c>
      <c r="GX286" t="e">
        <f>Stock!X1304+"'E4!0&gt;&gt;"</f>
        <v>#VALUE!</v>
      </c>
      <c r="GY286" t="e">
        <f>Stock!Y1304+"'E4!0&gt;?"</f>
        <v>#VALUE!</v>
      </c>
      <c r="GZ286" s="333" t="e">
        <f>Stock!S1305+"'E4!0&gt;@"</f>
        <v>#VALUE!</v>
      </c>
      <c r="HA286" s="333" t="e">
        <f>Stock!T1305+"'E4!0&gt;A"</f>
        <v>#VALUE!</v>
      </c>
      <c r="HB286" t="e">
        <f>Stock!V1305+"'E4!0&gt;B"</f>
        <v>#VALUE!</v>
      </c>
      <c r="HC286" t="e">
        <f>Stock!X1305+"'E4!0&gt;C"</f>
        <v>#VALUE!</v>
      </c>
      <c r="HD286" t="e">
        <f>Stock!Y1305+"'E4!0&gt;D"</f>
        <v>#VALUE!</v>
      </c>
      <c r="HE286" s="333" t="e">
        <f>Stock!S1306+"'E4!0&gt;E"</f>
        <v>#VALUE!</v>
      </c>
      <c r="HF286" s="333" t="e">
        <f>Stock!T1306+"'E4!0&gt;F"</f>
        <v>#VALUE!</v>
      </c>
      <c r="HG286" t="e">
        <f>Stock!V1306+"'E4!0&gt;G"</f>
        <v>#VALUE!</v>
      </c>
      <c r="HH286" t="e">
        <f>Stock!X1306+"'E4!0&gt;H"</f>
        <v>#VALUE!</v>
      </c>
      <c r="HI286" t="e">
        <f>Stock!Y1306+"'E4!0&gt;I"</f>
        <v>#VALUE!</v>
      </c>
      <c r="HJ286" s="333" t="e">
        <f>Stock!S1307+"'E4!0&gt;J"</f>
        <v>#VALUE!</v>
      </c>
      <c r="HK286" s="333" t="e">
        <f>Stock!T1307+"'E4!0&gt;K"</f>
        <v>#VALUE!</v>
      </c>
      <c r="HL286" t="e">
        <f>Stock!V1307+"'E4!0&gt;L"</f>
        <v>#VALUE!</v>
      </c>
      <c r="HM286" t="e">
        <f>Stock!X1307+"'E4!0&gt;M"</f>
        <v>#VALUE!</v>
      </c>
      <c r="HN286" t="e">
        <f>Stock!Y1307+"'E4!0&gt;N"</f>
        <v>#VALUE!</v>
      </c>
      <c r="HO286" s="333" t="e">
        <f>Stock!S1308+"'E4!0&gt;O"</f>
        <v>#VALUE!</v>
      </c>
      <c r="HP286" s="333" t="e">
        <f>Stock!T1308+"'E4!0&gt;P"</f>
        <v>#VALUE!</v>
      </c>
      <c r="HQ286" t="e">
        <f>Stock!V1308+"'E4!0&gt;Q"</f>
        <v>#VALUE!</v>
      </c>
      <c r="HR286" t="e">
        <f>Stock!X1308+"'E4!0&gt;R"</f>
        <v>#VALUE!</v>
      </c>
      <c r="HS286" t="e">
        <f>Stock!Y1308+"'E4!0&gt;S"</f>
        <v>#VALUE!</v>
      </c>
      <c r="HT286" s="333" t="e">
        <f>Stock!S1309+"'E4!0&gt;T"</f>
        <v>#VALUE!</v>
      </c>
      <c r="HU286" s="333" t="e">
        <f>Stock!T1309+"'E4!0&gt;U"</f>
        <v>#VALUE!</v>
      </c>
      <c r="HV286" t="e">
        <f>Stock!V1309+"'E4!0&gt;V"</f>
        <v>#VALUE!</v>
      </c>
      <c r="HW286" t="e">
        <f>Stock!X1309+"'E4!0&gt;W"</f>
        <v>#VALUE!</v>
      </c>
      <c r="HX286" t="e">
        <f>Stock!Y1309+"'E4!0&gt;X"</f>
        <v>#VALUE!</v>
      </c>
      <c r="HY286" s="333" t="e">
        <f>Stock!S1310+"'E4!0&gt;Y"</f>
        <v>#VALUE!</v>
      </c>
      <c r="HZ286" s="333" t="e">
        <f>Stock!T1310+"'E4!0&gt;Z"</f>
        <v>#VALUE!</v>
      </c>
      <c r="IA286" t="e">
        <f>Stock!V1310+"'E4!0&gt;["</f>
        <v>#VALUE!</v>
      </c>
      <c r="IB286" t="e">
        <f>Stock!X1310+"'E4!0&gt;\"</f>
        <v>#VALUE!</v>
      </c>
      <c r="IC286" t="e">
        <f>Stock!Y1310+"'E4!0&gt;]"</f>
        <v>#VALUE!</v>
      </c>
      <c r="ID286" s="333" t="e">
        <f>Stock!S1311+"'E4!0&gt;^"</f>
        <v>#VALUE!</v>
      </c>
      <c r="IE286" s="333" t="e">
        <f>Stock!T1311+"'E4!0&gt;_"</f>
        <v>#VALUE!</v>
      </c>
      <c r="IF286" t="e">
        <f>Stock!V1311+"'E4!0&gt;`"</f>
        <v>#VALUE!</v>
      </c>
      <c r="IG286" t="e">
        <f>Stock!X1311+"'E4!0&gt;a"</f>
        <v>#VALUE!</v>
      </c>
      <c r="IH286" t="e">
        <f>Stock!Y1311+"'E4!0&gt;b"</f>
        <v>#VALUE!</v>
      </c>
      <c r="II286" s="333" t="e">
        <f>Stock!S1312+"'E4!0&gt;c"</f>
        <v>#VALUE!</v>
      </c>
      <c r="IJ286" s="333" t="e">
        <f>Stock!T1312+"'E4!0&gt;d"</f>
        <v>#VALUE!</v>
      </c>
      <c r="IK286" t="e">
        <f>Stock!V1312+"'E4!0&gt;e"</f>
        <v>#VALUE!</v>
      </c>
      <c r="IL286" t="e">
        <f>Stock!X1312+"'E4!0&gt;f"</f>
        <v>#VALUE!</v>
      </c>
      <c r="IM286" t="e">
        <f>Stock!Y1312+"'E4!0&gt;g"</f>
        <v>#VALUE!</v>
      </c>
      <c r="IN286" s="333" t="e">
        <f>Stock!S1313+"'E4!0&gt;h"</f>
        <v>#VALUE!</v>
      </c>
      <c r="IO286" s="333" t="e">
        <f>Stock!T1313+"'E4!0&gt;i"</f>
        <v>#VALUE!</v>
      </c>
      <c r="IP286" t="e">
        <f>Stock!V1313+"'E4!0&gt;j"</f>
        <v>#VALUE!</v>
      </c>
      <c r="IQ286" t="e">
        <f>Stock!X1313+"'E4!0&gt;k"</f>
        <v>#VALUE!</v>
      </c>
      <c r="IR286" t="e">
        <f>Stock!Y1313+"'E4!0&gt;l"</f>
        <v>#VALUE!</v>
      </c>
      <c r="IS286" s="333" t="e">
        <f>Stock!S1314+"'E4!0&gt;m"</f>
        <v>#VALUE!</v>
      </c>
      <c r="IT286" s="333" t="e">
        <f>Stock!T1314+"'E4!0&gt;n"</f>
        <v>#VALUE!</v>
      </c>
      <c r="IU286" t="e">
        <f>Stock!V1314+"'E4!0&gt;o"</f>
        <v>#VALUE!</v>
      </c>
      <c r="IV286" t="e">
        <f>Stock!X1314+"'E4!0&gt;p"</f>
        <v>#VALUE!</v>
      </c>
    </row>
    <row r="287" spans="6:256">
      <c r="F287" t="e">
        <f>Stock!Y1314+"'E4!0&gt;q"</f>
        <v>#VALUE!</v>
      </c>
      <c r="G287" s="333" t="e">
        <f>Stock!S1315+"'E4!0&gt;r"</f>
        <v>#VALUE!</v>
      </c>
      <c r="H287" s="333" t="e">
        <f>Stock!T1315+"'E4!0&gt;s"</f>
        <v>#VALUE!</v>
      </c>
      <c r="I287" t="e">
        <f>Stock!V1315+"'E4!0&gt;t"</f>
        <v>#VALUE!</v>
      </c>
      <c r="J287" t="e">
        <f>Stock!X1315+"'E4!0&gt;u"</f>
        <v>#VALUE!</v>
      </c>
      <c r="K287" t="e">
        <f>Stock!Y1315+"'E4!0&gt;v"</f>
        <v>#VALUE!</v>
      </c>
      <c r="L287" s="333" t="e">
        <f>Stock!S1316+"'E4!0&gt;w"</f>
        <v>#VALUE!</v>
      </c>
      <c r="M287" s="333" t="e">
        <f>Stock!T1316+"'E4!0&gt;x"</f>
        <v>#VALUE!</v>
      </c>
      <c r="N287" t="e">
        <f>Stock!V1316+"'E4!0&gt;y"</f>
        <v>#VALUE!</v>
      </c>
      <c r="O287" t="e">
        <f>Stock!X1316+"'E4!0&gt;z"</f>
        <v>#VALUE!</v>
      </c>
      <c r="P287" t="e">
        <f>Stock!Y1316+"'E4!0&gt;{"</f>
        <v>#VALUE!</v>
      </c>
      <c r="Q287" s="333" t="e">
        <f>Stock!S1317+"'E4!0&gt;|"</f>
        <v>#VALUE!</v>
      </c>
      <c r="R287" s="333" t="e">
        <f>Stock!T1317+"'E4!0&gt;}"</f>
        <v>#VALUE!</v>
      </c>
      <c r="S287" t="e">
        <f>Stock!V1317+"'E4!0&gt;~"</f>
        <v>#VALUE!</v>
      </c>
      <c r="T287" t="e">
        <f>Stock!X1317+"'E4!0?#"</f>
        <v>#VALUE!</v>
      </c>
      <c r="U287" t="e">
        <f>Stock!Y1317+"'E4!0?$"</f>
        <v>#VALUE!</v>
      </c>
      <c r="V287" s="333" t="e">
        <f>Stock!S1318+"'E4!0?%"</f>
        <v>#VALUE!</v>
      </c>
      <c r="W287" s="333" t="e">
        <f>Stock!T1318+"'E4!0?&amp;"</f>
        <v>#VALUE!</v>
      </c>
      <c r="X287" t="e">
        <f>Stock!V1318+"'E4!0?'"</f>
        <v>#VALUE!</v>
      </c>
      <c r="Y287" t="e">
        <f>Stock!X1318+"'E4!0?("</f>
        <v>#VALUE!</v>
      </c>
      <c r="Z287" t="e">
        <f>Stock!Y1318+"'E4!0?)"</f>
        <v>#VALUE!</v>
      </c>
      <c r="AA287" s="333" t="e">
        <f>Stock!S1319+"'E4!0?."</f>
        <v>#VALUE!</v>
      </c>
      <c r="AB287" s="333" t="e">
        <f>Stock!T1319+"'E4!0?/"</f>
        <v>#VALUE!</v>
      </c>
      <c r="AC287" t="e">
        <f>Stock!V1319+"'E4!0?0"</f>
        <v>#VALUE!</v>
      </c>
      <c r="AD287" t="e">
        <f>Stock!X1319+"'E4!0?1"</f>
        <v>#VALUE!</v>
      </c>
      <c r="AE287" t="e">
        <f>Stock!Y1319+"'E4!0?2"</f>
        <v>#VALUE!</v>
      </c>
      <c r="AF287" s="333" t="e">
        <f>Stock!S1320+"'E4!0?3"</f>
        <v>#VALUE!</v>
      </c>
      <c r="AG287" s="333" t="e">
        <f>Stock!T1320+"'E4!0?4"</f>
        <v>#VALUE!</v>
      </c>
      <c r="AH287" t="e">
        <f>Stock!V1320+"'E4!0?5"</f>
        <v>#VALUE!</v>
      </c>
      <c r="AI287" t="e">
        <f>Stock!X1320+"'E4!0?6"</f>
        <v>#VALUE!</v>
      </c>
      <c r="AJ287" t="e">
        <f>Stock!Y1320+"'E4!0?7"</f>
        <v>#VALUE!</v>
      </c>
      <c r="AK287" s="333" t="e">
        <f>Stock!S1321+"'E4!0?8"</f>
        <v>#VALUE!</v>
      </c>
      <c r="AL287" s="333" t="e">
        <f>Stock!T1321+"'E4!0?9"</f>
        <v>#VALUE!</v>
      </c>
      <c r="AM287" t="e">
        <f>Stock!V1321+"'E4!0?:"</f>
        <v>#VALUE!</v>
      </c>
      <c r="AN287" t="e">
        <f>Stock!X1321+"'E4!0?;"</f>
        <v>#VALUE!</v>
      </c>
      <c r="AO287" t="e">
        <f>Stock!Y1321+"'E4!0?&lt;"</f>
        <v>#VALUE!</v>
      </c>
      <c r="AP287" s="333" t="e">
        <f>Stock!S1322+"'E4!0?="</f>
        <v>#VALUE!</v>
      </c>
      <c r="AQ287" s="333" t="e">
        <f>Stock!T1322+"'E4!0?&gt;"</f>
        <v>#VALUE!</v>
      </c>
      <c r="AR287" t="e">
        <f>Stock!V1322+"'E4!0??"</f>
        <v>#VALUE!</v>
      </c>
      <c r="AS287" t="e">
        <f>Stock!X1322+"'E4!0?@"</f>
        <v>#VALUE!</v>
      </c>
      <c r="AT287" t="e">
        <f>Stock!Y1322+"'E4!0?A"</f>
        <v>#VALUE!</v>
      </c>
      <c r="AU287" s="333" t="e">
        <f>Stock!S1323+"'E4!0?B"</f>
        <v>#VALUE!</v>
      </c>
      <c r="AV287" s="333" t="e">
        <f>Stock!T1323+"'E4!0?C"</f>
        <v>#VALUE!</v>
      </c>
      <c r="AW287" t="e">
        <f>Stock!V1323+"'E4!0?D"</f>
        <v>#VALUE!</v>
      </c>
      <c r="AX287" t="e">
        <f>Stock!X1323+"'E4!0?E"</f>
        <v>#VALUE!</v>
      </c>
      <c r="AY287" t="e">
        <f>Stock!Y1323+"'E4!0?F"</f>
        <v>#VALUE!</v>
      </c>
      <c r="AZ287" s="333" t="e">
        <f>Stock!S1324+"'E4!0?G"</f>
        <v>#VALUE!</v>
      </c>
      <c r="BA287" s="333" t="e">
        <f>Stock!T1324+"'E4!0?H"</f>
        <v>#VALUE!</v>
      </c>
      <c r="BB287" t="e">
        <f>Stock!V1324+"'E4!0?I"</f>
        <v>#VALUE!</v>
      </c>
      <c r="BC287" t="e">
        <f>Stock!X1324+"'E4!0?J"</f>
        <v>#VALUE!</v>
      </c>
      <c r="BD287" t="e">
        <f>Stock!Y1324+"'E4!0?K"</f>
        <v>#VALUE!</v>
      </c>
      <c r="BE287" s="333" t="e">
        <f>Stock!S1325+"'E4!0?L"</f>
        <v>#VALUE!</v>
      </c>
      <c r="BF287" s="333" t="e">
        <f>Stock!T1325+"'E4!0?M"</f>
        <v>#VALUE!</v>
      </c>
      <c r="BG287" t="e">
        <f>Stock!V1325+"'E4!0?N"</f>
        <v>#VALUE!</v>
      </c>
      <c r="BH287" t="e">
        <f>Stock!X1325+"'E4!0?O"</f>
        <v>#VALUE!</v>
      </c>
      <c r="BI287" t="e">
        <f>Stock!Y1325+"'E4!0?P"</f>
        <v>#VALUE!</v>
      </c>
      <c r="BJ287" s="333" t="e">
        <f>Stock!S1326+"'E4!0?Q"</f>
        <v>#VALUE!</v>
      </c>
      <c r="BK287" s="333" t="e">
        <f>Stock!T1326+"'E4!0?R"</f>
        <v>#VALUE!</v>
      </c>
      <c r="BL287" t="e">
        <f>Stock!V1326+"'E4!0?S"</f>
        <v>#VALUE!</v>
      </c>
      <c r="BM287" t="e">
        <f>Stock!X1326+"'E4!0?T"</f>
        <v>#VALUE!</v>
      </c>
      <c r="BN287" t="e">
        <f>Stock!Y1326+"'E4!0?U"</f>
        <v>#VALUE!</v>
      </c>
      <c r="BO287" s="333" t="e">
        <f>Stock!S1327+"'E4!0?V"</f>
        <v>#VALUE!</v>
      </c>
      <c r="BP287" s="333" t="e">
        <f>Stock!T1327+"'E4!0?W"</f>
        <v>#VALUE!</v>
      </c>
      <c r="BQ287" t="e">
        <f>Stock!V1327+"'E4!0?X"</f>
        <v>#VALUE!</v>
      </c>
      <c r="BR287" t="e">
        <f>Stock!X1327+"'E4!0?Y"</f>
        <v>#VALUE!</v>
      </c>
      <c r="BS287" t="e">
        <f>Stock!Y1327+"'E4!0?Z"</f>
        <v>#VALUE!</v>
      </c>
      <c r="BT287" s="333" t="e">
        <f>Stock!S1328+"'E4!0?["</f>
        <v>#VALUE!</v>
      </c>
      <c r="BU287" s="333" t="e">
        <f>Stock!T1328+"'E4!0?\"</f>
        <v>#VALUE!</v>
      </c>
      <c r="BV287" t="e">
        <f>Stock!V1328+"'E4!0?]"</f>
        <v>#VALUE!</v>
      </c>
      <c r="BW287" t="e">
        <f>Stock!X1328+"'E4!0?^"</f>
        <v>#VALUE!</v>
      </c>
      <c r="BX287" t="e">
        <f>Stock!Y1328+"'E4!0?_"</f>
        <v>#VALUE!</v>
      </c>
      <c r="BY287" s="333" t="e">
        <f>Stock!S1329+"'E4!0?`"</f>
        <v>#VALUE!</v>
      </c>
      <c r="BZ287" s="333" t="e">
        <f>Stock!T1329+"'E4!0?a"</f>
        <v>#VALUE!</v>
      </c>
      <c r="CA287" t="e">
        <f>Stock!V1329+"'E4!0?b"</f>
        <v>#VALUE!</v>
      </c>
      <c r="CB287" t="e">
        <f>Stock!X1329+"'E4!0?c"</f>
        <v>#VALUE!</v>
      </c>
      <c r="CC287" t="e">
        <f>Stock!Y1329+"'E4!0?d"</f>
        <v>#VALUE!</v>
      </c>
      <c r="CD287" s="333" t="e">
        <f>Stock!S1330+"'E4!0?e"</f>
        <v>#VALUE!</v>
      </c>
      <c r="CE287" s="333" t="e">
        <f>Stock!T1330+"'E4!0?f"</f>
        <v>#VALUE!</v>
      </c>
      <c r="CF287" t="e">
        <f>Stock!V1330+"'E4!0?g"</f>
        <v>#VALUE!</v>
      </c>
      <c r="CG287" t="e">
        <f>Stock!X1330+"'E4!0?h"</f>
        <v>#VALUE!</v>
      </c>
      <c r="CH287" t="e">
        <f>Stock!Y1330+"'E4!0?i"</f>
        <v>#VALUE!</v>
      </c>
      <c r="CI287" s="333" t="e">
        <f>Stock!S1331+"'E4!0?j"</f>
        <v>#VALUE!</v>
      </c>
      <c r="CJ287" s="333" t="e">
        <f>Stock!T1331+"'E4!0?k"</f>
        <v>#VALUE!</v>
      </c>
      <c r="CK287" t="e">
        <f>Stock!V1331+"'E4!0?l"</f>
        <v>#VALUE!</v>
      </c>
      <c r="CL287" t="e">
        <f>Stock!X1331+"'E4!0?m"</f>
        <v>#VALUE!</v>
      </c>
      <c r="CM287" t="e">
        <f>Stock!Y1331+"'E4!0?n"</f>
        <v>#VALUE!</v>
      </c>
      <c r="CN287" s="333" t="e">
        <f>Stock!S1332+"'E4!0?o"</f>
        <v>#VALUE!</v>
      </c>
      <c r="CO287" s="333" t="e">
        <f>Stock!T1332+"'E4!0?p"</f>
        <v>#VALUE!</v>
      </c>
      <c r="CP287" t="e">
        <f>Stock!V1332+"'E4!0?q"</f>
        <v>#VALUE!</v>
      </c>
      <c r="CQ287" t="e">
        <f>Stock!X1332+"'E4!0?r"</f>
        <v>#VALUE!</v>
      </c>
      <c r="CR287" t="e">
        <f>Stock!Y1332+"'E4!0?s"</f>
        <v>#VALUE!</v>
      </c>
      <c r="CS287" s="333" t="e">
        <f>Stock!S1333+"'E4!0?t"</f>
        <v>#VALUE!</v>
      </c>
      <c r="CT287" s="333" t="e">
        <f>Stock!T1333+"'E4!0?u"</f>
        <v>#VALUE!</v>
      </c>
      <c r="CU287" t="e">
        <f>Stock!V1333+"'E4!0?v"</f>
        <v>#VALUE!</v>
      </c>
      <c r="CV287" t="e">
        <f>Stock!X1333+"'E4!0?w"</f>
        <v>#VALUE!</v>
      </c>
      <c r="CW287" t="e">
        <f>Stock!Y1333+"'E4!0?x"</f>
        <v>#VALUE!</v>
      </c>
      <c r="CX287" s="333" t="e">
        <f>Stock!S1334+"'E4!0?y"</f>
        <v>#VALUE!</v>
      </c>
      <c r="CY287" s="333" t="e">
        <f>Stock!T1334+"'E4!0?z"</f>
        <v>#VALUE!</v>
      </c>
      <c r="CZ287" t="e">
        <f>Stock!V1334+"'E4!0?{"</f>
        <v>#VALUE!</v>
      </c>
      <c r="DA287" t="e">
        <f>Stock!X1334+"'E4!0?|"</f>
        <v>#VALUE!</v>
      </c>
      <c r="DB287" t="e">
        <f>Stock!Y1334+"'E4!0?}"</f>
        <v>#VALUE!</v>
      </c>
      <c r="DC287" s="333" t="e">
        <f>Stock!S1335+"'E4!0?~"</f>
        <v>#VALUE!</v>
      </c>
      <c r="DD287" s="333" t="e">
        <f>Stock!T1335+"'E4!0@#"</f>
        <v>#VALUE!</v>
      </c>
      <c r="DE287" t="e">
        <f>Stock!V1335+"'E4!0@$"</f>
        <v>#VALUE!</v>
      </c>
      <c r="DF287" t="e">
        <f>Stock!X1335+"'E4!0@%"</f>
        <v>#VALUE!</v>
      </c>
      <c r="DG287" t="e">
        <f>Stock!Y1335+"'E4!0@&amp;"</f>
        <v>#VALUE!</v>
      </c>
      <c r="DH287" s="333" t="e">
        <f>Stock!S1336+"'E4!0@'"</f>
        <v>#VALUE!</v>
      </c>
      <c r="DI287" s="333" t="e">
        <f>Stock!T1336+"'E4!0@("</f>
        <v>#VALUE!</v>
      </c>
      <c r="DJ287" t="e">
        <f>Stock!V1336+"'E4!0@)"</f>
        <v>#VALUE!</v>
      </c>
      <c r="DK287" t="e">
        <f>Stock!X1336+"'E4!0@."</f>
        <v>#VALUE!</v>
      </c>
      <c r="DL287" t="e">
        <f>Stock!Y1336+"'E4!0@/"</f>
        <v>#VALUE!</v>
      </c>
      <c r="DM287" s="333" t="e">
        <f>Stock!S1337+"'E4!0@0"</f>
        <v>#VALUE!</v>
      </c>
      <c r="DN287" s="333" t="e">
        <f>Stock!T1337+"'E4!0@1"</f>
        <v>#VALUE!</v>
      </c>
      <c r="DO287" t="e">
        <f>Stock!V1337+"'E4!0@2"</f>
        <v>#VALUE!</v>
      </c>
      <c r="DP287" t="e">
        <f>Stock!X1337+"'E4!0@3"</f>
        <v>#VALUE!</v>
      </c>
      <c r="DQ287" t="e">
        <f>Stock!Y1337+"'E4!0@4"</f>
        <v>#VALUE!</v>
      </c>
      <c r="DR287" s="333" t="e">
        <f>Stock!S1338+"'E4!0@5"</f>
        <v>#VALUE!</v>
      </c>
      <c r="DS287" s="333" t="e">
        <f>Stock!T1338+"'E4!0@6"</f>
        <v>#VALUE!</v>
      </c>
      <c r="DT287" t="e">
        <f>Stock!V1338+"'E4!0@7"</f>
        <v>#VALUE!</v>
      </c>
      <c r="DU287" t="e">
        <f>Stock!X1338+"'E4!0@8"</f>
        <v>#VALUE!</v>
      </c>
      <c r="DV287" t="e">
        <f>Stock!Y1338+"'E4!0@9"</f>
        <v>#VALUE!</v>
      </c>
      <c r="DW287" s="333" t="e">
        <f>Stock!S1339+"'E4!0@:"</f>
        <v>#VALUE!</v>
      </c>
      <c r="DX287" s="333" t="e">
        <f>Stock!T1339+"'E4!0@;"</f>
        <v>#VALUE!</v>
      </c>
      <c r="DY287" t="e">
        <f>Stock!V1339+"'E4!0@&lt;"</f>
        <v>#VALUE!</v>
      </c>
      <c r="DZ287" t="e">
        <f>Stock!X1339+"'E4!0@="</f>
        <v>#VALUE!</v>
      </c>
      <c r="EA287" t="e">
        <f>Stock!Y1339+"'E4!0@&gt;"</f>
        <v>#VALUE!</v>
      </c>
      <c r="EB287" s="333" t="e">
        <f>Stock!S1340+"'E4!0@?"</f>
        <v>#VALUE!</v>
      </c>
      <c r="EC287" s="333" t="e">
        <f>Stock!T1340+"'E4!0@@"</f>
        <v>#VALUE!</v>
      </c>
      <c r="ED287" t="e">
        <f>Stock!V1340+"'E4!0@A"</f>
        <v>#VALUE!</v>
      </c>
      <c r="EE287" t="e">
        <f>Stock!X1340+"'E4!0@B"</f>
        <v>#VALUE!</v>
      </c>
      <c r="EF287" t="e">
        <f>Stock!Y1340+"'E4!0@C"</f>
        <v>#VALUE!</v>
      </c>
      <c r="EG287" s="333" t="e">
        <f>Stock!S1341+"'E4!0@D"</f>
        <v>#VALUE!</v>
      </c>
      <c r="EH287" s="333" t="e">
        <f>Stock!T1341+"'E4!0@E"</f>
        <v>#VALUE!</v>
      </c>
      <c r="EI287" t="e">
        <f>Stock!V1341+"'E4!0@F"</f>
        <v>#VALUE!</v>
      </c>
      <c r="EJ287" t="e">
        <f>Stock!X1341+"'E4!0@G"</f>
        <v>#VALUE!</v>
      </c>
      <c r="EK287" t="e">
        <f>Stock!Y1341+"'E4!0@H"</f>
        <v>#VALUE!</v>
      </c>
      <c r="EL287" s="333" t="e">
        <f>Stock!S1342+"'E4!0@I"</f>
        <v>#VALUE!</v>
      </c>
      <c r="EM287" s="333" t="e">
        <f>Stock!T1342+"'E4!0@J"</f>
        <v>#VALUE!</v>
      </c>
      <c r="EN287" t="e">
        <f>Stock!V1342+"'E4!0@K"</f>
        <v>#VALUE!</v>
      </c>
      <c r="EO287" t="e">
        <f>Stock!X1342+"'E4!0@L"</f>
        <v>#VALUE!</v>
      </c>
      <c r="EP287" t="e">
        <f>Stock!Y1342+"'E4!0@M"</f>
        <v>#VALUE!</v>
      </c>
      <c r="EQ287" s="333" t="e">
        <f>Stock!S1343+"'E4!0@N"</f>
        <v>#VALUE!</v>
      </c>
      <c r="ER287" s="333" t="e">
        <f>Stock!T1343+"'E4!0@O"</f>
        <v>#VALUE!</v>
      </c>
      <c r="ES287" t="e">
        <f>Stock!V1343+"'E4!0@P"</f>
        <v>#VALUE!</v>
      </c>
      <c r="ET287" t="e">
        <f>Stock!X1343+"'E4!0@Q"</f>
        <v>#VALUE!</v>
      </c>
      <c r="EU287" t="e">
        <f>Stock!Y1343+"'E4!0@R"</f>
        <v>#VALUE!</v>
      </c>
      <c r="EV287" s="333" t="e">
        <f>Stock!S1344+"'E4!0@S"</f>
        <v>#VALUE!</v>
      </c>
      <c r="EW287" s="333" t="e">
        <f>Stock!T1344+"'E4!0@T"</f>
        <v>#VALUE!</v>
      </c>
      <c r="EX287" t="e">
        <f>Stock!V1344+"'E4!0@U"</f>
        <v>#VALUE!</v>
      </c>
      <c r="EY287" t="e">
        <f>Stock!X1344+"'E4!0@V"</f>
        <v>#VALUE!</v>
      </c>
      <c r="EZ287" t="e">
        <f>Stock!Y1344+"'E4!0@W"</f>
        <v>#VALUE!</v>
      </c>
      <c r="FA287" s="333" t="e">
        <f>Stock!S1345+"'E4!0@X"</f>
        <v>#VALUE!</v>
      </c>
      <c r="FB287" s="333" t="e">
        <f>Stock!T1345+"'E4!0@Y"</f>
        <v>#VALUE!</v>
      </c>
      <c r="FC287" t="e">
        <f>Stock!V1345+"'E4!0@Z"</f>
        <v>#VALUE!</v>
      </c>
      <c r="FD287" t="e">
        <f>Stock!X1345+"'E4!0@["</f>
        <v>#VALUE!</v>
      </c>
      <c r="FE287" t="e">
        <f>Stock!Y1345+"'E4!0@\"</f>
        <v>#VALUE!</v>
      </c>
      <c r="FF287" s="333" t="e">
        <f>Stock!S1346+"'E4!0@]"</f>
        <v>#VALUE!</v>
      </c>
      <c r="FG287" s="333" t="e">
        <f>Stock!T1346+"'E4!0@^"</f>
        <v>#VALUE!</v>
      </c>
      <c r="FH287" t="e">
        <f>Stock!V1346+"'E4!0@_"</f>
        <v>#VALUE!</v>
      </c>
      <c r="FI287" t="e">
        <f>Stock!X1346+"'E4!0@`"</f>
        <v>#VALUE!</v>
      </c>
      <c r="FJ287" t="e">
        <f>Stock!Y1346+"'E4!0@a"</f>
        <v>#VALUE!</v>
      </c>
      <c r="FK287" s="333" t="e">
        <f>Stock!S1347+"'E4!0@b"</f>
        <v>#VALUE!</v>
      </c>
      <c r="FL287" s="333" t="e">
        <f>Stock!T1347+"'E4!0@c"</f>
        <v>#VALUE!</v>
      </c>
      <c r="FM287" t="e">
        <f>Stock!V1347+"'E4!0@d"</f>
        <v>#VALUE!</v>
      </c>
      <c r="FN287" t="e">
        <f>Stock!X1347+"'E4!0@e"</f>
        <v>#VALUE!</v>
      </c>
      <c r="FO287" t="e">
        <f>Stock!Y1347+"'E4!0@f"</f>
        <v>#VALUE!</v>
      </c>
      <c r="FP287" s="333" t="e">
        <f>Stock!S1348+"'E4!0@g"</f>
        <v>#VALUE!</v>
      </c>
      <c r="FQ287" s="333" t="e">
        <f>Stock!T1348+"'E4!0@h"</f>
        <v>#VALUE!</v>
      </c>
      <c r="FR287" t="e">
        <f>Stock!V1348+"'E4!0@i"</f>
        <v>#VALUE!</v>
      </c>
      <c r="FS287" t="e">
        <f>Stock!X1348+"'E4!0@j"</f>
        <v>#VALUE!</v>
      </c>
      <c r="FT287" t="e">
        <f>Stock!Y1348+"'E4!0@k"</f>
        <v>#VALUE!</v>
      </c>
      <c r="FU287" s="333" t="e">
        <f>Stock!S1349+"'E4!0@l"</f>
        <v>#VALUE!</v>
      </c>
      <c r="FV287" s="333" t="e">
        <f>Stock!T1349+"'E4!0@m"</f>
        <v>#VALUE!</v>
      </c>
      <c r="FW287" t="e">
        <f>Stock!V1349+"'E4!0@n"</f>
        <v>#VALUE!</v>
      </c>
      <c r="FX287" t="e">
        <f>Stock!X1349+"'E4!0@o"</f>
        <v>#VALUE!</v>
      </c>
      <c r="FY287" t="e">
        <f>Stock!Y1349+"'E4!0@p"</f>
        <v>#VALUE!</v>
      </c>
      <c r="FZ287" s="333" t="e">
        <f>Stock!S1350+"'E4!0@q"</f>
        <v>#VALUE!</v>
      </c>
      <c r="GA287" s="333" t="e">
        <f>Stock!T1350+"'E4!0@r"</f>
        <v>#VALUE!</v>
      </c>
      <c r="GB287" t="e">
        <f>Stock!V1350+"'E4!0@s"</f>
        <v>#VALUE!</v>
      </c>
      <c r="GC287" t="e">
        <f>Stock!X1350+"'E4!0@t"</f>
        <v>#VALUE!</v>
      </c>
      <c r="GD287" t="e">
        <f>Stock!Y1350+"'E4!0@u"</f>
        <v>#VALUE!</v>
      </c>
      <c r="GE287" s="333" t="e">
        <f>Stock!S1351+"'E4!0@v"</f>
        <v>#VALUE!</v>
      </c>
      <c r="GF287" s="333" t="e">
        <f>Stock!T1351+"'E4!0@w"</f>
        <v>#VALUE!</v>
      </c>
      <c r="GG287" t="e">
        <f>Stock!V1351+"'E4!0@x"</f>
        <v>#VALUE!</v>
      </c>
      <c r="GH287" t="e">
        <f>Stock!X1351+"'E4!0@y"</f>
        <v>#VALUE!</v>
      </c>
      <c r="GI287" t="e">
        <f>Stock!Y1351+"'E4!0@z"</f>
        <v>#VALUE!</v>
      </c>
      <c r="GJ287" s="333" t="e">
        <f>Stock!S1352+"'E4!0@{"</f>
        <v>#VALUE!</v>
      </c>
      <c r="GK287" s="333" t="e">
        <f>Stock!T1352+"'E4!0@|"</f>
        <v>#VALUE!</v>
      </c>
      <c r="GL287" t="e">
        <f>Stock!V1352+"'E4!0@}"</f>
        <v>#VALUE!</v>
      </c>
      <c r="GM287" t="e">
        <f>Stock!X1352+"'E4!0@~"</f>
        <v>#VALUE!</v>
      </c>
      <c r="GN287" t="e">
        <f>Stock!Y1352+"'E4!0A#"</f>
        <v>#VALUE!</v>
      </c>
      <c r="GO287" s="333" t="e">
        <f>Stock!S1353+"'E4!0A$"</f>
        <v>#VALUE!</v>
      </c>
      <c r="GP287" s="333" t="e">
        <f>Stock!T1353+"'E4!0A%"</f>
        <v>#VALUE!</v>
      </c>
      <c r="GQ287" t="e">
        <f>Stock!V1353+"'E4!0A&amp;"</f>
        <v>#VALUE!</v>
      </c>
      <c r="GR287" t="e">
        <f>Stock!X1353+"'E4!0A'"</f>
        <v>#VALUE!</v>
      </c>
      <c r="GS287" t="e">
        <f>Stock!Y1353+"'E4!0A("</f>
        <v>#VALUE!</v>
      </c>
      <c r="GT287" s="333" t="e">
        <f>Stock!S1354+"'E4!0A)"</f>
        <v>#VALUE!</v>
      </c>
      <c r="GU287" s="333" t="e">
        <f>Stock!T1354+"'E4!0A."</f>
        <v>#VALUE!</v>
      </c>
      <c r="GV287" t="e">
        <f>Stock!V1354+"'E4!0A/"</f>
        <v>#VALUE!</v>
      </c>
      <c r="GW287" t="e">
        <f>Stock!X1354+"'E4!0A0"</f>
        <v>#VALUE!</v>
      </c>
      <c r="GX287" t="e">
        <f>Stock!Y1354+"'E4!0A1"</f>
        <v>#VALUE!</v>
      </c>
      <c r="GY287" s="333" t="e">
        <f>Stock!S1355+"'E4!0A2"</f>
        <v>#VALUE!</v>
      </c>
      <c r="GZ287" s="333" t="e">
        <f>Stock!T1355+"'E4!0A3"</f>
        <v>#VALUE!</v>
      </c>
      <c r="HA287" t="e">
        <f>Stock!V1355+"'E4!0A4"</f>
        <v>#VALUE!</v>
      </c>
      <c r="HB287" t="e">
        <f>Stock!X1355+"'E4!0A5"</f>
        <v>#VALUE!</v>
      </c>
      <c r="HC287" t="e">
        <f>Stock!Y1355+"'E4!0A6"</f>
        <v>#VALUE!</v>
      </c>
      <c r="HD287" s="333" t="e">
        <f>Stock!S1356+"'E4!0A7"</f>
        <v>#VALUE!</v>
      </c>
      <c r="HE287" s="333" t="e">
        <f>Stock!T1356+"'E4!0A8"</f>
        <v>#VALUE!</v>
      </c>
      <c r="HF287" t="e">
        <f>Stock!V1356+"'E4!0A9"</f>
        <v>#VALUE!</v>
      </c>
      <c r="HG287" t="e">
        <f>Stock!X1356+"'E4!0A:"</f>
        <v>#VALUE!</v>
      </c>
      <c r="HH287" t="e">
        <f>Stock!Y1356+"'E4!0A;"</f>
        <v>#VALUE!</v>
      </c>
      <c r="HI287" s="333" t="e">
        <f>Stock!S1357+"'E4!0A&lt;"</f>
        <v>#VALUE!</v>
      </c>
      <c r="HJ287" s="333" t="e">
        <f>Stock!T1357+"'E4!0A="</f>
        <v>#VALUE!</v>
      </c>
      <c r="HK287" t="e">
        <f>Stock!V1357+"'E4!0A&gt;"</f>
        <v>#VALUE!</v>
      </c>
      <c r="HL287" t="e">
        <f>Stock!X1357+"'E4!0A?"</f>
        <v>#VALUE!</v>
      </c>
      <c r="HM287" t="e">
        <f>Stock!Y1357+"'E4!0A@"</f>
        <v>#VALUE!</v>
      </c>
      <c r="HN287" s="333" t="e">
        <f>Stock!S1358+"'E4!0AA"</f>
        <v>#VALUE!</v>
      </c>
      <c r="HO287" s="333" t="e">
        <f>Stock!T1358+"'E4!0AB"</f>
        <v>#VALUE!</v>
      </c>
      <c r="HP287" t="e">
        <f>Stock!V1358+"'E4!0AC"</f>
        <v>#VALUE!</v>
      </c>
      <c r="HQ287" t="e">
        <f>Stock!X1358+"'E4!0AD"</f>
        <v>#VALUE!</v>
      </c>
      <c r="HR287" t="e">
        <f>Stock!Y1358+"'E4!0AE"</f>
        <v>#VALUE!</v>
      </c>
      <c r="HS287" s="333" t="e">
        <f>Stock!S1359+"'E4!0AF"</f>
        <v>#VALUE!</v>
      </c>
      <c r="HT287" s="333" t="e">
        <f>Stock!T1359+"'E4!0AG"</f>
        <v>#VALUE!</v>
      </c>
      <c r="HU287" t="e">
        <f>Stock!V1359+"'E4!0AH"</f>
        <v>#VALUE!</v>
      </c>
      <c r="HV287" t="e">
        <f>Stock!X1359+"'E4!0AI"</f>
        <v>#VALUE!</v>
      </c>
      <c r="HW287" t="e">
        <f>Stock!Y1359+"'E4!0AJ"</f>
        <v>#VALUE!</v>
      </c>
      <c r="HX287" s="333" t="e">
        <f>Stock!S1360+"'E4!0AK"</f>
        <v>#VALUE!</v>
      </c>
      <c r="HY287" s="333" t="e">
        <f>Stock!T1360+"'E4!0AL"</f>
        <v>#VALUE!</v>
      </c>
      <c r="HZ287" t="e">
        <f>Stock!V1360+"'E4!0AM"</f>
        <v>#VALUE!</v>
      </c>
      <c r="IA287" t="e">
        <f>Stock!X1360+"'E4!0AN"</f>
        <v>#VALUE!</v>
      </c>
      <c r="IB287" t="e">
        <f>Stock!Y1360+"'E4!0AO"</f>
        <v>#VALUE!</v>
      </c>
      <c r="IC287" s="333" t="e">
        <f>Stock!S1361+"'E4!0AP"</f>
        <v>#VALUE!</v>
      </c>
      <c r="ID287" s="333" t="e">
        <f>Stock!T1361+"'E4!0AQ"</f>
        <v>#VALUE!</v>
      </c>
      <c r="IE287" t="e">
        <f>Stock!V1361+"'E4!0AR"</f>
        <v>#VALUE!</v>
      </c>
      <c r="IF287" t="e">
        <f>Stock!X1361+"'E4!0AS"</f>
        <v>#VALUE!</v>
      </c>
      <c r="IG287" t="e">
        <f>Stock!Y1361+"'E4!0AT"</f>
        <v>#VALUE!</v>
      </c>
      <c r="IH287" s="333" t="e">
        <f>Stock!S1362+"'E4!0AU"</f>
        <v>#VALUE!</v>
      </c>
      <c r="II287" s="333" t="e">
        <f>Stock!T1362+"'E4!0AV"</f>
        <v>#VALUE!</v>
      </c>
      <c r="IJ287" t="e">
        <f>Stock!V1362+"'E4!0AW"</f>
        <v>#VALUE!</v>
      </c>
      <c r="IK287" t="e">
        <f>Stock!X1362+"'E4!0AX"</f>
        <v>#VALUE!</v>
      </c>
      <c r="IL287" t="e">
        <f>Stock!Y1362+"'E4!0AY"</f>
        <v>#VALUE!</v>
      </c>
      <c r="IM287" s="333" t="e">
        <f>Stock!S1363+"'E4!0AZ"</f>
        <v>#VALUE!</v>
      </c>
      <c r="IN287" s="333" t="e">
        <f>Stock!T1363+"'E4!0A["</f>
        <v>#VALUE!</v>
      </c>
      <c r="IO287" t="e">
        <f>Stock!V1363+"'E4!0A\"</f>
        <v>#VALUE!</v>
      </c>
      <c r="IP287" t="e">
        <f>Stock!X1363+"'E4!0A]"</f>
        <v>#VALUE!</v>
      </c>
      <c r="IQ287" t="e">
        <f>Stock!Y1363+"'E4!0A^"</f>
        <v>#VALUE!</v>
      </c>
      <c r="IR287" s="333" t="e">
        <f>Stock!S1364+"'E4!0A_"</f>
        <v>#VALUE!</v>
      </c>
      <c r="IS287" s="333" t="e">
        <f>Stock!T1364+"'E4!0A`"</f>
        <v>#VALUE!</v>
      </c>
      <c r="IT287" t="e">
        <f>Stock!V1364+"'E4!0Aa"</f>
        <v>#VALUE!</v>
      </c>
      <c r="IU287" t="e">
        <f>Stock!X1364+"'E4!0Ab"</f>
        <v>#VALUE!</v>
      </c>
      <c r="IV287" t="e">
        <f>Stock!Y1364+"'E4!0Ac"</f>
        <v>#VALUE!</v>
      </c>
    </row>
    <row r="288" spans="6:256">
      <c r="F288" s="333" t="e">
        <f>Stock!S1365+"'E4!0Ad"</f>
        <v>#VALUE!</v>
      </c>
      <c r="G288" s="333" t="e">
        <f>Stock!T1365+"'E4!0Ae"</f>
        <v>#VALUE!</v>
      </c>
      <c r="H288" t="e">
        <f>Stock!V1365+"'E4!0Af"</f>
        <v>#VALUE!</v>
      </c>
      <c r="I288" t="e">
        <f>Stock!X1365+"'E4!0Ag"</f>
        <v>#VALUE!</v>
      </c>
      <c r="J288" t="e">
        <f>Stock!Y1365+"'E4!0Ah"</f>
        <v>#VALUE!</v>
      </c>
      <c r="K288" s="333" t="e">
        <f>Stock!S1366+"'E4!0Ai"</f>
        <v>#VALUE!</v>
      </c>
      <c r="L288" s="333" t="e">
        <f>Stock!T1366+"'E4!0Aj"</f>
        <v>#VALUE!</v>
      </c>
      <c r="M288" t="e">
        <f>Stock!V1366+"'E4!0Ak"</f>
        <v>#VALUE!</v>
      </c>
      <c r="N288" t="e">
        <f>Stock!X1366+"'E4!0Al"</f>
        <v>#VALUE!</v>
      </c>
      <c r="O288" t="e">
        <f>Stock!Y1366+"'E4!0Am"</f>
        <v>#VALUE!</v>
      </c>
      <c r="P288" s="333" t="e">
        <f>Stock!S1367+"'E4!0An"</f>
        <v>#VALUE!</v>
      </c>
      <c r="Q288" s="333" t="e">
        <f>Stock!T1367+"'E4!0Ao"</f>
        <v>#VALUE!</v>
      </c>
      <c r="R288" t="e">
        <f>Stock!V1367+"'E4!0Ap"</f>
        <v>#VALUE!</v>
      </c>
      <c r="S288" t="e">
        <f>Stock!X1367+"'E4!0Aq"</f>
        <v>#VALUE!</v>
      </c>
      <c r="T288" t="e">
        <f>Stock!Y1367+"'E4!0Ar"</f>
        <v>#VALUE!</v>
      </c>
      <c r="U288" s="333" t="e">
        <f>Stock!S1368+"'E4!0As"</f>
        <v>#VALUE!</v>
      </c>
      <c r="V288" s="333" t="e">
        <f>Stock!T1368+"'E4!0At"</f>
        <v>#VALUE!</v>
      </c>
      <c r="W288" t="e">
        <f>Stock!V1368+"'E4!0Au"</f>
        <v>#VALUE!</v>
      </c>
      <c r="X288" t="e">
        <f>Stock!X1368+"'E4!0Av"</f>
        <v>#VALUE!</v>
      </c>
      <c r="Y288" t="e">
        <f>Stock!Y1368+"'E4!0Aw"</f>
        <v>#VALUE!</v>
      </c>
      <c r="Z288" s="333" t="e">
        <f>Stock!S1369+"'E4!0Ax"</f>
        <v>#VALUE!</v>
      </c>
      <c r="AA288" s="333" t="e">
        <f>Stock!T1369+"'E4!0Ay"</f>
        <v>#VALUE!</v>
      </c>
      <c r="AB288" t="e">
        <f>Stock!V1369+"'E4!0Az"</f>
        <v>#VALUE!</v>
      </c>
      <c r="AC288" t="e">
        <f>Stock!X1369+"'E4!0A{"</f>
        <v>#VALUE!</v>
      </c>
      <c r="AD288" t="e">
        <f>Stock!Y1369+"'E4!0A|"</f>
        <v>#VALUE!</v>
      </c>
      <c r="AE288" s="333" t="e">
        <f>Stock!S1370+"'E4!0A}"</f>
        <v>#VALUE!</v>
      </c>
      <c r="AF288" s="333" t="e">
        <f>Stock!T1370+"'E4!0A~"</f>
        <v>#VALUE!</v>
      </c>
      <c r="AG288" t="e">
        <f>Stock!V1370+"'E4!0B#"</f>
        <v>#VALUE!</v>
      </c>
      <c r="AH288" t="e">
        <f>Stock!X1370+"'E4!0B$"</f>
        <v>#VALUE!</v>
      </c>
      <c r="AI288" t="e">
        <f>Stock!Y1370+"'E4!0B%"</f>
        <v>#VALUE!</v>
      </c>
      <c r="AJ288" s="333" t="e">
        <f>Stock!S1371+"'E4!0B&amp;"</f>
        <v>#VALUE!</v>
      </c>
      <c r="AK288" s="333" t="e">
        <f>Stock!T1371+"'E4!0B'"</f>
        <v>#VALUE!</v>
      </c>
      <c r="AL288" t="e">
        <f>Stock!V1371+"'E4!0B("</f>
        <v>#VALUE!</v>
      </c>
      <c r="AM288" t="e">
        <f>Stock!X1371+"'E4!0B)"</f>
        <v>#VALUE!</v>
      </c>
      <c r="AN288" t="e">
        <f>Stock!Y1371+"'E4!0B."</f>
        <v>#VALUE!</v>
      </c>
      <c r="AO288" s="333" t="e">
        <f>Stock!S1372+"'E4!0B/"</f>
        <v>#VALUE!</v>
      </c>
      <c r="AP288" s="333" t="e">
        <f>Stock!T1372+"'E4!0B0"</f>
        <v>#VALUE!</v>
      </c>
      <c r="AQ288" t="e">
        <f>Stock!V1372+"'E4!0B1"</f>
        <v>#VALUE!</v>
      </c>
      <c r="AR288" t="e">
        <f>Stock!X1372+"'E4!0B2"</f>
        <v>#VALUE!</v>
      </c>
      <c r="AS288" t="e">
        <f>Stock!Y1372+"'E4!0B3"</f>
        <v>#VALUE!</v>
      </c>
      <c r="AT288" s="333" t="e">
        <f>Stock!S1373+"'E4!0B4"</f>
        <v>#VALUE!</v>
      </c>
      <c r="AU288" s="333" t="e">
        <f>Stock!T1373+"'E4!0B5"</f>
        <v>#VALUE!</v>
      </c>
      <c r="AV288" t="e">
        <f>Stock!V1373+"'E4!0B6"</f>
        <v>#VALUE!</v>
      </c>
      <c r="AW288" t="e">
        <f>Stock!X1373+"'E4!0B7"</f>
        <v>#VALUE!</v>
      </c>
      <c r="AX288" t="e">
        <f>Stock!Y1373+"'E4!0B8"</f>
        <v>#VALUE!</v>
      </c>
      <c r="AY288" s="333" t="e">
        <f>Stock!S1374+"'E4!0B9"</f>
        <v>#VALUE!</v>
      </c>
      <c r="AZ288" s="333" t="e">
        <f>Stock!T1374+"'E4!0B:"</f>
        <v>#VALUE!</v>
      </c>
      <c r="BA288" t="e">
        <f>Stock!V1374+"'E4!0B;"</f>
        <v>#VALUE!</v>
      </c>
      <c r="BB288" t="e">
        <f>Stock!X1374+"'E4!0B&lt;"</f>
        <v>#VALUE!</v>
      </c>
      <c r="BC288" t="e">
        <f>Stock!Y1374+"'E4!0B="</f>
        <v>#VALUE!</v>
      </c>
      <c r="BD288" s="333" t="e">
        <f>Stock!S1375+"'E4!0B&gt;"</f>
        <v>#VALUE!</v>
      </c>
      <c r="BE288" s="333" t="e">
        <f>Stock!T1375+"'E4!0B?"</f>
        <v>#VALUE!</v>
      </c>
      <c r="BF288" t="e">
        <f>Stock!V1375+"'E4!0B@"</f>
        <v>#VALUE!</v>
      </c>
      <c r="BG288" t="e">
        <f>Stock!X1375+"'E4!0BA"</f>
        <v>#VALUE!</v>
      </c>
      <c r="BH288" t="e">
        <f>Stock!Y1375+"'E4!0BB"</f>
        <v>#VALUE!</v>
      </c>
      <c r="BI288" s="333" t="e">
        <f>Stock!S1376+"'E4!0BC"</f>
        <v>#VALUE!</v>
      </c>
      <c r="BJ288" s="333" t="e">
        <f>Stock!T1376+"'E4!0BD"</f>
        <v>#VALUE!</v>
      </c>
      <c r="BK288" t="e">
        <f>Stock!V1376+"'E4!0BE"</f>
        <v>#VALUE!</v>
      </c>
      <c r="BL288" t="e">
        <f>Stock!X1376+"'E4!0BF"</f>
        <v>#VALUE!</v>
      </c>
      <c r="BM288" t="e">
        <f>Stock!Y1376+"'E4!0BG"</f>
        <v>#VALUE!</v>
      </c>
      <c r="BN288" s="333" t="e">
        <f>Stock!S1377+"'E4!0BH"</f>
        <v>#VALUE!</v>
      </c>
      <c r="BO288" s="333" t="e">
        <f>Stock!T1377+"'E4!0BI"</f>
        <v>#VALUE!</v>
      </c>
      <c r="BP288" t="e">
        <f>Stock!V1377+"'E4!0BJ"</f>
        <v>#VALUE!</v>
      </c>
      <c r="BQ288" t="e">
        <f>Stock!X1377+"'E4!0BK"</f>
        <v>#VALUE!</v>
      </c>
      <c r="BR288" t="e">
        <f>Stock!Y1377+"'E4!0BL"</f>
        <v>#VALUE!</v>
      </c>
      <c r="BS288" s="333" t="e">
        <f>Stock!S1378+"'E4!0BM"</f>
        <v>#VALUE!</v>
      </c>
      <c r="BT288" s="333" t="e">
        <f>Stock!T1378+"'E4!0BN"</f>
        <v>#VALUE!</v>
      </c>
      <c r="BU288" t="e">
        <f>Stock!V1378+"'E4!0BO"</f>
        <v>#VALUE!</v>
      </c>
      <c r="BV288" t="e">
        <f>Stock!X1378+"'E4!0BP"</f>
        <v>#VALUE!</v>
      </c>
      <c r="BW288" t="e">
        <f>Stock!Y1378+"'E4!0BQ"</f>
        <v>#VALUE!</v>
      </c>
      <c r="BX288" s="333" t="e">
        <f>Stock!S1379+"'E4!0BR"</f>
        <v>#VALUE!</v>
      </c>
      <c r="BY288" s="333" t="e">
        <f>Stock!T1379+"'E4!0BS"</f>
        <v>#VALUE!</v>
      </c>
      <c r="BZ288" t="e">
        <f>Stock!V1379+"'E4!0BT"</f>
        <v>#VALUE!</v>
      </c>
      <c r="CA288" t="e">
        <f>Stock!X1379+"'E4!0BU"</f>
        <v>#VALUE!</v>
      </c>
      <c r="CB288" t="e">
        <f>Stock!Y1379+"'E4!0BV"</f>
        <v>#VALUE!</v>
      </c>
      <c r="CC288" s="333" t="e">
        <f>Stock!S1380+"'E4!0BW"</f>
        <v>#VALUE!</v>
      </c>
      <c r="CD288" s="333" t="e">
        <f>Stock!T1380+"'E4!0BX"</f>
        <v>#VALUE!</v>
      </c>
      <c r="CE288" t="e">
        <f>Stock!V1380+"'E4!0BY"</f>
        <v>#VALUE!</v>
      </c>
      <c r="CF288" t="e">
        <f>Stock!X1380+"'E4!0BZ"</f>
        <v>#VALUE!</v>
      </c>
      <c r="CG288" t="e">
        <f>Stock!Y1380+"'E4!0B["</f>
        <v>#VALUE!</v>
      </c>
      <c r="CH288" s="333" t="e">
        <f>Stock!S1381+"'E4!0B\"</f>
        <v>#VALUE!</v>
      </c>
      <c r="CI288" s="333" t="e">
        <f>Stock!T1381+"'E4!0B]"</f>
        <v>#VALUE!</v>
      </c>
      <c r="CJ288" t="e">
        <f>Stock!V1381+"'E4!0B^"</f>
        <v>#VALUE!</v>
      </c>
      <c r="CK288" t="e">
        <f>Stock!X1381+"'E4!0B_"</f>
        <v>#VALUE!</v>
      </c>
      <c r="CL288" t="e">
        <f>Stock!Y1381+"'E4!0B`"</f>
        <v>#VALUE!</v>
      </c>
      <c r="CM288" s="333" t="e">
        <f>Stock!S1382+"'E4!0Ba"</f>
        <v>#VALUE!</v>
      </c>
      <c r="CN288" s="333" t="e">
        <f>Stock!T1382+"'E4!0Bb"</f>
        <v>#VALUE!</v>
      </c>
      <c r="CO288" t="e">
        <f>Stock!V1382+"'E4!0Bc"</f>
        <v>#VALUE!</v>
      </c>
      <c r="CP288" t="e">
        <f>Stock!X1382+"'E4!0Bd"</f>
        <v>#VALUE!</v>
      </c>
      <c r="CQ288" t="e">
        <f>Stock!Y1382+"'E4!0Be"</f>
        <v>#VALUE!</v>
      </c>
      <c r="CR288" s="333" t="e">
        <f>Stock!S1383+"'E4!0Bf"</f>
        <v>#VALUE!</v>
      </c>
      <c r="CS288" s="333" t="e">
        <f>Stock!T1383+"'E4!0Bg"</f>
        <v>#VALUE!</v>
      </c>
      <c r="CT288" t="e">
        <f>Stock!V1383+"'E4!0Bh"</f>
        <v>#VALUE!</v>
      </c>
      <c r="CU288" t="e">
        <f>Stock!X1383+"'E4!0Bi"</f>
        <v>#VALUE!</v>
      </c>
      <c r="CV288" t="e">
        <f>Stock!Y1383+"'E4!0Bj"</f>
        <v>#VALUE!</v>
      </c>
      <c r="CW288" s="333" t="e">
        <f>Stock!S1384+"'E4!0Bk"</f>
        <v>#VALUE!</v>
      </c>
      <c r="CX288" s="333" t="e">
        <f>Stock!T1384+"'E4!0Bl"</f>
        <v>#VALUE!</v>
      </c>
      <c r="CY288" t="e">
        <f>Stock!V1384+"'E4!0Bm"</f>
        <v>#VALUE!</v>
      </c>
      <c r="CZ288" t="e">
        <f>Stock!X1384+"'E4!0Bn"</f>
        <v>#VALUE!</v>
      </c>
      <c r="DA288" t="e">
        <f>Stock!Y1384+"'E4!0Bo"</f>
        <v>#VALUE!</v>
      </c>
      <c r="DB288" s="333" t="e">
        <f>Stock!S1385+"'E4!0Bp"</f>
        <v>#VALUE!</v>
      </c>
      <c r="DC288" s="333" t="e">
        <f>Stock!T1385+"'E4!0Bq"</f>
        <v>#VALUE!</v>
      </c>
      <c r="DD288" t="e">
        <f>Stock!V1385+"'E4!0Br"</f>
        <v>#VALUE!</v>
      </c>
      <c r="DE288" t="e">
        <f>Stock!X1385+"'E4!0Bs"</f>
        <v>#VALUE!</v>
      </c>
      <c r="DF288" t="e">
        <f>Stock!Y1385+"'E4!0Bt"</f>
        <v>#VALUE!</v>
      </c>
      <c r="DG288" s="333" t="e">
        <f>Stock!S1386+"'E4!0Bu"</f>
        <v>#VALUE!</v>
      </c>
      <c r="DH288" s="333" t="e">
        <f>Stock!T1386+"'E4!0Bv"</f>
        <v>#VALUE!</v>
      </c>
      <c r="DI288" t="e">
        <f>Stock!V1386+"'E4!0Bw"</f>
        <v>#VALUE!</v>
      </c>
      <c r="DJ288" t="e">
        <f>Stock!X1386+"'E4!0Bx"</f>
        <v>#VALUE!</v>
      </c>
      <c r="DK288" t="e">
        <f>Stock!Y1386+"'E4!0By"</f>
        <v>#VALUE!</v>
      </c>
      <c r="DL288" s="333" t="e">
        <f>Stock!S1387+"'E4!0Bz"</f>
        <v>#VALUE!</v>
      </c>
      <c r="DM288" s="333" t="e">
        <f>Stock!T1387+"'E4!0B{"</f>
        <v>#VALUE!</v>
      </c>
      <c r="DN288" t="e">
        <f>Stock!V1387+"'E4!0B|"</f>
        <v>#VALUE!</v>
      </c>
      <c r="DO288" t="e">
        <f>Stock!X1387+"'E4!0B}"</f>
        <v>#VALUE!</v>
      </c>
      <c r="DP288" t="e">
        <f>Stock!Y1387+"'E4!0B~"</f>
        <v>#VALUE!</v>
      </c>
      <c r="DQ288" s="333" t="e">
        <f>Stock!S1388+"'E4!0C#"</f>
        <v>#VALUE!</v>
      </c>
      <c r="DR288" s="333" t="e">
        <f>Stock!T1388+"'E4!0C$"</f>
        <v>#VALUE!</v>
      </c>
      <c r="DS288" t="e">
        <f>Stock!V1388+"'E4!0C%"</f>
        <v>#VALUE!</v>
      </c>
      <c r="DT288" t="e">
        <f>Stock!X1388+"'E4!0C&amp;"</f>
        <v>#VALUE!</v>
      </c>
      <c r="DU288" t="e">
        <f>Stock!Y1388+"'E4!0C'"</f>
        <v>#VALUE!</v>
      </c>
      <c r="DV288" s="333" t="e">
        <f>Stock!S1389+"'E4!0C("</f>
        <v>#VALUE!</v>
      </c>
      <c r="DW288" s="333" t="e">
        <f>Stock!T1389+"'E4!0C)"</f>
        <v>#VALUE!</v>
      </c>
      <c r="DX288" t="e">
        <f>Stock!V1389+"'E4!0C."</f>
        <v>#VALUE!</v>
      </c>
      <c r="DY288" t="e">
        <f>Stock!X1389+"'E4!0C/"</f>
        <v>#VALUE!</v>
      </c>
      <c r="DZ288" t="e">
        <f>Stock!Y1389+"'E4!0C0"</f>
        <v>#VALUE!</v>
      </c>
      <c r="EA288" s="333" t="e">
        <f>Stock!S1390+"'E4!0C1"</f>
        <v>#VALUE!</v>
      </c>
      <c r="EB288" s="333" t="e">
        <f>Stock!T1390+"'E4!0C2"</f>
        <v>#VALUE!</v>
      </c>
      <c r="EC288" t="e">
        <f>Stock!V1390+"'E4!0C3"</f>
        <v>#VALUE!</v>
      </c>
      <c r="ED288" t="e">
        <f>Stock!X1390+"'E4!0C4"</f>
        <v>#VALUE!</v>
      </c>
      <c r="EE288" t="e">
        <f>Stock!Y1390+"'E4!0C5"</f>
        <v>#VALUE!</v>
      </c>
      <c r="EF288" s="333" t="e">
        <f>Stock!S1391+"'E4!0C6"</f>
        <v>#VALUE!</v>
      </c>
      <c r="EG288" s="333" t="e">
        <f>Stock!T1391+"'E4!0C7"</f>
        <v>#VALUE!</v>
      </c>
      <c r="EH288" t="e">
        <f>Stock!V1391+"'E4!0C8"</f>
        <v>#VALUE!</v>
      </c>
      <c r="EI288" t="e">
        <f>Stock!X1391+"'E4!0C9"</f>
        <v>#VALUE!</v>
      </c>
      <c r="EJ288" t="e">
        <f>Stock!Y1391+"'E4!0C:"</f>
        <v>#VALUE!</v>
      </c>
      <c r="EK288" s="333" t="e">
        <f>Stock!S1392+"'E4!0C;"</f>
        <v>#VALUE!</v>
      </c>
      <c r="EL288" s="333" t="e">
        <f>Stock!T1392+"'E4!0C&lt;"</f>
        <v>#VALUE!</v>
      </c>
      <c r="EM288" t="e">
        <f>Stock!V1392+"'E4!0C="</f>
        <v>#VALUE!</v>
      </c>
      <c r="EN288" t="e">
        <f>Stock!X1392+"'E4!0C&gt;"</f>
        <v>#VALUE!</v>
      </c>
      <c r="EO288" t="e">
        <f>Stock!Y1392+"'E4!0C?"</f>
        <v>#VALUE!</v>
      </c>
      <c r="EP288" s="333" t="e">
        <f>Stock!S1393+"'E4!0C@"</f>
        <v>#VALUE!</v>
      </c>
      <c r="EQ288" s="333" t="e">
        <f>Stock!T1393+"'E4!0CA"</f>
        <v>#VALUE!</v>
      </c>
      <c r="ER288" t="e">
        <f>Stock!V1393+"'E4!0CB"</f>
        <v>#VALUE!</v>
      </c>
      <c r="ES288" t="e">
        <f>Stock!X1393+"'E4!0CC"</f>
        <v>#VALUE!</v>
      </c>
      <c r="ET288" t="e">
        <f>Stock!Y1393+"'E4!0CD"</f>
        <v>#VALUE!</v>
      </c>
      <c r="EU288" s="333" t="e">
        <f>Stock!S1394+"'E4!0CE"</f>
        <v>#VALUE!</v>
      </c>
      <c r="EV288" s="333" t="e">
        <f>Stock!T1394+"'E4!0CF"</f>
        <v>#VALUE!</v>
      </c>
      <c r="EW288" t="e">
        <f>Stock!V1394+"'E4!0CG"</f>
        <v>#VALUE!</v>
      </c>
      <c r="EX288" t="e">
        <f>Stock!X1394+"'E4!0CH"</f>
        <v>#VALUE!</v>
      </c>
      <c r="EY288" t="e">
        <f>Stock!Y1394+"'E4!0CI"</f>
        <v>#VALUE!</v>
      </c>
      <c r="EZ288" s="333" t="e">
        <f>Stock!S1395+"'E4!0CJ"</f>
        <v>#VALUE!</v>
      </c>
      <c r="FA288" s="333" t="e">
        <f>Stock!T1395+"'E4!0CK"</f>
        <v>#VALUE!</v>
      </c>
      <c r="FB288" t="e">
        <f>Stock!V1395+"'E4!0CL"</f>
        <v>#VALUE!</v>
      </c>
      <c r="FC288" t="e">
        <f>Stock!X1395+"'E4!0CM"</f>
        <v>#VALUE!</v>
      </c>
      <c r="FD288" t="e">
        <f>Stock!Y1395+"'E4!0CN"</f>
        <v>#VALUE!</v>
      </c>
      <c r="FE288" s="333" t="e">
        <f>Stock!S1396+"'E4!0CO"</f>
        <v>#VALUE!</v>
      </c>
      <c r="FF288" s="333" t="e">
        <f>Stock!T1396+"'E4!0CP"</f>
        <v>#VALUE!</v>
      </c>
      <c r="FG288" t="e">
        <f>Stock!V1396+"'E4!0CQ"</f>
        <v>#VALUE!</v>
      </c>
      <c r="FH288" t="e">
        <f>Stock!X1396+"'E4!0CR"</f>
        <v>#VALUE!</v>
      </c>
      <c r="FI288" t="e">
        <f>Stock!Y1396+"'E4!0CS"</f>
        <v>#VALUE!</v>
      </c>
      <c r="FJ288" s="333" t="e">
        <f>Stock!S1397+"'E4!0CT"</f>
        <v>#VALUE!</v>
      </c>
      <c r="FK288" s="333" t="e">
        <f>Stock!T1397+"'E4!0CU"</f>
        <v>#VALUE!</v>
      </c>
      <c r="FL288" t="e">
        <f>Stock!V1397+"'E4!0CV"</f>
        <v>#VALUE!</v>
      </c>
      <c r="FM288" t="e">
        <f>Stock!X1397+"'E4!0CW"</f>
        <v>#VALUE!</v>
      </c>
      <c r="FN288" t="e">
        <f>Stock!Y1397+"'E4!0CX"</f>
        <v>#VALUE!</v>
      </c>
      <c r="FO288" s="333" t="e">
        <f>Stock!S1398+"'E4!0CY"</f>
        <v>#VALUE!</v>
      </c>
      <c r="FP288" s="333" t="e">
        <f>Stock!T1398+"'E4!0CZ"</f>
        <v>#VALUE!</v>
      </c>
      <c r="FQ288" t="e">
        <f>Stock!V1398+"'E4!0C["</f>
        <v>#VALUE!</v>
      </c>
      <c r="FR288" t="e">
        <f>Stock!X1398+"'E4!0C\"</f>
        <v>#VALUE!</v>
      </c>
      <c r="FS288" t="e">
        <f>Stock!Y1398+"'E4!0C]"</f>
        <v>#VALUE!</v>
      </c>
      <c r="FT288" s="333" t="e">
        <f>Stock!S1399+"'E4!0C^"</f>
        <v>#VALUE!</v>
      </c>
      <c r="FU288" s="333" t="e">
        <f>Stock!T1399+"'E4!0C_"</f>
        <v>#VALUE!</v>
      </c>
      <c r="FV288" t="e">
        <f>Stock!V1399+"'E4!0C`"</f>
        <v>#VALUE!</v>
      </c>
      <c r="FW288" t="e">
        <f>Stock!X1399+"'E4!0Ca"</f>
        <v>#VALUE!</v>
      </c>
      <c r="FX288" t="e">
        <f>Stock!Y1399+"'E4!0Cb"</f>
        <v>#VALUE!</v>
      </c>
      <c r="FY288" s="333" t="e">
        <f>Stock!S1400+"'E4!0Cc"</f>
        <v>#VALUE!</v>
      </c>
      <c r="FZ288" s="333" t="e">
        <f>Stock!T1400+"'E4!0Cd"</f>
        <v>#VALUE!</v>
      </c>
      <c r="GA288" t="e">
        <f>Stock!V1400+"'E4!0Ce"</f>
        <v>#VALUE!</v>
      </c>
      <c r="GB288" t="e">
        <f>Stock!X1400+"'E4!0Cf"</f>
        <v>#VALUE!</v>
      </c>
      <c r="GC288" t="e">
        <f>Stock!Y1400+"'E4!0Cg"</f>
        <v>#VALUE!</v>
      </c>
      <c r="GD288" s="333" t="e">
        <f>Stock!S1401+"'E4!0Ch"</f>
        <v>#VALUE!</v>
      </c>
      <c r="GE288" s="333" t="e">
        <f>Stock!T1401+"'E4!0Ci"</f>
        <v>#VALUE!</v>
      </c>
      <c r="GF288" t="e">
        <f>Stock!V1401+"'E4!0Cj"</f>
        <v>#VALUE!</v>
      </c>
      <c r="GG288" t="e">
        <f>Stock!X1401+"'E4!0Ck"</f>
        <v>#VALUE!</v>
      </c>
      <c r="GH288" t="e">
        <f>Stock!Y1401+"'E4!0Cl"</f>
        <v>#VALUE!</v>
      </c>
      <c r="GI288" s="333" t="e">
        <f>Stock!S1402+"'E4!0Cm"</f>
        <v>#VALUE!</v>
      </c>
      <c r="GJ288" s="333" t="e">
        <f>Stock!T1402+"'E4!0Cn"</f>
        <v>#VALUE!</v>
      </c>
      <c r="GK288" t="e">
        <f>Stock!V1402+"'E4!0Co"</f>
        <v>#VALUE!</v>
      </c>
      <c r="GL288" t="e">
        <f>Stock!X1402+"'E4!0Cp"</f>
        <v>#VALUE!</v>
      </c>
      <c r="GM288" t="e">
        <f>Stock!Y1402+"'E4!0Cq"</f>
        <v>#VALUE!</v>
      </c>
      <c r="GN288" s="333" t="e">
        <f>Stock!S1403+"'E4!0Cr"</f>
        <v>#VALUE!</v>
      </c>
      <c r="GO288" s="333" t="e">
        <f>Stock!T1403+"'E4!0Cs"</f>
        <v>#VALUE!</v>
      </c>
      <c r="GP288" t="e">
        <f>Stock!V1403+"'E4!0Ct"</f>
        <v>#VALUE!</v>
      </c>
      <c r="GQ288" t="e">
        <f>Stock!X1403+"'E4!0Cu"</f>
        <v>#VALUE!</v>
      </c>
      <c r="GR288" t="e">
        <f>Stock!Y1403+"'E4!0Cv"</f>
        <v>#VALUE!</v>
      </c>
      <c r="GS288" s="333" t="e">
        <f>Stock!S1404+"'E4!0Cw"</f>
        <v>#VALUE!</v>
      </c>
      <c r="GT288" s="333" t="e">
        <f>Stock!T1404+"'E4!0Cx"</f>
        <v>#VALUE!</v>
      </c>
      <c r="GU288" t="e">
        <f>Stock!V1404+"'E4!0Cy"</f>
        <v>#VALUE!</v>
      </c>
      <c r="GV288" t="e">
        <f>Stock!X1404+"'E4!0Cz"</f>
        <v>#VALUE!</v>
      </c>
      <c r="GW288" t="e">
        <f>Stock!Y1404+"'E4!0C{"</f>
        <v>#VALUE!</v>
      </c>
      <c r="GX288" s="333" t="e">
        <f>Stock!S1405+"'E4!0C|"</f>
        <v>#VALUE!</v>
      </c>
      <c r="GY288" s="333" t="e">
        <f>Stock!T1405+"'E4!0C}"</f>
        <v>#VALUE!</v>
      </c>
      <c r="GZ288" t="e">
        <f>Stock!V1405+"'E4!0C~"</f>
        <v>#VALUE!</v>
      </c>
      <c r="HA288" t="e">
        <f>Stock!X1405+"'E4!0D#"</f>
        <v>#VALUE!</v>
      </c>
      <c r="HB288" t="e">
        <f>Stock!Y1405+"'E4!0D$"</f>
        <v>#VALUE!</v>
      </c>
      <c r="HC288" s="333" t="e">
        <f>Stock!S1406+"'E4!0D%"</f>
        <v>#VALUE!</v>
      </c>
      <c r="HD288" s="333" t="e">
        <f>Stock!T1406+"'E4!0D&amp;"</f>
        <v>#VALUE!</v>
      </c>
      <c r="HE288" t="e">
        <f>Stock!V1406+"'E4!0D'"</f>
        <v>#VALUE!</v>
      </c>
      <c r="HF288" t="e">
        <f>Stock!X1406+"'E4!0D("</f>
        <v>#VALUE!</v>
      </c>
      <c r="HG288" t="e">
        <f>Stock!Y1406+"'E4!0D)"</f>
        <v>#VALUE!</v>
      </c>
      <c r="HH288" s="333" t="e">
        <f>Stock!S1407+"'E4!0D."</f>
        <v>#VALUE!</v>
      </c>
      <c r="HI288" s="333" t="e">
        <f>Stock!T1407+"'E4!0D/"</f>
        <v>#VALUE!</v>
      </c>
      <c r="HJ288" t="e">
        <f>Stock!V1407+"'E4!0D0"</f>
        <v>#VALUE!</v>
      </c>
      <c r="HK288" t="e">
        <f>Stock!X1407+"'E4!0D1"</f>
        <v>#VALUE!</v>
      </c>
      <c r="HL288" t="e">
        <f>Stock!Y1407+"'E4!0D2"</f>
        <v>#VALUE!</v>
      </c>
      <c r="HM288" s="333" t="e">
        <f>Stock!S1408+"'E4!0D3"</f>
        <v>#VALUE!</v>
      </c>
      <c r="HN288" s="333" t="e">
        <f>Stock!T1408+"'E4!0D4"</f>
        <v>#VALUE!</v>
      </c>
      <c r="HO288" t="e">
        <f>Stock!V1408+"'E4!0D5"</f>
        <v>#VALUE!</v>
      </c>
      <c r="HP288" t="e">
        <f>Stock!X1408+"'E4!0D6"</f>
        <v>#VALUE!</v>
      </c>
      <c r="HQ288" t="e">
        <f>Stock!Y1408+"'E4!0D7"</f>
        <v>#VALUE!</v>
      </c>
      <c r="HR288" s="333" t="e">
        <f>Stock!S1409+"'E4!0D8"</f>
        <v>#VALUE!</v>
      </c>
      <c r="HS288" s="333" t="e">
        <f>Stock!T1409+"'E4!0D9"</f>
        <v>#VALUE!</v>
      </c>
      <c r="HT288" t="e">
        <f>Stock!V1409+"'E4!0D:"</f>
        <v>#VALUE!</v>
      </c>
      <c r="HU288" t="e">
        <f>Stock!X1409+"'E4!0D;"</f>
        <v>#VALUE!</v>
      </c>
      <c r="HV288" t="e">
        <f>Stock!Y1409+"'E4!0D&lt;"</f>
        <v>#VALUE!</v>
      </c>
      <c r="HW288" s="333" t="e">
        <f>Stock!S1410+"'E4!0D="</f>
        <v>#VALUE!</v>
      </c>
      <c r="HX288" s="333" t="e">
        <f>Stock!T1410+"'E4!0D&gt;"</f>
        <v>#VALUE!</v>
      </c>
      <c r="HY288" t="e">
        <f>Stock!V1410+"'E4!0D?"</f>
        <v>#VALUE!</v>
      </c>
      <c r="HZ288" t="e">
        <f>Stock!X1410+"'E4!0D@"</f>
        <v>#VALUE!</v>
      </c>
      <c r="IA288" t="e">
        <f>Stock!Y1410+"'E4!0DA"</f>
        <v>#VALUE!</v>
      </c>
      <c r="IB288" s="333" t="e">
        <f>Stock!S1411+"'E4!0DB"</f>
        <v>#VALUE!</v>
      </c>
      <c r="IC288" s="333" t="e">
        <f>Stock!T1411+"'E4!0DC"</f>
        <v>#VALUE!</v>
      </c>
      <c r="ID288" t="e">
        <f>Stock!V1411+"'E4!0DD"</f>
        <v>#VALUE!</v>
      </c>
      <c r="IE288" t="e">
        <f>Stock!X1411+"'E4!0DE"</f>
        <v>#VALUE!</v>
      </c>
      <c r="IF288" t="e">
        <f>Stock!Y1411+"'E4!0DF"</f>
        <v>#VALUE!</v>
      </c>
      <c r="IG288" s="333" t="e">
        <f>Stock!S1412+"'E4!0DG"</f>
        <v>#VALUE!</v>
      </c>
      <c r="IH288" s="333" t="e">
        <f>Stock!T1412+"'E4!0DH"</f>
        <v>#VALUE!</v>
      </c>
      <c r="II288" t="e">
        <f>Stock!V1412+"'E4!0DI"</f>
        <v>#VALUE!</v>
      </c>
      <c r="IJ288" t="e">
        <f>Stock!X1412+"'E4!0DJ"</f>
        <v>#VALUE!</v>
      </c>
      <c r="IK288" t="e">
        <f>Stock!Y1412+"'E4!0DK"</f>
        <v>#VALUE!</v>
      </c>
      <c r="IL288" s="333" t="e">
        <f>Stock!S1413+"'E4!0DL"</f>
        <v>#VALUE!</v>
      </c>
      <c r="IM288" s="333" t="e">
        <f>Stock!T1413+"'E4!0DM"</f>
        <v>#VALUE!</v>
      </c>
      <c r="IN288" t="e">
        <f>Stock!V1413+"'E4!0DN"</f>
        <v>#VALUE!</v>
      </c>
      <c r="IO288" t="e">
        <f>Stock!X1413+"'E4!0DO"</f>
        <v>#VALUE!</v>
      </c>
      <c r="IP288" t="e">
        <f>Stock!Y1413+"'E4!0DP"</f>
        <v>#VALUE!</v>
      </c>
      <c r="IQ288" s="333" t="e">
        <f>Stock!S1414+"'E4!0DQ"</f>
        <v>#VALUE!</v>
      </c>
      <c r="IR288" s="333" t="e">
        <f>Stock!T1414+"'E4!0DR"</f>
        <v>#VALUE!</v>
      </c>
      <c r="IS288" t="e">
        <f>Stock!V1414+"'E4!0DS"</f>
        <v>#VALUE!</v>
      </c>
      <c r="IT288" t="e">
        <f>Stock!X1414+"'E4!0DT"</f>
        <v>#VALUE!</v>
      </c>
      <c r="IU288" t="e">
        <f>Stock!Y1414+"'E4!0DU"</f>
        <v>#VALUE!</v>
      </c>
      <c r="IV288" s="333" t="e">
        <f>Stock!S1415+"'E4!0DV"</f>
        <v>#VALUE!</v>
      </c>
    </row>
    <row r="289" spans="6:256">
      <c r="F289" s="333" t="e">
        <f>Stock!T1415+"'E4!0DW"</f>
        <v>#VALUE!</v>
      </c>
      <c r="G289" t="e">
        <f>Stock!V1415+"'E4!0DX"</f>
        <v>#VALUE!</v>
      </c>
      <c r="H289" t="e">
        <f>Stock!X1415+"'E4!0DY"</f>
        <v>#VALUE!</v>
      </c>
      <c r="I289" t="e">
        <f>Stock!Y1415+"'E4!0DZ"</f>
        <v>#VALUE!</v>
      </c>
      <c r="J289" s="333" t="e">
        <f>Stock!S1416+"'E4!0D["</f>
        <v>#VALUE!</v>
      </c>
      <c r="K289" s="333" t="e">
        <f>Stock!T1416+"'E4!0D\"</f>
        <v>#VALUE!</v>
      </c>
      <c r="L289" t="e">
        <f>Stock!V1416+"'E4!0D]"</f>
        <v>#VALUE!</v>
      </c>
      <c r="M289" t="e">
        <f>Stock!X1416+"'E4!0D^"</f>
        <v>#VALUE!</v>
      </c>
      <c r="N289" t="e">
        <f>Stock!Y1416+"'E4!0D_"</f>
        <v>#VALUE!</v>
      </c>
      <c r="O289" s="333" t="e">
        <f>Stock!S1417+"'E4!0D`"</f>
        <v>#VALUE!</v>
      </c>
      <c r="P289" s="333" t="e">
        <f>Stock!T1417+"'E4!0Da"</f>
        <v>#VALUE!</v>
      </c>
      <c r="Q289" t="e">
        <f>Stock!V1417+"'E4!0Db"</f>
        <v>#VALUE!</v>
      </c>
      <c r="R289" t="e">
        <f>Stock!X1417+"'E4!0Dc"</f>
        <v>#VALUE!</v>
      </c>
      <c r="S289" t="e">
        <f>Stock!Y1417+"'E4!0Dd"</f>
        <v>#VALUE!</v>
      </c>
      <c r="T289" s="333" t="e">
        <f>Stock!S1418+"'E4!0De"</f>
        <v>#VALUE!</v>
      </c>
      <c r="U289" s="333" t="e">
        <f>Stock!T1418+"'E4!0Df"</f>
        <v>#VALUE!</v>
      </c>
      <c r="V289" t="e">
        <f>Stock!V1418+"'E4!0Dg"</f>
        <v>#VALUE!</v>
      </c>
      <c r="W289" t="e">
        <f>Stock!X1418+"'E4!0Dh"</f>
        <v>#VALUE!</v>
      </c>
      <c r="X289" t="e">
        <f>Stock!Y1418+"'E4!0Di"</f>
        <v>#VALUE!</v>
      </c>
      <c r="Y289" s="333" t="e">
        <f>Stock!S1419+"'E4!0Dj"</f>
        <v>#VALUE!</v>
      </c>
      <c r="Z289" s="333" t="e">
        <f>Stock!T1419+"'E4!0Dk"</f>
        <v>#VALUE!</v>
      </c>
      <c r="AA289" t="e">
        <f>Stock!V1419+"'E4!0Dl"</f>
        <v>#VALUE!</v>
      </c>
      <c r="AB289" t="e">
        <f>Stock!X1419+"'E4!0Dm"</f>
        <v>#VALUE!</v>
      </c>
      <c r="AC289" t="e">
        <f>Stock!Y1419+"'E4!0Dn"</f>
        <v>#VALUE!</v>
      </c>
      <c r="AD289" s="333" t="e">
        <f>Stock!S1420+"'E4!0Do"</f>
        <v>#VALUE!</v>
      </c>
      <c r="AE289" s="333" t="e">
        <f>Stock!T1420+"'E4!0Dp"</f>
        <v>#VALUE!</v>
      </c>
      <c r="AF289" t="e">
        <f>Stock!V1420+"'E4!0Dq"</f>
        <v>#VALUE!</v>
      </c>
      <c r="AG289" t="e">
        <f>Stock!X1420+"'E4!0Dr"</f>
        <v>#VALUE!</v>
      </c>
      <c r="AH289" t="e">
        <f>Stock!Y1420+"'E4!0Ds"</f>
        <v>#VALUE!</v>
      </c>
      <c r="AI289" s="333" t="e">
        <f>Stock!S1421+"'E4!0Dt"</f>
        <v>#VALUE!</v>
      </c>
      <c r="AJ289" s="333" t="e">
        <f>Stock!T1421+"'E4!0Du"</f>
        <v>#VALUE!</v>
      </c>
      <c r="AK289" t="e">
        <f>Stock!V1421+"'E4!0Dv"</f>
        <v>#VALUE!</v>
      </c>
      <c r="AL289" t="e">
        <f>Stock!X1421+"'E4!0Dw"</f>
        <v>#VALUE!</v>
      </c>
      <c r="AM289" t="e">
        <f>Stock!Y1421+"'E4!0Dx"</f>
        <v>#VALUE!</v>
      </c>
      <c r="AN289" s="333" t="e">
        <f>Stock!S1422+"'E4!0Dy"</f>
        <v>#VALUE!</v>
      </c>
      <c r="AO289" s="333" t="e">
        <f>Stock!T1422+"'E4!0Dz"</f>
        <v>#VALUE!</v>
      </c>
      <c r="AP289" t="e">
        <f>Stock!V1422+"'E4!0D{"</f>
        <v>#VALUE!</v>
      </c>
      <c r="AQ289" t="e">
        <f>Stock!X1422+"'E4!0D|"</f>
        <v>#VALUE!</v>
      </c>
      <c r="AR289" t="e">
        <f>Stock!Y1422+"'E4!0D}"</f>
        <v>#VALUE!</v>
      </c>
      <c r="AS289" s="333" t="e">
        <f>Stock!S1423+"'E4!0D~"</f>
        <v>#VALUE!</v>
      </c>
      <c r="AT289" s="333" t="e">
        <f>Stock!T1423+"'E4!0E#"</f>
        <v>#VALUE!</v>
      </c>
      <c r="AU289" t="e">
        <f>Stock!V1423+"'E4!0E$"</f>
        <v>#VALUE!</v>
      </c>
      <c r="AV289" t="e">
        <f>Stock!X1423+"'E4!0E%"</f>
        <v>#VALUE!</v>
      </c>
      <c r="AW289" t="e">
        <f>Stock!Y1423+"'E4!0E&amp;"</f>
        <v>#VALUE!</v>
      </c>
      <c r="AX289" s="333" t="e">
        <f>Stock!S1424+"'E4!0E'"</f>
        <v>#VALUE!</v>
      </c>
      <c r="AY289" s="333" t="e">
        <f>Stock!T1424+"'E4!0E("</f>
        <v>#VALUE!</v>
      </c>
      <c r="AZ289" t="e">
        <f>Stock!V1424+"'E4!0E)"</f>
        <v>#VALUE!</v>
      </c>
      <c r="BA289" t="e">
        <f>Stock!X1424+"'E4!0E."</f>
        <v>#VALUE!</v>
      </c>
      <c r="BB289" t="e">
        <f>Stock!Y1424+"'E4!0E/"</f>
        <v>#VALUE!</v>
      </c>
      <c r="BC289" s="333" t="e">
        <f>Stock!S1425+"'E4!0E0"</f>
        <v>#VALUE!</v>
      </c>
      <c r="BD289" s="333" t="e">
        <f>Stock!T1425+"'E4!0E1"</f>
        <v>#VALUE!</v>
      </c>
      <c r="BE289" t="e">
        <f>Stock!V1425+"'E4!0E2"</f>
        <v>#VALUE!</v>
      </c>
      <c r="BF289" t="e">
        <f>Stock!X1425+"'E4!0E3"</f>
        <v>#VALUE!</v>
      </c>
      <c r="BG289" t="e">
        <f>Stock!Y1425+"'E4!0E4"</f>
        <v>#VALUE!</v>
      </c>
      <c r="BH289" s="333" t="e">
        <f>Stock!S1426+"'E4!0E5"</f>
        <v>#VALUE!</v>
      </c>
      <c r="BI289" s="333" t="e">
        <f>Stock!T1426+"'E4!0E6"</f>
        <v>#VALUE!</v>
      </c>
      <c r="BJ289" t="e">
        <f>Stock!V1426+"'E4!0E7"</f>
        <v>#VALUE!</v>
      </c>
      <c r="BK289" t="e">
        <f>Stock!X1426+"'E4!0E8"</f>
        <v>#VALUE!</v>
      </c>
      <c r="BL289" t="e">
        <f>Stock!Y1426+"'E4!0E9"</f>
        <v>#VALUE!</v>
      </c>
      <c r="BM289" s="333" t="e">
        <f>Stock!S1427+"'E4!0E:"</f>
        <v>#VALUE!</v>
      </c>
      <c r="BN289" s="333" t="e">
        <f>Stock!T1427+"'E4!0E;"</f>
        <v>#VALUE!</v>
      </c>
      <c r="BO289" t="e">
        <f>Stock!V1427+"'E4!0E&lt;"</f>
        <v>#VALUE!</v>
      </c>
      <c r="BP289" t="e">
        <f>Stock!X1427+"'E4!0E="</f>
        <v>#VALUE!</v>
      </c>
      <c r="BQ289" t="e">
        <f>Stock!Y1427+"'E4!0E&gt;"</f>
        <v>#VALUE!</v>
      </c>
      <c r="BR289" s="333" t="e">
        <f>Stock!S1428+"'E4!0E?"</f>
        <v>#VALUE!</v>
      </c>
      <c r="BS289" s="333" t="e">
        <f>Stock!T1428+"'E4!0E@"</f>
        <v>#VALUE!</v>
      </c>
      <c r="BT289" t="e">
        <f>Stock!V1428+"'E4!0EA"</f>
        <v>#VALUE!</v>
      </c>
      <c r="BU289" t="e">
        <f>Stock!X1428+"'E4!0EB"</f>
        <v>#VALUE!</v>
      </c>
      <c r="BV289" t="e">
        <f>Stock!Y1428+"'E4!0EC"</f>
        <v>#VALUE!</v>
      </c>
      <c r="BW289" s="333" t="e">
        <f>Stock!S1429+"'E4!0ED"</f>
        <v>#VALUE!</v>
      </c>
      <c r="BX289" s="333" t="e">
        <f>Stock!T1429+"'E4!0EE"</f>
        <v>#VALUE!</v>
      </c>
      <c r="BY289" t="e">
        <f>Stock!V1429+"'E4!0EF"</f>
        <v>#VALUE!</v>
      </c>
      <c r="BZ289" t="e">
        <f>Stock!X1429+"'E4!0EG"</f>
        <v>#VALUE!</v>
      </c>
      <c r="CA289" t="e">
        <f>Stock!Y1429+"'E4!0EH"</f>
        <v>#VALUE!</v>
      </c>
      <c r="CB289" s="333" t="e">
        <f>Stock!S1430+"'E4!0EI"</f>
        <v>#VALUE!</v>
      </c>
      <c r="CC289" s="333" t="e">
        <f>Stock!T1430+"'E4!0EJ"</f>
        <v>#VALUE!</v>
      </c>
      <c r="CD289" t="e">
        <f>Stock!V1430+"'E4!0EK"</f>
        <v>#VALUE!</v>
      </c>
      <c r="CE289" t="e">
        <f>Stock!X1430+"'E4!0EL"</f>
        <v>#VALUE!</v>
      </c>
      <c r="CF289" t="e">
        <f>Stock!Y1430+"'E4!0EM"</f>
        <v>#VALUE!</v>
      </c>
      <c r="CG289" s="333" t="e">
        <f>Stock!S1431+"'E4!0EN"</f>
        <v>#VALUE!</v>
      </c>
      <c r="CH289" s="333" t="e">
        <f>Stock!T1431+"'E4!0EO"</f>
        <v>#VALUE!</v>
      </c>
      <c r="CI289" t="e">
        <f>Stock!V1431+"'E4!0EP"</f>
        <v>#VALUE!</v>
      </c>
      <c r="CJ289" t="e">
        <f>Stock!X1431+"'E4!0EQ"</f>
        <v>#VALUE!</v>
      </c>
      <c r="CK289" t="e">
        <f>Stock!Y1431+"'E4!0ER"</f>
        <v>#VALUE!</v>
      </c>
      <c r="CL289" s="333" t="e">
        <f>Stock!S1432+"'E4!0ES"</f>
        <v>#VALUE!</v>
      </c>
      <c r="CM289" s="333" t="e">
        <f>Stock!T1432+"'E4!0ET"</f>
        <v>#VALUE!</v>
      </c>
      <c r="CN289" t="e">
        <f>Stock!V1432+"'E4!0EU"</f>
        <v>#VALUE!</v>
      </c>
      <c r="CO289" t="e">
        <f>Stock!X1432+"'E4!0EV"</f>
        <v>#VALUE!</v>
      </c>
      <c r="CP289" t="e">
        <f>Stock!Y1432+"'E4!0EW"</f>
        <v>#VALUE!</v>
      </c>
      <c r="CQ289" s="333" t="e">
        <f>Stock!S1433+"'E4!0EX"</f>
        <v>#VALUE!</v>
      </c>
      <c r="CR289" s="333" t="e">
        <f>Stock!T1433+"'E4!0EY"</f>
        <v>#VALUE!</v>
      </c>
      <c r="CS289" t="e">
        <f>Stock!V1433+"'E4!0EZ"</f>
        <v>#VALUE!</v>
      </c>
      <c r="CT289" t="e">
        <f>Stock!X1433+"'E4!0E["</f>
        <v>#VALUE!</v>
      </c>
      <c r="CU289" t="e">
        <f>Stock!Y1433+"'E4!0E\"</f>
        <v>#VALUE!</v>
      </c>
      <c r="CV289" s="333" t="e">
        <f>Stock!S1434+"'E4!0E]"</f>
        <v>#VALUE!</v>
      </c>
      <c r="CW289" s="333" t="e">
        <f>Stock!T1434+"'E4!0E^"</f>
        <v>#VALUE!</v>
      </c>
      <c r="CX289" t="e">
        <f>Stock!V1434+"'E4!0E_"</f>
        <v>#VALUE!</v>
      </c>
      <c r="CY289" t="e">
        <f>Stock!X1434+"'E4!0E`"</f>
        <v>#VALUE!</v>
      </c>
      <c r="CZ289" t="e">
        <f>Stock!Y1434+"'E4!0Ea"</f>
        <v>#VALUE!</v>
      </c>
      <c r="DA289" s="333" t="e">
        <f>Stock!S1435+"'E4!0Eb"</f>
        <v>#VALUE!</v>
      </c>
      <c r="DB289" s="333" t="e">
        <f>Stock!T1435+"'E4!0Ec"</f>
        <v>#VALUE!</v>
      </c>
      <c r="DC289" t="e">
        <f>Stock!V1435+"'E4!0Ed"</f>
        <v>#VALUE!</v>
      </c>
      <c r="DD289" t="e">
        <f>Stock!X1435+"'E4!0Ee"</f>
        <v>#VALUE!</v>
      </c>
      <c r="DE289" t="e">
        <f>Stock!Y1435+"'E4!0Ef"</f>
        <v>#VALUE!</v>
      </c>
      <c r="DF289" s="333" t="e">
        <f>Stock!S1436+"'E4!0Eg"</f>
        <v>#VALUE!</v>
      </c>
      <c r="DG289" s="333" t="e">
        <f>Stock!T1436+"'E4!0Eh"</f>
        <v>#VALUE!</v>
      </c>
      <c r="DH289" t="e">
        <f>Stock!V1436+"'E4!0Ei"</f>
        <v>#VALUE!</v>
      </c>
      <c r="DI289" t="e">
        <f>Stock!X1436+"'E4!0Ej"</f>
        <v>#VALUE!</v>
      </c>
      <c r="DJ289" t="e">
        <f>Stock!Y1436+"'E4!0Ek"</f>
        <v>#VALUE!</v>
      </c>
      <c r="DK289" s="333" t="e">
        <f>Stock!S1437+"'E4!0El"</f>
        <v>#VALUE!</v>
      </c>
      <c r="DL289" s="333" t="e">
        <f>Stock!T1437+"'E4!0Em"</f>
        <v>#VALUE!</v>
      </c>
      <c r="DM289" t="e">
        <f>Stock!V1437+"'E4!0En"</f>
        <v>#VALUE!</v>
      </c>
      <c r="DN289" t="e">
        <f>Stock!X1437+"'E4!0Eo"</f>
        <v>#VALUE!</v>
      </c>
      <c r="DO289" t="e">
        <f>Stock!Y1437+"'E4!0Ep"</f>
        <v>#VALUE!</v>
      </c>
      <c r="DP289" s="333" t="e">
        <f>Stock!S1438+"'E4!0Eq"</f>
        <v>#VALUE!</v>
      </c>
      <c r="DQ289" s="333" t="e">
        <f>Stock!T1438+"'E4!0Er"</f>
        <v>#VALUE!</v>
      </c>
      <c r="DR289" t="e">
        <f>Stock!V1438+"'E4!0Es"</f>
        <v>#VALUE!</v>
      </c>
      <c r="DS289" t="e">
        <f>Stock!X1438+"'E4!0Et"</f>
        <v>#VALUE!</v>
      </c>
      <c r="DT289" t="e">
        <f>Stock!Y1438+"'E4!0Eu"</f>
        <v>#VALUE!</v>
      </c>
      <c r="DU289" s="333" t="e">
        <f>Stock!S1439+"'E4!0Ev"</f>
        <v>#VALUE!</v>
      </c>
      <c r="DV289" s="333" t="e">
        <f>Stock!T1439+"'E4!0Ew"</f>
        <v>#VALUE!</v>
      </c>
      <c r="DW289" t="e">
        <f>Stock!V1439+"'E4!0Ex"</f>
        <v>#VALUE!</v>
      </c>
      <c r="DX289" t="e">
        <f>Stock!X1439+"'E4!0Ey"</f>
        <v>#VALUE!</v>
      </c>
      <c r="DY289" t="e">
        <f>Stock!Y1439+"'E4!0Ez"</f>
        <v>#VALUE!</v>
      </c>
      <c r="DZ289" s="333" t="e">
        <f>Stock!S1440+"'E4!0E{"</f>
        <v>#VALUE!</v>
      </c>
      <c r="EA289" s="333" t="e">
        <f>Stock!T1440+"'E4!0E|"</f>
        <v>#VALUE!</v>
      </c>
      <c r="EB289" t="e">
        <f>Stock!V1440+"'E4!0E}"</f>
        <v>#VALUE!</v>
      </c>
      <c r="EC289" t="e">
        <f>Stock!X1440+"'E4!0E~"</f>
        <v>#VALUE!</v>
      </c>
      <c r="ED289" t="e">
        <f>Stock!Y1440+"'E4!0F#"</f>
        <v>#VALUE!</v>
      </c>
      <c r="EE289" s="333" t="e">
        <f>Stock!S1441+"'E4!0F$"</f>
        <v>#VALUE!</v>
      </c>
      <c r="EF289" s="333" t="e">
        <f>Stock!T1441+"'E4!0F%"</f>
        <v>#VALUE!</v>
      </c>
      <c r="EG289" t="e">
        <f>Stock!V1441+"'E4!0F&amp;"</f>
        <v>#VALUE!</v>
      </c>
      <c r="EH289" t="e">
        <f>Stock!X1441+"'E4!0F'"</f>
        <v>#VALUE!</v>
      </c>
      <c r="EI289" t="e">
        <f>Stock!Y1441+"'E4!0F("</f>
        <v>#VALUE!</v>
      </c>
      <c r="EJ289" s="333" t="e">
        <f>Stock!S1442+"'E4!0F)"</f>
        <v>#VALUE!</v>
      </c>
      <c r="EK289" s="333" t="e">
        <f>Stock!T1442+"'E4!0F."</f>
        <v>#VALUE!</v>
      </c>
      <c r="EL289" t="e">
        <f>Stock!V1442+"'E4!0F/"</f>
        <v>#VALUE!</v>
      </c>
      <c r="EM289" t="e">
        <f>Stock!X1442+"'E4!0F0"</f>
        <v>#VALUE!</v>
      </c>
      <c r="EN289" t="e">
        <f>Stock!Y1442+"'E4!0F1"</f>
        <v>#VALUE!</v>
      </c>
      <c r="EO289" s="333" t="e">
        <f>Stock!S1443+"'E4!0F2"</f>
        <v>#VALUE!</v>
      </c>
      <c r="EP289" s="333" t="e">
        <f>Stock!T1443+"'E4!0F3"</f>
        <v>#VALUE!</v>
      </c>
      <c r="EQ289" t="e">
        <f>Stock!V1443+"'E4!0F4"</f>
        <v>#VALUE!</v>
      </c>
      <c r="ER289" t="e">
        <f>Stock!X1443+"'E4!0F5"</f>
        <v>#VALUE!</v>
      </c>
      <c r="ES289" t="e">
        <f>Stock!Y1443+"'E4!0F6"</f>
        <v>#VALUE!</v>
      </c>
      <c r="ET289" s="333" t="e">
        <f>Stock!S1444+"'E4!0F7"</f>
        <v>#VALUE!</v>
      </c>
      <c r="EU289" s="333" t="e">
        <f>Stock!T1444+"'E4!0F8"</f>
        <v>#VALUE!</v>
      </c>
      <c r="EV289" t="e">
        <f>Stock!V1444+"'E4!0F9"</f>
        <v>#VALUE!</v>
      </c>
      <c r="EW289" t="e">
        <f>Stock!X1444+"'E4!0F:"</f>
        <v>#VALUE!</v>
      </c>
      <c r="EX289" t="e">
        <f>Stock!Y1444+"'E4!0F;"</f>
        <v>#VALUE!</v>
      </c>
      <c r="EY289" s="333" t="e">
        <f>Stock!S1445+"'E4!0F&lt;"</f>
        <v>#VALUE!</v>
      </c>
      <c r="EZ289" s="333" t="e">
        <f>Stock!T1445+"'E4!0F="</f>
        <v>#VALUE!</v>
      </c>
      <c r="FA289" t="e">
        <f>Stock!V1445+"'E4!0F&gt;"</f>
        <v>#VALUE!</v>
      </c>
      <c r="FB289" t="e">
        <f>Stock!X1445+"'E4!0F?"</f>
        <v>#VALUE!</v>
      </c>
      <c r="FC289" t="e">
        <f>Stock!Y1445+"'E4!0F@"</f>
        <v>#VALUE!</v>
      </c>
      <c r="FD289" s="333" t="e">
        <f>Stock!S1446+"'E4!0FA"</f>
        <v>#VALUE!</v>
      </c>
      <c r="FE289" s="333" t="e">
        <f>Stock!T1446+"'E4!0FB"</f>
        <v>#VALUE!</v>
      </c>
      <c r="FF289" t="e">
        <f>Stock!V1446+"'E4!0FC"</f>
        <v>#VALUE!</v>
      </c>
      <c r="FG289" t="e">
        <f>Stock!X1446+"'E4!0FD"</f>
        <v>#VALUE!</v>
      </c>
      <c r="FH289" t="e">
        <f>Stock!Y1446+"'E4!0FE"</f>
        <v>#VALUE!</v>
      </c>
      <c r="FI289" s="333" t="e">
        <f>Stock!S1447+"'E4!0FF"</f>
        <v>#VALUE!</v>
      </c>
      <c r="FJ289" s="333" t="e">
        <f>Stock!T1447+"'E4!0FG"</f>
        <v>#VALUE!</v>
      </c>
      <c r="FK289" t="e">
        <f>Stock!V1447+"'E4!0FH"</f>
        <v>#VALUE!</v>
      </c>
      <c r="FL289" t="e">
        <f>Stock!X1447+"'E4!0FI"</f>
        <v>#VALUE!</v>
      </c>
      <c r="FM289" t="e">
        <f>Stock!Y1447+"'E4!0FJ"</f>
        <v>#VALUE!</v>
      </c>
      <c r="FN289" s="333" t="e">
        <f>Stock!S1448+"'E4!0FK"</f>
        <v>#VALUE!</v>
      </c>
      <c r="FO289" s="333" t="e">
        <f>Stock!T1448+"'E4!0FL"</f>
        <v>#VALUE!</v>
      </c>
      <c r="FP289" t="e">
        <f>Stock!V1448+"'E4!0FM"</f>
        <v>#VALUE!</v>
      </c>
      <c r="FQ289" t="e">
        <f>Stock!X1448+"'E4!0FN"</f>
        <v>#VALUE!</v>
      </c>
      <c r="FR289" t="e">
        <f>Stock!Y1448+"'E4!0FO"</f>
        <v>#VALUE!</v>
      </c>
      <c r="FS289" s="333" t="e">
        <f>Stock!S1449+"'E4!0FP"</f>
        <v>#VALUE!</v>
      </c>
      <c r="FT289" s="333" t="e">
        <f>Stock!T1449+"'E4!0FQ"</f>
        <v>#VALUE!</v>
      </c>
      <c r="FU289" t="e">
        <f>Stock!V1449+"'E4!0FR"</f>
        <v>#VALUE!</v>
      </c>
      <c r="FV289" t="e">
        <f>Stock!X1449+"'E4!0FS"</f>
        <v>#VALUE!</v>
      </c>
      <c r="FW289" t="e">
        <f>Stock!Y1449+"'E4!0FT"</f>
        <v>#VALUE!</v>
      </c>
      <c r="FX289" s="333" t="e">
        <f>Stock!S1450+"'E4!0FU"</f>
        <v>#VALUE!</v>
      </c>
      <c r="FY289" s="333" t="e">
        <f>Stock!T1450+"'E4!0FV"</f>
        <v>#VALUE!</v>
      </c>
      <c r="FZ289" t="e">
        <f>Stock!V1450+"'E4!0FW"</f>
        <v>#VALUE!</v>
      </c>
      <c r="GA289" t="e">
        <f>Stock!X1450+"'E4!0FX"</f>
        <v>#VALUE!</v>
      </c>
      <c r="GB289" t="e">
        <f>Stock!Y1450+"'E4!0FY"</f>
        <v>#VALUE!</v>
      </c>
      <c r="GC289" s="333" t="e">
        <f>Stock!S1451+"'E4!0FZ"</f>
        <v>#VALUE!</v>
      </c>
      <c r="GD289" s="333" t="e">
        <f>Stock!T1451+"'E4!0F["</f>
        <v>#VALUE!</v>
      </c>
      <c r="GE289" t="e">
        <f>Stock!V1451+"'E4!0F\"</f>
        <v>#VALUE!</v>
      </c>
      <c r="GF289" t="e">
        <f>Stock!X1451+"'E4!0F]"</f>
        <v>#VALUE!</v>
      </c>
      <c r="GG289" t="e">
        <f>Stock!Y1451+"'E4!0F^"</f>
        <v>#VALUE!</v>
      </c>
      <c r="GH289" s="333" t="e">
        <f>Stock!S1452+"'E4!0F_"</f>
        <v>#VALUE!</v>
      </c>
      <c r="GI289" s="333" t="e">
        <f>Stock!T1452+"'E4!0F`"</f>
        <v>#VALUE!</v>
      </c>
      <c r="GJ289" t="e">
        <f>Stock!V1452+"'E4!0Fa"</f>
        <v>#VALUE!</v>
      </c>
      <c r="GK289" t="e">
        <f>Stock!X1452+"'E4!0Fb"</f>
        <v>#VALUE!</v>
      </c>
      <c r="GL289" t="e">
        <f>Stock!Y1452+"'E4!0Fc"</f>
        <v>#VALUE!</v>
      </c>
      <c r="GM289" s="333" t="e">
        <f>Stock!S1453+"'E4!0Fd"</f>
        <v>#VALUE!</v>
      </c>
      <c r="GN289" s="333" t="e">
        <f>Stock!T1453+"'E4!0Fe"</f>
        <v>#VALUE!</v>
      </c>
      <c r="GO289" t="e">
        <f>Stock!V1453+"'E4!0Ff"</f>
        <v>#VALUE!</v>
      </c>
      <c r="GP289" t="e">
        <f>Stock!X1453+"'E4!0Fg"</f>
        <v>#VALUE!</v>
      </c>
      <c r="GQ289" t="e">
        <f>Stock!Y1453+"'E4!0Fh"</f>
        <v>#VALUE!</v>
      </c>
      <c r="GR289" s="333" t="e">
        <f>Stock!S1454+"'E4!0Fi"</f>
        <v>#VALUE!</v>
      </c>
      <c r="GS289" s="333" t="e">
        <f>Stock!T1454+"'E4!0Fj"</f>
        <v>#VALUE!</v>
      </c>
      <c r="GT289" t="e">
        <f>Stock!V1454+"'E4!0Fk"</f>
        <v>#VALUE!</v>
      </c>
      <c r="GU289" t="e">
        <f>Stock!X1454+"'E4!0Fl"</f>
        <v>#VALUE!</v>
      </c>
      <c r="GV289" t="e">
        <f>Stock!Y1454+"'E4!0Fm"</f>
        <v>#VALUE!</v>
      </c>
      <c r="GW289" s="333" t="e">
        <f>Stock!S1455+"'E4!0Fn"</f>
        <v>#VALUE!</v>
      </c>
      <c r="GX289" s="333" t="e">
        <f>Stock!T1455+"'E4!0Fo"</f>
        <v>#VALUE!</v>
      </c>
      <c r="GY289" t="e">
        <f>Stock!V1455+"'E4!0Fp"</f>
        <v>#VALUE!</v>
      </c>
      <c r="GZ289" t="e">
        <f>Stock!X1455+"'E4!0Fq"</f>
        <v>#VALUE!</v>
      </c>
      <c r="HA289" t="e">
        <f>Stock!Y1455+"'E4!0Fr"</f>
        <v>#VALUE!</v>
      </c>
      <c r="HB289" s="333" t="e">
        <f>Stock!S1456+"'E4!0Fs"</f>
        <v>#VALUE!</v>
      </c>
      <c r="HC289" s="333" t="e">
        <f>Stock!T1456+"'E4!0Ft"</f>
        <v>#VALUE!</v>
      </c>
      <c r="HD289" t="e">
        <f>Stock!V1456+"'E4!0Fu"</f>
        <v>#VALUE!</v>
      </c>
      <c r="HE289" t="e">
        <f>Stock!X1456+"'E4!0Fv"</f>
        <v>#VALUE!</v>
      </c>
      <c r="HF289" t="e">
        <f>Stock!Y1456+"'E4!0Fw"</f>
        <v>#VALUE!</v>
      </c>
      <c r="HG289" s="333" t="e">
        <f>Stock!S1457+"'E4!0Fx"</f>
        <v>#VALUE!</v>
      </c>
      <c r="HH289" s="333" t="e">
        <f>Stock!T1457+"'E4!0Fy"</f>
        <v>#VALUE!</v>
      </c>
      <c r="HI289" t="e">
        <f>Stock!V1457+"'E4!0Fz"</f>
        <v>#VALUE!</v>
      </c>
      <c r="HJ289" t="e">
        <f>Stock!X1457+"'E4!0F{"</f>
        <v>#VALUE!</v>
      </c>
      <c r="HK289" t="e">
        <f>Stock!Y1457+"'E4!0F|"</f>
        <v>#VALUE!</v>
      </c>
      <c r="HL289" s="333" t="e">
        <f>Stock!S1458+"'E4!0F}"</f>
        <v>#VALUE!</v>
      </c>
      <c r="HM289" s="333" t="e">
        <f>Stock!T1458+"'E4!0F~"</f>
        <v>#VALUE!</v>
      </c>
      <c r="HN289" t="e">
        <f>Stock!V1458+"'E4!0G#"</f>
        <v>#VALUE!</v>
      </c>
      <c r="HO289" t="e">
        <f>Stock!X1458+"'E4!0G$"</f>
        <v>#VALUE!</v>
      </c>
      <c r="HP289" t="e">
        <f>Stock!Y1458+"'E4!0G%"</f>
        <v>#VALUE!</v>
      </c>
      <c r="HQ289" s="333" t="e">
        <f>Stock!S1459+"'E4!0G&amp;"</f>
        <v>#VALUE!</v>
      </c>
      <c r="HR289" s="333" t="e">
        <f>Stock!T1459+"'E4!0G'"</f>
        <v>#VALUE!</v>
      </c>
      <c r="HS289" t="e">
        <f>Stock!V1459+"'E4!0G("</f>
        <v>#VALUE!</v>
      </c>
      <c r="HT289" t="e">
        <f>Stock!X1459+"'E4!0G)"</f>
        <v>#VALUE!</v>
      </c>
      <c r="HU289" t="e">
        <f>Stock!Y1459+"'E4!0G."</f>
        <v>#VALUE!</v>
      </c>
      <c r="HV289" s="333" t="e">
        <f>Stock!S1460+"'E4!0G/"</f>
        <v>#VALUE!</v>
      </c>
      <c r="HW289" s="333" t="e">
        <f>Stock!T1460+"'E4!0G0"</f>
        <v>#VALUE!</v>
      </c>
      <c r="HX289" t="e">
        <f>Stock!V1460+"'E4!0G1"</f>
        <v>#VALUE!</v>
      </c>
      <c r="HY289" t="e">
        <f>Stock!X1460+"'E4!0G2"</f>
        <v>#VALUE!</v>
      </c>
      <c r="HZ289" t="e">
        <f>Stock!Y1460+"'E4!0G3"</f>
        <v>#VALUE!</v>
      </c>
      <c r="IA289" s="333" t="e">
        <f>Stock!S1461+"'E4!0G4"</f>
        <v>#VALUE!</v>
      </c>
      <c r="IB289" s="333" t="e">
        <f>Stock!T1461+"'E4!0G5"</f>
        <v>#VALUE!</v>
      </c>
      <c r="IC289" t="e">
        <f>Stock!V1461+"'E4!0G6"</f>
        <v>#VALUE!</v>
      </c>
      <c r="ID289" t="e">
        <f>Stock!X1461+"'E4!0G7"</f>
        <v>#VALUE!</v>
      </c>
      <c r="IE289" t="e">
        <f>Stock!Y1461+"'E4!0G8"</f>
        <v>#VALUE!</v>
      </c>
      <c r="IF289" s="333" t="e">
        <f>Stock!S1462+"'E4!0G9"</f>
        <v>#VALUE!</v>
      </c>
      <c r="IG289" s="333" t="e">
        <f>Stock!T1462+"'E4!0G:"</f>
        <v>#VALUE!</v>
      </c>
      <c r="IH289" t="e">
        <f>Stock!V1462+"'E4!0G;"</f>
        <v>#VALUE!</v>
      </c>
      <c r="II289" t="e">
        <f>Stock!X1462+"'E4!0G&lt;"</f>
        <v>#VALUE!</v>
      </c>
      <c r="IJ289" t="e">
        <f>Stock!Y1462+"'E4!0G="</f>
        <v>#VALUE!</v>
      </c>
      <c r="IK289" s="333" t="e">
        <f>Stock!S1463+"'E4!0G&gt;"</f>
        <v>#VALUE!</v>
      </c>
      <c r="IL289" s="333" t="e">
        <f>Stock!T1463+"'E4!0G?"</f>
        <v>#VALUE!</v>
      </c>
      <c r="IM289" t="e">
        <f>Stock!V1463+"'E4!0G@"</f>
        <v>#VALUE!</v>
      </c>
      <c r="IN289" t="e">
        <f>Stock!X1463+"'E4!0GA"</f>
        <v>#VALUE!</v>
      </c>
      <c r="IO289" t="e">
        <f>Stock!Y1463+"'E4!0GB"</f>
        <v>#VALUE!</v>
      </c>
      <c r="IP289" s="333" t="e">
        <f>Stock!S1464+"'E4!0GC"</f>
        <v>#VALUE!</v>
      </c>
      <c r="IQ289" s="333" t="e">
        <f>Stock!T1464+"'E4!0GD"</f>
        <v>#VALUE!</v>
      </c>
      <c r="IR289" t="e">
        <f>Stock!V1464+"'E4!0GE"</f>
        <v>#VALUE!</v>
      </c>
      <c r="IS289" t="e">
        <f>Stock!X1464+"'E4!0GF"</f>
        <v>#VALUE!</v>
      </c>
      <c r="IT289" t="e">
        <f>Stock!Y1464+"'E4!0GG"</f>
        <v>#VALUE!</v>
      </c>
      <c r="IU289" s="333" t="e">
        <f>Stock!S1465+"'E4!0GH"</f>
        <v>#VALUE!</v>
      </c>
      <c r="IV289" s="333" t="e">
        <f>Stock!T1465+"'E4!0GI"</f>
        <v>#VALUE!</v>
      </c>
    </row>
    <row r="290" spans="6:256">
      <c r="F290" t="e">
        <f>Stock!V1465+"'E4!0GJ"</f>
        <v>#VALUE!</v>
      </c>
      <c r="G290" t="e">
        <f>Stock!X1465+"'E4!0GK"</f>
        <v>#VALUE!</v>
      </c>
      <c r="H290" t="e">
        <f>Stock!Y1465+"'E4!0GL"</f>
        <v>#VALUE!</v>
      </c>
      <c r="I290" s="333" t="e">
        <f>Stock!S1466+"'E4!0GM"</f>
        <v>#VALUE!</v>
      </c>
      <c r="J290" s="333" t="e">
        <f>Stock!T1466+"'E4!0GN"</f>
        <v>#VALUE!</v>
      </c>
      <c r="K290" t="e">
        <f>Stock!V1466+"'E4!0GO"</f>
        <v>#VALUE!</v>
      </c>
      <c r="L290" t="e">
        <f>Stock!X1466+"'E4!0GP"</f>
        <v>#VALUE!</v>
      </c>
      <c r="M290" t="e">
        <f>Stock!Y1466+"'E4!0GQ"</f>
        <v>#VALUE!</v>
      </c>
      <c r="N290" s="333" t="e">
        <f>Stock!S1467+"'E4!0GR"</f>
        <v>#VALUE!</v>
      </c>
      <c r="O290" s="333" t="e">
        <f>Stock!T1467+"'E4!0GS"</f>
        <v>#VALUE!</v>
      </c>
      <c r="P290" t="e">
        <f>Stock!V1467+"'E4!0GT"</f>
        <v>#VALUE!</v>
      </c>
      <c r="Q290" t="e">
        <f>Stock!X1467+"'E4!0GU"</f>
        <v>#VALUE!</v>
      </c>
      <c r="R290" t="e">
        <f>Stock!Y1467+"'E4!0GV"</f>
        <v>#VALUE!</v>
      </c>
      <c r="S290" s="333" t="e">
        <f>Stock!S1468+"'E4!0GW"</f>
        <v>#VALUE!</v>
      </c>
      <c r="T290" s="333" t="e">
        <f>Stock!T1468+"'E4!0GX"</f>
        <v>#VALUE!</v>
      </c>
      <c r="U290" t="e">
        <f>Stock!V1468+"'E4!0GY"</f>
        <v>#VALUE!</v>
      </c>
      <c r="V290" t="e">
        <f>Stock!X1468+"'E4!0GZ"</f>
        <v>#VALUE!</v>
      </c>
      <c r="W290" t="e">
        <f>Stock!Y1468+"'E4!0G["</f>
        <v>#VALUE!</v>
      </c>
      <c r="X290" s="333" t="e">
        <f>Stock!S1469+"'E4!0G\"</f>
        <v>#VALUE!</v>
      </c>
      <c r="Y290" s="333" t="e">
        <f>Stock!T1469+"'E4!0G]"</f>
        <v>#VALUE!</v>
      </c>
      <c r="Z290" t="e">
        <f>Stock!V1469+"'E4!0G^"</f>
        <v>#VALUE!</v>
      </c>
      <c r="AA290" t="e">
        <f>Stock!X1469+"'E4!0G_"</f>
        <v>#VALUE!</v>
      </c>
      <c r="AB290" t="e">
        <f>Stock!Y1469+"'E4!0G`"</f>
        <v>#VALUE!</v>
      </c>
      <c r="AC290" s="333" t="e">
        <f>Stock!S1470+"'E4!0Ga"</f>
        <v>#VALUE!</v>
      </c>
      <c r="AD290" s="333" t="e">
        <f>Stock!T1470+"'E4!0Gb"</f>
        <v>#VALUE!</v>
      </c>
      <c r="AE290" t="e">
        <f>Stock!V1470+"'E4!0Gc"</f>
        <v>#VALUE!</v>
      </c>
      <c r="AF290" t="e">
        <f>Stock!X1470+"'E4!0Gd"</f>
        <v>#VALUE!</v>
      </c>
      <c r="AG290" t="e">
        <f>Stock!Y1470+"'E4!0Ge"</f>
        <v>#VALUE!</v>
      </c>
      <c r="AH290" s="333" t="e">
        <f>Stock!S1471+"'E4!0Gf"</f>
        <v>#VALUE!</v>
      </c>
      <c r="AI290" s="333" t="e">
        <f>Stock!T1471+"'E4!0Gg"</f>
        <v>#VALUE!</v>
      </c>
      <c r="AJ290" t="e">
        <f>Stock!V1471+"'E4!0Gh"</f>
        <v>#VALUE!</v>
      </c>
      <c r="AK290" t="e">
        <f>Stock!X1471+"'E4!0Gi"</f>
        <v>#VALUE!</v>
      </c>
      <c r="AL290" t="e">
        <f>Stock!Y1471+"'E4!0Gj"</f>
        <v>#VALUE!</v>
      </c>
      <c r="AM290" s="333" t="e">
        <f>Stock!S1472+"'E4!0Gk"</f>
        <v>#VALUE!</v>
      </c>
      <c r="AN290" s="333" t="e">
        <f>Stock!T1472+"'E4!0Gl"</f>
        <v>#VALUE!</v>
      </c>
      <c r="AO290" t="e">
        <f>Stock!V1472+"'E4!0Gm"</f>
        <v>#VALUE!</v>
      </c>
      <c r="AP290" t="e">
        <f>Stock!X1472+"'E4!0Gn"</f>
        <v>#VALUE!</v>
      </c>
      <c r="AQ290" t="e">
        <f>Stock!Y1472+"'E4!0Go"</f>
        <v>#VALUE!</v>
      </c>
      <c r="AR290" s="333" t="e">
        <f>Stock!S1473+"'E4!0Gp"</f>
        <v>#VALUE!</v>
      </c>
      <c r="AS290" s="333" t="e">
        <f>Stock!T1473+"'E4!0Gq"</f>
        <v>#VALUE!</v>
      </c>
      <c r="AT290" t="e">
        <f>Stock!V1473+"'E4!0Gr"</f>
        <v>#VALUE!</v>
      </c>
      <c r="AU290" t="e">
        <f>Stock!X1473+"'E4!0Gs"</f>
        <v>#VALUE!</v>
      </c>
      <c r="AV290" t="e">
        <f>Stock!Y1473+"'E4!0Gt"</f>
        <v>#VALUE!</v>
      </c>
      <c r="AW290" s="333" t="e">
        <f>Stock!S1474+"'E4!0Gu"</f>
        <v>#VALUE!</v>
      </c>
      <c r="AX290" s="333" t="e">
        <f>Stock!T1474+"'E4!0Gv"</f>
        <v>#VALUE!</v>
      </c>
      <c r="AY290" t="e">
        <f>Stock!V1474+"'E4!0Gw"</f>
        <v>#VALUE!</v>
      </c>
      <c r="AZ290" t="e">
        <f>Stock!X1474+"'E4!0Gx"</f>
        <v>#VALUE!</v>
      </c>
      <c r="BA290" t="e">
        <f>Stock!Y1474+"'E4!0Gy"</f>
        <v>#VALUE!</v>
      </c>
      <c r="BB290" s="333" t="e">
        <f>Stock!S1475+"'E4!0Gz"</f>
        <v>#VALUE!</v>
      </c>
      <c r="BC290" s="333" t="e">
        <f>Stock!T1475+"'E4!0G{"</f>
        <v>#VALUE!</v>
      </c>
      <c r="BD290" t="e">
        <f>Stock!V1475+"'E4!0G|"</f>
        <v>#VALUE!</v>
      </c>
      <c r="BE290" t="e">
        <f>Stock!X1475+"'E4!0G}"</f>
        <v>#VALUE!</v>
      </c>
      <c r="BF290" t="e">
        <f>Stock!Y1475+"'E4!0G~"</f>
        <v>#VALUE!</v>
      </c>
      <c r="BG290" s="333" t="e">
        <f>Stock!S1476+"'E4!0H#"</f>
        <v>#VALUE!</v>
      </c>
      <c r="BH290" s="333" t="e">
        <f>Stock!T1476+"'E4!0H$"</f>
        <v>#VALUE!</v>
      </c>
      <c r="BI290" t="e">
        <f>Stock!V1476+"'E4!0H%"</f>
        <v>#VALUE!</v>
      </c>
      <c r="BJ290" t="e">
        <f>Stock!X1476+"'E4!0H&amp;"</f>
        <v>#VALUE!</v>
      </c>
      <c r="BK290" t="e">
        <f>Stock!Y1476+"'E4!0H'"</f>
        <v>#VALUE!</v>
      </c>
      <c r="BL290" s="333" t="e">
        <f>Stock!S1477+"'E4!0H("</f>
        <v>#VALUE!</v>
      </c>
      <c r="BM290" s="333" t="e">
        <f>Stock!T1477+"'E4!0H)"</f>
        <v>#VALUE!</v>
      </c>
      <c r="BN290" t="e">
        <f>Stock!V1477+"'E4!0H."</f>
        <v>#VALUE!</v>
      </c>
      <c r="BO290" t="e">
        <f>Stock!X1477+"'E4!0H/"</f>
        <v>#VALUE!</v>
      </c>
      <c r="BP290" t="e">
        <f>Stock!Y1477+"'E4!0H0"</f>
        <v>#VALUE!</v>
      </c>
      <c r="BQ290" s="333" t="e">
        <f>Stock!S1478+"'E4!0H1"</f>
        <v>#VALUE!</v>
      </c>
      <c r="BR290" s="333" t="e">
        <f>Stock!T1478+"'E4!0H2"</f>
        <v>#VALUE!</v>
      </c>
      <c r="BS290" t="e">
        <f>Stock!V1478+"'E4!0H3"</f>
        <v>#VALUE!</v>
      </c>
      <c r="BT290" t="e">
        <f>Stock!X1478+"'E4!0H4"</f>
        <v>#VALUE!</v>
      </c>
      <c r="BU290" t="e">
        <f>Stock!Y1478+"'E4!0H5"</f>
        <v>#VALUE!</v>
      </c>
      <c r="BV290" s="333" t="e">
        <f>Stock!S1479+"'E4!0H6"</f>
        <v>#VALUE!</v>
      </c>
      <c r="BW290" s="333" t="e">
        <f>Stock!T1479+"'E4!0H7"</f>
        <v>#VALUE!</v>
      </c>
      <c r="BX290" t="e">
        <f>Stock!V1479+"'E4!0H8"</f>
        <v>#VALUE!</v>
      </c>
      <c r="BY290" t="e">
        <f>Stock!X1479+"'E4!0H9"</f>
        <v>#VALUE!</v>
      </c>
      <c r="BZ290" t="e">
        <f>Stock!Y1479+"'E4!0H:"</f>
        <v>#VALUE!</v>
      </c>
      <c r="CA290" s="333" t="e">
        <f>Stock!S1480+"'E4!0H;"</f>
        <v>#VALUE!</v>
      </c>
      <c r="CB290" s="333" t="e">
        <f>Stock!T1480+"'E4!0H&lt;"</f>
        <v>#VALUE!</v>
      </c>
      <c r="CC290" t="e">
        <f>Stock!V1480+"'E4!0H="</f>
        <v>#VALUE!</v>
      </c>
      <c r="CD290" t="e">
        <f>Stock!X1480+"'E4!0H&gt;"</f>
        <v>#VALUE!</v>
      </c>
      <c r="CE290" t="e">
        <f>Stock!Y1480+"'E4!0H?"</f>
        <v>#VALUE!</v>
      </c>
      <c r="CF290" s="333" t="e">
        <f>Stock!S1481+"'E4!0H@"</f>
        <v>#VALUE!</v>
      </c>
      <c r="CG290" s="333" t="e">
        <f>Stock!T1481+"'E4!0HA"</f>
        <v>#VALUE!</v>
      </c>
      <c r="CH290" t="e">
        <f>Stock!V1481+"'E4!0HB"</f>
        <v>#VALUE!</v>
      </c>
      <c r="CI290" t="e">
        <f>Stock!X1481+"'E4!0HC"</f>
        <v>#VALUE!</v>
      </c>
      <c r="CJ290" t="e">
        <f>Stock!Y1481+"'E4!0HD"</f>
        <v>#VALUE!</v>
      </c>
      <c r="CK290" s="333" t="e">
        <f>Stock!S1482+"'E4!0HE"</f>
        <v>#VALUE!</v>
      </c>
      <c r="CL290" s="333" t="e">
        <f>Stock!T1482+"'E4!0HF"</f>
        <v>#VALUE!</v>
      </c>
      <c r="CM290" t="e">
        <f>Stock!V1482+"'E4!0HG"</f>
        <v>#VALUE!</v>
      </c>
      <c r="CN290" t="e">
        <f>Stock!X1482+"'E4!0HH"</f>
        <v>#VALUE!</v>
      </c>
      <c r="CO290" t="e">
        <f>Stock!Y1482+"'E4!0HI"</f>
        <v>#VALUE!</v>
      </c>
      <c r="CP290" s="333" t="e">
        <f>Stock!S1483+"'E4!0HJ"</f>
        <v>#VALUE!</v>
      </c>
      <c r="CQ290" s="333" t="e">
        <f>Stock!T1483+"'E4!0HK"</f>
        <v>#VALUE!</v>
      </c>
      <c r="CR290" t="e">
        <f>Stock!V1483+"'E4!0HL"</f>
        <v>#VALUE!</v>
      </c>
      <c r="CS290" t="e">
        <f>Stock!X1483+"'E4!0HM"</f>
        <v>#VALUE!</v>
      </c>
      <c r="CT290" t="e">
        <f>Stock!Y1483+"'E4!0HN"</f>
        <v>#VALUE!</v>
      </c>
      <c r="CU290" s="333" t="e">
        <f>Stock!S1484+"'E4!0HO"</f>
        <v>#VALUE!</v>
      </c>
      <c r="CV290" s="333" t="e">
        <f>Stock!T1484+"'E4!0HP"</f>
        <v>#VALUE!</v>
      </c>
      <c r="CW290" t="e">
        <f>Stock!V1484+"'E4!0HQ"</f>
        <v>#VALUE!</v>
      </c>
      <c r="CX290" t="e">
        <f>Stock!X1484+"'E4!0HR"</f>
        <v>#VALUE!</v>
      </c>
      <c r="CY290" t="e">
        <f>Stock!Y1484+"'E4!0HS"</f>
        <v>#VALUE!</v>
      </c>
      <c r="CZ290" s="333" t="e">
        <f>Stock!S1485+"'E4!0HT"</f>
        <v>#VALUE!</v>
      </c>
      <c r="DA290" s="333" t="e">
        <f>Stock!T1485+"'E4!0HU"</f>
        <v>#VALUE!</v>
      </c>
      <c r="DB290" t="e">
        <f>Stock!V1485+"'E4!0HV"</f>
        <v>#VALUE!</v>
      </c>
      <c r="DC290" t="e">
        <f>Stock!X1485+"'E4!0HW"</f>
        <v>#VALUE!</v>
      </c>
      <c r="DD290" t="e">
        <f>Stock!Y1485+"'E4!0HX"</f>
        <v>#VALUE!</v>
      </c>
      <c r="DE290" s="333" t="e">
        <f>Stock!S1486+"'E4!0HY"</f>
        <v>#VALUE!</v>
      </c>
      <c r="DF290" s="333" t="e">
        <f>Stock!T1486+"'E4!0HZ"</f>
        <v>#VALUE!</v>
      </c>
      <c r="DG290" t="e">
        <f>Stock!V1486+"'E4!0H["</f>
        <v>#VALUE!</v>
      </c>
      <c r="DH290" t="e">
        <f>Stock!X1486+"'E4!0H\"</f>
        <v>#VALUE!</v>
      </c>
      <c r="DI290" t="e">
        <f>Stock!Y1486+"'E4!0H]"</f>
        <v>#VALUE!</v>
      </c>
      <c r="DJ290" s="333" t="e">
        <f>Stock!S1487+"'E4!0H^"</f>
        <v>#VALUE!</v>
      </c>
      <c r="DK290" s="333" t="e">
        <f>Stock!T1487+"'E4!0H_"</f>
        <v>#VALUE!</v>
      </c>
      <c r="DL290" t="e">
        <f>Stock!V1487+"'E4!0H`"</f>
        <v>#VALUE!</v>
      </c>
      <c r="DM290" t="e">
        <f>Stock!X1487+"'E4!0Ha"</f>
        <v>#VALUE!</v>
      </c>
      <c r="DN290" t="e">
        <f>Stock!Y1487+"'E4!0Hb"</f>
        <v>#VALUE!</v>
      </c>
      <c r="DO290" s="333" t="e">
        <f>Stock!S1488+"'E4!0Hc"</f>
        <v>#VALUE!</v>
      </c>
      <c r="DP290" s="333" t="e">
        <f>Stock!T1488+"'E4!0Hd"</f>
        <v>#VALUE!</v>
      </c>
      <c r="DQ290" t="e">
        <f>Stock!V1488+"'E4!0He"</f>
        <v>#VALUE!</v>
      </c>
      <c r="DR290" t="e">
        <f>Stock!X1488+"'E4!0Hf"</f>
        <v>#VALUE!</v>
      </c>
      <c r="DS290" t="e">
        <f>Stock!Y1488+"'E4!0Hg"</f>
        <v>#VALUE!</v>
      </c>
      <c r="DT290" s="333" t="e">
        <f>Stock!S1489+"'E4!0Hh"</f>
        <v>#VALUE!</v>
      </c>
      <c r="DU290" s="333" t="e">
        <f>Stock!T1489+"'E4!0Hi"</f>
        <v>#VALUE!</v>
      </c>
      <c r="DV290" t="e">
        <f>Stock!V1489+"'E4!0Hj"</f>
        <v>#VALUE!</v>
      </c>
      <c r="DW290" t="e">
        <f>Stock!X1489+"'E4!0Hk"</f>
        <v>#VALUE!</v>
      </c>
      <c r="DX290" t="e">
        <f>Stock!Y1489+"'E4!0Hl"</f>
        <v>#VALUE!</v>
      </c>
      <c r="DY290" s="333" t="e">
        <f>Stock!S1490+"'E4!0Hm"</f>
        <v>#VALUE!</v>
      </c>
      <c r="DZ290" s="333" t="e">
        <f>Stock!T1490+"'E4!0Hn"</f>
        <v>#VALUE!</v>
      </c>
      <c r="EA290" t="e">
        <f>Stock!V1490+"'E4!0Ho"</f>
        <v>#VALUE!</v>
      </c>
      <c r="EB290" t="e">
        <f>Stock!X1490+"'E4!0Hp"</f>
        <v>#VALUE!</v>
      </c>
      <c r="EC290" t="e">
        <f>Stock!Y1490+"'E4!0Hq"</f>
        <v>#VALUE!</v>
      </c>
      <c r="ED290" s="333" t="e">
        <f>Stock!S1491+"'E4!0Hr"</f>
        <v>#VALUE!</v>
      </c>
      <c r="EE290" s="333" t="e">
        <f>Stock!T1491+"'E4!0Hs"</f>
        <v>#VALUE!</v>
      </c>
      <c r="EF290" t="e">
        <f>Stock!V1491+"'E4!0Ht"</f>
        <v>#VALUE!</v>
      </c>
      <c r="EG290" t="e">
        <f>Stock!X1491+"'E4!0Hu"</f>
        <v>#VALUE!</v>
      </c>
      <c r="EH290" t="e">
        <f>Stock!Y1491+"'E4!0Hv"</f>
        <v>#VALUE!</v>
      </c>
      <c r="EI290" s="333" t="e">
        <f>Stock!S1492+"'E4!0Hw"</f>
        <v>#VALUE!</v>
      </c>
      <c r="EJ290" s="333" t="e">
        <f>Stock!T1492+"'E4!0Hx"</f>
        <v>#VALUE!</v>
      </c>
      <c r="EK290" t="e">
        <f>Stock!V1492+"'E4!0Hy"</f>
        <v>#VALUE!</v>
      </c>
      <c r="EL290" t="e">
        <f>Stock!X1492+"'E4!0Hz"</f>
        <v>#VALUE!</v>
      </c>
      <c r="EM290" t="e">
        <f>Stock!Y1492+"'E4!0H{"</f>
        <v>#VALUE!</v>
      </c>
      <c r="EN290" s="333" t="e">
        <f>Stock!S1493+"'E4!0H|"</f>
        <v>#VALUE!</v>
      </c>
      <c r="EO290" s="333" t="e">
        <f>Stock!T1493+"'E4!0H}"</f>
        <v>#VALUE!</v>
      </c>
      <c r="EP290" t="e">
        <f>Stock!V1493+"'E4!0H~"</f>
        <v>#VALUE!</v>
      </c>
      <c r="EQ290" t="e">
        <f>Stock!X1493+"'E4!0I#"</f>
        <v>#VALUE!</v>
      </c>
      <c r="ER290" t="e">
        <f>Stock!Y1493+"'E4!0I$"</f>
        <v>#VALUE!</v>
      </c>
      <c r="ES290" s="333" t="e">
        <f>Stock!S1494+"'E4!0I%"</f>
        <v>#VALUE!</v>
      </c>
      <c r="ET290" s="333" t="e">
        <f>Stock!T1494+"'E4!0I&amp;"</f>
        <v>#VALUE!</v>
      </c>
      <c r="EU290" t="e">
        <f>Stock!V1494+"'E4!0I'"</f>
        <v>#VALUE!</v>
      </c>
      <c r="EV290" t="e">
        <f>Stock!X1494+"'E4!0I("</f>
        <v>#VALUE!</v>
      </c>
      <c r="EW290" t="e">
        <f>Stock!Y1494+"'E4!0I)"</f>
        <v>#VALUE!</v>
      </c>
      <c r="EX290" s="333" t="e">
        <f>Stock!S1495+"'E4!0I."</f>
        <v>#VALUE!</v>
      </c>
      <c r="EY290" s="333" t="e">
        <f>Stock!T1495+"'E4!0I/"</f>
        <v>#VALUE!</v>
      </c>
      <c r="EZ290" t="e">
        <f>Stock!V1495+"'E4!0I0"</f>
        <v>#VALUE!</v>
      </c>
      <c r="FA290" t="e">
        <f>Stock!X1495+"'E4!0I1"</f>
        <v>#VALUE!</v>
      </c>
      <c r="FB290" t="e">
        <f>Stock!Y1495+"'E4!0I2"</f>
        <v>#VALUE!</v>
      </c>
      <c r="FC290" s="333" t="e">
        <f>Stock!S1496+"'E4!0I3"</f>
        <v>#VALUE!</v>
      </c>
      <c r="FD290" s="333" t="e">
        <f>Stock!T1496+"'E4!0I4"</f>
        <v>#VALUE!</v>
      </c>
      <c r="FE290" t="e">
        <f>Stock!V1496+"'E4!0I5"</f>
        <v>#VALUE!</v>
      </c>
      <c r="FF290" t="e">
        <f>Stock!X1496+"'E4!0I6"</f>
        <v>#VALUE!</v>
      </c>
      <c r="FG290" t="e">
        <f>Stock!Y1496+"'E4!0I7"</f>
        <v>#VALUE!</v>
      </c>
      <c r="FH290" s="333" t="e">
        <f>Stock!S1497+"'E4!0I8"</f>
        <v>#VALUE!</v>
      </c>
      <c r="FI290" s="333" t="e">
        <f>Stock!T1497+"'E4!0I9"</f>
        <v>#VALUE!</v>
      </c>
      <c r="FJ290" t="e">
        <f>Stock!V1497+"'E4!0I:"</f>
        <v>#VALUE!</v>
      </c>
      <c r="FK290" t="e">
        <f>Stock!X1497+"'E4!0I;"</f>
        <v>#VALUE!</v>
      </c>
      <c r="FL290" t="e">
        <f>Stock!Y1497+"'E4!0I&lt;"</f>
        <v>#VALUE!</v>
      </c>
      <c r="FM290" s="333" t="e">
        <f>Stock!S1498+"'E4!0I="</f>
        <v>#VALUE!</v>
      </c>
      <c r="FN290" s="333" t="e">
        <f>Stock!T1498+"'E4!0I&gt;"</f>
        <v>#VALUE!</v>
      </c>
      <c r="FO290" t="e">
        <f>Stock!V1498+"'E4!0I?"</f>
        <v>#VALUE!</v>
      </c>
      <c r="FP290" t="e">
        <f>Stock!X1498+"'E4!0I@"</f>
        <v>#VALUE!</v>
      </c>
      <c r="FQ290" t="e">
        <f>Stock!Y1498+"'E4!0IA"</f>
        <v>#VALUE!</v>
      </c>
      <c r="FR290" s="333" t="e">
        <f>Stock!S1499+"'E4!0IB"</f>
        <v>#VALUE!</v>
      </c>
      <c r="FS290" s="333" t="e">
        <f>Stock!T1499+"'E4!0IC"</f>
        <v>#VALUE!</v>
      </c>
      <c r="FT290" t="e">
        <f>Stock!V1499+"'E4!0ID"</f>
        <v>#VALUE!</v>
      </c>
      <c r="FU290" t="e">
        <f>Stock!X1499+"'E4!0IE"</f>
        <v>#VALUE!</v>
      </c>
      <c r="FV290" t="e">
        <f>Stock!Y1499+"'E4!0IF"</f>
        <v>#VALUE!</v>
      </c>
      <c r="FW290" s="333" t="e">
        <f>Stock!S1500+"'E4!0IG"</f>
        <v>#VALUE!</v>
      </c>
      <c r="FX290" s="333" t="e">
        <f>Stock!T1500+"'E4!0IH"</f>
        <v>#VALUE!</v>
      </c>
      <c r="FY290" t="e">
        <f>Stock!V1500+"'E4!0II"</f>
        <v>#VALUE!</v>
      </c>
      <c r="FZ290" t="e">
        <f>Stock!X1500+"'E4!0IJ"</f>
        <v>#VALUE!</v>
      </c>
      <c r="GA290" t="e">
        <f>Stock!Y1500+"'E4!0IK"</f>
        <v>#VALUE!</v>
      </c>
      <c r="GB290" s="333" t="e">
        <f>Stock!S1501+"'E4!0IL"</f>
        <v>#VALUE!</v>
      </c>
      <c r="GC290" s="333" t="e">
        <f>Stock!T1501+"'E4!0IM"</f>
        <v>#VALUE!</v>
      </c>
      <c r="GD290" t="e">
        <f>Stock!V1501+"'E4!0IN"</f>
        <v>#VALUE!</v>
      </c>
      <c r="GE290" t="e">
        <f>Stock!X1501+"'E4!0IO"</f>
        <v>#VALUE!</v>
      </c>
      <c r="GF290" t="e">
        <f>Stock!Y1501+"'E4!0IP"</f>
        <v>#VALUE!</v>
      </c>
      <c r="GG290" s="333" t="e">
        <f>Stock!S1502+"'E4!0IQ"</f>
        <v>#VALUE!</v>
      </c>
      <c r="GH290" s="333" t="e">
        <f>Stock!T1502+"'E4!0IR"</f>
        <v>#VALUE!</v>
      </c>
      <c r="GI290" t="e">
        <f>Stock!V1502+"'E4!0IS"</f>
        <v>#VALUE!</v>
      </c>
      <c r="GJ290" t="e">
        <f>Stock!X1502+"'E4!0IT"</f>
        <v>#VALUE!</v>
      </c>
      <c r="GK290" t="e">
        <f>Stock!Y1502+"'E4!0IU"</f>
        <v>#VALUE!</v>
      </c>
      <c r="GL290" s="333" t="e">
        <f>Stock!S1503+"'E4!0IV"</f>
        <v>#VALUE!</v>
      </c>
      <c r="GM290" s="333" t="e">
        <f>Stock!T1503+"'E4!0IW"</f>
        <v>#VALUE!</v>
      </c>
      <c r="GN290" t="e">
        <f>Stock!V1503+"'E4!0IX"</f>
        <v>#VALUE!</v>
      </c>
      <c r="GO290" t="e">
        <f>Stock!X1503+"'E4!0IY"</f>
        <v>#VALUE!</v>
      </c>
      <c r="GP290" t="e">
        <f>Stock!Y1503+"'E4!0IZ"</f>
        <v>#VALUE!</v>
      </c>
      <c r="GQ290" s="333" t="e">
        <f>Stock!S1504+"'E4!0I["</f>
        <v>#VALUE!</v>
      </c>
      <c r="GR290" s="333" t="e">
        <f>Stock!T1504+"'E4!0I\"</f>
        <v>#VALUE!</v>
      </c>
      <c r="GS290" t="e">
        <f>Stock!V1504+"'E4!0I]"</f>
        <v>#VALUE!</v>
      </c>
      <c r="GT290" t="e">
        <f>Stock!X1504+"'E4!0I^"</f>
        <v>#VALUE!</v>
      </c>
      <c r="GU290" t="e">
        <f>Stock!Y1504+"'E4!0I_"</f>
        <v>#VALUE!</v>
      </c>
      <c r="GV290" s="333" t="e">
        <f>Stock!S1505+"'E4!0I`"</f>
        <v>#VALUE!</v>
      </c>
      <c r="GW290" s="333" t="e">
        <f>Stock!T1505+"'E4!0Ia"</f>
        <v>#VALUE!</v>
      </c>
      <c r="GX290" t="e">
        <f>Stock!V1505+"'E4!0Ib"</f>
        <v>#VALUE!</v>
      </c>
      <c r="GY290" t="e">
        <f>Stock!X1505+"'E4!0Ic"</f>
        <v>#VALUE!</v>
      </c>
      <c r="GZ290" t="e">
        <f>Stock!Y1505+"'E4!0Id"</f>
        <v>#VALUE!</v>
      </c>
      <c r="HA290" s="333" t="e">
        <f>Stock!S1506+"'E4!0Ie"</f>
        <v>#VALUE!</v>
      </c>
      <c r="HB290" s="333" t="e">
        <f>Stock!T1506+"'E4!0If"</f>
        <v>#VALUE!</v>
      </c>
      <c r="HC290" t="e">
        <f>Stock!V1506+"'E4!0Ig"</f>
        <v>#VALUE!</v>
      </c>
      <c r="HD290" t="e">
        <f>Stock!X1506+"'E4!0Ih"</f>
        <v>#VALUE!</v>
      </c>
      <c r="HE290" t="e">
        <f>Stock!Y1506+"'E4!0Ii"</f>
        <v>#VALUE!</v>
      </c>
      <c r="HF290" s="333" t="e">
        <f>Stock!S1507+"'E4!0Ij"</f>
        <v>#VALUE!</v>
      </c>
      <c r="HG290" s="333" t="e">
        <f>Stock!T1507+"'E4!0Ik"</f>
        <v>#VALUE!</v>
      </c>
      <c r="HH290" t="e">
        <f>Stock!V1507+"'E4!0Il"</f>
        <v>#VALUE!</v>
      </c>
      <c r="HI290" t="e">
        <f>Stock!X1507+"'E4!0Im"</f>
        <v>#VALUE!</v>
      </c>
      <c r="HJ290" t="e">
        <f>Stock!Y1507+"'E4!0In"</f>
        <v>#VALUE!</v>
      </c>
      <c r="HK290" t="e">
        <f>Stock!N1508+"'E4!0Io"</f>
        <v>#VALUE!</v>
      </c>
      <c r="HL290" t="e">
        <f>Stock!O1508+"'E4!0Ip"</f>
        <v>#VALUE!</v>
      </c>
      <c r="HM290" t="e">
        <f>Stock!P1508+"'E4!0Iq"</f>
        <v>#VALUE!</v>
      </c>
      <c r="HN290" t="e">
        <f>Stock!Q1508+"'E4!0Ir"</f>
        <v>#VALUE!</v>
      </c>
      <c r="HO290" t="e">
        <f>Stock!R1508+"'E4!0Is"</f>
        <v>#VALUE!</v>
      </c>
      <c r="HP290" s="333" t="e">
        <f>Stock!S1508+"'E4!0It"</f>
        <v>#VALUE!</v>
      </c>
      <c r="HQ290" s="333" t="e">
        <f>Stock!T1508+"'E4!0Iu"</f>
        <v>#VALUE!</v>
      </c>
      <c r="HR290" t="e">
        <f>Stock!U1508+"'E4!0Iv"</f>
        <v>#VALUE!</v>
      </c>
      <c r="HS290" t="e">
        <f>Stock!V1508+"'E4!0Iw"</f>
        <v>#VALUE!</v>
      </c>
      <c r="HT290" t="e">
        <f>Stock!N1509+"'E4!0Ix"</f>
        <v>#VALUE!</v>
      </c>
      <c r="HU290" t="e">
        <f>Stock!O1509+"'E4!0Iy"</f>
        <v>#VALUE!</v>
      </c>
      <c r="HV290" t="e">
        <f>Stock!P1509+"'E4!0Iz"</f>
        <v>#VALUE!</v>
      </c>
      <c r="HW290" t="e">
        <f>Stock!Q1509+"'E4!0I{"</f>
        <v>#VALUE!</v>
      </c>
      <c r="HX290" t="e">
        <f>Stock!R1509+"'E4!0I|"</f>
        <v>#VALUE!</v>
      </c>
      <c r="HY290" s="333" t="e">
        <f>Stock!S1509+"'E4!0I}"</f>
        <v>#VALUE!</v>
      </c>
      <c r="HZ290" s="333" t="e">
        <f>Stock!T1509+"'E4!0I~"</f>
        <v>#VALUE!</v>
      </c>
      <c r="IA290" t="e">
        <f>Stock!U1509+"'E4!0J#"</f>
        <v>#VALUE!</v>
      </c>
      <c r="IB290" t="e">
        <f>Stock!V1509+"'E4!0J$"</f>
        <v>#VALUE!</v>
      </c>
      <c r="IC290" t="e">
        <f>Stock!N1510+"'E4!0J%"</f>
        <v>#VALUE!</v>
      </c>
      <c r="ID290" t="e">
        <f>Stock!O1510+"'E4!0J&amp;"</f>
        <v>#VALUE!</v>
      </c>
      <c r="IE290" t="e">
        <f>Stock!P1510+"'E4!0J'"</f>
        <v>#VALUE!</v>
      </c>
      <c r="IF290" t="e">
        <f>Stock!Q1510+"'E4!0J("</f>
        <v>#VALUE!</v>
      </c>
      <c r="IG290" t="e">
        <f>Stock!R1510+"'E4!0J)"</f>
        <v>#VALUE!</v>
      </c>
      <c r="IH290" s="333" t="e">
        <f>Stock!S1510+"'E4!0J."</f>
        <v>#VALUE!</v>
      </c>
      <c r="II290" s="333" t="e">
        <f>Stock!T1510+"'E4!0J/"</f>
        <v>#VALUE!</v>
      </c>
      <c r="IJ290" t="e">
        <f>Stock!U1510+"'E4!0J0"</f>
        <v>#VALUE!</v>
      </c>
      <c r="IK290" t="e">
        <f>Stock!V1510+"'E4!0J1"</f>
        <v>#VALUE!</v>
      </c>
      <c r="IL290" t="e">
        <f>Stock!N1511+"'E4!0J2"</f>
        <v>#VALUE!</v>
      </c>
      <c r="IM290" t="e">
        <f>Stock!O1511+"'E4!0J3"</f>
        <v>#VALUE!</v>
      </c>
      <c r="IN290" t="e">
        <f>Stock!P1511+"'E4!0J4"</f>
        <v>#VALUE!</v>
      </c>
      <c r="IO290" t="e">
        <f>Stock!Q1511+"'E4!0J5"</f>
        <v>#VALUE!</v>
      </c>
      <c r="IP290" t="e">
        <f>Stock!R1511+"'E4!0J6"</f>
        <v>#VALUE!</v>
      </c>
      <c r="IQ290" s="333" t="e">
        <f>Stock!S1511+"'E4!0J7"</f>
        <v>#VALUE!</v>
      </c>
      <c r="IR290" s="333" t="e">
        <f>Stock!T1511+"'E4!0J8"</f>
        <v>#VALUE!</v>
      </c>
      <c r="IS290" t="e">
        <f>Stock!U1511+"'E4!0J9"</f>
        <v>#VALUE!</v>
      </c>
      <c r="IT290" t="e">
        <f>Stock!V1511+"'E4!0J:"</f>
        <v>#VALUE!</v>
      </c>
      <c r="IU290" t="e">
        <f>Stock!N1512+"'E4!0J;"</f>
        <v>#VALUE!</v>
      </c>
      <c r="IV290" t="e">
        <f>Stock!O1512+"'E4!0J&lt;"</f>
        <v>#VALUE!</v>
      </c>
    </row>
    <row r="291" spans="6:256">
      <c r="F291" t="e">
        <f>Stock!P1512+"'E4!0J="</f>
        <v>#VALUE!</v>
      </c>
      <c r="G291" t="e">
        <f>Stock!Q1512+"'E4!0J&gt;"</f>
        <v>#VALUE!</v>
      </c>
      <c r="H291" t="e">
        <f>Stock!R1512+"'E4!0J?"</f>
        <v>#VALUE!</v>
      </c>
      <c r="I291" s="333" t="e">
        <f>Stock!S1512+"'E4!0J@"</f>
        <v>#VALUE!</v>
      </c>
      <c r="J291" s="333" t="e">
        <f>Stock!T1512+"'E4!0JA"</f>
        <v>#VALUE!</v>
      </c>
      <c r="K291" t="e">
        <f>Stock!U1512+"'E4!0JB"</f>
        <v>#VALUE!</v>
      </c>
      <c r="L291" t="e">
        <f>Stock!V1512+"'E4!0JC"</f>
        <v>#VALUE!</v>
      </c>
      <c r="M291" t="e">
        <f>Stock!N1513+"'E4!0JD"</f>
        <v>#VALUE!</v>
      </c>
      <c r="N291" t="e">
        <f>Stock!O1513+"'E4!0JE"</f>
        <v>#VALUE!</v>
      </c>
      <c r="O291" t="e">
        <f>Stock!P1513+"'E4!0JF"</f>
        <v>#VALUE!</v>
      </c>
      <c r="P291" t="e">
        <f>Stock!Q1513+"'E4!0JG"</f>
        <v>#VALUE!</v>
      </c>
      <c r="Q291" t="e">
        <f>Stock!R1513+"'E4!0JH"</f>
        <v>#VALUE!</v>
      </c>
      <c r="R291" s="333" t="e">
        <f>Stock!S1513+"'E4!0JI"</f>
        <v>#VALUE!</v>
      </c>
      <c r="S291" s="333" t="e">
        <f>Stock!T1513+"'E4!0JJ"</f>
        <v>#VALUE!</v>
      </c>
      <c r="T291" t="e">
        <f>Stock!U1513+"'E4!0JK"</f>
        <v>#VALUE!</v>
      </c>
      <c r="U291" t="e">
        <f>Stock!V1513+"'E4!0JL"</f>
        <v>#VALUE!</v>
      </c>
      <c r="V291" s="333" t="e">
        <f>Stock!S1514+"'E4!0JM"</f>
        <v>#VALUE!</v>
      </c>
      <c r="W291" s="333" t="e">
        <f>Stock!T1514+"'E4!0JN"</f>
        <v>#VALUE!</v>
      </c>
      <c r="X291" t="e">
        <f>Stock!V1514+"'E4!0JO"</f>
        <v>#VALUE!</v>
      </c>
      <c r="Y291" t="e">
        <f>Stock!N1515+"'E4!0JP"</f>
        <v>#VALUE!</v>
      </c>
      <c r="Z291" t="e">
        <f>Stock!O1515+"'E4!0JQ"</f>
        <v>#VALUE!</v>
      </c>
      <c r="AA291" t="e">
        <f>Stock!P1515+"'E4!0JR"</f>
        <v>#VALUE!</v>
      </c>
      <c r="AB291" t="e">
        <f>Stock!Q1515+"'E4!0JS"</f>
        <v>#VALUE!</v>
      </c>
      <c r="AC291" t="e">
        <f>Stock!R1515+"'E4!0JT"</f>
        <v>#VALUE!</v>
      </c>
      <c r="AD291" s="333" t="e">
        <f>Stock!S1515+"'E4!0JU"</f>
        <v>#VALUE!</v>
      </c>
      <c r="AE291" t="e">
        <f>Stock!T1515+"'E4!0JV"</f>
        <v>#VALUE!</v>
      </c>
      <c r="AF291" t="e">
        <f>Stock!U1515+"'E4!0JW"</f>
        <v>#VALUE!</v>
      </c>
      <c r="AG291" t="e">
        <f>Stock!V1515+"'E4!0JX"</f>
        <v>#VALUE!</v>
      </c>
      <c r="AH291" t="e">
        <f>Stock!N1516+"'E4!0JY"</f>
        <v>#VALUE!</v>
      </c>
      <c r="AI291" t="e">
        <f>Stock!O1516+"'E4!0JZ"</f>
        <v>#VALUE!</v>
      </c>
      <c r="AJ291" t="e">
        <f>Stock!P1516+"'E4!0J["</f>
        <v>#VALUE!</v>
      </c>
      <c r="AK291" t="e">
        <f>Stock!Q1516+"'E4!0J\"</f>
        <v>#VALUE!</v>
      </c>
      <c r="AL291" t="e">
        <f>Stock!R1516+"'E4!0J]"</f>
        <v>#VALUE!</v>
      </c>
      <c r="AM291" s="333" t="e">
        <f>Stock!S1516+"'E4!0J^"</f>
        <v>#VALUE!</v>
      </c>
      <c r="AN291" t="e">
        <f>Stock!T1516+"'E4!0J_"</f>
        <v>#VALUE!</v>
      </c>
      <c r="AO291" t="e">
        <f>Stock!U1516+"'E4!0J`"</f>
        <v>#VALUE!</v>
      </c>
      <c r="AP291" t="e">
        <f>Stock!V1516+"'E4!0Ja"</f>
        <v>#VALUE!</v>
      </c>
      <c r="AQ291" t="e">
        <f>Stock!N1517+"'E4!0Jb"</f>
        <v>#VALUE!</v>
      </c>
      <c r="AR291" t="e">
        <f>Stock!O1517+"'E4!0Jc"</f>
        <v>#VALUE!</v>
      </c>
      <c r="AS291" t="e">
        <f>Stock!P1517+"'E4!0Jd"</f>
        <v>#VALUE!</v>
      </c>
      <c r="AT291" t="e">
        <f>Stock!Q1517+"'E4!0Je"</f>
        <v>#VALUE!</v>
      </c>
      <c r="AU291" t="e">
        <f>Stock!R1517+"'E4!0Jf"</f>
        <v>#VALUE!</v>
      </c>
      <c r="AV291" s="333" t="e">
        <f>Stock!S1517+"'E4!0Jg"</f>
        <v>#VALUE!</v>
      </c>
      <c r="AW291" t="e">
        <f>Stock!T1517+"'E4!0Jh"</f>
        <v>#VALUE!</v>
      </c>
      <c r="AX291" t="e">
        <f>Stock!U1517+"'E4!0Ji"</f>
        <v>#VALUE!</v>
      </c>
      <c r="AY291" t="e">
        <f>Stock!V1517+"'E4!0Jj"</f>
        <v>#VALUE!</v>
      </c>
      <c r="AZ291" t="e">
        <f>Stock!N1518+"'E4!0Jk"</f>
        <v>#VALUE!</v>
      </c>
      <c r="BA291" t="e">
        <f>Stock!O1518+"'E4!0Jl"</f>
        <v>#VALUE!</v>
      </c>
      <c r="BB291" t="e">
        <f>Stock!P1518+"'E4!0Jm"</f>
        <v>#VALUE!</v>
      </c>
      <c r="BC291" t="e">
        <f>Stock!Q1518+"'E4!0Jn"</f>
        <v>#VALUE!</v>
      </c>
      <c r="BD291" t="e">
        <f>Stock!R1518+"'E4!0Jo"</f>
        <v>#VALUE!</v>
      </c>
      <c r="BE291" s="333" t="e">
        <f>Stock!S1518+"'E4!0Jp"</f>
        <v>#VALUE!</v>
      </c>
      <c r="BF291" t="e">
        <f>Stock!T1518+"'E4!0Jq"</f>
        <v>#VALUE!</v>
      </c>
      <c r="BG291" t="e">
        <f>Stock!U1518+"'E4!0Jr"</f>
        <v>#VALUE!</v>
      </c>
      <c r="BH291" t="e">
        <f>Stock!V1518+"'E4!0Js"</f>
        <v>#VALUE!</v>
      </c>
      <c r="BI291" t="e">
        <f>Stock!N1519+"'E4!0Jt"</f>
        <v>#VALUE!</v>
      </c>
      <c r="BJ291" t="e">
        <f>Stock!O1519+"'E4!0Ju"</f>
        <v>#VALUE!</v>
      </c>
      <c r="BK291" t="e">
        <f>Stock!P1519+"'E4!0Jv"</f>
        <v>#VALUE!</v>
      </c>
      <c r="BL291" t="e">
        <f>Stock!Q1519+"'E4!0Jw"</f>
        <v>#VALUE!</v>
      </c>
      <c r="BM291" t="e">
        <f>Stock!R1519+"'E4!0Jx"</f>
        <v>#VALUE!</v>
      </c>
      <c r="BN291" s="333" t="e">
        <f>Stock!S1519+"'E4!0Jy"</f>
        <v>#VALUE!</v>
      </c>
      <c r="BO291" s="333" t="e">
        <f>Stock!T1519+"'E4!0Jz"</f>
        <v>#VALUE!</v>
      </c>
      <c r="BP291" t="e">
        <f>Stock!U1519+"'E4!0J{"</f>
        <v>#VALUE!</v>
      </c>
      <c r="BQ291" t="e">
        <f>Stock!V1519+"'E4!0J|"</f>
        <v>#VALUE!</v>
      </c>
      <c r="BR291" t="e">
        <f>Stock!N1520+"'E4!0J}"</f>
        <v>#VALUE!</v>
      </c>
      <c r="BS291" t="e">
        <f>Stock!O1520+"'E4!0J~"</f>
        <v>#VALUE!</v>
      </c>
      <c r="BT291" t="e">
        <f>Stock!P1520+"'E4!0K#"</f>
        <v>#VALUE!</v>
      </c>
      <c r="BU291" t="e">
        <f>Stock!Q1520+"'E4!0K$"</f>
        <v>#VALUE!</v>
      </c>
      <c r="BV291" t="e">
        <f>Stock!R1520+"'E4!0K%"</f>
        <v>#VALUE!</v>
      </c>
      <c r="BW291" s="333" t="e">
        <f>Stock!S1520+"'E4!0K&amp;"</f>
        <v>#VALUE!</v>
      </c>
      <c r="BX291" s="333" t="e">
        <f>Stock!T1520+"'E4!0K'"</f>
        <v>#VALUE!</v>
      </c>
      <c r="BY291" t="e">
        <f>Stock!U1520+"'E4!0K("</f>
        <v>#VALUE!</v>
      </c>
      <c r="BZ291" t="e">
        <f>Stock!V1520+"'E4!0K)"</f>
        <v>#VALUE!</v>
      </c>
      <c r="CA291" s="333" t="e">
        <f>Stock!S1521+"'E4!0K."</f>
        <v>#VALUE!</v>
      </c>
      <c r="CB291" s="333" t="e">
        <f>Stock!T1521+"'E4!0K/"</f>
        <v>#VALUE!</v>
      </c>
      <c r="CC291" t="e">
        <f>Stock!V1521+"'E4!0K0"</f>
        <v>#VALUE!</v>
      </c>
      <c r="CD291" s="333" t="e">
        <f>Stock!S1522+"'E4!0K1"</f>
        <v>#VALUE!</v>
      </c>
      <c r="CE291" s="333" t="e">
        <f>Stock!T1522+"'E4!0K2"</f>
        <v>#VALUE!</v>
      </c>
      <c r="CF291" t="e">
        <f>Stock!V1522+"'E4!0K3"</f>
        <v>#VALUE!</v>
      </c>
      <c r="CG291" s="333" t="e">
        <f>Stock!S1523+"'E4!0K4"</f>
        <v>#VALUE!</v>
      </c>
      <c r="CH291" s="333" t="e">
        <f>Stock!T1523+"'E4!0K5"</f>
        <v>#VALUE!</v>
      </c>
      <c r="CI291" t="e">
        <f>Stock!V1523+"'E4!0K6"</f>
        <v>#VALUE!</v>
      </c>
      <c r="CJ291" s="333" t="e">
        <f>Stock!S1524+"'E4!0K7"</f>
        <v>#VALUE!</v>
      </c>
      <c r="CK291" s="333" t="e">
        <f>Stock!T1524+"'E4!0K8"</f>
        <v>#VALUE!</v>
      </c>
      <c r="CL291" t="e">
        <f>Stock!V1524+"'E4!0K9"</f>
        <v>#VALUE!</v>
      </c>
      <c r="CM291" s="333" t="e">
        <f>Stock!S1525+"'E4!0K:"</f>
        <v>#VALUE!</v>
      </c>
      <c r="CN291" s="333" t="e">
        <f>Stock!T1525+"'E4!0K;"</f>
        <v>#VALUE!</v>
      </c>
      <c r="CO291" t="e">
        <f>Stock!V1525+"'E4!0K&lt;"</f>
        <v>#VALUE!</v>
      </c>
      <c r="CP291" s="333" t="e">
        <f>Stock!S1526+"'E4!0K="</f>
        <v>#VALUE!</v>
      </c>
      <c r="CQ291" s="333" t="e">
        <f>Stock!T1526+"'E4!0K&gt;"</f>
        <v>#VALUE!</v>
      </c>
      <c r="CR291" t="e">
        <f>Stock!V1526+"'E4!0K?"</f>
        <v>#VALUE!</v>
      </c>
      <c r="CS291" s="333" t="e">
        <f>Stock!S1527+"'E4!0K@"</f>
        <v>#VALUE!</v>
      </c>
      <c r="CT291" s="333" t="e">
        <f>Stock!T1527+"'E4!0KA"</f>
        <v>#VALUE!</v>
      </c>
      <c r="CU291" t="e">
        <f>Stock!V1527+"'E4!0KB"</f>
        <v>#VALUE!</v>
      </c>
      <c r="CV291" s="333" t="e">
        <f>Stock!S1528+"'E4!0KC"</f>
        <v>#VALUE!</v>
      </c>
      <c r="CW291" s="333" t="e">
        <f>Stock!T1528+"'E4!0KD"</f>
        <v>#VALUE!</v>
      </c>
      <c r="CX291" t="e">
        <f>Stock!V1528+"'E4!0KE"</f>
        <v>#VALUE!</v>
      </c>
      <c r="CY291" s="333" t="e">
        <f>Stock!S1529+"'E4!0KF"</f>
        <v>#VALUE!</v>
      </c>
      <c r="CZ291" s="333" t="e">
        <f>Stock!T1529+"'E4!0KG"</f>
        <v>#VALUE!</v>
      </c>
      <c r="DA291" t="e">
        <f>Stock!V1529+"'E4!0KH"</f>
        <v>#VALUE!</v>
      </c>
      <c r="DB291" s="333" t="e">
        <f>Stock!S1530+"'E4!0KI"</f>
        <v>#VALUE!</v>
      </c>
      <c r="DC291" s="333" t="e">
        <f>Stock!T1530+"'E4!0KJ"</f>
        <v>#VALUE!</v>
      </c>
      <c r="DD291" t="e">
        <f>Stock!V1530+"'E4!0KK"</f>
        <v>#VALUE!</v>
      </c>
      <c r="DE291" s="333" t="e">
        <f>Stock!S1531+"'E4!0KL"</f>
        <v>#VALUE!</v>
      </c>
      <c r="DF291" s="333" t="e">
        <f>Stock!T1531+"'E4!0KM"</f>
        <v>#VALUE!</v>
      </c>
      <c r="DG291" t="e">
        <f>Stock!V1531+"'E4!0KN"</f>
        <v>#VALUE!</v>
      </c>
      <c r="DH291" s="333" t="e">
        <f>Stock!S1532+"'E4!0KO"</f>
        <v>#VALUE!</v>
      </c>
      <c r="DI291" s="333" t="e">
        <f>Stock!T1532+"'E4!0KP"</f>
        <v>#VALUE!</v>
      </c>
      <c r="DJ291" t="e">
        <f>Stock!V1532+"'E4!0KQ"</f>
        <v>#VALUE!</v>
      </c>
      <c r="DK291" s="333" t="e">
        <f>Stock!S1533+"'E4!0KR"</f>
        <v>#VALUE!</v>
      </c>
      <c r="DL291" s="333" t="e">
        <f>Stock!T1533+"'E4!0KS"</f>
        <v>#VALUE!</v>
      </c>
      <c r="DM291" t="e">
        <f>Stock!V1533+"'E4!0KT"</f>
        <v>#VALUE!</v>
      </c>
      <c r="DN291" s="333" t="e">
        <f>Stock!S1534+"'E4!0KU"</f>
        <v>#VALUE!</v>
      </c>
      <c r="DO291" s="333" t="e">
        <f>Stock!T1534+"'E4!0KV"</f>
        <v>#VALUE!</v>
      </c>
      <c r="DP291" t="e">
        <f>Stock!V1534+"'E4!0KW"</f>
        <v>#VALUE!</v>
      </c>
      <c r="DQ291" s="333" t="e">
        <f>Stock!S1535+"'E4!0KX"</f>
        <v>#VALUE!</v>
      </c>
      <c r="DR291" s="333" t="e">
        <f>Stock!T1535+"'E4!0KY"</f>
        <v>#VALUE!</v>
      </c>
      <c r="DS291" t="e">
        <f>Stock!V1535+"'E4!0KZ"</f>
        <v>#VALUE!</v>
      </c>
      <c r="DT291" s="333" t="e">
        <f>Stock!S1536+"'E4!0K["</f>
        <v>#VALUE!</v>
      </c>
      <c r="DU291" s="333" t="e">
        <f>Stock!T1536+"'E4!0K\"</f>
        <v>#VALUE!</v>
      </c>
      <c r="DV291" t="e">
        <f>Stock!V1536+"'E4!0K]"</f>
        <v>#VALUE!</v>
      </c>
      <c r="DW291" s="333" t="e">
        <f>Stock!S1537+"'E4!0K^"</f>
        <v>#VALUE!</v>
      </c>
      <c r="DX291" s="333" t="e">
        <f>Stock!T1537+"'E4!0K_"</f>
        <v>#VALUE!</v>
      </c>
      <c r="DY291" t="e">
        <f>Stock!V1537+"'E4!0K`"</f>
        <v>#VALUE!</v>
      </c>
      <c r="DZ291" s="333" t="e">
        <f>Stock!S1538+"'E4!0Ka"</f>
        <v>#VALUE!</v>
      </c>
      <c r="EA291" s="333" t="e">
        <f>Stock!T1538+"'E4!0Kb"</f>
        <v>#VALUE!</v>
      </c>
      <c r="EB291" t="e">
        <f>Stock!V1538+"'E4!0Kc"</f>
        <v>#VALUE!</v>
      </c>
      <c r="EC291" s="333" t="e">
        <f>Stock!S1539+"'E4!0Kd"</f>
        <v>#VALUE!</v>
      </c>
      <c r="ED291" s="333" t="e">
        <f>Stock!T1539+"'E4!0Ke"</f>
        <v>#VALUE!</v>
      </c>
      <c r="EE291" t="e">
        <f>Stock!V1539+"'E4!0Kf"</f>
        <v>#VALUE!</v>
      </c>
      <c r="EF291" s="333" t="e">
        <f>Stock!S1540+"'E4!0Kg"</f>
        <v>#VALUE!</v>
      </c>
      <c r="EG291" s="333" t="e">
        <f>Stock!T1540+"'E4!0Kh"</f>
        <v>#VALUE!</v>
      </c>
      <c r="EH291" t="e">
        <f>Stock!V1540+"'E4!0Ki"</f>
        <v>#VALUE!</v>
      </c>
      <c r="EI291" s="333" t="e">
        <f>Stock!S1541+"'E4!0Kj"</f>
        <v>#VALUE!</v>
      </c>
      <c r="EJ291" s="333" t="e">
        <f>Stock!T1541+"'E4!0Kk"</f>
        <v>#VALUE!</v>
      </c>
      <c r="EK291" t="e">
        <f>Stock!V1541+"'E4!0Kl"</f>
        <v>#VALUE!</v>
      </c>
      <c r="EL291" s="333" t="e">
        <f>Stock!S1542+"'E4!0Km"</f>
        <v>#VALUE!</v>
      </c>
      <c r="EM291" s="333" t="e">
        <f>Stock!T1542+"'E4!0Kn"</f>
        <v>#VALUE!</v>
      </c>
      <c r="EN291" t="e">
        <f>Stock!V1542+"'E4!0Ko"</f>
        <v>#VALUE!</v>
      </c>
      <c r="EO291" s="333" t="e">
        <f>Stock!S1543+"'E4!0Kp"</f>
        <v>#VALUE!</v>
      </c>
      <c r="EP291" s="333" t="e">
        <f>Stock!T1543+"'E4!0Kq"</f>
        <v>#VALUE!</v>
      </c>
      <c r="EQ291" t="e">
        <f>Stock!V1543+"'E4!0Kr"</f>
        <v>#VALUE!</v>
      </c>
      <c r="ER291" s="333" t="e">
        <f>Stock!S1544+"'E4!0Ks"</f>
        <v>#VALUE!</v>
      </c>
      <c r="ES291" s="333" t="e">
        <f>Stock!T1544+"'E4!0Kt"</f>
        <v>#VALUE!</v>
      </c>
      <c r="ET291" t="e">
        <f>Stock!V1544+"'E4!0Ku"</f>
        <v>#VALUE!</v>
      </c>
      <c r="EU291" s="333" t="e">
        <f>Stock!S1545+"'E4!0Kv"</f>
        <v>#VALUE!</v>
      </c>
      <c r="EV291" s="333" t="e">
        <f>Stock!T1545+"'E4!0Kw"</f>
        <v>#VALUE!</v>
      </c>
      <c r="EW291" t="e">
        <f>Stock!V1545+"'E4!0Kx"</f>
        <v>#VALUE!</v>
      </c>
      <c r="EX291" s="333" t="e">
        <f>Stock!S1546+"'E4!0Ky"</f>
        <v>#VALUE!</v>
      </c>
      <c r="EY291" s="333" t="e">
        <f>Stock!T1546+"'E4!0Kz"</f>
        <v>#VALUE!</v>
      </c>
      <c r="EZ291" t="e">
        <f>Stock!V1546+"'E4!0K{"</f>
        <v>#VALUE!</v>
      </c>
      <c r="FA291" s="333" t="e">
        <f>Stock!S1547+"'E4!0K|"</f>
        <v>#VALUE!</v>
      </c>
      <c r="FB291" s="333" t="e">
        <f>Stock!T1547+"'E4!0K}"</f>
        <v>#VALUE!</v>
      </c>
      <c r="FC291" t="e">
        <f>Stock!V1547+"'E4!0K~"</f>
        <v>#VALUE!</v>
      </c>
      <c r="FD291" s="333" t="e">
        <f>Stock!S1548+"'E4!0L#"</f>
        <v>#VALUE!</v>
      </c>
      <c r="FE291" s="333" t="e">
        <f>Stock!T1548+"'E4!0L$"</f>
        <v>#VALUE!</v>
      </c>
      <c r="FF291" t="e">
        <f>Stock!V1548+"'E4!0L%"</f>
        <v>#VALUE!</v>
      </c>
      <c r="FG291" s="333" t="e">
        <f>Stock!S1549+"'E4!0L&amp;"</f>
        <v>#VALUE!</v>
      </c>
      <c r="FH291" s="333" t="e">
        <f>Stock!T1549+"'E4!0L'"</f>
        <v>#VALUE!</v>
      </c>
      <c r="FI291" t="e">
        <f>Stock!V1549+"'E4!0L("</f>
        <v>#VALUE!</v>
      </c>
      <c r="FJ291" s="333" t="e">
        <f>Stock!S1550+"'E4!0L)"</f>
        <v>#VALUE!</v>
      </c>
      <c r="FK291" s="333" t="e">
        <f>Stock!T1550+"'E4!0L."</f>
        <v>#VALUE!</v>
      </c>
      <c r="FL291" t="e">
        <f>Stock!V1550+"'E4!0L/"</f>
        <v>#VALUE!</v>
      </c>
      <c r="FM291" s="333" t="e">
        <f>Stock!S1551+"'E4!0L0"</f>
        <v>#VALUE!</v>
      </c>
      <c r="FN291" s="333" t="e">
        <f>Stock!T1551+"'E4!0L1"</f>
        <v>#VALUE!</v>
      </c>
      <c r="FO291" t="e">
        <f>Stock!V1551+"'E4!0L2"</f>
        <v>#VALUE!</v>
      </c>
      <c r="FP291" s="333" t="e">
        <f>Stock!S1552+"'E4!0L3"</f>
        <v>#VALUE!</v>
      </c>
      <c r="FQ291" s="333" t="e">
        <f>Stock!T1552+"'E4!0L4"</f>
        <v>#VALUE!</v>
      </c>
      <c r="FR291" t="e">
        <f>Stock!V1552+"'E4!0L5"</f>
        <v>#VALUE!</v>
      </c>
      <c r="FS291" s="333" t="e">
        <f>Stock!S1553+"'E4!0L6"</f>
        <v>#VALUE!</v>
      </c>
      <c r="FT291" s="333" t="e">
        <f>Stock!T1553+"'E4!0L7"</f>
        <v>#VALUE!</v>
      </c>
      <c r="FU291" t="e">
        <f>Stock!V1553+"'E4!0L8"</f>
        <v>#VALUE!</v>
      </c>
      <c r="FV291" s="333" t="e">
        <f>Stock!S1554+"'E4!0L9"</f>
        <v>#VALUE!</v>
      </c>
      <c r="FW291" s="333" t="e">
        <f>Stock!T1554+"'E4!0L:"</f>
        <v>#VALUE!</v>
      </c>
      <c r="FX291" t="e">
        <f>Stock!V1554+"'E4!0L;"</f>
        <v>#VALUE!</v>
      </c>
      <c r="FY291" s="333" t="e">
        <f>Stock!S1555+"'E4!0L&lt;"</f>
        <v>#VALUE!</v>
      </c>
      <c r="FZ291" s="333" t="e">
        <f>Stock!T1555+"'E4!0L="</f>
        <v>#VALUE!</v>
      </c>
      <c r="GA291" t="e">
        <f>Stock!V1555+"'E4!0L&gt;"</f>
        <v>#VALUE!</v>
      </c>
      <c r="GB291" s="333" t="e">
        <f>Stock!S1556+"'E4!0L?"</f>
        <v>#VALUE!</v>
      </c>
      <c r="GC291" s="333" t="e">
        <f>Stock!T1556+"'E4!0L@"</f>
        <v>#VALUE!</v>
      </c>
      <c r="GD291" t="e">
        <f>Stock!V1556+"'E4!0LA"</f>
        <v>#VALUE!</v>
      </c>
      <c r="GE291" s="333" t="e">
        <f>Stock!S1557+"'E4!0LB"</f>
        <v>#VALUE!</v>
      </c>
      <c r="GF291" s="333" t="e">
        <f>Stock!T1557+"'E4!0LC"</f>
        <v>#VALUE!</v>
      </c>
      <c r="GG291" t="e">
        <f>Stock!V1557+"'E4!0LD"</f>
        <v>#VALUE!</v>
      </c>
      <c r="GH291" s="333" t="e">
        <f>Stock!S1558+"'E4!0LE"</f>
        <v>#VALUE!</v>
      </c>
      <c r="GI291" s="333" t="e">
        <f>Stock!T1558+"'E4!0LF"</f>
        <v>#VALUE!</v>
      </c>
      <c r="GJ291" t="e">
        <f>Stock!V1558+"'E4!0LG"</f>
        <v>#VALUE!</v>
      </c>
      <c r="GK291" s="333" t="e">
        <f>Stock!S1559+"'E4!0LH"</f>
        <v>#VALUE!</v>
      </c>
      <c r="GL291" s="333" t="e">
        <f>Stock!T1559+"'E4!0LI"</f>
        <v>#VALUE!</v>
      </c>
      <c r="GM291" t="e">
        <f>Stock!V1559+"'E4!0LJ"</f>
        <v>#VALUE!</v>
      </c>
      <c r="GN291" s="333" t="e">
        <f>Stock!S1560+"'E4!0LK"</f>
        <v>#VALUE!</v>
      </c>
      <c r="GO291" s="333" t="e">
        <f>Stock!T1560+"'E4!0LL"</f>
        <v>#VALUE!</v>
      </c>
      <c r="GP291" t="e">
        <f>Stock!V1560+"'E4!0LM"</f>
        <v>#VALUE!</v>
      </c>
      <c r="GQ291" s="333" t="e">
        <f>Stock!S1561+"'E4!0LN"</f>
        <v>#VALUE!</v>
      </c>
      <c r="GR291" s="333" t="e">
        <f>Stock!T1561+"'E4!0LO"</f>
        <v>#VALUE!</v>
      </c>
      <c r="GS291" t="e">
        <f>Stock!V1561+"'E4!0LP"</f>
        <v>#VALUE!</v>
      </c>
      <c r="GT291" s="333" t="e">
        <f>Stock!S1562+"'E4!0LQ"</f>
        <v>#VALUE!</v>
      </c>
      <c r="GU291" s="333" t="e">
        <f>Stock!T1562+"'E4!0LR"</f>
        <v>#VALUE!</v>
      </c>
      <c r="GV291" t="e">
        <f>Stock!V1562+"'E4!0LS"</f>
        <v>#VALUE!</v>
      </c>
      <c r="GW291" s="333" t="e">
        <f>Stock!S1563+"'E4!0LT"</f>
        <v>#VALUE!</v>
      </c>
      <c r="GX291" s="333" t="e">
        <f>Stock!T1563+"'E4!0LU"</f>
        <v>#VALUE!</v>
      </c>
      <c r="GY291" t="e">
        <f>Stock!V1563+"'E4!0LV"</f>
        <v>#VALUE!</v>
      </c>
      <c r="GZ291" s="333" t="e">
        <f>Stock!S1564+"'E4!0LW"</f>
        <v>#VALUE!</v>
      </c>
      <c r="HA291" s="333" t="e">
        <f>Stock!T1564+"'E4!0LX"</f>
        <v>#VALUE!</v>
      </c>
      <c r="HB291" t="e">
        <f>Stock!V1564+"'E4!0LY"</f>
        <v>#VALUE!</v>
      </c>
      <c r="HC291" s="333" t="e">
        <f>Stock!S1565+"'E4!0LZ"</f>
        <v>#VALUE!</v>
      </c>
      <c r="HD291" s="333" t="e">
        <f>Stock!T1565+"'E4!0L["</f>
        <v>#VALUE!</v>
      </c>
      <c r="HE291" t="e">
        <f>Stock!V1565+"'E4!0L\"</f>
        <v>#VALUE!</v>
      </c>
      <c r="HF291" s="333" t="e">
        <f>Stock!S1566+"'E4!0L]"</f>
        <v>#VALUE!</v>
      </c>
      <c r="HG291" s="333" t="e">
        <f>Stock!T1566+"'E4!0L^"</f>
        <v>#VALUE!</v>
      </c>
      <c r="HH291" t="e">
        <f>Stock!V1566+"'E4!0L_"</f>
        <v>#VALUE!</v>
      </c>
      <c r="HI291" s="333" t="e">
        <f>Stock!S1567+"'E4!0L`"</f>
        <v>#VALUE!</v>
      </c>
      <c r="HJ291" s="333" t="e">
        <f>Stock!T1567+"'E4!0La"</f>
        <v>#VALUE!</v>
      </c>
      <c r="HK291" t="e">
        <f>Stock!V1567+"'E4!0Lb"</f>
        <v>#VALUE!</v>
      </c>
      <c r="HL291" s="333" t="e">
        <f>Stock!S1568+"'E4!0Lc"</f>
        <v>#VALUE!</v>
      </c>
      <c r="HM291" s="333" t="e">
        <f>Stock!T1568+"'E4!0Ld"</f>
        <v>#VALUE!</v>
      </c>
      <c r="HN291" t="e">
        <f>Stock!V1568+"'E4!0Le"</f>
        <v>#VALUE!</v>
      </c>
      <c r="HO291" s="333" t="e">
        <f>Stock!S1569+"'E4!0Lf"</f>
        <v>#VALUE!</v>
      </c>
      <c r="HP291" s="333" t="e">
        <f>Stock!T1569+"'E4!0Lg"</f>
        <v>#VALUE!</v>
      </c>
      <c r="HQ291" t="e">
        <f>Stock!V1569+"'E4!0Lh"</f>
        <v>#VALUE!</v>
      </c>
      <c r="HR291" s="333" t="e">
        <f>Stock!S1570+"'E4!0Li"</f>
        <v>#VALUE!</v>
      </c>
      <c r="HS291" s="333" t="e">
        <f>Stock!T1570+"'E4!0Lj"</f>
        <v>#VALUE!</v>
      </c>
      <c r="HT291" t="e">
        <f>Stock!V1570+"'E4!0Lk"</f>
        <v>#VALUE!</v>
      </c>
      <c r="HU291" s="333" t="e">
        <f>Stock!S1571+"'E4!0Ll"</f>
        <v>#VALUE!</v>
      </c>
      <c r="HV291" s="333" t="e">
        <f>Stock!T1571+"'E4!0Lm"</f>
        <v>#VALUE!</v>
      </c>
      <c r="HW291" t="e">
        <f>Stock!V1571+"'E4!0Ln"</f>
        <v>#VALUE!</v>
      </c>
      <c r="HX291" s="333" t="e">
        <f>Stock!S1572+"'E4!0Lo"</f>
        <v>#VALUE!</v>
      </c>
      <c r="HY291" s="333" t="e">
        <f>Stock!T1572+"'E4!0Lp"</f>
        <v>#VALUE!</v>
      </c>
      <c r="HZ291" t="e">
        <f>Stock!V1572+"'E4!0Lq"</f>
        <v>#VALUE!</v>
      </c>
      <c r="IA291" s="333" t="e">
        <f>Stock!S1573+"'E4!0Lr"</f>
        <v>#VALUE!</v>
      </c>
      <c r="IB291" s="333" t="e">
        <f>Stock!T1573+"'E4!0Ls"</f>
        <v>#VALUE!</v>
      </c>
      <c r="IC291" t="e">
        <f>Stock!V1573+"'E4!0Lt"</f>
        <v>#VALUE!</v>
      </c>
      <c r="ID291" s="333" t="e">
        <f>Stock!S1574+"'E4!0Lu"</f>
        <v>#VALUE!</v>
      </c>
      <c r="IE291" s="333" t="e">
        <f>Stock!T1574+"'E4!0Lv"</f>
        <v>#VALUE!</v>
      </c>
      <c r="IF291" t="e">
        <f>Stock!V1574+"'E4!0Lw"</f>
        <v>#VALUE!</v>
      </c>
      <c r="IG291" s="333" t="e">
        <f>Stock!S1575+"'E4!0Lx"</f>
        <v>#VALUE!</v>
      </c>
      <c r="IH291" s="333" t="e">
        <f>Stock!T1575+"'E4!0Ly"</f>
        <v>#VALUE!</v>
      </c>
      <c r="II291" t="e">
        <f>Stock!V1575+"'E4!0Lz"</f>
        <v>#VALUE!</v>
      </c>
      <c r="IJ291" s="333" t="e">
        <f>Stock!S1576+"'E4!0L{"</f>
        <v>#VALUE!</v>
      </c>
      <c r="IK291" s="333" t="e">
        <f>Stock!T1576+"'E4!0L|"</f>
        <v>#VALUE!</v>
      </c>
      <c r="IL291" t="e">
        <f>Stock!V1576+"'E4!0L}"</f>
        <v>#VALUE!</v>
      </c>
      <c r="IM291" s="333" t="e">
        <f>Stock!S1577+"'E4!0L~"</f>
        <v>#VALUE!</v>
      </c>
      <c r="IN291" s="333" t="e">
        <f>Stock!T1577+"'E4!0M#"</f>
        <v>#VALUE!</v>
      </c>
      <c r="IO291" t="e">
        <f>Stock!V1577+"'E4!0M$"</f>
        <v>#VALUE!</v>
      </c>
      <c r="IP291" s="333" t="e">
        <f>Stock!S1578+"'E4!0M%"</f>
        <v>#VALUE!</v>
      </c>
      <c r="IQ291" s="333" t="e">
        <f>Stock!T1578+"'E4!0M&amp;"</f>
        <v>#VALUE!</v>
      </c>
      <c r="IR291" t="e">
        <f>Stock!V1578+"'E4!0M'"</f>
        <v>#VALUE!</v>
      </c>
      <c r="IS291" s="333" t="e">
        <f>Stock!S1579+"'E4!0M("</f>
        <v>#VALUE!</v>
      </c>
      <c r="IT291" s="333" t="e">
        <f>Stock!T1579+"'E4!0M)"</f>
        <v>#VALUE!</v>
      </c>
      <c r="IU291" t="e">
        <f>Stock!V1579+"'E4!0M."</f>
        <v>#VALUE!</v>
      </c>
      <c r="IV291" s="333" t="e">
        <f>Stock!S1580+"'E4!0M/"</f>
        <v>#VALUE!</v>
      </c>
    </row>
    <row r="292" spans="6:256">
      <c r="F292" s="333" t="e">
        <f>Stock!T1580+"'E4!0M0"</f>
        <v>#VALUE!</v>
      </c>
      <c r="G292" t="e">
        <f>Stock!V1580+"'E4!0M1"</f>
        <v>#VALUE!</v>
      </c>
      <c r="H292" s="333" t="e">
        <f>Stock!S1581+"'E4!0M2"</f>
        <v>#VALUE!</v>
      </c>
      <c r="I292" s="333" t="e">
        <f>Stock!T1581+"'E4!0M3"</f>
        <v>#VALUE!</v>
      </c>
      <c r="J292" t="e">
        <f>Stock!V1581+"'E4!0M4"</f>
        <v>#VALUE!</v>
      </c>
      <c r="K292" s="333" t="e">
        <f>Stock!S1582+"'E4!0M5"</f>
        <v>#VALUE!</v>
      </c>
      <c r="L292" s="333" t="e">
        <f>Stock!T1582+"'E4!0M6"</f>
        <v>#VALUE!</v>
      </c>
      <c r="M292" t="e">
        <f>Stock!V1582+"'E4!0M7"</f>
        <v>#VALUE!</v>
      </c>
      <c r="N292" s="333" t="e">
        <f>Stock!S1583+"'E4!0M8"</f>
        <v>#VALUE!</v>
      </c>
      <c r="O292" s="333" t="e">
        <f>Stock!T1583+"'E4!0M9"</f>
        <v>#VALUE!</v>
      </c>
      <c r="P292" t="e">
        <f>Stock!V1583+"'E4!0M:"</f>
        <v>#VALUE!</v>
      </c>
      <c r="Q292" s="333" t="e">
        <f>Stock!S1584+"'E4!0M;"</f>
        <v>#VALUE!</v>
      </c>
      <c r="R292" s="333" t="e">
        <f>Stock!T1584+"'E4!0M&lt;"</f>
        <v>#VALUE!</v>
      </c>
      <c r="S292" t="e">
        <f>Stock!V1584+"'E4!0M="</f>
        <v>#VALUE!</v>
      </c>
      <c r="T292" s="333" t="e">
        <f>Stock!S1585+"'E4!0M&gt;"</f>
        <v>#VALUE!</v>
      </c>
      <c r="U292" s="333" t="e">
        <f>Stock!T1585+"'E4!0M?"</f>
        <v>#VALUE!</v>
      </c>
      <c r="V292" t="e">
        <f>Stock!V1585+"'E4!0M@"</f>
        <v>#VALUE!</v>
      </c>
      <c r="W292" s="333" t="e">
        <f>Stock!S1586+"'E4!0MA"</f>
        <v>#VALUE!</v>
      </c>
      <c r="X292" s="333" t="e">
        <f>Stock!T1586+"'E4!0MB"</f>
        <v>#VALUE!</v>
      </c>
      <c r="Y292" t="e">
        <f>Stock!V1586+"'E4!0MC"</f>
        <v>#VALUE!</v>
      </c>
      <c r="Z292" s="333" t="e">
        <f>Stock!S1587+"'E4!0MD"</f>
        <v>#VALUE!</v>
      </c>
      <c r="AA292" s="333" t="e">
        <f>Stock!T1587+"'E4!0ME"</f>
        <v>#VALUE!</v>
      </c>
      <c r="AB292" t="e">
        <f>Stock!V1587+"'E4!0MF"</f>
        <v>#VALUE!</v>
      </c>
      <c r="AC292" s="333" t="e">
        <f>Stock!S1588+"'E4!0MG"</f>
        <v>#VALUE!</v>
      </c>
      <c r="AD292" s="333" t="e">
        <f>Stock!T1588+"'E4!0MH"</f>
        <v>#VALUE!</v>
      </c>
      <c r="AE292" t="e">
        <f>Stock!V1588+"'E4!0MI"</f>
        <v>#VALUE!</v>
      </c>
      <c r="AF292" s="333" t="e">
        <f>Stock!S1589+"'E4!0MJ"</f>
        <v>#VALUE!</v>
      </c>
      <c r="AG292" s="333" t="e">
        <f>Stock!T1589+"'E4!0MK"</f>
        <v>#VALUE!</v>
      </c>
      <c r="AH292" t="e">
        <f>Stock!V1589+"'E4!0ML"</f>
        <v>#VALUE!</v>
      </c>
      <c r="AI292" s="333" t="e">
        <f>Stock!S1590+"'E4!0MM"</f>
        <v>#VALUE!</v>
      </c>
      <c r="AJ292" s="333" t="e">
        <f>Stock!T1590+"'E4!0MN"</f>
        <v>#VALUE!</v>
      </c>
      <c r="AK292" t="e">
        <f>Stock!V1590+"'E4!0MO"</f>
        <v>#VALUE!</v>
      </c>
      <c r="AL292" s="333" t="e">
        <f>Stock!S1591+"'E4!0MP"</f>
        <v>#VALUE!</v>
      </c>
      <c r="AM292" s="333" t="e">
        <f>Stock!T1591+"'E4!0MQ"</f>
        <v>#VALUE!</v>
      </c>
      <c r="AN292" t="e">
        <f>Stock!V1591+"'E4!0MR"</f>
        <v>#VALUE!</v>
      </c>
      <c r="AO292" s="333" t="e">
        <f>Stock!S1592+"'E4!0MS"</f>
        <v>#VALUE!</v>
      </c>
      <c r="AP292" s="333" t="e">
        <f>Stock!T1592+"'E4!0MT"</f>
        <v>#VALUE!</v>
      </c>
      <c r="AQ292" t="e">
        <f>Stock!V1592+"'E4!0MU"</f>
        <v>#VALUE!</v>
      </c>
      <c r="AR292" s="333" t="e">
        <f>Stock!S1593+"'E4!0MV"</f>
        <v>#VALUE!</v>
      </c>
      <c r="AS292" s="333" t="e">
        <f>Stock!T1593+"'E4!0MW"</f>
        <v>#VALUE!</v>
      </c>
      <c r="AT292" t="e">
        <f>Stock!V1593+"'E4!0MX"</f>
        <v>#VALUE!</v>
      </c>
      <c r="AU292" t="e">
        <f>Stock!V1594+"'E4!0MY"</f>
        <v>#VALUE!</v>
      </c>
      <c r="AV292" t="e">
        <f>Stock!V1595+"'E4!0MZ"</f>
        <v>#VALUE!</v>
      </c>
      <c r="AW292" t="e">
        <f>Stock!V1596+"'E4!0M["</f>
        <v>#VALUE!</v>
      </c>
      <c r="AX292" t="e">
        <f>Stock!V1597+"'E4!0M\"</f>
        <v>#VALUE!</v>
      </c>
      <c r="AY292" t="e">
        <f>Stock!V1598+"'E4!0M]"</f>
        <v>#VALUE!</v>
      </c>
      <c r="AZ292" t="e">
        <f>Stock!V1599+"'E4!0M^"</f>
        <v>#VALUE!</v>
      </c>
      <c r="BA292" t="e">
        <f>Stock!V1600+"'E4!0M_"</f>
        <v>#VALUE!</v>
      </c>
      <c r="BB292" t="e">
        <f>Stock!V1601+"'E4!0M`"</f>
        <v>#VALUE!</v>
      </c>
      <c r="BC292" t="e">
        <f>Stock!V1602+"'E4!0Ma"</f>
        <v>#VALUE!</v>
      </c>
      <c r="BD292" t="e">
        <f>Stock!V1603+"'E4!0Mb"</f>
        <v>#VALUE!</v>
      </c>
      <c r="BE292" t="e">
        <f>Stock!V1604+"'E4!0Mc"</f>
        <v>#VALUE!</v>
      </c>
      <c r="BF292" t="e">
        <f>Stock!V1605+"'E4!0Md"</f>
        <v>#VALUE!</v>
      </c>
      <c r="BG292" t="e">
        <f>Stock!V1606+"'E4!0Me"</f>
        <v>#VALUE!</v>
      </c>
      <c r="BH292" t="e">
        <f>Stock!V1607+"'E4!0Mf"</f>
        <v>#VALUE!</v>
      </c>
      <c r="BI292" t="e">
        <f>Stock!V1608+"'E4!0Mg"</f>
        <v>#VALUE!</v>
      </c>
      <c r="BJ292" t="e">
        <f>Stock!V1609+"'E4!0Mh"</f>
        <v>#VALUE!</v>
      </c>
      <c r="BK292" t="e">
        <f>Stock!V1610+"'E4!0Mi"</f>
        <v>#VALUE!</v>
      </c>
      <c r="BL292" t="e">
        <f>Stock!V1611+"'E4!0Mj"</f>
        <v>#VALUE!</v>
      </c>
      <c r="BM292" t="e">
        <f>Stock!V1612+"'E4!0Mk"</f>
        <v>#VALUE!</v>
      </c>
      <c r="BN292" t="e">
        <f>Stock!V1613+"'E4!0Ml"</f>
        <v>#VALUE!</v>
      </c>
      <c r="BO292" t="e">
        <f>Stock!V1614+"'E4!0Mm"</f>
        <v>#VALUE!</v>
      </c>
      <c r="BP292" t="e">
        <f>Stock!V1615+"'E4!0Mn"</f>
        <v>#VALUE!</v>
      </c>
      <c r="BQ292" t="e">
        <f>Stock!V1616+"'E4!0Mo"</f>
        <v>#VALUE!</v>
      </c>
      <c r="BR292" t="e">
        <f>Stock!V1617+"'E4!0Mp"</f>
        <v>#VALUE!</v>
      </c>
      <c r="BS292" t="e">
        <f>Stock!V1618+"'E4!0Mq"</f>
        <v>#VALUE!</v>
      </c>
      <c r="BT292" t="e">
        <f>Stock!V1619+"'E4!0Mr"</f>
        <v>#VALUE!</v>
      </c>
      <c r="BU292" t="e">
        <f>Stock!V1620+"'E4!0Ms"</f>
        <v>#VALUE!</v>
      </c>
      <c r="BV292" t="e">
        <f>Stock!V1621+"'E4!0Mt"</f>
        <v>#VALUE!</v>
      </c>
      <c r="BW292" t="e">
        <f>Stock!V1622+"'E4!0Mu"</f>
        <v>#VALUE!</v>
      </c>
      <c r="BX292" t="e">
        <f>Stock!V1623+"'E4!0Mv"</f>
        <v>#VALUE!</v>
      </c>
      <c r="BY292" t="e">
        <f>Stock!V1624+"'E4!0Mw"</f>
        <v>#VALUE!</v>
      </c>
      <c r="BZ292" t="e">
        <f>Stock!V1625+"'E4!0Mx"</f>
        <v>#VALUE!</v>
      </c>
      <c r="CA292" t="e">
        <f>Stock!V1626+"'E4!0My"</f>
        <v>#VALUE!</v>
      </c>
      <c r="CB292" t="e">
        <f>Stock!V1627+"'E4!0Mz"</f>
        <v>#VALUE!</v>
      </c>
      <c r="CC292" t="e">
        <f>Stock!V1628+"'E4!0M{"</f>
        <v>#VALUE!</v>
      </c>
      <c r="CD292" t="e">
        <f>Stock!V1629+"'E4!0M|"</f>
        <v>#VALUE!</v>
      </c>
      <c r="CE292" t="e">
        <f>Stock!V1630+"'E4!0M}"</f>
        <v>#VALUE!</v>
      </c>
      <c r="CF292" t="e">
        <f>Stock!V1631+"'E4!0M~"</f>
        <v>#VALUE!</v>
      </c>
      <c r="CG292" t="e">
        <f>Stock!V1632+"'E4!0N#"</f>
        <v>#VALUE!</v>
      </c>
      <c r="CH292" t="e">
        <f>Stock!V1633+"'E4!0N$"</f>
        <v>#VALUE!</v>
      </c>
      <c r="CI292" t="e">
        <f>Stock!V1634+"'E4!0N%"</f>
        <v>#VALUE!</v>
      </c>
      <c r="CJ292" t="e">
        <f>Stock!V1635+"'E4!0N&amp;"</f>
        <v>#VALUE!</v>
      </c>
      <c r="CK292" t="e">
        <f>Stock!V1636+"'E4!0N'"</f>
        <v>#VALUE!</v>
      </c>
      <c r="CL292" t="e">
        <f>Stock!V1637+"'E4!0N("</f>
        <v>#VALUE!</v>
      </c>
      <c r="CM292" t="e">
        <f>Stock!V1638+"'E4!0N)"</f>
        <v>#VALUE!</v>
      </c>
      <c r="CN292" t="e">
        <f>Stock!V1639+"'E4!0N."</f>
        <v>#VALUE!</v>
      </c>
      <c r="CO292" t="e">
        <f>Stock!V1640+"'E4!0N/"</f>
        <v>#VALUE!</v>
      </c>
      <c r="CP292" t="e">
        <f>Stock!V1641+"'E4!0N0"</f>
        <v>#VALUE!</v>
      </c>
      <c r="CQ292" t="e">
        <f>Stock!V1642+"'E4!0N1"</f>
        <v>#VALUE!</v>
      </c>
      <c r="CR292" t="e">
        <f>Stock!V1643+"'E4!0N2"</f>
        <v>#VALUE!</v>
      </c>
      <c r="CS292" t="e">
        <f>Stock!V1644+"'E4!0N3"</f>
        <v>#VALUE!</v>
      </c>
      <c r="CT292" t="e">
        <f>Stock!V1645+"'E4!0N4"</f>
        <v>#VALUE!</v>
      </c>
      <c r="CU292" t="e">
        <f>Stock!V1646+"'E4!0N5"</f>
        <v>#VALUE!</v>
      </c>
      <c r="CV292" t="e">
        <f>Stock!V1647+"'E4!0N6"</f>
        <v>#VALUE!</v>
      </c>
      <c r="CW292" t="e">
        <f>Stock!V1648+"'E4!0N7"</f>
        <v>#VALUE!</v>
      </c>
      <c r="CX292" t="e">
        <f>Stock!V1649+"'E4!0N8"</f>
        <v>#VALUE!</v>
      </c>
      <c r="CY292" t="e">
        <f>Stock!V1650+"'E4!0N9"</f>
        <v>#VALUE!</v>
      </c>
      <c r="CZ292" t="e">
        <f>Stock!V1651+"'E4!0N:"</f>
        <v>#VALUE!</v>
      </c>
      <c r="DA292" t="e">
        <f>Stock!V1652+"'E4!0N;"</f>
        <v>#VALUE!</v>
      </c>
      <c r="DB292" t="e">
        <f>Stock!V1653+"'E4!0N&lt;"</f>
        <v>#VALUE!</v>
      </c>
      <c r="DC292" t="e">
        <f>Stock!V1654+"'E4!0N="</f>
        <v>#VALUE!</v>
      </c>
      <c r="DD292" t="e">
        <f>Stock!V1655+"'E4!0N&gt;"</f>
        <v>#VALUE!</v>
      </c>
      <c r="DE292" t="e">
        <f>Stock!V1656+"'E4!0N?"</f>
        <v>#VALUE!</v>
      </c>
      <c r="DF292" t="e">
        <f>Stock!V1657+"'E4!0N@"</f>
        <v>#VALUE!</v>
      </c>
      <c r="DG292" t="e">
        <f>Stock!V1658+"'E4!0NA"</f>
        <v>#VALUE!</v>
      </c>
      <c r="DH292" t="e">
        <f>Stock!V1659+"'E4!0NB"</f>
        <v>#VALUE!</v>
      </c>
      <c r="DI292" t="e">
        <f>Stock!V1660+"'E4!0NC"</f>
        <v>#VALUE!</v>
      </c>
      <c r="DJ292" t="e">
        <f>Stock!V1661+"'E4!0ND"</f>
        <v>#VALUE!</v>
      </c>
      <c r="DK292" t="e">
        <f>Stock!V1662+"'E4!0NE"</f>
        <v>#VALUE!</v>
      </c>
      <c r="DL292" t="e">
        <f>Stock!V1663+"'E4!0NF"</f>
        <v>#VALUE!</v>
      </c>
      <c r="DM292" t="e">
        <f>Stock!V1664+"'E4!0NG"</f>
        <v>#VALUE!</v>
      </c>
      <c r="DN292" t="e">
        <f>Stock!V1665+"'E4!0NH"</f>
        <v>#VALUE!</v>
      </c>
      <c r="DO292" t="e">
        <f>Stock!V1666+"'E4!0NI"</f>
        <v>#VALUE!</v>
      </c>
      <c r="DP292" t="e">
        <f>Stock!V1667+"'E4!0NJ"</f>
        <v>#VALUE!</v>
      </c>
      <c r="DQ292" t="e">
        <f>Stock!V1668+"'E4!0NK"</f>
        <v>#VALUE!</v>
      </c>
      <c r="DR292" t="e">
        <f>Stock!V1669+"'E4!0NL"</f>
        <v>#VALUE!</v>
      </c>
      <c r="DS292" t="e">
        <f>Stock!V1670+"'E4!0NM"</f>
        <v>#VALUE!</v>
      </c>
      <c r="DT292" t="e">
        <f>Stock!V1671+"'E4!0NN"</f>
        <v>#VALUE!</v>
      </c>
      <c r="DU292" t="e">
        <f>Stock!V1672+"'E4!0NO"</f>
        <v>#VALUE!</v>
      </c>
      <c r="DV292" t="e">
        <f>Stock!V1673+"'E4!0NP"</f>
        <v>#VALUE!</v>
      </c>
      <c r="DW292" t="e">
        <f>Stock!V1674+"'E4!0NQ"</f>
        <v>#VALUE!</v>
      </c>
      <c r="DX292" t="e">
        <f>Stock!V1675+"'E4!0NR"</f>
        <v>#VALUE!</v>
      </c>
      <c r="DY292" t="e">
        <f>Stock!V1676+"'E4!0NS"</f>
        <v>#VALUE!</v>
      </c>
      <c r="DZ292" t="e">
        <f>Stock!V1677+"'E4!0NT"</f>
        <v>#VALUE!</v>
      </c>
      <c r="EA292" t="e">
        <f>Stock!V1678+"'E4!0NU"</f>
        <v>#VALUE!</v>
      </c>
      <c r="EB292" t="e">
        <f>Stock!V1679+"'E4!0NV"</f>
        <v>#VALUE!</v>
      </c>
      <c r="EC292" t="e">
        <f>Stock!V1680+"'E4!0NW"</f>
        <v>#VALUE!</v>
      </c>
      <c r="ED292" t="e">
        <f>Stock!V1681+"'E4!0NX"</f>
        <v>#VALUE!</v>
      </c>
      <c r="EE292" t="e">
        <f>Stock!V1682+"'E4!0NY"</f>
        <v>#VALUE!</v>
      </c>
      <c r="EF292" t="e">
        <f>Stock!V1683+"'E4!0NZ"</f>
        <v>#VALUE!</v>
      </c>
      <c r="EG292" t="e">
        <f>Stock!V1684+"'E4!0N["</f>
        <v>#VALUE!</v>
      </c>
      <c r="EH292" t="e">
        <f>Stock!V1685+"'E4!0N\"</f>
        <v>#VALUE!</v>
      </c>
      <c r="EI292" t="e">
        <f>Stock!V1686+"'E4!0N]"</f>
        <v>#VALUE!</v>
      </c>
      <c r="EJ292" t="e">
        <f>Stock!V1687+"'E4!0N^"</f>
        <v>#VALUE!</v>
      </c>
      <c r="EK292" t="e">
        <f>Stock!V1688+"'E4!0N_"</f>
        <v>#VALUE!</v>
      </c>
      <c r="EL292" t="e">
        <f>Stock!V1689+"'E4!0N`"</f>
        <v>#VALUE!</v>
      </c>
      <c r="EM292" t="e">
        <f>Stock!V1690+"'E4!0Na"</f>
        <v>#VALUE!</v>
      </c>
      <c r="EN292" t="e">
        <f>Stock!V1691+"'E4!0Nb"</f>
        <v>#VALUE!</v>
      </c>
      <c r="EO292" t="e">
        <f>Stock!V1692+"'E4!0Nc"</f>
        <v>#VALUE!</v>
      </c>
      <c r="EP292" t="e">
        <f>Stock!V1693+"'E4!0Nd"</f>
        <v>#VALUE!</v>
      </c>
      <c r="EQ292" t="e">
        <f>Stock!V1694+"'E4!0Ne"</f>
        <v>#VALUE!</v>
      </c>
      <c r="ER292" t="e">
        <f>Stock!V1695+"'E4!0Nf"</f>
        <v>#VALUE!</v>
      </c>
      <c r="ES292" t="e">
        <f>Stock!V1696+"'E4!0Ng"</f>
        <v>#VALUE!</v>
      </c>
      <c r="ET292" t="e">
        <f>Stock!V1697+"'E4!0Nh"</f>
        <v>#VALUE!</v>
      </c>
      <c r="EU292" t="e">
        <f>Stock!V1698+"'E4!0Ni"</f>
        <v>#VALUE!</v>
      </c>
      <c r="EV292" t="e">
        <f>Stock!V1699+"'E4!0Nj"</f>
        <v>#VALUE!</v>
      </c>
      <c r="EW292" t="e">
        <f>Stock!V1700+"'E4!0Nk"</f>
        <v>#VALUE!</v>
      </c>
      <c r="EX292" t="e">
        <f>Stock!V1701+"'E4!0Nl"</f>
        <v>#VALUE!</v>
      </c>
      <c r="EY292" t="e">
        <f>Stock!V1702+"'E4!0Nm"</f>
        <v>#VALUE!</v>
      </c>
      <c r="EZ292" t="e">
        <f>Stock!V1703+"'E4!0Nn"</f>
        <v>#VALUE!</v>
      </c>
      <c r="FA292" t="e">
        <f>Stock!V1704+"'E4!0No"</f>
        <v>#VALUE!</v>
      </c>
      <c r="FB292" t="e">
        <f>Stock!V1705+"'E4!0Np"</f>
        <v>#VALUE!</v>
      </c>
      <c r="FC292" t="e">
        <f>Stock!V1706+"'E4!0Nq"</f>
        <v>#VALUE!</v>
      </c>
      <c r="FD292" t="e">
        <f>Stock!V1707+"'E4!0Nr"</f>
        <v>#VALUE!</v>
      </c>
      <c r="FE292" t="e">
        <f>Stock!V1708+"'E4!0Ns"</f>
        <v>#VALUE!</v>
      </c>
      <c r="FF292" t="e">
        <f>Stock!V1709+"'E4!0Nt"</f>
        <v>#VALUE!</v>
      </c>
      <c r="FG292" t="e">
        <f>Stock!V1710+"'E4!0Nu"</f>
        <v>#VALUE!</v>
      </c>
      <c r="FH292" t="e">
        <f>Stock!V1711+"'E4!0Nv"</f>
        <v>#VALUE!</v>
      </c>
      <c r="FI292" t="e">
        <f>Stock!V1712+"'E4!0Nw"</f>
        <v>#VALUE!</v>
      </c>
      <c r="FJ292" t="e">
        <f>Stock!V1713+"'E4!0Nx"</f>
        <v>#VALUE!</v>
      </c>
      <c r="FK292" t="e">
        <f>Stock!V1714+"'E4!0Ny"</f>
        <v>#VALUE!</v>
      </c>
      <c r="FL292" t="e">
        <f>Stock!V1715+"'E4!0Nz"</f>
        <v>#VALUE!</v>
      </c>
      <c r="FM292" t="e">
        <f>Stock!V1716+"'E4!0N{"</f>
        <v>#VALUE!</v>
      </c>
      <c r="FN292" t="e">
        <f>Stock!V1717+"'E4!0N|"</f>
        <v>#VALUE!</v>
      </c>
      <c r="FO292" t="e">
        <f>Stock!V1718+"'E4!0N}"</f>
        <v>#VALUE!</v>
      </c>
      <c r="FP292" t="e">
        <f>Stock!V1719+"'E4!0N~"</f>
        <v>#VALUE!</v>
      </c>
      <c r="FQ292" t="e">
        <f>Stock!V1720+"'E4!0O#"</f>
        <v>#VALUE!</v>
      </c>
      <c r="FR292" t="e">
        <f>Stock!V1721+"'E4!0O$"</f>
        <v>#VALUE!</v>
      </c>
      <c r="FS292" t="e">
        <f>Stock!V1722+"'E4!0O%"</f>
        <v>#VALUE!</v>
      </c>
      <c r="FT292" t="e">
        <f>Stock!V1723+"'E4!0O&amp;"</f>
        <v>#VALUE!</v>
      </c>
      <c r="FU292" t="e">
        <f>Stock!V1724+"'E4!0O'"</f>
        <v>#VALUE!</v>
      </c>
      <c r="FV292" t="e">
        <f>Stock!V1725+"'E4!0O("</f>
        <v>#VALUE!</v>
      </c>
      <c r="FW292" t="e">
        <f>Stock!V1726+"'E4!0O)"</f>
        <v>#VALUE!</v>
      </c>
      <c r="FX292" t="e">
        <f>Stock!V1727+"'E4!0O."</f>
        <v>#VALUE!</v>
      </c>
      <c r="FY292" t="e">
        <f>Stock!V1728+"'E4!0O/"</f>
        <v>#VALUE!</v>
      </c>
      <c r="FZ292" t="e">
        <f>Stock!V1729+"'E4!0O0"</f>
        <v>#VALUE!</v>
      </c>
      <c r="GA292" t="e">
        <f>Stock!V1730+"'E4!0O1"</f>
        <v>#VALUE!</v>
      </c>
      <c r="GB292" t="e">
        <f>Stock!V1731+"'E4!0O2"</f>
        <v>#VALUE!</v>
      </c>
      <c r="GC292" t="e">
        <f>Stock!V1732+"'E4!0O3"</f>
        <v>#VALUE!</v>
      </c>
      <c r="GD292" t="e">
        <f>Stock!V1733+"'E4!0O4"</f>
        <v>#VALUE!</v>
      </c>
      <c r="GE292" t="e">
        <f>Stock!V1734+"'E4!0O5"</f>
        <v>#VALUE!</v>
      </c>
      <c r="GF292" t="e">
        <f>Stock!V1735+"'E4!0O6"</f>
        <v>#VALUE!</v>
      </c>
      <c r="GG292" t="e">
        <f>Stock!V1736+"'E4!0O7"</f>
        <v>#VALUE!</v>
      </c>
      <c r="GH292" t="e">
        <f>Stock!V1737+"'E4!0O8"</f>
        <v>#VALUE!</v>
      </c>
      <c r="GI292" t="e">
        <f>Stock!V1738+"'E4!0O9"</f>
        <v>#VALUE!</v>
      </c>
      <c r="GJ292" t="e">
        <f>Stock!V1739+"'E4!0O:"</f>
        <v>#VALUE!</v>
      </c>
      <c r="GK292" t="e">
        <f>Stock!V1740+"'E4!0O;"</f>
        <v>#VALUE!</v>
      </c>
      <c r="GL292" t="e">
        <f>Stock!V1741+"'E4!0O&lt;"</f>
        <v>#VALUE!</v>
      </c>
      <c r="GM292" t="e">
        <f>Stock!V1742+"'E4!0O="</f>
        <v>#VALUE!</v>
      </c>
      <c r="GN292" t="e">
        <f>Stock!V1743+"'E4!0O&gt;"</f>
        <v>#VALUE!</v>
      </c>
      <c r="GO292" t="e">
        <f>Stock!V1744+"'E4!0O?"</f>
        <v>#VALUE!</v>
      </c>
      <c r="GP292" t="e">
        <f>Stock!V1745+"'E4!0O@"</f>
        <v>#VALUE!</v>
      </c>
      <c r="GQ292" t="e">
        <f>Stock!V1746+"'E4!0OA"</f>
        <v>#VALUE!</v>
      </c>
      <c r="GR292" t="e">
        <f>Stock!V1747+"'E4!0OB"</f>
        <v>#VALUE!</v>
      </c>
      <c r="GS292" t="e">
        <f>Stock!V1748+"'E4!0OC"</f>
        <v>#VALUE!</v>
      </c>
      <c r="GT292" t="e">
        <f>Stock!V1749+"'E4!0OD"</f>
        <v>#VALUE!</v>
      </c>
      <c r="GU292" t="e">
        <f>Stock!V1750+"'E4!0OE"</f>
        <v>#VALUE!</v>
      </c>
      <c r="GV292" t="e">
        <f>Stock!V1751+"'E4!0OF"</f>
        <v>#VALUE!</v>
      </c>
      <c r="GW292" t="e">
        <f>Stock!V1752+"'E4!0OG"</f>
        <v>#VALUE!</v>
      </c>
      <c r="GX292" t="e">
        <f>Stock!V1753+"'E4!0OH"</f>
        <v>#VALUE!</v>
      </c>
      <c r="GY292" t="e">
        <f>Stock!V1754+"'E4!0OI"</f>
        <v>#VALUE!</v>
      </c>
      <c r="GZ292" t="e">
        <f>Stock!V1755+"'E4!0OJ"</f>
        <v>#VALUE!</v>
      </c>
      <c r="HA292" t="e">
        <f>Stock!V1756+"'E4!0OK"</f>
        <v>#VALUE!</v>
      </c>
      <c r="HB292" t="e">
        <f>Stock!V1757+"'E4!0OL"</f>
        <v>#VALUE!</v>
      </c>
      <c r="HC292" t="e">
        <f>Stock!V1758+"'E4!0OM"</f>
        <v>#VALUE!</v>
      </c>
      <c r="HD292" t="e">
        <f>Stock!V1759+"'E4!0ON"</f>
        <v>#VALUE!</v>
      </c>
      <c r="HE292" t="e">
        <f>Stock!V1760+"'E4!0OO"</f>
        <v>#VALUE!</v>
      </c>
      <c r="HF292" t="e">
        <f>Stock!V1761+"'E4!0OP"</f>
        <v>#VALUE!</v>
      </c>
      <c r="HG292" t="e">
        <f>Stock!V1762+"'E4!0OQ"</f>
        <v>#VALUE!</v>
      </c>
      <c r="HH292" t="e">
        <f>Stock!V1763+"'E4!0OR"</f>
        <v>#VALUE!</v>
      </c>
      <c r="HI292" t="e">
        <f>Stock!V1764+"'E4!0OS"</f>
        <v>#VALUE!</v>
      </c>
      <c r="HJ292" t="e">
        <f>Stock!V1765+"'E4!0OT"</f>
        <v>#VALUE!</v>
      </c>
      <c r="HK292" t="e">
        <f>Stock!V1766+"'E4!0OU"</f>
        <v>#VALUE!</v>
      </c>
      <c r="HL292" t="e">
        <f>Stock!V1767+"'E4!0OV"</f>
        <v>#VALUE!</v>
      </c>
      <c r="HM292" t="e">
        <f>Stock!V1768+"'E4!0OW"</f>
        <v>#VALUE!</v>
      </c>
      <c r="HN292" t="e">
        <f>Stock!V1769+"'E4!0OX"</f>
        <v>#VALUE!</v>
      </c>
      <c r="HO292" t="e">
        <f>Stock!V1770+"'E4!0OY"</f>
        <v>#VALUE!</v>
      </c>
      <c r="HP292" t="e">
        <f>Stock!V1771+"'E4!0OZ"</f>
        <v>#VALUE!</v>
      </c>
      <c r="HQ292" t="e">
        <f>Stock!V1772+"'E4!0O["</f>
        <v>#VALUE!</v>
      </c>
      <c r="HR292" t="e">
        <f>Stock!V1773+"'E4!0O\"</f>
        <v>#VALUE!</v>
      </c>
      <c r="HS292" t="e">
        <f>Stock!V1774+"'E4!0O]"</f>
        <v>#VALUE!</v>
      </c>
      <c r="HT292" t="e">
        <f>Stock!V1775+"'E4!0O^"</f>
        <v>#VALUE!</v>
      </c>
      <c r="HU292" t="e">
        <f>Stock!V1776+"'E4!0O_"</f>
        <v>#VALUE!</v>
      </c>
      <c r="HV292" t="e">
        <f>Stock!V1777+"'E4!0O`"</f>
        <v>#VALUE!</v>
      </c>
      <c r="HW292" t="e">
        <f>Stock!V1778+"'E4!0Oa"</f>
        <v>#VALUE!</v>
      </c>
      <c r="HX292" t="e">
        <f>Stock!V1779+"'E4!0Ob"</f>
        <v>#VALUE!</v>
      </c>
      <c r="HY292" t="e">
        <f>Stock!V1780+"'E4!0Oc"</f>
        <v>#VALUE!</v>
      </c>
      <c r="HZ292" t="e">
        <f>Stock!V1781+"'E4!0Od"</f>
        <v>#VALUE!</v>
      </c>
      <c r="IA292" t="e">
        <f>Stock!V1782+"'E4!0Oe"</f>
        <v>#VALUE!</v>
      </c>
      <c r="IB292" t="e">
        <f>Stock!V1783+"'E4!0Of"</f>
        <v>#VALUE!</v>
      </c>
      <c r="IC292" t="e">
        <f>Stock!V1784+"'E4!0Og"</f>
        <v>#VALUE!</v>
      </c>
      <c r="ID292" t="e">
        <f>Stock!V1785+"'E4!0Oh"</f>
        <v>#VALUE!</v>
      </c>
      <c r="IE292" t="e">
        <f>Stock!V1786+"'E4!0Oi"</f>
        <v>#VALUE!</v>
      </c>
      <c r="IF292" t="e">
        <f>Stock!V1787+"'E4!0Oj"</f>
        <v>#VALUE!</v>
      </c>
      <c r="IG292" t="e">
        <f>Stock!V1788+"'E4!0Ok"</f>
        <v>#VALUE!</v>
      </c>
      <c r="IH292" t="e">
        <f>Stock!V1789+"'E4!0Ol"</f>
        <v>#VALUE!</v>
      </c>
      <c r="II292" t="e">
        <f>Stock!V1790+"'E4!0Om"</f>
        <v>#VALUE!</v>
      </c>
      <c r="IJ292" t="e">
        <f>Stock!V1791+"'E4!0On"</f>
        <v>#VALUE!</v>
      </c>
      <c r="IK292" t="e">
        <f>Stock!V1792+"'E4!0Oo"</f>
        <v>#VALUE!</v>
      </c>
      <c r="IL292" t="e">
        <f>Stock!V1793+"'E4!0Op"</f>
        <v>#VALUE!</v>
      </c>
      <c r="IM292" t="e">
        <f>Stock!V1794+"'E4!0Oq"</f>
        <v>#VALUE!</v>
      </c>
      <c r="IN292" t="e">
        <f>Stock!V1795+"'E4!0Or"</f>
        <v>#VALUE!</v>
      </c>
      <c r="IO292" t="e">
        <f>Stock!V1796+"'E4!0Os"</f>
        <v>#VALUE!</v>
      </c>
      <c r="IP292" t="e">
        <f>Stock!V1797+"'E4!0Ot"</f>
        <v>#VALUE!</v>
      </c>
      <c r="IQ292" t="e">
        <f>Stock!V1798+"'E4!0Ou"</f>
        <v>#VALUE!</v>
      </c>
      <c r="IR292" t="e">
        <f>Stock!V1799+"'E4!0Ov"</f>
        <v>#VALUE!</v>
      </c>
      <c r="IS292" t="e">
        <f>Stock!V1800+"'E4!0Ow"</f>
        <v>#VALUE!</v>
      </c>
      <c r="IT292" t="e">
        <f>Stock!V1801+"'E4!0Ox"</f>
        <v>#VALUE!</v>
      </c>
      <c r="IU292" t="e">
        <f>Stock!V1802+"'E4!0Oy"</f>
        <v>#VALUE!</v>
      </c>
      <c r="IV292" t="e">
        <f>Stock!V1803+"'E4!0Oz"</f>
        <v>#VALUE!</v>
      </c>
    </row>
    <row r="293" spans="6:256">
      <c r="F293" t="e">
        <f>Stock!V1804+"'E4!0O{"</f>
        <v>#VALUE!</v>
      </c>
      <c r="G293" t="e">
        <f>Stock!V1805+"'E4!0O|"</f>
        <v>#VALUE!</v>
      </c>
      <c r="H293" t="e">
        <f>Stock!V1806+"'E4!0O}"</f>
        <v>#VALUE!</v>
      </c>
      <c r="I293" t="e">
        <f>Stock!V1807+"'E4!0O~"</f>
        <v>#VALUE!</v>
      </c>
      <c r="J293" t="e">
        <f>Stock!V1808+"'E4!0P#"</f>
        <v>#VALUE!</v>
      </c>
      <c r="K293" t="e">
        <f>Stock!V1809+"'E4!0P$"</f>
        <v>#VALUE!</v>
      </c>
      <c r="L293" t="e">
        <f>Stock!V1810+"'E4!0P%"</f>
        <v>#VALUE!</v>
      </c>
      <c r="M293" t="e">
        <f>Stock!V1811+"'E4!0P&amp;"</f>
        <v>#VALUE!</v>
      </c>
      <c r="N293" t="e">
        <f>Stock!V1812+"'E4!0P'"</f>
        <v>#VALUE!</v>
      </c>
      <c r="O293" t="e">
        <f>Stock!V1813+"'E4!0P("</f>
        <v>#VALUE!</v>
      </c>
      <c r="P293" t="e">
        <f>Stock!V1814+"'E4!0P)"</f>
        <v>#VALUE!</v>
      </c>
      <c r="Q293" t="e">
        <f>Stock!V1815+"'E4!0P."</f>
        <v>#VALUE!</v>
      </c>
      <c r="R293" t="e">
        <f>Stock!V1816+"'E4!0P/"</f>
        <v>#VALUE!</v>
      </c>
      <c r="S293" t="e">
        <f>Stock!V1817+"'E4!0P0"</f>
        <v>#VALUE!</v>
      </c>
      <c r="T293" t="e">
        <f>Stock!V1818+"'E4!0P1"</f>
        <v>#VALUE!</v>
      </c>
      <c r="U293" t="e">
        <f>Stock!V1819+"'E4!0P2"</f>
        <v>#VALUE!</v>
      </c>
      <c r="V293" t="e">
        <f>Stock!V1820+"'E4!0P3"</f>
        <v>#VALUE!</v>
      </c>
      <c r="W293" t="e">
        <f>Stock!V1821+"'E4!0P4"</f>
        <v>#VALUE!</v>
      </c>
      <c r="X293" t="e">
        <f>Stock!V1822+"'E4!0P5"</f>
        <v>#VALUE!</v>
      </c>
      <c r="Y293" t="e">
        <f>Stock!V1823+"'E4!0P6"</f>
        <v>#VALUE!</v>
      </c>
      <c r="Z293" t="e">
        <f>Stock!V1824+"'E4!0P7"</f>
        <v>#VALUE!</v>
      </c>
      <c r="AA293" t="e">
        <f>Stock!V1825+"'E4!0P8"</f>
        <v>#VALUE!</v>
      </c>
      <c r="AB293" t="e">
        <f>Stock!V1826+"'E4!0P9"</f>
        <v>#VALUE!</v>
      </c>
      <c r="AC293" t="e">
        <f>Stock!V1827+"'E4!0P:"</f>
        <v>#VALUE!</v>
      </c>
      <c r="AD293" t="e">
        <f>Stock!V1828+"'E4!0P;"</f>
        <v>#VALUE!</v>
      </c>
      <c r="AE293" t="e">
        <f>Stock!V1829+"'E4!0P&lt;"</f>
        <v>#VALUE!</v>
      </c>
      <c r="AF293" t="e">
        <f>Stock!V1830+"'E4!0P="</f>
        <v>#VALUE!</v>
      </c>
      <c r="AG293" t="e">
        <f>Stock!V1831+"'E4!0P&gt;"</f>
        <v>#VALUE!</v>
      </c>
      <c r="AH293" t="e">
        <f>Stock!V1832+"'E4!0P?"</f>
        <v>#VALUE!</v>
      </c>
      <c r="AI293" t="e">
        <f>Stock!V1833+"'E4!0P@"</f>
        <v>#VALUE!</v>
      </c>
      <c r="AJ293" t="e">
        <f>Stock!V1834+"'E4!0PA"</f>
        <v>#VALUE!</v>
      </c>
      <c r="AK293" t="e">
        <f>Stock!V1835+"'E4!0PB"</f>
        <v>#VALUE!</v>
      </c>
      <c r="AL293" t="e">
        <f>Stock!V1836+"'E4!0PC"</f>
        <v>#VALUE!</v>
      </c>
      <c r="AM293" t="e">
        <f>Stock!V1837+"'E4!0PD"</f>
        <v>#VALUE!</v>
      </c>
      <c r="AN293" t="e">
        <f>Stock!V1838+"'E4!0PE"</f>
        <v>#VALUE!</v>
      </c>
      <c r="AO293" t="e">
        <f>Stock!V1839+"'E4!0PF"</f>
        <v>#VALUE!</v>
      </c>
      <c r="AP293" t="e">
        <f>Stock!V1840+"'E4!0PG"</f>
        <v>#VALUE!</v>
      </c>
      <c r="AQ293" t="e">
        <f>Stock!V1841+"'E4!0PH"</f>
        <v>#VALUE!</v>
      </c>
      <c r="AR293" t="e">
        <f>Stock!V1842+"'E4!0PI"</f>
        <v>#VALUE!</v>
      </c>
      <c r="AS293" t="e">
        <f>Stock!V1843+"'E4!0PJ"</f>
        <v>#VALUE!</v>
      </c>
      <c r="AT293" t="e">
        <f>Stock!V1844+"'E4!0PK"</f>
        <v>#VALUE!</v>
      </c>
      <c r="AU293" t="e">
        <f>Stock!V1845+"'E4!0PL"</f>
        <v>#VALUE!</v>
      </c>
      <c r="AV293" t="e">
        <f>Stock!V1846+"'E4!0PM"</f>
        <v>#VALUE!</v>
      </c>
      <c r="AW293" t="e">
        <f>Stock!V1847+"'E4!0PN"</f>
        <v>#VALUE!</v>
      </c>
      <c r="AX293" t="e">
        <f>Stock!V1848+"'E4!0PO"</f>
        <v>#VALUE!</v>
      </c>
      <c r="AY293" t="e">
        <f>Stock!V1849+"'E4!0PP"</f>
        <v>#VALUE!</v>
      </c>
      <c r="AZ293" t="e">
        <f>Stock!V1850+"'E4!0PQ"</f>
        <v>#VALUE!</v>
      </c>
      <c r="BA293" t="e">
        <f>Stock!V1851+"'E4!0PR"</f>
        <v>#VALUE!</v>
      </c>
      <c r="BB293" t="e">
        <f>Stock!V1852+"'E4!0PS"</f>
        <v>#VALUE!</v>
      </c>
      <c r="BC293" t="e">
        <f>Stock!V1853+"'E4!0PT"</f>
        <v>#VALUE!</v>
      </c>
      <c r="BD293" t="e">
        <f>Stock!V1854+"'E4!0PU"</f>
        <v>#VALUE!</v>
      </c>
      <c r="BE293" t="e">
        <f>Stock!V1855+"'E4!0PV"</f>
        <v>#VALUE!</v>
      </c>
      <c r="BF293" t="e">
        <f>Stock!V1856+"'E4!0PW"</f>
        <v>#VALUE!</v>
      </c>
      <c r="BG293" t="e">
        <f>Stock!V1857+"'E4!0PX"</f>
        <v>#VALUE!</v>
      </c>
      <c r="BH293" t="e">
        <f>Stock!V1858+"'E4!0PY"</f>
        <v>#VALUE!</v>
      </c>
      <c r="BI293" t="e">
        <f>Stock!V1859+"'E4!0PZ"</f>
        <v>#VALUE!</v>
      </c>
      <c r="BJ293" t="e">
        <f>Stock!V1860+"'E4!0P["</f>
        <v>#VALUE!</v>
      </c>
      <c r="BK293" t="e">
        <f>Stock!V1861+"'E4!0P\"</f>
        <v>#VALUE!</v>
      </c>
      <c r="BL293" t="e">
        <f>Stock!V1862+"'E4!0P]"</f>
        <v>#VALUE!</v>
      </c>
      <c r="BM293" t="e">
        <f>Stock!V1863+"'E4!0P^"</f>
        <v>#VALUE!</v>
      </c>
      <c r="BN293" t="e">
        <f>Stock!V1864+"'E4!0P_"</f>
        <v>#VALUE!</v>
      </c>
      <c r="BO293" t="e">
        <f>Stock!V1865+"'E4!0P`"</f>
        <v>#VALUE!</v>
      </c>
      <c r="BP293" t="e">
        <f>Stock!V1866+"'E4!0Pa"</f>
        <v>#VALUE!</v>
      </c>
      <c r="BQ293" t="e">
        <f>Stock!V1867+"'E4!0Pb"</f>
        <v>#VALUE!</v>
      </c>
      <c r="BR293" t="e">
        <f>Stock!V1868+"'E4!0Pc"</f>
        <v>#VALUE!</v>
      </c>
      <c r="BS293" t="e">
        <f>Stock!V1869+"'E4!0Pd"</f>
        <v>#VALUE!</v>
      </c>
      <c r="BT293" t="e">
        <f>Stock!V1870+"'E4!0Pe"</f>
        <v>#VALUE!</v>
      </c>
      <c r="BU293" t="e">
        <f>Stock!V1871+"'E4!0Pf"</f>
        <v>#VALUE!</v>
      </c>
      <c r="BV293" t="e">
        <f>Stock!V1872+"'E4!0Pg"</f>
        <v>#VALUE!</v>
      </c>
      <c r="BW293" t="e">
        <f>Stock!V1873+"'E4!0Ph"</f>
        <v>#VALUE!</v>
      </c>
      <c r="BX293" t="e">
        <f>Stock!V1874+"'E4!0Pi"</f>
        <v>#VALUE!</v>
      </c>
      <c r="BY293" t="e">
        <f>Stock!V1875+"'E4!0Pj"</f>
        <v>#VALUE!</v>
      </c>
      <c r="BZ293" t="e">
        <f>Stock!V1876+"'E4!0Pk"</f>
        <v>#VALUE!</v>
      </c>
      <c r="CA293" t="e">
        <f>Stock!V1877+"'E4!0Pl"</f>
        <v>#VALUE!</v>
      </c>
      <c r="CB293" t="e">
        <f>Stock!V1878+"'E4!0Pm"</f>
        <v>#VALUE!</v>
      </c>
      <c r="CC293" t="e">
        <f>Stock!V1879+"'E4!0Pn"</f>
        <v>#VALUE!</v>
      </c>
      <c r="CD293" t="e">
        <f>Stock!V1880+"'E4!0Po"</f>
        <v>#VALUE!</v>
      </c>
      <c r="CE293" t="e">
        <f>Stock!V1881+"'E4!0Pp"</f>
        <v>#VALUE!</v>
      </c>
      <c r="CF293" t="e">
        <f>Stock!V1882+"'E4!0Pq"</f>
        <v>#VALUE!</v>
      </c>
      <c r="CG293" t="e">
        <f>Stock!V1883+"'E4!0Pr"</f>
        <v>#VALUE!</v>
      </c>
      <c r="CH293" t="e">
        <f>Stock!V1884+"'E4!0Ps"</f>
        <v>#VALUE!</v>
      </c>
      <c r="CI293" t="e">
        <f>Stock!V1885+"'E4!0Pt"</f>
        <v>#VALUE!</v>
      </c>
      <c r="CJ293" t="e">
        <f>Stock!V1886+"'E4!0Pu"</f>
        <v>#VALUE!</v>
      </c>
      <c r="CK293" t="e">
        <f>Stock!V1887+"'E4!0Pv"</f>
        <v>#VALUE!</v>
      </c>
      <c r="CL293" t="e">
        <f>Stock!V1888+"'E4!0Pw"</f>
        <v>#VALUE!</v>
      </c>
      <c r="CM293" t="e">
        <f>Stock!V1889+"'E4!0Px"</f>
        <v>#VALUE!</v>
      </c>
      <c r="CN293" t="e">
        <f>Stock!V1890+"'E4!0Py"</f>
        <v>#VALUE!</v>
      </c>
      <c r="CO293" t="e">
        <f>Stock!V1891+"'E4!0Pz"</f>
        <v>#VALUE!</v>
      </c>
      <c r="CP293" t="e">
        <f>Stock!V1892+"'E4!0P{"</f>
        <v>#VALUE!</v>
      </c>
      <c r="CQ293" t="e">
        <f>Stock!V1893+"'E4!0P|"</f>
        <v>#VALUE!</v>
      </c>
      <c r="CR293" t="e">
        <f>Stock!V1894+"'E4!0P}"</f>
        <v>#VALUE!</v>
      </c>
      <c r="CS293" t="e">
        <f>Stock!V1895+"'E4!0P~"</f>
        <v>#VALUE!</v>
      </c>
      <c r="CT293" t="e">
        <f>Stock!V1896+"'E4!0Q#"</f>
        <v>#VALUE!</v>
      </c>
      <c r="CU293" t="e">
        <f>Stock!V1897+"'E4!0Q$"</f>
        <v>#VALUE!</v>
      </c>
      <c r="CV293" t="e">
        <f>Stock!V1898+"'E4!0Q%"</f>
        <v>#VALUE!</v>
      </c>
      <c r="CW293" t="e">
        <f>Stock!V1899+"'E4!0Q&amp;"</f>
        <v>#VALUE!</v>
      </c>
      <c r="CX293" t="e">
        <f>Stock!V1900+"'E4!0Q'"</f>
        <v>#VALUE!</v>
      </c>
      <c r="CY293" t="e">
        <f>Stock!V1901+"'E4!0Q("</f>
        <v>#VALUE!</v>
      </c>
      <c r="CZ293" t="e">
        <f>Stock!V1902+"'E4!0Q)"</f>
        <v>#VALUE!</v>
      </c>
      <c r="DA293" t="e">
        <f>Stock!V1903+"'E4!0Q."</f>
        <v>#VALUE!</v>
      </c>
      <c r="DB293" t="e">
        <f>Stock!V1904+"'E4!0Q/"</f>
        <v>#VALUE!</v>
      </c>
      <c r="DC293" t="e">
        <f>Stock!V1905+"'E4!0Q0"</f>
        <v>#VALUE!</v>
      </c>
      <c r="DD293" t="e">
        <f>Stock!V1906+"'E4!0Q1"</f>
        <v>#VALUE!</v>
      </c>
      <c r="DE293" t="e">
        <f>Stock!V1907+"'E4!0Q2"</f>
        <v>#VALUE!</v>
      </c>
      <c r="DF293" t="e">
        <f>Stock!V1908+"'E4!0Q3"</f>
        <v>#VALUE!</v>
      </c>
      <c r="DG293" t="e">
        <f>Stock!V1909+"'E4!0Q4"</f>
        <v>#VALUE!</v>
      </c>
      <c r="DH293" t="e">
        <f>Stock!V1910+"'E4!0Q5"</f>
        <v>#VALUE!</v>
      </c>
      <c r="DI293" t="e">
        <f>Stock!V1911+"'E4!0Q6"</f>
        <v>#VALUE!</v>
      </c>
      <c r="DJ293" t="e">
        <f>Stock!V1912+"'E4!0Q7"</f>
        <v>#VALUE!</v>
      </c>
      <c r="DK293" t="e">
        <f>Stock!V1913+"'E4!0Q8"</f>
        <v>#VALUE!</v>
      </c>
      <c r="DL293" t="e">
        <f>Stock!V1914+"'E4!0Q9"</f>
        <v>#VALUE!</v>
      </c>
      <c r="DM293" t="e">
        <f>Stock!V1915+"'E4!0Q:"</f>
        <v>#VALUE!</v>
      </c>
      <c r="DN293" t="e">
        <f>Stock!V1916+"'E4!0Q;"</f>
        <v>#VALUE!</v>
      </c>
      <c r="DO293" t="e">
        <f>Stock!V1917+"'E4!0Q&lt;"</f>
        <v>#VALUE!</v>
      </c>
      <c r="DP293" t="e">
        <f>Stock!V1918+"'E4!0Q="</f>
        <v>#VALUE!</v>
      </c>
      <c r="DQ293" t="e">
        <f>Stock!V1919+"'E4!0Q&gt;"</f>
        <v>#VALUE!</v>
      </c>
      <c r="DR293" t="e">
        <f>Stock!V1920+"'E4!0Q?"</f>
        <v>#VALUE!</v>
      </c>
      <c r="DS293" t="e">
        <f>Stock!V1921+"'E4!0Q@"</f>
        <v>#VALUE!</v>
      </c>
      <c r="DT293" t="e">
        <f>Stock!V1922+"'E4!0QA"</f>
        <v>#VALUE!</v>
      </c>
      <c r="DU293" t="e">
        <f>Stock!V1923+"'E4!0QB"</f>
        <v>#VALUE!</v>
      </c>
      <c r="DV293" t="e">
        <f>Stock!V1924+"'E4!0QC"</f>
        <v>#VALUE!</v>
      </c>
      <c r="DW293" t="e">
        <f>Stock!V1925+"'E4!0QD"</f>
        <v>#VALUE!</v>
      </c>
      <c r="DX293" t="e">
        <f>Stock!V1926+"'E4!0QE"</f>
        <v>#VALUE!</v>
      </c>
      <c r="DY293" t="e">
        <f>Stock!V1927+"'E4!0QF"</f>
        <v>#VALUE!</v>
      </c>
      <c r="DZ293" t="e">
        <f>Stock!V1928+"'E4!0QG"</f>
        <v>#VALUE!</v>
      </c>
      <c r="EA293" t="e">
        <f>Stock!V1929+"'E4!0QH"</f>
        <v>#VALUE!</v>
      </c>
      <c r="EB293" t="e">
        <f>Stock!V1930+"'E4!0QI"</f>
        <v>#VALUE!</v>
      </c>
      <c r="EC293" t="e">
        <f>Stock!V1931+"'E4!0QJ"</f>
        <v>#VALUE!</v>
      </c>
      <c r="ED293" t="e">
        <f>Stock!V1932+"'E4!0QK"</f>
        <v>#VALUE!</v>
      </c>
      <c r="EE293" t="e">
        <f>Stock!V1933+"'E4!0QL"</f>
        <v>#VALUE!</v>
      </c>
      <c r="EF293" t="e">
        <f>Stock!V1934+"'E4!0QM"</f>
        <v>#VALUE!</v>
      </c>
      <c r="EG293" t="e">
        <f>Stock!V1935+"'E4!0QN"</f>
        <v>#VALUE!</v>
      </c>
      <c r="EH293" t="e">
        <f>Stock!V1936+"'E4!0QO"</f>
        <v>#VALUE!</v>
      </c>
      <c r="EI293" t="e">
        <f>Stock!V1937+"'E4!0QP"</f>
        <v>#VALUE!</v>
      </c>
      <c r="EJ293" t="e">
        <f>Stock!V1938+"'E4!0QQ"</f>
        <v>#VALUE!</v>
      </c>
      <c r="EK293" t="e">
        <f>Stock!V1939+"'E4!0QR"</f>
        <v>#VALUE!</v>
      </c>
      <c r="EL293" t="e">
        <f>Stock!V1940+"'E4!0QS"</f>
        <v>#VALUE!</v>
      </c>
      <c r="EM293" t="e">
        <f>Stock!V1941+"'E4!0QT"</f>
        <v>#VALUE!</v>
      </c>
      <c r="EN293" t="e">
        <f>Stock!V1942+"'E4!0QU"</f>
        <v>#VALUE!</v>
      </c>
      <c r="EO293" t="e">
        <f>Stock!V1943+"'E4!0QV"</f>
        <v>#VALUE!</v>
      </c>
      <c r="EP293" t="e">
        <f>Stock!V1944+"'E4!0QW"</f>
        <v>#VALUE!</v>
      </c>
      <c r="EQ293" t="e">
        <f>Stock!V1945+"'E4!0QX"</f>
        <v>#VALUE!</v>
      </c>
      <c r="ER293" t="e">
        <f>Stock!V1946+"'E4!0QY"</f>
        <v>#VALUE!</v>
      </c>
      <c r="ES293" t="e">
        <f>Stock!V1947+"'E4!0QZ"</f>
        <v>#VALUE!</v>
      </c>
      <c r="ET293" t="e">
        <f>Stock!V1948+"'E4!0Q["</f>
        <v>#VALUE!</v>
      </c>
      <c r="EU293" t="e">
        <f>Stock!V1949+"'E4!0Q\"</f>
        <v>#VALUE!</v>
      </c>
      <c r="EV293" t="e">
        <f>Stock!V1950+"'E4!0Q]"</f>
        <v>#VALUE!</v>
      </c>
      <c r="EW293" t="e">
        <f>Stock!V1951+"'E4!0Q^"</f>
        <v>#VALUE!</v>
      </c>
      <c r="EX293" t="e">
        <f>Stock!V1952+"'E4!0Q_"</f>
        <v>#VALUE!</v>
      </c>
      <c r="EY293" t="e">
        <f>Stock!V1953+"'E4!0Q`"</f>
        <v>#VALUE!</v>
      </c>
      <c r="EZ293" t="e">
        <f>Stock!V1954+"'E4!0Qa"</f>
        <v>#VALUE!</v>
      </c>
      <c r="FA293" t="e">
        <f>Stock!V1955+"'E4!0Qb"</f>
        <v>#VALUE!</v>
      </c>
      <c r="FB293" t="e">
        <f>Stock!V1956+"'E4!0Qc"</f>
        <v>#VALUE!</v>
      </c>
      <c r="FC293" t="e">
        <f>Stock!V1957+"'E4!0Qd"</f>
        <v>#VALUE!</v>
      </c>
      <c r="FD293" t="e">
        <f>Stock!V1958+"'E4!0Qe"</f>
        <v>#VALUE!</v>
      </c>
      <c r="FE293" t="e">
        <f>Stock!V1959+"'E4!0Qf"</f>
        <v>#VALUE!</v>
      </c>
      <c r="FF293" t="e">
        <f>Stock!V1960+"'E4!0Qg"</f>
        <v>#VALUE!</v>
      </c>
      <c r="FG293" t="e">
        <f>Stock!V1961+"'E4!0Qh"</f>
        <v>#VALUE!</v>
      </c>
      <c r="FH293" t="e">
        <f>Stock!V1962+"'E4!0Qi"</f>
        <v>#VALUE!</v>
      </c>
      <c r="FI293" t="e">
        <f>Stock!V1963+"'E4!0Qj"</f>
        <v>#VALUE!</v>
      </c>
      <c r="FJ293" t="e">
        <f>Stock!V1964+"'E4!0Qk"</f>
        <v>#VALUE!</v>
      </c>
      <c r="FK293" t="e">
        <f>Stock!V1965+"'E4!0Ql"</f>
        <v>#VALUE!</v>
      </c>
      <c r="FL293" t="e">
        <f>Stock!V1966+"'E4!0Qm"</f>
        <v>#VALUE!</v>
      </c>
      <c r="FM293" t="e">
        <f>Stock!V1967+"'E4!0Qn"</f>
        <v>#VALUE!</v>
      </c>
      <c r="FN293" t="e">
        <f>Stock!V1968+"'E4!0Qo"</f>
        <v>#VALUE!</v>
      </c>
      <c r="FO293" t="e">
        <f>Stock!V1969+"'E4!0Qp"</f>
        <v>#VALUE!</v>
      </c>
      <c r="FP293" t="e">
        <f>Stock!V1970+"'E4!0Qq"</f>
        <v>#VALUE!</v>
      </c>
      <c r="FQ293" t="e">
        <f>Stock!V1971+"'E4!0Qr"</f>
        <v>#VALUE!</v>
      </c>
      <c r="FR293" t="e">
        <f>Stock!V1972+"'E4!0Qs"</f>
        <v>#VALUE!</v>
      </c>
      <c r="FS293" t="e">
        <f>Stock!V1973+"'E4!0Qt"</f>
        <v>#VALUE!</v>
      </c>
      <c r="FT293" t="e">
        <f>Stock!V1974+"'E4!0Qu"</f>
        <v>#VALUE!</v>
      </c>
      <c r="FU293" t="e">
        <f>Stock!V1975+"'E4!0Qv"</f>
        <v>#VALUE!</v>
      </c>
      <c r="FV293" t="e">
        <f>Stock!V1976+"'E4!0Qw"</f>
        <v>#VALUE!</v>
      </c>
      <c r="FW293" t="e">
        <f>Stock!V1977+"'E4!0Qx"</f>
        <v>#VALUE!</v>
      </c>
      <c r="FX293" t="e">
        <f>Stock!V1978+"'E4!0Qy"</f>
        <v>#VALUE!</v>
      </c>
      <c r="FY293" t="e">
        <f>Stock!V1979+"'E4!0Qz"</f>
        <v>#VALUE!</v>
      </c>
      <c r="FZ293" t="e">
        <f>Stock!V1980+"'E4!0Q{"</f>
        <v>#VALUE!</v>
      </c>
      <c r="GA293" t="e">
        <f>Stock!V1981+"'E4!0Q|"</f>
        <v>#VALUE!</v>
      </c>
      <c r="GB293" t="e">
        <f>Stock!V1982+"'E4!0Q}"</f>
        <v>#VALUE!</v>
      </c>
      <c r="GC293" t="e">
        <f>Stock!V1983+"'E4!0Q~"</f>
        <v>#VALUE!</v>
      </c>
      <c r="GD293" t="e">
        <f>Stock!V1984+"'E4!0R#"</f>
        <v>#VALUE!</v>
      </c>
      <c r="GE293" t="e">
        <f>Stock!V1985+"'E4!0R$"</f>
        <v>#VALUE!</v>
      </c>
      <c r="GF293" t="e">
        <f>Stock!V1986+"'E4!0R%"</f>
        <v>#VALUE!</v>
      </c>
      <c r="GG293" t="e">
        <f>Stock!V1987+"'E4!0R&amp;"</f>
        <v>#VALUE!</v>
      </c>
      <c r="GH293" t="e">
        <f>Stock!V1988+"'E4!0R'"</f>
        <v>#VALUE!</v>
      </c>
      <c r="GI293" t="e">
        <f>Stock!V1989+"'E4!0R("</f>
        <v>#VALUE!</v>
      </c>
      <c r="GJ293" t="e">
        <f>Stock!V1990+"'E4!0R)"</f>
        <v>#VALUE!</v>
      </c>
      <c r="GK293" t="e">
        <f>Stock!V1991+"'E4!0R."</f>
        <v>#VALUE!</v>
      </c>
      <c r="GL293" t="e">
        <f>Stock!V1992+"'E4!0R/"</f>
        <v>#VALUE!</v>
      </c>
      <c r="GM293" t="e">
        <f>Stock!V1993+"'E4!0R0"</f>
        <v>#VALUE!</v>
      </c>
      <c r="GN293" t="e">
        <f>Stock!V1994+"'E4!0R1"</f>
        <v>#VALUE!</v>
      </c>
      <c r="GO293" t="e">
        <f>Stock!V1995+"'E4!0R2"</f>
        <v>#VALUE!</v>
      </c>
      <c r="GP293" t="e">
        <f>Stock!V1996+"'E4!0R3"</f>
        <v>#VALUE!</v>
      </c>
      <c r="GQ293" t="e">
        <f>Stock!V1997+"'E4!0R4"</f>
        <v>#VALUE!</v>
      </c>
      <c r="GR293" t="e">
        <f>Stock!V1998+"'E4!0R5"</f>
        <v>#VALUE!</v>
      </c>
      <c r="GS293" t="e">
        <f>Stock!V1999+"'E4!0R6"</f>
        <v>#VALUE!</v>
      </c>
      <c r="GT293" t="e">
        <f>Stock!V2000+"'E4!0R7"</f>
        <v>#VALUE!</v>
      </c>
      <c r="GU293" t="e">
        <f>Stock!V2001+"'E4!0R8"</f>
        <v>#VALUE!</v>
      </c>
      <c r="GV293" t="e">
        <f>Stock!V2002+"'E4!0R9"</f>
        <v>#VALUE!</v>
      </c>
      <c r="GW293" t="e">
        <f>Stock!V2003+"'E4!0R:"</f>
        <v>#VALUE!</v>
      </c>
      <c r="GX293" t="e">
        <f>Stock!V2004+"'E4!0R;"</f>
        <v>#VALUE!</v>
      </c>
      <c r="GY293" t="e">
        <f>Stock!V2005+"'E4!0R&lt;"</f>
        <v>#VALUE!</v>
      </c>
      <c r="GZ293" t="e">
        <f>Stock!V2006+"'E4!0R="</f>
        <v>#VALUE!</v>
      </c>
      <c r="HA293" t="e">
        <f>Stock!V2007+"'E4!0R&gt;"</f>
        <v>#VALUE!</v>
      </c>
      <c r="HB293" t="e">
        <f>Stock!V2008+"'E4!0R?"</f>
        <v>#VALUE!</v>
      </c>
      <c r="HC293" t="e">
        <f>Stock!V2009+"'E4!0R@"</f>
        <v>#VALUE!</v>
      </c>
      <c r="HD293" t="e">
        <f>Stock!V2010+"'E4!0RA"</f>
        <v>#VALUE!</v>
      </c>
      <c r="HE293" t="e">
        <f>Stock!V2011+"'E4!0RB"</f>
        <v>#VALUE!</v>
      </c>
      <c r="HF293" t="e">
        <f>Stock!V2012+"'E4!0RC"</f>
        <v>#VALUE!</v>
      </c>
      <c r="HG293" t="e">
        <f>Stock!V2013+"'E4!0RD"</f>
        <v>#VALUE!</v>
      </c>
      <c r="HH293" t="e">
        <f>Stock!V2014+"'E4!0RE"</f>
        <v>#VALUE!</v>
      </c>
      <c r="HI293" t="e">
        <f>Stock!V2015+"'E4!0RF"</f>
        <v>#VALUE!</v>
      </c>
      <c r="HJ293" t="e">
        <f>Stock!V2016+"'E4!0RG"</f>
        <v>#VALUE!</v>
      </c>
      <c r="HK293" t="e">
        <f>Stock!V2017+"'E4!0RH"</f>
        <v>#VALUE!</v>
      </c>
      <c r="HL293" t="e">
        <f>Stock!V2018+"'E4!0RI"</f>
        <v>#VALUE!</v>
      </c>
      <c r="HM293" t="e">
        <f>Stock!V2019+"'E4!0RJ"</f>
        <v>#VALUE!</v>
      </c>
      <c r="HN293" t="e">
        <f>Stock!V2020+"'E4!0RK"</f>
        <v>#VALUE!</v>
      </c>
      <c r="HO293" t="e">
        <f>Stock!V2021+"'E4!0RL"</f>
        <v>#VALUE!</v>
      </c>
      <c r="HP293" t="e">
        <f>Stock!V2022+"'E4!0RM"</f>
        <v>#VALUE!</v>
      </c>
      <c r="HQ293" t="e">
        <f>Stock!V2023+"'E4!0RN"</f>
        <v>#VALUE!</v>
      </c>
      <c r="HR293" t="e">
        <f>Stock!V2024+"'E4!0RO"</f>
        <v>#VALUE!</v>
      </c>
      <c r="HS293" t="e">
        <f>Stock!V2025+"'E4!0RP"</f>
        <v>#VALUE!</v>
      </c>
      <c r="HT293" t="e">
        <f>Stock!V2026+"'E4!0RQ"</f>
        <v>#VALUE!</v>
      </c>
      <c r="HU293" t="e">
        <f>Stock!V2027+"'E4!0RR"</f>
        <v>#VALUE!</v>
      </c>
      <c r="HV293" t="e">
        <f>Stock!V2028+"'E4!0RS"</f>
        <v>#VALUE!</v>
      </c>
      <c r="HW293" t="e">
        <f>Stock!V2029+"'E4!0RT"</f>
        <v>#VALUE!</v>
      </c>
      <c r="HX293" t="e">
        <f>Stock!V2030+"'E4!0RU"</f>
        <v>#VALUE!</v>
      </c>
      <c r="HY293" t="e">
        <f>Stock!V2031+"'E4!0RV"</f>
        <v>#VALUE!</v>
      </c>
      <c r="HZ293" t="e">
        <f>Stock!V2032+"'E4!0RW"</f>
        <v>#VALUE!</v>
      </c>
      <c r="IA293" t="e">
        <f>Stock!V2033+"'E4!0RX"</f>
        <v>#VALUE!</v>
      </c>
      <c r="IB293" t="e">
        <f>Stock!V2034+"'E4!0RY"</f>
        <v>#VALUE!</v>
      </c>
      <c r="IC293" t="e">
        <f>Stock!V2035+"'E4!0RZ"</f>
        <v>#VALUE!</v>
      </c>
      <c r="ID293" t="e">
        <f>Stock!V2036+"'E4!0R["</f>
        <v>#VALUE!</v>
      </c>
      <c r="IE293" t="e">
        <f>Stock!V2037+"'E4!0R\"</f>
        <v>#VALUE!</v>
      </c>
      <c r="IF293" t="e">
        <f>Stock!V2038+"'E4!0R]"</f>
        <v>#VALUE!</v>
      </c>
      <c r="IG293" t="e">
        <f>Stock!V2039+"'E4!0R^"</f>
        <v>#VALUE!</v>
      </c>
      <c r="IH293" t="e">
        <f>Stock!V2040+"'E4!0R_"</f>
        <v>#VALUE!</v>
      </c>
      <c r="II293" t="e">
        <f>Stock!V2041+"'E4!0R`"</f>
        <v>#VALUE!</v>
      </c>
      <c r="IJ293" t="e">
        <f>Stock!V2042+"'E4!0Ra"</f>
        <v>#VALUE!</v>
      </c>
      <c r="IK293" t="e">
        <f>Stock!V2043+"'E4!0Rb"</f>
        <v>#VALUE!</v>
      </c>
      <c r="IL293" t="e">
        <f>Stock!V2044+"'E4!0Rc"</f>
        <v>#VALUE!</v>
      </c>
      <c r="IM293" t="e">
        <f>Stock!V2045+"'E4!0Rd"</f>
        <v>#VALUE!</v>
      </c>
      <c r="IN293" t="e">
        <f>Stock!V2046+"'E4!0Re"</f>
        <v>#VALUE!</v>
      </c>
      <c r="IO293" t="e">
        <f>Stock!V2047+"'E4!0Rf"</f>
        <v>#VALUE!</v>
      </c>
      <c r="IP293" t="e">
        <f>Stock!V2048+"'E4!0Rg"</f>
        <v>#VALUE!</v>
      </c>
      <c r="IQ293" t="e">
        <f>Stock!V2049+"'E4!0Rh"</f>
        <v>#VALUE!</v>
      </c>
      <c r="IR293" t="e">
        <f>Stock!V2050+"'E4!0Ri"</f>
        <v>#VALUE!</v>
      </c>
      <c r="IS293" t="e">
        <f>Stock!V2051+"'E4!0Rj"</f>
        <v>#VALUE!</v>
      </c>
      <c r="IT293" t="e">
        <f>Stock!V2052+"'E4!0Rk"</f>
        <v>#VALUE!</v>
      </c>
      <c r="IU293" t="e">
        <f>Stock!V2053+"'E4!0Rl"</f>
        <v>#VALUE!</v>
      </c>
      <c r="IV293" t="e">
        <f>Stock!V2054+"'E4!0Rm"</f>
        <v>#VALUE!</v>
      </c>
    </row>
    <row r="294" spans="6:256">
      <c r="F294" t="e">
        <f>Stock!V2055+"'E4!0Rn"</f>
        <v>#VALUE!</v>
      </c>
      <c r="G294" t="e">
        <f>Stock!V2056+"'E4!0Ro"</f>
        <v>#VALUE!</v>
      </c>
      <c r="H294" t="e">
        <f>Stock!V2057+"'E4!0Rp"</f>
        <v>#VALUE!</v>
      </c>
      <c r="I294" t="e">
        <f>Stock!V2058+"'E4!0Rq"</f>
        <v>#VALUE!</v>
      </c>
      <c r="J294" t="e">
        <f>Stock!V2059+"'E4!0Rr"</f>
        <v>#VALUE!</v>
      </c>
      <c r="K294" t="e">
        <f>Stock!V2060+"'E4!0Rs"</f>
        <v>#VALUE!</v>
      </c>
      <c r="L294" t="e">
        <f>Stock!V2061+"'E4!0Rt"</f>
        <v>#VALUE!</v>
      </c>
      <c r="M294" t="e">
        <f>Stock!V2062+"'E4!0Ru"</f>
        <v>#VALUE!</v>
      </c>
      <c r="N294" t="e">
        <f>Stock!V2063+"'E4!0Rv"</f>
        <v>#VALUE!</v>
      </c>
      <c r="O294" t="e">
        <f>Stock!V2064+"'E4!0Rw"</f>
        <v>#VALUE!</v>
      </c>
      <c r="P294" t="e">
        <f>Stock!V2065+"'E4!0Rx"</f>
        <v>#VALUE!</v>
      </c>
      <c r="Q294" t="e">
        <f>Stock!V2066+"'E4!0Ry"</f>
        <v>#VALUE!</v>
      </c>
      <c r="R294" t="e">
        <f>Stock!V2067+"'E4!0Rz"</f>
        <v>#VALUE!</v>
      </c>
      <c r="S294" t="e">
        <f>Stock!V2068+"'E4!0R{"</f>
        <v>#VALUE!</v>
      </c>
      <c r="T294" t="e">
        <f>Stock!V2069+"'E4!0R|"</f>
        <v>#VALUE!</v>
      </c>
      <c r="U294" t="e">
        <f>Stock!V2070+"'E4!0R}"</f>
        <v>#VALUE!</v>
      </c>
      <c r="V294" t="e">
        <f>Stock!V2071+"'E4!0R~"</f>
        <v>#VALUE!</v>
      </c>
      <c r="W294" t="e">
        <f>Stock!V2072+"'E4!0S#"</f>
        <v>#VALUE!</v>
      </c>
      <c r="X294" t="e">
        <f>Stock!V2073+"'E4!0S$"</f>
        <v>#VALUE!</v>
      </c>
      <c r="Y294" t="e">
        <f>Stock!V2074+"'E4!0S%"</f>
        <v>#VALUE!</v>
      </c>
      <c r="Z294" t="e">
        <f>Stock!V2075+"'E4!0S&amp;"</f>
        <v>#VALUE!</v>
      </c>
      <c r="AA294" t="e">
        <f>Stock!V2076+"'E4!0S'"</f>
        <v>#VALUE!</v>
      </c>
      <c r="AB294" t="e">
        <f>Stock!V2077+"'E4!0S("</f>
        <v>#VALUE!</v>
      </c>
      <c r="AC294" t="e">
        <f>Stock!V2078+"'E4!0S)"</f>
        <v>#VALUE!</v>
      </c>
      <c r="AD294" t="e">
        <f>Stock!V2079+"'E4!0S."</f>
        <v>#VALUE!</v>
      </c>
      <c r="AE294" t="e">
        <f>Stock!V2080+"'E4!0S/"</f>
        <v>#VALUE!</v>
      </c>
      <c r="AF294" t="e">
        <f>Stock!V2081+"'E4!0S0"</f>
        <v>#VALUE!</v>
      </c>
      <c r="AG294" t="e">
        <f>Stock!V2082+"'E4!0S1"</f>
        <v>#VALUE!</v>
      </c>
      <c r="AH294" t="e">
        <f>Stock!V2083+"'E4!0S2"</f>
        <v>#VALUE!</v>
      </c>
      <c r="AI294" t="e">
        <f>Stock!V2084+"'E4!0S3"</f>
        <v>#VALUE!</v>
      </c>
      <c r="AJ294" t="e">
        <f>Stock!V2085+"'E4!0S4"</f>
        <v>#VALUE!</v>
      </c>
      <c r="AK294" t="e">
        <f>Stock!V2086+"'E4!0S5"</f>
        <v>#VALUE!</v>
      </c>
      <c r="AL294" t="e">
        <f>Stock!V2087+"'E4!0S6"</f>
        <v>#VALUE!</v>
      </c>
      <c r="AM294" t="e">
        <f>Stock!V2088+"'E4!0S7"</f>
        <v>#VALUE!</v>
      </c>
      <c r="AN294" t="e">
        <f>Stock!V2089+"'E4!0S8"</f>
        <v>#VALUE!</v>
      </c>
      <c r="AO294" t="e">
        <f>Stock!V2090+"'E4!0S9"</f>
        <v>#VALUE!</v>
      </c>
      <c r="AP294" t="e">
        <f>Stock!V2091+"'E4!0S:"</f>
        <v>#VALUE!</v>
      </c>
      <c r="AQ294" t="e">
        <f>Stock!V2092+"'E4!0S;"</f>
        <v>#VALUE!</v>
      </c>
      <c r="AR294" t="e">
        <f>Stock!V2093+"'E4!0S&lt;"</f>
        <v>#VALUE!</v>
      </c>
      <c r="AS294" t="e">
        <f>Stock!V2094+"'E4!0S="</f>
        <v>#VALUE!</v>
      </c>
      <c r="AT294" t="e">
        <f>Stock!V2095+"'E4!0S&gt;"</f>
        <v>#VALUE!</v>
      </c>
      <c r="AU294" t="e">
        <f>Stock!V2096+"'E4!0S?"</f>
        <v>#VALUE!</v>
      </c>
      <c r="AV294" t="e">
        <f>Stock!V2097+"'E4!0S@"</f>
        <v>#VALUE!</v>
      </c>
      <c r="AW294" t="e">
        <f>Stock!V2098+"'E4!0SA"</f>
        <v>#VALUE!</v>
      </c>
      <c r="AX294" t="e">
        <f>Stock!V2099+"'E4!0SB"</f>
        <v>#VALUE!</v>
      </c>
      <c r="AY294" t="e">
        <f>Stock!V2100+"'E4!0SC"</f>
        <v>#VALUE!</v>
      </c>
      <c r="AZ294" t="e">
        <f>Stock!V2101+"'E4!0SD"</f>
        <v>#VALUE!</v>
      </c>
      <c r="BA294" t="e">
        <f>Stock!V2102+"'E4!0SE"</f>
        <v>#VALUE!</v>
      </c>
      <c r="BB294" t="e">
        <f>Stock!V2103+"'E4!0SF"</f>
        <v>#VALUE!</v>
      </c>
      <c r="BC294" t="e">
        <f>Stock!V2104+"'E4!0SG"</f>
        <v>#VALUE!</v>
      </c>
      <c r="BD294" t="e">
        <f>Stock!V2105+"'E4!0SH"</f>
        <v>#VALUE!</v>
      </c>
      <c r="BE294" t="e">
        <f>Stock!V2106+"'E4!0SI"</f>
        <v>#VALUE!</v>
      </c>
      <c r="BF294" t="e">
        <f>Stock!V2107+"'E4!0SJ"</f>
        <v>#VALUE!</v>
      </c>
      <c r="BG294" t="e">
        <f>Stock!V2108+"'E4!0SK"</f>
        <v>#VALUE!</v>
      </c>
      <c r="BH294" t="e">
        <f>Stock!V2109+"'E4!0SL"</f>
        <v>#VALUE!</v>
      </c>
      <c r="BI294" t="e">
        <f>Stock!V2110+"'E4!0SM"</f>
        <v>#VALUE!</v>
      </c>
      <c r="BJ294" t="e">
        <f>Stock!V2111+"'E4!0SN"</f>
        <v>#VALUE!</v>
      </c>
      <c r="BK294" t="e">
        <f>Stock!V2112+"'E4!0SO"</f>
        <v>#VALUE!</v>
      </c>
      <c r="BL294" t="e">
        <f>Stock!V2113+"'E4!0SP"</f>
        <v>#VALUE!</v>
      </c>
      <c r="BM294" t="e">
        <f>Stock!V2114+"'E4!0SQ"</f>
        <v>#VALUE!</v>
      </c>
      <c r="BN294" t="e">
        <f>Stock!V2115+"'E4!0SR"</f>
        <v>#VALUE!</v>
      </c>
      <c r="BO294" t="e">
        <f>Stock!V2116+"'E4!0SS"</f>
        <v>#VALUE!</v>
      </c>
      <c r="BP294" t="e">
        <f>Stock!V2117+"'E4!0ST"</f>
        <v>#VALUE!</v>
      </c>
      <c r="BQ294" t="e">
        <f>Stock!V2118+"'E4!0SU"</f>
        <v>#VALUE!</v>
      </c>
      <c r="BR294" t="e">
        <f>Stock!V2119+"'E4!0SV"</f>
        <v>#VALUE!</v>
      </c>
      <c r="BS294" t="e">
        <f>Stock!V2120+"'E4!0SW"</f>
        <v>#VALUE!</v>
      </c>
      <c r="BT294" t="e">
        <f>Stock!V2121+"'E4!0SX"</f>
        <v>#VALUE!</v>
      </c>
      <c r="BU294" t="e">
        <f>Stock!V2122+"'E4!0SY"</f>
        <v>#VALUE!</v>
      </c>
      <c r="BV294" t="e">
        <f>Stock!V2123+"'E4!0SZ"</f>
        <v>#VALUE!</v>
      </c>
      <c r="BW294" t="e">
        <f>Stock!V2124+"'E4!0S["</f>
        <v>#VALUE!</v>
      </c>
      <c r="BX294" t="e">
        <f>Stock!V2125+"'E4!0S\"</f>
        <v>#VALUE!</v>
      </c>
      <c r="BY294" t="e">
        <f>Stock!V2126+"'E4!0S]"</f>
        <v>#VALUE!</v>
      </c>
      <c r="BZ294" t="e">
        <f>Stock!V2127+"'E4!0S^"</f>
        <v>#VALUE!</v>
      </c>
      <c r="CA294" t="e">
        <f>Stock!V2128+"'E4!0S_"</f>
        <v>#VALUE!</v>
      </c>
      <c r="CB294" t="e">
        <f>Stock!V2129+"'E4!0S`"</f>
        <v>#VALUE!</v>
      </c>
      <c r="CC294" t="e">
        <f>Stock!V2130+"'E4!0Sa"</f>
        <v>#VALUE!</v>
      </c>
      <c r="CD294" t="e">
        <f>Stock!V2131+"'E4!0Sb"</f>
        <v>#VALUE!</v>
      </c>
      <c r="CE294" t="e">
        <f>Stock!V2132+"'E4!0Sc"</f>
        <v>#VALUE!</v>
      </c>
      <c r="CF294" t="e">
        <f>Stock!V2133+"'E4!0Sd"</f>
        <v>#VALUE!</v>
      </c>
      <c r="CG294" t="e">
        <f>Stock!V2134+"'E4!0Se"</f>
        <v>#VALUE!</v>
      </c>
      <c r="CH294" t="e">
        <f>Stock!V2135+"'E4!0Sf"</f>
        <v>#VALUE!</v>
      </c>
      <c r="CI294" t="e">
        <f>Stock!V2136+"'E4!0Sg"</f>
        <v>#VALUE!</v>
      </c>
      <c r="CJ294" t="e">
        <f>Stock!V2137+"'E4!0Sh"</f>
        <v>#VALUE!</v>
      </c>
      <c r="CK294" t="e">
        <f>Stock!V2138+"'E4!0Si"</f>
        <v>#VALUE!</v>
      </c>
      <c r="CL294" t="e">
        <f>Stock!V2139+"'E4!0Sj"</f>
        <v>#VALUE!</v>
      </c>
      <c r="CM294" t="e">
        <f>Stock!V2140+"'E4!0Sk"</f>
        <v>#VALUE!</v>
      </c>
      <c r="CN294" t="e">
        <f>Stock!V2141+"'E4!0Sl"</f>
        <v>#VALUE!</v>
      </c>
      <c r="CO294" t="e">
        <f>Stock!V2142+"'E4!0Sm"</f>
        <v>#VALUE!</v>
      </c>
      <c r="CP294" t="e">
        <f>Stock!V2143+"'E4!0Sn"</f>
        <v>#VALUE!</v>
      </c>
      <c r="CQ294" t="e">
        <f>Stock!V2144+"'E4!0So"</f>
        <v>#VALUE!</v>
      </c>
      <c r="CR294" t="e">
        <f>Stock!V2145+"'E4!0Sp"</f>
        <v>#VALUE!</v>
      </c>
      <c r="CS294" t="e">
        <f>Stock!V2146+"'E4!0Sq"</f>
        <v>#VALUE!</v>
      </c>
      <c r="CT294" t="e">
        <f>Stock!V2147+"'E4!0Sr"</f>
        <v>#VALUE!</v>
      </c>
      <c r="CU294" t="e">
        <f>Stock!V2148+"'E4!0Ss"</f>
        <v>#VALUE!</v>
      </c>
      <c r="CV294" t="e">
        <f>Stock!V2149+"'E4!0St"</f>
        <v>#VALUE!</v>
      </c>
      <c r="CW294" t="e">
        <f>Stock!V2150+"'E4!0Su"</f>
        <v>#VALUE!</v>
      </c>
      <c r="CX294" t="e">
        <f>Stock!V2151+"'E4!0Sv"</f>
        <v>#VALUE!</v>
      </c>
      <c r="CY294" t="e">
        <f>Stock!V2152+"'E4!0Sw"</f>
        <v>#VALUE!</v>
      </c>
      <c r="CZ294" t="e">
        <f>Stock!V2153+"'E4!0Sx"</f>
        <v>#VALUE!</v>
      </c>
      <c r="DA294" t="e">
        <f>Stock!V2154+"'E4!0Sy"</f>
        <v>#VALUE!</v>
      </c>
      <c r="DB294" t="e">
        <f>Stock!V2155+"'E4!0Sz"</f>
        <v>#VALUE!</v>
      </c>
      <c r="DC294" t="e">
        <f>Stock!V2156+"'E4!0S{"</f>
        <v>#VALUE!</v>
      </c>
      <c r="DD294" t="e">
        <f>Stock!V2157+"'E4!0S|"</f>
        <v>#VALUE!</v>
      </c>
      <c r="DE294" t="e">
        <f>Stock!V2158+"'E4!0S}"</f>
        <v>#VALUE!</v>
      </c>
      <c r="DF294" t="e">
        <f>Stock!V2159+"'E4!0S~"</f>
        <v>#VALUE!</v>
      </c>
      <c r="DG294" t="e">
        <f>Stock!V2160+"'E4!0T#"</f>
        <v>#VALUE!</v>
      </c>
      <c r="DH294" t="e">
        <f>Stock!V2161+"'E4!0T$"</f>
        <v>#VALUE!</v>
      </c>
      <c r="DI294" t="e">
        <f>Stock!V2162+"'E4!0T%"</f>
        <v>#VALUE!</v>
      </c>
      <c r="DJ294" t="e">
        <f>Stock!V2163+"'E4!0T&amp;"</f>
        <v>#VALUE!</v>
      </c>
      <c r="DK294" t="e">
        <f>Stock!V2164+"'E4!0T'"</f>
        <v>#VALUE!</v>
      </c>
      <c r="DL294" t="e">
        <f>Stock!V2165+"'E4!0T("</f>
        <v>#VALUE!</v>
      </c>
      <c r="DM294" t="e">
        <f>Stock!V2166+"'E4!0T)"</f>
        <v>#VALUE!</v>
      </c>
      <c r="DN294" t="e">
        <f>Stock!V2167+"'E4!0T."</f>
        <v>#VALUE!</v>
      </c>
      <c r="DO294" t="e">
        <f>Stock!V2168+"'E4!0T/"</f>
        <v>#VALUE!</v>
      </c>
      <c r="DP294" t="e">
        <f>Stock!V2169+"'E4!0T0"</f>
        <v>#VALUE!</v>
      </c>
      <c r="DQ294" t="e">
        <f>Stock!V2170+"'E4!0T1"</f>
        <v>#VALUE!</v>
      </c>
      <c r="DR294" t="e">
        <f>Stock!V2171+"'E4!0T2"</f>
        <v>#VALUE!</v>
      </c>
      <c r="DS294" t="e">
        <f>Stock!V2172+"'E4!0T3"</f>
        <v>#VALUE!</v>
      </c>
      <c r="DT294" t="e">
        <f>Stock!V2173+"'E4!0T4"</f>
        <v>#VALUE!</v>
      </c>
      <c r="DU294" t="e">
        <f>Stock!V2174+"'E4!0T5"</f>
        <v>#VALUE!</v>
      </c>
      <c r="DV294" t="e">
        <f>Stock!V2175+"'E4!0T6"</f>
        <v>#VALUE!</v>
      </c>
      <c r="DW294" t="e">
        <f>Stock!V2176+"'E4!0T7"</f>
        <v>#VALUE!</v>
      </c>
      <c r="DX294" t="e">
        <f>Stock!V2177+"'E4!0T8"</f>
        <v>#VALUE!</v>
      </c>
      <c r="DY294" t="e">
        <f>Stock!V2178+"'E4!0T9"</f>
        <v>#VALUE!</v>
      </c>
      <c r="DZ294" t="e">
        <f>Stock!V2179+"'E4!0T:"</f>
        <v>#VALUE!</v>
      </c>
      <c r="EA294" t="e">
        <f>Stock!V2180+"'E4!0T;"</f>
        <v>#VALUE!</v>
      </c>
      <c r="EB294" t="e">
        <f>Stock!V2181+"'E4!0T&lt;"</f>
        <v>#VALUE!</v>
      </c>
      <c r="EC294" t="e">
        <f>Stock!V2182+"'E4!0T="</f>
        <v>#VALUE!</v>
      </c>
      <c r="ED294" t="e">
        <f>Stock!V2183+"'E4!0T&gt;"</f>
        <v>#VALUE!</v>
      </c>
      <c r="EE294" t="e">
        <f>Stock!V2184+"'E4!0T?"</f>
        <v>#VALUE!</v>
      </c>
      <c r="EF294" t="e">
        <f>Stock!V2185+"'E4!0T@"</f>
        <v>#VALUE!</v>
      </c>
      <c r="EG294" t="e">
        <f>Stock!V2186+"'E4!0TA"</f>
        <v>#VALUE!</v>
      </c>
      <c r="EH294" t="e">
        <f>Stock!V2187+"'E4!0TB"</f>
        <v>#VALUE!</v>
      </c>
      <c r="EI294" t="e">
        <f>Stock!V2188+"'E4!0TC"</f>
        <v>#VALUE!</v>
      </c>
      <c r="EJ294" t="e">
        <f>Stock!V2189+"'E4!0TD"</f>
        <v>#VALUE!</v>
      </c>
      <c r="EK294" t="e">
        <f>Stock!V2190+"'E4!0TE"</f>
        <v>#VALUE!</v>
      </c>
      <c r="EL294" t="e">
        <f>Stock!V2191+"'E4!0TF"</f>
        <v>#VALUE!</v>
      </c>
      <c r="EM294" t="e">
        <f>Stock!V2192+"'E4!0TG"</f>
        <v>#VALUE!</v>
      </c>
      <c r="EN294" t="e">
        <f>Stock!V2193+"'E4!0TH"</f>
        <v>#VALUE!</v>
      </c>
      <c r="EO294" t="e">
        <f>Stock!V2194+"'E4!0TI"</f>
        <v>#VALUE!</v>
      </c>
      <c r="EP294" t="e">
        <f>Stock!V2195+"'E4!0TJ"</f>
        <v>#VALUE!</v>
      </c>
      <c r="EQ294" t="e">
        <f>Stock!V2196+"'E4!0TK"</f>
        <v>#VALUE!</v>
      </c>
      <c r="ER294" t="e">
        <f>Stock!V2197+"'E4!0TL"</f>
        <v>#VALUE!</v>
      </c>
      <c r="ES294" t="e">
        <f>Stock!V2198+"'E4!0TM"</f>
        <v>#VALUE!</v>
      </c>
      <c r="ET294" t="e">
        <f>Stock!V2199+"'E4!0TN"</f>
        <v>#VALUE!</v>
      </c>
      <c r="EU294" t="e">
        <f>Stock!V2200+"'E4!0TO"</f>
        <v>#VALUE!</v>
      </c>
      <c r="EV294" t="e">
        <f>Stock!V2201+"'E4!0TP"</f>
        <v>#VALUE!</v>
      </c>
      <c r="EW294" t="e">
        <f>Stock!V2202+"'E4!0TQ"</f>
        <v>#VALUE!</v>
      </c>
      <c r="EX294" t="e">
        <f>Stock!V2203+"'E4!0TR"</f>
        <v>#VALUE!</v>
      </c>
      <c r="EY294" t="e">
        <f>Stock!V2204+"'E4!0TS"</f>
        <v>#VALUE!</v>
      </c>
      <c r="EZ294" t="e">
        <f>Stock!V2205+"'E4!0TT"</f>
        <v>#VALUE!</v>
      </c>
      <c r="FA294" t="e">
        <f>Stock!V2206+"'E4!0TU"</f>
        <v>#VALUE!</v>
      </c>
      <c r="FB294" t="e">
        <f>Stock!V2207+"'E4!0TV"</f>
        <v>#VALUE!</v>
      </c>
      <c r="FC294" t="e">
        <f>Stock!V2208+"'E4!0TW"</f>
        <v>#VALUE!</v>
      </c>
      <c r="FD294" t="e">
        <f>Stock!V2209+"'E4!0TX"</f>
        <v>#VALUE!</v>
      </c>
      <c r="FE294" t="e">
        <f>Stock!V2210+"'E4!0TY"</f>
        <v>#VALUE!</v>
      </c>
      <c r="FF294" t="e">
        <f>Stock!V2211+"'E4!0TZ"</f>
        <v>#VALUE!</v>
      </c>
      <c r="FG294" t="e">
        <f>Stock!V2212+"'E4!0T["</f>
        <v>#VALUE!</v>
      </c>
      <c r="FH294" t="e">
        <f>Stock!V2213+"'E4!0T\"</f>
        <v>#VALUE!</v>
      </c>
      <c r="FI294" t="e">
        <f>Stock!V2214+"'E4!0T]"</f>
        <v>#VALUE!</v>
      </c>
      <c r="FJ294" t="e">
        <f>Stock!V2215+"'E4!0T^"</f>
        <v>#VALUE!</v>
      </c>
      <c r="FK294" t="e">
        <f>Stock!V2216+"'E4!0T_"</f>
        <v>#VALUE!</v>
      </c>
      <c r="FL294" t="e">
        <f>Stock!V2217+"'E4!0T`"</f>
        <v>#VALUE!</v>
      </c>
      <c r="FM294" t="e">
        <f>Stock!V2218+"'E4!0Ta"</f>
        <v>#VALUE!</v>
      </c>
      <c r="FN294" t="e">
        <f>Stock!V2219+"'E4!0Tb"</f>
        <v>#VALUE!</v>
      </c>
      <c r="FO294" t="e">
        <f>Stock!V2220+"'E4!0Tc"</f>
        <v>#VALUE!</v>
      </c>
      <c r="FP294" t="e">
        <f>Stock!V2221+"'E4!0Td"</f>
        <v>#VALUE!</v>
      </c>
      <c r="FQ294" t="e">
        <f>Stock!V2222+"'E4!0Te"</f>
        <v>#VALUE!</v>
      </c>
      <c r="FR294" t="e">
        <f>Stock!V2223+"'E4!0Tf"</f>
        <v>#VALUE!</v>
      </c>
      <c r="FS294" t="e">
        <f>Stock!V2224+"'E4!0Tg"</f>
        <v>#VALUE!</v>
      </c>
      <c r="FT294" t="e">
        <f>Stock!V2225+"'E4!0Th"</f>
        <v>#VALUE!</v>
      </c>
      <c r="FU294" t="e">
        <f>Stock!V2226+"'E4!0Ti"</f>
        <v>#VALUE!</v>
      </c>
      <c r="FV294" t="e">
        <f>Stock!V2227+"'E4!0Tj"</f>
        <v>#VALUE!</v>
      </c>
      <c r="FW294" t="e">
        <f>Stock!V2228+"'E4!0Tk"</f>
        <v>#VALUE!</v>
      </c>
      <c r="FX294" t="e">
        <f>Stock!V2229+"'E4!0Tl"</f>
        <v>#VALUE!</v>
      </c>
      <c r="FY294" t="e">
        <f>Stock!V2230+"'E4!0Tm"</f>
        <v>#VALUE!</v>
      </c>
      <c r="FZ294" t="e">
        <f>Stock!V2231+"'E4!0Tn"</f>
        <v>#VALUE!</v>
      </c>
      <c r="GA294" t="e">
        <f>Stock!V2232+"'E4!0To"</f>
        <v>#VALUE!</v>
      </c>
      <c r="GB294" t="e">
        <f>Stock!V2233+"'E4!0Tp"</f>
        <v>#VALUE!</v>
      </c>
      <c r="GC294" t="e">
        <f>Stock!V2234+"'E4!0Tq"</f>
        <v>#VALUE!</v>
      </c>
      <c r="GD294" t="e">
        <f>Stock!V2235+"'E4!0Tr"</f>
        <v>#VALUE!</v>
      </c>
      <c r="GE294" t="e">
        <f>Stock!V2236+"'E4!0Ts"</f>
        <v>#VALUE!</v>
      </c>
      <c r="GF294" t="e">
        <f>Stock!V2237+"'E4!0Tt"</f>
        <v>#VALUE!</v>
      </c>
      <c r="GG294" t="e">
        <f>Stock!V2238+"'E4!0Tu"</f>
        <v>#VALUE!</v>
      </c>
      <c r="GH294" t="e">
        <f>Stock!V2239+"'E4!0Tv"</f>
        <v>#VALUE!</v>
      </c>
      <c r="GI294" t="e">
        <f>Stock!V2240+"'E4!0Tw"</f>
        <v>#VALUE!</v>
      </c>
      <c r="GJ294" t="e">
        <f>Stock!V2241+"'E4!0Tx"</f>
        <v>#VALUE!</v>
      </c>
      <c r="GK294" t="e">
        <f>Stock!V2242+"'E4!0Ty"</f>
        <v>#VALUE!</v>
      </c>
      <c r="GL294" t="e">
        <f>Stock!V2243+"'E4!0Tz"</f>
        <v>#VALUE!</v>
      </c>
      <c r="GM294" t="e">
        <f>Stock!V2244+"'E4!0T{"</f>
        <v>#VALUE!</v>
      </c>
      <c r="GN294" t="e">
        <f>Stock!V2245+"'E4!0T|"</f>
        <v>#VALUE!</v>
      </c>
      <c r="GO294" t="e">
        <f>Stock!V2246+"'E4!0T}"</f>
        <v>#VALUE!</v>
      </c>
      <c r="GP294" t="e">
        <f>Stock!V2247+"'E4!0T~"</f>
        <v>#VALUE!</v>
      </c>
      <c r="GQ294" t="e">
        <f>Stock!V2248+"'E4!0U#"</f>
        <v>#VALUE!</v>
      </c>
      <c r="GR294" t="e">
        <f>Stock!V2249+"'E4!0U$"</f>
        <v>#VALUE!</v>
      </c>
      <c r="GS294" t="e">
        <f>Stock!V2250+"'E4!0U%"</f>
        <v>#VALUE!</v>
      </c>
      <c r="GT294" t="e">
        <f>Stock!V2251+"'E4!0U&amp;"</f>
        <v>#VALUE!</v>
      </c>
      <c r="GU294" t="e">
        <f>Stock!V2252+"'E4!0U'"</f>
        <v>#VALUE!</v>
      </c>
      <c r="GV294" t="e">
        <f>Stock!V2253+"'E4!0U("</f>
        <v>#VALUE!</v>
      </c>
      <c r="GW294" t="e">
        <f>Stock!V2254+"'E4!0U)"</f>
        <v>#VALUE!</v>
      </c>
      <c r="GX294" t="e">
        <f>Stock!V2255+"'E4!0U."</f>
        <v>#VALUE!</v>
      </c>
      <c r="GY294" t="e">
        <f>Stock!V2256+"'E4!0U/"</f>
        <v>#VALUE!</v>
      </c>
      <c r="GZ294" t="e">
        <f>Stock!V2257+"'E4!0U0"</f>
        <v>#VALUE!</v>
      </c>
      <c r="HA294" t="e">
        <f>Stock!V2258+"'E4!0U1"</f>
        <v>#VALUE!</v>
      </c>
      <c r="HB294" t="e">
        <f>Stock!V2259+"'E4!0U2"</f>
        <v>#VALUE!</v>
      </c>
      <c r="HC294" t="e">
        <f>Stock!V2260+"'E4!0U3"</f>
        <v>#VALUE!</v>
      </c>
      <c r="HD294" t="e">
        <f>Stock!V2261+"'E4!0U4"</f>
        <v>#VALUE!</v>
      </c>
      <c r="HE294" t="e">
        <f>Stock!V2262+"'E4!0U5"</f>
        <v>#VALUE!</v>
      </c>
      <c r="HF294" t="e">
        <f>Stock!V2263+"'E4!0U6"</f>
        <v>#VALUE!</v>
      </c>
      <c r="HG294" t="e">
        <f>Stock!V2264+"'E4!0U7"</f>
        <v>#VALUE!</v>
      </c>
      <c r="HH294" t="e">
        <f>Stock!V2265+"'E4!0U8"</f>
        <v>#VALUE!</v>
      </c>
      <c r="HI294" t="e">
        <f>Stock!V2266+"'E4!0U9"</f>
        <v>#VALUE!</v>
      </c>
      <c r="HJ294" t="e">
        <f>Stock!V2267+"'E4!0U:"</f>
        <v>#VALUE!</v>
      </c>
      <c r="HK294" t="e">
        <f>Stock!V2268+"'E4!0U;"</f>
        <v>#VALUE!</v>
      </c>
      <c r="HL294" t="e">
        <f>Stock!V2269+"'E4!0U&lt;"</f>
        <v>#VALUE!</v>
      </c>
      <c r="HM294" t="e">
        <f>Stock!V2270+"'E4!0U="</f>
        <v>#VALUE!</v>
      </c>
      <c r="HN294" t="e">
        <f>Stock!V2271+"'E4!0U&gt;"</f>
        <v>#VALUE!</v>
      </c>
      <c r="HO294" t="e">
        <f>Stock!V2272+"'E4!0U?"</f>
        <v>#VALUE!</v>
      </c>
      <c r="HP294" t="e">
        <f>Stock!V2273+"'E4!0U@"</f>
        <v>#VALUE!</v>
      </c>
      <c r="HQ294" t="e">
        <f>Stock!V2274+"'E4!0UA"</f>
        <v>#VALUE!</v>
      </c>
      <c r="HR294" t="e">
        <f>Stock!V2275+"'E4!0UB"</f>
        <v>#VALUE!</v>
      </c>
      <c r="HS294" t="e">
        <f>Stock!V2276+"'E4!0UC"</f>
        <v>#VALUE!</v>
      </c>
      <c r="HT294" t="e">
        <f>Stock!V2277+"'E4!0UD"</f>
        <v>#VALUE!</v>
      </c>
      <c r="HU294" t="e">
        <f>Stock!V2278+"'E4!0UE"</f>
        <v>#VALUE!</v>
      </c>
      <c r="HV294" t="e">
        <f>Stock!V2279+"'E4!0UF"</f>
        <v>#VALUE!</v>
      </c>
      <c r="HW294" t="e">
        <f>Stock!V2280+"'E4!0UG"</f>
        <v>#VALUE!</v>
      </c>
      <c r="HX294" t="e">
        <f>Stock!V2281+"'E4!0UH"</f>
        <v>#VALUE!</v>
      </c>
      <c r="HY294" t="e">
        <f>Stock!V2282+"'E4!0UI"</f>
        <v>#VALUE!</v>
      </c>
      <c r="HZ294" t="e">
        <f>Stock!V2283+"'E4!0UJ"</f>
        <v>#VALUE!</v>
      </c>
      <c r="IA294" t="e">
        <f>Stock!V2284+"'E4!0UK"</f>
        <v>#VALUE!</v>
      </c>
      <c r="IB294" t="e">
        <f>Stock!V2285+"'E4!0UL"</f>
        <v>#VALUE!</v>
      </c>
      <c r="IC294" t="e">
        <f>Stock!V2286+"'E4!0UM"</f>
        <v>#VALUE!</v>
      </c>
      <c r="ID294" t="e">
        <f>Stock!V2287+"'E4!0UN"</f>
        <v>#VALUE!</v>
      </c>
      <c r="IE294" t="e">
        <f>Stock!V2288+"'E4!0UO"</f>
        <v>#VALUE!</v>
      </c>
      <c r="IF294" t="e">
        <f>Stock!V2289+"'E4!0UP"</f>
        <v>#VALUE!</v>
      </c>
      <c r="IG294" t="e">
        <f>Stock!V2290+"'E4!0UQ"</f>
        <v>#VALUE!</v>
      </c>
      <c r="IH294" t="e">
        <f>Stock!V2291+"'E4!0UR"</f>
        <v>#VALUE!</v>
      </c>
      <c r="II294" t="e">
        <f>Stock!V2292+"'E4!0US"</f>
        <v>#VALUE!</v>
      </c>
      <c r="IJ294" t="e">
        <f>Stock!V2293+"'E4!0UT"</f>
        <v>#VALUE!</v>
      </c>
      <c r="IK294" t="e">
        <f>Stock!V2294+"'E4!0UU"</f>
        <v>#VALUE!</v>
      </c>
      <c r="IL294" t="e">
        <f>Stock!V2295+"'E4!0UV"</f>
        <v>#VALUE!</v>
      </c>
      <c r="IM294" t="e">
        <f>Stock!V2296+"'E4!0UW"</f>
        <v>#VALUE!</v>
      </c>
      <c r="IN294" t="e">
        <f>Stock!V2297+"'E4!0UX"</f>
        <v>#VALUE!</v>
      </c>
      <c r="IO294" t="e">
        <f>Stock!V2298+"'E4!0UY"</f>
        <v>#VALUE!</v>
      </c>
      <c r="IP294" t="e">
        <f>Stock!V2299+"'E4!0UZ"</f>
        <v>#VALUE!</v>
      </c>
      <c r="IQ294" t="e">
        <f>Stock!V2300+"'E4!0U["</f>
        <v>#VALUE!</v>
      </c>
      <c r="IR294" t="e">
        <f>Stock!V2301+"'E4!0U\"</f>
        <v>#VALUE!</v>
      </c>
      <c r="IS294" t="e">
        <f>Stock!V2302+"'E4!0U]"</f>
        <v>#VALUE!</v>
      </c>
      <c r="IT294" t="e">
        <f>Stock!V2303+"'E4!0U^"</f>
        <v>#VALUE!</v>
      </c>
      <c r="IU294" t="e">
        <f>Stock!V2304+"'E4!0U_"</f>
        <v>#VALUE!</v>
      </c>
      <c r="IV294" t="e">
        <f>Stock!V2305+"'E4!0U`"</f>
        <v>#VALUE!</v>
      </c>
    </row>
    <row r="295" spans="6:256">
      <c r="F295" t="e">
        <f>Stock!V2306+"'E4!0Ua"</f>
        <v>#VALUE!</v>
      </c>
      <c r="G295" t="e">
        <f>Stock!V2307+"'E4!0Ub"</f>
        <v>#VALUE!</v>
      </c>
      <c r="H295" t="e">
        <f>Stock!V2308+"'E4!0Uc"</f>
        <v>#VALUE!</v>
      </c>
      <c r="I295" t="e">
        <f>Stock!V2309+"'E4!0Ud"</f>
        <v>#VALUE!</v>
      </c>
      <c r="J295" t="e">
        <f>Stock!V2310+"'E4!0Ue"</f>
        <v>#VALUE!</v>
      </c>
      <c r="K295" t="e">
        <f>Stock!V2311+"'E4!0Uf"</f>
        <v>#VALUE!</v>
      </c>
      <c r="L295" t="e">
        <f>Stock!V2312+"'E4!0Ug"</f>
        <v>#VALUE!</v>
      </c>
      <c r="M295" t="e">
        <f>Stock!V2313+"'E4!0Uh"</f>
        <v>#VALUE!</v>
      </c>
      <c r="N295" t="e">
        <f>Stock!V2314+"'E4!0Ui"</f>
        <v>#VALUE!</v>
      </c>
      <c r="O295" t="e">
        <f>Stock!V2315+"'E4!0Uj"</f>
        <v>#VALUE!</v>
      </c>
      <c r="P295" t="e">
        <f>Stock!V2316+"'E4!0Uk"</f>
        <v>#VALUE!</v>
      </c>
      <c r="Q295" t="e">
        <f>Stock!V2317+"'E4!0Ul"</f>
        <v>#VALUE!</v>
      </c>
      <c r="R295" t="e">
        <f>Stock!V2318+"'E4!0Um"</f>
        <v>#VALUE!</v>
      </c>
      <c r="S295" t="e">
        <f>Stock!V2319+"'E4!0Un"</f>
        <v>#VALUE!</v>
      </c>
      <c r="T295" t="e">
        <f>Stock!V2320+"'E4!0Uo"</f>
        <v>#VALUE!</v>
      </c>
      <c r="U295" t="e">
        <f>Stock!V2321+"'E4!0Up"</f>
        <v>#VALUE!</v>
      </c>
      <c r="V295" t="e">
        <f>Stock!V2322+"'E4!0Uq"</f>
        <v>#VALUE!</v>
      </c>
      <c r="W295" t="e">
        <f>Stock!V2323+"'E4!0Ur"</f>
        <v>#VALUE!</v>
      </c>
      <c r="X295" t="e">
        <f>Stock!V2324+"'E4!0Us"</f>
        <v>#VALUE!</v>
      </c>
      <c r="Y295" t="e">
        <f>Stock!V2325+"'E4!0Ut"</f>
        <v>#VALUE!</v>
      </c>
      <c r="Z295" t="e">
        <f>Stock!V2326+"'E4!0Uu"</f>
        <v>#VALUE!</v>
      </c>
      <c r="AA295" t="e">
        <f>Stock!V2327+"'E4!0Uv"</f>
        <v>#VALUE!</v>
      </c>
      <c r="AB295" t="e">
        <f>Stock!V2328+"'E4!0Uw"</f>
        <v>#VALUE!</v>
      </c>
      <c r="AC295" t="e">
        <f>Stock!V2329+"'E4!0Ux"</f>
        <v>#VALUE!</v>
      </c>
      <c r="AD295" t="e">
        <f>Stock!V2330+"'E4!0Uy"</f>
        <v>#VALUE!</v>
      </c>
      <c r="AE295" t="e">
        <f>Stock!V2331+"'E4!0Uz"</f>
        <v>#VALUE!</v>
      </c>
      <c r="AF295" t="e">
        <f>Stock!V2332+"'E4!0U{"</f>
        <v>#VALUE!</v>
      </c>
      <c r="AG295" t="e">
        <f>Stock!V2333+"'E4!0U|"</f>
        <v>#VALUE!</v>
      </c>
      <c r="AH295" t="e">
        <f>Stock!V2334+"'E4!0U}"</f>
        <v>#VALUE!</v>
      </c>
      <c r="AI295" t="e">
        <f>Stock!V2335+"'E4!0U~"</f>
        <v>#VALUE!</v>
      </c>
      <c r="AJ295" t="e">
        <f>Stock!V2336+"'E4!0V#"</f>
        <v>#VALUE!</v>
      </c>
      <c r="AK295" t="e">
        <f>Stock!V2337+"'E4!0V$"</f>
        <v>#VALUE!</v>
      </c>
      <c r="AL295" t="e">
        <f>Stock!V2338+"'E4!0V%"</f>
        <v>#VALUE!</v>
      </c>
      <c r="AM295" t="e">
        <f>Stock!V2339+"'E4!0V&amp;"</f>
        <v>#VALUE!</v>
      </c>
      <c r="AN295" t="e">
        <f>Stock!V2340+"'E4!0V'"</f>
        <v>#VALUE!</v>
      </c>
      <c r="AO295" t="e">
        <f>Stock!V2341+"'E4!0V("</f>
        <v>#VALUE!</v>
      </c>
      <c r="AP295" t="e">
        <f>Stock!V2342+"'E4!0V)"</f>
        <v>#VALUE!</v>
      </c>
      <c r="AQ295" t="e">
        <f>Stock!V2343+"'E4!0V."</f>
        <v>#VALUE!</v>
      </c>
      <c r="AR295" t="e">
        <f>Stock!V2344+"'E4!0V/"</f>
        <v>#VALUE!</v>
      </c>
      <c r="AS295" t="e">
        <f>Stock!V2345+"'E4!0V0"</f>
        <v>#VALUE!</v>
      </c>
      <c r="AT295" t="e">
        <f>Stock!V2346+"'E4!0V1"</f>
        <v>#VALUE!</v>
      </c>
      <c r="AU295" t="e">
        <f>Stock!V2347+"'E4!0V2"</f>
        <v>#VALUE!</v>
      </c>
      <c r="AV295" t="e">
        <f>Stock!V2348+"'E4!0V3"</f>
        <v>#VALUE!</v>
      </c>
      <c r="AW295" t="e">
        <f>Stock!V2349+"'E4!0V4"</f>
        <v>#VALUE!</v>
      </c>
      <c r="AX295" t="e">
        <f>Stock!V2350+"'E4!0V5"</f>
        <v>#VALUE!</v>
      </c>
      <c r="AY295" t="e">
        <f>Stock!V2351+"'E4!0V6"</f>
        <v>#VALUE!</v>
      </c>
      <c r="AZ295" t="e">
        <f>Stock!V2352+"'E4!0V7"</f>
        <v>#VALUE!</v>
      </c>
      <c r="BA295" t="e">
        <f>Stock!V2353+"'E4!0V8"</f>
        <v>#VALUE!</v>
      </c>
      <c r="BB295" t="e">
        <f>Stock!V2354+"'E4!0V9"</f>
        <v>#VALUE!</v>
      </c>
      <c r="BC295" t="e">
        <f>Stock!V2355+"'E4!0V:"</f>
        <v>#VALUE!</v>
      </c>
      <c r="BD295" t="e">
        <f>Stock!V2356+"'E4!0V;"</f>
        <v>#VALUE!</v>
      </c>
      <c r="BE295" t="e">
        <f>Stock!V2357+"'E4!0V&lt;"</f>
        <v>#VALUE!</v>
      </c>
      <c r="BF295" t="e">
        <f>Stock!V2358+"'E4!0V="</f>
        <v>#VALUE!</v>
      </c>
      <c r="BG295" t="e">
        <f>Stock!V2359+"'E4!0V&gt;"</f>
        <v>#VALUE!</v>
      </c>
      <c r="BH295" t="e">
        <f>Stock!V2360+"'E4!0V?"</f>
        <v>#VALUE!</v>
      </c>
      <c r="BI295" t="e">
        <f>Stock!V2361+"'E4!0V@"</f>
        <v>#VALUE!</v>
      </c>
      <c r="BJ295" t="e">
        <f>Stock!V2362+"'E4!0VA"</f>
        <v>#VALUE!</v>
      </c>
      <c r="BK295" t="e">
        <f>Stock!V2363+"'E4!0VB"</f>
        <v>#VALUE!</v>
      </c>
      <c r="BL295" t="e">
        <f>Stock!V2364+"'E4!0VC"</f>
        <v>#VALUE!</v>
      </c>
      <c r="BM295" t="e">
        <f>Stock!V2365+"'E4!0VD"</f>
        <v>#VALUE!</v>
      </c>
      <c r="BN295" t="e">
        <f>Stock!V2366+"'E4!0VE"</f>
        <v>#VALUE!</v>
      </c>
      <c r="BO295" t="e">
        <f>Stock!V2367+"'E4!0VF"</f>
        <v>#VALUE!</v>
      </c>
      <c r="BP295" t="e">
        <f>Stock!V2368+"'E4!0VG"</f>
        <v>#VALUE!</v>
      </c>
      <c r="BQ295" t="e">
        <f>Stock!V2369+"'E4!0VH"</f>
        <v>#VALUE!</v>
      </c>
      <c r="BR295" t="e">
        <f>Stock!V2370+"'E4!0VI"</f>
        <v>#VALUE!</v>
      </c>
      <c r="BS295" t="e">
        <f>Stock!V2371+"'E4!0VJ"</f>
        <v>#VALUE!</v>
      </c>
      <c r="BT295" t="e">
        <f>Stock!V2372+"'E4!0VK"</f>
        <v>#VALUE!</v>
      </c>
      <c r="BU295" t="e">
        <f>Stock!V2373+"'E4!0VL"</f>
        <v>#VALUE!</v>
      </c>
      <c r="BV295" t="e">
        <f>Stock!V2374+"'E4!0VM"</f>
        <v>#VALUE!</v>
      </c>
      <c r="BW295" t="e">
        <f>Stock!V2375+"'E4!0VN"</f>
        <v>#VALUE!</v>
      </c>
      <c r="BX295" t="e">
        <f>Stock!V2376+"'E4!0VO"</f>
        <v>#VALUE!</v>
      </c>
      <c r="BY295" t="e">
        <f>Stock!V2377+"'E4!0VP"</f>
        <v>#VALUE!</v>
      </c>
      <c r="BZ295" t="e">
        <f>Stock!V2378+"'E4!0VQ"</f>
        <v>#VALUE!</v>
      </c>
      <c r="CA295" t="e">
        <f>Stock!V2379+"'E4!0VR"</f>
        <v>#VALUE!</v>
      </c>
      <c r="CB295" t="e">
        <f>Stock!V2380+"'E4!0VS"</f>
        <v>#VALUE!</v>
      </c>
      <c r="CC295" t="e">
        <f>Stock!V2381+"'E4!0VT"</f>
        <v>#VALUE!</v>
      </c>
      <c r="CD295" t="e">
        <f>Stock!V2382+"'E4!0VU"</f>
        <v>#VALUE!</v>
      </c>
      <c r="CE295" t="e">
        <f>Stock!V2383+"'E4!0VV"</f>
        <v>#VALUE!</v>
      </c>
      <c r="CF295" t="e">
        <f>Stock!V2384+"'E4!0VW"</f>
        <v>#VALUE!</v>
      </c>
      <c r="CG295" t="e">
        <f>Stock!V2385+"'E4!0VX"</f>
        <v>#VALUE!</v>
      </c>
      <c r="CH295" t="e">
        <f>Stock!V2386+"'E4!0VY"</f>
        <v>#VALUE!</v>
      </c>
      <c r="CI295" t="e">
        <f>Stock!V2387+"'E4!0VZ"</f>
        <v>#VALUE!</v>
      </c>
      <c r="CJ295" t="e">
        <f>Stock!V2388+"'E4!0V["</f>
        <v>#VALUE!</v>
      </c>
      <c r="CK295" t="e">
        <f>Stock!V2389+"'E4!0V\"</f>
        <v>#VALUE!</v>
      </c>
      <c r="CL295" t="e">
        <f>Stock!V2390+"'E4!0V]"</f>
        <v>#VALUE!</v>
      </c>
      <c r="CM295" t="e">
        <f>Stock!V2391+"'E4!0V^"</f>
        <v>#VALUE!</v>
      </c>
      <c r="CN295" t="e">
        <f>Stock!V2392+"'E4!0V_"</f>
        <v>#VALUE!</v>
      </c>
      <c r="CO295" t="e">
        <f>Stock!V2393+"'E4!0V`"</f>
        <v>#VALUE!</v>
      </c>
      <c r="CP295" t="e">
        <f>Stock!V2394+"'E4!0Va"</f>
        <v>#VALUE!</v>
      </c>
      <c r="CQ295" t="e">
        <f>Stock!V2395+"'E4!0Vb"</f>
        <v>#VALUE!</v>
      </c>
      <c r="CR295" t="e">
        <f>Stock!V2396+"'E4!0Vc"</f>
        <v>#VALUE!</v>
      </c>
      <c r="CS295" t="e">
        <f>Stock!V2397+"'E4!0Vd"</f>
        <v>#VALUE!</v>
      </c>
      <c r="CT295" t="e">
        <f>Stock!V2398+"'E4!0Ve"</f>
        <v>#VALUE!</v>
      </c>
      <c r="CU295" t="e">
        <f>Stock!V2399+"'E4!0Vf"</f>
        <v>#VALUE!</v>
      </c>
      <c r="CV295" t="e">
        <f>Stock!V2400+"'E4!0Vg"</f>
        <v>#VALUE!</v>
      </c>
      <c r="CW295" t="e">
        <f>Stock!V2401+"'E4!0Vh"</f>
        <v>#VALUE!</v>
      </c>
      <c r="CX295" t="e">
        <f>Stock!V2402+"'E4!0Vi"</f>
        <v>#VALUE!</v>
      </c>
      <c r="CY295" t="e">
        <f>Stock!V2403+"'E4!0Vj"</f>
        <v>#VALUE!</v>
      </c>
      <c r="CZ295" t="e">
        <f>Stock!V2404+"'E4!0Vk"</f>
        <v>#VALUE!</v>
      </c>
      <c r="DA295" t="e">
        <f>Stock!V2405+"'E4!0Vl"</f>
        <v>#VALUE!</v>
      </c>
      <c r="DB295" t="e">
        <f>Stock!V2406+"'E4!0Vm"</f>
        <v>#VALUE!</v>
      </c>
      <c r="DC295" t="e">
        <f>Stock!V2407+"'E4!0Vn"</f>
        <v>#VALUE!</v>
      </c>
      <c r="DD295" t="e">
        <f>Stock!V2408+"'E4!0Vo"</f>
        <v>#VALUE!</v>
      </c>
      <c r="DE295" t="e">
        <f>Stock!V2409+"'E4!0Vp"</f>
        <v>#VALUE!</v>
      </c>
      <c r="DF295" t="e">
        <f>Stock!V2410+"'E4!0Vq"</f>
        <v>#VALUE!</v>
      </c>
      <c r="DG295" t="e">
        <f>Stock!V2411+"'E4!0Vr"</f>
        <v>#VALUE!</v>
      </c>
      <c r="DH295" t="e">
        <f>Stock!V2412+"'E4!0Vs"</f>
        <v>#VALUE!</v>
      </c>
      <c r="DI295" t="e">
        <f>Stock!V2413+"'E4!0Vt"</f>
        <v>#VALUE!</v>
      </c>
      <c r="DJ295" t="e">
        <f>Stock!V2414+"'E4!0Vu"</f>
        <v>#VALUE!</v>
      </c>
      <c r="DK295" t="e">
        <f>Stock!V2415+"'E4!0Vv"</f>
        <v>#VALUE!</v>
      </c>
      <c r="DL295" t="e">
        <f>Stock!V2416+"'E4!0Vw"</f>
        <v>#VALUE!</v>
      </c>
      <c r="DM295" t="e">
        <f>Stock!V2417+"'E4!0Vx"</f>
        <v>#VALUE!</v>
      </c>
      <c r="DN295" t="e">
        <f>Stock!V2418+"'E4!0Vy"</f>
        <v>#VALUE!</v>
      </c>
      <c r="DO295" t="e">
        <f>Stock!V2419+"'E4!0Vz"</f>
        <v>#VALUE!</v>
      </c>
      <c r="DP295" t="e">
        <f>Stock!V2420+"'E4!0V{"</f>
        <v>#VALUE!</v>
      </c>
      <c r="DQ295" t="e">
        <f>Stock!V2421+"'E4!0V|"</f>
        <v>#VALUE!</v>
      </c>
      <c r="DR295" t="e">
        <f>Stock!V2422+"'E4!0V}"</f>
        <v>#VALUE!</v>
      </c>
      <c r="DS295" t="e">
        <f>Stock!V2423+"'E4!0V~"</f>
        <v>#VALUE!</v>
      </c>
      <c r="DT295" t="e">
        <f>Stock!V2424+"'E4!0W#"</f>
        <v>#VALUE!</v>
      </c>
      <c r="DU295" t="e">
        <f>Stock!V2425+"'E4!0W$"</f>
        <v>#VALUE!</v>
      </c>
      <c r="DV295" t="e">
        <f>Stock!V2426+"'E4!0W%"</f>
        <v>#VALUE!</v>
      </c>
      <c r="DW295" t="e">
        <f>Stock!V2427+"'E4!0W&amp;"</f>
        <v>#VALUE!</v>
      </c>
      <c r="DX295" t="e">
        <f>Stock!V2428+"'E4!0W'"</f>
        <v>#VALUE!</v>
      </c>
      <c r="DY295" t="e">
        <f>Stock!V2429+"'E4!0W("</f>
        <v>#VALUE!</v>
      </c>
      <c r="DZ295" t="e">
        <f>Stock!V2430+"'E4!0W)"</f>
        <v>#VALUE!</v>
      </c>
      <c r="EA295" t="e">
        <f>Stock!V2431+"'E4!0W."</f>
        <v>#VALUE!</v>
      </c>
      <c r="EB295" t="e">
        <f>Stock!V2432+"'E4!0W/"</f>
        <v>#VALUE!</v>
      </c>
      <c r="EC295" t="e">
        <f>Stock!V2433+"'E4!0W0"</f>
        <v>#VALUE!</v>
      </c>
      <c r="ED295" t="e">
        <f>Stock!V2434+"'E4!0W1"</f>
        <v>#VALUE!</v>
      </c>
      <c r="EE295" t="e">
        <f>Stock!V2435+"'E4!0W2"</f>
        <v>#VALUE!</v>
      </c>
      <c r="EF295" t="e">
        <f>Stock!V2436+"'E4!0W3"</f>
        <v>#VALUE!</v>
      </c>
      <c r="EG295" t="e">
        <f>Stock!V2437+"'E4!0W4"</f>
        <v>#VALUE!</v>
      </c>
      <c r="EH295" t="e">
        <f>Stock!V2438+"'E4!0W5"</f>
        <v>#VALUE!</v>
      </c>
      <c r="EI295" t="e">
        <f>Stock!V2439+"'E4!0W6"</f>
        <v>#VALUE!</v>
      </c>
      <c r="EJ295" t="e">
        <f>Stock!V2440+"'E4!0W7"</f>
        <v>#VALUE!</v>
      </c>
      <c r="EK295" t="e">
        <f>Stock!V2441+"'E4!0W8"</f>
        <v>#VALUE!</v>
      </c>
      <c r="EL295" t="e">
        <f>Stock!V2442+"'E4!0W9"</f>
        <v>#VALUE!</v>
      </c>
      <c r="EM295" t="e">
        <f>Stock!V2443+"'E4!0W:"</f>
        <v>#VALUE!</v>
      </c>
      <c r="EN295" t="e">
        <f>Stock!V2444+"'E4!0W;"</f>
        <v>#VALUE!</v>
      </c>
      <c r="EO295" t="e">
        <f>Stock!V2445+"'E4!0W&lt;"</f>
        <v>#VALUE!</v>
      </c>
      <c r="EP295" t="e">
        <f>Stock!V2446+"'E4!0W="</f>
        <v>#VALUE!</v>
      </c>
      <c r="EQ295" t="e">
        <f>Stock!V2447+"'E4!0W&gt;"</f>
        <v>#VALUE!</v>
      </c>
      <c r="ER295" t="e">
        <f>Stock!V2448+"'E4!0W?"</f>
        <v>#VALUE!</v>
      </c>
      <c r="ES295" t="e">
        <f>Stock!V2449+"'E4!0W@"</f>
        <v>#VALUE!</v>
      </c>
      <c r="ET295" t="e">
        <f>Stock!V2450+"'E4!0WA"</f>
        <v>#VALUE!</v>
      </c>
      <c r="EU295" t="e">
        <f>Stock!V2451+"'E4!0WB"</f>
        <v>#VALUE!</v>
      </c>
      <c r="EV295" t="e">
        <f>Stock!V2452+"'E4!0WC"</f>
        <v>#VALUE!</v>
      </c>
      <c r="EW295" t="e">
        <f>Stock!V2453+"'E4!0WD"</f>
        <v>#VALUE!</v>
      </c>
      <c r="EX295" t="e">
        <f>Stock!V2454+"'E4!0WE"</f>
        <v>#VALUE!</v>
      </c>
      <c r="EY295" t="e">
        <f>Stock!V2455+"'E4!0WF"</f>
        <v>#VALUE!</v>
      </c>
      <c r="EZ295" t="e">
        <f>Stock!V2456+"'E4!0WG"</f>
        <v>#VALUE!</v>
      </c>
      <c r="FA295" t="e">
        <f>Stock!V2457+"'E4!0WH"</f>
        <v>#VALUE!</v>
      </c>
      <c r="FB295" t="e">
        <f>Stock!V2458+"'E4!0WI"</f>
        <v>#VALUE!</v>
      </c>
      <c r="FC295" t="e">
        <f>Stock!V2459+"'E4!0WJ"</f>
        <v>#VALUE!</v>
      </c>
      <c r="FD295" t="e">
        <f>Stock!V2460+"'E4!0WK"</f>
        <v>#VALUE!</v>
      </c>
      <c r="FE295" t="e">
        <f>Stock!V2461+"'E4!0WL"</f>
        <v>#VALUE!</v>
      </c>
      <c r="FF295" t="e">
        <f>Stock!V2462+"'E4!0WM"</f>
        <v>#VALUE!</v>
      </c>
      <c r="FG295" t="e">
        <f>Stock!V2463+"'E4!0WN"</f>
        <v>#VALUE!</v>
      </c>
      <c r="FH295" t="e">
        <f>Stock!V2464+"'E4!0WO"</f>
        <v>#VALUE!</v>
      </c>
      <c r="FI295" t="e">
        <f>Stock!V2465+"'E4!0WP"</f>
        <v>#VALUE!</v>
      </c>
      <c r="FJ295" t="e">
        <f>Stock!V2466+"'E4!0WQ"</f>
        <v>#VALUE!</v>
      </c>
      <c r="FK295" t="e">
        <f>Stock!V2467+"'E4!0WR"</f>
        <v>#VALUE!</v>
      </c>
      <c r="FL295" t="e">
        <f>Stock!V2468+"'E4!0WS"</f>
        <v>#VALUE!</v>
      </c>
      <c r="FM295" t="e">
        <f>Stock!V2469+"'E4!0WT"</f>
        <v>#VALUE!</v>
      </c>
      <c r="FN295" t="e">
        <f>Stock!V2470+"'E4!0WU"</f>
        <v>#VALUE!</v>
      </c>
      <c r="FO295" t="e">
        <f>Stock!V2471+"'E4!0WV"</f>
        <v>#VALUE!</v>
      </c>
      <c r="FP295" t="e">
        <f>Stock!V2472+"'E4!0WW"</f>
        <v>#VALUE!</v>
      </c>
      <c r="FQ295" t="e">
        <f>Stock!V2473+"'E4!0WX"</f>
        <v>#VALUE!</v>
      </c>
      <c r="FR295" t="e">
        <f>Stock!V2474+"'E4!0WY"</f>
        <v>#VALUE!</v>
      </c>
      <c r="FS295" t="e">
        <f>Stock!V2475+"'E4!0WZ"</f>
        <v>#VALUE!</v>
      </c>
      <c r="FT295" t="e">
        <f>Stock!V2476+"'E4!0W["</f>
        <v>#VALUE!</v>
      </c>
      <c r="FU295" t="e">
        <f>Stock!V2477+"'E4!0W\"</f>
        <v>#VALUE!</v>
      </c>
      <c r="FV295" t="e">
        <f>Stock!V2478+"'E4!0W]"</f>
        <v>#VALUE!</v>
      </c>
      <c r="FW295" t="e">
        <f>Stock!V2479+"'E4!0W^"</f>
        <v>#VALUE!</v>
      </c>
      <c r="FX295" t="e">
        <f>Stock!V2480+"'E4!0W_"</f>
        <v>#VALUE!</v>
      </c>
      <c r="FY295" t="e">
        <f>Stock!V2481+"'E4!0W`"</f>
        <v>#VALUE!</v>
      </c>
      <c r="FZ295" t="e">
        <f>Stock!V2482+"'E4!0Wa"</f>
        <v>#VALUE!</v>
      </c>
      <c r="GA295" t="e">
        <f>Stock!V2483+"'E4!0Wb"</f>
        <v>#VALUE!</v>
      </c>
      <c r="GB295" t="e">
        <f>Stock!V2484+"'E4!0Wc"</f>
        <v>#VALUE!</v>
      </c>
      <c r="GC295" t="e">
        <f>Stock!V2485+"'E4!0Wd"</f>
        <v>#VALUE!</v>
      </c>
      <c r="GD295" t="e">
        <f>Stock!V2486+"'E4!0We"</f>
        <v>#VALUE!</v>
      </c>
      <c r="GE295" t="e">
        <f>Stock!V2487+"'E4!0Wf"</f>
        <v>#VALUE!</v>
      </c>
      <c r="GF295" t="e">
        <f>Stock!V2488+"'E4!0Wg"</f>
        <v>#VALUE!</v>
      </c>
      <c r="GG295" t="e">
        <f>Stock!V2489+"'E4!0Wh"</f>
        <v>#VALUE!</v>
      </c>
      <c r="GH295" t="e">
        <f>Stock!V2490+"'E4!0Wi"</f>
        <v>#VALUE!</v>
      </c>
      <c r="GI295" t="e">
        <f>Stock!V2491+"'E4!0Wj"</f>
        <v>#VALUE!</v>
      </c>
      <c r="GJ295" t="e">
        <f>Stock!V2492+"'E4!0Wk"</f>
        <v>#VALUE!</v>
      </c>
      <c r="GK295" t="e">
        <f>Stock!V2493+"'E4!0Wl"</f>
        <v>#VALUE!</v>
      </c>
      <c r="GL295" t="e">
        <f>Stock!V2494+"'E4!0Wm"</f>
        <v>#VALUE!</v>
      </c>
      <c r="GM295" t="e">
        <f>Stock!V2495+"'E4!0Wn"</f>
        <v>#VALUE!</v>
      </c>
      <c r="GN295" t="e">
        <f>Stock!V2496+"'E4!0Wo"</f>
        <v>#VALUE!</v>
      </c>
      <c r="GO295" t="e">
        <f>Stock!V2497+"'E4!0Wp"</f>
        <v>#VALUE!</v>
      </c>
      <c r="GP295" t="e">
        <f>Stock!V2498+"'E4!0Wq"</f>
        <v>#VALUE!</v>
      </c>
      <c r="GQ295" t="e">
        <f>Stock!V2499+"'E4!0Wr"</f>
        <v>#VALUE!</v>
      </c>
      <c r="GR295" t="e">
        <f>Stock!V2500+"'E4!0Ws"</f>
        <v>#VALUE!</v>
      </c>
      <c r="GS295" t="e">
        <f>Stock!V2501+"'E4!0Wt"</f>
        <v>#VALUE!</v>
      </c>
      <c r="GT295" t="e">
        <f>Stock!V2502+"'E4!0Wu"</f>
        <v>#VALUE!</v>
      </c>
      <c r="GU295" t="e">
        <f>Stock!V2503+"'E4!0Wv"</f>
        <v>#VALUE!</v>
      </c>
      <c r="GV295" t="e">
        <f>Stock!V2504+"'E4!0Ww"</f>
        <v>#VALUE!</v>
      </c>
      <c r="GW295" t="e">
        <f>Stock!V2505+"'E4!0Wx"</f>
        <v>#VALUE!</v>
      </c>
      <c r="GX295" t="e">
        <f>Stock!V2506+"'E4!0Wy"</f>
        <v>#VALUE!</v>
      </c>
      <c r="GY295" t="e">
        <f>Stock!V2507+"'E4!0Wz"</f>
        <v>#VALUE!</v>
      </c>
      <c r="GZ295" t="e">
        <f>Stock!V2508+"'E4!0W{"</f>
        <v>#VALUE!</v>
      </c>
      <c r="HA295" t="e">
        <f>Stock!V2509+"'E4!0W|"</f>
        <v>#VALUE!</v>
      </c>
      <c r="HB295" t="e">
        <f>Stock!V2510+"'E4!0W}"</f>
        <v>#VALUE!</v>
      </c>
      <c r="HC295" t="e">
        <f>Stock!V2511+"'E4!0W~"</f>
        <v>#VALUE!</v>
      </c>
      <c r="HD295" t="e">
        <f>Stock!V2512+"'E4!0X#"</f>
        <v>#VALUE!</v>
      </c>
      <c r="HE295" t="e">
        <f>Stock!V2513+"'E4!0X$"</f>
        <v>#VALUE!</v>
      </c>
      <c r="HF295" t="e">
        <f>Stock!V2514+"'E4!0X%"</f>
        <v>#VALUE!</v>
      </c>
      <c r="HG295" t="e">
        <f>Stock!V2515+"'E4!0X&amp;"</f>
        <v>#VALUE!</v>
      </c>
      <c r="HH295" t="e">
        <f>Stock!V2516+"'E4!0X'"</f>
        <v>#VALUE!</v>
      </c>
      <c r="HI295" t="e">
        <f>Stock!V2517+"'E4!0X("</f>
        <v>#VALUE!</v>
      </c>
      <c r="HJ295" t="e">
        <f>Stock!V2518+"'E4!0X)"</f>
        <v>#VALUE!</v>
      </c>
      <c r="HK295" t="e">
        <f>Stock!V2519+"'E4!0X."</f>
        <v>#VALUE!</v>
      </c>
      <c r="HL295" t="e">
        <f>Stock!V2520+"'E4!0X/"</f>
        <v>#VALUE!</v>
      </c>
      <c r="HM295" t="e">
        <f>Stock!V2521+"'E4!0X0"</f>
        <v>#VALUE!</v>
      </c>
      <c r="HN295" t="e">
        <f>Stock!V2522+"'E4!0X1"</f>
        <v>#VALUE!</v>
      </c>
      <c r="HO295" t="e">
        <f>Stock!V2523+"'E4!0X2"</f>
        <v>#VALUE!</v>
      </c>
      <c r="HP295" t="e">
        <f>Stock!V2524+"'E4!0X3"</f>
        <v>#VALUE!</v>
      </c>
      <c r="HQ295" t="e">
        <f>Stock!V2525+"'E4!0X4"</f>
        <v>#VALUE!</v>
      </c>
      <c r="HR295" t="e">
        <f>Stock!V2526+"'E4!0X5"</f>
        <v>#VALUE!</v>
      </c>
      <c r="HS295" t="e">
        <f>Stock!V2527+"'E4!0X6"</f>
        <v>#VALUE!</v>
      </c>
      <c r="HT295" t="e">
        <f>Stock!V2528+"'E4!0X7"</f>
        <v>#VALUE!</v>
      </c>
      <c r="HU295" t="e">
        <f>Stock!V2529+"'E4!0X8"</f>
        <v>#VALUE!</v>
      </c>
      <c r="HV295" t="e">
        <f>Stock!V2530+"'E4!0X9"</f>
        <v>#VALUE!</v>
      </c>
      <c r="HW295" t="e">
        <f>Stock!V2531+"'E4!0X:"</f>
        <v>#VALUE!</v>
      </c>
      <c r="HX295" t="e">
        <f>Stock!V2532+"'E4!0X;"</f>
        <v>#VALUE!</v>
      </c>
      <c r="HY295" t="e">
        <f>Stock!V2533+"'E4!0X&lt;"</f>
        <v>#VALUE!</v>
      </c>
      <c r="HZ295" t="e">
        <f>Stock!V2534+"'E4!0X="</f>
        <v>#VALUE!</v>
      </c>
      <c r="IA295" t="e">
        <f>Stock!V2535+"'E4!0X&gt;"</f>
        <v>#VALUE!</v>
      </c>
      <c r="IB295" t="e">
        <f>Stock!V2536+"'E4!0X?"</f>
        <v>#VALUE!</v>
      </c>
      <c r="IC295" t="e">
        <f>Stock!V2537+"'E4!0X@"</f>
        <v>#VALUE!</v>
      </c>
      <c r="ID295" t="e">
        <f>Stock!V2538+"'E4!0XA"</f>
        <v>#VALUE!</v>
      </c>
      <c r="IE295" t="e">
        <f>Stock!V2539+"'E4!0XB"</f>
        <v>#VALUE!</v>
      </c>
      <c r="IF295" t="e">
        <f>Stock!V2540+"'E4!0XC"</f>
        <v>#VALUE!</v>
      </c>
      <c r="IG295" t="e">
        <f>Stock!V2541+"'E4!0XD"</f>
        <v>#VALUE!</v>
      </c>
      <c r="IH295" t="e">
        <f>Stock!V2542+"'E4!0XE"</f>
        <v>#VALUE!</v>
      </c>
      <c r="II295" t="e">
        <f>Stock!V2543+"'E4!0XF"</f>
        <v>#VALUE!</v>
      </c>
      <c r="IJ295" t="e">
        <f>Stock!V2544+"'E4!0XG"</f>
        <v>#VALUE!</v>
      </c>
      <c r="IK295" t="e">
        <f>Stock!V2545+"'E4!0XH"</f>
        <v>#VALUE!</v>
      </c>
      <c r="IL295" t="e">
        <f>Stock!V2546+"'E4!0XI"</f>
        <v>#VALUE!</v>
      </c>
      <c r="IM295" t="e">
        <f>Stock!V2547+"'E4!0XJ"</f>
        <v>#VALUE!</v>
      </c>
      <c r="IN295" t="e">
        <f>Stock!V2548+"'E4!0XK"</f>
        <v>#VALUE!</v>
      </c>
      <c r="IO295" t="e">
        <f>Stock!V2549+"'E4!0XL"</f>
        <v>#VALUE!</v>
      </c>
      <c r="IP295" t="e">
        <f>Stock!V2550+"'E4!0XM"</f>
        <v>#VALUE!</v>
      </c>
      <c r="IQ295" t="e">
        <f>Stock!V2551+"'E4!0XN"</f>
        <v>#VALUE!</v>
      </c>
      <c r="IR295" t="e">
        <f>Stock!V2552+"'E4!0XO"</f>
        <v>#VALUE!</v>
      </c>
      <c r="IS295" t="e">
        <f>Stock!V2553+"'E4!0XP"</f>
        <v>#VALUE!</v>
      </c>
      <c r="IT295" t="e">
        <f>Stock!V2554+"'E4!0XQ"</f>
        <v>#VALUE!</v>
      </c>
      <c r="IU295" t="e">
        <f>Stock!V2555+"'E4!0XR"</f>
        <v>#VALUE!</v>
      </c>
      <c r="IV295" t="e">
        <f>Stock!V2556+"'E4!0XS"</f>
        <v>#VALUE!</v>
      </c>
    </row>
    <row r="296" spans="6:256">
      <c r="F296" t="e">
        <f>Stock!V2557+"'E4!0XT"</f>
        <v>#VALUE!</v>
      </c>
      <c r="G296" t="e">
        <f>Stock!V2558+"'E4!0XU"</f>
        <v>#VALUE!</v>
      </c>
      <c r="H296" t="e">
        <f>Stock!V2559+"'E4!0XV"</f>
        <v>#VALUE!</v>
      </c>
      <c r="I296" t="e">
        <f>Stock!V2560+"'E4!0XW"</f>
        <v>#VALUE!</v>
      </c>
      <c r="J296" t="e">
        <f>Stock!V2561+"'E4!0XX"</f>
        <v>#VALUE!</v>
      </c>
      <c r="K296" t="e">
        <f>Stock!V2562+"'E4!0XY"</f>
        <v>#VALUE!</v>
      </c>
      <c r="L296" t="e">
        <f>Stock!V2563+"'E4!0XZ"</f>
        <v>#VALUE!</v>
      </c>
      <c r="M296" t="e">
        <f>Stock!V2564+"'E4!0X["</f>
        <v>#VALUE!</v>
      </c>
      <c r="N296" t="e">
        <f>Stock!V2565+"'E4!0X\"</f>
        <v>#VALUE!</v>
      </c>
      <c r="O296" t="e">
        <f>Stock!V2566+"'E4!0X]"</f>
        <v>#VALUE!</v>
      </c>
      <c r="P296" t="e">
        <f>Stock!V2567+"'E4!0X^"</f>
        <v>#VALUE!</v>
      </c>
      <c r="Q296" t="e">
        <f>Stock!V2568+"'E4!0X_"</f>
        <v>#VALUE!</v>
      </c>
      <c r="R296" t="e">
        <f>Stock!V2569+"'E4!0X`"</f>
        <v>#VALUE!</v>
      </c>
      <c r="S296" t="e">
        <f>Stock!V2570+"'E4!0Xa"</f>
        <v>#VALUE!</v>
      </c>
      <c r="T296" t="e">
        <f>Stock!V2571+"'E4!0Xb"</f>
        <v>#VALUE!</v>
      </c>
      <c r="U296" t="e">
        <f>Stock!V2572+"'E4!0Xc"</f>
        <v>#VALUE!</v>
      </c>
      <c r="V296" t="e">
        <f>Stock!V2573+"'E4!0Xd"</f>
        <v>#VALUE!</v>
      </c>
      <c r="W296" t="e">
        <f>Stock!V2574+"'E4!0Xe"</f>
        <v>#VALUE!</v>
      </c>
      <c r="X296" t="e">
        <f>Stock!V2575+"'E4!0Xf"</f>
        <v>#VALUE!</v>
      </c>
      <c r="Y296" t="e">
        <f>Stock!V2576+"'E4!0Xg"</f>
        <v>#VALUE!</v>
      </c>
      <c r="Z296" t="e">
        <f>Stock!V2577+"'E4!0Xh"</f>
        <v>#VALUE!</v>
      </c>
      <c r="AA296" t="e">
        <f>Stock!V2578+"'E4!0Xi"</f>
        <v>#VALUE!</v>
      </c>
      <c r="AB296" t="e">
        <f>Stock!V2579+"'E4!0Xj"</f>
        <v>#VALUE!</v>
      </c>
      <c r="AC296" t="e">
        <f>Stock!V2580+"'E4!0Xk"</f>
        <v>#VALUE!</v>
      </c>
      <c r="AD296" t="e">
        <f>Stock!V2581+"'E4!0Xl"</f>
        <v>#VALUE!</v>
      </c>
      <c r="AE296" t="e">
        <f>Stock!V2582+"'E4!0Xm"</f>
        <v>#VALUE!</v>
      </c>
      <c r="AF296" t="e">
        <f>Stock!V2583+"'E4!0Xn"</f>
        <v>#VALUE!</v>
      </c>
      <c r="AG296" t="e">
        <f>Stock!V2584+"'E4!0Xo"</f>
        <v>#VALUE!</v>
      </c>
      <c r="AH296" t="e">
        <f>Stock!V2585+"'E4!0Xp"</f>
        <v>#VALUE!</v>
      </c>
      <c r="AI296" t="e">
        <f>Stock!V2586+"'E4!0Xq"</f>
        <v>#VALUE!</v>
      </c>
      <c r="AJ296" t="e">
        <f>Stock!V2587+"'E4!0Xr"</f>
        <v>#VALUE!</v>
      </c>
      <c r="AK296" t="e">
        <f>Stock!V2588+"'E4!0Xs"</f>
        <v>#VALUE!</v>
      </c>
      <c r="AL296" t="e">
        <f>Stock!V2589+"'E4!0Xt"</f>
        <v>#VALUE!</v>
      </c>
      <c r="AM296" t="e">
        <f>Stock!V2590+"'E4!0Xu"</f>
        <v>#VALUE!</v>
      </c>
      <c r="AN296" t="e">
        <f>Stock!V2591+"'E4!0Xv"</f>
        <v>#VALUE!</v>
      </c>
      <c r="AO296" t="e">
        <f>Stock!V2592+"'E4!0Xw"</f>
        <v>#VALUE!</v>
      </c>
      <c r="AP296" t="e">
        <f>Stock!V2593+"'E4!0Xx"</f>
        <v>#VALUE!</v>
      </c>
      <c r="AQ296" t="e">
        <f>Stock!V2594+"'E4!0Xy"</f>
        <v>#VALUE!</v>
      </c>
      <c r="AR296" t="e">
        <f>Stock!V2595+"'E4!0Xz"</f>
        <v>#VALUE!</v>
      </c>
      <c r="AS296" t="e">
        <f>Stock!V2596+"'E4!0X{"</f>
        <v>#VALUE!</v>
      </c>
      <c r="AT296" t="e">
        <f>Stock!V2597+"'E4!0X|"</f>
        <v>#VALUE!</v>
      </c>
      <c r="AU296" t="e">
        <f>Stock!V2598+"'E4!0X}"</f>
        <v>#VALUE!</v>
      </c>
      <c r="AV296" t="e">
        <f>Stock!V2599+"'E4!0X~"</f>
        <v>#VALUE!</v>
      </c>
      <c r="AW296" t="e">
        <f>Stock!V2600+"'E4!0Y#"</f>
        <v>#VALUE!</v>
      </c>
      <c r="AX296" t="e">
        <f>Stock!V2601+"'E4!0Y$"</f>
        <v>#VALUE!</v>
      </c>
      <c r="AY296" t="e">
        <f>Stock!V2602+"'E4!0Y%"</f>
        <v>#VALUE!</v>
      </c>
      <c r="AZ296" t="e">
        <f>Stock!V2603+"'E4!0Y&amp;"</f>
        <v>#VALUE!</v>
      </c>
      <c r="BA296" t="e">
        <f>Stock!V2604+"'E4!0Y'"</f>
        <v>#VALUE!</v>
      </c>
      <c r="BB296" t="e">
        <f>Stock!V2605+"'E4!0Y("</f>
        <v>#VALUE!</v>
      </c>
      <c r="BC296" t="e">
        <f>Stock!V2606+"'E4!0Y)"</f>
        <v>#VALUE!</v>
      </c>
      <c r="BD296" t="e">
        <f>Stock!V2607+"'E4!0Y."</f>
        <v>#VALUE!</v>
      </c>
      <c r="BE296" t="e">
        <f>Stock!V2608+"'E4!0Y/"</f>
        <v>#VALUE!</v>
      </c>
      <c r="BF296" t="e">
        <f>Stock!V2609+"'E4!0Y0"</f>
        <v>#VALUE!</v>
      </c>
      <c r="BG296" t="e">
        <f>Stock!V2610+"'E4!0Y1"</f>
        <v>#VALUE!</v>
      </c>
      <c r="BH296" t="e">
        <f>Stock!V2611+"'E4!0Y2"</f>
        <v>#VALUE!</v>
      </c>
      <c r="BI296" t="e">
        <f>Stock!V2612+"'E4!0Y3"</f>
        <v>#VALUE!</v>
      </c>
      <c r="BJ296" t="e">
        <f>Stock!V2613+"'E4!0Y4"</f>
        <v>#VALUE!</v>
      </c>
      <c r="BK296" t="e">
        <f>Stock!V2614+"'E4!0Y5"</f>
        <v>#VALUE!</v>
      </c>
      <c r="BL296" t="e">
        <f>Stock!V2615+"'E4!0Y6"</f>
        <v>#VALUE!</v>
      </c>
      <c r="BM296" t="e">
        <f>Stock!V2616+"'E4!0Y7"</f>
        <v>#VALUE!</v>
      </c>
      <c r="BN296" t="e">
        <f>Stock!V2617+"'E4!0Y8"</f>
        <v>#VALUE!</v>
      </c>
      <c r="BO296" t="e">
        <f>Stock!V2618+"'E4!0Y9"</f>
        <v>#VALUE!</v>
      </c>
      <c r="BP296" t="e">
        <f>Stock!V2619+"'E4!0Y:"</f>
        <v>#VALUE!</v>
      </c>
      <c r="BQ296" t="e">
        <f>Stock!V2620+"'E4!0Y;"</f>
        <v>#VALUE!</v>
      </c>
      <c r="BR296" t="e">
        <f>Stock!V2621+"'E4!0Y&lt;"</f>
        <v>#VALUE!</v>
      </c>
      <c r="BS296" t="e">
        <f>Stock!V2622+"'E4!0Y="</f>
        <v>#VALUE!</v>
      </c>
      <c r="BT296" t="e">
        <f>Stock!V2623+"'E4!0Y&gt;"</f>
        <v>#VALUE!</v>
      </c>
      <c r="BU296" t="e">
        <f>Stock!V2624+"'E4!0Y?"</f>
        <v>#VALUE!</v>
      </c>
      <c r="BV296" t="e">
        <f>Stock!V2625+"'E4!0Y@"</f>
        <v>#VALUE!</v>
      </c>
      <c r="BW296" t="e">
        <f>Stock!V2626+"'E4!0YA"</f>
        <v>#VALUE!</v>
      </c>
      <c r="BX296" t="e">
        <f>Stock!V2627+"'E4!0YB"</f>
        <v>#VALUE!</v>
      </c>
      <c r="BY296" t="e">
        <f>Stock!V2628+"'E4!0YC"</f>
        <v>#VALUE!</v>
      </c>
      <c r="BZ296" t="e">
        <f>Stock!V2629+"'E4!0YD"</f>
        <v>#VALUE!</v>
      </c>
      <c r="CA296" t="e">
        <f>Stock!V2630+"'E4!0YE"</f>
        <v>#VALUE!</v>
      </c>
      <c r="CB296" t="e">
        <f>Stock!V2631+"'E4!0YF"</f>
        <v>#VALUE!</v>
      </c>
      <c r="CC296" t="e">
        <f>Stock!V2632+"'E4!0YG"</f>
        <v>#VALUE!</v>
      </c>
      <c r="CD296" t="e">
        <f>Stock!V2633+"'E4!0YH"</f>
        <v>#VALUE!</v>
      </c>
      <c r="CE296" t="e">
        <f>Stock!V2634+"'E4!0YI"</f>
        <v>#VALUE!</v>
      </c>
      <c r="CF296" t="e">
        <f>Stock!V2635+"'E4!0YJ"</f>
        <v>#VALUE!</v>
      </c>
      <c r="CG296" t="e">
        <f>Stock!V2636+"'E4!0YK"</f>
        <v>#VALUE!</v>
      </c>
      <c r="CH296" t="e">
        <f>Stock!V2637+"'E4!0YL"</f>
        <v>#VALUE!</v>
      </c>
      <c r="CI296" t="e">
        <f>Stock!V2638+"'E4!0YM"</f>
        <v>#VALUE!</v>
      </c>
      <c r="CJ296" t="e">
        <f>Stock!V2639+"'E4!0YN"</f>
        <v>#VALUE!</v>
      </c>
      <c r="CK296" t="e">
        <f>Stock!V2640+"'E4!0YO"</f>
        <v>#VALUE!</v>
      </c>
      <c r="CL296" t="e">
        <f>Stock!V2641+"'E4!0YP"</f>
        <v>#VALUE!</v>
      </c>
      <c r="CM296" t="e">
        <f>Stock!V2642+"'E4!0YQ"</f>
        <v>#VALUE!</v>
      </c>
      <c r="CN296" t="e">
        <f>Stock!V2643+"'E4!0YR"</f>
        <v>#VALUE!</v>
      </c>
      <c r="CO296" t="e">
        <f>Stock!V2644+"'E4!0YS"</f>
        <v>#VALUE!</v>
      </c>
      <c r="CP296" t="e">
        <f>Stock!V2645+"'E4!0YT"</f>
        <v>#VALUE!</v>
      </c>
      <c r="CQ296" t="e">
        <f>Stock!V2646+"'E4!0YU"</f>
        <v>#VALUE!</v>
      </c>
      <c r="CR296" t="e">
        <f>Stock!V2647+"'E4!0YV"</f>
        <v>#VALUE!</v>
      </c>
      <c r="CS296" t="e">
        <f>Stock!V2648+"'E4!0YW"</f>
        <v>#VALUE!</v>
      </c>
      <c r="CT296" t="e">
        <f>Stock!V2649+"'E4!0YX"</f>
        <v>#VALUE!</v>
      </c>
      <c r="CU296" t="e">
        <f>Stock!V2650+"'E4!0YY"</f>
        <v>#VALUE!</v>
      </c>
      <c r="CV296" t="e">
        <f>Stock!V2651+"'E4!0YZ"</f>
        <v>#VALUE!</v>
      </c>
      <c r="CW296" t="e">
        <f>Stock!V2652+"'E4!0Y["</f>
        <v>#VALUE!</v>
      </c>
      <c r="CX296" t="e">
        <f>Stock!V2653+"'E4!0Y\"</f>
        <v>#VALUE!</v>
      </c>
      <c r="CY296" t="e">
        <f>Stock!V2654+"'E4!0Y]"</f>
        <v>#VALUE!</v>
      </c>
      <c r="CZ296" t="e">
        <f>Stock!V2655+"'E4!0Y^"</f>
        <v>#VALUE!</v>
      </c>
      <c r="DA296" t="e">
        <f>Stock!V2656+"'E4!0Y_"</f>
        <v>#VALUE!</v>
      </c>
      <c r="DB296" t="e">
        <f>Stock!V2657+"'E4!0Y`"</f>
        <v>#VALUE!</v>
      </c>
      <c r="DC296" t="e">
        <f>Stock!V2658+"'E4!0Ya"</f>
        <v>#VALUE!</v>
      </c>
      <c r="DD296" t="e">
        <f>Stock!V2659+"'E4!0Yb"</f>
        <v>#VALUE!</v>
      </c>
      <c r="DE296" t="e">
        <f>Stock!V2660+"'E4!0Yc"</f>
        <v>#VALUE!</v>
      </c>
      <c r="DF296" t="e">
        <f>Stock!V2661+"'E4!0Yd"</f>
        <v>#VALUE!</v>
      </c>
      <c r="DG296" t="e">
        <f>Stock!V2662+"'E4!0Ye"</f>
        <v>#VALUE!</v>
      </c>
      <c r="DH296" t="e">
        <f>Stock!V2663+"'E4!0Yf"</f>
        <v>#VALUE!</v>
      </c>
      <c r="DI296" t="e">
        <f>Stock!V2664+"'E4!0Yg"</f>
        <v>#VALUE!</v>
      </c>
      <c r="DJ296" t="e">
        <f>Stock!V2665+"'E4!0Yh"</f>
        <v>#VALUE!</v>
      </c>
      <c r="DK296" t="e">
        <f>Stock!V2666+"'E4!0Yi"</f>
        <v>#VALUE!</v>
      </c>
      <c r="DL296" t="e">
        <f>Stock!V2667+"'E4!0Yj"</f>
        <v>#VALUE!</v>
      </c>
      <c r="DM296" t="e">
        <f>Stock!V2668+"'E4!0Yk"</f>
        <v>#VALUE!</v>
      </c>
      <c r="DN296" t="e">
        <f>Stock!V2669+"'E4!0Yl"</f>
        <v>#VALUE!</v>
      </c>
      <c r="DO296" t="e">
        <f>Stock!V2670+"'E4!0Ym"</f>
        <v>#VALUE!</v>
      </c>
      <c r="DP296" t="e">
        <f>Stock!V2671+"'E4!0Yn"</f>
        <v>#VALUE!</v>
      </c>
      <c r="DQ296" t="e">
        <f>Stock!V2672+"'E4!0Yo"</f>
        <v>#VALUE!</v>
      </c>
      <c r="DR296" t="e">
        <f>Stock!V2673+"'E4!0Yp"</f>
        <v>#VALUE!</v>
      </c>
      <c r="DS296" t="e">
        <f>Stock!V2674+"'E4!0Yq"</f>
        <v>#VALUE!</v>
      </c>
      <c r="DT296" t="e">
        <f>Stock!V2675+"'E4!0Yr"</f>
        <v>#VALUE!</v>
      </c>
      <c r="DU296" t="e">
        <f>Stock!V2676+"'E4!0Ys"</f>
        <v>#VALUE!</v>
      </c>
      <c r="DV296" t="e">
        <f>Stock!V2677+"'E4!0Yt"</f>
        <v>#VALUE!</v>
      </c>
      <c r="DW296" t="e">
        <f>Stock!V2678+"'E4!0Yu"</f>
        <v>#VALUE!</v>
      </c>
      <c r="DX296" t="e">
        <f>Stock!V2679+"'E4!0Yv"</f>
        <v>#VALUE!</v>
      </c>
      <c r="DY296" t="e">
        <f>Stock!V2680+"'E4!0Yw"</f>
        <v>#VALUE!</v>
      </c>
      <c r="DZ296" t="e">
        <f>Stock!V2681+"'E4!0Yx"</f>
        <v>#VALUE!</v>
      </c>
      <c r="EA296" t="e">
        <f>Stock!V2682+"'E4!0Yy"</f>
        <v>#VALUE!</v>
      </c>
      <c r="EB296" t="e">
        <f>Stock!V2683+"'E4!0Yz"</f>
        <v>#VALUE!</v>
      </c>
      <c r="EC296" t="e">
        <f>Stock!V2684+"'E4!0Y{"</f>
        <v>#VALUE!</v>
      </c>
      <c r="ED296" t="e">
        <f>Stock!V2685+"'E4!0Y|"</f>
        <v>#VALUE!</v>
      </c>
      <c r="EE296" t="e">
        <f>Stock!V2686+"'E4!0Y}"</f>
        <v>#VALUE!</v>
      </c>
      <c r="EF296" t="e">
        <f>Stock!V2687+"'E4!0Y~"</f>
        <v>#VALUE!</v>
      </c>
      <c r="EG296" t="e">
        <f>Stock!V2688+"'E4!0Z#"</f>
        <v>#VALUE!</v>
      </c>
      <c r="EH296" t="e">
        <f>Stock!V2689+"'E4!0Z$"</f>
        <v>#VALUE!</v>
      </c>
      <c r="EI296" t="e">
        <f>Stock!V2690+"'E4!0Z%"</f>
        <v>#VALUE!</v>
      </c>
      <c r="EJ296" t="e">
        <f>Stock!V2691+"'E4!0Z&amp;"</f>
        <v>#VALUE!</v>
      </c>
      <c r="EK296" t="e">
        <f>Stock!V2692+"'E4!0Z'"</f>
        <v>#VALUE!</v>
      </c>
      <c r="EL296" t="e">
        <f>Stock!V2693+"'E4!0Z("</f>
        <v>#VALUE!</v>
      </c>
      <c r="EM296" t="e">
        <f>Stock!V2694+"'E4!0Z)"</f>
        <v>#VALUE!</v>
      </c>
      <c r="EN296" t="e">
        <f>Stock!V2695+"'E4!0Z."</f>
        <v>#VALUE!</v>
      </c>
      <c r="EO296" t="e">
        <f>Stock!V2696+"'E4!0Z/"</f>
        <v>#VALUE!</v>
      </c>
      <c r="EP296" t="e">
        <f>Stock!V2697+"'E4!0Z0"</f>
        <v>#VALUE!</v>
      </c>
      <c r="EQ296" t="e">
        <f>Stock!V2698+"'E4!0Z1"</f>
        <v>#VALUE!</v>
      </c>
      <c r="ER296" t="e">
        <f>Stock!V2699+"'E4!0Z2"</f>
        <v>#VALUE!</v>
      </c>
      <c r="ES296" t="e">
        <f>Stock!V2700+"'E4!0Z3"</f>
        <v>#VALUE!</v>
      </c>
      <c r="ET296" t="e">
        <f>Stock!V2701+"'E4!0Z4"</f>
        <v>#VALUE!</v>
      </c>
      <c r="EU296" t="e">
        <f>Stock!V2702+"'E4!0Z5"</f>
        <v>#VALUE!</v>
      </c>
      <c r="EV296" t="e">
        <f>Stock!V2703+"'E4!0Z6"</f>
        <v>#VALUE!</v>
      </c>
      <c r="EW296" t="e">
        <f>Stock!V2704+"'E4!0Z7"</f>
        <v>#VALUE!</v>
      </c>
      <c r="EX296" t="e">
        <f>Stock!V2705+"'E4!0Z8"</f>
        <v>#VALUE!</v>
      </c>
      <c r="EY296" t="e">
        <f>Stock!V2706+"'E4!0Z9"</f>
        <v>#VALUE!</v>
      </c>
      <c r="EZ296" t="e">
        <f>Stock!V2707+"'E4!0Z:"</f>
        <v>#VALUE!</v>
      </c>
      <c r="FA296" t="e">
        <f>Stock!V2708+"'E4!0Z;"</f>
        <v>#VALUE!</v>
      </c>
      <c r="FB296" t="e">
        <f>Stock!V2709+"'E4!0Z&lt;"</f>
        <v>#VALUE!</v>
      </c>
      <c r="FC296" t="e">
        <f>Stock!V2710+"'E4!0Z="</f>
        <v>#VALUE!</v>
      </c>
      <c r="FD296" t="e">
        <f>Stock!V2711+"'E4!0Z&gt;"</f>
        <v>#VALUE!</v>
      </c>
      <c r="FE296" t="e">
        <f>Stock!V2712+"'E4!0Z?"</f>
        <v>#VALUE!</v>
      </c>
      <c r="FF296" t="e">
        <f>Stock!V2713+"'E4!0Z@"</f>
        <v>#VALUE!</v>
      </c>
      <c r="FG296" t="e">
        <f>Stock!V2714+"'E4!0ZA"</f>
        <v>#VALUE!</v>
      </c>
      <c r="FH296" t="e">
        <f>Stock!V2715+"'E4!0ZB"</f>
        <v>#VALUE!</v>
      </c>
      <c r="FI296" t="e">
        <f>Stock!V2716+"'E4!0ZC"</f>
        <v>#VALUE!</v>
      </c>
      <c r="FJ296" t="e">
        <f>Stock!V2717+"'E4!0ZD"</f>
        <v>#VALUE!</v>
      </c>
      <c r="FK296" t="e">
        <f>Stock!V2718+"'E4!0ZE"</f>
        <v>#VALUE!</v>
      </c>
      <c r="FL296" t="e">
        <f>Stock!V2719+"'E4!0ZF"</f>
        <v>#VALUE!</v>
      </c>
      <c r="FM296" t="e">
        <f>Stock!V2720+"'E4!0ZG"</f>
        <v>#VALUE!</v>
      </c>
      <c r="FN296" t="e">
        <f>Stock!V2721+"'E4!0ZH"</f>
        <v>#VALUE!</v>
      </c>
      <c r="FO296" t="e">
        <f>Stock!V2722+"'E4!0ZI"</f>
        <v>#VALUE!</v>
      </c>
      <c r="FP296" t="e">
        <f>Stock!V2723+"'E4!0ZJ"</f>
        <v>#VALUE!</v>
      </c>
      <c r="FQ296" t="e">
        <f>Stock!V2724+"'E4!0ZK"</f>
        <v>#VALUE!</v>
      </c>
      <c r="FR296" t="e">
        <f>Stock!V2725+"'E4!0ZL"</f>
        <v>#VALUE!</v>
      </c>
      <c r="FS296" t="e">
        <f>Stock!V2726+"'E4!0ZM"</f>
        <v>#VALUE!</v>
      </c>
      <c r="FT296" t="e">
        <f>Stock!V2727+"'E4!0ZN"</f>
        <v>#VALUE!</v>
      </c>
      <c r="FU296" t="e">
        <f>Stock!V2728+"'E4!0ZO"</f>
        <v>#VALUE!</v>
      </c>
      <c r="FV296" t="e">
        <f>Stock!V2729+"'E4!0ZP"</f>
        <v>#VALUE!</v>
      </c>
      <c r="FW296" t="e">
        <f>Stock!V2730+"'E4!0ZQ"</f>
        <v>#VALUE!</v>
      </c>
      <c r="FX296" t="e">
        <f>Stock!V2731+"'E4!0ZR"</f>
        <v>#VALUE!</v>
      </c>
      <c r="FY296" t="e">
        <f>Stock!V2732+"'E4!0ZS"</f>
        <v>#VALUE!</v>
      </c>
      <c r="FZ296" t="e">
        <f>Stock!V2733+"'E4!0ZT"</f>
        <v>#VALUE!</v>
      </c>
      <c r="GA296" t="e">
        <f>Stock!V2734+"'E4!0ZU"</f>
        <v>#VALUE!</v>
      </c>
      <c r="GB296" t="e">
        <f>Stock!V2735+"'E4!0ZV"</f>
        <v>#VALUE!</v>
      </c>
      <c r="GC296" t="e">
        <f>Stock!V2736+"'E4!0ZW"</f>
        <v>#VALUE!</v>
      </c>
      <c r="GD296" t="e">
        <f>Stock!V2737+"'E4!0ZX"</f>
        <v>#VALUE!</v>
      </c>
      <c r="GE296" t="e">
        <f>Stock!V2738+"'E4!0ZY"</f>
        <v>#VALUE!</v>
      </c>
      <c r="GF296" t="e">
        <f>Stock!V2739+"'E4!0ZZ"</f>
        <v>#VALUE!</v>
      </c>
      <c r="GG296" t="e">
        <f>Stock!V2740+"'E4!0Z["</f>
        <v>#VALUE!</v>
      </c>
      <c r="GH296" t="e">
        <f>Stock!V2741+"'E4!0Z\"</f>
        <v>#VALUE!</v>
      </c>
      <c r="GI296" t="e">
        <f>Stock!V2742+"'E4!0Z]"</f>
        <v>#VALUE!</v>
      </c>
      <c r="GJ296" t="e">
        <f>Stock!V2743+"'E4!0Z^"</f>
        <v>#VALUE!</v>
      </c>
      <c r="GK296" t="e">
        <f>Stock!V2744+"'E4!0Z_"</f>
        <v>#VALUE!</v>
      </c>
      <c r="GL296" t="e">
        <f>Stock!V2745+"'E4!0Z`"</f>
        <v>#VALUE!</v>
      </c>
      <c r="GM296" t="e">
        <f>Stock!V2746+"'E4!0Za"</f>
        <v>#VALUE!</v>
      </c>
      <c r="GN296" t="e">
        <f>Stock!V2747+"'E4!0Zb"</f>
        <v>#VALUE!</v>
      </c>
      <c r="GO296" t="e">
        <f>Stock!V2748+"'E4!0Zc"</f>
        <v>#VALUE!</v>
      </c>
      <c r="GP296" t="e">
        <f>Stock!V2749+"'E4!0Zd"</f>
        <v>#VALUE!</v>
      </c>
      <c r="GQ296" t="e">
        <f>Stock!V2750+"'E4!0Ze"</f>
        <v>#VALUE!</v>
      </c>
      <c r="GR296" t="e">
        <f>Stock!V2751+"'E4!0Zf"</f>
        <v>#VALUE!</v>
      </c>
      <c r="GS296" t="e">
        <f>Stock!V2752+"'E4!0Zg"</f>
        <v>#VALUE!</v>
      </c>
      <c r="GT296" t="e">
        <f>Stock!V2753+"'E4!0Zh"</f>
        <v>#VALUE!</v>
      </c>
      <c r="GU296" t="e">
        <f>Stock!V2754+"'E4!0Zi"</f>
        <v>#VALUE!</v>
      </c>
      <c r="GV296" t="e">
        <f>Stock!V2755+"'E4!0Zj"</f>
        <v>#VALUE!</v>
      </c>
      <c r="GW296" t="e">
        <f>Stock!V2756+"'E4!0Zk"</f>
        <v>#VALUE!</v>
      </c>
      <c r="GX296" t="e">
        <f>Stock!V2757+"'E4!0Zl"</f>
        <v>#VALUE!</v>
      </c>
      <c r="GY296" t="e">
        <f>Stock!V2758+"'E4!0Zm"</f>
        <v>#VALUE!</v>
      </c>
      <c r="GZ296" t="e">
        <f>Stock!V2759+"'E4!0Zn"</f>
        <v>#VALUE!</v>
      </c>
      <c r="HA296" t="e">
        <f>Stock!V2760+"'E4!0Zo"</f>
        <v>#VALUE!</v>
      </c>
      <c r="HB296" t="e">
        <f>Stock!V2761+"'E4!0Zp"</f>
        <v>#VALUE!</v>
      </c>
      <c r="HC296" t="e">
        <f>Stock!V2762+"'E4!0Zq"</f>
        <v>#VALUE!</v>
      </c>
      <c r="HD296" t="e">
        <f>Stock!V2763+"'E4!0Zr"</f>
        <v>#VALUE!</v>
      </c>
      <c r="HE296" t="e">
        <f>Stock!V2764+"'E4!0Zs"</f>
        <v>#VALUE!</v>
      </c>
      <c r="HF296" t="e">
        <f>Stock!V2765+"'E4!0Zt"</f>
        <v>#VALUE!</v>
      </c>
      <c r="HG296" t="e">
        <f>Stock!V2766+"'E4!0Zu"</f>
        <v>#VALUE!</v>
      </c>
      <c r="HH296" t="e">
        <f>Stock!V2767+"'E4!0Zv"</f>
        <v>#VALUE!</v>
      </c>
      <c r="HI296" t="e">
        <f>Stock!V2768+"'E4!0Zw"</f>
        <v>#VALUE!</v>
      </c>
      <c r="HJ296" t="e">
        <f>Stock!V2769+"'E4!0Zx"</f>
        <v>#VALUE!</v>
      </c>
      <c r="HK296" t="e">
        <f>Stock!V2770+"'E4!0Zy"</f>
        <v>#VALUE!</v>
      </c>
      <c r="HL296" t="e">
        <f>Stock!V2771+"'E4!0Zz"</f>
        <v>#VALUE!</v>
      </c>
      <c r="HM296" t="e">
        <f>Stock!V2772+"'E4!0Z{"</f>
        <v>#VALUE!</v>
      </c>
      <c r="HN296" t="e">
        <f>Stock!V2773+"'E4!0Z|"</f>
        <v>#VALUE!</v>
      </c>
      <c r="HO296" t="e">
        <f>Stock!V2774+"'E4!0Z}"</f>
        <v>#VALUE!</v>
      </c>
      <c r="HP296" t="e">
        <f>Stock!V2775+"'E4!0Z~"</f>
        <v>#VALUE!</v>
      </c>
      <c r="HQ296" t="e">
        <f>Stock!V2776+"'E4!0[#"</f>
        <v>#VALUE!</v>
      </c>
      <c r="HR296" t="e">
        <f>Stock!V2777+"'E4!0[$"</f>
        <v>#VALUE!</v>
      </c>
      <c r="HS296" t="e">
        <f>Stock!V2778+"'E4!0[%"</f>
        <v>#VALUE!</v>
      </c>
      <c r="HT296" t="e">
        <f>Stock!V2779+"'E4!0[&amp;"</f>
        <v>#VALUE!</v>
      </c>
      <c r="HU296" t="e">
        <f>Stock!V2780+"'E4!0['"</f>
        <v>#VALUE!</v>
      </c>
      <c r="HV296" t="e">
        <f>Stock!V2781+"'E4!0[("</f>
        <v>#VALUE!</v>
      </c>
      <c r="HW296" t="e">
        <f>Stock!V2782+"'E4!0[)"</f>
        <v>#VALUE!</v>
      </c>
      <c r="HX296" t="e">
        <f>Stock!V2783+"'E4!0[."</f>
        <v>#VALUE!</v>
      </c>
      <c r="HY296" t="e">
        <f>Stock!V2784+"'E4!0[/"</f>
        <v>#VALUE!</v>
      </c>
      <c r="HZ296" t="e">
        <f>Stock!V2785+"'E4!0[0"</f>
        <v>#VALUE!</v>
      </c>
      <c r="IA296" t="e">
        <f>Stock!V2786+"'E4!0[1"</f>
        <v>#VALUE!</v>
      </c>
      <c r="IB296" t="e">
        <f>Stock!V2787+"'E4!0[2"</f>
        <v>#VALUE!</v>
      </c>
      <c r="IC296" t="e">
        <f>Stock!V2788+"'E4!0[3"</f>
        <v>#VALUE!</v>
      </c>
      <c r="ID296" t="e">
        <f>Stock!V2789+"'E4!0[4"</f>
        <v>#VALUE!</v>
      </c>
      <c r="IE296" t="e">
        <f>Stock!V2790+"'E4!0[5"</f>
        <v>#VALUE!</v>
      </c>
      <c r="IF296" t="e">
        <f>Stock!V2791+"'E4!0[6"</f>
        <v>#VALUE!</v>
      </c>
      <c r="IG296" t="e">
        <f>Stock!V2792+"'E4!0[7"</f>
        <v>#VALUE!</v>
      </c>
      <c r="IH296" t="e">
        <f>Stock!V2793+"'E4!0[8"</f>
        <v>#VALUE!</v>
      </c>
      <c r="II296" t="e">
        <f>Stock!V2794+"'E4!0[9"</f>
        <v>#VALUE!</v>
      </c>
      <c r="IJ296" t="e">
        <f>Stock!V2795+"'E4!0[:"</f>
        <v>#VALUE!</v>
      </c>
      <c r="IK296" t="e">
        <f>Stock!V2796+"'E4!0[;"</f>
        <v>#VALUE!</v>
      </c>
      <c r="IL296" t="e">
        <f>Stock!V2797+"'E4!0[&lt;"</f>
        <v>#VALUE!</v>
      </c>
      <c r="IM296" t="e">
        <f>Stock!V2798+"'E4!0[="</f>
        <v>#VALUE!</v>
      </c>
      <c r="IN296" t="e">
        <f>Stock!V2799+"'E4!0[&gt;"</f>
        <v>#VALUE!</v>
      </c>
      <c r="IO296" t="e">
        <f>Stock!V2800+"'E4!0[?"</f>
        <v>#VALUE!</v>
      </c>
      <c r="IP296" t="e">
        <f>Stock!V2801+"'E4!0[@"</f>
        <v>#VALUE!</v>
      </c>
      <c r="IQ296" t="e">
        <f>Stock!V2802+"'E4!0[A"</f>
        <v>#VALUE!</v>
      </c>
      <c r="IR296" t="e">
        <f>Stock!V2803+"'E4!0[B"</f>
        <v>#VALUE!</v>
      </c>
      <c r="IS296" t="e">
        <f>Stock!V2804+"'E4!0[C"</f>
        <v>#VALUE!</v>
      </c>
      <c r="IT296" t="e">
        <f>Stock!V2805+"'E4!0[D"</f>
        <v>#VALUE!</v>
      </c>
      <c r="IU296" t="e">
        <f>Stock!V2806+"'E4!0[E"</f>
        <v>#VALUE!</v>
      </c>
      <c r="IV296" t="e">
        <f>Stock!V2807+"'E4!0[F"</f>
        <v>#VALUE!</v>
      </c>
    </row>
    <row r="297" spans="6:256">
      <c r="F297" t="e">
        <f>Stock!V2808+"'E4!0[G"</f>
        <v>#VALUE!</v>
      </c>
      <c r="G297" t="e">
        <f>Stock!V2809+"'E4!0[H"</f>
        <v>#VALUE!</v>
      </c>
      <c r="H297" t="e">
        <f>Stock!V2810+"'E4!0[I"</f>
        <v>#VALUE!</v>
      </c>
      <c r="I297" t="e">
        <f>Stock!V2811+"'E4!0[J"</f>
        <v>#VALUE!</v>
      </c>
      <c r="J297" t="e">
        <f>Stock!V2812+"'E4!0[K"</f>
        <v>#VALUE!</v>
      </c>
      <c r="K297" t="e">
        <f>Stock!V2813+"'E4!0[L"</f>
        <v>#VALUE!</v>
      </c>
      <c r="L297" t="e">
        <f>Stock!V2814+"'E4!0[M"</f>
        <v>#VALUE!</v>
      </c>
      <c r="M297" t="e">
        <f>Stock!V2815+"'E4!0[N"</f>
        <v>#VALUE!</v>
      </c>
      <c r="N297" t="e">
        <f>Stock!V2816+"'E4!0[O"</f>
        <v>#VALUE!</v>
      </c>
      <c r="O297" t="e">
        <f>Stock!V2817+"'E4!0[P"</f>
        <v>#VALUE!</v>
      </c>
      <c r="P297" t="e">
        <f>Stock!V2818+"'E4!0[Q"</f>
        <v>#VALUE!</v>
      </c>
      <c r="Q297" t="e">
        <f>Stock!V2819+"'E4!0[R"</f>
        <v>#VALUE!</v>
      </c>
      <c r="R297" t="e">
        <f>Stock!V2820+"'E4!0[S"</f>
        <v>#VALUE!</v>
      </c>
      <c r="S297" t="e">
        <f>Stock!V2821+"'E4!0[T"</f>
        <v>#VALUE!</v>
      </c>
      <c r="T297" t="e">
        <f>Stock!V2822+"'E4!0[U"</f>
        <v>#VALUE!</v>
      </c>
      <c r="U297" t="e">
        <f>Stock!V2823+"'E4!0[V"</f>
        <v>#VALUE!</v>
      </c>
      <c r="V297" t="e">
        <f>Stock!V2824+"'E4!0[W"</f>
        <v>#VALUE!</v>
      </c>
      <c r="W297" t="e">
        <f>Stock!V2825+"'E4!0[X"</f>
        <v>#VALUE!</v>
      </c>
      <c r="X297" t="e">
        <f>Stock!V2826+"'E4!0[Y"</f>
        <v>#VALUE!</v>
      </c>
      <c r="Y297" t="e">
        <f>Stock!V2827+"'E4!0[Z"</f>
        <v>#VALUE!</v>
      </c>
      <c r="Z297" t="e">
        <f>Stock!V2828+"'E4!0[["</f>
        <v>#VALUE!</v>
      </c>
      <c r="AA297" t="e">
        <f>Stock!V2829+"'E4!0[\"</f>
        <v>#VALUE!</v>
      </c>
      <c r="AB297" t="e">
        <f>Stock!V2830+"'E4!0[]"</f>
        <v>#VALUE!</v>
      </c>
      <c r="AC297" t="e">
        <f>Stock!V2831+"'E4!0[^"</f>
        <v>#VALUE!</v>
      </c>
      <c r="AD297" t="e">
        <f>Stock!V2832+"'E4!0[_"</f>
        <v>#VALUE!</v>
      </c>
      <c r="AE297" t="e">
        <f>Stock!V2833+"'E4!0[`"</f>
        <v>#VALUE!</v>
      </c>
      <c r="AF297" t="e">
        <f>Stock!V2834+"'E4!0[a"</f>
        <v>#VALUE!</v>
      </c>
      <c r="AG297" t="e">
        <f>Stock!V2835+"'E4!0[b"</f>
        <v>#VALUE!</v>
      </c>
      <c r="AH297" t="e">
        <f>Stock!V2836+"'E4!0[c"</f>
        <v>#VALUE!</v>
      </c>
      <c r="AI297" t="e">
        <f>Stock!V2837+"'E4!0[d"</f>
        <v>#VALUE!</v>
      </c>
      <c r="AJ297" t="e">
        <f>Stock!V2838+"'E4!0[e"</f>
        <v>#VALUE!</v>
      </c>
      <c r="AK297" t="e">
        <f>Stock!V2839+"'E4!0[f"</f>
        <v>#VALUE!</v>
      </c>
      <c r="AL297" t="e">
        <f>Stock!V2840+"'E4!0[g"</f>
        <v>#VALUE!</v>
      </c>
      <c r="AM297" t="e">
        <f>Stock!V2841+"'E4!0[h"</f>
        <v>#VALUE!</v>
      </c>
      <c r="AN297" t="e">
        <f>Stock!V2842+"'E4!0[i"</f>
        <v>#VALUE!</v>
      </c>
      <c r="AO297" t="e">
        <f>Stock!V2843+"'E4!0[j"</f>
        <v>#VALUE!</v>
      </c>
      <c r="AP297" t="e">
        <f>Stock!V2844+"'E4!0[k"</f>
        <v>#VALUE!</v>
      </c>
      <c r="AQ297" t="e">
        <f>Stock!V2845+"'E4!0[l"</f>
        <v>#VALUE!</v>
      </c>
      <c r="AR297" t="e">
        <f>Stock!V2846+"'E4!0[m"</f>
        <v>#VALUE!</v>
      </c>
      <c r="AS297" t="e">
        <f>Stock!V2847+"'E4!0[n"</f>
        <v>#VALUE!</v>
      </c>
      <c r="AT297" t="e">
        <f>Stock!V2848+"'E4!0[o"</f>
        <v>#VALUE!</v>
      </c>
      <c r="AU297" t="e">
        <f>Stock!V2849+"'E4!0[p"</f>
        <v>#VALUE!</v>
      </c>
      <c r="AV297" t="e">
        <f>Stock!V2850+"'E4!0[q"</f>
        <v>#VALUE!</v>
      </c>
      <c r="AW297" t="e">
        <f>Stock!V2851+"'E4!0[r"</f>
        <v>#VALUE!</v>
      </c>
      <c r="AX297" t="e">
        <f>Stock!V2852+"'E4!0[s"</f>
        <v>#VALUE!</v>
      </c>
      <c r="AY297" t="e">
        <f>Stock!V2853+"'E4!0[t"</f>
        <v>#VALUE!</v>
      </c>
      <c r="AZ297" t="e">
        <f>Stock!V2854+"'E4!0[u"</f>
        <v>#VALUE!</v>
      </c>
      <c r="BA297" t="e">
        <f>Stock!V2855+"'E4!0[v"</f>
        <v>#VALUE!</v>
      </c>
      <c r="BB297" t="e">
        <f>Stock!V2856+"'E4!0[w"</f>
        <v>#VALUE!</v>
      </c>
      <c r="BC297" t="e">
        <f>Stock!V2857+"'E4!0[x"</f>
        <v>#VALUE!</v>
      </c>
      <c r="BD297" t="e">
        <f>Stock!V2858+"'E4!0[y"</f>
        <v>#VALUE!</v>
      </c>
      <c r="BE297" t="e">
        <f>Stock!V2859+"'E4!0[z"</f>
        <v>#VALUE!</v>
      </c>
      <c r="BF297" t="e">
        <f>Stock!V2860+"'E4!0[{"</f>
        <v>#VALUE!</v>
      </c>
      <c r="BG297" t="e">
        <f>Stock!V2861+"'E4!0[|"</f>
        <v>#VALUE!</v>
      </c>
      <c r="BH297" t="e">
        <f>Stock!V2862+"'E4!0[}"</f>
        <v>#VALUE!</v>
      </c>
      <c r="BI297" t="e">
        <f>Stock!V2863+"'E4!0[~"</f>
        <v>#VALUE!</v>
      </c>
      <c r="BJ297" t="e">
        <f>Stock!V2864+"'E4!0\#"</f>
        <v>#VALUE!</v>
      </c>
      <c r="BK297" t="e">
        <f>Stock!V2865+"'E4!0\$"</f>
        <v>#VALUE!</v>
      </c>
      <c r="BL297" t="e">
        <f>Stock!V2866+"'E4!0\%"</f>
        <v>#VALUE!</v>
      </c>
      <c r="BM297" t="e">
        <f>Stock!V2867+"'E4!0\&amp;"</f>
        <v>#VALUE!</v>
      </c>
      <c r="BN297" t="e">
        <f>Stock!V2868+"'E4!0\'"</f>
        <v>#VALUE!</v>
      </c>
      <c r="BO297" t="e">
        <f>Stock!V2869+"'E4!0\("</f>
        <v>#VALUE!</v>
      </c>
      <c r="BP297" t="e">
        <f>Stock!V2870+"'E4!0\)"</f>
        <v>#VALUE!</v>
      </c>
      <c r="BQ297" t="e">
        <f>Stock!V2871+"'E4!0\."</f>
        <v>#VALUE!</v>
      </c>
      <c r="BR297" t="e">
        <f>Stock!V2872+"'E4!0\/"</f>
        <v>#VALUE!</v>
      </c>
      <c r="BS297" t="e">
        <f>Stock!V2873+"'E4!0\0"</f>
        <v>#VALUE!</v>
      </c>
      <c r="BT297" t="e">
        <f>Stock!V2874+"'E4!0\1"</f>
        <v>#VALUE!</v>
      </c>
      <c r="BU297" t="e">
        <f>Stock!V2875+"'E4!0\2"</f>
        <v>#VALUE!</v>
      </c>
      <c r="BV297" t="e">
        <f>Stock!V2876+"'E4!0\3"</f>
        <v>#VALUE!</v>
      </c>
      <c r="BW297" t="e">
        <f>Stock!V2877+"'E4!0\4"</f>
        <v>#VALUE!</v>
      </c>
      <c r="BX297" t="e">
        <f>Stock!V2878+"'E4!0\5"</f>
        <v>#VALUE!</v>
      </c>
      <c r="BY297" t="e">
        <f>Stock!V2879+"'E4!0\6"</f>
        <v>#VALUE!</v>
      </c>
      <c r="BZ297" t="e">
        <f>Stock!V2880+"'E4!0\7"</f>
        <v>#VALUE!</v>
      </c>
      <c r="CA297" t="e">
        <f>Stock!V2881+"'E4!0\8"</f>
        <v>#VALUE!</v>
      </c>
      <c r="CB297" t="e">
        <f>Stock!V2882+"'E4!0\9"</f>
        <v>#VALUE!</v>
      </c>
      <c r="CC297" t="e">
        <f>Stock!V2883+"'E4!0\:"</f>
        <v>#VALUE!</v>
      </c>
      <c r="CD297" t="e">
        <f>Stock!V2884+"'E4!0\;"</f>
        <v>#VALUE!</v>
      </c>
      <c r="CE297" t="e">
        <f>Stock!V2885+"'E4!0\&lt;"</f>
        <v>#VALUE!</v>
      </c>
      <c r="CF297" t="e">
        <f>Stock!V2886+"'E4!0\="</f>
        <v>#VALUE!</v>
      </c>
      <c r="CG297" t="e">
        <f>Stock!V2887+"'E4!0\&gt;"</f>
        <v>#VALUE!</v>
      </c>
      <c r="CH297" t="e">
        <f>Stock!V2888+"'E4!0\?"</f>
        <v>#VALUE!</v>
      </c>
      <c r="CI297" t="e">
        <f>Stock!V2889+"'E4!0\@"</f>
        <v>#VALUE!</v>
      </c>
      <c r="CJ297" t="e">
        <f>Stock!V2890+"'E4!0\A"</f>
        <v>#VALUE!</v>
      </c>
      <c r="CK297" t="e">
        <f>Stock!V2891+"'E4!0\B"</f>
        <v>#VALUE!</v>
      </c>
      <c r="CL297" t="e">
        <f>Stock!V2892+"'E4!0\C"</f>
        <v>#VALUE!</v>
      </c>
      <c r="CM297" t="e">
        <f>Stock!V2893+"'E4!0\D"</f>
        <v>#VALUE!</v>
      </c>
      <c r="CN297" t="e">
        <f>Stock!V2894+"'E4!0\E"</f>
        <v>#VALUE!</v>
      </c>
      <c r="CO297" t="e">
        <f>Stock!V2895+"'E4!0\F"</f>
        <v>#VALUE!</v>
      </c>
      <c r="CP297" t="e">
        <f>Stock!V2896+"'E4!0\G"</f>
        <v>#VALUE!</v>
      </c>
      <c r="CQ297" t="e">
        <f>Stock!V2897+"'E4!0\H"</f>
        <v>#VALUE!</v>
      </c>
      <c r="CR297" t="e">
        <f>Stock!V2898+"'E4!0\I"</f>
        <v>#VALUE!</v>
      </c>
      <c r="CS297" t="e">
        <f>Stock!V2899+"'E4!0\J"</f>
        <v>#VALUE!</v>
      </c>
      <c r="CT297" t="e">
        <f>Stock!V2900+"'E4!0\K"</f>
        <v>#VALUE!</v>
      </c>
      <c r="CU297" t="e">
        <f>Stock!V2901+"'E4!0\L"</f>
        <v>#VALUE!</v>
      </c>
      <c r="CV297" t="e">
        <f>Stock!V2902+"'E4!0\M"</f>
        <v>#VALUE!</v>
      </c>
      <c r="CW297" t="e">
        <f>Stock!V2903+"'E4!0\N"</f>
        <v>#VALUE!</v>
      </c>
      <c r="CX297" t="e">
        <f>Stock!V2904+"'E4!0\O"</f>
        <v>#VALUE!</v>
      </c>
      <c r="CY297" t="e">
        <f>Stock!V2905+"'E4!0\P"</f>
        <v>#VALUE!</v>
      </c>
      <c r="CZ297" t="e">
        <f>Stock!V2906+"'E4!0\Q"</f>
        <v>#VALUE!</v>
      </c>
      <c r="DA297" t="e">
        <f>Stock!V2907+"'E4!0\R"</f>
        <v>#VALUE!</v>
      </c>
      <c r="DB297" t="e">
        <f>Stock!V2908+"'E4!0\S"</f>
        <v>#VALUE!</v>
      </c>
      <c r="DC297" t="e">
        <f>Stock!V2909+"'E4!0\T"</f>
        <v>#VALUE!</v>
      </c>
      <c r="DD297" t="e">
        <f>Stock!V2910+"'E4!0\U"</f>
        <v>#VALUE!</v>
      </c>
      <c r="DE297" t="e">
        <f>Stock!V2911+"'E4!0\V"</f>
        <v>#VALUE!</v>
      </c>
      <c r="DF297" t="e">
        <f>Stock!V2912+"'E4!0\W"</f>
        <v>#VALUE!</v>
      </c>
      <c r="DG297" t="e">
        <f>Stock!V2913+"'E4!0\X"</f>
        <v>#VALUE!</v>
      </c>
      <c r="DH297" t="e">
        <f>Stock!V2914+"'E4!0\Y"</f>
        <v>#VALUE!</v>
      </c>
      <c r="DI297" t="e">
        <f>Stock!V2915+"'E4!0\Z"</f>
        <v>#VALUE!</v>
      </c>
      <c r="DJ297" t="e">
        <f>Stock!V2916+"'E4!0\["</f>
        <v>#VALUE!</v>
      </c>
      <c r="DK297" t="e">
        <f>Stock!V2917+"'E4!0\\"</f>
        <v>#VALUE!</v>
      </c>
      <c r="DL297" t="e">
        <f>Stock!V2918+"'E4!0\]"</f>
        <v>#VALUE!</v>
      </c>
      <c r="DM297" t="e">
        <f>Stock!V2919+"'E4!0\^"</f>
        <v>#VALUE!</v>
      </c>
      <c r="DN297" t="e">
        <f>Stock!V2920+"'E4!0\_"</f>
        <v>#VALUE!</v>
      </c>
      <c r="DO297" t="e">
        <f>Stock!V2921+"'E4!0\`"</f>
        <v>#VALUE!</v>
      </c>
      <c r="DP297" t="e">
        <f>Stock!V2922+"'E4!0\a"</f>
        <v>#VALUE!</v>
      </c>
      <c r="DQ297" t="e">
        <f>Stock!V2923+"'E4!0\b"</f>
        <v>#VALUE!</v>
      </c>
      <c r="DR297" t="e">
        <f>Stock!V2924+"'E4!0\c"</f>
        <v>#VALUE!</v>
      </c>
      <c r="DS297" t="e">
        <f>Stock!V2925+"'E4!0\d"</f>
        <v>#VALUE!</v>
      </c>
      <c r="DT297" t="e">
        <f>Stock!V2926+"'E4!0\e"</f>
        <v>#VALUE!</v>
      </c>
      <c r="DU297" t="e">
        <f>Stock!V2927+"'E4!0\f"</f>
        <v>#VALUE!</v>
      </c>
      <c r="DV297" t="e">
        <f>Stock!V2928+"'E4!0\g"</f>
        <v>#VALUE!</v>
      </c>
      <c r="DW297" t="e">
        <f>Stock!V2929+"'E4!0\h"</f>
        <v>#VALUE!</v>
      </c>
      <c r="DX297" t="e">
        <f>Stock!V2930+"'E4!0\i"</f>
        <v>#VALUE!</v>
      </c>
      <c r="DY297" t="e">
        <f>Stock!V2931+"'E4!0\j"</f>
        <v>#VALUE!</v>
      </c>
      <c r="DZ297" t="e">
        <f>Stock!V2932+"'E4!0\k"</f>
        <v>#VALUE!</v>
      </c>
      <c r="EA297" t="e">
        <f>Stock!V2933+"'E4!0\l"</f>
        <v>#VALUE!</v>
      </c>
      <c r="EB297" t="e">
        <f>Stock!V2934+"'E4!0\m"</f>
        <v>#VALUE!</v>
      </c>
      <c r="EC297" t="e">
        <f>Stock!V2935+"'E4!0\n"</f>
        <v>#VALUE!</v>
      </c>
      <c r="ED297" t="e">
        <f>Stock!V2936+"'E4!0\o"</f>
        <v>#VALUE!</v>
      </c>
      <c r="EE297" t="e">
        <f>Stock!V2937+"'E4!0\p"</f>
        <v>#VALUE!</v>
      </c>
      <c r="EF297" t="e">
        <f>Stock!V2938+"'E4!0\q"</f>
        <v>#VALUE!</v>
      </c>
      <c r="EG297" t="e">
        <f>Stock!V2939+"'E4!0\r"</f>
        <v>#VALUE!</v>
      </c>
      <c r="EH297" t="e">
        <f>Stock!V2940+"'E4!0\s"</f>
        <v>#VALUE!</v>
      </c>
      <c r="EI297" t="e">
        <f>Stock!V2941+"'E4!0\t"</f>
        <v>#VALUE!</v>
      </c>
      <c r="EJ297" t="e">
        <f>Stock!V2942+"'E4!0\u"</f>
        <v>#VALUE!</v>
      </c>
      <c r="EK297" t="e">
        <f>Stock!V2943+"'E4!0\v"</f>
        <v>#VALUE!</v>
      </c>
      <c r="EL297" t="e">
        <f>Stock!V2944+"'E4!0\w"</f>
        <v>#VALUE!</v>
      </c>
      <c r="EM297" t="e">
        <f>Stock!V2945+"'E4!0\x"</f>
        <v>#VALUE!</v>
      </c>
      <c r="EN297" t="e">
        <f>Stock!V2946+"'E4!0\y"</f>
        <v>#VALUE!</v>
      </c>
      <c r="EO297" t="e">
        <f>Stock!V2947+"'E4!0\z"</f>
        <v>#VALUE!</v>
      </c>
      <c r="EP297" t="e">
        <f>Stock!V2948+"'E4!0\{"</f>
        <v>#VALUE!</v>
      </c>
      <c r="EQ297" t="e">
        <f>Stock!V2949+"'E4!0\|"</f>
        <v>#VALUE!</v>
      </c>
      <c r="ER297" t="e">
        <f>'Pivot per RAT'!A:A*"$&amp;\%!'"</f>
        <v>#VALUE!</v>
      </c>
      <c r="ES297" t="e">
        <f>'Pivot per RAT'!B:B*"$&amp;\%!("</f>
        <v>#VALUE!</v>
      </c>
      <c r="ET297" t="e">
        <f>'Pivot per RAT'!C:C*"$&amp;\%!)"</f>
        <v>#VALUE!</v>
      </c>
      <c r="EU297" t="e">
        <f>'Pivot per RAT'!D:D*"$&amp;\%!."</f>
        <v>#VALUE!</v>
      </c>
      <c r="EV297" t="e">
        <f>'Pivot per RAT'!E:E*"$&amp;\%!/"</f>
        <v>#VALUE!</v>
      </c>
      <c r="EW297" t="e">
        <f>'Pivot per RAT'!F:F*"$&amp;\%!0"</f>
        <v>#VALUE!</v>
      </c>
      <c r="EX297" t="e">
        <f>'Pivot per RAT'!G:G*"$&amp;\%!1"</f>
        <v>#VALUE!</v>
      </c>
      <c r="EY297" t="e">
        <f>'Pivot per RAT'!H:H*"$&amp;\%!2"</f>
        <v>#VALUE!</v>
      </c>
      <c r="EZ297" t="e">
        <f>'Pivot per RAT'!I:I*"$&amp;\%!3"</f>
        <v>#VALUE!</v>
      </c>
      <c r="FA297" t="e">
        <f>'Pivot per RAT'!J:J*"$&amp;\%!4"</f>
        <v>#VALUE!</v>
      </c>
      <c r="FB297" t="e">
        <f>'Pivot per RAT'!K:K*"$&amp;\%!5"</f>
        <v>#VALUE!</v>
      </c>
      <c r="FC297" t="e">
        <f>'Pivot per RAT'!L:L*"$&amp;\%!6"</f>
        <v>#VALUE!</v>
      </c>
      <c r="FD297" t="e">
        <f>'Pivot per RAT'!M:M*"$&amp;\%!7"</f>
        <v>#VALUE!</v>
      </c>
      <c r="FE297" t="e">
        <f>'Pivot per RAT'!N:N*"$&amp;\%!8"</f>
        <v>#VALUE!</v>
      </c>
      <c r="FF297" t="e">
        <f>'Pivot per RAT'!O:O*"$&amp;\%!9"</f>
        <v>#VALUE!</v>
      </c>
      <c r="FG297" t="e">
        <f>'Pivot per RAT'!P:P*"$&amp;\%!:"</f>
        <v>#VALUE!</v>
      </c>
      <c r="FH297" t="e">
        <f>'Pivot per RAT'!Q:Q*"$&amp;\%!;"</f>
        <v>#VALUE!</v>
      </c>
      <c r="FI297" t="e">
        <f>'Pivot per RAT'!R:R*"$&amp;\%!&lt;"</f>
        <v>#VALUE!</v>
      </c>
      <c r="FJ297" t="e">
        <f>'Pivot per RAT'!S:S*"$&amp;\%!="</f>
        <v>#VALUE!</v>
      </c>
      <c r="FK297" t="e">
        <f>'Pivot per RAT'!T:T*"$&amp;\%!&gt;"</f>
        <v>#VALUE!</v>
      </c>
      <c r="FL297" t="e">
        <f>'Pivot per RAT'!U:U*"$&amp;\%!?"</f>
        <v>#VALUE!</v>
      </c>
      <c r="FM297" t="e">
        <f>'Pivot per RAT'!V:V*"$&amp;\%!@"</f>
        <v>#VALUE!</v>
      </c>
      <c r="FN297" t="e">
        <f>'Pivot per RAT'!W:W*"$&amp;\%!A"</f>
        <v>#VALUE!</v>
      </c>
      <c r="FO297" t="e">
        <f>'Pivot per RAT'!X:X*"$&amp;\%!B"</f>
        <v>#VALUE!</v>
      </c>
      <c r="FP297" t="e">
        <f>'Pivot per RAT'!Y:Y*"$&amp;\%!C"</f>
        <v>#VALUE!</v>
      </c>
      <c r="FQ297" t="e">
        <f>'Pivot per RAT'!Z:Z*"$&amp;\%!D"</f>
        <v>#VALUE!</v>
      </c>
      <c r="FR297" t="e">
        <f>'Pivot per RAT'!AA:AA*"$&amp;\%!E"</f>
        <v>#VALUE!</v>
      </c>
      <c r="FS297" t="e">
        <f>'Pivot per RAT'!AB:AB*"$&amp;\%!F"</f>
        <v>#VALUE!</v>
      </c>
      <c r="FT297" t="e">
        <f>'Pivot per RAT'!AC:AC*"$&amp;\%!G"</f>
        <v>#VALUE!</v>
      </c>
      <c r="FU297" t="e">
        <f>'Pivot per RAT'!AD:AD*"$&amp;\%!H"</f>
        <v>#VALUE!</v>
      </c>
      <c r="FV297" t="e">
        <f>'Pivot per RAT'!AE:AE*"$&amp;\%!I"</f>
        <v>#VALUE!</v>
      </c>
      <c r="FW297" t="e">
        <f>'Pivot per RAT'!AF:AF*"$&amp;\%!J"</f>
        <v>#VALUE!</v>
      </c>
      <c r="FX297" t="e">
        <f>'Pivot per RAT'!AG:AG*"$&amp;\%!K"</f>
        <v>#VALUE!</v>
      </c>
      <c r="FY297" t="e">
        <f>'Pivot per RAT'!AH:AH*"$&amp;\%!L"</f>
        <v>#VALUE!</v>
      </c>
      <c r="FZ297" t="e">
        <f>'Pivot per RAT'!AI:AI*"$&amp;\%!M"</f>
        <v>#VALUE!</v>
      </c>
      <c r="GA297" t="e">
        <f>'Pivot per RAT'!AJ:AJ*"$&amp;\%!N"</f>
        <v>#VALUE!</v>
      </c>
      <c r="GB297" t="e">
        <f>'Pivot per RAT'!AK:AK*"$&amp;\%!O"</f>
        <v>#VALUE!</v>
      </c>
      <c r="GC297" t="e">
        <f>'Pivot per RAT'!AL:AL*"$&amp;\%!P"</f>
        <v>#VALUE!</v>
      </c>
      <c r="GD297" t="e">
        <f>'Pivot per RAT'!AM:AM*"$&amp;\%!Q"</f>
        <v>#VALUE!</v>
      </c>
      <c r="GE297" t="e">
        <f>'Pivot per RAT'!AN:AN*"$&amp;\%!R"</f>
        <v>#VALUE!</v>
      </c>
      <c r="GF297" t="e">
        <f>'Pivot per RAT'!AO:AO*"$&amp;\%!S"</f>
        <v>#VALUE!</v>
      </c>
      <c r="GG297" t="e">
        <f>'Pivot per RAT'!AP:AP*"$&amp;\%!T"</f>
        <v>#VALUE!</v>
      </c>
      <c r="GH297" t="e">
        <f>'Pivot per RAT'!AQ:AQ*"$&amp;\%!U"</f>
        <v>#VALUE!</v>
      </c>
      <c r="GI297" t="e">
        <f>'Pivot per RAT'!AR:AR*"$&amp;\%!V"</f>
        <v>#VALUE!</v>
      </c>
      <c r="GJ297" t="e">
        <f>'Pivot per RAT'!AS:AS*"$&amp;\%!W"</f>
        <v>#VALUE!</v>
      </c>
      <c r="GK297" t="e">
        <f>'Pivot per RAT'!AT:AT*"$&amp;\%!X"</f>
        <v>#VALUE!</v>
      </c>
      <c r="GL297" t="e">
        <f>'Pivot per RAT'!AU:AU*"$&amp;\%!Y"</f>
        <v>#VALUE!</v>
      </c>
      <c r="GM297" t="e">
        <f>'Pivot per RAT'!AV:AV*"$&amp;\%!Z"</f>
        <v>#VALUE!</v>
      </c>
      <c r="GN297" t="e">
        <f>'Pivot per RAT'!AW:AW*"$&amp;\%!["</f>
        <v>#VALUE!</v>
      </c>
      <c r="GO297" t="e">
        <f>'Pivot per RAT'!AX:AX*"$&amp;\%!\"</f>
        <v>#VALUE!</v>
      </c>
      <c r="GP297" t="e">
        <f>'Pivot per RAT'!AY:AY*"$&amp;\%!]"</f>
        <v>#VALUE!</v>
      </c>
      <c r="GQ297" t="e">
        <f>'Pivot per RAT'!AZ:AZ*"$&amp;\%!^"</f>
        <v>#VALUE!</v>
      </c>
      <c r="GR297" t="e">
        <f>'Pivot per RAT'!BA:BA*"$&amp;\%!_"</f>
        <v>#VALUE!</v>
      </c>
      <c r="GS297" t="e">
        <f>'Pivot per RAT'!BB:BB*"$&amp;\%!`"</f>
        <v>#VALUE!</v>
      </c>
      <c r="GT297" t="e">
        <f>'Pivot per RAT'!BC:BC*"$&amp;\%!a"</f>
        <v>#VALUE!</v>
      </c>
      <c r="GU297" t="e">
        <f>'Pivot per RAT'!BD:BD*"$&amp;\%!b"</f>
        <v>#VALUE!</v>
      </c>
      <c r="GV297" t="e">
        <f>'Pivot per RAT'!1:1-"$&amp;\%!c"</f>
        <v>#VALUE!</v>
      </c>
      <c r="GW297" t="e">
        <f>'Pivot per RAT'!2:2-"$&amp;\%!d"</f>
        <v>#VALUE!</v>
      </c>
      <c r="GX297" t="e">
        <f>'Pivot per RAT'!3:3-"$&amp;\%!e"</f>
        <v>#VALUE!</v>
      </c>
      <c r="GY297" t="e">
        <f>'Pivot per RAT'!4:4-"$&amp;\%!f"</f>
        <v>#VALUE!</v>
      </c>
      <c r="GZ297" t="e">
        <f>'Pivot per RAT'!5:5-"$&amp;\%!g"</f>
        <v>#VALUE!</v>
      </c>
      <c r="HA297" t="e">
        <f>'Pivot per RAT'!6:6-"$&amp;\%!h"</f>
        <v>#VALUE!</v>
      </c>
      <c r="HB297" t="e">
        <f>'Pivot per RAT'!7:7-"$&amp;\%!i"</f>
        <v>#VALUE!</v>
      </c>
      <c r="HC297" t="e">
        <f>'Pivot per RAT'!8:8-"$&amp;\%!j"</f>
        <v>#VALUE!</v>
      </c>
      <c r="HD297" t="e">
        <f>'Pivot per RAT'!9:9-"$&amp;\%!k"</f>
        <v>#VALUE!</v>
      </c>
      <c r="HE297" t="e">
        <f>'Pivot per RAT'!10:10-"$&amp;\%!l"</f>
        <v>#VALUE!</v>
      </c>
      <c r="HF297" t="e">
        <f>'Pivot per RAT'!11:11-"$&amp;\%!m"</f>
        <v>#VALUE!</v>
      </c>
      <c r="HG297" t="e">
        <f>'Pivot per RAT'!12:12-"$&amp;\%!n"</f>
        <v>#VALUE!</v>
      </c>
      <c r="HH297" t="e">
        <f>'Pivot per RAT'!13:13-"$&amp;\%!o"</f>
        <v>#VALUE!</v>
      </c>
      <c r="HI297" t="e">
        <f>'Pivot per RAT'!14:14-"$&amp;\%!p"</f>
        <v>#VALUE!</v>
      </c>
      <c r="HJ297" t="e">
        <f>'Pivot per RAT'!15:15-"$&amp;\%!q"</f>
        <v>#VALUE!</v>
      </c>
      <c r="HK297" t="e">
        <f>'Pivot per RAT'!16:16-"$&amp;\%!r"</f>
        <v>#VALUE!</v>
      </c>
      <c r="HL297" t="e">
        <f>'Pivot per RAT'!17:17-"$&amp;\%!s"</f>
        <v>#VALUE!</v>
      </c>
      <c r="HM297" t="e">
        <f>'Pivot per RAT'!18:18-"$&amp;\%!t"</f>
        <v>#VALUE!</v>
      </c>
      <c r="HN297" t="e">
        <f>'Pivot per RAT'!19:19-"$&amp;\%!u"</f>
        <v>#VALUE!</v>
      </c>
      <c r="HO297" t="e">
        <f>'Pivot per RAT'!20:20-"$&amp;\%!v"</f>
        <v>#VALUE!</v>
      </c>
      <c r="HP297" t="e">
        <f>'Pivot per RAT'!21:21-"$&amp;\%!w"</f>
        <v>#VALUE!</v>
      </c>
      <c r="HQ297" t="e">
        <f>'Pivot per RAT'!22:22-"$&amp;\%!x"</f>
        <v>#VALUE!</v>
      </c>
      <c r="HR297" t="e">
        <f>'Pivot per RAT'!23:23-"$&amp;\%!y"</f>
        <v>#VALUE!</v>
      </c>
      <c r="HS297" t="e">
        <f>'Pivot per RAT'!24:24-"$&amp;\%!z"</f>
        <v>#VALUE!</v>
      </c>
      <c r="HT297" t="e">
        <f>'Pivot per RAT'!25:25-"$&amp;\%!{"</f>
        <v>#VALUE!</v>
      </c>
      <c r="HU297" t="e">
        <f>'Pivot per RAT'!26:26-"$&amp;\%!|"</f>
        <v>#VALUE!</v>
      </c>
      <c r="HV297" t="e">
        <f>'Pivot per RAT'!27:27-"$&amp;\%!}"</f>
        <v>#VALUE!</v>
      </c>
      <c r="HW297" t="e">
        <f>'Pivot per RAT'!28:28-"$&amp;\%!~"</f>
        <v>#VALUE!</v>
      </c>
      <c r="HX297" t="e">
        <f>'Pivot per RAT'!29:29-"$&amp;\%!$#"</f>
        <v>#VALUE!</v>
      </c>
      <c r="HY297" t="e">
        <f>'Pivot per RAT'!30:30-"$&amp;\%!$$"</f>
        <v>#VALUE!</v>
      </c>
      <c r="HZ297" t="e">
        <f>'Pivot per RAT'!31:31-"$&amp;\%!$%"</f>
        <v>#VALUE!</v>
      </c>
      <c r="IA297" t="e">
        <f>'Pivot per RAT'!32:32-"$&amp;\%!$&amp;"</f>
        <v>#VALUE!</v>
      </c>
      <c r="IB297" t="e">
        <f>'Pivot per RAT'!33:33-"$&amp;\%!$'"</f>
        <v>#VALUE!</v>
      </c>
      <c r="IC297" t="e">
        <f>'Pivot per RAT'!34:34-"$&amp;\%!$("</f>
        <v>#VALUE!</v>
      </c>
      <c r="ID297" t="e">
        <f>'Pivot per RAT'!35:35-"$&amp;\%!$)"</f>
        <v>#VALUE!</v>
      </c>
      <c r="IE297" t="e">
        <f>'Pivot per RAT'!36:36-"$&amp;\%!$."</f>
        <v>#VALUE!</v>
      </c>
      <c r="IF297" t="e">
        <f>'Pivot per RAT'!37:37-"$&amp;\%!$/"</f>
        <v>#VALUE!</v>
      </c>
      <c r="IG297" t="e">
        <f>'Pivot per RAT'!38:38-"$&amp;\%!$0"</f>
        <v>#VALUE!</v>
      </c>
      <c r="IH297" t="e">
        <f>'Pivot per RAT'!39:39-"$&amp;\%!$1"</f>
        <v>#VALUE!</v>
      </c>
      <c r="II297" t="e">
        <f>'Pivot per RAT'!40:40-"$&amp;\%!$2"</f>
        <v>#VALUE!</v>
      </c>
      <c r="IJ297" t="e">
        <f>'Pivot per RAT'!41:41-"$&amp;\%!$3"</f>
        <v>#VALUE!</v>
      </c>
      <c r="IK297" t="e">
        <f>'Pivot per RAT'!42:42-"$&amp;\%!$4"</f>
        <v>#VALUE!</v>
      </c>
      <c r="IL297" t="e">
        <f>'Pivot per RAT'!43:43-"$&amp;\%!$5"</f>
        <v>#VALUE!</v>
      </c>
      <c r="IM297" t="e">
        <f>'Pivot per RAT'!44:44-"$&amp;\%!$6"</f>
        <v>#VALUE!</v>
      </c>
      <c r="IN297" t="e">
        <f>'Pivot per RAT'!45:45-"$&amp;\%!$7"</f>
        <v>#VALUE!</v>
      </c>
      <c r="IO297" t="e">
        <f>'Pivot per RAT'!46:46-"$&amp;\%!$8"</f>
        <v>#VALUE!</v>
      </c>
      <c r="IP297" t="e">
        <f>'Pivot per RAT'!47:47-"$&amp;\%!$9"</f>
        <v>#VALUE!</v>
      </c>
      <c r="IQ297" t="e">
        <f>'Pivot per RAT'!48:48-"$&amp;\%!$:"</f>
        <v>#VALUE!</v>
      </c>
      <c r="IR297" t="e">
        <f>'Pivot per RAT'!49:49-"$&amp;\%!$;"</f>
        <v>#VALUE!</v>
      </c>
      <c r="IS297" t="e">
        <f>'Pivot per RAT'!50:50-"$&amp;\%!$&lt;"</f>
        <v>#VALUE!</v>
      </c>
      <c r="IT297" t="e">
        <f>'Pivot per RAT'!51:51-"$&amp;\%!$="</f>
        <v>#VALUE!</v>
      </c>
      <c r="IU297" t="e">
        <f>'Pivot per RAT'!52:52-"$&amp;\%!$&gt;"</f>
        <v>#VALUE!</v>
      </c>
      <c r="IV297" t="e">
        <f>'Pivot per RAT'!53:53-"$&amp;\%!$?"</f>
        <v>#VALUE!</v>
      </c>
    </row>
    <row r="298" spans="6:256">
      <c r="F298" t="e">
        <f>'Pivot per RAT'!54:54-"$&amp;\%!$@"</f>
        <v>#VALUE!</v>
      </c>
      <c r="G298" t="e">
        <f>'Pivot per RAT'!55:55-"$&amp;\%!$A"</f>
        <v>#VALUE!</v>
      </c>
      <c r="H298" t="e">
        <f>'Pivot per RAT'!56:56-"$&amp;\%!$B"</f>
        <v>#VALUE!</v>
      </c>
      <c r="I298" t="e">
        <f>'Pivot per RAT'!57:57-"$&amp;\%!$C"</f>
        <v>#VALUE!</v>
      </c>
      <c r="J298" t="e">
        <f>'Pivot per RAT'!58:58-"$&amp;\%!$D"</f>
        <v>#VALUE!</v>
      </c>
      <c r="K298" t="e">
        <f>'Pivot per RAT'!59:59-"$&amp;\%!$E"</f>
        <v>#VALUE!</v>
      </c>
      <c r="L298" t="e">
        <f>'Pivot per RAT'!60:60-"$&amp;\%!$F"</f>
        <v>#VALUE!</v>
      </c>
      <c r="M298" t="e">
        <f>'Pivot per RAT'!61:61-"$&amp;\%!$G"</f>
        <v>#VALUE!</v>
      </c>
      <c r="N298" t="e">
        <f>'Pivot per RAT'!62:62-"$&amp;\%!$H"</f>
        <v>#VALUE!</v>
      </c>
      <c r="O298" t="e">
        <f>'Pivot per RAT'!63:63-"$&amp;\%!$I"</f>
        <v>#VALUE!</v>
      </c>
      <c r="P298" t="e">
        <f>'Pivot per RAT'!64:64-"$&amp;\%!$J"</f>
        <v>#VALUE!</v>
      </c>
      <c r="Q298" t="e">
        <f>'Pivot per RAT'!65:65-"$&amp;\%!$K"</f>
        <v>#VALUE!</v>
      </c>
      <c r="R298" t="e">
        <f>'Pivot per RAT'!66:66-"$&amp;\%!$L"</f>
        <v>#VALUE!</v>
      </c>
      <c r="S298" t="e">
        <f>'Pivot per RAT'!67:67-"$&amp;\%!$M"</f>
        <v>#VALUE!</v>
      </c>
      <c r="T298" t="e">
        <f>'Pivot per RAT'!68:68-"$&amp;\%!$N"</f>
        <v>#VALUE!</v>
      </c>
      <c r="U298" t="e">
        <f>'Pivot per RAT'!69:69-"$&amp;\%!$O"</f>
        <v>#VALUE!</v>
      </c>
      <c r="V298" t="e">
        <f>'Pivot per RAT'!70:70-"$&amp;\%!$P"</f>
        <v>#VALUE!</v>
      </c>
      <c r="W298" t="e">
        <f>'Pivot per RAT'!71:71-"$&amp;\%!$Q"</f>
        <v>#VALUE!</v>
      </c>
      <c r="X298" t="e">
        <f>'Pivot per RAT'!72:72-"$&amp;\%!$R"</f>
        <v>#VALUE!</v>
      </c>
      <c r="Y298" t="e">
        <f>'Pivot per RAT'!73:73-"$&amp;\%!$S"</f>
        <v>#VALUE!</v>
      </c>
      <c r="Z298" t="e">
        <f>'Pivot per RAT'!74:74-"$&amp;\%!$T"</f>
        <v>#VALUE!</v>
      </c>
      <c r="AA298" t="e">
        <f>'Pivot per RAT'!75:75-"$&amp;\%!$U"</f>
        <v>#VALUE!</v>
      </c>
      <c r="AB298" t="e">
        <f>'Pivot per RAT'!76:76-"$&amp;\%!$V"</f>
        <v>#VALUE!</v>
      </c>
      <c r="AC298" t="e">
        <f>'Pivot per RAT'!77:77-"$&amp;\%!$W"</f>
        <v>#VALUE!</v>
      </c>
      <c r="AD298" t="e">
        <f>'Pivot per RAT'!78:78-"$&amp;\%!$X"</f>
        <v>#VALUE!</v>
      </c>
      <c r="AE298" t="e">
        <f>'Pivot per RAT'!79:79-"$&amp;\%!$Y"</f>
        <v>#VALUE!</v>
      </c>
      <c r="AF298" t="e">
        <f>'Pivot per RAT'!80:80-"$&amp;\%!$Z"</f>
        <v>#VALUE!</v>
      </c>
      <c r="AG298" t="e">
        <f>'Pivot per RAT'!81:81-"$&amp;\%!$["</f>
        <v>#VALUE!</v>
      </c>
      <c r="AH298" t="e">
        <f>'Pivot per RAT'!82:82-"$&amp;\%!$\"</f>
        <v>#VALUE!</v>
      </c>
      <c r="AI298" t="e">
        <f>'Pivot per RAT'!83:83-"$&amp;\%!$]"</f>
        <v>#VALUE!</v>
      </c>
      <c r="AJ298" t="e">
        <f>'Pivot per RAT'!84:84-"$&amp;\%!$^"</f>
        <v>#VALUE!</v>
      </c>
      <c r="AK298" t="e">
        <f>'Pivot per RAT'!85:85-"$&amp;\%!$_"</f>
        <v>#VALUE!</v>
      </c>
      <c r="AL298" t="e">
        <f>'Pivot per RAT'!86:86-"$&amp;\%!$`"</f>
        <v>#VALUE!</v>
      </c>
      <c r="AM298" t="e">
        <f>'Pivot per RAT'!87:87-"$&amp;\%!$a"</f>
        <v>#VALUE!</v>
      </c>
      <c r="AN298" t="e">
        <f>'Pivot per RAT'!88:88-"$&amp;\%!$b"</f>
        <v>#VALUE!</v>
      </c>
      <c r="AO298" t="e">
        <f>'Pivot per RAT'!89:89-"$&amp;\%!$c"</f>
        <v>#VALUE!</v>
      </c>
      <c r="AP298" t="e">
        <f>'Pivot per RAT'!90:90-"$&amp;\%!$d"</f>
        <v>#VALUE!</v>
      </c>
      <c r="AQ298" t="e">
        <f>'Pivot per RAT'!91:91-"$&amp;\%!$e"</f>
        <v>#VALUE!</v>
      </c>
      <c r="AR298" t="e">
        <f>'Pivot per RAT'!92:92-"$&amp;\%!$f"</f>
        <v>#VALUE!</v>
      </c>
      <c r="AS298" t="e">
        <f>'Pivot per RAT'!93:93-"$&amp;\%!$g"</f>
        <v>#VALUE!</v>
      </c>
      <c r="AT298" t="e">
        <f>'Pivot per RAT'!94:94-"$&amp;\%!$h"</f>
        <v>#VALUE!</v>
      </c>
      <c r="AU298" t="e">
        <f>'Pivot per RAT'!95:95-"$&amp;\%!$i"</f>
        <v>#VALUE!</v>
      </c>
      <c r="AV298" t="e">
        <f>'Pivot per RAT'!96:96-"$&amp;\%!$j"</f>
        <v>#VALUE!</v>
      </c>
      <c r="AW298" t="e">
        <f>'Pivot per RAT'!97:97-"$&amp;\%!$k"</f>
        <v>#VALUE!</v>
      </c>
      <c r="AX298" t="e">
        <f>'Pivot per RAT'!98:98-"$&amp;\%!$l"</f>
        <v>#VALUE!</v>
      </c>
      <c r="AY298" t="e">
        <f>'Pivot per RAT'!99:99-"$&amp;\%!$m"</f>
        <v>#VALUE!</v>
      </c>
      <c r="AZ298" t="e">
        <f>'Pivot per RAT'!100:100-"$&amp;\%!$n"</f>
        <v>#VALUE!</v>
      </c>
      <c r="BA298" t="e">
        <f>'Pivot per RAT'!101:101-"$&amp;\%!$o"</f>
        <v>#VALUE!</v>
      </c>
      <c r="BB298" t="e">
        <f>'Pivot per RAT'!102:102-"$&amp;\%!$p"</f>
        <v>#VALUE!</v>
      </c>
      <c r="BC298" t="e">
        <f>'Pivot per RAT'!103:103-"$&amp;\%!$q"</f>
        <v>#VALUE!</v>
      </c>
      <c r="BD298" t="e">
        <f>'Pivot per RAT'!104:104-"$&amp;\%!$r"</f>
        <v>#VALUE!</v>
      </c>
      <c r="BE298" t="e">
        <f>'Pivot per RAT'!105:105-"$&amp;\%!$s"</f>
        <v>#VALUE!</v>
      </c>
      <c r="BF298" t="e">
        <f>'Pivot per RAT'!106:106-"$&amp;\%!$t"</f>
        <v>#VALUE!</v>
      </c>
      <c r="BG298" t="e">
        <f>'Pivot per RAT'!107:107-"$&amp;\%!$u"</f>
        <v>#VALUE!</v>
      </c>
      <c r="BH298" t="e">
        <f>'Pivot per RAT'!108:108-"$&amp;\%!$v"</f>
        <v>#VALUE!</v>
      </c>
      <c r="BI298" t="e">
        <f>'Pivot per RAT'!109:109-"$&amp;\%!$w"</f>
        <v>#VALUE!</v>
      </c>
      <c r="BJ298" t="e">
        <f>'Pivot per RAT'!110:110-"$&amp;\%!$x"</f>
        <v>#VALUE!</v>
      </c>
      <c r="BK298" t="e">
        <f>'Pivot per RAT'!111:111-"$&amp;\%!$y"</f>
        <v>#VALUE!</v>
      </c>
      <c r="BL298" t="e">
        <f>'Pivot per RAT'!112:112-"$&amp;\%!$z"</f>
        <v>#VALUE!</v>
      </c>
      <c r="BM298" t="e">
        <f>'Pivot per RAT'!113:113-"$&amp;\%!${"</f>
        <v>#VALUE!</v>
      </c>
      <c r="BN298" t="e">
        <f>'Pivot per RAT'!114:114-"$&amp;\%!$|"</f>
        <v>#VALUE!</v>
      </c>
      <c r="BO298" t="e">
        <f>'Pivot per RAT'!115:115-"$&amp;\%!$}"</f>
        <v>#VALUE!</v>
      </c>
      <c r="BP298" t="e">
        <f>'Pivot per RAT'!116:116-"$&amp;\%!$~"</f>
        <v>#VALUE!</v>
      </c>
      <c r="BQ298" t="e">
        <f>'Pivot per RAT'!117:117-"$&amp;\%!%#"</f>
        <v>#VALUE!</v>
      </c>
      <c r="BR298" t="e">
        <f>'Pivot per RAT'!118:118-"$&amp;\%!%$"</f>
        <v>#VALUE!</v>
      </c>
      <c r="BS298" t="e">
        <f>'Pivot per RAT'!119:119-"$&amp;\%!%%"</f>
        <v>#VALUE!</v>
      </c>
      <c r="BT298" t="e">
        <f>'Pivot per RAT'!120:120-"$&amp;\%!%&amp;"</f>
        <v>#VALUE!</v>
      </c>
      <c r="BU298" t="e">
        <f>'Pivot per RAT'!121:121-"$&amp;\%!%'"</f>
        <v>#VALUE!</v>
      </c>
      <c r="BV298" t="e">
        <f>'Pivot per RAT'!122:122-"$&amp;\%!%("</f>
        <v>#VALUE!</v>
      </c>
      <c r="BW298" t="e">
        <f>'Pivot per RAT'!123:123-"$&amp;\%!%)"</f>
        <v>#VALUE!</v>
      </c>
      <c r="BX298" t="e">
        <f>'Pivot per RAT'!124:124-"$&amp;\%!%."</f>
        <v>#VALUE!</v>
      </c>
      <c r="BY298" t="e">
        <f>'Pivot per RAT'!125:125-"$&amp;\%!%/"</f>
        <v>#VALUE!</v>
      </c>
      <c r="BZ298" t="e">
        <f>'Pivot per RAT'!126:126-"$&amp;\%!%0"</f>
        <v>#VALUE!</v>
      </c>
      <c r="CA298" t="e">
        <f>'Pivot per RAT'!127:127-"$&amp;\%!%1"</f>
        <v>#VALUE!</v>
      </c>
      <c r="CB298" t="e">
        <f>'Pivot per RAT'!128:128-"$&amp;\%!%2"</f>
        <v>#VALUE!</v>
      </c>
      <c r="CC298" t="e">
        <f>'Pivot per RAT'!129:129-"$&amp;\%!%3"</f>
        <v>#VALUE!</v>
      </c>
      <c r="CD298" t="e">
        <f>'Pivot per RAT'!130:130-"$&amp;\%!%4"</f>
        <v>#VALUE!</v>
      </c>
      <c r="CE298" t="e">
        <f>'Pivot per RAT'!131:131-"$&amp;\%!%5"</f>
        <v>#VALUE!</v>
      </c>
      <c r="CF298" t="e">
        <f>'Pivot per RAT'!132:132-"$&amp;\%!%6"</f>
        <v>#VALUE!</v>
      </c>
      <c r="CG298" t="e">
        <f>'Pivot per RAT'!133:133-"$&amp;\%!%7"</f>
        <v>#VALUE!</v>
      </c>
      <c r="CH298" t="e">
        <f>'Pivot per RAT'!134:134-"$&amp;\%!%8"</f>
        <v>#VALUE!</v>
      </c>
      <c r="CI298" t="e">
        <f>'Pivot per RAT'!135:135-"$&amp;\%!%9"</f>
        <v>#VALUE!</v>
      </c>
      <c r="CJ298" t="e">
        <f>'Pivot per RAT'!136:136-"$&amp;\%!%:"</f>
        <v>#VALUE!</v>
      </c>
      <c r="CK298" t="e">
        <f>'Pivot per RAT'!137:137-"$&amp;\%!%;"</f>
        <v>#VALUE!</v>
      </c>
      <c r="CL298" t="e">
        <f>'Pivot per RAT'!138:138-"$&amp;\%!%&lt;"</f>
        <v>#VALUE!</v>
      </c>
      <c r="CM298" t="e">
        <f>'Pivot per RAT'!139:139-"$&amp;\%!%="</f>
        <v>#VALUE!</v>
      </c>
      <c r="CN298" t="e">
        <f>'Pivot per RAT'!140:140-"$&amp;\%!%&gt;"</f>
        <v>#VALUE!</v>
      </c>
      <c r="CO298" t="e">
        <f>'Pivot per RAT'!141:141-"$&amp;\%!%?"</f>
        <v>#VALUE!</v>
      </c>
      <c r="CP298" t="e">
        <f>'Pivot per RAT'!142:142-"$&amp;\%!%@"</f>
        <v>#VALUE!</v>
      </c>
      <c r="CQ298" t="e">
        <f>'Pivot per RAT'!143:143-"$&amp;\%!%A"</f>
        <v>#VALUE!</v>
      </c>
      <c r="CR298" t="e">
        <f>'Pivot per RAT'!144:144-"$&amp;\%!%B"</f>
        <v>#VALUE!</v>
      </c>
      <c r="CS298" t="e">
        <f>'Pivot per RAT'!145:145-"$&amp;\%!%C"</f>
        <v>#VALUE!</v>
      </c>
      <c r="CT298" t="e">
        <f>'Pivot per RAT'!146:146-"$&amp;\%!%D"</f>
        <v>#VALUE!</v>
      </c>
      <c r="CU298" t="e">
        <f>'Pivot per RAT'!147:147-"$&amp;\%!%E"</f>
        <v>#VALUE!</v>
      </c>
      <c r="CV298" t="e">
        <f>'Pivot per RAT'!148:148-"$&amp;\%!%F"</f>
        <v>#VALUE!</v>
      </c>
      <c r="CW298" t="e">
        <f>'Pivot per RAT'!149:149-"$&amp;\%!%G"</f>
        <v>#VALUE!</v>
      </c>
      <c r="CX298" t="e">
        <f>'Pivot per RAT'!150:150-"$&amp;\%!%H"</f>
        <v>#VALUE!</v>
      </c>
      <c r="CY298" t="e">
        <f>'Pivot per RAT'!151:151-"$&amp;\%!%I"</f>
        <v>#VALUE!</v>
      </c>
      <c r="CZ298" t="e">
        <f>'Pivot per RAT'!152:152-"$&amp;\%!%J"</f>
        <v>#VALUE!</v>
      </c>
      <c r="DA298" t="e">
        <f>'Pivot per RAT'!153:153-"$&amp;\%!%K"</f>
        <v>#VALUE!</v>
      </c>
      <c r="DB298" t="e">
        <f>'Pivot per RAT'!154:154-"$&amp;\%!%L"</f>
        <v>#VALUE!</v>
      </c>
      <c r="DC298" t="e">
        <f>'Pivot per RAT'!155:155-"$&amp;\%!%M"</f>
        <v>#VALUE!</v>
      </c>
      <c r="DD298" t="e">
        <f>'Pivot per RAT'!156:156-"$&amp;\%!%N"</f>
        <v>#VALUE!</v>
      </c>
      <c r="DE298" t="e">
        <f>'Pivot per RAT'!157:157-"$&amp;\%!%O"</f>
        <v>#VALUE!</v>
      </c>
      <c r="DF298" t="e">
        <f>'Pivot per RAT'!158:158-"$&amp;\%!%P"</f>
        <v>#VALUE!</v>
      </c>
      <c r="DG298" t="e">
        <f>'Pivot per RAT'!159:159-"$&amp;\%!%Q"</f>
        <v>#VALUE!</v>
      </c>
      <c r="DH298" t="e">
        <f>'Pivot per RAT'!160:160-"$&amp;\%!%R"</f>
        <v>#VALUE!</v>
      </c>
      <c r="DI298" t="e">
        <f>'Pivot per RAT'!161:161-"$&amp;\%!%S"</f>
        <v>#VALUE!</v>
      </c>
      <c r="DJ298" t="e">
        <f>'Pivot per RAT'!162:162-"$&amp;\%!%T"</f>
        <v>#VALUE!</v>
      </c>
      <c r="DK298" t="e">
        <f>'Pivot per RAT'!163:163-"$&amp;\%!%U"</f>
        <v>#VALUE!</v>
      </c>
      <c r="DL298" t="e">
        <f>'Pivot per RAT'!164:164-"$&amp;\%!%V"</f>
        <v>#VALUE!</v>
      </c>
      <c r="DM298" t="e">
        <f>'Pivot per RAT'!165:165-"$&amp;\%!%W"</f>
        <v>#VALUE!</v>
      </c>
      <c r="DN298" t="e">
        <f>'Pivot per RAT'!166:166-"$&amp;\%!%X"</f>
        <v>#VALUE!</v>
      </c>
      <c r="DO298" t="e">
        <f>'Pivot per RAT'!167:167-"$&amp;\%!%Y"</f>
        <v>#VALUE!</v>
      </c>
      <c r="DP298" t="e">
        <f>'Pivot per RAT'!168:168-"$&amp;\%!%Z"</f>
        <v>#VALUE!</v>
      </c>
      <c r="DQ298" t="e">
        <f>'Pivot per RAT'!169:169-"$&amp;\%!%["</f>
        <v>#VALUE!</v>
      </c>
      <c r="DR298" t="e">
        <f>'Pivot per RAT'!170:170-"$&amp;\%!%\"</f>
        <v>#VALUE!</v>
      </c>
      <c r="DS298" t="e">
        <f>'Pivot per RAT'!171:171-"$&amp;\%!%]"</f>
        <v>#VALUE!</v>
      </c>
      <c r="DT298" t="e">
        <f>'Pivot per RAT'!172:172-"$&amp;\%!%^"</f>
        <v>#VALUE!</v>
      </c>
      <c r="DU298" t="e">
        <f>'Pivot per RAT'!173:173-"$&amp;\%!%_"</f>
        <v>#VALUE!</v>
      </c>
      <c r="DV298" t="e">
        <f>'Pivot per RAT'!174:174-"$&amp;\%!%`"</f>
        <v>#VALUE!</v>
      </c>
      <c r="DW298" t="e">
        <f>'Pivot per RAT'!175:175-"$&amp;\%!%a"</f>
        <v>#VALUE!</v>
      </c>
      <c r="DX298" t="e">
        <f>'Pivot per RAT'!176:176-"$&amp;\%!%b"</f>
        <v>#VALUE!</v>
      </c>
      <c r="DY298" t="e">
        <f>'Pivot per RAT'!177:177-"$&amp;\%!%c"</f>
        <v>#VALUE!</v>
      </c>
      <c r="DZ298" t="e">
        <f>'Pivot per RAT'!178:178-"$&amp;\%!%d"</f>
        <v>#VALUE!</v>
      </c>
      <c r="EA298" t="e">
        <f>'Pivot per RAT'!179:179-"$&amp;\%!%e"</f>
        <v>#VALUE!</v>
      </c>
      <c r="EB298" t="e">
        <f>'Pivot per RAT'!180:180-"$&amp;\%!%f"</f>
        <v>#VALUE!</v>
      </c>
      <c r="EC298" t="e">
        <f>'Pivot per RAT'!181:181-"$&amp;\%!%g"</f>
        <v>#VALUE!</v>
      </c>
      <c r="ED298" t="e">
        <f>'Pivot per RAT'!182:182-"$&amp;\%!%h"</f>
        <v>#VALUE!</v>
      </c>
      <c r="EE298" t="e">
        <f>'Pivot per RAT'!183:183-"$&amp;\%!%i"</f>
        <v>#VALUE!</v>
      </c>
      <c r="EF298" t="e">
        <f>'Pivot per RAT'!184:184-"$&amp;\%!%j"</f>
        <v>#VALUE!</v>
      </c>
      <c r="EG298" t="e">
        <f>'Pivot per RAT'!185:185-"$&amp;\%!%k"</f>
        <v>#VALUE!</v>
      </c>
      <c r="EH298" t="e">
        <f>'Pivot per RAT'!186:186-"$&amp;\%!%l"</f>
        <v>#VALUE!</v>
      </c>
      <c r="EI298" t="e">
        <f>'Pivot per RAT'!187:187-"$&amp;\%!%m"</f>
        <v>#VALUE!</v>
      </c>
      <c r="EJ298" t="e">
        <f>'Pivot per RAT'!188:188-"$&amp;\%!%n"</f>
        <v>#VALUE!</v>
      </c>
      <c r="EK298" t="e">
        <f>'Pivot per RAT'!189:189-"$&amp;\%!%o"</f>
        <v>#VALUE!</v>
      </c>
      <c r="EL298" t="e">
        <f>'Pivot per RAT'!190:190-"$&amp;\%!%p"</f>
        <v>#VALUE!</v>
      </c>
      <c r="EM298" t="e">
        <f>'Pivot per RAT'!191:191-"$&amp;\%!%q"</f>
        <v>#VALUE!</v>
      </c>
      <c r="EN298" t="e">
        <f>'Pivot per RAT'!192:192-"$&amp;\%!%r"</f>
        <v>#VALUE!</v>
      </c>
      <c r="EO298" t="e">
        <f>'Pivot per RAT'!193:193-"$&amp;\%!%s"</f>
        <v>#VALUE!</v>
      </c>
      <c r="EP298" t="e">
        <f>'Pivot per RAT'!194:194-"$&amp;\%!%t"</f>
        <v>#VALUE!</v>
      </c>
      <c r="EQ298" t="e">
        <f>'Pivot per RAT'!195:195-"$&amp;\%!%u"</f>
        <v>#VALUE!</v>
      </c>
      <c r="ER298" t="e">
        <f>'Pivot per RAT'!196:196-"$&amp;\%!%v"</f>
        <v>#VALUE!</v>
      </c>
      <c r="ES298" t="e">
        <f>'Pivot per RAT'!197:197-"$&amp;\%!%w"</f>
        <v>#VALUE!</v>
      </c>
      <c r="ET298" t="e">
        <f>'Pivot per RAT'!198:198-"$&amp;\%!%x"</f>
        <v>#VALUE!</v>
      </c>
      <c r="EU298" t="e">
        <f>'Pivot per RAT'!199:199-"$&amp;\%!%y"</f>
        <v>#VALUE!</v>
      </c>
      <c r="EV298" t="e">
        <f>'Pivot per RAT'!200:200-"$&amp;\%!%z"</f>
        <v>#VALUE!</v>
      </c>
      <c r="EW298" t="e">
        <f>'Pivot per RAT'!201:201-"$&amp;\%!%{"</f>
        <v>#VALUE!</v>
      </c>
      <c r="EX298" t="e">
        <f>'Pivot per RAT'!202:202-"$&amp;\%!%|"</f>
        <v>#VALUE!</v>
      </c>
      <c r="EY298" t="e">
        <f>'Pivot per RAT'!203:203-"$&amp;\%!%}"</f>
        <v>#VALUE!</v>
      </c>
      <c r="EZ298" t="e">
        <f>'Pivot per RAT'!204:204-"$&amp;\%!%~"</f>
        <v>#VALUE!</v>
      </c>
      <c r="FA298" t="e">
        <f>'Pivot per RAT'!205:205-"$&amp;\%!&amp;#"</f>
        <v>#VALUE!</v>
      </c>
      <c r="FB298" t="e">
        <f>'Pivot per RAT'!206:206-"$&amp;\%!&amp;$"</f>
        <v>#VALUE!</v>
      </c>
      <c r="FC298" t="e">
        <f>'Pivot per RAT'!207:207-"$&amp;\%!&amp;%"</f>
        <v>#VALUE!</v>
      </c>
      <c r="FD298" t="e">
        <f>'Pivot per RAT'!208:208-"$&amp;\%!&amp;&amp;"</f>
        <v>#VALUE!</v>
      </c>
      <c r="FE298" t="e">
        <f>'Pivot per RAT'!209:209-"$&amp;\%!&amp;'"</f>
        <v>#VALUE!</v>
      </c>
      <c r="FF298" t="e">
        <f>'Pivot per RAT'!210:210-"$&amp;\%!&amp;("</f>
        <v>#VALUE!</v>
      </c>
      <c r="FG298" t="e">
        <f>'Pivot per RAT'!211:211-"$&amp;\%!&amp;)"</f>
        <v>#VALUE!</v>
      </c>
      <c r="FH298" t="e">
        <f>'Pivot per RAT'!212:212-"$&amp;\%!&amp;."</f>
        <v>#VALUE!</v>
      </c>
      <c r="FI298" t="e">
        <f>'Pivot per RAT'!213:213-"$&amp;\%!&amp;/"</f>
        <v>#VALUE!</v>
      </c>
      <c r="FJ298" t="e">
        <f>'Pivot per RAT'!214:214-"$&amp;\%!&amp;0"</f>
        <v>#VALUE!</v>
      </c>
      <c r="FK298" t="e">
        <f>'Pivot per RAT'!215:215-"$&amp;\%!&amp;1"</f>
        <v>#VALUE!</v>
      </c>
      <c r="FL298" t="e">
        <f>'Pivot per RAT'!216:216-"$&amp;\%!&amp;2"</f>
        <v>#VALUE!</v>
      </c>
      <c r="FM298" t="e">
        <f>'Pivot per RAT'!217:217-"$&amp;\%!&amp;3"</f>
        <v>#VALUE!</v>
      </c>
      <c r="FN298" t="e">
        <f>'Pivot per RAT'!218:218-"$&amp;\%!&amp;4"</f>
        <v>#VALUE!</v>
      </c>
      <c r="FO298" t="e">
        <f>'Pivot per RAT'!219:219-"$&amp;\%!&amp;5"</f>
        <v>#VALUE!</v>
      </c>
      <c r="FP298" t="e">
        <f>'Pivot per RAT'!220:220-"$&amp;\%!&amp;6"</f>
        <v>#VALUE!</v>
      </c>
      <c r="FQ298" t="e">
        <f>'Pivot per RAT'!221:221-"$&amp;\%!&amp;7"</f>
        <v>#VALUE!</v>
      </c>
      <c r="FR298" t="e">
        <f>'Pivot per RAT'!222:222-"$&amp;\%!&amp;8"</f>
        <v>#VALUE!</v>
      </c>
      <c r="FS298" t="e">
        <f>'Pivot per RAT'!223:223-"$&amp;\%!&amp;9"</f>
        <v>#VALUE!</v>
      </c>
      <c r="FT298" t="e">
        <f>'Pivot per RAT'!224:224-"$&amp;\%!&amp;:"</f>
        <v>#VALUE!</v>
      </c>
      <c r="FU298" t="e">
        <f>'Pivot per RAT'!225:225-"$&amp;\%!&amp;;"</f>
        <v>#VALUE!</v>
      </c>
      <c r="FV298" t="e">
        <f>'Pivot per RAT'!226:226-"$&amp;\%!&amp;&lt;"</f>
        <v>#VALUE!</v>
      </c>
      <c r="FW298" t="e">
        <f>'Pivot per RAT'!227:227-"$&amp;\%!&amp;="</f>
        <v>#VALUE!</v>
      </c>
      <c r="FX298" t="e">
        <f>'Pivot per RAT'!228:228-"$&amp;\%!&amp;&gt;"</f>
        <v>#VALUE!</v>
      </c>
      <c r="FY298" t="e">
        <f>'Pivot per RAT'!229:229-"$&amp;\%!&amp;?"</f>
        <v>#VALUE!</v>
      </c>
      <c r="FZ298" t="e">
        <f>'Pivot per RAT'!230:230-"$&amp;\%!&amp;@"</f>
        <v>#VALUE!</v>
      </c>
      <c r="GA298" t="e">
        <f>'Pivot per RAT'!231:231-"$&amp;\%!&amp;A"</f>
        <v>#VALUE!</v>
      </c>
      <c r="GB298" t="e">
        <f>'Pivot per RAT'!232:232-"$&amp;\%!&amp;B"</f>
        <v>#VALUE!</v>
      </c>
      <c r="GC298" t="e">
        <f>'Pivot per RAT'!233:233-"$&amp;\%!&amp;C"</f>
        <v>#VALUE!</v>
      </c>
      <c r="GD298" t="e">
        <f>'Pivot per RAT'!234:234-"$&amp;\%!&amp;D"</f>
        <v>#VALUE!</v>
      </c>
      <c r="GE298" t="e">
        <f>'Pivot per RAT'!235:235-"$&amp;\%!&amp;E"</f>
        <v>#VALUE!</v>
      </c>
      <c r="GF298" t="e">
        <f>'Pivot per RAT'!236:236-"$&amp;\%!&amp;F"</f>
        <v>#VALUE!</v>
      </c>
      <c r="GG298" t="e">
        <f>'Pivot per RAT'!237:237-"$&amp;\%!&amp;G"</f>
        <v>#VALUE!</v>
      </c>
      <c r="GH298" t="e">
        <f>'Pivot per RAT'!238:238-"$&amp;\%!&amp;H"</f>
        <v>#VALUE!</v>
      </c>
      <c r="GI298" t="e">
        <f>'Pivot per RAT'!239:239-"$&amp;\%!&amp;I"</f>
        <v>#VALUE!</v>
      </c>
      <c r="GJ298" t="e">
        <f>'Pivot per RAT'!240:240-"$&amp;\%!&amp;J"</f>
        <v>#VALUE!</v>
      </c>
      <c r="GK298" t="e">
        <f>'Pivot per RAT'!241:241-"$&amp;\%!&amp;K"</f>
        <v>#VALUE!</v>
      </c>
      <c r="GL298" t="e">
        <f>'Pivot per RAT'!242:242-"$&amp;\%!&amp;L"</f>
        <v>#VALUE!</v>
      </c>
      <c r="GM298" t="e">
        <f>'Pivot per RAT'!243:243-"$&amp;\%!&amp;M"</f>
        <v>#VALUE!</v>
      </c>
      <c r="GN298" t="e">
        <f>'Pivot per RAT'!244:244-"$&amp;\%!&amp;N"</f>
        <v>#VALUE!</v>
      </c>
      <c r="GO298" t="e">
        <f>'Pivot per RAT'!245:245-"$&amp;\%!&amp;O"</f>
        <v>#VALUE!</v>
      </c>
      <c r="GP298" t="e">
        <f>'Pivot per RAT'!246:246-"$&amp;\%!&amp;P"</f>
        <v>#VALUE!</v>
      </c>
      <c r="GQ298" t="e">
        <f>'Pivot per RAT'!247:247-"$&amp;\%!&amp;Q"</f>
        <v>#VALUE!</v>
      </c>
      <c r="GR298" t="e">
        <f>'Pivot per RAT'!248:248-"$&amp;\%!&amp;R"</f>
        <v>#VALUE!</v>
      </c>
      <c r="GS298" t="e">
        <f>'Pivot per RAT'!249:249-"$&amp;\%!&amp;S"</f>
        <v>#VALUE!</v>
      </c>
      <c r="GT298" t="e">
        <f>'Pivot per RAT'!250:250-"$&amp;\%!&amp;T"</f>
        <v>#VALUE!</v>
      </c>
      <c r="GU298" t="e">
        <f>'Pivot per RAT'!251:251-"$&amp;\%!&amp;U"</f>
        <v>#VALUE!</v>
      </c>
      <c r="GV298" t="e">
        <f>'Pivot per RAT'!252:252-"$&amp;\%!&amp;V"</f>
        <v>#VALUE!</v>
      </c>
      <c r="GW298" t="e">
        <f>'Pivot per RAT'!253:253-"$&amp;\%!&amp;W"</f>
        <v>#VALUE!</v>
      </c>
      <c r="GX298" t="e">
        <f>'Pivot per RAT'!254:254-"$&amp;\%!&amp;X"</f>
        <v>#VALUE!</v>
      </c>
      <c r="GY298" t="e">
        <f>'Pivot per RAT'!255:255-"$&amp;\%!&amp;Y"</f>
        <v>#VALUE!</v>
      </c>
      <c r="GZ298" t="e">
        <f>'Pivot per RAT'!256:256-"$&amp;\%!&amp;Z"</f>
        <v>#VALUE!</v>
      </c>
      <c r="HA298" t="e">
        <f>'Pivot per RAT'!257:257-"$&amp;\%!&amp;["</f>
        <v>#VALUE!</v>
      </c>
      <c r="HB298" t="e">
        <f>'Pivot per RAT'!258:258-"$&amp;\%!&amp;\"</f>
        <v>#VALUE!</v>
      </c>
      <c r="HC298" t="e">
        <f>'Pivot per RAT'!259:259-"$&amp;\%!&amp;]"</f>
        <v>#VALUE!</v>
      </c>
      <c r="HD298" t="e">
        <f>'Pivot per RAT'!260:260-"$&amp;\%!&amp;^"</f>
        <v>#VALUE!</v>
      </c>
      <c r="HE298" t="e">
        <f>'Pivot per RAT'!261:261-"$&amp;\%!&amp;_"</f>
        <v>#VALUE!</v>
      </c>
      <c r="HF298" t="e">
        <f>'Pivot per RAT'!262:262-"$&amp;\%!&amp;`"</f>
        <v>#VALUE!</v>
      </c>
      <c r="HG298" t="e">
        <f>'Pivot per RAT'!263:263-"$&amp;\%!&amp;a"</f>
        <v>#VALUE!</v>
      </c>
      <c r="HH298" t="e">
        <f>'Pivot per RAT'!264:264-"$&amp;\%!&amp;b"</f>
        <v>#VALUE!</v>
      </c>
      <c r="HI298" t="e">
        <f>'Pivot per RAT'!265:265-"$&amp;\%!&amp;c"</f>
        <v>#VALUE!</v>
      </c>
      <c r="HJ298" t="e">
        <f>'Pivot per RAT'!266:266-"$&amp;\%!&amp;d"</f>
        <v>#VALUE!</v>
      </c>
      <c r="HK298" t="e">
        <f>'Pivot per RAT'!267:267-"$&amp;\%!&amp;e"</f>
        <v>#VALUE!</v>
      </c>
      <c r="HL298" t="e">
        <f>'Pivot per RAT'!268:268-"$&amp;\%!&amp;f"</f>
        <v>#VALUE!</v>
      </c>
      <c r="HM298" t="e">
        <f>'Pivot per RAT'!269:269-"$&amp;\%!&amp;g"</f>
        <v>#VALUE!</v>
      </c>
      <c r="HN298" t="e">
        <f>'Pivot per RAT'!270:270-"$&amp;\%!&amp;h"</f>
        <v>#VALUE!</v>
      </c>
      <c r="HO298" t="e">
        <f>'Pivot per RAT'!271:271-"$&amp;\%!&amp;i"</f>
        <v>#VALUE!</v>
      </c>
      <c r="HP298" t="e">
        <f>'Pivot per RAT'!272:272-"$&amp;\%!&amp;j"</f>
        <v>#VALUE!</v>
      </c>
      <c r="HQ298" t="e">
        <f>'Pivot per RAT'!273:273-"$&amp;\%!&amp;k"</f>
        <v>#VALUE!</v>
      </c>
      <c r="HR298" t="e">
        <f>'Pivot per RAT'!274:274-"$&amp;\%!&amp;l"</f>
        <v>#VALUE!</v>
      </c>
      <c r="HS298" t="e">
        <f>'Pivot per RAT'!275:275-"$&amp;\%!&amp;m"</f>
        <v>#VALUE!</v>
      </c>
      <c r="HT298" t="e">
        <f>'Pivot per RAT'!276:276-"$&amp;\%!&amp;n"</f>
        <v>#VALUE!</v>
      </c>
      <c r="HU298" t="e">
        <f>'Pivot per RAT'!277:277-"$&amp;\%!&amp;o"</f>
        <v>#VALUE!</v>
      </c>
      <c r="HV298" t="e">
        <f>'Pivot per RAT'!278:278-"$&amp;\%!&amp;p"</f>
        <v>#VALUE!</v>
      </c>
      <c r="HW298" t="e">
        <f>'Pivot per RAT'!279:279-"$&amp;\%!&amp;q"</f>
        <v>#VALUE!</v>
      </c>
      <c r="HX298" t="e">
        <f>'Pivot per RAT'!280:280-"$&amp;\%!&amp;r"</f>
        <v>#VALUE!</v>
      </c>
      <c r="HY298" t="e">
        <f>'Pivot per RAT'!281:281-"$&amp;\%!&amp;s"</f>
        <v>#VALUE!</v>
      </c>
      <c r="HZ298" t="e">
        <f>'Pivot per RAT'!282:282-"$&amp;\%!&amp;t"</f>
        <v>#VALUE!</v>
      </c>
      <c r="IA298" t="e">
        <f>'Pivot per RAT'!283:283-"$&amp;\%!&amp;u"</f>
        <v>#VALUE!</v>
      </c>
      <c r="IB298" t="e">
        <f>'Pivot per RAT'!284:284-"$&amp;\%!&amp;v"</f>
        <v>#VALUE!</v>
      </c>
      <c r="IC298" t="e">
        <f>'Pivot per RAT'!285:285-"$&amp;\%!&amp;w"</f>
        <v>#VALUE!</v>
      </c>
      <c r="ID298" t="e">
        <f>'Pivot per RAT'!286:286-"$&amp;\%!&amp;x"</f>
        <v>#VALUE!</v>
      </c>
      <c r="IE298" t="e">
        <f>'Pivot per RAT'!287:287-"$&amp;\%!&amp;y"</f>
        <v>#VALUE!</v>
      </c>
      <c r="IF298" t="e">
        <f>'Pivot per RAT'!288:288-"$&amp;\%!&amp;z"</f>
        <v>#VALUE!</v>
      </c>
      <c r="IG298" t="e">
        <f>'Pivot per RAT'!289:289-"$&amp;\%!&amp;{"</f>
        <v>#VALUE!</v>
      </c>
      <c r="IH298" t="e">
        <f>'Pivot per RAT'!290:290-"$&amp;\%!&amp;|"</f>
        <v>#VALUE!</v>
      </c>
      <c r="II298" t="e">
        <f>'Pivot per RAT'!291:291-"$&amp;\%!&amp;}"</f>
        <v>#VALUE!</v>
      </c>
      <c r="IJ298" t="e">
        <f>'Pivot per RAT'!292:292-"$&amp;\%!&amp;~"</f>
        <v>#VALUE!</v>
      </c>
      <c r="IK298" t="e">
        <f>'Pivot per RAT'!293:293-"$&amp;\%!'#"</f>
        <v>#VALUE!</v>
      </c>
      <c r="IL298" t="e">
        <f>'Pivot per RAT'!294:294-"$&amp;\%!'$"</f>
        <v>#VALUE!</v>
      </c>
      <c r="IM298" t="e">
        <f>'Pivot per RAT'!295:295-"$&amp;\%!'%"</f>
        <v>#VALUE!</v>
      </c>
      <c r="IN298" t="e">
        <f>'Pivot per RAT'!296:296-"$&amp;\%!'&amp;"</f>
        <v>#VALUE!</v>
      </c>
      <c r="IO298" t="e">
        <f>'Pivot per RAT'!297:297-"$&amp;\%!''"</f>
        <v>#VALUE!</v>
      </c>
      <c r="IP298" t="e">
        <f>'Pivot per RAT'!298:298-"$&amp;\%!'("</f>
        <v>#VALUE!</v>
      </c>
      <c r="IQ298" t="e">
        <f>'Pivot per RAT'!299:299-"$&amp;\%!')"</f>
        <v>#VALUE!</v>
      </c>
      <c r="IR298" t="e">
        <f>'Pivot per RAT'!300:300-"$&amp;\%!'."</f>
        <v>#VALUE!</v>
      </c>
      <c r="IS298" t="e">
        <f>'Pivot per RAT'!301:301-"$&amp;\%!'/"</f>
        <v>#VALUE!</v>
      </c>
      <c r="IT298" t="e">
        <f>'Pivot per RAT'!302:302-"$&amp;\%!'0"</f>
        <v>#VALUE!</v>
      </c>
      <c r="IU298" t="e">
        <f>'Pivot per RAT'!303:303-"$&amp;\%!'1"</f>
        <v>#VALUE!</v>
      </c>
      <c r="IV298" t="e">
        <f>'Pivot per RAT'!304:304-"$&amp;\%!'2"</f>
        <v>#VALUE!</v>
      </c>
    </row>
    <row r="299" spans="6:256">
      <c r="F299" t="e">
        <f>'Pivot per RAT'!305:305-"$&amp;\%!'3"</f>
        <v>#VALUE!</v>
      </c>
      <c r="G299" t="e">
        <f>'Pivot per RAT'!306:306-"$&amp;\%!'4"</f>
        <v>#VALUE!</v>
      </c>
      <c r="H299" t="e">
        <f>'Pivot per RAT'!307:307-"$&amp;\%!'5"</f>
        <v>#VALUE!</v>
      </c>
      <c r="I299" t="e">
        <f>'Pivot per RAT'!308:308-"$&amp;\%!'6"</f>
        <v>#VALUE!</v>
      </c>
      <c r="J299" t="e">
        <f>'Pivot per RAT'!309:309-"$&amp;\%!'7"</f>
        <v>#VALUE!</v>
      </c>
      <c r="K299" t="e">
        <f>'Pivot per RAT'!310:310-"$&amp;\%!'8"</f>
        <v>#VALUE!</v>
      </c>
      <c r="L299" t="e">
        <f>'Pivot per RAT'!311:311-"$&amp;\%!'9"</f>
        <v>#VALUE!</v>
      </c>
      <c r="M299" t="e">
        <f>'Pivot per RAT'!312:312-"$&amp;\%!':"</f>
        <v>#VALUE!</v>
      </c>
      <c r="N299" t="e">
        <f>'Pivot per RAT'!313:313-"$&amp;\%!';"</f>
        <v>#VALUE!</v>
      </c>
      <c r="O299" t="e">
        <f>'Pivot per RAT'!314:314-"$&amp;\%!'&lt;"</f>
        <v>#VALUE!</v>
      </c>
      <c r="P299" t="e">
        <f>'Pivot per RAT'!315:315-"$&amp;\%!'="</f>
        <v>#VALUE!</v>
      </c>
      <c r="Q299" t="e">
        <f>'Pivot per RAT'!316:316-"$&amp;\%!'&gt;"</f>
        <v>#VALUE!</v>
      </c>
      <c r="R299" t="e">
        <f>'Pivot per RAT'!317:317-"$&amp;\%!'?"</f>
        <v>#VALUE!</v>
      </c>
      <c r="S299" t="e">
        <f>'Pivot per RAT'!318:318-"$&amp;\%!'@"</f>
        <v>#VALUE!</v>
      </c>
      <c r="T299" t="e">
        <f>'Pivot per RAT'!319:319-"$&amp;\%!'A"</f>
        <v>#VALUE!</v>
      </c>
      <c r="U299" t="e">
        <f>'Pivot per RAT'!320:320-"$&amp;\%!'B"</f>
        <v>#VALUE!</v>
      </c>
      <c r="V299" t="e">
        <f>'Pivot per RAT'!321:321-"$&amp;\%!'C"</f>
        <v>#VALUE!</v>
      </c>
      <c r="W299" t="e">
        <f>'Pivot per RAT'!322:322-"$&amp;\%!'D"</f>
        <v>#VALUE!</v>
      </c>
      <c r="X299" t="e">
        <f>'Pivot per RAT'!323:323-"$&amp;\%!'E"</f>
        <v>#VALUE!</v>
      </c>
      <c r="Y299" t="e">
        <f>'Pivot per RAT'!324:324-"$&amp;\%!'F"</f>
        <v>#VALUE!</v>
      </c>
      <c r="Z299" t="e">
        <f>'Pivot per RAT'!325:325-"$&amp;\%!'G"</f>
        <v>#VALUE!</v>
      </c>
      <c r="AA299" t="e">
        <f>'Pivot per RAT'!326:326-"$&amp;\%!'H"</f>
        <v>#VALUE!</v>
      </c>
      <c r="AB299" t="e">
        <f>'Pivot per RAT'!327:327-"$&amp;\%!'I"</f>
        <v>#VALUE!</v>
      </c>
      <c r="AC299" t="e">
        <f>'Pivot per RAT'!328:328-"$&amp;\%!'J"</f>
        <v>#VALUE!</v>
      </c>
      <c r="AD299" t="e">
        <f>'Pivot per RAT'!329:329-"$&amp;\%!'K"</f>
        <v>#VALUE!</v>
      </c>
      <c r="AE299" t="e">
        <f>'Pivot per RAT'!330:330-"$&amp;\%!'L"</f>
        <v>#VALUE!</v>
      </c>
      <c r="AF299" t="e">
        <f>'Pivot per RAT'!331:331-"$&amp;\%!'M"</f>
        <v>#VALUE!</v>
      </c>
      <c r="AG299" t="e">
        <f>'Pivot per RAT'!332:332-"$&amp;\%!'N"</f>
        <v>#VALUE!</v>
      </c>
      <c r="AH299" t="e">
        <f>'Pivot per RAT'!333:333-"$&amp;\%!'O"</f>
        <v>#VALUE!</v>
      </c>
      <c r="AI299" t="e">
        <f>'Pivot per RAT'!334:334-"$&amp;\%!'P"</f>
        <v>#VALUE!</v>
      </c>
      <c r="AJ299" t="e">
        <f>'Pivot per RAT'!335:335-"$&amp;\%!'Q"</f>
        <v>#VALUE!</v>
      </c>
      <c r="AK299" t="e">
        <f>'Pivot per RAT'!336:336-"$&amp;\%!'R"</f>
        <v>#VALUE!</v>
      </c>
      <c r="AL299" t="e">
        <f>'Pivot per RAT'!337:337-"$&amp;\%!'S"</f>
        <v>#VALUE!</v>
      </c>
      <c r="AM299" t="e">
        <f>'Pivot per RAT'!338:338-"$&amp;\%!'T"</f>
        <v>#VALUE!</v>
      </c>
      <c r="AN299" t="e">
        <f>'Pivot per RAT'!339:339-"$&amp;\%!'U"</f>
        <v>#VALUE!</v>
      </c>
      <c r="AO299" t="e">
        <f>'Pivot per RAT'!340:340-"$&amp;\%!'V"</f>
        <v>#VALUE!</v>
      </c>
      <c r="AP299" t="e">
        <f>'Pivot per RAT'!341:341-"$&amp;\%!'W"</f>
        <v>#VALUE!</v>
      </c>
      <c r="AQ299" t="e">
        <f>'Pivot per RAT'!342:342-"$&amp;\%!'X"</f>
        <v>#VALUE!</v>
      </c>
      <c r="AR299" t="e">
        <f>'Pivot per RAT'!343:343-"$&amp;\%!'Y"</f>
        <v>#VALUE!</v>
      </c>
      <c r="AS299" t="e">
        <f>'Pivot per RAT'!344:344-"$&amp;\%!'Z"</f>
        <v>#VALUE!</v>
      </c>
      <c r="AT299" t="e">
        <f>'Pivot per RAT'!345:345-"$&amp;\%!'["</f>
        <v>#VALUE!</v>
      </c>
      <c r="AU299" t="e">
        <f>'Pivot per RAT'!346:346-"$&amp;\%!'\"</f>
        <v>#VALUE!</v>
      </c>
      <c r="AV299" t="e">
        <f>'Pivot per RAT'!347:347-"$&amp;\%!']"</f>
        <v>#VALUE!</v>
      </c>
      <c r="AW299" t="e">
        <f>'Pivot per RAT'!348:348-"$&amp;\%!'^"</f>
        <v>#VALUE!</v>
      </c>
      <c r="AX299" t="e">
        <f>'Pivot per RAT'!349:349-"$&amp;\%!'_"</f>
        <v>#VALUE!</v>
      </c>
      <c r="AY299" t="e">
        <f>'Pivot per RAT'!350:350-"$&amp;\%!'`"</f>
        <v>#VALUE!</v>
      </c>
      <c r="AZ299" t="e">
        <f>'Pivot per RAT'!351:351-"$&amp;\%!'a"</f>
        <v>#VALUE!</v>
      </c>
      <c r="BA299" t="e">
        <f>'Pivot per RAT'!352:352-"$&amp;\%!'b"</f>
        <v>#VALUE!</v>
      </c>
      <c r="BB299" t="e">
        <f>'Pivot per RAT'!353:353-"$&amp;\%!'c"</f>
        <v>#VALUE!</v>
      </c>
      <c r="BC299" t="e">
        <f>'Pivot per RAT'!354:354-"$&amp;\%!'d"</f>
        <v>#VALUE!</v>
      </c>
      <c r="BD299" t="e">
        <f>'Pivot per RAT'!355:355-"$&amp;\%!'e"</f>
        <v>#VALUE!</v>
      </c>
      <c r="BE299" t="e">
        <f>'Pivot per RAT'!356:356-"$&amp;\%!'f"</f>
        <v>#VALUE!</v>
      </c>
      <c r="BF299" t="e">
        <f>'Pivot per RAT'!357:357-"$&amp;\%!'g"</f>
        <v>#VALUE!</v>
      </c>
      <c r="BG299" t="e">
        <f>'Pivot per RAT'!358:358-"$&amp;\%!'h"</f>
        <v>#VALUE!</v>
      </c>
      <c r="BH299" t="e">
        <f>'Pivot per RAT'!359:359-"$&amp;\%!'i"</f>
        <v>#VALUE!</v>
      </c>
      <c r="BI299" t="e">
        <f>'Pivot per RAT'!360:360-"$&amp;\%!'j"</f>
        <v>#VALUE!</v>
      </c>
      <c r="BJ299" t="e">
        <f>'Pivot per RAT'!361:361-"$&amp;\%!'k"</f>
        <v>#VALUE!</v>
      </c>
      <c r="BK299" t="e">
        <f>'Pivot per RAT'!362:362-"$&amp;\%!'l"</f>
        <v>#VALUE!</v>
      </c>
      <c r="BL299" t="e">
        <f>'Pivot per RAT'!363:363-"$&amp;\%!'m"</f>
        <v>#VALUE!</v>
      </c>
      <c r="BM299" t="e">
        <f>'Pivot per RAT'!364:364-"$&amp;\%!'n"</f>
        <v>#VALUE!</v>
      </c>
      <c r="BN299" t="e">
        <f>'Pivot per RAT'!365:365-"$&amp;\%!'o"</f>
        <v>#VALUE!</v>
      </c>
      <c r="BO299" t="e">
        <f>'Pivot per RAT'!366:366-"$&amp;\%!'p"</f>
        <v>#VALUE!</v>
      </c>
      <c r="BP299" t="e">
        <f>'Pivot per RAT'!367:367-"$&amp;\%!'q"</f>
        <v>#VALUE!</v>
      </c>
      <c r="BQ299" t="e">
        <f>'Pivot per RAT'!368:368-"$&amp;\%!'r"</f>
        <v>#VALUE!</v>
      </c>
      <c r="BR299" t="e">
        <f>'Pivot per RAT'!369:369-"$&amp;\%!'s"</f>
        <v>#VALUE!</v>
      </c>
      <c r="BS299" t="e">
        <f>'Pivot per RAT'!370:370-"$&amp;\%!'t"</f>
        <v>#VALUE!</v>
      </c>
      <c r="BT299" t="e">
        <f>'Pivot per RAT'!371:371-"$&amp;\%!'u"</f>
        <v>#VALUE!</v>
      </c>
      <c r="BU299" t="e">
        <f>'Pivot per RAT'!372:372-"$&amp;\%!'v"</f>
        <v>#VALUE!</v>
      </c>
      <c r="BV299" t="e">
        <f>'Pivot per RAT'!373:373-"$&amp;\%!'w"</f>
        <v>#VALUE!</v>
      </c>
      <c r="BW299" t="e">
        <f>'Pivot per RAT'!374:374-"$&amp;\%!'x"</f>
        <v>#VALUE!</v>
      </c>
      <c r="BX299" t="e">
        <f>'Pivot per RAT'!375:375-"$&amp;\%!'y"</f>
        <v>#VALUE!</v>
      </c>
      <c r="BY299" t="e">
        <f>'Pivot per RAT'!376:376-"$&amp;\%!'z"</f>
        <v>#VALUE!</v>
      </c>
      <c r="BZ299" t="e">
        <f>'Pivot per RAT'!377:377-"$&amp;\%!'{"</f>
        <v>#VALUE!</v>
      </c>
      <c r="CA299" t="e">
        <f>'Pivot per RAT'!378:378-"$&amp;\%!'|"</f>
        <v>#VALUE!</v>
      </c>
      <c r="CB299" t="e">
        <f>'Pivot per RAT'!379:379-"$&amp;\%!'}"</f>
        <v>#VALUE!</v>
      </c>
      <c r="CC299" t="e">
        <f>'Pivot per RAT'!380:380-"$&amp;\%!'~"</f>
        <v>#VALUE!</v>
      </c>
      <c r="CD299" t="e">
        <f>'Pivot per RAT'!381:381-"$&amp;\%!(#"</f>
        <v>#VALUE!</v>
      </c>
      <c r="CE299" t="e">
        <f>'Pivot per RAT'!382:382-"$&amp;\%!($"</f>
        <v>#VALUE!</v>
      </c>
      <c r="CF299" t="e">
        <f>'Pivot per RAT'!383:383-"$&amp;\%!(%"</f>
        <v>#VALUE!</v>
      </c>
      <c r="CG299" t="e">
        <f>'Pivot per RAT'!384:384-"$&amp;\%!(&amp;"</f>
        <v>#VALUE!</v>
      </c>
      <c r="CH299" t="e">
        <f>'Pivot per RAT'!385:385-"$&amp;\%!('"</f>
        <v>#VALUE!</v>
      </c>
      <c r="CI299" t="e">
        <f>'Pivot per RAT'!386:386-"$&amp;\%!(("</f>
        <v>#VALUE!</v>
      </c>
      <c r="CJ299" t="e">
        <f>'Pivot per RAT'!387:387-"$&amp;\%!()"</f>
        <v>#VALUE!</v>
      </c>
      <c r="CK299" t="e">
        <f>'Pivot per RAT'!388:388-"$&amp;\%!(."</f>
        <v>#VALUE!</v>
      </c>
      <c r="CL299" t="e">
        <f>'Pivot per RAT'!389:389-"$&amp;\%!(/"</f>
        <v>#VALUE!</v>
      </c>
      <c r="CM299" t="e">
        <f>'Pivot per RAT'!390:390-"$&amp;\%!(0"</f>
        <v>#VALUE!</v>
      </c>
      <c r="CN299" t="e">
        <f>'Pivot per RAT'!391:391-"$&amp;\%!(1"</f>
        <v>#VALUE!</v>
      </c>
      <c r="CO299" t="e">
        <f>'Pivot per RAT'!392:392-"$&amp;\%!(2"</f>
        <v>#VALUE!</v>
      </c>
      <c r="CP299" t="e">
        <f>'Pivot per RAT'!393:393-"$&amp;\%!(3"</f>
        <v>#VALUE!</v>
      </c>
      <c r="CQ299" t="e">
        <f>'Pivot per RAT'!394:394-"$&amp;\%!(4"</f>
        <v>#VALUE!</v>
      </c>
      <c r="CR299" t="e">
        <f>'Pivot per RAT'!395:395-"$&amp;\%!(5"</f>
        <v>#VALUE!</v>
      </c>
      <c r="CS299" t="e">
        <f>'Pivot per RAT'!396:396-"$&amp;\%!(6"</f>
        <v>#VALUE!</v>
      </c>
      <c r="CT299" t="e">
        <f>'Pivot per RAT'!397:397-"$&amp;\%!(7"</f>
        <v>#VALUE!</v>
      </c>
      <c r="CU299" t="e">
        <f>'Pivot per RAT'!398:398-"$&amp;\%!(8"</f>
        <v>#VALUE!</v>
      </c>
      <c r="CV299" t="e">
        <f>'Pivot per RAT'!399:399-"$&amp;\%!(9"</f>
        <v>#VALUE!</v>
      </c>
      <c r="CW299" t="e">
        <f>'Pivot per RAT'!400:400-"$&amp;\%!(:"</f>
        <v>#VALUE!</v>
      </c>
      <c r="CX299" t="e">
        <f>'Pivot per RAT'!401:401-"$&amp;\%!(;"</f>
        <v>#VALUE!</v>
      </c>
      <c r="CY299" t="e">
        <f>'Pivot per RAT'!402:402-"$&amp;\%!(&lt;"</f>
        <v>#VALUE!</v>
      </c>
      <c r="CZ299" t="e">
        <f>'Pivot per RAT'!403:403-"$&amp;\%!(="</f>
        <v>#VALUE!</v>
      </c>
      <c r="DA299" t="e">
        <f>'Pivot per RAT'!404:404-"$&amp;\%!(&gt;"</f>
        <v>#VALUE!</v>
      </c>
      <c r="DB299" t="e">
        <f>'Pivot per RAT'!405:405-"$&amp;\%!(?"</f>
        <v>#VALUE!</v>
      </c>
      <c r="DC299" t="e">
        <f>'Pivot per RAT'!406:406-"$&amp;\%!(@"</f>
        <v>#VALUE!</v>
      </c>
      <c r="DD299" t="e">
        <f>'Pivot per RAT'!407:407-"$&amp;\%!(A"</f>
        <v>#VALUE!</v>
      </c>
      <c r="DE299" t="e">
        <f>'Pivot per RAT'!408:408-"$&amp;\%!(B"</f>
        <v>#VALUE!</v>
      </c>
      <c r="DF299" t="e">
        <f>'Pivot per RAT'!409:409-"$&amp;\%!(C"</f>
        <v>#VALUE!</v>
      </c>
      <c r="DG299" t="e">
        <f>'Pivot per RAT'!410:410-"$&amp;\%!(D"</f>
        <v>#VALUE!</v>
      </c>
      <c r="DH299" t="e">
        <f>'Pivot per RAT'!411:411-"$&amp;\%!(E"</f>
        <v>#VALUE!</v>
      </c>
      <c r="DI299" t="e">
        <f>'Pivot per RAT'!412:412-"$&amp;\%!(F"</f>
        <v>#VALUE!</v>
      </c>
      <c r="DJ299" t="e">
        <f>'Pivot per RAT'!413:413-"$&amp;\%!(G"</f>
        <v>#VALUE!</v>
      </c>
      <c r="DK299" t="e">
        <f>'Pivot per RAT'!414:414-"$&amp;\%!(H"</f>
        <v>#VALUE!</v>
      </c>
      <c r="DL299" t="e">
        <f>'Pivot per RAT'!415:415-"$&amp;\%!(I"</f>
        <v>#VALUE!</v>
      </c>
      <c r="DM299" t="e">
        <f>'Pivot per RAT'!416:416-"$&amp;\%!(J"</f>
        <v>#VALUE!</v>
      </c>
      <c r="DN299" t="e">
        <f>'Pivot per RAT'!417:417-"$&amp;\%!(K"</f>
        <v>#VALUE!</v>
      </c>
      <c r="DO299" t="e">
        <f>'Pivot per RAT'!418:418-"$&amp;\%!(L"</f>
        <v>#VALUE!</v>
      </c>
      <c r="DP299" t="e">
        <f>'Pivot per RAT'!419:419-"$&amp;\%!(M"</f>
        <v>#VALUE!</v>
      </c>
      <c r="DQ299" t="e">
        <f>'Pivot per RAT'!420:420-"$&amp;\%!(N"</f>
        <v>#VALUE!</v>
      </c>
      <c r="DR299" t="e">
        <f>'Pivot per RAT'!421:421-"$&amp;\%!(O"</f>
        <v>#VALUE!</v>
      </c>
      <c r="DS299" t="e">
        <f>'Pivot per RAT'!422:422-"$&amp;\%!(P"</f>
        <v>#VALUE!</v>
      </c>
      <c r="DT299" t="e">
        <f>'Pivot per RAT'!423:423-"$&amp;\%!(Q"</f>
        <v>#VALUE!</v>
      </c>
      <c r="DU299" t="e">
        <f>'Pivot per RAT'!424:424-"$&amp;\%!(R"</f>
        <v>#VALUE!</v>
      </c>
      <c r="DV299" t="e">
        <f>'Pivot per RAT'!425:425-"$&amp;\%!(S"</f>
        <v>#VALUE!</v>
      </c>
      <c r="DW299" t="e">
        <f>'Pivot per RAT'!426:426-"$&amp;\%!(T"</f>
        <v>#VALUE!</v>
      </c>
      <c r="DX299" t="e">
        <f>'Pivot per RAT'!427:427-"$&amp;\%!(U"</f>
        <v>#VALUE!</v>
      </c>
      <c r="DY299" t="e">
        <f>'Pivot per RAT'!428:428-"$&amp;\%!(V"</f>
        <v>#VALUE!</v>
      </c>
      <c r="DZ299" t="e">
        <f>'Pivot per RAT'!429:429-"$&amp;\%!(W"</f>
        <v>#VALUE!</v>
      </c>
      <c r="EA299" t="e">
        <f>'Pivot per RAT'!430:430-"$&amp;\%!(X"</f>
        <v>#VALUE!</v>
      </c>
      <c r="EB299" t="e">
        <f>'Pivot per RAT'!431:431-"$&amp;\%!(Y"</f>
        <v>#VALUE!</v>
      </c>
      <c r="EC299" t="e">
        <f>'Pivot per RAT'!432:432-"$&amp;\%!(Z"</f>
        <v>#VALUE!</v>
      </c>
      <c r="ED299" t="e">
        <f>'Pivot per RAT'!433:433-"$&amp;\%!(["</f>
        <v>#VALUE!</v>
      </c>
      <c r="EE299" t="e">
        <f>'Pivot per RAT'!434:434-"$&amp;\%!(\"</f>
        <v>#VALUE!</v>
      </c>
      <c r="EF299" t="e">
        <f>'Pivot per RAT'!435:435-"$&amp;\%!(]"</f>
        <v>#VALUE!</v>
      </c>
      <c r="EG299" t="e">
        <f>'Pivot per RAT'!436:436-"$&amp;\%!(^"</f>
        <v>#VALUE!</v>
      </c>
      <c r="EH299" t="e">
        <f>'Pivot per RAT'!437:437-"$&amp;\%!(_"</f>
        <v>#VALUE!</v>
      </c>
      <c r="EI299" t="e">
        <f>'Pivot per RAT'!438:438-"$&amp;\%!(`"</f>
        <v>#VALUE!</v>
      </c>
      <c r="EJ299" t="e">
        <f>'Pivot per RAT'!439:439-"$&amp;\%!(a"</f>
        <v>#VALUE!</v>
      </c>
      <c r="EK299" t="e">
        <f>'Pivot per RAT'!440:440-"$&amp;\%!(b"</f>
        <v>#VALUE!</v>
      </c>
      <c r="EL299" t="e">
        <f>'Pivot per RAT'!441:441-"$&amp;\%!(c"</f>
        <v>#VALUE!</v>
      </c>
      <c r="EM299" t="e">
        <f>'Pivot per RAT'!442:442-"$&amp;\%!(d"</f>
        <v>#VALUE!</v>
      </c>
      <c r="EN299" t="e">
        <f>'Pivot per RAT'!443:443-"$&amp;\%!(e"</f>
        <v>#VALUE!</v>
      </c>
      <c r="EO299" t="e">
        <f>'Pivot per RAT'!444:444-"$&amp;\%!(f"</f>
        <v>#VALUE!</v>
      </c>
      <c r="EP299" t="e">
        <f>'Pivot per RAT'!445:445-"$&amp;\%!(g"</f>
        <v>#VALUE!</v>
      </c>
      <c r="EQ299" t="e">
        <f>'Pivot per RAT'!446:446-"$&amp;\%!(h"</f>
        <v>#VALUE!</v>
      </c>
      <c r="ER299" t="e">
        <f>'Pivot per RAT'!447:447-"$&amp;\%!(i"</f>
        <v>#VALUE!</v>
      </c>
      <c r="ES299" t="e">
        <f>'Pivot per RAT'!448:448-"$&amp;\%!(j"</f>
        <v>#VALUE!</v>
      </c>
      <c r="ET299" t="e">
        <f>'Pivot per RAT'!449:449-"$&amp;\%!(k"</f>
        <v>#VALUE!</v>
      </c>
      <c r="EU299" t="e">
        <f>'Pivot per RAT'!A1+"$&amp;\%!(l"</f>
        <v>#VALUE!</v>
      </c>
      <c r="EV299" t="e">
        <f>'Pivot per RAT'!B1+"$&amp;\%!(m"</f>
        <v>#VALUE!</v>
      </c>
      <c r="EW299" t="e">
        <f>'Pivot per RAT'!A2+"$&amp;\%!(n"</f>
        <v>#VALUE!</v>
      </c>
      <c r="EX299" t="e">
        <f>'Pivot per RAT'!B2+"$&amp;\%!(o"</f>
        <v>#VALUE!</v>
      </c>
      <c r="EY299" t="e">
        <f>'Pivot per RAT'!A3+"$&amp;\%!(p"</f>
        <v>#VALUE!</v>
      </c>
      <c r="EZ299" t="e">
        <f>'Pivot per RAT'!B3+"$&amp;\%!(q"</f>
        <v>#VALUE!</v>
      </c>
      <c r="FA299" t="e">
        <f>'Pivot per RAT'!A60+"$&amp;\%!(r"</f>
        <v>#VALUE!</v>
      </c>
      <c r="FB299" t="e">
        <f>'Pivot per RAT'!B60+"$&amp;\%!(s"</f>
        <v>#VALUE!</v>
      </c>
      <c r="FC299" t="e">
        <f>'Pivot per RAT'!A61+"$&amp;\%!(t"</f>
        <v>#VALUE!</v>
      </c>
      <c r="FD299" t="e">
        <f>'Pivot per RAT'!B61+"$&amp;\%!(u"</f>
        <v>#VALUE!</v>
      </c>
      <c r="FE299" t="e">
        <f>'Pivot per RAT'!A62+"$&amp;\%!(v"</f>
        <v>#VALUE!</v>
      </c>
      <c r="FF299" t="e">
        <f>'Pivot per RAT'!B62+"$&amp;\%!(w"</f>
        <v>#VALUE!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8A9C3E82F2604AA84FBAC0DC18E557" ma:contentTypeVersion="0" ma:contentTypeDescription="Create a new document." ma:contentTypeScope="" ma:versionID="55dcd912e0a42a83f160d52fcef61ce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494E23A-6A94-482D-9BB9-A9E94CB1D1E5}">
  <ds:schemaRefs/>
</ds:datastoreItem>
</file>

<file path=customXml/itemProps2.xml><?xml version="1.0" encoding="utf-8"?>
<ds:datastoreItem xmlns:ds="http://schemas.openxmlformats.org/officeDocument/2006/customXml" ds:itemID="{42474C62-686B-4A9C-A7F6-40FCE8B9EF5A}">
  <ds:schemaRefs/>
</ds:datastoreItem>
</file>

<file path=customXml/itemProps3.xml><?xml version="1.0" encoding="utf-8"?>
<ds:datastoreItem xmlns:ds="http://schemas.openxmlformats.org/officeDocument/2006/customXml" ds:itemID="{239CEC77-B0AA-472F-9400-EB509E56AAB7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Nodes</vt:lpstr>
      <vt:lpstr>Pivot per RAT</vt:lpstr>
      <vt:lpstr>Values</vt:lpstr>
      <vt:lpstr>Sheet1</vt:lpstr>
      <vt:lpstr>Pivot</vt:lpstr>
      <vt:lpstr>Pivot2</vt:lpstr>
      <vt:lpstr>Drop 2</vt:lpstr>
      <vt:lpstr>Stock</vt:lpstr>
    </vt:vector>
  </TitlesOfParts>
  <Company>Intel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Shpengler, Igor</dc:creator>
  <cp:keywords>CTPClassification=:VisualMarkings=, CTPClassification=CTP_IC:VisualMarkings=, CTPClassification=CTP_IC, CTPClassification=CTP_NT</cp:keywords>
  <cp:lastModifiedBy>hwang17</cp:lastModifiedBy>
  <dcterms:created xsi:type="dcterms:W3CDTF">2017-07-24T16:19:00Z</dcterms:created>
  <dcterms:modified xsi:type="dcterms:W3CDTF">2019-01-05T17:47:53Z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ContentTypeId" pid="2">
    <vt:lpwstr>0x010100038A9C3E82F2604AA84FBAC0DC18E557</vt:lpwstr>
  </property>
  <property fmtid="{D5CDD505-2E9C-101B-9397-08002B2CF9AE}" name="TitusGUID" pid="3">
    <vt:lpwstr>3b45e092-effa-470f-92ef-58ea5a45554c</vt:lpwstr>
  </property>
  <property fmtid="{D5CDD505-2E9C-101B-9397-08002B2CF9AE}" name="CTP_BU" pid="4">
    <vt:lpwstr>NA</vt:lpwstr>
  </property>
  <property fmtid="{D5CDD505-2E9C-101B-9397-08002B2CF9AE}" name="CTP_TimeStamp" pid="5">
    <vt:lpwstr>2019-01-05 17:47:52Z</vt:lpwstr>
  </property>
  <property fmtid="{D5CDD505-2E9C-101B-9397-08002B2CF9AE}" name="CTP_IDSID" pid="6">
    <vt:lpwstr>NA</vt:lpwstr>
  </property>
  <property fmtid="{D5CDD505-2E9C-101B-9397-08002B2CF9AE}" name="CTP_WWID" pid="7">
    <vt:lpwstr>NA</vt:lpwstr>
  </property>
  <property fmtid="{D5CDD505-2E9C-101B-9397-08002B2CF9AE}" name="KSOProductBuildVer" pid="8">
    <vt:lpwstr>2052-10.1.0.7224</vt:lpwstr>
  </property>
  <property fmtid="{D5CDD505-2E9C-101B-9397-08002B2CF9AE}" name="Offisync_ServerID" pid="9">
    <vt:lpwstr>d001a694-7c66-4352-b53b-895ffdce369f</vt:lpwstr>
  </property>
  <property fmtid="{D5CDD505-2E9C-101B-9397-08002B2CF9AE}" name="Offisync_ProviderInitializationData" pid="10">
    <vt:lpwstr>https://soco.intel.com</vt:lpwstr>
  </property>
  <property fmtid="{D5CDD505-2E9C-101B-9397-08002B2CF9AE}" name="Offisync_UniqueId" pid="11">
    <vt:lpwstr>2570913</vt:lpwstr>
  </property>
  <property fmtid="{D5CDD505-2E9C-101B-9397-08002B2CF9AE}" name="Jive_LatestUserAccountName" pid="12">
    <vt:lpwstr>xiaoqi4x</vt:lpwstr>
  </property>
  <property fmtid="{D5CDD505-2E9C-101B-9397-08002B2CF9AE}" name="Jive_VersionGuid" pid="13">
    <vt:lpwstr>be7c5a245902406599bba570f8be71dd</vt:lpwstr>
  </property>
  <property fmtid="{D5CDD505-2E9C-101B-9397-08002B2CF9AE}" name="Offisync_UpdateToken" pid="14">
    <vt:lpwstr>4</vt:lpwstr>
  </property>
  <property fmtid="{D5CDD505-2E9C-101B-9397-08002B2CF9AE}" name="Jive_ModifiedButNotPublished" pid="15">
    <vt:lpwstr/>
  </property>
  <property fmtid="{D5CDD505-2E9C-101B-9397-08002B2CF9AE}" name="Jive_PrevVersionNumber" pid="16">
    <vt:lpwstr/>
  </property>
  <property fmtid="{D5CDD505-2E9C-101B-9397-08002B2CF9AE}" name="Jive_VersionGuid_v2.5" pid="17">
    <vt:lpwstr/>
  </property>
  <property fmtid="{D5CDD505-2E9C-101B-9397-08002B2CF9AE}" name="Jive_LatestFileFullName" pid="18">
    <vt:lpwstr/>
  </property>
  <property fmtid="{D5CDD505-2E9C-101B-9397-08002B2CF9AE}" name="CTPClassification" pid="19">
    <vt:lpwstr>CTP_NT</vt:lpwstr>
  </property>
</Properties>
</file>